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hidePivotFieldList="1"/>
  <mc:AlternateContent xmlns:mc="http://schemas.openxmlformats.org/markup-compatibility/2006">
    <mc:Choice Requires="x15">
      <x15ac:absPath xmlns:x15ac="http://schemas.microsoft.com/office/spreadsheetml/2010/11/ac" url="C:\xampp\htdocs\irena4\irena\"/>
    </mc:Choice>
  </mc:AlternateContent>
  <bookViews>
    <workbookView xWindow="0" yWindow="1200" windowWidth="15435" windowHeight="9660" tabRatio="999" activeTab="7"/>
  </bookViews>
  <sheets>
    <sheet name="INDIKASI LENDER&amp;KESIAPAN JUMLAH" sheetId="1" r:id="rId1"/>
    <sheet name="PU-LAMA2" sheetId="99" r:id="rId2"/>
    <sheet name="PU-LAMA" sheetId="101" r:id="rId3"/>
    <sheet name="DATA" sheetId="2" r:id="rId4"/>
    <sheet name="ALL LAMA" sheetId="229" state="hidden" r:id="rId5"/>
    <sheet name="ALL-USD39.8M" sheetId="271" state="hidden" r:id="rId6"/>
    <sheet name="ALL-USD42.2M" sheetId="272" state="hidden" r:id="rId7"/>
    <sheet name="ALL-USD40.1M" sheetId="254" r:id="rId8"/>
    <sheet name="ALL-USD46M" sheetId="270" state="hidden" r:id="rId9"/>
    <sheet name="Signed 5,8M" sheetId="273" state="hidden" r:id="rId10"/>
    <sheet name="REKAP LENDER 2017" sheetId="265" state="hidden" r:id="rId11"/>
    <sheet name="SEKTOR ENERGI" sheetId="295" r:id="rId12"/>
    <sheet name="SEKTOR PERTAHANAN" sheetId="299" r:id="rId13"/>
    <sheet name="SEKTOR PERKOTKIM" sheetId="318" r:id="rId14"/>
    <sheet name="SEKTOR SANITASI" sheetId="313" r:id="rId15"/>
    <sheet name="SEKTOR AIR MINUM" sheetId="314" r:id="rId16"/>
    <sheet name="SEKTOR PERUMAHAN" sheetId="316" r:id="rId17"/>
    <sheet name="SEKTOR PERKOTAAN DAN KUMUH" sheetId="317" r:id="rId18"/>
    <sheet name="SEKTOR KERETA API" sheetId="301" r:id="rId19"/>
    <sheet name="SEKTOR PENDIDIKAN" sheetId="304" r:id="rId20"/>
    <sheet name="SEKTOR PERTANIAN" sheetId="305" r:id="rId21"/>
    <sheet name="SEKTOR KESEHATAN" sheetId="306" r:id="rId22"/>
    <sheet name="SEKTOR KOMUNIKASI" sheetId="308" r:id="rId23"/>
    <sheet name="SEKTOR SUMBER DAYA AIR" sheetId="297" r:id="rId24"/>
    <sheet name="SEKTOR JALAN" sheetId="309" r:id="rId25"/>
    <sheet name="SEKTOR TRANSPORTASI LAUT" sheetId="310" r:id="rId26"/>
    <sheet name="SEKTOR PARIWISATA" sheetId="312" r:id="rId27"/>
    <sheet name="SEKTOR LAIN-LAIN" sheetId="311" r:id="rId28"/>
    <sheet name="REKAP SEKTOR" sheetId="296" r:id="rId29"/>
    <sheet name="JICA" sheetId="274" r:id="rId30"/>
    <sheet name="KOREA" sheetId="275" r:id="rId31"/>
    <sheet name="RRT" sheetId="276" r:id="rId32"/>
    <sheet name="EROPA" sheetId="277" r:id="rId33"/>
    <sheet name="BILA-LAIN" sheetId="278" r:id="rId34"/>
    <sheet name="BD" sheetId="279" r:id="rId35"/>
    <sheet name="ADB" sheetId="280" r:id="rId36"/>
    <sheet name="IDB" sheetId="281" r:id="rId37"/>
    <sheet name="MULTI-Lain" sheetId="282" r:id="rId38"/>
    <sheet name="NO LENDER" sheetId="283" r:id="rId39"/>
    <sheet name="Signed di Cek SK" sheetId="284" r:id="rId40"/>
    <sheet name="Sudah DK" sheetId="294" r:id="rId41"/>
    <sheet name="Sudah GB" sheetId="286" r:id="rId42"/>
    <sheet name="PROSES - sudah ada RC" sheetId="287" r:id="rId43"/>
    <sheet name="PROSES - penyusunan RC FS" sheetId="288" r:id="rId44"/>
    <sheet name="BELUM PROSES" sheetId="289" r:id="rId45"/>
    <sheet name="REKAP LENDER" sheetId="293" r:id="rId46"/>
    <sheet name="REKAP KL" sheetId="290" r:id="rId47"/>
    <sheet name="REKAP PROGRAM" sheetId="291" r:id="rId48"/>
    <sheet name="GB'15&amp;LA" sheetId="168" state="hidden" r:id="rId49"/>
    <sheet name="STATUS 1MAR'16 (2)" sheetId="169" state="hidden" r:id="rId50"/>
    <sheet name="ALL-2" sheetId="100" state="hidden" r:id="rId51"/>
    <sheet name="130 lama" sheetId="92" state="hidden" r:id="rId52"/>
    <sheet name="ALL-1" sheetId="40" state="hidden" r:id="rId53"/>
    <sheet name="PENJ.PERUBAHAN" sheetId="81" state="hidden" r:id="rId54"/>
    <sheet name="BU ANA" sheetId="75" state="hidden" r:id="rId55"/>
    <sheet name="ALL PENYIAPAN" sheetId="74" state="hidden" r:id="rId56"/>
    <sheet name="GB15" sheetId="70" state="hidden" r:id="rId57"/>
    <sheet name="2016&amp;GB15" sheetId="69" state="hidden" r:id="rId58"/>
    <sheet name="2015&amp;GB15" sheetId="68" state="hidden" r:id="rId59"/>
    <sheet name="Sheet1" sheetId="298" r:id="rId60"/>
  </sheets>
  <externalReferences>
    <externalReference r:id="rId61"/>
    <externalReference r:id="rId62"/>
    <externalReference r:id="rId63"/>
    <externalReference r:id="rId64"/>
    <externalReference r:id="rId65"/>
    <externalReference r:id="rId66"/>
    <externalReference r:id="rId67"/>
    <externalReference r:id="rId68"/>
    <externalReference r:id="rId69"/>
  </externalReferences>
  <definedNames>
    <definedName name="_xlnm._FilterDatabase" localSheetId="51" hidden="1">'130 lama'!$A$7:$V$193</definedName>
    <definedName name="_xlnm._FilterDatabase" localSheetId="58" hidden="1">'2015&amp;GB15'!$A$7:$AM$224</definedName>
    <definedName name="_xlnm._FilterDatabase" localSheetId="57" hidden="1">'2016&amp;GB15'!$A$7:$AM$224</definedName>
    <definedName name="_xlnm._FilterDatabase" localSheetId="4" hidden="1">'ALL LAMA'!$A$8:$AF$243</definedName>
    <definedName name="_xlnm._FilterDatabase" localSheetId="55" hidden="1">'ALL PENYIAPAN'!$A$7:$AT$224</definedName>
    <definedName name="_xlnm._FilterDatabase" localSheetId="52" hidden="1">'ALL-1'!$A$7:$AQ$224</definedName>
    <definedName name="_xlnm._FilterDatabase" localSheetId="50" hidden="1">'ALL-2'!$A$8:$AV$209</definedName>
    <definedName name="_xlnm._FilterDatabase" localSheetId="5" hidden="1">'ALL-USD39.8M'!$A$9:$Y$210</definedName>
    <definedName name="_xlnm._FilterDatabase" localSheetId="7" hidden="1">'ALL-USD40.1M'!$A$7:$AO$239</definedName>
    <definedName name="_xlnm._FilterDatabase" localSheetId="6" hidden="1">'ALL-USD42.2M'!$A$8:$AF$240</definedName>
    <definedName name="_xlnm._FilterDatabase" localSheetId="8" hidden="1">'ALL-USD46M'!$A$9:$Y$261</definedName>
    <definedName name="_xlnm._FilterDatabase" localSheetId="54" hidden="1">'BU ANA'!$A$8:$AM$225</definedName>
    <definedName name="_xlnm._FilterDatabase" localSheetId="3" hidden="1">DATA!$A$1:$AY$209</definedName>
    <definedName name="_xlnm._FilterDatabase" localSheetId="56" hidden="1">'GB15'!$A$7:$AM$224</definedName>
    <definedName name="_xlnm._FilterDatabase" localSheetId="48" hidden="1">'GB''15&amp;LA'!$J$8:$AF$58</definedName>
    <definedName name="_xlnm._FilterDatabase" localSheetId="0" hidden="1">'INDIKASI LENDER&amp;KESIAPAN JUMLAH'!$B$7:$W$207</definedName>
    <definedName name="_xlnm._FilterDatabase" localSheetId="53" hidden="1">PENJ.PERUBAHAN!$A$8:$AQ$207</definedName>
    <definedName name="_xlnm._FilterDatabase" localSheetId="2" hidden="1">'PU-LAMA'!$A$8:$AV$116</definedName>
    <definedName name="_xlnm._FilterDatabase" localSheetId="1" hidden="1">'PU-LAMA2'!$A$8:$AQ$225</definedName>
    <definedName name="_xlnm._FilterDatabase" localSheetId="15" hidden="1">'SEKTOR AIR MINUM'!$A$7:$AO$23</definedName>
    <definedName name="_xlnm._FilterDatabase" localSheetId="11" hidden="1">'SEKTOR ENERGI'!$A$7:$AO$23</definedName>
    <definedName name="_xlnm._FilterDatabase" localSheetId="24" hidden="1">'SEKTOR JALAN'!$A$7:$AO$32</definedName>
    <definedName name="_xlnm._FilterDatabase" localSheetId="18" hidden="1">'SEKTOR KERETA API'!$A$7:$AO$19</definedName>
    <definedName name="_xlnm._FilterDatabase" localSheetId="21" hidden="1">'SEKTOR KESEHATAN'!$A$7:$AO$25</definedName>
    <definedName name="_xlnm._FilterDatabase" localSheetId="22" hidden="1">'SEKTOR KOMUNIKASI'!$A$7:$AO$16</definedName>
    <definedName name="_xlnm._FilterDatabase" localSheetId="27" hidden="1">'SEKTOR LAIN-LAIN'!$A$7:$AO$40</definedName>
    <definedName name="_xlnm._FilterDatabase" localSheetId="26" hidden="1">'SEKTOR PARIWISATA'!$A$7:$AO$12</definedName>
    <definedName name="_xlnm._FilterDatabase" localSheetId="19" hidden="1">'SEKTOR PENDIDIKAN'!$A$7:$AO$34</definedName>
    <definedName name="_xlnm._FilterDatabase" localSheetId="17" hidden="1">'SEKTOR PERKOTAAN DAN KUMUH'!$A$7:$AO$18</definedName>
    <definedName name="_xlnm._FilterDatabase" localSheetId="13" hidden="1">'SEKTOR PERKOTKIM'!$A$7:$AO$50</definedName>
    <definedName name="_xlnm._FilterDatabase" localSheetId="12" hidden="1">'SEKTOR PERTAHANAN'!$A$7:$AO$18</definedName>
    <definedName name="_xlnm._FilterDatabase" localSheetId="20" hidden="1">'SEKTOR PERTANIAN'!$A$7:$AO$25</definedName>
    <definedName name="_xlnm._FilterDatabase" localSheetId="16" hidden="1">'SEKTOR PERUMAHAN'!$A$7:$AO$15</definedName>
    <definedName name="_xlnm._FilterDatabase" localSheetId="14" hidden="1">'SEKTOR SANITASI'!$A$7:$AO$24</definedName>
    <definedName name="_xlnm._FilterDatabase" localSheetId="23" hidden="1">'SEKTOR SUMBER DAYA AIR'!$A$7:$AO$49</definedName>
    <definedName name="_xlnm._FilterDatabase" localSheetId="25" hidden="1">'SEKTOR TRANSPORTASI LAUT'!$A$7:$AO$16</definedName>
    <definedName name="_xlnm._FilterDatabase" localSheetId="9" hidden="1">'Signed 5,8M'!$A$3:$BJ$234</definedName>
    <definedName name="_xlnm._FilterDatabase" localSheetId="49" hidden="1">'STATUS 1MAR''16 (2)'!$A$8:$AF$209</definedName>
    <definedName name="_Toc450667043" localSheetId="4">'ALL LAMA'!$N$137</definedName>
    <definedName name="_Toc450667043" localSheetId="7">'ALL-USD40.1M'!$N$125</definedName>
    <definedName name="_Toc450667043" localSheetId="6">'ALL-USD42.2M'!$N$137</definedName>
    <definedName name="_Toc450667043" localSheetId="15">'SEKTOR AIR MINUM'!#REF!</definedName>
    <definedName name="_Toc450667043" localSheetId="11">'SEKTOR ENERGI'!#REF!</definedName>
    <definedName name="_Toc450667043" localSheetId="24">'SEKTOR JALAN'!#REF!</definedName>
    <definedName name="_Toc450667043" localSheetId="18">'SEKTOR KERETA API'!#REF!</definedName>
    <definedName name="_Toc450667043" localSheetId="21">'SEKTOR KESEHATAN'!#REF!</definedName>
    <definedName name="_Toc450667043" localSheetId="22">'SEKTOR KOMUNIKASI'!#REF!</definedName>
    <definedName name="_Toc450667043" localSheetId="27">'SEKTOR LAIN-LAIN'!#REF!</definedName>
    <definedName name="_Toc450667043" localSheetId="26">'SEKTOR PARIWISATA'!#REF!</definedName>
    <definedName name="_Toc450667043" localSheetId="19">'SEKTOR PENDIDIKAN'!#REF!</definedName>
    <definedName name="_Toc450667043" localSheetId="17">'SEKTOR PERKOTAAN DAN KUMUH'!#REF!</definedName>
    <definedName name="_Toc450667043" localSheetId="13">'SEKTOR PERKOTKIM'!#REF!</definedName>
    <definedName name="_Toc450667043" localSheetId="12">'SEKTOR PERTAHANAN'!#REF!</definedName>
    <definedName name="_Toc450667043" localSheetId="20">'SEKTOR PERTANIAN'!#REF!</definedName>
    <definedName name="_Toc450667043" localSheetId="16">'SEKTOR PERUMAHAN'!#REF!</definedName>
    <definedName name="_Toc450667043" localSheetId="14">'SEKTOR SANITASI'!#REF!</definedName>
    <definedName name="_Toc450667043" localSheetId="23">'SEKTOR SUMBER DAYA AIR'!#REF!</definedName>
    <definedName name="_Toc450667043" localSheetId="25">'SEKTOR TRANSPORTASI LAUT'!$N$14</definedName>
    <definedName name="_xlnm.Print_Area" localSheetId="51">'130 lama'!$J$1:$V$193</definedName>
    <definedName name="_xlnm.Print_Area" localSheetId="58">'2015&amp;GB15'!$J$1:$AM$224</definedName>
    <definedName name="_xlnm.Print_Area" localSheetId="57">'2016&amp;GB15'!$J$1:$AM$224</definedName>
    <definedName name="_xlnm.Print_Area" localSheetId="4">'ALL LAMA'!$J$5:$S$243</definedName>
    <definedName name="_xlnm.Print_Area" localSheetId="55">'ALL PENYIAPAN'!$J$1:$AT$224</definedName>
    <definedName name="_xlnm.Print_Area" localSheetId="52">'ALL-1'!$J$1:$AQ$224</definedName>
    <definedName name="_xlnm.Print_Area" localSheetId="50">'ALL-2'!$J$1:$AV$215</definedName>
    <definedName name="_xlnm.Print_Area" localSheetId="5">'ALL-USD39.8M'!$J$1:$AB$214</definedName>
    <definedName name="_xlnm.Print_Area" localSheetId="7">'ALL-USD40.1M'!$J$1:$AO$239</definedName>
    <definedName name="_xlnm.Print_Area" localSheetId="6">'ALL-USD42.2M'!$J$1:$AA$240</definedName>
    <definedName name="_xlnm.Print_Area" localSheetId="8">'ALL-USD46M'!$J$1:$AC$265</definedName>
    <definedName name="_xlnm.Print_Area" localSheetId="54">'BU ANA'!$J$1:$AM$225</definedName>
    <definedName name="_xlnm.Print_Area" localSheetId="3">DATA!$L$23:$AJ$210</definedName>
    <definedName name="_xlnm.Print_Area" localSheetId="56">'GB15'!$J$1:$AM$224</definedName>
    <definedName name="_xlnm.Print_Area" localSheetId="48">'GB''15&amp;LA'!$J$1:$AF$58</definedName>
    <definedName name="_xlnm.Print_Area" localSheetId="0">'INDIKASI LENDER&amp;KESIAPAN JUMLAH'!$B$2:$W$207</definedName>
    <definedName name="_xlnm.Print_Area" localSheetId="53">PENJ.PERUBAHAN!$J$1:$AQ$206</definedName>
    <definedName name="_xlnm.Print_Area" localSheetId="2">'PU-LAMA'!$J$1:$AV$122</definedName>
    <definedName name="_xlnm.Print_Area" localSheetId="1">'PU-LAMA2'!$J$1:$AQ$225</definedName>
    <definedName name="_xlnm.Print_Area" localSheetId="10">'REKAP LENDER 2017'!$B$2:$F$27</definedName>
    <definedName name="_xlnm.Print_Area" localSheetId="15">'SEKTOR AIR MINUM'!$J$1:$AO$24</definedName>
    <definedName name="_xlnm.Print_Area" localSheetId="11">'SEKTOR ENERGI'!$J$1:$AO$23</definedName>
    <definedName name="_xlnm.Print_Area" localSheetId="24">'SEKTOR JALAN'!$J$1:$AO$33</definedName>
    <definedName name="_xlnm.Print_Area" localSheetId="18">'SEKTOR KERETA API'!$J$1:$AO$19</definedName>
    <definedName name="_xlnm.Print_Area" localSheetId="21">'SEKTOR KESEHATAN'!$J$1:$AO$25</definedName>
    <definedName name="_xlnm.Print_Area" localSheetId="22">'SEKTOR KOMUNIKASI'!$J$1:$AO$16</definedName>
    <definedName name="_xlnm.Print_Area" localSheetId="27">'SEKTOR LAIN-LAIN'!$J$1:$AO$40</definedName>
    <definedName name="_xlnm.Print_Area" localSheetId="26">'SEKTOR PARIWISATA'!$J$1:$AO$12</definedName>
    <definedName name="_xlnm.Print_Area" localSheetId="19">'SEKTOR PENDIDIKAN'!$J$1:$AO$34</definedName>
    <definedName name="_xlnm.Print_Area" localSheetId="17">'SEKTOR PERKOTAAN DAN KUMUH'!$J$1:$AO$19</definedName>
    <definedName name="_xlnm.Print_Area" localSheetId="13">'SEKTOR PERKOTKIM'!$J$1:$AO$51</definedName>
    <definedName name="_xlnm.Print_Area" localSheetId="12">'SEKTOR PERTAHANAN'!$J$1:$AO$18</definedName>
    <definedName name="_xlnm.Print_Area" localSheetId="20">'SEKTOR PERTANIAN'!$J$1:$AO$25</definedName>
    <definedName name="_xlnm.Print_Area" localSheetId="16">'SEKTOR PERUMAHAN'!$J$1:$AO$15</definedName>
    <definedName name="_xlnm.Print_Area" localSheetId="14">'SEKTOR SANITASI'!$J$1:$AO$25</definedName>
    <definedName name="_xlnm.Print_Area" localSheetId="23">'SEKTOR SUMBER DAYA AIR'!$J$1:$AO$49</definedName>
    <definedName name="_xlnm.Print_Area" localSheetId="25">'SEKTOR TRANSPORTASI LAUT'!$J$1:$AO$16</definedName>
    <definedName name="_xlnm.Print_Area" localSheetId="9">'Signed 5,8M'!$A$1:$BC$230</definedName>
    <definedName name="_xlnm.Print_Area" localSheetId="49">'STATUS 1MAR''16 (2)'!$J$1:$AF$209</definedName>
    <definedName name="_xlnm.Print_Area" localSheetId="41">'Sudah GB'!$A$1:$D$25</definedName>
    <definedName name="_xlnm.Print_Titles" localSheetId="51">'130 lama'!$1:$7</definedName>
    <definedName name="_xlnm.Print_Titles" localSheetId="58">'2015&amp;GB15'!$1:$7</definedName>
    <definedName name="_xlnm.Print_Titles" localSheetId="57">'2016&amp;GB15'!$1:$7</definedName>
    <definedName name="_xlnm.Print_Titles" localSheetId="4">'ALL LAMA'!$1:$8</definedName>
    <definedName name="_xlnm.Print_Titles" localSheetId="55">'ALL PENYIAPAN'!$1:$7</definedName>
    <definedName name="_xlnm.Print_Titles" localSheetId="52">'ALL-1'!$1:$7</definedName>
    <definedName name="_xlnm.Print_Titles" localSheetId="50">'ALL-2'!$1:$8</definedName>
    <definedName name="_xlnm.Print_Titles" localSheetId="5">'ALL-USD39.8M'!$1:$9</definedName>
    <definedName name="_xlnm.Print_Titles" localSheetId="7">'ALL-USD40.1M'!$1:$7</definedName>
    <definedName name="_xlnm.Print_Titles" localSheetId="6">'ALL-USD42.2M'!$1:$8</definedName>
    <definedName name="_xlnm.Print_Titles" localSheetId="8">'ALL-USD46M'!$1:$9</definedName>
    <definedName name="_xlnm.Print_Titles" localSheetId="54">'BU ANA'!$1:$8</definedName>
    <definedName name="_xlnm.Print_Titles" localSheetId="3">DATA!#REF!</definedName>
    <definedName name="_xlnm.Print_Titles" localSheetId="56">'GB15'!$1:$7</definedName>
    <definedName name="_xlnm.Print_Titles" localSheetId="48">'GB''15&amp;LA'!$1:$8</definedName>
    <definedName name="_xlnm.Print_Titles" localSheetId="0">'INDIKASI LENDER&amp;KESIAPAN JUMLAH'!$2:$6</definedName>
    <definedName name="_xlnm.Print_Titles" localSheetId="53">PENJ.PERUBAHAN!$1:$8</definedName>
    <definedName name="_xlnm.Print_Titles" localSheetId="2">'PU-LAMA'!$1:$8</definedName>
    <definedName name="_xlnm.Print_Titles" localSheetId="1">'PU-LAMA2'!$1:$8</definedName>
    <definedName name="_xlnm.Print_Titles" localSheetId="15">'SEKTOR AIR MINUM'!$1:$7</definedName>
    <definedName name="_xlnm.Print_Titles" localSheetId="11">'SEKTOR ENERGI'!$1:$7</definedName>
    <definedName name="_xlnm.Print_Titles" localSheetId="24">'SEKTOR JALAN'!$1:$7</definedName>
    <definedName name="_xlnm.Print_Titles" localSheetId="18">'SEKTOR KERETA API'!$1:$7</definedName>
    <definedName name="_xlnm.Print_Titles" localSheetId="21">'SEKTOR KESEHATAN'!$1:$7</definedName>
    <definedName name="_xlnm.Print_Titles" localSheetId="22">'SEKTOR KOMUNIKASI'!$1:$7</definedName>
    <definedName name="_xlnm.Print_Titles" localSheetId="27">'SEKTOR LAIN-LAIN'!$1:$7</definedName>
    <definedName name="_xlnm.Print_Titles" localSheetId="26">'SEKTOR PARIWISATA'!$1:$7</definedName>
    <definedName name="_xlnm.Print_Titles" localSheetId="19">'SEKTOR PENDIDIKAN'!$1:$7</definedName>
    <definedName name="_xlnm.Print_Titles" localSheetId="17">'SEKTOR PERKOTAAN DAN KUMUH'!$1:$7</definedName>
    <definedName name="_xlnm.Print_Titles" localSheetId="13">'SEKTOR PERKOTKIM'!$1:$7</definedName>
    <definedName name="_xlnm.Print_Titles" localSheetId="12">'SEKTOR PERTAHANAN'!$1:$7</definedName>
    <definedName name="_xlnm.Print_Titles" localSheetId="20">'SEKTOR PERTANIAN'!$1:$7</definedName>
    <definedName name="_xlnm.Print_Titles" localSheetId="16">'SEKTOR PERUMAHAN'!$1:$7</definedName>
    <definedName name="_xlnm.Print_Titles" localSheetId="14">'SEKTOR SANITASI'!$1:$7</definedName>
    <definedName name="_xlnm.Print_Titles" localSheetId="23">'SEKTOR SUMBER DAYA AIR'!$1:$7</definedName>
    <definedName name="_xlnm.Print_Titles" localSheetId="25">'SEKTOR TRANSPORTASI LAUT'!$1:$7</definedName>
    <definedName name="_xlnm.Print_Titles" localSheetId="49">'STATUS 1MAR''16 (2)'!$1:$8</definedName>
  </definedNames>
  <calcPr calcId="152511"/>
</workbook>
</file>

<file path=xl/calcChain.xml><?xml version="1.0" encoding="utf-8"?>
<calcChain xmlns="http://schemas.openxmlformats.org/spreadsheetml/2006/main">
  <c r="Y42" i="254" l="1"/>
  <c r="Y9" i="254"/>
  <c r="Y14" i="254"/>
  <c r="Y10" i="254"/>
  <c r="Y45" i="254"/>
  <c r="C40" i="284" l="1"/>
  <c r="C9" i="288"/>
  <c r="D9" i="288"/>
  <c r="D19" i="288"/>
  <c r="C19" i="288"/>
  <c r="N52" i="254"/>
  <c r="AM223" i="68"/>
  <c r="AL223" i="68"/>
  <c r="AK223" i="68"/>
  <c r="AJ223" i="68"/>
  <c r="AI223" i="68"/>
  <c r="AH223" i="68"/>
  <c r="AG223" i="68"/>
  <c r="AF223" i="68"/>
  <c r="AE223" i="68"/>
  <c r="AD223" i="68"/>
  <c r="AC223" i="68"/>
  <c r="AB223" i="68"/>
  <c r="AA223" i="68"/>
  <c r="Z223" i="68"/>
  <c r="Y223" i="68"/>
  <c r="Y222" i="68" s="1"/>
  <c r="Y221" i="68" s="1"/>
  <c r="X223" i="68"/>
  <c r="W223" i="68"/>
  <c r="U223" i="68"/>
  <c r="T223" i="68"/>
  <c r="R223" i="68"/>
  <c r="Q223" i="68"/>
  <c r="P223" i="68"/>
  <c r="O223" i="68"/>
  <c r="N223" i="68"/>
  <c r="M223" i="68"/>
  <c r="I223" i="68"/>
  <c r="H223" i="68"/>
  <c r="G223" i="68"/>
  <c r="F223" i="68"/>
  <c r="E223" i="68"/>
  <c r="D223" i="68"/>
  <c r="C223" i="68"/>
  <c r="B223" i="68"/>
  <c r="A223" i="68"/>
  <c r="Z222" i="68"/>
  <c r="X222" i="68"/>
  <c r="U222" i="68"/>
  <c r="T222" i="68"/>
  <c r="T221" i="68" s="1"/>
  <c r="R222" i="68"/>
  <c r="R221" i="68" s="1"/>
  <c r="M222" i="68"/>
  <c r="L222" i="68"/>
  <c r="Z221" i="68"/>
  <c r="U221" i="68"/>
  <c r="L221" i="68"/>
  <c r="K221" i="68"/>
  <c r="AM220" i="68"/>
  <c r="AL220" i="68"/>
  <c r="AK220" i="68"/>
  <c r="AJ220" i="68"/>
  <c r="AI220" i="68"/>
  <c r="AH220" i="68"/>
  <c r="AG220" i="68"/>
  <c r="AF220" i="68"/>
  <c r="AE220" i="68"/>
  <c r="AD220" i="68"/>
  <c r="AC220" i="68"/>
  <c r="AB220" i="68"/>
  <c r="AA220" i="68"/>
  <c r="X220" i="68"/>
  <c r="W220" i="68"/>
  <c r="U220" i="68"/>
  <c r="T220" i="68"/>
  <c r="T219" i="68" s="1"/>
  <c r="T218" i="68" s="1"/>
  <c r="R220" i="68"/>
  <c r="Q220" i="68"/>
  <c r="P220" i="68"/>
  <c r="O220" i="68"/>
  <c r="N220" i="68"/>
  <c r="M220" i="68"/>
  <c r="I220" i="68"/>
  <c r="H220" i="68"/>
  <c r="G220" i="68"/>
  <c r="F220" i="68"/>
  <c r="E220" i="68"/>
  <c r="D220" i="68"/>
  <c r="C220" i="68"/>
  <c r="B220" i="68"/>
  <c r="A220" i="68"/>
  <c r="U219" i="68"/>
  <c r="U218" i="68" s="1"/>
  <c r="R219" i="68"/>
  <c r="R218" i="68" s="1"/>
  <c r="M219" i="68"/>
  <c r="L219" i="68"/>
  <c r="X218" i="68"/>
  <c r="W218" i="68"/>
  <c r="L218" i="68"/>
  <c r="K218" i="68"/>
  <c r="AM217" i="68"/>
  <c r="AL217" i="68"/>
  <c r="AK217" i="68"/>
  <c r="AJ217" i="68"/>
  <c r="AI217" i="68"/>
  <c r="AH217" i="68"/>
  <c r="AG217" i="68"/>
  <c r="AF217" i="68"/>
  <c r="AE217" i="68"/>
  <c r="AD217" i="68"/>
  <c r="AC217" i="68"/>
  <c r="AB217" i="68"/>
  <c r="AA217" i="68"/>
  <c r="Y217" i="68"/>
  <c r="X217" i="68"/>
  <c r="W217" i="68"/>
  <c r="U217" i="68"/>
  <c r="U216" i="68" s="1"/>
  <c r="U215" i="68" s="1"/>
  <c r="T217" i="68"/>
  <c r="R217" i="68"/>
  <c r="R216" i="68" s="1"/>
  <c r="R215" i="68" s="1"/>
  <c r="Q217" i="68"/>
  <c r="P217" i="68"/>
  <c r="O217" i="68"/>
  <c r="N217" i="68"/>
  <c r="M217" i="68"/>
  <c r="I217" i="68"/>
  <c r="H217" i="68"/>
  <c r="G217" i="68"/>
  <c r="F217" i="68"/>
  <c r="E217" i="68"/>
  <c r="D217" i="68"/>
  <c r="C217" i="68"/>
  <c r="B217" i="68"/>
  <c r="A217" i="68"/>
  <c r="Y216" i="68"/>
  <c r="X216" i="68"/>
  <c r="X215" i="68" s="1"/>
  <c r="T216" i="68"/>
  <c r="T215" i="68" s="1"/>
  <c r="M216" i="68"/>
  <c r="L216" i="68"/>
  <c r="Y215" i="68"/>
  <c r="L215" i="68"/>
  <c r="K215" i="68"/>
  <c r="AM214" i="68"/>
  <c r="AL214" i="68"/>
  <c r="AK214" i="68"/>
  <c r="AJ214" i="68"/>
  <c r="AI214" i="68"/>
  <c r="AH214" i="68"/>
  <c r="AG214" i="68"/>
  <c r="AF214" i="68"/>
  <c r="AE214" i="68"/>
  <c r="AD214" i="68"/>
  <c r="AC214" i="68"/>
  <c r="AB214" i="68"/>
  <c r="AA214" i="68"/>
  <c r="X214" i="68"/>
  <c r="W214" i="68"/>
  <c r="U214" i="68"/>
  <c r="T214" i="68"/>
  <c r="T213" i="68" s="1"/>
  <c r="T212" i="68" s="1"/>
  <c r="R214" i="68"/>
  <c r="Q214" i="68"/>
  <c r="P214" i="68"/>
  <c r="O214" i="68"/>
  <c r="N214" i="68"/>
  <c r="M214" i="68"/>
  <c r="I214" i="68"/>
  <c r="H214" i="68"/>
  <c r="G214" i="68"/>
  <c r="F214" i="68"/>
  <c r="E214" i="68"/>
  <c r="D214" i="68"/>
  <c r="C214" i="68"/>
  <c r="B214" i="68"/>
  <c r="A214" i="68"/>
  <c r="X213" i="68"/>
  <c r="X212" i="68" s="1"/>
  <c r="U213" i="68"/>
  <c r="R213" i="68"/>
  <c r="M213" i="68"/>
  <c r="L213" i="68"/>
  <c r="W212" i="68"/>
  <c r="U212" i="68"/>
  <c r="R212" i="68"/>
  <c r="L212" i="68"/>
  <c r="K212" i="68"/>
  <c r="AM211" i="68"/>
  <c r="AL211" i="68"/>
  <c r="AK211" i="68"/>
  <c r="AJ211" i="68"/>
  <c r="AI211" i="68"/>
  <c r="AH211" i="68"/>
  <c r="AG211" i="68"/>
  <c r="AF211" i="68"/>
  <c r="AE211" i="68"/>
  <c r="AD211" i="68"/>
  <c r="AC211" i="68"/>
  <c r="AB211" i="68"/>
  <c r="AA211" i="68"/>
  <c r="Z211" i="68"/>
  <c r="Y211" i="68"/>
  <c r="X211" i="68"/>
  <c r="X209" i="68" s="1"/>
  <c r="X199" i="68" s="1"/>
  <c r="W211" i="68"/>
  <c r="U211" i="68"/>
  <c r="T211" i="68"/>
  <c r="R211" i="68"/>
  <c r="R209" i="68" s="1"/>
  <c r="Q211" i="68"/>
  <c r="P211" i="68"/>
  <c r="O211" i="68"/>
  <c r="N211" i="68"/>
  <c r="M211" i="68"/>
  <c r="I211" i="68"/>
  <c r="H211" i="68"/>
  <c r="G211" i="68"/>
  <c r="F211" i="68"/>
  <c r="E211" i="68"/>
  <c r="D211" i="68"/>
  <c r="C211" i="68"/>
  <c r="B211" i="68"/>
  <c r="A211" i="68"/>
  <c r="AM210" i="68"/>
  <c r="AL210" i="68"/>
  <c r="AK210" i="68"/>
  <c r="AJ210" i="68"/>
  <c r="AI210" i="68"/>
  <c r="AH210" i="68"/>
  <c r="AG210" i="68"/>
  <c r="AF210" i="68"/>
  <c r="AE210" i="68"/>
  <c r="AD210" i="68"/>
  <c r="AC210" i="68"/>
  <c r="AB210" i="68"/>
  <c r="AA210" i="68"/>
  <c r="Z210" i="68"/>
  <c r="Z209" i="68" s="1"/>
  <c r="X210" i="68"/>
  <c r="W210" i="68"/>
  <c r="U210" i="68"/>
  <c r="T210" i="68"/>
  <c r="R210" i="68"/>
  <c r="Q210" i="68"/>
  <c r="P210" i="68"/>
  <c r="O210" i="68"/>
  <c r="N210" i="68"/>
  <c r="M210" i="68"/>
  <c r="I210" i="68"/>
  <c r="H210" i="68"/>
  <c r="G210" i="68"/>
  <c r="F210" i="68"/>
  <c r="E210" i="68"/>
  <c r="D210" i="68"/>
  <c r="C210" i="68"/>
  <c r="B210" i="68"/>
  <c r="A210" i="68"/>
  <c r="AD209" i="68"/>
  <c r="U209" i="68"/>
  <c r="T209" i="68"/>
  <c r="M209" i="68"/>
  <c r="L209" i="68"/>
  <c r="AM208" i="68"/>
  <c r="AL208" i="68"/>
  <c r="AK208" i="68"/>
  <c r="AJ208" i="68"/>
  <c r="AI208" i="68"/>
  <c r="AH208" i="68"/>
  <c r="AG208" i="68"/>
  <c r="AF208" i="68"/>
  <c r="AE208" i="68"/>
  <c r="AD208" i="68"/>
  <c r="AC208" i="68"/>
  <c r="AB208" i="68"/>
  <c r="AA208" i="68"/>
  <c r="X208" i="68"/>
  <c r="W208" i="68"/>
  <c r="U208" i="68"/>
  <c r="T208" i="68"/>
  <c r="R208" i="68"/>
  <c r="Q208" i="68"/>
  <c r="P208" i="68"/>
  <c r="N208" i="68"/>
  <c r="I208" i="68"/>
  <c r="H208" i="68"/>
  <c r="G208" i="68"/>
  <c r="F208" i="68"/>
  <c r="E208" i="68"/>
  <c r="D208" i="68"/>
  <c r="C208" i="68"/>
  <c r="B208" i="68"/>
  <c r="A208" i="68"/>
  <c r="AM207" i="68"/>
  <c r="AL207" i="68"/>
  <c r="AK207" i="68"/>
  <c r="AJ207" i="68"/>
  <c r="AI207" i="68"/>
  <c r="AH207" i="68"/>
  <c r="AG207" i="68"/>
  <c r="AF207" i="68"/>
  <c r="AE207" i="68"/>
  <c r="AD207" i="68"/>
  <c r="AC207" i="68"/>
  <c r="AB207" i="68"/>
  <c r="AA207" i="68"/>
  <c r="Z207" i="68"/>
  <c r="Y207" i="68"/>
  <c r="X207" i="68"/>
  <c r="W207" i="68"/>
  <c r="U207" i="68"/>
  <c r="T207" i="68"/>
  <c r="R207" i="68"/>
  <c r="Q207" i="68"/>
  <c r="P207" i="68"/>
  <c r="N207" i="68"/>
  <c r="I207" i="68"/>
  <c r="H207" i="68"/>
  <c r="G207" i="68"/>
  <c r="F207" i="68"/>
  <c r="E207" i="68"/>
  <c r="D207" i="68"/>
  <c r="C207" i="68"/>
  <c r="B207" i="68"/>
  <c r="A207" i="68"/>
  <c r="AM206" i="68"/>
  <c r="AL206" i="68"/>
  <c r="AK206" i="68"/>
  <c r="AJ206" i="68"/>
  <c r="AI206" i="68"/>
  <c r="AH206" i="68"/>
  <c r="AG206" i="68"/>
  <c r="AF206" i="68"/>
  <c r="AE206" i="68"/>
  <c r="AD206" i="68"/>
  <c r="AC206" i="68"/>
  <c r="AB206" i="68"/>
  <c r="AA206" i="68"/>
  <c r="Z206" i="68"/>
  <c r="Y206" i="68"/>
  <c r="X206" i="68"/>
  <c r="W206" i="68"/>
  <c r="U206" i="68"/>
  <c r="T206" i="68"/>
  <c r="R206" i="68"/>
  <c r="Q206" i="68"/>
  <c r="P206" i="68"/>
  <c r="N206" i="68"/>
  <c r="I206" i="68"/>
  <c r="H206" i="68"/>
  <c r="G206" i="68"/>
  <c r="F206" i="68"/>
  <c r="E206" i="68"/>
  <c r="D206" i="68"/>
  <c r="C206" i="68"/>
  <c r="B206" i="68"/>
  <c r="A206" i="68"/>
  <c r="AM205" i="68"/>
  <c r="AL205" i="68"/>
  <c r="AK205" i="68"/>
  <c r="AJ205" i="68"/>
  <c r="AI205" i="68"/>
  <c r="AH205" i="68"/>
  <c r="AG205" i="68"/>
  <c r="AF205" i="68"/>
  <c r="AE205" i="68"/>
  <c r="AD205" i="68"/>
  <c r="AC205" i="68"/>
  <c r="AB205" i="68"/>
  <c r="AA205" i="68"/>
  <c r="X205" i="68"/>
  <c r="W205" i="68"/>
  <c r="U205" i="68"/>
  <c r="T205" i="68"/>
  <c r="R205" i="68"/>
  <c r="Q205" i="68"/>
  <c r="P205" i="68"/>
  <c r="O205" i="68"/>
  <c r="N205" i="68"/>
  <c r="M205" i="68"/>
  <c r="I205" i="68"/>
  <c r="H205" i="68"/>
  <c r="G205" i="68"/>
  <c r="F205" i="68"/>
  <c r="E205" i="68"/>
  <c r="D205" i="68"/>
  <c r="C205" i="68"/>
  <c r="B205" i="68"/>
  <c r="A205" i="68"/>
  <c r="AM204" i="68"/>
  <c r="AL204" i="68"/>
  <c r="AK204" i="68"/>
  <c r="AJ204" i="68"/>
  <c r="AI204" i="68"/>
  <c r="AH204" i="68"/>
  <c r="AG204" i="68"/>
  <c r="AF204" i="68"/>
  <c r="AE204" i="68"/>
  <c r="AD204" i="68"/>
  <c r="AC204" i="68"/>
  <c r="AB204" i="68"/>
  <c r="AA204" i="68"/>
  <c r="X204" i="68"/>
  <c r="W204" i="68"/>
  <c r="U204" i="68"/>
  <c r="T204" i="68"/>
  <c r="R204" i="68"/>
  <c r="Q204" i="68"/>
  <c r="P204" i="68"/>
  <c r="N204" i="68"/>
  <c r="I204" i="68"/>
  <c r="H204" i="68"/>
  <c r="G204" i="68"/>
  <c r="F204" i="68"/>
  <c r="E204" i="68"/>
  <c r="D204" i="68"/>
  <c r="C204" i="68"/>
  <c r="B204" i="68"/>
  <c r="A204" i="68"/>
  <c r="AM203" i="68"/>
  <c r="AL203" i="68"/>
  <c r="AK203" i="68"/>
  <c r="AJ203" i="68"/>
  <c r="AI203" i="68"/>
  <c r="AH203" i="68"/>
  <c r="AG203" i="68"/>
  <c r="AF203" i="68"/>
  <c r="AE203" i="68"/>
  <c r="AD203" i="68"/>
  <c r="AC203" i="68"/>
  <c r="AB203" i="68"/>
  <c r="AA203" i="68"/>
  <c r="Z203" i="68"/>
  <c r="Y203" i="68"/>
  <c r="X203" i="68"/>
  <c r="W203" i="68"/>
  <c r="U203" i="68"/>
  <c r="T203" i="68"/>
  <c r="R203" i="68"/>
  <c r="Q203" i="68"/>
  <c r="P203" i="68"/>
  <c r="N203" i="68"/>
  <c r="I203" i="68"/>
  <c r="H203" i="68"/>
  <c r="G203" i="68"/>
  <c r="F203" i="68"/>
  <c r="E203" i="68"/>
  <c r="D203" i="68"/>
  <c r="C203" i="68"/>
  <c r="B203" i="68"/>
  <c r="A203" i="68"/>
  <c r="AM202" i="68"/>
  <c r="AL202" i="68"/>
  <c r="AK202" i="68"/>
  <c r="AJ202" i="68"/>
  <c r="AI202" i="68"/>
  <c r="AH202" i="68"/>
  <c r="AG202" i="68"/>
  <c r="AF202" i="68"/>
  <c r="AE202" i="68"/>
  <c r="AD202" i="68"/>
  <c r="AC202" i="68"/>
  <c r="AB202" i="68"/>
  <c r="AA202" i="68"/>
  <c r="Z202" i="68"/>
  <c r="Y202" i="68"/>
  <c r="X202" i="68"/>
  <c r="W202" i="68"/>
  <c r="U202" i="68"/>
  <c r="T202" i="68"/>
  <c r="R202" i="68"/>
  <c r="Q202" i="68"/>
  <c r="P202" i="68"/>
  <c r="N202" i="68"/>
  <c r="I202" i="68"/>
  <c r="H202" i="68"/>
  <c r="G202" i="68"/>
  <c r="F202" i="68"/>
  <c r="E202" i="68"/>
  <c r="D202" i="68"/>
  <c r="C202" i="68"/>
  <c r="B202" i="68"/>
  <c r="A202" i="68"/>
  <c r="AM201" i="68"/>
  <c r="AL201" i="68"/>
  <c r="AK201" i="68"/>
  <c r="AJ201" i="68"/>
  <c r="AI201" i="68"/>
  <c r="AH201" i="68"/>
  <c r="AG201" i="68"/>
  <c r="AF201" i="68"/>
  <c r="AE201" i="68"/>
  <c r="AD201" i="68"/>
  <c r="AC201" i="68"/>
  <c r="AB201" i="68"/>
  <c r="AA201" i="68"/>
  <c r="X201" i="68"/>
  <c r="W201" i="68"/>
  <c r="U201" i="68"/>
  <c r="U200" i="68" s="1"/>
  <c r="U199" i="68" s="1"/>
  <c r="T201" i="68"/>
  <c r="T200" i="68" s="1"/>
  <c r="T199" i="68" s="1"/>
  <c r="R201" i="68"/>
  <c r="Q201" i="68"/>
  <c r="P201" i="68"/>
  <c r="O201" i="68"/>
  <c r="N201" i="68"/>
  <c r="M201" i="68"/>
  <c r="I201" i="68"/>
  <c r="H201" i="68"/>
  <c r="G201" i="68"/>
  <c r="F201" i="68"/>
  <c r="E201" i="68"/>
  <c r="D201" i="68"/>
  <c r="C201" i="68"/>
  <c r="B201" i="68"/>
  <c r="A201" i="68"/>
  <c r="X200" i="68"/>
  <c r="M200" i="68"/>
  <c r="L200" i="68"/>
  <c r="L199" i="68"/>
  <c r="K199" i="68"/>
  <c r="AM198" i="68"/>
  <c r="AL198" i="68"/>
  <c r="AK198" i="68"/>
  <c r="AJ198" i="68"/>
  <c r="AI198" i="68"/>
  <c r="AH198" i="68"/>
  <c r="AG198" i="68"/>
  <c r="AF198" i="68"/>
  <c r="AE198" i="68"/>
  <c r="AD198" i="68"/>
  <c r="AC198" i="68"/>
  <c r="AB198" i="68"/>
  <c r="AA198" i="68"/>
  <c r="Z198" i="68"/>
  <c r="X198" i="68"/>
  <c r="W198" i="68"/>
  <c r="U198" i="68"/>
  <c r="U197" i="68" s="1"/>
  <c r="U196" i="68" s="1"/>
  <c r="T198" i="68"/>
  <c r="T197" i="68" s="1"/>
  <c r="T196" i="68" s="1"/>
  <c r="R198" i="68"/>
  <c r="Q198" i="68"/>
  <c r="P198" i="68"/>
  <c r="O198" i="68"/>
  <c r="N198" i="68"/>
  <c r="M198" i="68"/>
  <c r="I198" i="68"/>
  <c r="H198" i="68"/>
  <c r="G198" i="68"/>
  <c r="F198" i="68"/>
  <c r="E198" i="68"/>
  <c r="D198" i="68"/>
  <c r="C198" i="68"/>
  <c r="B198" i="68"/>
  <c r="A198" i="68"/>
  <c r="Z197" i="68"/>
  <c r="Z196" i="68" s="1"/>
  <c r="X197" i="68"/>
  <c r="X196" i="68" s="1"/>
  <c r="R197" i="68"/>
  <c r="R196" i="68" s="1"/>
  <c r="M197" i="68"/>
  <c r="L197" i="68"/>
  <c r="L196" i="68"/>
  <c r="K196" i="68"/>
  <c r="AM195" i="68"/>
  <c r="AL195" i="68"/>
  <c r="AK195" i="68"/>
  <c r="AJ195" i="68"/>
  <c r="AI195" i="68"/>
  <c r="AH195" i="68"/>
  <c r="AG195" i="68"/>
  <c r="AF195" i="68"/>
  <c r="AE195" i="68"/>
  <c r="AD195" i="68"/>
  <c r="AC195" i="68"/>
  <c r="AB195" i="68"/>
  <c r="AA195" i="68"/>
  <c r="X195" i="68"/>
  <c r="W195" i="68"/>
  <c r="V195" i="68"/>
  <c r="U195" i="68"/>
  <c r="T195" i="68"/>
  <c r="R195" i="68"/>
  <c r="Q195" i="68"/>
  <c r="P195" i="68"/>
  <c r="N195" i="68"/>
  <c r="I195" i="68"/>
  <c r="H195" i="68"/>
  <c r="G195" i="68"/>
  <c r="F195" i="68"/>
  <c r="E195" i="68"/>
  <c r="D195" i="68"/>
  <c r="C195" i="68"/>
  <c r="B195" i="68"/>
  <c r="A195" i="68"/>
  <c r="AM194" i="68"/>
  <c r="AL194" i="68"/>
  <c r="AK194" i="68"/>
  <c r="AJ194" i="68"/>
  <c r="AI194" i="68"/>
  <c r="AH194" i="68"/>
  <c r="AG194" i="68"/>
  <c r="AF194" i="68"/>
  <c r="AE194" i="68"/>
  <c r="AD194" i="68"/>
  <c r="AC194" i="68"/>
  <c r="AB194" i="68"/>
  <c r="AA194" i="68"/>
  <c r="Z194" i="68"/>
  <c r="Y194" i="68"/>
  <c r="X194" i="68"/>
  <c r="W194" i="68"/>
  <c r="V194" i="68"/>
  <c r="U194" i="68"/>
  <c r="T194" i="68"/>
  <c r="R194" i="68"/>
  <c r="Q194" i="68"/>
  <c r="P194" i="68"/>
  <c r="N194" i="68"/>
  <c r="I194" i="68"/>
  <c r="H194" i="68"/>
  <c r="G194" i="68"/>
  <c r="F194" i="68"/>
  <c r="E194" i="68"/>
  <c r="D194" i="68"/>
  <c r="C194" i="68"/>
  <c r="B194" i="68"/>
  <c r="A194" i="68"/>
  <c r="AM193" i="68"/>
  <c r="AL193" i="68"/>
  <c r="AK193" i="68"/>
  <c r="AJ193" i="68"/>
  <c r="AI193" i="68"/>
  <c r="AH193" i="68"/>
  <c r="AG193" i="68"/>
  <c r="AF193" i="68"/>
  <c r="AE193" i="68"/>
  <c r="AD193" i="68"/>
  <c r="AC193" i="68"/>
  <c r="AB193" i="68"/>
  <c r="AA193" i="68"/>
  <c r="Z193" i="68"/>
  <c r="Y193" i="68"/>
  <c r="X193" i="68"/>
  <c r="W193" i="68"/>
  <c r="U193" i="68"/>
  <c r="R193" i="68"/>
  <c r="Q193" i="68"/>
  <c r="P193" i="68"/>
  <c r="N193" i="68"/>
  <c r="I193" i="68"/>
  <c r="H193" i="68"/>
  <c r="G193" i="68"/>
  <c r="F193" i="68"/>
  <c r="E193" i="68"/>
  <c r="D193" i="68"/>
  <c r="C193" i="68"/>
  <c r="B193" i="68"/>
  <c r="A193" i="68"/>
  <c r="AM192" i="68"/>
  <c r="AL192" i="68"/>
  <c r="AK192" i="68"/>
  <c r="AJ192" i="68"/>
  <c r="AI192" i="68"/>
  <c r="AH192" i="68"/>
  <c r="AG192" i="68"/>
  <c r="AF192" i="68"/>
  <c r="AE192" i="68"/>
  <c r="AD192" i="68"/>
  <c r="AC192" i="68"/>
  <c r="AB192" i="68"/>
  <c r="AA192" i="68"/>
  <c r="X192" i="68"/>
  <c r="X191" i="68" s="1"/>
  <c r="W192" i="68"/>
  <c r="U192" i="68"/>
  <c r="U191" i="68" s="1"/>
  <c r="R192" i="68"/>
  <c r="R191" i="68" s="1"/>
  <c r="Q192" i="68"/>
  <c r="P192" i="68"/>
  <c r="O192" i="68"/>
  <c r="N192" i="68"/>
  <c r="M192" i="68"/>
  <c r="I192" i="68"/>
  <c r="H192" i="68"/>
  <c r="G192" i="68"/>
  <c r="F192" i="68"/>
  <c r="E192" i="68"/>
  <c r="D192" i="68"/>
  <c r="C192" i="68"/>
  <c r="B192" i="68"/>
  <c r="A192" i="68"/>
  <c r="M191" i="68"/>
  <c r="L191" i="68"/>
  <c r="AM190" i="68"/>
  <c r="AL190" i="68"/>
  <c r="AK190" i="68"/>
  <c r="AJ190" i="68"/>
  <c r="AI190" i="68"/>
  <c r="AH190" i="68"/>
  <c r="AG190" i="68"/>
  <c r="AF190" i="68"/>
  <c r="AE190" i="68"/>
  <c r="AD190" i="68"/>
  <c r="AC190" i="68"/>
  <c r="AB190" i="68"/>
  <c r="AA190" i="68"/>
  <c r="Z190" i="68"/>
  <c r="Z189" i="68" s="1"/>
  <c r="X190" i="68"/>
  <c r="X189" i="68" s="1"/>
  <c r="W190" i="68"/>
  <c r="U190" i="68"/>
  <c r="U189" i="68" s="1"/>
  <c r="R190" i="68"/>
  <c r="R189" i="68" s="1"/>
  <c r="Q190" i="68"/>
  <c r="P190" i="68"/>
  <c r="O190" i="68"/>
  <c r="N190" i="68"/>
  <c r="M190" i="68"/>
  <c r="I190" i="68"/>
  <c r="H190" i="68"/>
  <c r="G190" i="68"/>
  <c r="F190" i="68"/>
  <c r="E190" i="68"/>
  <c r="D190" i="68"/>
  <c r="C190" i="68"/>
  <c r="B190" i="68"/>
  <c r="A190" i="68"/>
  <c r="M189" i="68"/>
  <c r="L189" i="68"/>
  <c r="AM188" i="68"/>
  <c r="AL188" i="68"/>
  <c r="AK188" i="68"/>
  <c r="AJ188" i="68"/>
  <c r="AI188" i="68"/>
  <c r="AH188" i="68"/>
  <c r="AG188" i="68"/>
  <c r="AF188" i="68"/>
  <c r="AE188" i="68"/>
  <c r="AD188" i="68"/>
  <c r="AC188" i="68"/>
  <c r="AB188" i="68"/>
  <c r="AA188" i="68"/>
  <c r="Z188" i="68"/>
  <c r="Y188" i="68"/>
  <c r="X188" i="68"/>
  <c r="W188" i="68"/>
  <c r="U188" i="68"/>
  <c r="U187" i="68" s="1"/>
  <c r="R188" i="68"/>
  <c r="R187" i="68" s="1"/>
  <c r="Q188" i="68"/>
  <c r="P188" i="68"/>
  <c r="O188" i="68"/>
  <c r="N188" i="68"/>
  <c r="M188" i="68"/>
  <c r="I188" i="68"/>
  <c r="H188" i="68"/>
  <c r="G188" i="68"/>
  <c r="F188" i="68"/>
  <c r="E188" i="68"/>
  <c r="D188" i="68"/>
  <c r="C188" i="68"/>
  <c r="B188" i="68"/>
  <c r="A188" i="68"/>
  <c r="Z187" i="68"/>
  <c r="Y187" i="68"/>
  <c r="X187" i="68"/>
  <c r="M187" i="68"/>
  <c r="L187" i="68"/>
  <c r="AM186" i="68"/>
  <c r="AL186" i="68"/>
  <c r="AK186" i="68"/>
  <c r="AJ186" i="68"/>
  <c r="AI186" i="68"/>
  <c r="AH186" i="68"/>
  <c r="AG186" i="68"/>
  <c r="AF186" i="68"/>
  <c r="AE186" i="68"/>
  <c r="AD186" i="68"/>
  <c r="AC186" i="68"/>
  <c r="AB186" i="68"/>
  <c r="AA186" i="68"/>
  <c r="Z186" i="68"/>
  <c r="Y186" i="68"/>
  <c r="X186" i="68"/>
  <c r="W186" i="68"/>
  <c r="U186" i="68"/>
  <c r="U185" i="68" s="1"/>
  <c r="R186" i="68"/>
  <c r="R185" i="68" s="1"/>
  <c r="Q186" i="68"/>
  <c r="P186" i="68"/>
  <c r="O186" i="68"/>
  <c r="N186" i="68"/>
  <c r="M186" i="68"/>
  <c r="I186" i="68"/>
  <c r="H186" i="68"/>
  <c r="G186" i="68"/>
  <c r="F186" i="68"/>
  <c r="E186" i="68"/>
  <c r="D186" i="68"/>
  <c r="C186" i="68"/>
  <c r="B186" i="68"/>
  <c r="A186" i="68"/>
  <c r="Z185" i="68"/>
  <c r="Y185" i="68"/>
  <c r="X185" i="68"/>
  <c r="M185" i="68"/>
  <c r="L185" i="68"/>
  <c r="L184" i="68"/>
  <c r="K184" i="68"/>
  <c r="AM183" i="68"/>
  <c r="AL183" i="68"/>
  <c r="AK183" i="68"/>
  <c r="AJ183" i="68"/>
  <c r="AI183" i="68"/>
  <c r="AH183" i="68"/>
  <c r="AG183" i="68"/>
  <c r="AF183" i="68"/>
  <c r="AE183" i="68"/>
  <c r="AD183" i="68"/>
  <c r="AC183" i="68"/>
  <c r="AB183" i="68"/>
  <c r="AA183" i="68"/>
  <c r="Z183" i="68"/>
  <c r="Y183" i="68"/>
  <c r="X183" i="68"/>
  <c r="X182" i="68" s="1"/>
  <c r="X181" i="68" s="1"/>
  <c r="W183" i="68"/>
  <c r="V183" i="68"/>
  <c r="V182" i="68" s="1"/>
  <c r="V181" i="68" s="1"/>
  <c r="U183" i="68"/>
  <c r="T183" i="68"/>
  <c r="T182" i="68" s="1"/>
  <c r="T181" i="68" s="1"/>
  <c r="R183" i="68"/>
  <c r="R182" i="68" s="1"/>
  <c r="R181" i="68" s="1"/>
  <c r="Q183" i="68"/>
  <c r="P183" i="68"/>
  <c r="O183" i="68"/>
  <c r="N183" i="68"/>
  <c r="M183" i="68"/>
  <c r="I183" i="68"/>
  <c r="H183" i="68"/>
  <c r="G183" i="68"/>
  <c r="F183" i="68"/>
  <c r="E183" i="68"/>
  <c r="D183" i="68"/>
  <c r="C183" i="68"/>
  <c r="B183" i="68"/>
  <c r="A183" i="68"/>
  <c r="Z182" i="68"/>
  <c r="Z181" i="68" s="1"/>
  <c r="Y182" i="68"/>
  <c r="Y181" i="68" s="1"/>
  <c r="U182" i="68"/>
  <c r="U181" i="68" s="1"/>
  <c r="M182" i="68"/>
  <c r="L182" i="68"/>
  <c r="L181" i="68"/>
  <c r="K181" i="68"/>
  <c r="AM180" i="68"/>
  <c r="AL180" i="68"/>
  <c r="AK180" i="68"/>
  <c r="AJ180" i="68"/>
  <c r="AI180" i="68"/>
  <c r="AH180" i="68"/>
  <c r="AG180" i="68"/>
  <c r="AF180" i="68"/>
  <c r="AE180" i="68"/>
  <c r="AD180" i="68"/>
  <c r="AC180" i="68"/>
  <c r="AB180" i="68"/>
  <c r="AA180" i="68"/>
  <c r="Z180" i="68"/>
  <c r="Y180" i="68"/>
  <c r="X180" i="68"/>
  <c r="W180" i="68"/>
  <c r="U180" i="68"/>
  <c r="T180" i="68"/>
  <c r="R180" i="68"/>
  <c r="Q180" i="68"/>
  <c r="P180" i="68"/>
  <c r="N180" i="68"/>
  <c r="I180" i="68"/>
  <c r="H180" i="68"/>
  <c r="G180" i="68"/>
  <c r="F180" i="68"/>
  <c r="E180" i="68"/>
  <c r="D180" i="68"/>
  <c r="C180" i="68"/>
  <c r="B180" i="68"/>
  <c r="A180" i="68"/>
  <c r="AM179" i="68"/>
  <c r="AL179" i="68"/>
  <c r="AK179" i="68"/>
  <c r="AJ179" i="68"/>
  <c r="AI179" i="68"/>
  <c r="AH179" i="68"/>
  <c r="AG179" i="68"/>
  <c r="AF179" i="68"/>
  <c r="AE179" i="68"/>
  <c r="AD179" i="68"/>
  <c r="AC179" i="68"/>
  <c r="AB179" i="68"/>
  <c r="AA179" i="68"/>
  <c r="Z179" i="68"/>
  <c r="Y179" i="68"/>
  <c r="X179" i="68"/>
  <c r="W179" i="68"/>
  <c r="U179" i="68"/>
  <c r="T179" i="68"/>
  <c r="R179" i="68"/>
  <c r="Q179" i="68"/>
  <c r="P179" i="68"/>
  <c r="N179" i="68"/>
  <c r="I179" i="68"/>
  <c r="H179" i="68"/>
  <c r="G179" i="68"/>
  <c r="F179" i="68"/>
  <c r="E179" i="68"/>
  <c r="D179" i="68"/>
  <c r="C179" i="68"/>
  <c r="B179" i="68"/>
  <c r="A179" i="68"/>
  <c r="AM178" i="68"/>
  <c r="AL178" i="68"/>
  <c r="AK178" i="68"/>
  <c r="AJ178" i="68"/>
  <c r="AI178" i="68"/>
  <c r="AH178" i="68"/>
  <c r="AG178" i="68"/>
  <c r="AF178" i="68"/>
  <c r="AE178" i="68"/>
  <c r="AD178" i="68"/>
  <c r="AC178" i="68"/>
  <c r="AB178" i="68"/>
  <c r="AA178" i="68"/>
  <c r="Z178" i="68"/>
  <c r="Y178" i="68"/>
  <c r="X178" i="68"/>
  <c r="W178" i="68"/>
  <c r="U178" i="68"/>
  <c r="T178" i="68"/>
  <c r="R178" i="68"/>
  <c r="Q178" i="68"/>
  <c r="P178" i="68"/>
  <c r="N178" i="68"/>
  <c r="I178" i="68"/>
  <c r="H178" i="68"/>
  <c r="G178" i="68"/>
  <c r="F178" i="68"/>
  <c r="E178" i="68"/>
  <c r="D178" i="68"/>
  <c r="C178" i="68"/>
  <c r="B178" i="68"/>
  <c r="A178" i="68"/>
  <c r="AM177" i="68"/>
  <c r="AL177" i="68"/>
  <c r="AK177" i="68"/>
  <c r="AJ177" i="68"/>
  <c r="AI177" i="68"/>
  <c r="AH177" i="68"/>
  <c r="AG177" i="68"/>
  <c r="AF177" i="68"/>
  <c r="AE177" i="68"/>
  <c r="AD177" i="68"/>
  <c r="AC177" i="68"/>
  <c r="AB177" i="68"/>
  <c r="AA177" i="68"/>
  <c r="Z177" i="68"/>
  <c r="Y177" i="68"/>
  <c r="X177" i="68"/>
  <c r="W177" i="68"/>
  <c r="U177" i="68"/>
  <c r="T177" i="68"/>
  <c r="R177" i="68"/>
  <c r="Q177" i="68"/>
  <c r="P177" i="68"/>
  <c r="N177" i="68"/>
  <c r="I177" i="68"/>
  <c r="H177" i="68"/>
  <c r="G177" i="68"/>
  <c r="F177" i="68"/>
  <c r="E177" i="68"/>
  <c r="D177" i="68"/>
  <c r="C177" i="68"/>
  <c r="B177" i="68"/>
  <c r="A177" i="68"/>
  <c r="AM176" i="68"/>
  <c r="AL176" i="68"/>
  <c r="AK176" i="68"/>
  <c r="AJ176" i="68"/>
  <c r="AI176" i="68"/>
  <c r="AH176" i="68"/>
  <c r="AG176" i="68"/>
  <c r="AF176" i="68"/>
  <c r="AE176" i="68"/>
  <c r="AD176" i="68"/>
  <c r="AC176" i="68"/>
  <c r="AB176" i="68"/>
  <c r="AA176" i="68"/>
  <c r="Z176" i="68"/>
  <c r="Y176" i="68"/>
  <c r="X176" i="68"/>
  <c r="W176" i="68"/>
  <c r="U176" i="68"/>
  <c r="T176" i="68"/>
  <c r="R176" i="68"/>
  <c r="Q176" i="68"/>
  <c r="P176" i="68"/>
  <c r="N176" i="68"/>
  <c r="I176" i="68"/>
  <c r="H176" i="68"/>
  <c r="G176" i="68"/>
  <c r="F176" i="68"/>
  <c r="E176" i="68"/>
  <c r="D176" i="68"/>
  <c r="C176" i="68"/>
  <c r="B176" i="68"/>
  <c r="A176" i="68"/>
  <c r="AM175" i="68"/>
  <c r="AL175" i="68"/>
  <c r="AK175" i="68"/>
  <c r="AJ175" i="68"/>
  <c r="AI175" i="68"/>
  <c r="AH175" i="68"/>
  <c r="AG175" i="68"/>
  <c r="AF175" i="68"/>
  <c r="AE175" i="68"/>
  <c r="AD175" i="68"/>
  <c r="AC175" i="68"/>
  <c r="AB175" i="68"/>
  <c r="AA175" i="68"/>
  <c r="Z175" i="68"/>
  <c r="Y175" i="68"/>
  <c r="X175" i="68"/>
  <c r="W175" i="68"/>
  <c r="U175" i="68"/>
  <c r="T175" i="68"/>
  <c r="R175" i="68"/>
  <c r="Q175" i="68"/>
  <c r="P175" i="68"/>
  <c r="N175" i="68"/>
  <c r="I175" i="68"/>
  <c r="H175" i="68"/>
  <c r="G175" i="68"/>
  <c r="F175" i="68"/>
  <c r="E175" i="68"/>
  <c r="D175" i="68"/>
  <c r="C175" i="68"/>
  <c r="B175" i="68"/>
  <c r="A175" i="68"/>
  <c r="AM174" i="68"/>
  <c r="AL174" i="68"/>
  <c r="AK174" i="68"/>
  <c r="AJ174" i="68"/>
  <c r="AI174" i="68"/>
  <c r="AH174" i="68"/>
  <c r="AG174" i="68"/>
  <c r="AF174" i="68"/>
  <c r="AE174" i="68"/>
  <c r="AD174" i="68"/>
  <c r="AC174" i="68"/>
  <c r="AB174" i="68"/>
  <c r="AA174" i="68"/>
  <c r="X174" i="68"/>
  <c r="W174" i="68"/>
  <c r="Q174" i="68"/>
  <c r="P174" i="68"/>
  <c r="O174" i="68"/>
  <c r="N174" i="68"/>
  <c r="M174" i="68"/>
  <c r="I174" i="68"/>
  <c r="H174" i="68"/>
  <c r="G174" i="68"/>
  <c r="F174" i="68"/>
  <c r="E174" i="68"/>
  <c r="D174" i="68"/>
  <c r="C174" i="68"/>
  <c r="B174" i="68"/>
  <c r="A174" i="68"/>
  <c r="X173" i="68"/>
  <c r="X172" i="68" s="1"/>
  <c r="M173" i="68"/>
  <c r="L173" i="68"/>
  <c r="L172" i="68"/>
  <c r="K172" i="68"/>
  <c r="AM171" i="68"/>
  <c r="AL171" i="68"/>
  <c r="AK171" i="68"/>
  <c r="AJ171" i="68"/>
  <c r="AI171" i="68"/>
  <c r="AH171" i="68"/>
  <c r="AG171" i="68"/>
  <c r="AF171" i="68"/>
  <c r="AE171" i="68"/>
  <c r="AD171" i="68"/>
  <c r="AC171" i="68"/>
  <c r="AB171" i="68"/>
  <c r="AA171" i="68"/>
  <c r="Z171" i="68"/>
  <c r="Y171" i="68"/>
  <c r="X171" i="68"/>
  <c r="W171" i="68"/>
  <c r="U171" i="68"/>
  <c r="T171" i="68"/>
  <c r="R171" i="68"/>
  <c r="Q171" i="68"/>
  <c r="P171" i="68"/>
  <c r="N171" i="68"/>
  <c r="I171" i="68"/>
  <c r="H171" i="68"/>
  <c r="G171" i="68"/>
  <c r="F171" i="68"/>
  <c r="E171" i="68"/>
  <c r="D171" i="68"/>
  <c r="C171" i="68"/>
  <c r="B171" i="68"/>
  <c r="A171" i="68"/>
  <c r="AM170" i="68"/>
  <c r="AL170" i="68"/>
  <c r="AK170" i="68"/>
  <c r="AJ170" i="68"/>
  <c r="AI170" i="68"/>
  <c r="AH170" i="68"/>
  <c r="AG170" i="68"/>
  <c r="AF170" i="68"/>
  <c r="AE170" i="68"/>
  <c r="AD170" i="68"/>
  <c r="AC170" i="68"/>
  <c r="AB170" i="68"/>
  <c r="AA170" i="68"/>
  <c r="Z170" i="68"/>
  <c r="Y170" i="68"/>
  <c r="X170" i="68"/>
  <c r="W170" i="68"/>
  <c r="U170" i="68"/>
  <c r="T170" i="68"/>
  <c r="R170" i="68"/>
  <c r="Q170" i="68"/>
  <c r="P170" i="68"/>
  <c r="N170" i="68"/>
  <c r="I170" i="68"/>
  <c r="H170" i="68"/>
  <c r="G170" i="68"/>
  <c r="F170" i="68"/>
  <c r="E170" i="68"/>
  <c r="D170" i="68"/>
  <c r="C170" i="68"/>
  <c r="B170" i="68"/>
  <c r="A170" i="68"/>
  <c r="AM169" i="68"/>
  <c r="AL169" i="68"/>
  <c r="AK169" i="68"/>
  <c r="AJ169" i="68"/>
  <c r="AI169" i="68"/>
  <c r="AH169" i="68"/>
  <c r="AG169" i="68"/>
  <c r="AF169" i="68"/>
  <c r="AE169" i="68"/>
  <c r="AD169" i="68"/>
  <c r="AC169" i="68"/>
  <c r="AB169" i="68"/>
  <c r="AA169" i="68"/>
  <c r="Z169" i="68"/>
  <c r="Y169" i="68"/>
  <c r="X169" i="68"/>
  <c r="W169" i="68"/>
  <c r="U169" i="68"/>
  <c r="T169" i="68"/>
  <c r="R169" i="68"/>
  <c r="Q169" i="68"/>
  <c r="P169" i="68"/>
  <c r="N169" i="68"/>
  <c r="I169" i="68"/>
  <c r="H169" i="68"/>
  <c r="G169" i="68"/>
  <c r="F169" i="68"/>
  <c r="E169" i="68"/>
  <c r="D169" i="68"/>
  <c r="C169" i="68"/>
  <c r="B169" i="68"/>
  <c r="A169" i="68"/>
  <c r="AM168" i="68"/>
  <c r="AL168" i="68"/>
  <c r="AK168" i="68"/>
  <c r="AJ168" i="68"/>
  <c r="AI168" i="68"/>
  <c r="AH168" i="68"/>
  <c r="AG168" i="68"/>
  <c r="AF168" i="68"/>
  <c r="AE168" i="68"/>
  <c r="AD168" i="68"/>
  <c r="AC168" i="68"/>
  <c r="AB168" i="68"/>
  <c r="AA168" i="68"/>
  <c r="Z168" i="68"/>
  <c r="Y168" i="68"/>
  <c r="X168" i="68"/>
  <c r="W168" i="68"/>
  <c r="U168" i="68"/>
  <c r="T168" i="68"/>
  <c r="R168" i="68"/>
  <c r="Q168" i="68"/>
  <c r="P168" i="68"/>
  <c r="N168" i="68"/>
  <c r="I168" i="68"/>
  <c r="H168" i="68"/>
  <c r="G168" i="68"/>
  <c r="F168" i="68"/>
  <c r="E168" i="68"/>
  <c r="D168" i="68"/>
  <c r="C168" i="68"/>
  <c r="B168" i="68"/>
  <c r="A168" i="68"/>
  <c r="AM167" i="68"/>
  <c r="AL167" i="68"/>
  <c r="AK167" i="68"/>
  <c r="AJ167" i="68"/>
  <c r="AI167" i="68"/>
  <c r="AH167" i="68"/>
  <c r="AG167" i="68"/>
  <c r="AF167" i="68"/>
  <c r="AE167" i="68"/>
  <c r="AD167" i="68"/>
  <c r="AC167" i="68"/>
  <c r="AB167" i="68"/>
  <c r="AA167" i="68"/>
  <c r="Z167" i="68"/>
  <c r="Y167" i="68"/>
  <c r="X167" i="68"/>
  <c r="W167" i="68"/>
  <c r="U167" i="68"/>
  <c r="T167" i="68"/>
  <c r="R167" i="68"/>
  <c r="Q167" i="68"/>
  <c r="P167" i="68"/>
  <c r="N167" i="68"/>
  <c r="I167" i="68"/>
  <c r="H167" i="68"/>
  <c r="G167" i="68"/>
  <c r="F167" i="68"/>
  <c r="E167" i="68"/>
  <c r="D167" i="68"/>
  <c r="C167" i="68"/>
  <c r="B167" i="68"/>
  <c r="A167" i="68"/>
  <c r="AM166" i="68"/>
  <c r="AL166" i="68"/>
  <c r="AK166" i="68"/>
  <c r="AJ166" i="68"/>
  <c r="AI166" i="68"/>
  <c r="AH166" i="68"/>
  <c r="AG166" i="68"/>
  <c r="AF166" i="68"/>
  <c r="AE166" i="68"/>
  <c r="AD166" i="68"/>
  <c r="AC166" i="68"/>
  <c r="AB166" i="68"/>
  <c r="AA166" i="68"/>
  <c r="Z166" i="68"/>
  <c r="Y166" i="68"/>
  <c r="X166" i="68"/>
  <c r="W166" i="68"/>
  <c r="U166" i="68"/>
  <c r="T166" i="68"/>
  <c r="R166" i="68"/>
  <c r="Q166" i="68"/>
  <c r="P166" i="68"/>
  <c r="N166" i="68"/>
  <c r="I166" i="68"/>
  <c r="H166" i="68"/>
  <c r="G166" i="68"/>
  <c r="F166" i="68"/>
  <c r="E166" i="68"/>
  <c r="D166" i="68"/>
  <c r="C166" i="68"/>
  <c r="B166" i="68"/>
  <c r="A166" i="68"/>
  <c r="AM165" i="68"/>
  <c r="AL165" i="68"/>
  <c r="AK165" i="68"/>
  <c r="AJ165" i="68"/>
  <c r="AI165" i="68"/>
  <c r="AH165" i="68"/>
  <c r="AG165" i="68"/>
  <c r="AF165" i="68"/>
  <c r="AE165" i="68"/>
  <c r="AD165" i="68"/>
  <c r="AC165" i="68"/>
  <c r="AB165" i="68"/>
  <c r="AA165" i="68"/>
  <c r="Z165" i="68"/>
  <c r="Y165" i="68"/>
  <c r="X165" i="68"/>
  <c r="W165" i="68"/>
  <c r="U165" i="68"/>
  <c r="T165" i="68"/>
  <c r="R165" i="68"/>
  <c r="Q165" i="68"/>
  <c r="P165" i="68"/>
  <c r="N165" i="68"/>
  <c r="I165" i="68"/>
  <c r="H165" i="68"/>
  <c r="G165" i="68"/>
  <c r="F165" i="68"/>
  <c r="E165" i="68"/>
  <c r="D165" i="68"/>
  <c r="C165" i="68"/>
  <c r="B165" i="68"/>
  <c r="A165" i="68"/>
  <c r="AM164" i="68"/>
  <c r="AL164" i="68"/>
  <c r="AK164" i="68"/>
  <c r="AJ164" i="68"/>
  <c r="AI164" i="68"/>
  <c r="AH164" i="68"/>
  <c r="AG164" i="68"/>
  <c r="AF164" i="68"/>
  <c r="AE164" i="68"/>
  <c r="AD164" i="68"/>
  <c r="AC164" i="68"/>
  <c r="AB164" i="68"/>
  <c r="AA164" i="68"/>
  <c r="X164" i="68"/>
  <c r="W164" i="68"/>
  <c r="Q164" i="68"/>
  <c r="P164" i="68"/>
  <c r="O164" i="68"/>
  <c r="N164" i="68"/>
  <c r="M164" i="68"/>
  <c r="I164" i="68"/>
  <c r="H164" i="68"/>
  <c r="G164" i="68"/>
  <c r="F164" i="68"/>
  <c r="E164" i="68"/>
  <c r="D164" i="68"/>
  <c r="C164" i="68"/>
  <c r="B164" i="68"/>
  <c r="A164" i="68"/>
  <c r="X163" i="68"/>
  <c r="X162" i="68" s="1"/>
  <c r="M163" i="68"/>
  <c r="L163" i="68"/>
  <c r="L162" i="68"/>
  <c r="K162" i="68"/>
  <c r="K161" i="68"/>
  <c r="J161" i="68"/>
  <c r="AM160" i="68"/>
  <c r="AL160" i="68"/>
  <c r="AK160" i="68"/>
  <c r="AJ160" i="68"/>
  <c r="AI160" i="68"/>
  <c r="AH160" i="68"/>
  <c r="AG160" i="68"/>
  <c r="AF160" i="68"/>
  <c r="AE160" i="68"/>
  <c r="AD160" i="68"/>
  <c r="AC160" i="68"/>
  <c r="AB160" i="68"/>
  <c r="AA160" i="68"/>
  <c r="Z160" i="68"/>
  <c r="Y160" i="68"/>
  <c r="X160" i="68"/>
  <c r="W160" i="68"/>
  <c r="U160" i="68"/>
  <c r="T160" i="68"/>
  <c r="R160" i="68"/>
  <c r="Q160" i="68"/>
  <c r="P160" i="68"/>
  <c r="O160" i="68"/>
  <c r="N160" i="68"/>
  <c r="M160" i="68"/>
  <c r="I160" i="68"/>
  <c r="H160" i="68"/>
  <c r="G160" i="68"/>
  <c r="F160" i="68"/>
  <c r="E160" i="68"/>
  <c r="D160" i="68"/>
  <c r="C160" i="68"/>
  <c r="B160" i="68"/>
  <c r="A160" i="68"/>
  <c r="AM159" i="68"/>
  <c r="AL159" i="68"/>
  <c r="AK159" i="68"/>
  <c r="AJ159" i="68"/>
  <c r="AI159" i="68"/>
  <c r="AH159" i="68"/>
  <c r="AG159" i="68"/>
  <c r="AF159" i="68"/>
  <c r="AE159" i="68"/>
  <c r="AD159" i="68"/>
  <c r="AC159" i="68"/>
  <c r="AB159" i="68"/>
  <c r="AA159" i="68"/>
  <c r="Y159" i="68"/>
  <c r="X159" i="68"/>
  <c r="W159" i="68"/>
  <c r="U159" i="68"/>
  <c r="T159" i="68"/>
  <c r="R159" i="68"/>
  <c r="Q159" i="68"/>
  <c r="P159" i="68"/>
  <c r="O159" i="68"/>
  <c r="N159" i="68"/>
  <c r="M159" i="68"/>
  <c r="I159" i="68"/>
  <c r="H159" i="68"/>
  <c r="G159" i="68"/>
  <c r="F159" i="68"/>
  <c r="E159" i="68"/>
  <c r="D159" i="68"/>
  <c r="C159" i="68"/>
  <c r="B159" i="68"/>
  <c r="A159" i="68"/>
  <c r="AM158" i="68"/>
  <c r="AL158" i="68"/>
  <c r="AK158" i="68"/>
  <c r="AJ158" i="68"/>
  <c r="AI158" i="68"/>
  <c r="AH158" i="68"/>
  <c r="AG158" i="68"/>
  <c r="AF158" i="68"/>
  <c r="AE158" i="68"/>
  <c r="AD158" i="68"/>
  <c r="AC158" i="68"/>
  <c r="AB158" i="68"/>
  <c r="AA158" i="68"/>
  <c r="Z158" i="68"/>
  <c r="Y158" i="68"/>
  <c r="X158" i="68"/>
  <c r="W158" i="68"/>
  <c r="U158" i="68"/>
  <c r="T158" i="68"/>
  <c r="R158" i="68"/>
  <c r="Q158" i="68"/>
  <c r="P158" i="68"/>
  <c r="O158" i="68"/>
  <c r="N158" i="68"/>
  <c r="M158" i="68"/>
  <c r="I158" i="68"/>
  <c r="H158" i="68"/>
  <c r="G158" i="68"/>
  <c r="F158" i="68"/>
  <c r="E158" i="68"/>
  <c r="D158" i="68"/>
  <c r="C158" i="68"/>
  <c r="B158" i="68"/>
  <c r="A158" i="68"/>
  <c r="AM157" i="68"/>
  <c r="AL157" i="68"/>
  <c r="AK157" i="68"/>
  <c r="AJ157" i="68"/>
  <c r="AI157" i="68"/>
  <c r="AH157" i="68"/>
  <c r="AG157" i="68"/>
  <c r="AF157" i="68"/>
  <c r="AE157" i="68"/>
  <c r="AD157" i="68"/>
  <c r="AC157" i="68"/>
  <c r="AB157" i="68"/>
  <c r="AA157" i="68"/>
  <c r="Z157" i="68"/>
  <c r="X157" i="68"/>
  <c r="W157" i="68"/>
  <c r="U157" i="68"/>
  <c r="T157" i="68"/>
  <c r="R157" i="68"/>
  <c r="Q157" i="68"/>
  <c r="P157" i="68"/>
  <c r="O157" i="68"/>
  <c r="N157" i="68"/>
  <c r="M157" i="68"/>
  <c r="I157" i="68"/>
  <c r="H157" i="68"/>
  <c r="G157" i="68"/>
  <c r="F157" i="68"/>
  <c r="E157" i="68"/>
  <c r="D157" i="68"/>
  <c r="C157" i="68"/>
  <c r="B157" i="68"/>
  <c r="A157" i="68"/>
  <c r="AM156" i="68"/>
  <c r="AL156" i="68"/>
  <c r="AK156" i="68"/>
  <c r="AJ156" i="68"/>
  <c r="AI156" i="68"/>
  <c r="AH156" i="68"/>
  <c r="AG156" i="68"/>
  <c r="AF156" i="68"/>
  <c r="AE156" i="68"/>
  <c r="AD156" i="68"/>
  <c r="AC156" i="68"/>
  <c r="AB156" i="68"/>
  <c r="AA156" i="68"/>
  <c r="Z156" i="68"/>
  <c r="X156" i="68"/>
  <c r="W156" i="68"/>
  <c r="U156" i="68"/>
  <c r="T156" i="68"/>
  <c r="R156" i="68"/>
  <c r="Q156" i="68"/>
  <c r="P156" i="68"/>
  <c r="O156" i="68"/>
  <c r="N156" i="68"/>
  <c r="M156" i="68"/>
  <c r="I156" i="68"/>
  <c r="H156" i="68"/>
  <c r="G156" i="68"/>
  <c r="F156" i="68"/>
  <c r="E156" i="68"/>
  <c r="D156" i="68"/>
  <c r="C156" i="68"/>
  <c r="B156" i="68"/>
  <c r="A156" i="68"/>
  <c r="AM155" i="68"/>
  <c r="AL155" i="68"/>
  <c r="AK155" i="68"/>
  <c r="AJ155" i="68"/>
  <c r="AI155" i="68"/>
  <c r="AH155" i="68"/>
  <c r="AG155" i="68"/>
  <c r="AF155" i="68"/>
  <c r="AE155" i="68"/>
  <c r="AD155" i="68"/>
  <c r="AC155" i="68"/>
  <c r="AB155" i="68"/>
  <c r="AA155" i="68"/>
  <c r="Z155" i="68"/>
  <c r="X155" i="68"/>
  <c r="X148" i="68" s="1"/>
  <c r="X147" i="68" s="1"/>
  <c r="W155" i="68"/>
  <c r="U155" i="68"/>
  <c r="T155" i="68"/>
  <c r="R155" i="68"/>
  <c r="Q155" i="68"/>
  <c r="P155" i="68"/>
  <c r="O155" i="68"/>
  <c r="N155" i="68"/>
  <c r="M155" i="68"/>
  <c r="I155" i="68"/>
  <c r="H155" i="68"/>
  <c r="G155" i="68"/>
  <c r="F155" i="68"/>
  <c r="E155" i="68"/>
  <c r="D155" i="68"/>
  <c r="C155" i="68"/>
  <c r="B155" i="68"/>
  <c r="A155" i="68"/>
  <c r="AM154" i="68"/>
  <c r="AL154" i="68"/>
  <c r="AK154" i="68"/>
  <c r="AJ154" i="68"/>
  <c r="AI154" i="68"/>
  <c r="AH154" i="68"/>
  <c r="AG154" i="68"/>
  <c r="AF154" i="68"/>
  <c r="AE154" i="68"/>
  <c r="AD154" i="68"/>
  <c r="AC154" i="68"/>
  <c r="AB154" i="68"/>
  <c r="AA154" i="68"/>
  <c r="Z154" i="68"/>
  <c r="Y154" i="68"/>
  <c r="X154" i="68"/>
  <c r="W154" i="68"/>
  <c r="U154" i="68"/>
  <c r="T154" i="68"/>
  <c r="R154" i="68"/>
  <c r="Q154" i="68"/>
  <c r="P154" i="68"/>
  <c r="O154" i="68"/>
  <c r="N154" i="68"/>
  <c r="I154" i="68"/>
  <c r="H154" i="68"/>
  <c r="G154" i="68"/>
  <c r="F154" i="68"/>
  <c r="E154" i="68"/>
  <c r="D154" i="68"/>
  <c r="C154" i="68"/>
  <c r="B154" i="68"/>
  <c r="A154" i="68"/>
  <c r="AM153" i="68"/>
  <c r="AL153" i="68"/>
  <c r="AK153" i="68"/>
  <c r="AJ153" i="68"/>
  <c r="AI153" i="68"/>
  <c r="AH153" i="68"/>
  <c r="AG153" i="68"/>
  <c r="AF153" i="68"/>
  <c r="AE153" i="68"/>
  <c r="AD153" i="68"/>
  <c r="AC153" i="68"/>
  <c r="AB153" i="68"/>
  <c r="AA153" i="68"/>
  <c r="Z153" i="68"/>
  <c r="Y153" i="68"/>
  <c r="X153" i="68"/>
  <c r="W153" i="68"/>
  <c r="U153" i="68"/>
  <c r="T153" i="68"/>
  <c r="R153" i="68"/>
  <c r="Q153" i="68"/>
  <c r="P153" i="68"/>
  <c r="O153" i="68"/>
  <c r="N153" i="68"/>
  <c r="I153" i="68"/>
  <c r="H153" i="68"/>
  <c r="G153" i="68"/>
  <c r="F153" i="68"/>
  <c r="E153" i="68"/>
  <c r="D153" i="68"/>
  <c r="C153" i="68"/>
  <c r="B153" i="68"/>
  <c r="A153" i="68"/>
  <c r="AM152" i="68"/>
  <c r="AL152" i="68"/>
  <c r="AK152" i="68"/>
  <c r="AJ152" i="68"/>
  <c r="AI152" i="68"/>
  <c r="AH152" i="68"/>
  <c r="AG152" i="68"/>
  <c r="AF152" i="68"/>
  <c r="AE152" i="68"/>
  <c r="AD152" i="68"/>
  <c r="AC152" i="68"/>
  <c r="AB152" i="68"/>
  <c r="AA152" i="68"/>
  <c r="X152" i="68"/>
  <c r="W152" i="68"/>
  <c r="Q152" i="68"/>
  <c r="P152" i="68"/>
  <c r="O152" i="68"/>
  <c r="N152" i="68"/>
  <c r="M152" i="68"/>
  <c r="I152" i="68"/>
  <c r="H152" i="68"/>
  <c r="G152" i="68"/>
  <c r="F152" i="68"/>
  <c r="E152" i="68"/>
  <c r="D152" i="68"/>
  <c r="C152" i="68"/>
  <c r="B152" i="68"/>
  <c r="A152" i="68"/>
  <c r="AM151" i="68"/>
  <c r="AL151" i="68"/>
  <c r="AK151" i="68"/>
  <c r="AJ151" i="68"/>
  <c r="AI151" i="68"/>
  <c r="AH151" i="68"/>
  <c r="AG151" i="68"/>
  <c r="AF151" i="68"/>
  <c r="AE151" i="68"/>
  <c r="AD151" i="68"/>
  <c r="AC151" i="68"/>
  <c r="AB151" i="68"/>
  <c r="AA151" i="68"/>
  <c r="Z151" i="68"/>
  <c r="Y151" i="68"/>
  <c r="X151" i="68"/>
  <c r="W151" i="68"/>
  <c r="U151" i="68"/>
  <c r="T151" i="68"/>
  <c r="R151" i="68"/>
  <c r="Q151" i="68"/>
  <c r="P151" i="68"/>
  <c r="O151" i="68"/>
  <c r="N151" i="68"/>
  <c r="I151" i="68"/>
  <c r="H151" i="68"/>
  <c r="G151" i="68"/>
  <c r="F151" i="68"/>
  <c r="E151" i="68"/>
  <c r="D151" i="68"/>
  <c r="C151" i="68"/>
  <c r="B151" i="68"/>
  <c r="A151" i="68"/>
  <c r="AM150" i="68"/>
  <c r="AL150" i="68"/>
  <c r="AK150" i="68"/>
  <c r="AJ150" i="68"/>
  <c r="AI150" i="68"/>
  <c r="AH150" i="68"/>
  <c r="AG150" i="68"/>
  <c r="AF150" i="68"/>
  <c r="AE150" i="68"/>
  <c r="AD150" i="68"/>
  <c r="AC150" i="68"/>
  <c r="AB150" i="68"/>
  <c r="AA150" i="68"/>
  <c r="Z150" i="68"/>
  <c r="Y150" i="68"/>
  <c r="X150" i="68"/>
  <c r="W150" i="68"/>
  <c r="U150" i="68"/>
  <c r="T150" i="68"/>
  <c r="R150" i="68"/>
  <c r="Q150" i="68"/>
  <c r="P150" i="68"/>
  <c r="O150" i="68"/>
  <c r="N150" i="68"/>
  <c r="I150" i="68"/>
  <c r="H150" i="68"/>
  <c r="G150" i="68"/>
  <c r="F150" i="68"/>
  <c r="E150" i="68"/>
  <c r="D150" i="68"/>
  <c r="C150" i="68"/>
  <c r="B150" i="68"/>
  <c r="A150" i="68"/>
  <c r="AM149" i="68"/>
  <c r="AL149" i="68"/>
  <c r="AK149" i="68"/>
  <c r="AJ149" i="68"/>
  <c r="AI149" i="68"/>
  <c r="AH149" i="68"/>
  <c r="AG149" i="68"/>
  <c r="AF149" i="68"/>
  <c r="AE149" i="68"/>
  <c r="AD149" i="68"/>
  <c r="AC149" i="68"/>
  <c r="AB149" i="68"/>
  <c r="AA149" i="68"/>
  <c r="X149" i="68"/>
  <c r="W149" i="68"/>
  <c r="Q149" i="68"/>
  <c r="P149" i="68"/>
  <c r="O149" i="68"/>
  <c r="N149" i="68"/>
  <c r="M149" i="68"/>
  <c r="I149" i="68"/>
  <c r="H149" i="68"/>
  <c r="G149" i="68"/>
  <c r="F149" i="68"/>
  <c r="E149" i="68"/>
  <c r="D149" i="68"/>
  <c r="C149" i="68"/>
  <c r="B149" i="68"/>
  <c r="A149" i="68"/>
  <c r="M148" i="68"/>
  <c r="L148" i="68"/>
  <c r="L147" i="68"/>
  <c r="K147" i="68"/>
  <c r="AM146" i="68"/>
  <c r="AL146" i="68"/>
  <c r="AK146" i="68"/>
  <c r="AJ146" i="68"/>
  <c r="AI146" i="68"/>
  <c r="AH146" i="68"/>
  <c r="AG146" i="68"/>
  <c r="AF146" i="68"/>
  <c r="AE146" i="68"/>
  <c r="AD146" i="68"/>
  <c r="AC146" i="68"/>
  <c r="AB146" i="68"/>
  <c r="AA146" i="68"/>
  <c r="X146" i="68"/>
  <c r="X145" i="68" s="1"/>
  <c r="X144" i="68" s="1"/>
  <c r="W146" i="68"/>
  <c r="U146" i="68"/>
  <c r="U145" i="68" s="1"/>
  <c r="U144" i="68" s="1"/>
  <c r="T146" i="68"/>
  <c r="R146" i="68"/>
  <c r="R145" i="68" s="1"/>
  <c r="R144" i="68" s="1"/>
  <c r="Q146" i="68"/>
  <c r="P146" i="68"/>
  <c r="O146" i="68"/>
  <c r="N146" i="68"/>
  <c r="M146" i="68"/>
  <c r="I146" i="68"/>
  <c r="H146" i="68"/>
  <c r="G146" i="68"/>
  <c r="F146" i="68"/>
  <c r="E146" i="68"/>
  <c r="D146" i="68"/>
  <c r="C146" i="68"/>
  <c r="B146" i="68"/>
  <c r="A146" i="68"/>
  <c r="T145" i="68"/>
  <c r="T144" i="68" s="1"/>
  <c r="M145" i="68"/>
  <c r="L145" i="68"/>
  <c r="L144" i="68"/>
  <c r="K144" i="68"/>
  <c r="AM143" i="68"/>
  <c r="AL143" i="68"/>
  <c r="AK143" i="68"/>
  <c r="AJ143" i="68"/>
  <c r="AI143" i="68"/>
  <c r="AH143" i="68"/>
  <c r="AG143" i="68"/>
  <c r="AF143" i="68"/>
  <c r="AE143" i="68"/>
  <c r="AD143" i="68"/>
  <c r="AC143" i="68"/>
  <c r="AB143" i="68"/>
  <c r="AA143" i="68"/>
  <c r="Y143" i="68"/>
  <c r="X143" i="68"/>
  <c r="X140" i="68" s="1"/>
  <c r="X139" i="68" s="1"/>
  <c r="W143" i="68"/>
  <c r="U143" i="68"/>
  <c r="T143" i="68"/>
  <c r="R143" i="68"/>
  <c r="Q143" i="68"/>
  <c r="P143" i="68"/>
  <c r="O143" i="68"/>
  <c r="N143" i="68"/>
  <c r="M143" i="68"/>
  <c r="I143" i="68"/>
  <c r="H143" i="68"/>
  <c r="G143" i="68"/>
  <c r="F143" i="68"/>
  <c r="E143" i="68"/>
  <c r="D143" i="68"/>
  <c r="C143" i="68"/>
  <c r="B143" i="68"/>
  <c r="A143" i="68"/>
  <c r="AM142" i="68"/>
  <c r="AL142" i="68"/>
  <c r="AK142" i="68"/>
  <c r="AJ142" i="68"/>
  <c r="AI142" i="68"/>
  <c r="AH142" i="68"/>
  <c r="AG142" i="68"/>
  <c r="AF142" i="68"/>
  <c r="AE142" i="68"/>
  <c r="AD142" i="68"/>
  <c r="AC142" i="68"/>
  <c r="AB142" i="68"/>
  <c r="AA142" i="68"/>
  <c r="Z142" i="68"/>
  <c r="X142" i="68"/>
  <c r="W142" i="68"/>
  <c r="U142" i="68"/>
  <c r="T142" i="68"/>
  <c r="R142" i="68"/>
  <c r="Q142" i="68"/>
  <c r="P142" i="68"/>
  <c r="O142" i="68"/>
  <c r="N142" i="68"/>
  <c r="M142" i="68"/>
  <c r="I142" i="68"/>
  <c r="H142" i="68"/>
  <c r="G142" i="68"/>
  <c r="F142" i="68"/>
  <c r="E142" i="68"/>
  <c r="D142" i="68"/>
  <c r="C142" i="68"/>
  <c r="B142" i="68"/>
  <c r="A142" i="68"/>
  <c r="AM141" i="68"/>
  <c r="AL141" i="68"/>
  <c r="AK141" i="68"/>
  <c r="AJ141" i="68"/>
  <c r="AI141" i="68"/>
  <c r="AH141" i="68"/>
  <c r="AG141" i="68"/>
  <c r="AF141" i="68"/>
  <c r="AE141" i="68"/>
  <c r="AD141" i="68"/>
  <c r="AC141" i="68"/>
  <c r="AB141" i="68"/>
  <c r="AA141" i="68"/>
  <c r="Y141" i="68"/>
  <c r="X141" i="68"/>
  <c r="W141" i="68"/>
  <c r="U141" i="68"/>
  <c r="U140" i="68" s="1"/>
  <c r="U139" i="68" s="1"/>
  <c r="T141" i="68"/>
  <c r="R141" i="68"/>
  <c r="Q141" i="68"/>
  <c r="P141" i="68"/>
  <c r="O141" i="68"/>
  <c r="N141" i="68"/>
  <c r="M141" i="68"/>
  <c r="I141" i="68"/>
  <c r="H141" i="68"/>
  <c r="G141" i="68"/>
  <c r="F141" i="68"/>
  <c r="E141" i="68"/>
  <c r="D141" i="68"/>
  <c r="C141" i="68"/>
  <c r="B141" i="68"/>
  <c r="A141" i="68"/>
  <c r="M140" i="68"/>
  <c r="L140" i="68"/>
  <c r="L139" i="68"/>
  <c r="K139" i="68"/>
  <c r="AM138" i="68"/>
  <c r="AL138" i="68"/>
  <c r="AK138" i="68"/>
  <c r="AJ138" i="68"/>
  <c r="AI138" i="68"/>
  <c r="AH138" i="68"/>
  <c r="AG138" i="68"/>
  <c r="AF138" i="68"/>
  <c r="AE138" i="68"/>
  <c r="AD138" i="68"/>
  <c r="AC138" i="68"/>
  <c r="AB138" i="68"/>
  <c r="AA138" i="68"/>
  <c r="Z138" i="68"/>
  <c r="X138" i="68"/>
  <c r="W138" i="68"/>
  <c r="U138" i="68"/>
  <c r="U137" i="68" s="1"/>
  <c r="T138" i="68"/>
  <c r="T137" i="68" s="1"/>
  <c r="T136" i="68" s="1"/>
  <c r="R138" i="68"/>
  <c r="R137" i="68" s="1"/>
  <c r="Q138" i="68"/>
  <c r="P138" i="68"/>
  <c r="O138" i="68"/>
  <c r="N138" i="68"/>
  <c r="M138" i="68"/>
  <c r="I138" i="68"/>
  <c r="H138" i="68"/>
  <c r="G138" i="68"/>
  <c r="F138" i="68"/>
  <c r="E138" i="68"/>
  <c r="D138" i="68"/>
  <c r="C138" i="68"/>
  <c r="B138" i="68"/>
  <c r="A138" i="68"/>
  <c r="Z137" i="68"/>
  <c r="Z136" i="68" s="1"/>
  <c r="X137" i="68"/>
  <c r="M137" i="68"/>
  <c r="L137" i="68"/>
  <c r="X136" i="68"/>
  <c r="U136" i="68"/>
  <c r="R136" i="68"/>
  <c r="L136" i="68"/>
  <c r="K136" i="68"/>
  <c r="AM135" i="68"/>
  <c r="AL135" i="68"/>
  <c r="AK135" i="68"/>
  <c r="AJ135" i="68"/>
  <c r="AI135" i="68"/>
  <c r="AH135" i="68"/>
  <c r="AG135" i="68"/>
  <c r="AF135" i="68"/>
  <c r="AE135" i="68"/>
  <c r="AD135" i="68"/>
  <c r="AC135" i="68"/>
  <c r="AB135" i="68"/>
  <c r="AA135" i="68"/>
  <c r="Z135" i="68"/>
  <c r="X135" i="68"/>
  <c r="W135" i="68"/>
  <c r="U135" i="68"/>
  <c r="T135" i="68"/>
  <c r="R135" i="68"/>
  <c r="Q135" i="68"/>
  <c r="P135" i="68"/>
  <c r="O135" i="68"/>
  <c r="N135" i="68"/>
  <c r="M135" i="68"/>
  <c r="I135" i="68"/>
  <c r="H135" i="68"/>
  <c r="G135" i="68"/>
  <c r="F135" i="68"/>
  <c r="E135" i="68"/>
  <c r="D135" i="68"/>
  <c r="C135" i="68"/>
  <c r="B135" i="68"/>
  <c r="A135" i="68"/>
  <c r="AM134" i="68"/>
  <c r="AL134" i="68"/>
  <c r="AK134" i="68"/>
  <c r="AJ134" i="68"/>
  <c r="AI134" i="68"/>
  <c r="AH134" i="68"/>
  <c r="AG134" i="68"/>
  <c r="AF134" i="68"/>
  <c r="AE134" i="68"/>
  <c r="AD134" i="68"/>
  <c r="AC134" i="68"/>
  <c r="AB134" i="68"/>
  <c r="AA134" i="68"/>
  <c r="Z134" i="68"/>
  <c r="X134" i="68"/>
  <c r="W134" i="68"/>
  <c r="U134" i="68"/>
  <c r="R134" i="68"/>
  <c r="Q134" i="68"/>
  <c r="P134" i="68"/>
  <c r="O134" i="68"/>
  <c r="N134" i="68"/>
  <c r="M134" i="68"/>
  <c r="I134" i="68"/>
  <c r="H134" i="68"/>
  <c r="G134" i="68"/>
  <c r="F134" i="68"/>
  <c r="E134" i="68"/>
  <c r="D134" i="68"/>
  <c r="C134" i="68"/>
  <c r="B134" i="68"/>
  <c r="A134" i="68"/>
  <c r="AM133" i="68"/>
  <c r="AL133" i="68"/>
  <c r="AK133" i="68"/>
  <c r="AJ133" i="68"/>
  <c r="AI133" i="68"/>
  <c r="AH133" i="68"/>
  <c r="AG133" i="68"/>
  <c r="AF133" i="68"/>
  <c r="AE133" i="68"/>
  <c r="AD133" i="68"/>
  <c r="AC133" i="68"/>
  <c r="AB133" i="68"/>
  <c r="AA133" i="68"/>
  <c r="Z133" i="68"/>
  <c r="X133" i="68"/>
  <c r="W133" i="68"/>
  <c r="U133" i="68"/>
  <c r="R133" i="68"/>
  <c r="Q133" i="68"/>
  <c r="P133" i="68"/>
  <c r="O133" i="68"/>
  <c r="N133" i="68"/>
  <c r="M133" i="68"/>
  <c r="I133" i="68"/>
  <c r="H133" i="68"/>
  <c r="G133" i="68"/>
  <c r="F133" i="68"/>
  <c r="E133" i="68"/>
  <c r="D133" i="68"/>
  <c r="C133" i="68"/>
  <c r="B133" i="68"/>
  <c r="A133" i="68"/>
  <c r="AM132" i="68"/>
  <c r="AL132" i="68"/>
  <c r="AK132" i="68"/>
  <c r="AJ132" i="68"/>
  <c r="AI132" i="68"/>
  <c r="AH132" i="68"/>
  <c r="AG132" i="68"/>
  <c r="AF132" i="68"/>
  <c r="AE132" i="68"/>
  <c r="AD132" i="68"/>
  <c r="AC132" i="68"/>
  <c r="AB132" i="68"/>
  <c r="AA132" i="68"/>
  <c r="Z132" i="68"/>
  <c r="X132" i="68"/>
  <c r="W132" i="68"/>
  <c r="U132" i="68"/>
  <c r="T132" i="68"/>
  <c r="R132" i="68"/>
  <c r="Q132" i="68"/>
  <c r="P132" i="68"/>
  <c r="O132" i="68"/>
  <c r="N132" i="68"/>
  <c r="I132" i="68"/>
  <c r="H132" i="68"/>
  <c r="G132" i="68"/>
  <c r="F132" i="68"/>
  <c r="E132" i="68"/>
  <c r="D132" i="68"/>
  <c r="C132" i="68"/>
  <c r="B132" i="68"/>
  <c r="A132" i="68"/>
  <c r="AM131" i="68"/>
  <c r="AL131" i="68"/>
  <c r="AK131" i="68"/>
  <c r="AJ131" i="68"/>
  <c r="AI131" i="68"/>
  <c r="AH131" i="68"/>
  <c r="AG131" i="68"/>
  <c r="AF131" i="68"/>
  <c r="AE131" i="68"/>
  <c r="AD131" i="68"/>
  <c r="AC131" i="68"/>
  <c r="AB131" i="68"/>
  <c r="AA131" i="68"/>
  <c r="Z131" i="68"/>
  <c r="Y131" i="68"/>
  <c r="X131" i="68"/>
  <c r="W131" i="68"/>
  <c r="U131" i="68"/>
  <c r="T131" i="68"/>
  <c r="R131" i="68"/>
  <c r="Q131" i="68"/>
  <c r="P131" i="68"/>
  <c r="O131" i="68"/>
  <c r="N131" i="68"/>
  <c r="I131" i="68"/>
  <c r="H131" i="68"/>
  <c r="G131" i="68"/>
  <c r="F131" i="68"/>
  <c r="E131" i="68"/>
  <c r="D131" i="68"/>
  <c r="C131" i="68"/>
  <c r="B131" i="68"/>
  <c r="A131" i="68"/>
  <c r="AM130" i="68"/>
  <c r="AL130" i="68"/>
  <c r="AK130" i="68"/>
  <c r="AJ130" i="68"/>
  <c r="AI130" i="68"/>
  <c r="AH130" i="68"/>
  <c r="AG130" i="68"/>
  <c r="AF130" i="68"/>
  <c r="AE130" i="68"/>
  <c r="AD130" i="68"/>
  <c r="AC130" i="68"/>
  <c r="AB130" i="68"/>
  <c r="AA130" i="68"/>
  <c r="X130" i="68"/>
  <c r="W130" i="68"/>
  <c r="Q130" i="68"/>
  <c r="P130" i="68"/>
  <c r="O130" i="68"/>
  <c r="N130" i="68"/>
  <c r="M130" i="68"/>
  <c r="I130" i="68"/>
  <c r="H130" i="68"/>
  <c r="G130" i="68"/>
  <c r="F130" i="68"/>
  <c r="E130" i="68"/>
  <c r="D130" i="68"/>
  <c r="C130" i="68"/>
  <c r="B130" i="68"/>
  <c r="A130" i="68"/>
  <c r="X129" i="68"/>
  <c r="X128" i="68" s="1"/>
  <c r="M129" i="68"/>
  <c r="L129" i="68"/>
  <c r="L128" i="68"/>
  <c r="K128" i="68"/>
  <c r="AM127" i="68"/>
  <c r="AL127" i="68"/>
  <c r="AK127" i="68"/>
  <c r="AJ127" i="68"/>
  <c r="AI127" i="68"/>
  <c r="AH127" i="68"/>
  <c r="AG127" i="68"/>
  <c r="AF127" i="68"/>
  <c r="AE127" i="68"/>
  <c r="AD127" i="68"/>
  <c r="AC127" i="68"/>
  <c r="AB127" i="68"/>
  <c r="AA127" i="68"/>
  <c r="Z127" i="68"/>
  <c r="Y127" i="68"/>
  <c r="X127" i="68"/>
  <c r="W127" i="68"/>
  <c r="U127" i="68"/>
  <c r="R127" i="68"/>
  <c r="Q127" i="68"/>
  <c r="P127" i="68"/>
  <c r="O127" i="68"/>
  <c r="N127" i="68"/>
  <c r="M127" i="68"/>
  <c r="I127" i="68"/>
  <c r="H127" i="68"/>
  <c r="G127" i="68"/>
  <c r="F127" i="68"/>
  <c r="E127" i="68"/>
  <c r="D127" i="68"/>
  <c r="C127" i="68"/>
  <c r="B127" i="68"/>
  <c r="A127" i="68"/>
  <c r="Z126" i="68"/>
  <c r="Y126" i="68"/>
  <c r="X126" i="68"/>
  <c r="X125" i="68" s="1"/>
  <c r="U126" i="68"/>
  <c r="U125" i="68" s="1"/>
  <c r="R126" i="68"/>
  <c r="M126" i="68"/>
  <c r="L126" i="68"/>
  <c r="Z125" i="68"/>
  <c r="Y125" i="68"/>
  <c r="R125" i="68"/>
  <c r="L125" i="68"/>
  <c r="K125" i="68"/>
  <c r="AM124" i="68"/>
  <c r="AL124" i="68"/>
  <c r="AK124" i="68"/>
  <c r="AJ124" i="68"/>
  <c r="AI124" i="68"/>
  <c r="AH124" i="68"/>
  <c r="AG124" i="68"/>
  <c r="AF124" i="68"/>
  <c r="AE124" i="68"/>
  <c r="AD124" i="68"/>
  <c r="AC124" i="68"/>
  <c r="AB124" i="68"/>
  <c r="AA124" i="68"/>
  <c r="Y124" i="68"/>
  <c r="X124" i="68"/>
  <c r="W124" i="68"/>
  <c r="U124" i="68"/>
  <c r="U123" i="68" s="1"/>
  <c r="T124" i="68"/>
  <c r="R124" i="68"/>
  <c r="Q124" i="68"/>
  <c r="P124" i="68"/>
  <c r="O124" i="68"/>
  <c r="N124" i="68"/>
  <c r="M124" i="68"/>
  <c r="I124" i="68"/>
  <c r="H124" i="68"/>
  <c r="G124" i="68"/>
  <c r="F124" i="68"/>
  <c r="E124" i="68"/>
  <c r="D124" i="68"/>
  <c r="C124" i="68"/>
  <c r="B124" i="68"/>
  <c r="A124" i="68"/>
  <c r="Y123" i="68"/>
  <c r="X123" i="68"/>
  <c r="T123" i="68"/>
  <c r="R123" i="68"/>
  <c r="M123" i="68"/>
  <c r="L123" i="68"/>
  <c r="AM122" i="68"/>
  <c r="AL122" i="68"/>
  <c r="AK122" i="68"/>
  <c r="AJ122" i="68"/>
  <c r="AI122" i="68"/>
  <c r="AH122" i="68"/>
  <c r="AG122" i="68"/>
  <c r="AF122" i="68"/>
  <c r="AE122" i="68"/>
  <c r="AD122" i="68"/>
  <c r="AC122" i="68"/>
  <c r="AB122" i="68"/>
  <c r="AA122" i="68"/>
  <c r="Y122" i="68"/>
  <c r="X122" i="68"/>
  <c r="W122" i="68"/>
  <c r="U122" i="68"/>
  <c r="T122" i="68"/>
  <c r="R122" i="68"/>
  <c r="Q122" i="68"/>
  <c r="P122" i="68"/>
  <c r="O122" i="68"/>
  <c r="N122" i="68"/>
  <c r="M122" i="68"/>
  <c r="I122" i="68"/>
  <c r="H122" i="68"/>
  <c r="G122" i="68"/>
  <c r="F122" i="68"/>
  <c r="E122" i="68"/>
  <c r="D122" i="68"/>
  <c r="C122" i="68"/>
  <c r="B122" i="68"/>
  <c r="A122" i="68"/>
  <c r="AM121" i="68"/>
  <c r="AL121" i="68"/>
  <c r="AK121" i="68"/>
  <c r="AJ121" i="68"/>
  <c r="AI121" i="68"/>
  <c r="AH121" i="68"/>
  <c r="AG121" i="68"/>
  <c r="AF121" i="68"/>
  <c r="AE121" i="68"/>
  <c r="AD121" i="68"/>
  <c r="AC121" i="68"/>
  <c r="AB121" i="68"/>
  <c r="AA121" i="68"/>
  <c r="Z121" i="68"/>
  <c r="X121" i="68"/>
  <c r="W121" i="68"/>
  <c r="U121" i="68"/>
  <c r="T121" i="68"/>
  <c r="R121" i="68"/>
  <c r="Q121" i="68"/>
  <c r="P121" i="68"/>
  <c r="O121" i="68"/>
  <c r="N121" i="68"/>
  <c r="M121" i="68"/>
  <c r="I121" i="68"/>
  <c r="H121" i="68"/>
  <c r="G121" i="68"/>
  <c r="F121" i="68"/>
  <c r="E121" i="68"/>
  <c r="D121" i="68"/>
  <c r="C121" i="68"/>
  <c r="B121" i="68"/>
  <c r="A121" i="68"/>
  <c r="AM120" i="68"/>
  <c r="AL120" i="68"/>
  <c r="AK120" i="68"/>
  <c r="AJ120" i="68"/>
  <c r="AI120" i="68"/>
  <c r="AH120" i="68"/>
  <c r="AG120" i="68"/>
  <c r="AF120" i="68"/>
  <c r="AE120" i="68"/>
  <c r="AD120" i="68"/>
  <c r="AC120" i="68"/>
  <c r="AB120" i="68"/>
  <c r="AA120" i="68"/>
  <c r="Y120" i="68"/>
  <c r="X120" i="68"/>
  <c r="X119" i="68" s="1"/>
  <c r="W120" i="68"/>
  <c r="U120" i="68"/>
  <c r="T120" i="68"/>
  <c r="R120" i="68"/>
  <c r="R119" i="68" s="1"/>
  <c r="Q120" i="68"/>
  <c r="P120" i="68"/>
  <c r="O120" i="68"/>
  <c r="N120" i="68"/>
  <c r="M120" i="68"/>
  <c r="I120" i="68"/>
  <c r="H120" i="68"/>
  <c r="G120" i="68"/>
  <c r="F120" i="68"/>
  <c r="E120" i="68"/>
  <c r="D120" i="68"/>
  <c r="C120" i="68"/>
  <c r="B120" i="68"/>
  <c r="A120" i="68"/>
  <c r="U119" i="68"/>
  <c r="T119" i="68"/>
  <c r="M119" i="68"/>
  <c r="L119" i="68"/>
  <c r="AM118" i="68"/>
  <c r="AL118" i="68"/>
  <c r="AK118" i="68"/>
  <c r="AJ118" i="68"/>
  <c r="AI118" i="68"/>
  <c r="AH118" i="68"/>
  <c r="AG118" i="68"/>
  <c r="AF118" i="68"/>
  <c r="AE118" i="68"/>
  <c r="AD118" i="68"/>
  <c r="AC118" i="68"/>
  <c r="AB118" i="68"/>
  <c r="AA118" i="68"/>
  <c r="Z118" i="68"/>
  <c r="Y118" i="68"/>
  <c r="X118" i="68"/>
  <c r="W118" i="68"/>
  <c r="U118" i="68"/>
  <c r="T118" i="68"/>
  <c r="R118" i="68"/>
  <c r="Q118" i="68"/>
  <c r="P118" i="68"/>
  <c r="O118" i="68"/>
  <c r="N118" i="68"/>
  <c r="I118" i="68"/>
  <c r="H118" i="68"/>
  <c r="G118" i="68"/>
  <c r="F118" i="68"/>
  <c r="E118" i="68"/>
  <c r="D118" i="68"/>
  <c r="C118" i="68"/>
  <c r="B118" i="68"/>
  <c r="A118" i="68"/>
  <c r="AM117" i="68"/>
  <c r="AL117" i="68"/>
  <c r="AK117" i="68"/>
  <c r="AJ117" i="68"/>
  <c r="AI117" i="68"/>
  <c r="AH117" i="68"/>
  <c r="AG117" i="68"/>
  <c r="AF117" i="68"/>
  <c r="AE117" i="68"/>
  <c r="AD117" i="68"/>
  <c r="AC117" i="68"/>
  <c r="AB117" i="68"/>
  <c r="AA117" i="68"/>
  <c r="X117" i="68"/>
  <c r="W117" i="68"/>
  <c r="U117" i="68"/>
  <c r="T117" i="68"/>
  <c r="R117" i="68"/>
  <c r="Q117" i="68"/>
  <c r="P117" i="68"/>
  <c r="O117" i="68"/>
  <c r="N117" i="68"/>
  <c r="I117" i="68"/>
  <c r="H117" i="68"/>
  <c r="G117" i="68"/>
  <c r="F117" i="68"/>
  <c r="E117" i="68"/>
  <c r="D117" i="68"/>
  <c r="C117" i="68"/>
  <c r="B117" i="68"/>
  <c r="A117" i="68"/>
  <c r="AM116" i="68"/>
  <c r="AL116" i="68"/>
  <c r="AK116" i="68"/>
  <c r="AJ116" i="68"/>
  <c r="AI116" i="68"/>
  <c r="AH116" i="68"/>
  <c r="AG116" i="68"/>
  <c r="AF116" i="68"/>
  <c r="AE116" i="68"/>
  <c r="AD116" i="68"/>
  <c r="AC116" i="68"/>
  <c r="AB116" i="68"/>
  <c r="AA116" i="68"/>
  <c r="X116" i="68"/>
  <c r="W116" i="68"/>
  <c r="Q116" i="68"/>
  <c r="P116" i="68"/>
  <c r="O116" i="68"/>
  <c r="N116" i="68"/>
  <c r="M116" i="68"/>
  <c r="I116" i="68"/>
  <c r="H116" i="68"/>
  <c r="G116" i="68"/>
  <c r="F116" i="68"/>
  <c r="E116" i="68"/>
  <c r="D116" i="68"/>
  <c r="C116" i="68"/>
  <c r="B116" i="68"/>
  <c r="A116" i="68"/>
  <c r="AM115" i="68"/>
  <c r="AL115" i="68"/>
  <c r="AK115" i="68"/>
  <c r="AJ115" i="68"/>
  <c r="AI115" i="68"/>
  <c r="AH115" i="68"/>
  <c r="AG115" i="68"/>
  <c r="AF115" i="68"/>
  <c r="AE115" i="68"/>
  <c r="AD115" i="68"/>
  <c r="AC115" i="68"/>
  <c r="AB115" i="68"/>
  <c r="AA115" i="68"/>
  <c r="Z115" i="68"/>
  <c r="Y115" i="68"/>
  <c r="X115" i="68"/>
  <c r="W115" i="68"/>
  <c r="U115" i="68"/>
  <c r="T115" i="68"/>
  <c r="R115" i="68"/>
  <c r="Q115" i="68"/>
  <c r="P115" i="68"/>
  <c r="O115" i="68"/>
  <c r="N115" i="68"/>
  <c r="M115" i="68"/>
  <c r="I115" i="68"/>
  <c r="H115" i="68"/>
  <c r="G115" i="68"/>
  <c r="F115" i="68"/>
  <c r="E115" i="68"/>
  <c r="D115" i="68"/>
  <c r="C115" i="68"/>
  <c r="B115" i="68"/>
  <c r="A115" i="68"/>
  <c r="AM114" i="68"/>
  <c r="AL114" i="68"/>
  <c r="AK114" i="68"/>
  <c r="AJ114" i="68"/>
  <c r="AI114" i="68"/>
  <c r="AH114" i="68"/>
  <c r="AG114" i="68"/>
  <c r="AF114" i="68"/>
  <c r="AE114" i="68"/>
  <c r="AD114" i="68"/>
  <c r="AC114" i="68"/>
  <c r="AB114" i="68"/>
  <c r="AA114" i="68"/>
  <c r="Z114" i="68"/>
  <c r="X114" i="68"/>
  <c r="W114" i="68"/>
  <c r="U114" i="68"/>
  <c r="T114" i="68"/>
  <c r="R114" i="68"/>
  <c r="Q114" i="68"/>
  <c r="P114" i="68"/>
  <c r="O114" i="68"/>
  <c r="N114" i="68"/>
  <c r="M114" i="68"/>
  <c r="I114" i="68"/>
  <c r="H114" i="68"/>
  <c r="G114" i="68"/>
  <c r="F114" i="68"/>
  <c r="E114" i="68"/>
  <c r="D114" i="68"/>
  <c r="C114" i="68"/>
  <c r="B114" i="68"/>
  <c r="A114" i="68"/>
  <c r="AM113" i="68"/>
  <c r="AL113" i="68"/>
  <c r="AK113" i="68"/>
  <c r="AJ113" i="68"/>
  <c r="AI113" i="68"/>
  <c r="AH113" i="68"/>
  <c r="AG113" i="68"/>
  <c r="AF113" i="68"/>
  <c r="AE113" i="68"/>
  <c r="AD113" i="68"/>
  <c r="AC113" i="68"/>
  <c r="AB113" i="68"/>
  <c r="AA113" i="68"/>
  <c r="Z113" i="68"/>
  <c r="X113" i="68"/>
  <c r="W113" i="68"/>
  <c r="U113" i="68"/>
  <c r="T113" i="68"/>
  <c r="R113" i="68"/>
  <c r="Q113" i="68"/>
  <c r="P113" i="68"/>
  <c r="O113" i="68"/>
  <c r="N113" i="68"/>
  <c r="M113" i="68"/>
  <c r="I113" i="68"/>
  <c r="H113" i="68"/>
  <c r="G113" i="68"/>
  <c r="F113" i="68"/>
  <c r="E113" i="68"/>
  <c r="D113" i="68"/>
  <c r="C113" i="68"/>
  <c r="B113" i="68"/>
  <c r="A113" i="68"/>
  <c r="AM112" i="68"/>
  <c r="AL112" i="68"/>
  <c r="AK112" i="68"/>
  <c r="AJ112" i="68"/>
  <c r="AI112" i="68"/>
  <c r="AH112" i="68"/>
  <c r="AG112" i="68"/>
  <c r="AF112" i="68"/>
  <c r="AE112" i="68"/>
  <c r="AD112" i="68"/>
  <c r="AC112" i="68"/>
  <c r="AB112" i="68"/>
  <c r="AA112" i="68"/>
  <c r="Z112" i="68"/>
  <c r="X112" i="68"/>
  <c r="W112" i="68"/>
  <c r="U112" i="68"/>
  <c r="T112" i="68"/>
  <c r="R112" i="68"/>
  <c r="Q112" i="68"/>
  <c r="P112" i="68"/>
  <c r="O112" i="68"/>
  <c r="N112" i="68"/>
  <c r="M112" i="68"/>
  <c r="I112" i="68"/>
  <c r="H112" i="68"/>
  <c r="G112" i="68"/>
  <c r="F112" i="68"/>
  <c r="E112" i="68"/>
  <c r="D112" i="68"/>
  <c r="C112" i="68"/>
  <c r="B112" i="68"/>
  <c r="A112" i="68"/>
  <c r="AM111" i="68"/>
  <c r="AL111" i="68"/>
  <c r="AK111" i="68"/>
  <c r="AJ111" i="68"/>
  <c r="AI111" i="68"/>
  <c r="AH111" i="68"/>
  <c r="AG111" i="68"/>
  <c r="AF111" i="68"/>
  <c r="AE111" i="68"/>
  <c r="AD111" i="68"/>
  <c r="AC111" i="68"/>
  <c r="AB111" i="68"/>
  <c r="AA111" i="68"/>
  <c r="X111" i="68"/>
  <c r="W111" i="68"/>
  <c r="U111" i="68"/>
  <c r="T111" i="68"/>
  <c r="R111" i="68"/>
  <c r="Q111" i="68"/>
  <c r="P111" i="68"/>
  <c r="O111" i="68"/>
  <c r="N111" i="68"/>
  <c r="M111" i="68"/>
  <c r="I111" i="68"/>
  <c r="H111" i="68"/>
  <c r="G111" i="68"/>
  <c r="F111" i="68"/>
  <c r="E111" i="68"/>
  <c r="D111" i="68"/>
  <c r="C111" i="68"/>
  <c r="B111" i="68"/>
  <c r="A111" i="68"/>
  <c r="AM110" i="68"/>
  <c r="AL110" i="68"/>
  <c r="AK110" i="68"/>
  <c r="AJ110" i="68"/>
  <c r="AI110" i="68"/>
  <c r="AH110" i="68"/>
  <c r="AG110" i="68"/>
  <c r="AF110" i="68"/>
  <c r="AE110" i="68"/>
  <c r="AD110" i="68"/>
  <c r="AC110" i="68"/>
  <c r="AB110" i="68"/>
  <c r="AA110" i="68"/>
  <c r="X110" i="68"/>
  <c r="W110" i="68"/>
  <c r="U110" i="68"/>
  <c r="T110" i="68"/>
  <c r="R110" i="68"/>
  <c r="Q110" i="68"/>
  <c r="P110" i="68"/>
  <c r="O110" i="68"/>
  <c r="N110" i="68"/>
  <c r="M110" i="68"/>
  <c r="I110" i="68"/>
  <c r="H110" i="68"/>
  <c r="G110" i="68"/>
  <c r="F110" i="68"/>
  <c r="E110" i="68"/>
  <c r="D110" i="68"/>
  <c r="C110" i="68"/>
  <c r="B110" i="68"/>
  <c r="A110" i="68"/>
  <c r="M109" i="68"/>
  <c r="L109" i="68"/>
  <c r="AM108" i="68"/>
  <c r="AL108" i="68"/>
  <c r="AK108" i="68"/>
  <c r="AJ108" i="68"/>
  <c r="AI108" i="68"/>
  <c r="AH108" i="68"/>
  <c r="AG108" i="68"/>
  <c r="AF108" i="68"/>
  <c r="AE108" i="68"/>
  <c r="AD108" i="68"/>
  <c r="AC108" i="68"/>
  <c r="AB108" i="68"/>
  <c r="AA108" i="68"/>
  <c r="X108" i="68"/>
  <c r="W108" i="68"/>
  <c r="U108" i="68"/>
  <c r="T108" i="68"/>
  <c r="R108" i="68"/>
  <c r="Q108" i="68"/>
  <c r="P108" i="68"/>
  <c r="O108" i="68"/>
  <c r="N108" i="68"/>
  <c r="M108" i="68"/>
  <c r="I108" i="68"/>
  <c r="H108" i="68"/>
  <c r="G108" i="68"/>
  <c r="F108" i="68"/>
  <c r="E108" i="68"/>
  <c r="D108" i="68"/>
  <c r="C108" i="68"/>
  <c r="B108" i="68"/>
  <c r="A108" i="68"/>
  <c r="AE107" i="68"/>
  <c r="AD107" i="68"/>
  <c r="AC107" i="68"/>
  <c r="AB107" i="68"/>
  <c r="AA107" i="68"/>
  <c r="X107" i="68"/>
  <c r="W107" i="68"/>
  <c r="U107" i="68"/>
  <c r="T107" i="68"/>
  <c r="R107" i="68"/>
  <c r="Q107" i="68"/>
  <c r="P107" i="68"/>
  <c r="O107" i="68"/>
  <c r="N107" i="68"/>
  <c r="AM106" i="68"/>
  <c r="AL106" i="68"/>
  <c r="AK106" i="68"/>
  <c r="AJ106" i="68"/>
  <c r="AI106" i="68"/>
  <c r="AH106" i="68"/>
  <c r="AG106" i="68"/>
  <c r="AF106" i="68"/>
  <c r="AE106" i="68"/>
  <c r="AD106" i="68"/>
  <c r="AC106" i="68"/>
  <c r="AB106" i="68"/>
  <c r="AA106" i="68"/>
  <c r="Z106" i="68"/>
  <c r="Y106" i="68"/>
  <c r="X106" i="68"/>
  <c r="W106" i="68"/>
  <c r="U106" i="68"/>
  <c r="T106" i="68"/>
  <c r="R106" i="68"/>
  <c r="Q106" i="68"/>
  <c r="P106" i="68"/>
  <c r="O106" i="68"/>
  <c r="N106" i="68"/>
  <c r="AM105" i="68"/>
  <c r="AL105" i="68"/>
  <c r="AK105" i="68"/>
  <c r="AJ105" i="68"/>
  <c r="AI105" i="68"/>
  <c r="AH105" i="68"/>
  <c r="AG105" i="68"/>
  <c r="AF105" i="68"/>
  <c r="AE105" i="68"/>
  <c r="AD105" i="68"/>
  <c r="AC105" i="68"/>
  <c r="AB105" i="68"/>
  <c r="AA105" i="68"/>
  <c r="Z105" i="68"/>
  <c r="Y105" i="68"/>
  <c r="X105" i="68"/>
  <c r="W105" i="68"/>
  <c r="U105" i="68"/>
  <c r="T105" i="68"/>
  <c r="R105" i="68"/>
  <c r="Q105" i="68"/>
  <c r="P105" i="68"/>
  <c r="O105" i="68"/>
  <c r="N105" i="68"/>
  <c r="AM104" i="68"/>
  <c r="AL104" i="68"/>
  <c r="AK104" i="68"/>
  <c r="AJ104" i="68"/>
  <c r="AI104" i="68"/>
  <c r="AH104" i="68"/>
  <c r="AG104" i="68"/>
  <c r="AF104" i="68"/>
  <c r="AE104" i="68"/>
  <c r="AD104" i="68"/>
  <c r="AC104" i="68"/>
  <c r="AB104" i="68"/>
  <c r="AA104" i="68"/>
  <c r="X104" i="68"/>
  <c r="X94" i="68" s="1"/>
  <c r="W104" i="68"/>
  <c r="U104" i="68"/>
  <c r="T104" i="68"/>
  <c r="R104" i="68"/>
  <c r="R94" i="68" s="1"/>
  <c r="Q104" i="68"/>
  <c r="P104" i="68"/>
  <c r="O104" i="68"/>
  <c r="N104" i="68"/>
  <c r="M104" i="68"/>
  <c r="I104" i="68"/>
  <c r="H104" i="68"/>
  <c r="G104" i="68"/>
  <c r="F104" i="68"/>
  <c r="E104" i="68"/>
  <c r="D104" i="68"/>
  <c r="C104" i="68"/>
  <c r="B104" i="68"/>
  <c r="A104" i="68"/>
  <c r="AM103" i="68"/>
  <c r="AL103" i="68"/>
  <c r="AK103" i="68"/>
  <c r="AJ103" i="68"/>
  <c r="AI103" i="68"/>
  <c r="AH103" i="68"/>
  <c r="AG103" i="68"/>
  <c r="AF103" i="68"/>
  <c r="AE103" i="68"/>
  <c r="AD103" i="68"/>
  <c r="AC103" i="68"/>
  <c r="AB103" i="68"/>
  <c r="AA103" i="68"/>
  <c r="Z103" i="68"/>
  <c r="X103" i="68"/>
  <c r="W103" i="68"/>
  <c r="U103" i="68"/>
  <c r="T103" i="68"/>
  <c r="R103" i="68"/>
  <c r="Q103" i="68"/>
  <c r="P103" i="68"/>
  <c r="O103" i="68"/>
  <c r="N103" i="68"/>
  <c r="M103" i="68"/>
  <c r="I103" i="68"/>
  <c r="H103" i="68"/>
  <c r="G103" i="68"/>
  <c r="F103" i="68"/>
  <c r="E103" i="68"/>
  <c r="D103" i="68"/>
  <c r="C103" i="68"/>
  <c r="B103" i="68"/>
  <c r="A103" i="68"/>
  <c r="AM102" i="68"/>
  <c r="AL102" i="68"/>
  <c r="AK102" i="68"/>
  <c r="AJ102" i="68"/>
  <c r="AI102" i="68"/>
  <c r="AH102" i="68"/>
  <c r="AG102" i="68"/>
  <c r="AF102" i="68"/>
  <c r="AE102" i="68"/>
  <c r="AD102" i="68"/>
  <c r="AC102" i="68"/>
  <c r="AB102" i="68"/>
  <c r="AA102" i="68"/>
  <c r="X102" i="68"/>
  <c r="W102" i="68"/>
  <c r="U102" i="68"/>
  <c r="T102" i="68"/>
  <c r="R102" i="68"/>
  <c r="Q102" i="68"/>
  <c r="P102" i="68"/>
  <c r="O102" i="68"/>
  <c r="N102" i="68"/>
  <c r="M102" i="68"/>
  <c r="I102" i="68"/>
  <c r="H102" i="68"/>
  <c r="G102" i="68"/>
  <c r="F102" i="68"/>
  <c r="E102" i="68"/>
  <c r="D102" i="68"/>
  <c r="C102" i="68"/>
  <c r="B102" i="68"/>
  <c r="A102" i="68"/>
  <c r="AM101" i="68"/>
  <c r="AL101" i="68"/>
  <c r="AK101" i="68"/>
  <c r="AJ101" i="68"/>
  <c r="AI101" i="68"/>
  <c r="AH101" i="68"/>
  <c r="AG101" i="68"/>
  <c r="AF101" i="68"/>
  <c r="AE101" i="68"/>
  <c r="AD101" i="68"/>
  <c r="AC101" i="68"/>
  <c r="AB101" i="68"/>
  <c r="AA101" i="68"/>
  <c r="X101" i="68"/>
  <c r="W101" i="68"/>
  <c r="U101" i="68"/>
  <c r="T101" i="68"/>
  <c r="R101" i="68"/>
  <c r="Q101" i="68"/>
  <c r="P101" i="68"/>
  <c r="O101" i="68"/>
  <c r="N101" i="68"/>
  <c r="M101" i="68"/>
  <c r="I101" i="68"/>
  <c r="H101" i="68"/>
  <c r="G101" i="68"/>
  <c r="F101" i="68"/>
  <c r="E101" i="68"/>
  <c r="D101" i="68"/>
  <c r="C101" i="68"/>
  <c r="B101" i="68"/>
  <c r="A101" i="68"/>
  <c r="AM100" i="68"/>
  <c r="AL100" i="68"/>
  <c r="AK100" i="68"/>
  <c r="AJ100" i="68"/>
  <c r="AI100" i="68"/>
  <c r="AH100" i="68"/>
  <c r="AG100" i="68"/>
  <c r="AF100" i="68"/>
  <c r="AE100" i="68"/>
  <c r="AD100" i="68"/>
  <c r="AC100" i="68"/>
  <c r="AB100" i="68"/>
  <c r="AA100" i="68"/>
  <c r="X100" i="68"/>
  <c r="W100" i="68"/>
  <c r="U100" i="68"/>
  <c r="T100" i="68"/>
  <c r="R100" i="68"/>
  <c r="Q100" i="68"/>
  <c r="P100" i="68"/>
  <c r="O100" i="68"/>
  <c r="N100" i="68"/>
  <c r="M100" i="68"/>
  <c r="I100" i="68"/>
  <c r="H100" i="68"/>
  <c r="G100" i="68"/>
  <c r="F100" i="68"/>
  <c r="E100" i="68"/>
  <c r="D100" i="68"/>
  <c r="C100" i="68"/>
  <c r="B100" i="68"/>
  <c r="A100" i="68"/>
  <c r="AM99" i="68"/>
  <c r="AL99" i="68"/>
  <c r="AK99" i="68"/>
  <c r="AJ99" i="68"/>
  <c r="AI99" i="68"/>
  <c r="AH99" i="68"/>
  <c r="AG99" i="68"/>
  <c r="AF99" i="68"/>
  <c r="AE99" i="68"/>
  <c r="AD99" i="68"/>
  <c r="AC99" i="68"/>
  <c r="AB99" i="68"/>
  <c r="AA99" i="68"/>
  <c r="X99" i="68"/>
  <c r="W99" i="68"/>
  <c r="U99" i="68"/>
  <c r="T99" i="68"/>
  <c r="R99" i="68"/>
  <c r="Q99" i="68"/>
  <c r="P99" i="68"/>
  <c r="O99" i="68"/>
  <c r="N99" i="68"/>
  <c r="M99" i="68"/>
  <c r="I99" i="68"/>
  <c r="H99" i="68"/>
  <c r="G99" i="68"/>
  <c r="F99" i="68"/>
  <c r="E99" i="68"/>
  <c r="D99" i="68"/>
  <c r="C99" i="68"/>
  <c r="B99" i="68"/>
  <c r="A99" i="68"/>
  <c r="AM98" i="68"/>
  <c r="AL98" i="68"/>
  <c r="AK98" i="68"/>
  <c r="AJ98" i="68"/>
  <c r="AI98" i="68"/>
  <c r="AH98" i="68"/>
  <c r="AG98" i="68"/>
  <c r="AF98" i="68"/>
  <c r="AE98" i="68"/>
  <c r="AD98" i="68"/>
  <c r="AC98" i="68"/>
  <c r="AB98" i="68"/>
  <c r="AA98" i="68"/>
  <c r="X98" i="68"/>
  <c r="W98" i="68"/>
  <c r="U98" i="68"/>
  <c r="T98" i="68"/>
  <c r="R98" i="68"/>
  <c r="Q98" i="68"/>
  <c r="P98" i="68"/>
  <c r="O98" i="68"/>
  <c r="N98" i="68"/>
  <c r="M98" i="68"/>
  <c r="I98" i="68"/>
  <c r="H98" i="68"/>
  <c r="G98" i="68"/>
  <c r="F98" i="68"/>
  <c r="E98" i="68"/>
  <c r="D98" i="68"/>
  <c r="C98" i="68"/>
  <c r="B98" i="68"/>
  <c r="A98" i="68"/>
  <c r="AM97" i="68"/>
  <c r="AL97" i="68"/>
  <c r="AK97" i="68"/>
  <c r="AJ97" i="68"/>
  <c r="AI97" i="68"/>
  <c r="AH97" i="68"/>
  <c r="AG97" i="68"/>
  <c r="AF97" i="68"/>
  <c r="AE97" i="68"/>
  <c r="AD97" i="68"/>
  <c r="AC97" i="68"/>
  <c r="AB97" i="68"/>
  <c r="AA97" i="68"/>
  <c r="X97" i="68"/>
  <c r="W97" i="68"/>
  <c r="U97" i="68"/>
  <c r="T97" i="68"/>
  <c r="R97" i="68"/>
  <c r="Q97" i="68"/>
  <c r="P97" i="68"/>
  <c r="O97" i="68"/>
  <c r="N97" i="68"/>
  <c r="M97" i="68"/>
  <c r="I97" i="68"/>
  <c r="H97" i="68"/>
  <c r="G97" i="68"/>
  <c r="F97" i="68"/>
  <c r="E97" i="68"/>
  <c r="D97" i="68"/>
  <c r="C97" i="68"/>
  <c r="B97" i="68"/>
  <c r="A97" i="68"/>
  <c r="AM96" i="68"/>
  <c r="AL96" i="68"/>
  <c r="AK96" i="68"/>
  <c r="AJ96" i="68"/>
  <c r="AI96" i="68"/>
  <c r="AH96" i="68"/>
  <c r="AG96" i="68"/>
  <c r="AF96" i="68"/>
  <c r="AE96" i="68"/>
  <c r="AD96" i="68"/>
  <c r="AC96" i="68"/>
  <c r="AB96" i="68"/>
  <c r="AA96" i="68"/>
  <c r="Z96" i="68"/>
  <c r="X96" i="68"/>
  <c r="W96" i="68"/>
  <c r="U96" i="68"/>
  <c r="T96" i="68"/>
  <c r="R96" i="68"/>
  <c r="Q96" i="68"/>
  <c r="P96" i="68"/>
  <c r="O96" i="68"/>
  <c r="N96" i="68"/>
  <c r="M96" i="68"/>
  <c r="I96" i="68"/>
  <c r="H96" i="68"/>
  <c r="G96" i="68"/>
  <c r="F96" i="68"/>
  <c r="E96" i="68"/>
  <c r="D96" i="68"/>
  <c r="C96" i="68"/>
  <c r="B96" i="68"/>
  <c r="A96" i="68"/>
  <c r="AM95" i="68"/>
  <c r="AL95" i="68"/>
  <c r="AK95" i="68"/>
  <c r="AJ95" i="68"/>
  <c r="AI95" i="68"/>
  <c r="AH95" i="68"/>
  <c r="AG95" i="68"/>
  <c r="AF95" i="68"/>
  <c r="AE95" i="68"/>
  <c r="AD95" i="68"/>
  <c r="AC95" i="68"/>
  <c r="AB95" i="68"/>
  <c r="AA95" i="68"/>
  <c r="X95" i="68"/>
  <c r="W95" i="68"/>
  <c r="U95" i="68"/>
  <c r="U94" i="68" s="1"/>
  <c r="T95" i="68"/>
  <c r="R95" i="68"/>
  <c r="Q95" i="68"/>
  <c r="P95" i="68"/>
  <c r="O95" i="68"/>
  <c r="N95" i="68"/>
  <c r="M95" i="68"/>
  <c r="I95" i="68"/>
  <c r="H95" i="68"/>
  <c r="G95" i="68"/>
  <c r="F95" i="68"/>
  <c r="E95" i="68"/>
  <c r="D95" i="68"/>
  <c r="C95" i="68"/>
  <c r="B95" i="68"/>
  <c r="A95" i="68"/>
  <c r="T94" i="68"/>
  <c r="M94" i="68"/>
  <c r="L94" i="68"/>
  <c r="AM93" i="68"/>
  <c r="AL93" i="68"/>
  <c r="AK93" i="68"/>
  <c r="AJ93" i="68"/>
  <c r="AI93" i="68"/>
  <c r="AH93" i="68"/>
  <c r="AG93" i="68"/>
  <c r="AF93" i="68"/>
  <c r="AE93" i="68"/>
  <c r="AD93" i="68"/>
  <c r="AC93" i="68"/>
  <c r="AB93" i="68"/>
  <c r="AA93" i="68"/>
  <c r="X93" i="68"/>
  <c r="W93" i="68"/>
  <c r="U93" i="68"/>
  <c r="T93" i="68"/>
  <c r="R93" i="68"/>
  <c r="Q93" i="68"/>
  <c r="P93" i="68"/>
  <c r="O93" i="68"/>
  <c r="N93" i="68"/>
  <c r="M93" i="68"/>
  <c r="I93" i="68"/>
  <c r="H93" i="68"/>
  <c r="G93" i="68"/>
  <c r="F93" i="68"/>
  <c r="E93" i="68"/>
  <c r="D93" i="68"/>
  <c r="C93" i="68"/>
  <c r="B93" i="68"/>
  <c r="A93" i="68"/>
  <c r="AM92" i="68"/>
  <c r="AL92" i="68"/>
  <c r="AK92" i="68"/>
  <c r="AJ92" i="68"/>
  <c r="AI92" i="68"/>
  <c r="AH92" i="68"/>
  <c r="AG92" i="68"/>
  <c r="AF92" i="68"/>
  <c r="AE92" i="68"/>
  <c r="AD92" i="68"/>
  <c r="AC92" i="68"/>
  <c r="AB92" i="68"/>
  <c r="AA92" i="68"/>
  <c r="X92" i="68"/>
  <c r="W92" i="68"/>
  <c r="U92" i="68"/>
  <c r="T92" i="68"/>
  <c r="R92" i="68"/>
  <c r="Q92" i="68"/>
  <c r="P92" i="68"/>
  <c r="O92" i="68"/>
  <c r="N92" i="68"/>
  <c r="M92" i="68"/>
  <c r="I92" i="68"/>
  <c r="H92" i="68"/>
  <c r="G92" i="68"/>
  <c r="F92" i="68"/>
  <c r="E92" i="68"/>
  <c r="D92" i="68"/>
  <c r="C92" i="68"/>
  <c r="B92" i="68"/>
  <c r="A92" i="68"/>
  <c r="AM91" i="68"/>
  <c r="AL91" i="68"/>
  <c r="AK91" i="68"/>
  <c r="AJ91" i="68"/>
  <c r="AI91" i="68"/>
  <c r="AH91" i="68"/>
  <c r="AG91" i="68"/>
  <c r="AF91" i="68"/>
  <c r="AE91" i="68"/>
  <c r="AD91" i="68"/>
  <c r="AC91" i="68"/>
  <c r="AB91" i="68"/>
  <c r="AA91" i="68"/>
  <c r="Y91" i="68"/>
  <c r="X91" i="68"/>
  <c r="W91" i="68"/>
  <c r="U91" i="68"/>
  <c r="U90" i="68" s="1"/>
  <c r="T91" i="68"/>
  <c r="R91" i="68"/>
  <c r="Q91" i="68"/>
  <c r="P91" i="68"/>
  <c r="O91" i="68"/>
  <c r="N91" i="68"/>
  <c r="M91" i="68"/>
  <c r="I91" i="68"/>
  <c r="H91" i="68"/>
  <c r="G91" i="68"/>
  <c r="F91" i="68"/>
  <c r="E91" i="68"/>
  <c r="D91" i="68"/>
  <c r="C91" i="68"/>
  <c r="B91" i="68"/>
  <c r="A91" i="68"/>
  <c r="X90" i="68"/>
  <c r="R90" i="68"/>
  <c r="M90" i="68"/>
  <c r="L90" i="68"/>
  <c r="AM89" i="68"/>
  <c r="AL89" i="68"/>
  <c r="AK89" i="68"/>
  <c r="AJ89" i="68"/>
  <c r="AI89" i="68"/>
  <c r="AH89" i="68"/>
  <c r="AG89" i="68"/>
  <c r="AF89" i="68"/>
  <c r="AE89" i="68"/>
  <c r="AD89" i="68"/>
  <c r="AC89" i="68"/>
  <c r="AB89" i="68"/>
  <c r="AA89" i="68"/>
  <c r="Z89" i="68"/>
  <c r="X89" i="68"/>
  <c r="W89" i="68"/>
  <c r="U89" i="68"/>
  <c r="T89" i="68"/>
  <c r="R89" i="68"/>
  <c r="Q89" i="68"/>
  <c r="P89" i="68"/>
  <c r="O89" i="68"/>
  <c r="N89" i="68"/>
  <c r="M89" i="68"/>
  <c r="I89" i="68"/>
  <c r="H89" i="68"/>
  <c r="G89" i="68"/>
  <c r="F89" i="68"/>
  <c r="E89" i="68"/>
  <c r="D89" i="68"/>
  <c r="C89" i="68"/>
  <c r="B89" i="68"/>
  <c r="A89" i="68"/>
  <c r="AM88" i="68"/>
  <c r="AL88" i="68"/>
  <c r="AK88" i="68"/>
  <c r="AJ88" i="68"/>
  <c r="AI88" i="68"/>
  <c r="AH88" i="68"/>
  <c r="AG88" i="68"/>
  <c r="AF88" i="68"/>
  <c r="AE88" i="68"/>
  <c r="AD88" i="68"/>
  <c r="AC88" i="68"/>
  <c r="AB88" i="68"/>
  <c r="AA88" i="68"/>
  <c r="Z88" i="68"/>
  <c r="X88" i="68"/>
  <c r="W88" i="68"/>
  <c r="U88" i="68"/>
  <c r="T88" i="68"/>
  <c r="R88" i="68"/>
  <c r="Q88" i="68"/>
  <c r="P88" i="68"/>
  <c r="O88" i="68"/>
  <c r="N88" i="68"/>
  <c r="M88" i="68"/>
  <c r="I88" i="68"/>
  <c r="H88" i="68"/>
  <c r="G88" i="68"/>
  <c r="F88" i="68"/>
  <c r="E88" i="68"/>
  <c r="D88" i="68"/>
  <c r="C88" i="68"/>
  <c r="B88" i="68"/>
  <c r="A88" i="68"/>
  <c r="AM87" i="68"/>
  <c r="AL87" i="68"/>
  <c r="AK87" i="68"/>
  <c r="AJ87" i="68"/>
  <c r="AI87" i="68"/>
  <c r="AH87" i="68"/>
  <c r="AG87" i="68"/>
  <c r="AF87" i="68"/>
  <c r="AE87" i="68"/>
  <c r="AD87" i="68"/>
  <c r="AC87" i="68"/>
  <c r="AB87" i="68"/>
  <c r="AA87" i="68"/>
  <c r="Y87" i="68"/>
  <c r="X87" i="68"/>
  <c r="W87" i="68"/>
  <c r="U87" i="68"/>
  <c r="T87" i="68"/>
  <c r="R87" i="68"/>
  <c r="Q87" i="68"/>
  <c r="P87" i="68"/>
  <c r="O87" i="68"/>
  <c r="N87" i="68"/>
  <c r="M87" i="68"/>
  <c r="I87" i="68"/>
  <c r="H87" i="68"/>
  <c r="G87" i="68"/>
  <c r="F87" i="68"/>
  <c r="E87" i="68"/>
  <c r="D87" i="68"/>
  <c r="C87" i="68"/>
  <c r="B87" i="68"/>
  <c r="A87" i="68"/>
  <c r="AM86" i="68"/>
  <c r="AL86" i="68"/>
  <c r="AK86" i="68"/>
  <c r="AJ86" i="68"/>
  <c r="AI86" i="68"/>
  <c r="AH86" i="68"/>
  <c r="AG86" i="68"/>
  <c r="AF86" i="68"/>
  <c r="AE86" i="68"/>
  <c r="AD86" i="68"/>
  <c r="AC86" i="68"/>
  <c r="AB86" i="68"/>
  <c r="AA86" i="68"/>
  <c r="Z86" i="68"/>
  <c r="X86" i="68"/>
  <c r="W86" i="68"/>
  <c r="U86" i="68"/>
  <c r="T86" i="68"/>
  <c r="R86" i="68"/>
  <c r="Q86" i="68"/>
  <c r="P86" i="68"/>
  <c r="O86" i="68"/>
  <c r="N86" i="68"/>
  <c r="M86" i="68"/>
  <c r="I86" i="68"/>
  <c r="H86" i="68"/>
  <c r="G86" i="68"/>
  <c r="F86" i="68"/>
  <c r="E86" i="68"/>
  <c r="D86" i="68"/>
  <c r="C86" i="68"/>
  <c r="B86" i="68"/>
  <c r="A86" i="68"/>
  <c r="AM85" i="68"/>
  <c r="AL85" i="68"/>
  <c r="AK85" i="68"/>
  <c r="AJ85" i="68"/>
  <c r="AI85" i="68"/>
  <c r="AH85" i="68"/>
  <c r="AG85" i="68"/>
  <c r="AF85" i="68"/>
  <c r="AE85" i="68"/>
  <c r="AD85" i="68"/>
  <c r="AC85" i="68"/>
  <c r="AB85" i="68"/>
  <c r="AA85" i="68"/>
  <c r="Z85" i="68"/>
  <c r="X85" i="68"/>
  <c r="W85" i="68"/>
  <c r="U85" i="68"/>
  <c r="T85" i="68"/>
  <c r="R85" i="68"/>
  <c r="Q85" i="68"/>
  <c r="P85" i="68"/>
  <c r="O85" i="68"/>
  <c r="N85" i="68"/>
  <c r="M85" i="68"/>
  <c r="I85" i="68"/>
  <c r="H85" i="68"/>
  <c r="G85" i="68"/>
  <c r="F85" i="68"/>
  <c r="E85" i="68"/>
  <c r="D85" i="68"/>
  <c r="C85" i="68"/>
  <c r="B85" i="68"/>
  <c r="A85" i="68"/>
  <c r="AM84" i="68"/>
  <c r="AL84" i="68"/>
  <c r="AK84" i="68"/>
  <c r="AJ84" i="68"/>
  <c r="AI84" i="68"/>
  <c r="AH84" i="68"/>
  <c r="AG84" i="68"/>
  <c r="AF84" i="68"/>
  <c r="AE84" i="68"/>
  <c r="AD84" i="68"/>
  <c r="AC84" i="68"/>
  <c r="AB84" i="68"/>
  <c r="AA84" i="68"/>
  <c r="Z84" i="68"/>
  <c r="X84" i="68"/>
  <c r="W84" i="68"/>
  <c r="U84" i="68"/>
  <c r="T84" i="68"/>
  <c r="R84" i="68"/>
  <c r="Q84" i="68"/>
  <c r="P84" i="68"/>
  <c r="O84" i="68"/>
  <c r="N84" i="68"/>
  <c r="M84" i="68"/>
  <c r="I84" i="68"/>
  <c r="H84" i="68"/>
  <c r="G84" i="68"/>
  <c r="F84" i="68"/>
  <c r="E84" i="68"/>
  <c r="D84" i="68"/>
  <c r="C84" i="68"/>
  <c r="B84" i="68"/>
  <c r="A84" i="68"/>
  <c r="AM83" i="68"/>
  <c r="AL83" i="68"/>
  <c r="AK83" i="68"/>
  <c r="AJ83" i="68"/>
  <c r="AI83" i="68"/>
  <c r="AH83" i="68"/>
  <c r="AG83" i="68"/>
  <c r="AF83" i="68"/>
  <c r="AE83" i="68"/>
  <c r="AD83" i="68"/>
  <c r="AC83" i="68"/>
  <c r="AB83" i="68"/>
  <c r="AA83" i="68"/>
  <c r="Z83" i="68"/>
  <c r="X83" i="68"/>
  <c r="W83" i="68"/>
  <c r="U83" i="68"/>
  <c r="T83" i="68"/>
  <c r="R83" i="68"/>
  <c r="Q83" i="68"/>
  <c r="P83" i="68"/>
  <c r="O83" i="68"/>
  <c r="N83" i="68"/>
  <c r="M83" i="68"/>
  <c r="I83" i="68"/>
  <c r="H83" i="68"/>
  <c r="G83" i="68"/>
  <c r="F83" i="68"/>
  <c r="E83" i="68"/>
  <c r="D83" i="68"/>
  <c r="C83" i="68"/>
  <c r="B83" i="68"/>
  <c r="A83" i="68"/>
  <c r="AM82" i="68"/>
  <c r="AL82" i="68"/>
  <c r="AK82" i="68"/>
  <c r="AJ82" i="68"/>
  <c r="AI82" i="68"/>
  <c r="AH82" i="68"/>
  <c r="AG82" i="68"/>
  <c r="AF82" i="68"/>
  <c r="AE82" i="68"/>
  <c r="AD82" i="68"/>
  <c r="AC82" i="68"/>
  <c r="AB82" i="68"/>
  <c r="AA82" i="68"/>
  <c r="Z82" i="68"/>
  <c r="X82" i="68"/>
  <c r="W82" i="68"/>
  <c r="U82" i="68"/>
  <c r="T82" i="68"/>
  <c r="R82" i="68"/>
  <c r="Q82" i="68"/>
  <c r="P82" i="68"/>
  <c r="O82" i="68"/>
  <c r="N82" i="68"/>
  <c r="M82" i="68"/>
  <c r="I82" i="68"/>
  <c r="H82" i="68"/>
  <c r="G82" i="68"/>
  <c r="F82" i="68"/>
  <c r="E82" i="68"/>
  <c r="D82" i="68"/>
  <c r="C82" i="68"/>
  <c r="B82" i="68"/>
  <c r="A82" i="68"/>
  <c r="AM81" i="68"/>
  <c r="AL81" i="68"/>
  <c r="AK81" i="68"/>
  <c r="AJ81" i="68"/>
  <c r="AI81" i="68"/>
  <c r="AH81" i="68"/>
  <c r="AG81" i="68"/>
  <c r="AF81" i="68"/>
  <c r="AE81" i="68"/>
  <c r="AD81" i="68"/>
  <c r="AC81" i="68"/>
  <c r="AB81" i="68"/>
  <c r="AA81" i="68"/>
  <c r="Z81" i="68"/>
  <c r="X81" i="68"/>
  <c r="X76" i="68" s="1"/>
  <c r="W81" i="68"/>
  <c r="U81" i="68"/>
  <c r="T81" i="68"/>
  <c r="R81" i="68"/>
  <c r="Q81" i="68"/>
  <c r="P81" i="68"/>
  <c r="O81" i="68"/>
  <c r="N81" i="68"/>
  <c r="M81" i="68"/>
  <c r="I81" i="68"/>
  <c r="H81" i="68"/>
  <c r="G81" i="68"/>
  <c r="F81" i="68"/>
  <c r="E81" i="68"/>
  <c r="D81" i="68"/>
  <c r="C81" i="68"/>
  <c r="B81" i="68"/>
  <c r="A81" i="68"/>
  <c r="AM80" i="68"/>
  <c r="AL80" i="68"/>
  <c r="AK80" i="68"/>
  <c r="AJ80" i="68"/>
  <c r="AI80" i="68"/>
  <c r="AH80" i="68"/>
  <c r="AG80" i="68"/>
  <c r="AF80" i="68"/>
  <c r="AE80" i="68"/>
  <c r="AD80" i="68"/>
  <c r="AC80" i="68"/>
  <c r="AB80" i="68"/>
  <c r="AA80" i="68"/>
  <c r="Z80" i="68"/>
  <c r="Y80" i="68"/>
  <c r="X80" i="68"/>
  <c r="W80" i="68"/>
  <c r="U80" i="68"/>
  <c r="T80" i="68"/>
  <c r="R80" i="68"/>
  <c r="Q80" i="68"/>
  <c r="P80" i="68"/>
  <c r="O80" i="68"/>
  <c r="N80" i="68"/>
  <c r="I80" i="68"/>
  <c r="H80" i="68"/>
  <c r="G80" i="68"/>
  <c r="F80" i="68"/>
  <c r="E80" i="68"/>
  <c r="D80" i="68"/>
  <c r="C80" i="68"/>
  <c r="B80" i="68"/>
  <c r="A80" i="68"/>
  <c r="AM79" i="68"/>
  <c r="AL79" i="68"/>
  <c r="AK79" i="68"/>
  <c r="AJ79" i="68"/>
  <c r="AI79" i="68"/>
  <c r="AH79" i="68"/>
  <c r="AG79" i="68"/>
  <c r="AF79" i="68"/>
  <c r="AE79" i="68"/>
  <c r="AD79" i="68"/>
  <c r="AC79" i="68"/>
  <c r="AB79" i="68"/>
  <c r="AA79" i="68"/>
  <c r="Z79" i="68"/>
  <c r="Y79" i="68"/>
  <c r="X79" i="68"/>
  <c r="W79" i="68"/>
  <c r="U79" i="68"/>
  <c r="T79" i="68"/>
  <c r="R79" i="68"/>
  <c r="Q79" i="68"/>
  <c r="P79" i="68"/>
  <c r="O79" i="68"/>
  <c r="N79" i="68"/>
  <c r="I79" i="68"/>
  <c r="H79" i="68"/>
  <c r="G79" i="68"/>
  <c r="F79" i="68"/>
  <c r="E79" i="68"/>
  <c r="D79" i="68"/>
  <c r="C79" i="68"/>
  <c r="B79" i="68"/>
  <c r="A79" i="68"/>
  <c r="AM78" i="68"/>
  <c r="AL78" i="68"/>
  <c r="AK78" i="68"/>
  <c r="AJ78" i="68"/>
  <c r="AI78" i="68"/>
  <c r="AH78" i="68"/>
  <c r="AG78" i="68"/>
  <c r="AF78" i="68"/>
  <c r="AE78" i="68"/>
  <c r="AD78" i="68"/>
  <c r="AC78" i="68"/>
  <c r="AB78" i="68"/>
  <c r="AA78" i="68"/>
  <c r="Z78" i="68"/>
  <c r="Y78" i="68"/>
  <c r="X78" i="68"/>
  <c r="W78" i="68"/>
  <c r="U78" i="68"/>
  <c r="T78" i="68"/>
  <c r="R78" i="68"/>
  <c r="Q78" i="68"/>
  <c r="P78" i="68"/>
  <c r="O78" i="68"/>
  <c r="N78" i="68"/>
  <c r="I78" i="68"/>
  <c r="H78" i="68"/>
  <c r="G78" i="68"/>
  <c r="F78" i="68"/>
  <c r="E78" i="68"/>
  <c r="D78" i="68"/>
  <c r="C78" i="68"/>
  <c r="B78" i="68"/>
  <c r="A78" i="68"/>
  <c r="AM77" i="68"/>
  <c r="AL77" i="68"/>
  <c r="AK77" i="68"/>
  <c r="AJ77" i="68"/>
  <c r="AI77" i="68"/>
  <c r="AH77" i="68"/>
  <c r="AG77" i="68"/>
  <c r="AF77" i="68"/>
  <c r="AE77" i="68"/>
  <c r="AD77" i="68"/>
  <c r="AC77" i="68"/>
  <c r="AB77" i="68"/>
  <c r="AA77" i="68"/>
  <c r="X77" i="68"/>
  <c r="W77" i="68"/>
  <c r="Q77" i="68"/>
  <c r="P77" i="68"/>
  <c r="O77" i="68"/>
  <c r="N77" i="68"/>
  <c r="M77" i="68"/>
  <c r="I77" i="68"/>
  <c r="H77" i="68"/>
  <c r="G77" i="68"/>
  <c r="F77" i="68"/>
  <c r="E77" i="68"/>
  <c r="D77" i="68"/>
  <c r="C77" i="68"/>
  <c r="B77" i="68"/>
  <c r="A77" i="68"/>
  <c r="M76" i="68"/>
  <c r="L76" i="68"/>
  <c r="AM75" i="68"/>
  <c r="AL75" i="68"/>
  <c r="AK75" i="68"/>
  <c r="AJ75" i="68"/>
  <c r="AI75" i="68"/>
  <c r="AH75" i="68"/>
  <c r="AG75" i="68"/>
  <c r="AF75" i="68"/>
  <c r="AE75" i="68"/>
  <c r="AD75" i="68"/>
  <c r="AC75" i="68"/>
  <c r="AB75" i="68"/>
  <c r="AA75" i="68"/>
  <c r="Z75" i="68"/>
  <c r="X75" i="68"/>
  <c r="W75" i="68"/>
  <c r="U75" i="68"/>
  <c r="R75" i="68"/>
  <c r="Q75" i="68"/>
  <c r="P75" i="68"/>
  <c r="O75" i="68"/>
  <c r="N75" i="68"/>
  <c r="M75" i="68"/>
  <c r="I75" i="68"/>
  <c r="H75" i="68"/>
  <c r="G75" i="68"/>
  <c r="F75" i="68"/>
  <c r="E75" i="68"/>
  <c r="D75" i="68"/>
  <c r="C75" i="68"/>
  <c r="B75" i="68"/>
  <c r="A75" i="68"/>
  <c r="AM74" i="68"/>
  <c r="AL74" i="68"/>
  <c r="AK74" i="68"/>
  <c r="AJ74" i="68"/>
  <c r="AI74" i="68"/>
  <c r="AH74" i="68"/>
  <c r="AG74" i="68"/>
  <c r="AF74" i="68"/>
  <c r="AE74" i="68"/>
  <c r="AD74" i="68"/>
  <c r="AC74" i="68"/>
  <c r="AB74" i="68"/>
  <c r="AA74" i="68"/>
  <c r="Z74" i="68"/>
  <c r="X74" i="68"/>
  <c r="W74" i="68"/>
  <c r="U74" i="68"/>
  <c r="R74" i="68"/>
  <c r="Q74" i="68"/>
  <c r="P74" i="68"/>
  <c r="O74" i="68"/>
  <c r="N74" i="68"/>
  <c r="M74" i="68"/>
  <c r="I74" i="68"/>
  <c r="H74" i="68"/>
  <c r="G74" i="68"/>
  <c r="F74" i="68"/>
  <c r="E74" i="68"/>
  <c r="D74" i="68"/>
  <c r="C74" i="68"/>
  <c r="B74" i="68"/>
  <c r="A74" i="68"/>
  <c r="AM73" i="68"/>
  <c r="AL73" i="68"/>
  <c r="AK73" i="68"/>
  <c r="AJ73" i="68"/>
  <c r="AI73" i="68"/>
  <c r="AH73" i="68"/>
  <c r="AG73" i="68"/>
  <c r="AF73" i="68"/>
  <c r="AE73" i="68"/>
  <c r="AD73" i="68"/>
  <c r="AC73" i="68"/>
  <c r="AB73" i="68"/>
  <c r="AA73" i="68"/>
  <c r="Z73" i="68"/>
  <c r="Y73" i="68"/>
  <c r="X73" i="68"/>
  <c r="W73" i="68"/>
  <c r="U73" i="68"/>
  <c r="R73" i="68"/>
  <c r="Q73" i="68"/>
  <c r="P73" i="68"/>
  <c r="N73" i="68"/>
  <c r="I73" i="68"/>
  <c r="H73" i="68"/>
  <c r="G73" i="68"/>
  <c r="F73" i="68"/>
  <c r="E73" i="68"/>
  <c r="D73" i="68"/>
  <c r="C73" i="68"/>
  <c r="B73" i="68"/>
  <c r="A73" i="68"/>
  <c r="AM72" i="68"/>
  <c r="AL72" i="68"/>
  <c r="AK72" i="68"/>
  <c r="AJ72" i="68"/>
  <c r="AI72" i="68"/>
  <c r="AH72" i="68"/>
  <c r="AG72" i="68"/>
  <c r="AF72" i="68"/>
  <c r="AE72" i="68"/>
  <c r="AD72" i="68"/>
  <c r="AC72" i="68"/>
  <c r="AB72" i="68"/>
  <c r="AA72" i="68"/>
  <c r="Z72" i="68"/>
  <c r="Y72" i="68"/>
  <c r="X72" i="68"/>
  <c r="W72" i="68"/>
  <c r="U72" i="68"/>
  <c r="R72" i="68"/>
  <c r="Q72" i="68"/>
  <c r="P72" i="68"/>
  <c r="N72" i="68"/>
  <c r="I72" i="68"/>
  <c r="H72" i="68"/>
  <c r="G72" i="68"/>
  <c r="F72" i="68"/>
  <c r="E72" i="68"/>
  <c r="D72" i="68"/>
  <c r="C72" i="68"/>
  <c r="B72" i="68"/>
  <c r="A72" i="68"/>
  <c r="AM71" i="68"/>
  <c r="AL71" i="68"/>
  <c r="AK71" i="68"/>
  <c r="AJ71" i="68"/>
  <c r="AI71" i="68"/>
  <c r="AH71" i="68"/>
  <c r="AG71" i="68"/>
  <c r="AF71" i="68"/>
  <c r="AE71" i="68"/>
  <c r="AD71" i="68"/>
  <c r="AC71" i="68"/>
  <c r="AB71" i="68"/>
  <c r="AA71" i="68"/>
  <c r="X71" i="68"/>
  <c r="W71" i="68"/>
  <c r="U71" i="68"/>
  <c r="R71" i="68"/>
  <c r="Q71" i="68"/>
  <c r="P71" i="68"/>
  <c r="O71" i="68"/>
  <c r="N71" i="68"/>
  <c r="M71" i="68"/>
  <c r="I71" i="68"/>
  <c r="H71" i="68"/>
  <c r="G71" i="68"/>
  <c r="F71" i="68"/>
  <c r="E71" i="68"/>
  <c r="D71" i="68"/>
  <c r="C71" i="68"/>
  <c r="B71" i="68"/>
  <c r="A71" i="68"/>
  <c r="AM70" i="68"/>
  <c r="AL70" i="68"/>
  <c r="AK70" i="68"/>
  <c r="AJ70" i="68"/>
  <c r="AI70" i="68"/>
  <c r="AH70" i="68"/>
  <c r="AG70" i="68"/>
  <c r="AF70" i="68"/>
  <c r="AE70" i="68"/>
  <c r="AD70" i="68"/>
  <c r="AC70" i="68"/>
  <c r="AB70" i="68"/>
  <c r="AA70" i="68"/>
  <c r="Y70" i="68"/>
  <c r="X70" i="68"/>
  <c r="W70" i="68"/>
  <c r="U70" i="68"/>
  <c r="U69" i="68" s="1"/>
  <c r="R70" i="68"/>
  <c r="R69" i="68" s="1"/>
  <c r="Q70" i="68"/>
  <c r="P70" i="68"/>
  <c r="O70" i="68"/>
  <c r="N70" i="68"/>
  <c r="M70" i="68"/>
  <c r="I70" i="68"/>
  <c r="H70" i="68"/>
  <c r="G70" i="68"/>
  <c r="F70" i="68"/>
  <c r="E70" i="68"/>
  <c r="D70" i="68"/>
  <c r="C70" i="68"/>
  <c r="B70" i="68"/>
  <c r="A70" i="68"/>
  <c r="X69" i="68"/>
  <c r="M69" i="68"/>
  <c r="L69" i="68"/>
  <c r="AM68" i="68"/>
  <c r="AL68" i="68"/>
  <c r="AK68" i="68"/>
  <c r="AJ68" i="68"/>
  <c r="AI68" i="68"/>
  <c r="AH68" i="68"/>
  <c r="AG68" i="68"/>
  <c r="AF68" i="68"/>
  <c r="AE68" i="68"/>
  <c r="AD68" i="68"/>
  <c r="AC68" i="68"/>
  <c r="AB68" i="68"/>
  <c r="AA68" i="68"/>
  <c r="Y68" i="68"/>
  <c r="X68" i="68"/>
  <c r="W68" i="68"/>
  <c r="U68" i="68"/>
  <c r="R68" i="68"/>
  <c r="Q68" i="68"/>
  <c r="P68" i="68"/>
  <c r="O68" i="68"/>
  <c r="N68" i="68"/>
  <c r="M68" i="68"/>
  <c r="I68" i="68"/>
  <c r="H68" i="68"/>
  <c r="G68" i="68"/>
  <c r="F68" i="68"/>
  <c r="E68" i="68"/>
  <c r="D68" i="68"/>
  <c r="C68" i="68"/>
  <c r="B68" i="68"/>
  <c r="A68" i="68"/>
  <c r="AM67" i="68"/>
  <c r="AL67" i="68"/>
  <c r="AK67" i="68"/>
  <c r="AJ67" i="68"/>
  <c r="AI67" i="68"/>
  <c r="AH67" i="68"/>
  <c r="AG67" i="68"/>
  <c r="AF67" i="68"/>
  <c r="AE67" i="68"/>
  <c r="AD67" i="68"/>
  <c r="AC67" i="68"/>
  <c r="AB67" i="68"/>
  <c r="AA67" i="68"/>
  <c r="X67" i="68"/>
  <c r="W67" i="68"/>
  <c r="U67" i="68"/>
  <c r="U66" i="68" s="1"/>
  <c r="R67" i="68"/>
  <c r="Q67" i="68"/>
  <c r="P67" i="68"/>
  <c r="O67" i="68"/>
  <c r="N67" i="68"/>
  <c r="M67" i="68"/>
  <c r="I67" i="68"/>
  <c r="H67" i="68"/>
  <c r="G67" i="68"/>
  <c r="F67" i="68"/>
  <c r="E67" i="68"/>
  <c r="D67" i="68"/>
  <c r="C67" i="68"/>
  <c r="B67" i="68"/>
  <c r="A67" i="68"/>
  <c r="R66" i="68"/>
  <c r="M66" i="68"/>
  <c r="L66" i="68"/>
  <c r="AE65" i="68"/>
  <c r="AD65" i="68"/>
  <c r="AC65" i="68"/>
  <c r="AB65" i="68"/>
  <c r="AA65" i="68"/>
  <c r="Z65" i="68"/>
  <c r="Y65" i="68"/>
  <c r="X65" i="68"/>
  <c r="W65" i="68"/>
  <c r="U65" i="68"/>
  <c r="T65" i="68"/>
  <c r="S65" i="68"/>
  <c r="R65" i="68"/>
  <c r="Q65" i="68"/>
  <c r="P65" i="68"/>
  <c r="O65" i="68"/>
  <c r="N65" i="68"/>
  <c r="M65" i="68"/>
  <c r="AM64" i="68"/>
  <c r="AL64" i="68"/>
  <c r="AK64" i="68"/>
  <c r="AJ64" i="68"/>
  <c r="AI64" i="68"/>
  <c r="AH64" i="68"/>
  <c r="AG64" i="68"/>
  <c r="AF64" i="68"/>
  <c r="AE64" i="68"/>
  <c r="AD64" i="68"/>
  <c r="AC64" i="68"/>
  <c r="AB64" i="68"/>
  <c r="AA64" i="68"/>
  <c r="X64" i="68"/>
  <c r="W64" i="68"/>
  <c r="U64" i="68"/>
  <c r="R64" i="68"/>
  <c r="Q64" i="68"/>
  <c r="P64" i="68"/>
  <c r="O64" i="68"/>
  <c r="N64" i="68"/>
  <c r="M64" i="68"/>
  <c r="I64" i="68"/>
  <c r="H64" i="68"/>
  <c r="G64" i="68"/>
  <c r="F64" i="68"/>
  <c r="E64" i="68"/>
  <c r="D64" i="68"/>
  <c r="C64" i="68"/>
  <c r="B64" i="68"/>
  <c r="A64" i="68"/>
  <c r="AM63" i="68"/>
  <c r="AL63" i="68"/>
  <c r="AK63" i="68"/>
  <c r="AJ63" i="68"/>
  <c r="AI63" i="68"/>
  <c r="AH63" i="68"/>
  <c r="AG63" i="68"/>
  <c r="AF63" i="68"/>
  <c r="AE63" i="68"/>
  <c r="AD63" i="68"/>
  <c r="AC63" i="68"/>
  <c r="AB63" i="68"/>
  <c r="AA63" i="68"/>
  <c r="X63" i="68"/>
  <c r="W63" i="68"/>
  <c r="U63" i="68"/>
  <c r="R63" i="68"/>
  <c r="Q63" i="68"/>
  <c r="P63" i="68"/>
  <c r="O63" i="68"/>
  <c r="N63" i="68"/>
  <c r="M63" i="68"/>
  <c r="I63" i="68"/>
  <c r="H63" i="68"/>
  <c r="G63" i="68"/>
  <c r="F63" i="68"/>
  <c r="E63" i="68"/>
  <c r="D63" i="68"/>
  <c r="C63" i="68"/>
  <c r="B63" i="68"/>
  <c r="A63" i="68"/>
  <c r="AM62" i="68"/>
  <c r="AL62" i="68"/>
  <c r="AK62" i="68"/>
  <c r="AJ62" i="68"/>
  <c r="AI62" i="68"/>
  <c r="AH62" i="68"/>
  <c r="AG62" i="68"/>
  <c r="AF62" i="68"/>
  <c r="AE62" i="68"/>
  <c r="AD62" i="68"/>
  <c r="AC62" i="68"/>
  <c r="AB62" i="68"/>
  <c r="AA62" i="68"/>
  <c r="Z62" i="68"/>
  <c r="Y62" i="68"/>
  <c r="X62" i="68"/>
  <c r="W62" i="68"/>
  <c r="U62" i="68"/>
  <c r="T62" i="68"/>
  <c r="R62" i="68"/>
  <c r="Q62" i="68"/>
  <c r="P62" i="68"/>
  <c r="N62" i="68"/>
  <c r="I62" i="68"/>
  <c r="H62" i="68"/>
  <c r="G62" i="68"/>
  <c r="F62" i="68"/>
  <c r="E62" i="68"/>
  <c r="D62" i="68"/>
  <c r="C62" i="68"/>
  <c r="B62" i="68"/>
  <c r="A62" i="68"/>
  <c r="AM61" i="68"/>
  <c r="AL61" i="68"/>
  <c r="AK61" i="68"/>
  <c r="AJ61" i="68"/>
  <c r="AI61" i="68"/>
  <c r="AH61" i="68"/>
  <c r="AG61" i="68"/>
  <c r="AF61" i="68"/>
  <c r="AE61" i="68"/>
  <c r="AD61" i="68"/>
  <c r="AC61" i="68"/>
  <c r="AB61" i="68"/>
  <c r="AA61" i="68"/>
  <c r="Z61" i="68"/>
  <c r="Y61" i="68"/>
  <c r="X61" i="68"/>
  <c r="W61" i="68"/>
  <c r="U61" i="68"/>
  <c r="T61" i="68"/>
  <c r="R61" i="68"/>
  <c r="Q61" i="68"/>
  <c r="P61" i="68"/>
  <c r="N61" i="68"/>
  <c r="I61" i="68"/>
  <c r="H61" i="68"/>
  <c r="G61" i="68"/>
  <c r="F61" i="68"/>
  <c r="E61" i="68"/>
  <c r="D61" i="68"/>
  <c r="C61" i="68"/>
  <c r="B61" i="68"/>
  <c r="A61" i="68"/>
  <c r="AM60" i="68"/>
  <c r="AL60" i="68"/>
  <c r="AK60" i="68"/>
  <c r="AJ60" i="68"/>
  <c r="AI60" i="68"/>
  <c r="AH60" i="68"/>
  <c r="AG60" i="68"/>
  <c r="AF60" i="68"/>
  <c r="AE60" i="68"/>
  <c r="AD60" i="68"/>
  <c r="AC60" i="68"/>
  <c r="AB60" i="68"/>
  <c r="AA60" i="68"/>
  <c r="Z60" i="68"/>
  <c r="Y60" i="68"/>
  <c r="X60" i="68"/>
  <c r="W60" i="68"/>
  <c r="U60" i="68"/>
  <c r="R60" i="68"/>
  <c r="Q60" i="68"/>
  <c r="P60" i="68"/>
  <c r="N60" i="68"/>
  <c r="I60" i="68"/>
  <c r="H60" i="68"/>
  <c r="G60" i="68"/>
  <c r="F60" i="68"/>
  <c r="E60" i="68"/>
  <c r="D60" i="68"/>
  <c r="C60" i="68"/>
  <c r="B60" i="68"/>
  <c r="A60" i="68"/>
  <c r="AM59" i="68"/>
  <c r="AL59" i="68"/>
  <c r="AK59" i="68"/>
  <c r="AJ59" i="68"/>
  <c r="AI59" i="68"/>
  <c r="AH59" i="68"/>
  <c r="AG59" i="68"/>
  <c r="AF59" i="68"/>
  <c r="AE59" i="68"/>
  <c r="AD59" i="68"/>
  <c r="AC59" i="68"/>
  <c r="AB59" i="68"/>
  <c r="X59" i="68"/>
  <c r="W59" i="68"/>
  <c r="U59" i="68"/>
  <c r="R59" i="68"/>
  <c r="Q59" i="68"/>
  <c r="P59" i="68"/>
  <c r="O59" i="68"/>
  <c r="N59" i="68"/>
  <c r="M59" i="68"/>
  <c r="I59" i="68"/>
  <c r="H59" i="68"/>
  <c r="G59" i="68"/>
  <c r="F59" i="68"/>
  <c r="E59" i="68"/>
  <c r="D59" i="68"/>
  <c r="C59" i="68"/>
  <c r="B59" i="68"/>
  <c r="A59" i="68"/>
  <c r="AM58" i="68"/>
  <c r="AL58" i="68"/>
  <c r="AK58" i="68"/>
  <c r="AJ58" i="68"/>
  <c r="AI58" i="68"/>
  <c r="AH58" i="68"/>
  <c r="AG58" i="68"/>
  <c r="AF58" i="68"/>
  <c r="AE58" i="68"/>
  <c r="AD58" i="68"/>
  <c r="AC58" i="68"/>
  <c r="AB58" i="68"/>
  <c r="AA58" i="68"/>
  <c r="Y58" i="68"/>
  <c r="X58" i="68"/>
  <c r="W58" i="68"/>
  <c r="U58" i="68"/>
  <c r="R58" i="68"/>
  <c r="Q58" i="68"/>
  <c r="P58" i="68"/>
  <c r="O58" i="68"/>
  <c r="N58" i="68"/>
  <c r="M58" i="68"/>
  <c r="I58" i="68"/>
  <c r="H58" i="68"/>
  <c r="G58" i="68"/>
  <c r="F58" i="68"/>
  <c r="E58" i="68"/>
  <c r="D58" i="68"/>
  <c r="C58" i="68"/>
  <c r="B58" i="68"/>
  <c r="A58" i="68"/>
  <c r="AM57" i="68"/>
  <c r="AL57" i="68"/>
  <c r="AK57" i="68"/>
  <c r="AJ57" i="68"/>
  <c r="AI57" i="68"/>
  <c r="AH57" i="68"/>
  <c r="AG57" i="68"/>
  <c r="AF57" i="68"/>
  <c r="AE57" i="68"/>
  <c r="AD57" i="68"/>
  <c r="AC57" i="68"/>
  <c r="AB57" i="68"/>
  <c r="AA57" i="68"/>
  <c r="X57" i="68"/>
  <c r="W57" i="68"/>
  <c r="U57" i="68"/>
  <c r="R57" i="68"/>
  <c r="Q57" i="68"/>
  <c r="P57" i="68"/>
  <c r="O57" i="68"/>
  <c r="N57" i="68"/>
  <c r="M57" i="68"/>
  <c r="I57" i="68"/>
  <c r="H57" i="68"/>
  <c r="G57" i="68"/>
  <c r="F57" i="68"/>
  <c r="E57" i="68"/>
  <c r="D57" i="68"/>
  <c r="C57" i="68"/>
  <c r="B57" i="68"/>
  <c r="A57" i="68"/>
  <c r="AM56" i="68"/>
  <c r="AL56" i="68"/>
  <c r="AK56" i="68"/>
  <c r="AJ56" i="68"/>
  <c r="AI56" i="68"/>
  <c r="AH56" i="68"/>
  <c r="AG56" i="68"/>
  <c r="AF56" i="68"/>
  <c r="AE56" i="68"/>
  <c r="AD56" i="68"/>
  <c r="AC56" i="68"/>
  <c r="AB56" i="68"/>
  <c r="AA56" i="68"/>
  <c r="Z56" i="68"/>
  <c r="Y56" i="68"/>
  <c r="X56" i="68"/>
  <c r="W56" i="68"/>
  <c r="U56" i="68"/>
  <c r="R56" i="68"/>
  <c r="Q56" i="68"/>
  <c r="P56" i="68"/>
  <c r="O56" i="68"/>
  <c r="N56" i="68"/>
  <c r="AM55" i="68"/>
  <c r="AL55" i="68"/>
  <c r="AK55" i="68"/>
  <c r="AJ55" i="68"/>
  <c r="AI55" i="68"/>
  <c r="AH55" i="68"/>
  <c r="AG55" i="68"/>
  <c r="AF55" i="68"/>
  <c r="AE55" i="68"/>
  <c r="AD55" i="68"/>
  <c r="AC55" i="68"/>
  <c r="AB55" i="68"/>
  <c r="AA55" i="68"/>
  <c r="Z55" i="68"/>
  <c r="Y55" i="68"/>
  <c r="X55" i="68"/>
  <c r="W55" i="68"/>
  <c r="U55" i="68"/>
  <c r="R55" i="68"/>
  <c r="Q55" i="68"/>
  <c r="P55" i="68"/>
  <c r="O55" i="68"/>
  <c r="N55" i="68"/>
  <c r="AM54" i="68"/>
  <c r="AL54" i="68"/>
  <c r="AK54" i="68"/>
  <c r="AJ54" i="68"/>
  <c r="AI54" i="68"/>
  <c r="AH54" i="68"/>
  <c r="AG54" i="68"/>
  <c r="AF54" i="68"/>
  <c r="AE54" i="68"/>
  <c r="AD54" i="68"/>
  <c r="AC54" i="68"/>
  <c r="AB54" i="68"/>
  <c r="AA54" i="68"/>
  <c r="Z54" i="68"/>
  <c r="X54" i="68"/>
  <c r="W54" i="68"/>
  <c r="U54" i="68"/>
  <c r="R54" i="68"/>
  <c r="Q54" i="68"/>
  <c r="P54" i="68"/>
  <c r="O54" i="68"/>
  <c r="N54" i="68"/>
  <c r="M54" i="68"/>
  <c r="I54" i="68"/>
  <c r="H54" i="68"/>
  <c r="G54" i="68"/>
  <c r="F54" i="68"/>
  <c r="E54" i="68"/>
  <c r="D54" i="68"/>
  <c r="C54" i="68"/>
  <c r="B54" i="68"/>
  <c r="A54" i="68"/>
  <c r="X53" i="68"/>
  <c r="M53" i="68"/>
  <c r="L53" i="68"/>
  <c r="AE52" i="68"/>
  <c r="AD52" i="68"/>
  <c r="AC52" i="68"/>
  <c r="AB52" i="68"/>
  <c r="AA52" i="68"/>
  <c r="Z52" i="68"/>
  <c r="Y52" i="68"/>
  <c r="X52" i="68"/>
  <c r="W52" i="68"/>
  <c r="V52" i="68"/>
  <c r="U52" i="68"/>
  <c r="T52" i="68"/>
  <c r="R52" i="68"/>
  <c r="Q52" i="68"/>
  <c r="P52" i="68"/>
  <c r="O52" i="68"/>
  <c r="N52" i="68"/>
  <c r="M52" i="68"/>
  <c r="AM51" i="68"/>
  <c r="AL51" i="68"/>
  <c r="AK51" i="68"/>
  <c r="AJ51" i="68"/>
  <c r="AI51" i="68"/>
  <c r="AH51" i="68"/>
  <c r="AG51" i="68"/>
  <c r="AF51" i="68"/>
  <c r="AE51" i="68"/>
  <c r="AD51" i="68"/>
  <c r="AC51" i="68"/>
  <c r="AB51" i="68"/>
  <c r="AA51" i="68"/>
  <c r="Y51" i="68"/>
  <c r="X51" i="68"/>
  <c r="W51" i="68"/>
  <c r="U51" i="68"/>
  <c r="T51" i="68"/>
  <c r="R51" i="68"/>
  <c r="Q51" i="68"/>
  <c r="P51" i="68"/>
  <c r="O51" i="68"/>
  <c r="N51" i="68"/>
  <c r="AM50" i="68"/>
  <c r="AL50" i="68"/>
  <c r="AK50" i="68"/>
  <c r="AJ50" i="68"/>
  <c r="AI50" i="68"/>
  <c r="AH50" i="68"/>
  <c r="AG50" i="68"/>
  <c r="AF50" i="68"/>
  <c r="AE50" i="68"/>
  <c r="AD50" i="68"/>
  <c r="AC50" i="68"/>
  <c r="AB50" i="68"/>
  <c r="AA50" i="68"/>
  <c r="Y50" i="68"/>
  <c r="X50" i="68"/>
  <c r="W50" i="68"/>
  <c r="U50" i="68"/>
  <c r="T50" i="68"/>
  <c r="R50" i="68"/>
  <c r="Q50" i="68"/>
  <c r="P50" i="68"/>
  <c r="O50" i="68"/>
  <c r="N50" i="68"/>
  <c r="I50" i="68"/>
  <c r="H50" i="68"/>
  <c r="G50" i="68"/>
  <c r="F50" i="68"/>
  <c r="E50" i="68"/>
  <c r="D50" i="68"/>
  <c r="C50" i="68"/>
  <c r="B50" i="68"/>
  <c r="A50" i="68"/>
  <c r="AM49" i="68"/>
  <c r="AL49" i="68"/>
  <c r="AK49" i="68"/>
  <c r="AJ49" i="68"/>
  <c r="AI49" i="68"/>
  <c r="AH49" i="68"/>
  <c r="AG49" i="68"/>
  <c r="AF49" i="68"/>
  <c r="AE49" i="68"/>
  <c r="AD49" i="68"/>
  <c r="AC49" i="68"/>
  <c r="AB49" i="68"/>
  <c r="AA49" i="68"/>
  <c r="X49" i="68"/>
  <c r="W49" i="68"/>
  <c r="U49" i="68"/>
  <c r="T49" i="68"/>
  <c r="R49" i="68"/>
  <c r="Q49" i="68"/>
  <c r="P49" i="68"/>
  <c r="O49" i="68"/>
  <c r="N49" i="68"/>
  <c r="AM48" i="68"/>
  <c r="AL48" i="68"/>
  <c r="AK48" i="68"/>
  <c r="AJ48" i="68"/>
  <c r="AI48" i="68"/>
  <c r="AH48" i="68"/>
  <c r="AG48" i="68"/>
  <c r="AF48" i="68"/>
  <c r="AE48" i="68"/>
  <c r="AD48" i="68"/>
  <c r="AC48" i="68"/>
  <c r="AB48" i="68"/>
  <c r="AA48" i="68"/>
  <c r="Y48" i="68"/>
  <c r="X48" i="68"/>
  <c r="W48" i="68"/>
  <c r="U48" i="68"/>
  <c r="T48" i="68"/>
  <c r="R48" i="68"/>
  <c r="Q48" i="68"/>
  <c r="P48" i="68"/>
  <c r="O48" i="68"/>
  <c r="N48" i="68"/>
  <c r="I48" i="68"/>
  <c r="H48" i="68"/>
  <c r="G48" i="68"/>
  <c r="F48" i="68"/>
  <c r="E48" i="68"/>
  <c r="D48" i="68"/>
  <c r="C48" i="68"/>
  <c r="B48" i="68"/>
  <c r="A48" i="68"/>
  <c r="AM47" i="68"/>
  <c r="AL47" i="68"/>
  <c r="AK47" i="68"/>
  <c r="AJ47" i="68"/>
  <c r="AI47" i="68"/>
  <c r="AH47" i="68"/>
  <c r="AG47" i="68"/>
  <c r="AF47" i="68"/>
  <c r="AE47" i="68"/>
  <c r="AD47" i="68"/>
  <c r="AC47" i="68"/>
  <c r="AB47" i="68"/>
  <c r="AA47" i="68"/>
  <c r="X47" i="68"/>
  <c r="W47" i="68"/>
  <c r="Q47" i="68"/>
  <c r="P47" i="68"/>
  <c r="O47" i="68"/>
  <c r="N47" i="68"/>
  <c r="M47" i="68"/>
  <c r="I47" i="68"/>
  <c r="H47" i="68"/>
  <c r="G47" i="68"/>
  <c r="F47" i="68"/>
  <c r="E47" i="68"/>
  <c r="D47" i="68"/>
  <c r="C47" i="68"/>
  <c r="B47" i="68"/>
  <c r="A47" i="68"/>
  <c r="AM46" i="68"/>
  <c r="AL46" i="68"/>
  <c r="AK46" i="68"/>
  <c r="AJ46" i="68"/>
  <c r="AI46" i="68"/>
  <c r="AH46" i="68"/>
  <c r="AG46" i="68"/>
  <c r="AF46" i="68"/>
  <c r="AE46" i="68"/>
  <c r="AD46" i="68"/>
  <c r="AC46" i="68"/>
  <c r="AB46" i="68"/>
  <c r="AA46" i="68"/>
  <c r="Y46" i="68"/>
  <c r="X46" i="68"/>
  <c r="W46" i="68"/>
  <c r="U46" i="68"/>
  <c r="T46" i="68"/>
  <c r="R46" i="68"/>
  <c r="Q46" i="68"/>
  <c r="P46" i="68"/>
  <c r="O46" i="68"/>
  <c r="N46" i="68"/>
  <c r="I46" i="68"/>
  <c r="H46" i="68"/>
  <c r="G46" i="68"/>
  <c r="F46" i="68"/>
  <c r="E46" i="68"/>
  <c r="D46" i="68"/>
  <c r="C46" i="68"/>
  <c r="B46" i="68"/>
  <c r="A46" i="68"/>
  <c r="AM45" i="68"/>
  <c r="AL45" i="68"/>
  <c r="AK45" i="68"/>
  <c r="AJ45" i="68"/>
  <c r="AI45" i="68"/>
  <c r="AH45" i="68"/>
  <c r="AG45" i="68"/>
  <c r="AF45" i="68"/>
  <c r="AE45" i="68"/>
  <c r="AD45" i="68"/>
  <c r="AC45" i="68"/>
  <c r="AB45" i="68"/>
  <c r="AA45" i="68"/>
  <c r="Y45" i="68"/>
  <c r="X45" i="68"/>
  <c r="W45" i="68"/>
  <c r="U45" i="68"/>
  <c r="T45" i="68"/>
  <c r="R45" i="68"/>
  <c r="Q45" i="68"/>
  <c r="P45" i="68"/>
  <c r="O45" i="68"/>
  <c r="N45" i="68"/>
  <c r="I45" i="68"/>
  <c r="H45" i="68"/>
  <c r="G45" i="68"/>
  <c r="F45" i="68"/>
  <c r="E45" i="68"/>
  <c r="D45" i="68"/>
  <c r="C45" i="68"/>
  <c r="B45" i="68"/>
  <c r="A45" i="68"/>
  <c r="AM44" i="68"/>
  <c r="AL44" i="68"/>
  <c r="AK44" i="68"/>
  <c r="AJ44" i="68"/>
  <c r="AI44" i="68"/>
  <c r="AH44" i="68"/>
  <c r="AG44" i="68"/>
  <c r="AF44" i="68"/>
  <c r="AE44" i="68"/>
  <c r="AD44" i="68"/>
  <c r="AC44" i="68"/>
  <c r="AB44" i="68"/>
  <c r="AA44" i="68"/>
  <c r="Y44" i="68"/>
  <c r="X44" i="68"/>
  <c r="W44" i="68"/>
  <c r="U44" i="68"/>
  <c r="T44" i="68"/>
  <c r="R44" i="68"/>
  <c r="Q44" i="68"/>
  <c r="P44" i="68"/>
  <c r="O44" i="68"/>
  <c r="N44" i="68"/>
  <c r="I44" i="68"/>
  <c r="H44" i="68"/>
  <c r="G44" i="68"/>
  <c r="F44" i="68"/>
  <c r="E44" i="68"/>
  <c r="D44" i="68"/>
  <c r="C44" i="68"/>
  <c r="B44" i="68"/>
  <c r="A44" i="68"/>
  <c r="AM43" i="68"/>
  <c r="AL43" i="68"/>
  <c r="AK43" i="68"/>
  <c r="AJ43" i="68"/>
  <c r="AI43" i="68"/>
  <c r="AH43" i="68"/>
  <c r="AG43" i="68"/>
  <c r="AF43" i="68"/>
  <c r="AE43" i="68"/>
  <c r="AD43" i="68"/>
  <c r="AC43" i="68"/>
  <c r="AB43" i="68"/>
  <c r="AA43" i="68"/>
  <c r="X43" i="68"/>
  <c r="W43" i="68"/>
  <c r="U43" i="68"/>
  <c r="T43" i="68"/>
  <c r="R43" i="68"/>
  <c r="Q43" i="68"/>
  <c r="P43" i="68"/>
  <c r="O43" i="68"/>
  <c r="N43" i="68"/>
  <c r="I43" i="68"/>
  <c r="H43" i="68"/>
  <c r="G43" i="68"/>
  <c r="F43" i="68"/>
  <c r="E43" i="68"/>
  <c r="D43" i="68"/>
  <c r="C43" i="68"/>
  <c r="B43" i="68"/>
  <c r="A43" i="68"/>
  <c r="AM42" i="68"/>
  <c r="AL42" i="68"/>
  <c r="AK42" i="68"/>
  <c r="AJ42" i="68"/>
  <c r="AI42" i="68"/>
  <c r="AH42" i="68"/>
  <c r="AG42" i="68"/>
  <c r="AF42" i="68"/>
  <c r="AE42" i="68"/>
  <c r="AD42" i="68"/>
  <c r="AC42" i="68"/>
  <c r="AB42" i="68"/>
  <c r="AA42" i="68"/>
  <c r="Z42" i="68"/>
  <c r="Y42" i="68"/>
  <c r="X42" i="68"/>
  <c r="W42" i="68"/>
  <c r="U42" i="68"/>
  <c r="T42" i="68"/>
  <c r="R42" i="68"/>
  <c r="Q42" i="68"/>
  <c r="P42" i="68"/>
  <c r="O42" i="68"/>
  <c r="N42" i="68"/>
  <c r="I42" i="68"/>
  <c r="H42" i="68"/>
  <c r="G42" i="68"/>
  <c r="F42" i="68"/>
  <c r="E42" i="68"/>
  <c r="D42" i="68"/>
  <c r="C42" i="68"/>
  <c r="B42" i="68"/>
  <c r="A42" i="68"/>
  <c r="AM41" i="68"/>
  <c r="AL41" i="68"/>
  <c r="AK41" i="68"/>
  <c r="AJ41" i="68"/>
  <c r="AI41" i="68"/>
  <c r="AH41" i="68"/>
  <c r="AG41" i="68"/>
  <c r="AF41" i="68"/>
  <c r="AE41" i="68"/>
  <c r="AD41" i="68"/>
  <c r="AC41" i="68"/>
  <c r="AB41" i="68"/>
  <c r="AA41" i="68"/>
  <c r="Y41" i="68"/>
  <c r="X41" i="68"/>
  <c r="W41" i="68"/>
  <c r="U41" i="68"/>
  <c r="T41" i="68"/>
  <c r="R41" i="68"/>
  <c r="Q41" i="68"/>
  <c r="P41" i="68"/>
  <c r="O41" i="68"/>
  <c r="N41" i="68"/>
  <c r="I41" i="68"/>
  <c r="H41" i="68"/>
  <c r="G41" i="68"/>
  <c r="F41" i="68"/>
  <c r="E41" i="68"/>
  <c r="D41" i="68"/>
  <c r="C41" i="68"/>
  <c r="B41" i="68"/>
  <c r="A41" i="68"/>
  <c r="AM40" i="68"/>
  <c r="AL40" i="68"/>
  <c r="AK40" i="68"/>
  <c r="AJ40" i="68"/>
  <c r="AI40" i="68"/>
  <c r="AH40" i="68"/>
  <c r="AG40" i="68"/>
  <c r="AF40" i="68"/>
  <c r="AE40" i="68"/>
  <c r="AD40" i="68"/>
  <c r="AC40" i="68"/>
  <c r="AB40" i="68"/>
  <c r="AA40" i="68"/>
  <c r="Y40" i="68"/>
  <c r="X40" i="68"/>
  <c r="W40" i="68"/>
  <c r="U40" i="68"/>
  <c r="T40" i="68"/>
  <c r="R40" i="68"/>
  <c r="Q40" i="68"/>
  <c r="P40" i="68"/>
  <c r="O40" i="68"/>
  <c r="N40" i="68"/>
  <c r="I40" i="68"/>
  <c r="H40" i="68"/>
  <c r="G40" i="68"/>
  <c r="F40" i="68"/>
  <c r="E40" i="68"/>
  <c r="D40" i="68"/>
  <c r="C40" i="68"/>
  <c r="B40" i="68"/>
  <c r="A40" i="68"/>
  <c r="AM39" i="68"/>
  <c r="AL39" i="68"/>
  <c r="AK39" i="68"/>
  <c r="AJ39" i="68"/>
  <c r="AI39" i="68"/>
  <c r="AH39" i="68"/>
  <c r="AG39" i="68"/>
  <c r="AF39" i="68"/>
  <c r="AE39" i="68"/>
  <c r="AD39" i="68"/>
  <c r="AC39" i="68"/>
  <c r="AB39" i="68"/>
  <c r="AA39" i="68"/>
  <c r="Y39" i="68"/>
  <c r="X39" i="68"/>
  <c r="W39" i="68"/>
  <c r="U39" i="68"/>
  <c r="T39" i="68"/>
  <c r="R39" i="68"/>
  <c r="Q39" i="68"/>
  <c r="P39" i="68"/>
  <c r="O39" i="68"/>
  <c r="N39" i="68"/>
  <c r="I39" i="68"/>
  <c r="H39" i="68"/>
  <c r="G39" i="68"/>
  <c r="F39" i="68"/>
  <c r="E39" i="68"/>
  <c r="D39" i="68"/>
  <c r="C39" i="68"/>
  <c r="B39" i="68"/>
  <c r="A39" i="68"/>
  <c r="AM38" i="68"/>
  <c r="AL38" i="68"/>
  <c r="AK38" i="68"/>
  <c r="AJ38" i="68"/>
  <c r="AI38" i="68"/>
  <c r="AH38" i="68"/>
  <c r="AG38" i="68"/>
  <c r="AF38" i="68"/>
  <c r="AE38" i="68"/>
  <c r="AD38" i="68"/>
  <c r="AC38" i="68"/>
  <c r="AB38" i="68"/>
  <c r="AA38" i="68"/>
  <c r="X38" i="68"/>
  <c r="W38" i="68"/>
  <c r="Q38" i="68"/>
  <c r="P38" i="68"/>
  <c r="O38" i="68"/>
  <c r="N38" i="68"/>
  <c r="M38" i="68"/>
  <c r="I38" i="68"/>
  <c r="H38" i="68"/>
  <c r="G38" i="68"/>
  <c r="F38" i="68"/>
  <c r="E38" i="68"/>
  <c r="D38" i="68"/>
  <c r="C38" i="68"/>
  <c r="B38" i="68"/>
  <c r="A38" i="68"/>
  <c r="AM37" i="68"/>
  <c r="AL37" i="68"/>
  <c r="AK37" i="68"/>
  <c r="AJ37" i="68"/>
  <c r="AI37" i="68"/>
  <c r="AH37" i="68"/>
  <c r="AG37" i="68"/>
  <c r="AF37" i="68"/>
  <c r="AE37" i="68"/>
  <c r="AD37" i="68"/>
  <c r="AC37" i="68"/>
  <c r="AB37" i="68"/>
  <c r="AA37" i="68"/>
  <c r="Y37" i="68"/>
  <c r="X37" i="68"/>
  <c r="X35" i="68" s="1"/>
  <c r="W37" i="68"/>
  <c r="U37" i="68"/>
  <c r="T37" i="68"/>
  <c r="R37" i="68"/>
  <c r="Q37" i="68"/>
  <c r="P37" i="68"/>
  <c r="O37" i="68"/>
  <c r="N37" i="68"/>
  <c r="M37" i="68"/>
  <c r="I37" i="68"/>
  <c r="H37" i="68"/>
  <c r="G37" i="68"/>
  <c r="F37" i="68"/>
  <c r="E37" i="68"/>
  <c r="D37" i="68"/>
  <c r="C37" i="68"/>
  <c r="B37" i="68"/>
  <c r="A37" i="68"/>
  <c r="AM36" i="68"/>
  <c r="AL36" i="68"/>
  <c r="AK36" i="68"/>
  <c r="AJ36" i="68"/>
  <c r="AI36" i="68"/>
  <c r="AH36" i="68"/>
  <c r="AG36" i="68"/>
  <c r="AF36" i="68"/>
  <c r="AE36" i="68"/>
  <c r="AD36" i="68"/>
  <c r="AC36" i="68"/>
  <c r="AB36" i="68"/>
  <c r="AA36" i="68"/>
  <c r="Z36" i="68"/>
  <c r="Y36" i="68"/>
  <c r="X36" i="68"/>
  <c r="W36" i="68"/>
  <c r="U36" i="68"/>
  <c r="T36" i="68"/>
  <c r="R36" i="68"/>
  <c r="Q36" i="68"/>
  <c r="P36" i="68"/>
  <c r="O36" i="68"/>
  <c r="N36" i="68"/>
  <c r="M36" i="68"/>
  <c r="I36" i="68"/>
  <c r="H36" i="68"/>
  <c r="G36" i="68"/>
  <c r="F36" i="68"/>
  <c r="E36" i="68"/>
  <c r="D36" i="68"/>
  <c r="C36" i="68"/>
  <c r="B36" i="68"/>
  <c r="A36" i="68"/>
  <c r="M35" i="68"/>
  <c r="L35" i="68"/>
  <c r="AE34" i="68"/>
  <c r="AD34" i="68"/>
  <c r="AC34" i="68"/>
  <c r="AB34" i="68"/>
  <c r="AA34" i="68"/>
  <c r="Z34" i="68"/>
  <c r="Y34" i="68"/>
  <c r="X34" i="68"/>
  <c r="W34" i="68"/>
  <c r="V34" i="68"/>
  <c r="U34" i="68"/>
  <c r="T34" i="68"/>
  <c r="S34" i="68"/>
  <c r="R34" i="68"/>
  <c r="Q34" i="68"/>
  <c r="P34" i="68"/>
  <c r="O34" i="68"/>
  <c r="N34" i="68"/>
  <c r="M34" i="68"/>
  <c r="AM33" i="68"/>
  <c r="AL33" i="68"/>
  <c r="AK33" i="68"/>
  <c r="AJ33" i="68"/>
  <c r="AI33" i="68"/>
  <c r="AH33" i="68"/>
  <c r="AG33" i="68"/>
  <c r="AF33" i="68"/>
  <c r="AE33" i="68"/>
  <c r="AD33" i="68"/>
  <c r="AC33" i="68"/>
  <c r="AB33" i="68"/>
  <c r="AA33" i="68"/>
  <c r="X33" i="68"/>
  <c r="W33" i="68"/>
  <c r="U33" i="68"/>
  <c r="T33" i="68"/>
  <c r="S33" i="68"/>
  <c r="R33" i="68"/>
  <c r="Q33" i="68"/>
  <c r="P33" i="68"/>
  <c r="O33" i="68"/>
  <c r="N33" i="68"/>
  <c r="M33" i="68"/>
  <c r="I33" i="68"/>
  <c r="H33" i="68"/>
  <c r="G33" i="68"/>
  <c r="F33" i="68"/>
  <c r="E33" i="68"/>
  <c r="D33" i="68"/>
  <c r="C33" i="68"/>
  <c r="B33" i="68"/>
  <c r="A33" i="68"/>
  <c r="AM32" i="68"/>
  <c r="AL32" i="68"/>
  <c r="AK32" i="68"/>
  <c r="AJ32" i="68"/>
  <c r="AI32" i="68"/>
  <c r="AH32" i="68"/>
  <c r="AG32" i="68"/>
  <c r="AF32" i="68"/>
  <c r="AE32" i="68"/>
  <c r="AD32" i="68"/>
  <c r="AC32" i="68"/>
  <c r="AB32" i="68"/>
  <c r="AA32" i="68"/>
  <c r="Y32" i="68"/>
  <c r="X32" i="68"/>
  <c r="W32" i="68"/>
  <c r="U32" i="68"/>
  <c r="T32" i="68"/>
  <c r="S32" i="68"/>
  <c r="R32" i="68"/>
  <c r="Q32" i="68"/>
  <c r="P32" i="68"/>
  <c r="O32" i="68"/>
  <c r="N32" i="68"/>
  <c r="M32" i="68"/>
  <c r="I32" i="68"/>
  <c r="H32" i="68"/>
  <c r="G32" i="68"/>
  <c r="F32" i="68"/>
  <c r="E32" i="68"/>
  <c r="D32" i="68"/>
  <c r="C32" i="68"/>
  <c r="B32" i="68"/>
  <c r="A32" i="68"/>
  <c r="AM31" i="68"/>
  <c r="AL31" i="68"/>
  <c r="AK31" i="68"/>
  <c r="AJ31" i="68"/>
  <c r="AI31" i="68"/>
  <c r="AH31" i="68"/>
  <c r="AG31" i="68"/>
  <c r="AF31" i="68"/>
  <c r="AE31" i="68"/>
  <c r="AD31" i="68"/>
  <c r="AC31" i="68"/>
  <c r="AB31" i="68"/>
  <c r="AA31" i="68"/>
  <c r="Y31" i="68"/>
  <c r="X31" i="68"/>
  <c r="W31" i="68"/>
  <c r="U31" i="68"/>
  <c r="T31" i="68"/>
  <c r="S31" i="68"/>
  <c r="R31" i="68"/>
  <c r="Q31" i="68"/>
  <c r="P31" i="68"/>
  <c r="O31" i="68"/>
  <c r="N31" i="68"/>
  <c r="M31" i="68"/>
  <c r="I31" i="68"/>
  <c r="H31" i="68"/>
  <c r="G31" i="68"/>
  <c r="F31" i="68"/>
  <c r="E31" i="68"/>
  <c r="D31" i="68"/>
  <c r="C31" i="68"/>
  <c r="B31" i="68"/>
  <c r="A31" i="68"/>
  <c r="AM30" i="68"/>
  <c r="AL30" i="68"/>
  <c r="AK30" i="68"/>
  <c r="AJ30" i="68"/>
  <c r="AI30" i="68"/>
  <c r="AH30" i="68"/>
  <c r="AG30" i="68"/>
  <c r="AF30" i="68"/>
  <c r="AE30" i="68"/>
  <c r="AD30" i="68"/>
  <c r="AC30" i="68"/>
  <c r="AB30" i="68"/>
  <c r="AA30" i="68"/>
  <c r="Y30" i="68"/>
  <c r="X30" i="68"/>
  <c r="W30" i="68"/>
  <c r="U30" i="68"/>
  <c r="T30" i="68"/>
  <c r="S30" i="68"/>
  <c r="R30" i="68"/>
  <c r="Q30" i="68"/>
  <c r="P30" i="68"/>
  <c r="O30" i="68"/>
  <c r="N30" i="68"/>
  <c r="M30" i="68"/>
  <c r="I30" i="68"/>
  <c r="H30" i="68"/>
  <c r="G30" i="68"/>
  <c r="F30" i="68"/>
  <c r="E30" i="68"/>
  <c r="D30" i="68"/>
  <c r="C30" i="68"/>
  <c r="B30" i="68"/>
  <c r="A30" i="68"/>
  <c r="AM29" i="68"/>
  <c r="AL29" i="68"/>
  <c r="AK29" i="68"/>
  <c r="AJ29" i="68"/>
  <c r="AI29" i="68"/>
  <c r="AH29" i="68"/>
  <c r="AG29" i="68"/>
  <c r="AF29" i="68"/>
  <c r="AE29" i="68"/>
  <c r="AD29" i="68"/>
  <c r="AC29" i="68"/>
  <c r="AB29" i="68"/>
  <c r="AA29" i="68"/>
  <c r="Y29" i="68"/>
  <c r="X29" i="68"/>
  <c r="X25" i="68" s="1"/>
  <c r="W29" i="68"/>
  <c r="U29" i="68"/>
  <c r="T29" i="68"/>
  <c r="T25" i="68" s="1"/>
  <c r="S29" i="68"/>
  <c r="R29" i="68"/>
  <c r="Q29" i="68"/>
  <c r="P29" i="68"/>
  <c r="O29" i="68"/>
  <c r="N29" i="68"/>
  <c r="M29" i="68"/>
  <c r="I29" i="68"/>
  <c r="H29" i="68"/>
  <c r="G29" i="68"/>
  <c r="F29" i="68"/>
  <c r="E29" i="68"/>
  <c r="D29" i="68"/>
  <c r="C29" i="68"/>
  <c r="B29" i="68"/>
  <c r="A29" i="68"/>
  <c r="AM28" i="68"/>
  <c r="AL28" i="68"/>
  <c r="AK28" i="68"/>
  <c r="AJ28" i="68"/>
  <c r="AI28" i="68"/>
  <c r="AH28" i="68"/>
  <c r="AG28" i="68"/>
  <c r="AF28" i="68"/>
  <c r="AE28" i="68"/>
  <c r="AD28" i="68"/>
  <c r="AC28" i="68"/>
  <c r="AB28" i="68"/>
  <c r="AA28" i="68"/>
  <c r="Y28" i="68"/>
  <c r="X28" i="68"/>
  <c r="W28" i="68"/>
  <c r="U28" i="68"/>
  <c r="T28" i="68"/>
  <c r="S28" i="68"/>
  <c r="R28" i="68"/>
  <c r="Q28" i="68"/>
  <c r="P28" i="68"/>
  <c r="O28" i="68"/>
  <c r="N28" i="68"/>
  <c r="M28" i="68"/>
  <c r="I28" i="68"/>
  <c r="H28" i="68"/>
  <c r="G28" i="68"/>
  <c r="F28" i="68"/>
  <c r="E28" i="68"/>
  <c r="D28" i="68"/>
  <c r="C28" i="68"/>
  <c r="B28" i="68"/>
  <c r="A28" i="68"/>
  <c r="AM27" i="68"/>
  <c r="AL27" i="68"/>
  <c r="AK27" i="68"/>
  <c r="AJ27" i="68"/>
  <c r="AI27" i="68"/>
  <c r="AH27" i="68"/>
  <c r="AG27" i="68"/>
  <c r="AF27" i="68"/>
  <c r="AE27" i="68"/>
  <c r="AD27" i="68"/>
  <c r="AC27" i="68"/>
  <c r="AB27" i="68"/>
  <c r="AA27" i="68"/>
  <c r="X27" i="68"/>
  <c r="W27" i="68"/>
  <c r="U27" i="68"/>
  <c r="T27" i="68"/>
  <c r="S27" i="68"/>
  <c r="R27" i="68"/>
  <c r="Q27" i="68"/>
  <c r="P27" i="68"/>
  <c r="O27" i="68"/>
  <c r="N27" i="68"/>
  <c r="M27" i="68"/>
  <c r="I27" i="68"/>
  <c r="H27" i="68"/>
  <c r="G27" i="68"/>
  <c r="F27" i="68"/>
  <c r="E27" i="68"/>
  <c r="D27" i="68"/>
  <c r="C27" i="68"/>
  <c r="B27" i="68"/>
  <c r="A27" i="68"/>
  <c r="AE26" i="68"/>
  <c r="AD26" i="68"/>
  <c r="AC26" i="68"/>
  <c r="AB26" i="68"/>
  <c r="AA26" i="68"/>
  <c r="X26" i="68"/>
  <c r="W26" i="68"/>
  <c r="U26" i="68"/>
  <c r="T26" i="68"/>
  <c r="S26" i="68"/>
  <c r="R26" i="68"/>
  <c r="Q26" i="68"/>
  <c r="P26" i="68"/>
  <c r="O26" i="68"/>
  <c r="N26" i="68"/>
  <c r="M26" i="68"/>
  <c r="U25" i="68"/>
  <c r="M25" i="68"/>
  <c r="L25" i="68"/>
  <c r="AM24" i="68"/>
  <c r="AL24" i="68"/>
  <c r="AK24" i="68"/>
  <c r="AJ24" i="68"/>
  <c r="AI24" i="68"/>
  <c r="AH24" i="68"/>
  <c r="AG24" i="68"/>
  <c r="AF24" i="68"/>
  <c r="AE24" i="68"/>
  <c r="AD24" i="68"/>
  <c r="AC24" i="68"/>
  <c r="AB24" i="68"/>
  <c r="AA24" i="68"/>
  <c r="Y24" i="68"/>
  <c r="X24" i="68"/>
  <c r="W24" i="68"/>
  <c r="U24" i="68"/>
  <c r="S24" i="68"/>
  <c r="R24" i="68"/>
  <c r="Q24" i="68"/>
  <c r="P24" i="68"/>
  <c r="O24" i="68"/>
  <c r="N24" i="68"/>
  <c r="M24" i="68"/>
  <c r="I24" i="68"/>
  <c r="H24" i="68"/>
  <c r="G24" i="68"/>
  <c r="F24" i="68"/>
  <c r="E24" i="68"/>
  <c r="D24" i="68"/>
  <c r="C24" i="68"/>
  <c r="B24" i="68"/>
  <c r="A24" i="68"/>
  <c r="AM23" i="68"/>
  <c r="AL23" i="68"/>
  <c r="AK23" i="68"/>
  <c r="AJ23" i="68"/>
  <c r="AI23" i="68"/>
  <c r="AH23" i="68"/>
  <c r="AG23" i="68"/>
  <c r="AF23" i="68"/>
  <c r="AE23" i="68"/>
  <c r="AD23" i="68"/>
  <c r="AC23" i="68"/>
  <c r="AB23" i="68"/>
  <c r="AA23" i="68"/>
  <c r="Y23" i="68"/>
  <c r="X23" i="68"/>
  <c r="W23" i="68"/>
  <c r="U23" i="68"/>
  <c r="S23" i="68"/>
  <c r="R23" i="68"/>
  <c r="Q23" i="68"/>
  <c r="P23" i="68"/>
  <c r="O23" i="68"/>
  <c r="N23" i="68"/>
  <c r="M23" i="68"/>
  <c r="I23" i="68"/>
  <c r="H23" i="68"/>
  <c r="G23" i="68"/>
  <c r="F23" i="68"/>
  <c r="E23" i="68"/>
  <c r="D23" i="68"/>
  <c r="C23" i="68"/>
  <c r="B23" i="68"/>
  <c r="A23" i="68"/>
  <c r="AM22" i="68"/>
  <c r="AL22" i="68"/>
  <c r="AK22" i="68"/>
  <c r="AJ22" i="68"/>
  <c r="AI22" i="68"/>
  <c r="AH22" i="68"/>
  <c r="AG22" i="68"/>
  <c r="AF22" i="68"/>
  <c r="AE22" i="68"/>
  <c r="AD22" i="68"/>
  <c r="AC22" i="68"/>
  <c r="AB22" i="68"/>
  <c r="AA22" i="68"/>
  <c r="Y22" i="68"/>
  <c r="X22" i="68"/>
  <c r="W22" i="68"/>
  <c r="U22" i="68"/>
  <c r="T22" i="68"/>
  <c r="S22" i="68"/>
  <c r="R22" i="68"/>
  <c r="Q22" i="68"/>
  <c r="P22" i="68"/>
  <c r="O22" i="68"/>
  <c r="N22" i="68"/>
  <c r="M22" i="68"/>
  <c r="I22" i="68"/>
  <c r="H22" i="68"/>
  <c r="G22" i="68"/>
  <c r="F22" i="68"/>
  <c r="E22" i="68"/>
  <c r="D22" i="68"/>
  <c r="C22" i="68"/>
  <c r="B22" i="68"/>
  <c r="A22" i="68"/>
  <c r="AM21" i="68"/>
  <c r="AL21" i="68"/>
  <c r="AK21" i="68"/>
  <c r="AJ21" i="68"/>
  <c r="AI21" i="68"/>
  <c r="AH21" i="68"/>
  <c r="AG21" i="68"/>
  <c r="AF21" i="68"/>
  <c r="AE21" i="68"/>
  <c r="AD21" i="68"/>
  <c r="AC21" i="68"/>
  <c r="AB21" i="68"/>
  <c r="AA21" i="68"/>
  <c r="Y21" i="68"/>
  <c r="X21" i="68"/>
  <c r="W21" i="68"/>
  <c r="U21" i="68"/>
  <c r="T21" i="68"/>
  <c r="S21" i="68"/>
  <c r="R21" i="68"/>
  <c r="Q21" i="68"/>
  <c r="P21" i="68"/>
  <c r="O21" i="68"/>
  <c r="N21" i="68"/>
  <c r="M21" i="68"/>
  <c r="I21" i="68"/>
  <c r="H21" i="68"/>
  <c r="G21" i="68"/>
  <c r="F21" i="68"/>
  <c r="E21" i="68"/>
  <c r="D21" i="68"/>
  <c r="C21" i="68"/>
  <c r="B21" i="68"/>
  <c r="A21" i="68"/>
  <c r="AM20" i="68"/>
  <c r="AL20" i="68"/>
  <c r="AK20" i="68"/>
  <c r="AJ20" i="68"/>
  <c r="AI20" i="68"/>
  <c r="AH20" i="68"/>
  <c r="AG20" i="68"/>
  <c r="AF20" i="68"/>
  <c r="AE20" i="68"/>
  <c r="AD20" i="68"/>
  <c r="AC20" i="68"/>
  <c r="AB20" i="68"/>
  <c r="AA20" i="68"/>
  <c r="Y20" i="68"/>
  <c r="Y19" i="68" s="1"/>
  <c r="X20" i="68"/>
  <c r="W20" i="68"/>
  <c r="U20" i="68"/>
  <c r="U19" i="68" s="1"/>
  <c r="T20" i="68"/>
  <c r="S20" i="68"/>
  <c r="R20" i="68"/>
  <c r="Q20" i="68"/>
  <c r="P20" i="68"/>
  <c r="O20" i="68"/>
  <c r="N20" i="68"/>
  <c r="M20" i="68"/>
  <c r="I20" i="68"/>
  <c r="H20" i="68"/>
  <c r="G20" i="68"/>
  <c r="F20" i="68"/>
  <c r="E20" i="68"/>
  <c r="D20" i="68"/>
  <c r="C20" i="68"/>
  <c r="B20" i="68"/>
  <c r="A20" i="68"/>
  <c r="M19" i="68"/>
  <c r="L19" i="68"/>
  <c r="AM18" i="68"/>
  <c r="AL18" i="68"/>
  <c r="AK18" i="68"/>
  <c r="AJ18" i="68"/>
  <c r="AI18" i="68"/>
  <c r="AH18" i="68"/>
  <c r="AG18" i="68"/>
  <c r="AF18" i="68"/>
  <c r="AE18" i="68"/>
  <c r="AD18" i="68"/>
  <c r="AC18" i="68"/>
  <c r="AB18" i="68"/>
  <c r="AA18" i="68"/>
  <c r="Z18" i="68"/>
  <c r="Y18" i="68"/>
  <c r="X18" i="68"/>
  <c r="W18" i="68"/>
  <c r="U18" i="68"/>
  <c r="T18" i="68"/>
  <c r="S18" i="68"/>
  <c r="R18" i="68"/>
  <c r="Q18" i="68"/>
  <c r="P18" i="68"/>
  <c r="O18" i="68"/>
  <c r="N18" i="68"/>
  <c r="I18" i="68"/>
  <c r="H18" i="68"/>
  <c r="G18" i="68"/>
  <c r="F18" i="68"/>
  <c r="E18" i="68"/>
  <c r="D18" i="68"/>
  <c r="C18" i="68"/>
  <c r="B18" i="68"/>
  <c r="A18" i="68"/>
  <c r="AM17" i="68"/>
  <c r="AL17" i="68"/>
  <c r="AK17" i="68"/>
  <c r="AJ17" i="68"/>
  <c r="AI17" i="68"/>
  <c r="AH17" i="68"/>
  <c r="AG17" i="68"/>
  <c r="AF17" i="68"/>
  <c r="AE17" i="68"/>
  <c r="AD17" i="68"/>
  <c r="AC17" i="68"/>
  <c r="AB17" i="68"/>
  <c r="AA17" i="68"/>
  <c r="Z17" i="68"/>
  <c r="Y17" i="68"/>
  <c r="X17" i="68"/>
  <c r="W17" i="68"/>
  <c r="U17" i="68"/>
  <c r="T17" i="68"/>
  <c r="S17" i="68"/>
  <c r="R17" i="68"/>
  <c r="Q17" i="68"/>
  <c r="P17" i="68"/>
  <c r="O17" i="68"/>
  <c r="N17" i="68"/>
  <c r="I17" i="68"/>
  <c r="H17" i="68"/>
  <c r="G17" i="68"/>
  <c r="F17" i="68"/>
  <c r="E17" i="68"/>
  <c r="D17" i="68"/>
  <c r="C17" i="68"/>
  <c r="B17" i="68"/>
  <c r="A17" i="68"/>
  <c r="AM16" i="68"/>
  <c r="AL16" i="68"/>
  <c r="AK16" i="68"/>
  <c r="AJ16" i="68"/>
  <c r="AI16" i="68"/>
  <c r="AH16" i="68"/>
  <c r="AG16" i="68"/>
  <c r="AF16" i="68"/>
  <c r="AE16" i="68"/>
  <c r="AD16" i="68"/>
  <c r="AC16" i="68"/>
  <c r="AB16" i="68"/>
  <c r="AA16" i="68"/>
  <c r="Z16" i="68"/>
  <c r="Y16" i="68"/>
  <c r="X16" i="68"/>
  <c r="W16" i="68"/>
  <c r="U16" i="68"/>
  <c r="T16" i="68"/>
  <c r="S16" i="68"/>
  <c r="R16" i="68"/>
  <c r="Q16" i="68"/>
  <c r="P16" i="68"/>
  <c r="O16" i="68"/>
  <c r="N16" i="68"/>
  <c r="I16" i="68"/>
  <c r="H16" i="68"/>
  <c r="G16" i="68"/>
  <c r="F16" i="68"/>
  <c r="E16" i="68"/>
  <c r="D16" i="68"/>
  <c r="C16" i="68"/>
  <c r="B16" i="68"/>
  <c r="A16" i="68"/>
  <c r="AM15" i="68"/>
  <c r="AL15" i="68"/>
  <c r="AK15" i="68"/>
  <c r="AJ15" i="68"/>
  <c r="AI15" i="68"/>
  <c r="AH15" i="68"/>
  <c r="AG15" i="68"/>
  <c r="AF15" i="68"/>
  <c r="AE15" i="68"/>
  <c r="AD15" i="68"/>
  <c r="AC15" i="68"/>
  <c r="AB15" i="68"/>
  <c r="AA15" i="68"/>
  <c r="Z15" i="68"/>
  <c r="Y15" i="68"/>
  <c r="X15" i="68"/>
  <c r="W15" i="68"/>
  <c r="U15" i="68"/>
  <c r="T15" i="68"/>
  <c r="S15" i="68"/>
  <c r="R15" i="68"/>
  <c r="Q15" i="68"/>
  <c r="P15" i="68"/>
  <c r="O15" i="68"/>
  <c r="N15" i="68"/>
  <c r="I15" i="68"/>
  <c r="H15" i="68"/>
  <c r="G15" i="68"/>
  <c r="F15" i="68"/>
  <c r="E15" i="68"/>
  <c r="D15" i="68"/>
  <c r="C15" i="68"/>
  <c r="B15" i="68"/>
  <c r="A15" i="68"/>
  <c r="AM14" i="68"/>
  <c r="AL14" i="68"/>
  <c r="AK14" i="68"/>
  <c r="AJ14" i="68"/>
  <c r="AI14" i="68"/>
  <c r="AH14" i="68"/>
  <c r="AG14" i="68"/>
  <c r="AF14" i="68"/>
  <c r="AE14" i="68"/>
  <c r="AD14" i="68"/>
  <c r="AC14" i="68"/>
  <c r="AB14" i="68"/>
  <c r="AA14" i="68"/>
  <c r="X14" i="68"/>
  <c r="W14" i="68"/>
  <c r="Q14" i="68"/>
  <c r="P14" i="68"/>
  <c r="O14" i="68"/>
  <c r="N14" i="68"/>
  <c r="M14" i="68"/>
  <c r="I14" i="68"/>
  <c r="H14" i="68"/>
  <c r="G14" i="68"/>
  <c r="F14" i="68"/>
  <c r="E14" i="68"/>
  <c r="D14" i="68"/>
  <c r="C14" i="68"/>
  <c r="B14" i="68"/>
  <c r="A14" i="68"/>
  <c r="AM13" i="68"/>
  <c r="AL13" i="68"/>
  <c r="AK13" i="68"/>
  <c r="AJ13" i="68"/>
  <c r="AI13" i="68"/>
  <c r="AH13" i="68"/>
  <c r="AG13" i="68"/>
  <c r="AF13" i="68"/>
  <c r="AE13" i="68"/>
  <c r="AD13" i="68"/>
  <c r="AC13" i="68"/>
  <c r="AB13" i="68"/>
  <c r="AA13" i="68"/>
  <c r="Z13" i="68"/>
  <c r="Y13" i="68"/>
  <c r="X13" i="68"/>
  <c r="W13" i="68"/>
  <c r="U13" i="68"/>
  <c r="T13" i="68"/>
  <c r="S13" i="68"/>
  <c r="R13" i="68"/>
  <c r="Q13" i="68"/>
  <c r="P13" i="68"/>
  <c r="O13" i="68"/>
  <c r="N13" i="68"/>
  <c r="I13" i="68"/>
  <c r="H13" i="68"/>
  <c r="G13" i="68"/>
  <c r="F13" i="68"/>
  <c r="E13" i="68"/>
  <c r="D13" i="68"/>
  <c r="C13" i="68"/>
  <c r="B13" i="68"/>
  <c r="A13" i="68"/>
  <c r="AM12" i="68"/>
  <c r="AL12" i="68"/>
  <c r="AK12" i="68"/>
  <c r="AJ12" i="68"/>
  <c r="AI12" i="68"/>
  <c r="AH12" i="68"/>
  <c r="AG12" i="68"/>
  <c r="AF12" i="68"/>
  <c r="AE12" i="68"/>
  <c r="AD12" i="68"/>
  <c r="AC12" i="68"/>
  <c r="AB12" i="68"/>
  <c r="AA12" i="68"/>
  <c r="Z12" i="68"/>
  <c r="Y12" i="68"/>
  <c r="X12" i="68"/>
  <c r="W12" i="68"/>
  <c r="U12" i="68"/>
  <c r="T12" i="68"/>
  <c r="S12" i="68"/>
  <c r="R12" i="68"/>
  <c r="Q12" i="68"/>
  <c r="P12" i="68"/>
  <c r="O12" i="68"/>
  <c r="N12" i="68"/>
  <c r="I12" i="68"/>
  <c r="H12" i="68"/>
  <c r="G12" i="68"/>
  <c r="F12" i="68"/>
  <c r="E12" i="68"/>
  <c r="D12" i="68"/>
  <c r="C12" i="68"/>
  <c r="B12" i="68"/>
  <c r="A12" i="68"/>
  <c r="AM11" i="68"/>
  <c r="AL11" i="68"/>
  <c r="AK11" i="68"/>
  <c r="AJ11" i="68"/>
  <c r="AI11" i="68"/>
  <c r="AH11" i="68"/>
  <c r="AG11" i="68"/>
  <c r="AF11" i="68"/>
  <c r="AE11" i="68"/>
  <c r="AD11" i="68"/>
  <c r="AC11" i="68"/>
  <c r="AB11" i="68"/>
  <c r="AA11" i="68"/>
  <c r="X11" i="68"/>
  <c r="W11" i="68"/>
  <c r="U11" i="68"/>
  <c r="T11" i="68"/>
  <c r="R11" i="68"/>
  <c r="Q11" i="68"/>
  <c r="P11" i="68"/>
  <c r="O11" i="68"/>
  <c r="N11" i="68"/>
  <c r="M11" i="68"/>
  <c r="I11" i="68"/>
  <c r="H11" i="68"/>
  <c r="G11" i="68"/>
  <c r="F11" i="68"/>
  <c r="E11" i="68"/>
  <c r="D11" i="68"/>
  <c r="C11" i="68"/>
  <c r="B11" i="68"/>
  <c r="A11" i="68"/>
  <c r="M10" i="68"/>
  <c r="L10" i="68"/>
  <c r="L9" i="68"/>
  <c r="K9" i="68"/>
  <c r="K8" i="68"/>
  <c r="J8" i="68"/>
  <c r="X7" i="68"/>
  <c r="N228" i="69"/>
  <c r="AM223" i="69"/>
  <c r="AL223" i="69"/>
  <c r="AK223" i="69"/>
  <c r="AJ223" i="69"/>
  <c r="AI223" i="69"/>
  <c r="AH223" i="69"/>
  <c r="AG223" i="69"/>
  <c r="AF223" i="69"/>
  <c r="AE223" i="69"/>
  <c r="AD223" i="69"/>
  <c r="AC223" i="69"/>
  <c r="AB223" i="69"/>
  <c r="AA223" i="69"/>
  <c r="Z223" i="69"/>
  <c r="Z222" i="69" s="1"/>
  <c r="Z221" i="69" s="1"/>
  <c r="Y223" i="69"/>
  <c r="Y222" i="69" s="1"/>
  <c r="Y221" i="69" s="1"/>
  <c r="X223" i="69"/>
  <c r="W223" i="69"/>
  <c r="U223" i="69"/>
  <c r="T223" i="69"/>
  <c r="R223" i="69"/>
  <c r="Q223" i="69"/>
  <c r="P223" i="69"/>
  <c r="O223" i="69"/>
  <c r="N223" i="69"/>
  <c r="M223" i="69"/>
  <c r="I223" i="69"/>
  <c r="H223" i="69"/>
  <c r="G223" i="69"/>
  <c r="F223" i="69"/>
  <c r="E223" i="69"/>
  <c r="D223" i="69"/>
  <c r="C223" i="69"/>
  <c r="B223" i="69"/>
  <c r="A223" i="69"/>
  <c r="X222" i="69"/>
  <c r="U222" i="69"/>
  <c r="U221" i="69" s="1"/>
  <c r="T222" i="69"/>
  <c r="R222" i="69"/>
  <c r="M222" i="69"/>
  <c r="L222" i="69"/>
  <c r="T221" i="69"/>
  <c r="R221" i="69"/>
  <c r="L221" i="69"/>
  <c r="K221" i="69"/>
  <c r="AM220" i="69"/>
  <c r="AL220" i="69"/>
  <c r="AK220" i="69"/>
  <c r="AJ220" i="69"/>
  <c r="AI220" i="69"/>
  <c r="AH220" i="69"/>
  <c r="AG220" i="69"/>
  <c r="AF220" i="69"/>
  <c r="AE220" i="69"/>
  <c r="AD220" i="69"/>
  <c r="AC220" i="69"/>
  <c r="AB220" i="69"/>
  <c r="AA220" i="69"/>
  <c r="X220" i="69"/>
  <c r="W220" i="69"/>
  <c r="U220" i="69"/>
  <c r="T220" i="69"/>
  <c r="R220" i="69"/>
  <c r="R219" i="69" s="1"/>
  <c r="Q220" i="69"/>
  <c r="P220" i="69"/>
  <c r="O220" i="69"/>
  <c r="N220" i="69"/>
  <c r="M220" i="69"/>
  <c r="I220" i="69"/>
  <c r="H220" i="69"/>
  <c r="G220" i="69"/>
  <c r="F220" i="69"/>
  <c r="E220" i="69"/>
  <c r="D220" i="69"/>
  <c r="C220" i="69"/>
  <c r="B220" i="69"/>
  <c r="A220" i="69"/>
  <c r="U219" i="69"/>
  <c r="U218" i="69" s="1"/>
  <c r="T219" i="69"/>
  <c r="T218" i="69" s="1"/>
  <c r="M219" i="69"/>
  <c r="L219" i="69"/>
  <c r="X218" i="69"/>
  <c r="W218" i="69"/>
  <c r="R218" i="69"/>
  <c r="L218" i="69"/>
  <c r="K218" i="69"/>
  <c r="AM217" i="69"/>
  <c r="AL217" i="69"/>
  <c r="AK217" i="69"/>
  <c r="AJ217" i="69"/>
  <c r="AI217" i="69"/>
  <c r="AH217" i="69"/>
  <c r="AG217" i="69"/>
  <c r="AF217" i="69"/>
  <c r="AE217" i="69"/>
  <c r="AD217" i="69"/>
  <c r="AC217" i="69"/>
  <c r="AB217" i="69"/>
  <c r="AA217" i="69"/>
  <c r="Y217" i="69"/>
  <c r="X217" i="69"/>
  <c r="W217" i="69"/>
  <c r="U217" i="69"/>
  <c r="U216" i="69" s="1"/>
  <c r="T217" i="69"/>
  <c r="T216" i="69" s="1"/>
  <c r="T215" i="69" s="1"/>
  <c r="R217" i="69"/>
  <c r="Q217" i="69"/>
  <c r="P217" i="69"/>
  <c r="O217" i="69"/>
  <c r="N217" i="69"/>
  <c r="M217" i="69"/>
  <c r="I217" i="69"/>
  <c r="H217" i="69"/>
  <c r="G217" i="69"/>
  <c r="F217" i="69"/>
  <c r="E217" i="69"/>
  <c r="D217" i="69"/>
  <c r="C217" i="69"/>
  <c r="B217" i="69"/>
  <c r="A217" i="69"/>
  <c r="Y216" i="69"/>
  <c r="Y215" i="69" s="1"/>
  <c r="X216" i="69"/>
  <c r="R216" i="69"/>
  <c r="R215" i="69" s="1"/>
  <c r="M216" i="69"/>
  <c r="L216" i="69"/>
  <c r="X215" i="69"/>
  <c r="U215" i="69"/>
  <c r="L215" i="69"/>
  <c r="K215" i="69"/>
  <c r="AM214" i="69"/>
  <c r="AL214" i="69"/>
  <c r="AK214" i="69"/>
  <c r="AJ214" i="69"/>
  <c r="AI214" i="69"/>
  <c r="AH214" i="69"/>
  <c r="AG214" i="69"/>
  <c r="AF214" i="69"/>
  <c r="AE214" i="69"/>
  <c r="AD214" i="69"/>
  <c r="AC214" i="69"/>
  <c r="AB214" i="69"/>
  <c r="AA214" i="69"/>
  <c r="X214" i="69"/>
  <c r="W214" i="69"/>
  <c r="U214" i="69"/>
  <c r="U213" i="69" s="1"/>
  <c r="T214" i="69"/>
  <c r="T213" i="69" s="1"/>
  <c r="R214" i="69"/>
  <c r="Q214" i="69"/>
  <c r="P214" i="69"/>
  <c r="O214" i="69"/>
  <c r="N214" i="69"/>
  <c r="M214" i="69"/>
  <c r="I214" i="69"/>
  <c r="H214" i="69"/>
  <c r="G214" i="69"/>
  <c r="F214" i="69"/>
  <c r="E214" i="69"/>
  <c r="D214" i="69"/>
  <c r="C214" i="69"/>
  <c r="B214" i="69"/>
  <c r="A214" i="69"/>
  <c r="X213" i="69"/>
  <c r="X212" i="69" s="1"/>
  <c r="R213" i="69"/>
  <c r="R212" i="69" s="1"/>
  <c r="M213" i="69"/>
  <c r="L213" i="69"/>
  <c r="W212" i="69"/>
  <c r="U212" i="69"/>
  <c r="T212" i="69"/>
  <c r="L212" i="69"/>
  <c r="K212" i="69"/>
  <c r="AM211" i="69"/>
  <c r="AL211" i="69"/>
  <c r="AK211" i="69"/>
  <c r="AJ211" i="69"/>
  <c r="AI211" i="69"/>
  <c r="AH211" i="69"/>
  <c r="AG211" i="69"/>
  <c r="AF211" i="69"/>
  <c r="AE211" i="69"/>
  <c r="AD211" i="69"/>
  <c r="AC211" i="69"/>
  <c r="AB211" i="69"/>
  <c r="AA211" i="69"/>
  <c r="Z211" i="69"/>
  <c r="Y211" i="69"/>
  <c r="X211" i="69"/>
  <c r="W211" i="69"/>
  <c r="U211" i="69"/>
  <c r="U209" i="69" s="1"/>
  <c r="T211" i="69"/>
  <c r="R211" i="69"/>
  <c r="Q211" i="69"/>
  <c r="P211" i="69"/>
  <c r="O211" i="69"/>
  <c r="N211" i="69"/>
  <c r="M211" i="69"/>
  <c r="I211" i="69"/>
  <c r="H211" i="69"/>
  <c r="G211" i="69"/>
  <c r="F211" i="69"/>
  <c r="E211" i="69"/>
  <c r="D211" i="69"/>
  <c r="C211" i="69"/>
  <c r="B211" i="69"/>
  <c r="A211" i="69"/>
  <c r="AM210" i="69"/>
  <c r="AL210" i="69"/>
  <c r="AK210" i="69"/>
  <c r="AJ210" i="69"/>
  <c r="AI210" i="69"/>
  <c r="AH210" i="69"/>
  <c r="AG210" i="69"/>
  <c r="AF210" i="69"/>
  <c r="AE210" i="69"/>
  <c r="AD210" i="69"/>
  <c r="AC210" i="69"/>
  <c r="AB210" i="69"/>
  <c r="AA210" i="69"/>
  <c r="Z210" i="69"/>
  <c r="Z209" i="69" s="1"/>
  <c r="X210" i="69"/>
  <c r="W210" i="69"/>
  <c r="U210" i="69"/>
  <c r="T210" i="69"/>
  <c r="R210" i="69"/>
  <c r="R209" i="69" s="1"/>
  <c r="Q210" i="69"/>
  <c r="P210" i="69"/>
  <c r="O210" i="69"/>
  <c r="N210" i="69"/>
  <c r="M210" i="69"/>
  <c r="I210" i="69"/>
  <c r="H210" i="69"/>
  <c r="G210" i="69"/>
  <c r="F210" i="69"/>
  <c r="E210" i="69"/>
  <c r="D210" i="69"/>
  <c r="C210" i="69"/>
  <c r="B210" i="69"/>
  <c r="A210" i="69"/>
  <c r="AD209" i="69"/>
  <c r="T209" i="69"/>
  <c r="M209" i="69"/>
  <c r="L209" i="69"/>
  <c r="AM208" i="69"/>
  <c r="AL208" i="69"/>
  <c r="AK208" i="69"/>
  <c r="AJ208" i="69"/>
  <c r="AI208" i="69"/>
  <c r="AH208" i="69"/>
  <c r="AG208" i="69"/>
  <c r="AF208" i="69"/>
  <c r="AE208" i="69"/>
  <c r="AD208" i="69"/>
  <c r="AC208" i="69"/>
  <c r="AB208" i="69"/>
  <c r="AA208" i="69"/>
  <c r="X208" i="69"/>
  <c r="W208" i="69"/>
  <c r="U208" i="69"/>
  <c r="T208" i="69"/>
  <c r="R208" i="69"/>
  <c r="Q208" i="69"/>
  <c r="P208" i="69"/>
  <c r="N208" i="69"/>
  <c r="I208" i="69"/>
  <c r="H208" i="69"/>
  <c r="G208" i="69"/>
  <c r="F208" i="69"/>
  <c r="E208" i="69"/>
  <c r="D208" i="69"/>
  <c r="C208" i="69"/>
  <c r="B208" i="69"/>
  <c r="A208" i="69"/>
  <c r="AM207" i="69"/>
  <c r="AL207" i="69"/>
  <c r="AK207" i="69"/>
  <c r="AJ207" i="69"/>
  <c r="AI207" i="69"/>
  <c r="AH207" i="69"/>
  <c r="AG207" i="69"/>
  <c r="AF207" i="69"/>
  <c r="AE207" i="69"/>
  <c r="AD207" i="69"/>
  <c r="AC207" i="69"/>
  <c r="AB207" i="69"/>
  <c r="AA207" i="69"/>
  <c r="Z207" i="69"/>
  <c r="Y207" i="69"/>
  <c r="X207" i="69"/>
  <c r="W207" i="69"/>
  <c r="U207" i="69"/>
  <c r="T207" i="69"/>
  <c r="R207" i="69"/>
  <c r="Q207" i="69"/>
  <c r="P207" i="69"/>
  <c r="N207" i="69"/>
  <c r="I207" i="69"/>
  <c r="H207" i="69"/>
  <c r="G207" i="69"/>
  <c r="F207" i="69"/>
  <c r="E207" i="69"/>
  <c r="D207" i="69"/>
  <c r="C207" i="69"/>
  <c r="B207" i="69"/>
  <c r="A207" i="69"/>
  <c r="AM206" i="69"/>
  <c r="AL206" i="69"/>
  <c r="AK206" i="69"/>
  <c r="AJ206" i="69"/>
  <c r="AI206" i="69"/>
  <c r="AH206" i="69"/>
  <c r="AG206" i="69"/>
  <c r="AF206" i="69"/>
  <c r="AE206" i="69"/>
  <c r="AD206" i="69"/>
  <c r="AC206" i="69"/>
  <c r="AB206" i="69"/>
  <c r="AA206" i="69"/>
  <c r="Z206" i="69"/>
  <c r="Y206" i="69"/>
  <c r="X206" i="69"/>
  <c r="W206" i="69"/>
  <c r="U206" i="69"/>
  <c r="T206" i="69"/>
  <c r="R206" i="69"/>
  <c r="Q206" i="69"/>
  <c r="P206" i="69"/>
  <c r="N206" i="69"/>
  <c r="I206" i="69"/>
  <c r="H206" i="69"/>
  <c r="G206" i="69"/>
  <c r="F206" i="69"/>
  <c r="E206" i="69"/>
  <c r="D206" i="69"/>
  <c r="C206" i="69"/>
  <c r="B206" i="69"/>
  <c r="A206" i="69"/>
  <c r="AM205" i="69"/>
  <c r="AL205" i="69"/>
  <c r="AK205" i="69"/>
  <c r="AJ205" i="69"/>
  <c r="AI205" i="69"/>
  <c r="AH205" i="69"/>
  <c r="AG205" i="69"/>
  <c r="AF205" i="69"/>
  <c r="AE205" i="69"/>
  <c r="AD205" i="69"/>
  <c r="AC205" i="69"/>
  <c r="AB205" i="69"/>
  <c r="AA205" i="69"/>
  <c r="X205" i="69"/>
  <c r="W205" i="69"/>
  <c r="U205" i="69"/>
  <c r="T205" i="69"/>
  <c r="R205" i="69"/>
  <c r="Q205" i="69"/>
  <c r="P205" i="69"/>
  <c r="O205" i="69"/>
  <c r="N205" i="69"/>
  <c r="M205" i="69"/>
  <c r="I205" i="69"/>
  <c r="H205" i="69"/>
  <c r="G205" i="69"/>
  <c r="F205" i="69"/>
  <c r="E205" i="69"/>
  <c r="D205" i="69"/>
  <c r="C205" i="69"/>
  <c r="B205" i="69"/>
  <c r="A205" i="69"/>
  <c r="AM204" i="69"/>
  <c r="AL204" i="69"/>
  <c r="AK204" i="69"/>
  <c r="AJ204" i="69"/>
  <c r="AI204" i="69"/>
  <c r="AH204" i="69"/>
  <c r="AG204" i="69"/>
  <c r="AF204" i="69"/>
  <c r="AE204" i="69"/>
  <c r="AD204" i="69"/>
  <c r="AC204" i="69"/>
  <c r="AB204" i="69"/>
  <c r="AA204" i="69"/>
  <c r="X204" i="69"/>
  <c r="W204" i="69"/>
  <c r="U204" i="69"/>
  <c r="T204" i="69"/>
  <c r="R204" i="69"/>
  <c r="Q204" i="69"/>
  <c r="P204" i="69"/>
  <c r="N204" i="69"/>
  <c r="I204" i="69"/>
  <c r="H204" i="69"/>
  <c r="G204" i="69"/>
  <c r="F204" i="69"/>
  <c r="E204" i="69"/>
  <c r="D204" i="69"/>
  <c r="C204" i="69"/>
  <c r="B204" i="69"/>
  <c r="A204" i="69"/>
  <c r="AM203" i="69"/>
  <c r="AL203" i="69"/>
  <c r="AK203" i="69"/>
  <c r="AJ203" i="69"/>
  <c r="AI203" i="69"/>
  <c r="AH203" i="69"/>
  <c r="AG203" i="69"/>
  <c r="AF203" i="69"/>
  <c r="AE203" i="69"/>
  <c r="AD203" i="69"/>
  <c r="AC203" i="69"/>
  <c r="AB203" i="69"/>
  <c r="AA203" i="69"/>
  <c r="Z203" i="69"/>
  <c r="Y203" i="69"/>
  <c r="X203" i="69"/>
  <c r="W203" i="69"/>
  <c r="U203" i="69"/>
  <c r="T203" i="69"/>
  <c r="R203" i="69"/>
  <c r="Q203" i="69"/>
  <c r="P203" i="69"/>
  <c r="N203" i="69"/>
  <c r="I203" i="69"/>
  <c r="H203" i="69"/>
  <c r="G203" i="69"/>
  <c r="F203" i="69"/>
  <c r="E203" i="69"/>
  <c r="D203" i="69"/>
  <c r="C203" i="69"/>
  <c r="B203" i="69"/>
  <c r="A203" i="69"/>
  <c r="AM202" i="69"/>
  <c r="AL202" i="69"/>
  <c r="AK202" i="69"/>
  <c r="AJ202" i="69"/>
  <c r="AI202" i="69"/>
  <c r="AH202" i="69"/>
  <c r="AG202" i="69"/>
  <c r="AF202" i="69"/>
  <c r="AE202" i="69"/>
  <c r="AD202" i="69"/>
  <c r="AC202" i="69"/>
  <c r="AB202" i="69"/>
  <c r="AA202" i="69"/>
  <c r="Z202" i="69"/>
  <c r="Y202" i="69"/>
  <c r="X202" i="69"/>
  <c r="W202" i="69"/>
  <c r="U202" i="69"/>
  <c r="T202" i="69"/>
  <c r="R202" i="69"/>
  <c r="Q202" i="69"/>
  <c r="P202" i="69"/>
  <c r="N202" i="69"/>
  <c r="I202" i="69"/>
  <c r="H202" i="69"/>
  <c r="G202" i="69"/>
  <c r="F202" i="69"/>
  <c r="E202" i="69"/>
  <c r="D202" i="69"/>
  <c r="C202" i="69"/>
  <c r="B202" i="69"/>
  <c r="A202" i="69"/>
  <c r="AM201" i="69"/>
  <c r="AL201" i="69"/>
  <c r="AK201" i="69"/>
  <c r="AJ201" i="69"/>
  <c r="AI201" i="69"/>
  <c r="AH201" i="69"/>
  <c r="AG201" i="69"/>
  <c r="AF201" i="69"/>
  <c r="AE201" i="69"/>
  <c r="AD201" i="69"/>
  <c r="AC201" i="69"/>
  <c r="AB201" i="69"/>
  <c r="AA201" i="69"/>
  <c r="X201" i="69"/>
  <c r="W201" i="69"/>
  <c r="U201" i="69"/>
  <c r="T201" i="69"/>
  <c r="T200" i="69" s="1"/>
  <c r="T199" i="69" s="1"/>
  <c r="R201" i="69"/>
  <c r="R200" i="69" s="1"/>
  <c r="Q201" i="69"/>
  <c r="P201" i="69"/>
  <c r="O201" i="69"/>
  <c r="N201" i="69"/>
  <c r="M201" i="69"/>
  <c r="I201" i="69"/>
  <c r="H201" i="69"/>
  <c r="G201" i="69"/>
  <c r="F201" i="69"/>
  <c r="E201" i="69"/>
  <c r="D201" i="69"/>
  <c r="C201" i="69"/>
  <c r="B201" i="69"/>
  <c r="A201" i="69"/>
  <c r="X200" i="69"/>
  <c r="M200" i="69"/>
  <c r="L200" i="69"/>
  <c r="L199" i="69"/>
  <c r="K199" i="69"/>
  <c r="AM198" i="69"/>
  <c r="AL198" i="69"/>
  <c r="AK198" i="69"/>
  <c r="AJ198" i="69"/>
  <c r="AI198" i="69"/>
  <c r="AH198" i="69"/>
  <c r="AG198" i="69"/>
  <c r="AF198" i="69"/>
  <c r="AE198" i="69"/>
  <c r="AD198" i="69"/>
  <c r="AC198" i="69"/>
  <c r="AB198" i="69"/>
  <c r="AA198" i="69"/>
  <c r="Z198" i="69"/>
  <c r="X198" i="69"/>
  <c r="W198" i="69"/>
  <c r="U198" i="69"/>
  <c r="T198" i="69"/>
  <c r="T197" i="69" s="1"/>
  <c r="T196" i="69" s="1"/>
  <c r="R198" i="69"/>
  <c r="Q198" i="69"/>
  <c r="P198" i="69"/>
  <c r="O198" i="69"/>
  <c r="N198" i="69"/>
  <c r="M198" i="69"/>
  <c r="I198" i="69"/>
  <c r="H198" i="69"/>
  <c r="G198" i="69"/>
  <c r="F198" i="69"/>
  <c r="E198" i="69"/>
  <c r="D198" i="69"/>
  <c r="C198" i="69"/>
  <c r="B198" i="69"/>
  <c r="A198" i="69"/>
  <c r="Z197" i="69"/>
  <c r="Z196" i="69" s="1"/>
  <c r="X197" i="69"/>
  <c r="X196" i="69" s="1"/>
  <c r="U197" i="69"/>
  <c r="U196" i="69" s="1"/>
  <c r="R197" i="69"/>
  <c r="R196" i="69" s="1"/>
  <c r="M197" i="69"/>
  <c r="L197" i="69"/>
  <c r="L196" i="69"/>
  <c r="K196" i="69"/>
  <c r="AM195" i="69"/>
  <c r="AL195" i="69"/>
  <c r="AK195" i="69"/>
  <c r="AJ195" i="69"/>
  <c r="AI195" i="69"/>
  <c r="AH195" i="69"/>
  <c r="AG195" i="69"/>
  <c r="AF195" i="69"/>
  <c r="AE195" i="69"/>
  <c r="AD195" i="69"/>
  <c r="AC195" i="69"/>
  <c r="AB195" i="69"/>
  <c r="AA195" i="69"/>
  <c r="X195" i="69"/>
  <c r="W195" i="69"/>
  <c r="V195" i="69"/>
  <c r="U195" i="69"/>
  <c r="T195" i="69"/>
  <c r="R195" i="69"/>
  <c r="Q195" i="69"/>
  <c r="P195" i="69"/>
  <c r="N195" i="69"/>
  <c r="I195" i="69"/>
  <c r="H195" i="69"/>
  <c r="G195" i="69"/>
  <c r="F195" i="69"/>
  <c r="E195" i="69"/>
  <c r="D195" i="69"/>
  <c r="C195" i="69"/>
  <c r="B195" i="69"/>
  <c r="A195" i="69"/>
  <c r="AM194" i="69"/>
  <c r="AL194" i="69"/>
  <c r="AK194" i="69"/>
  <c r="AJ194" i="69"/>
  <c r="AI194" i="69"/>
  <c r="AH194" i="69"/>
  <c r="AG194" i="69"/>
  <c r="AF194" i="69"/>
  <c r="AE194" i="69"/>
  <c r="AD194" i="69"/>
  <c r="AC194" i="69"/>
  <c r="AB194" i="69"/>
  <c r="AA194" i="69"/>
  <c r="Z194" i="69"/>
  <c r="Y194" i="69"/>
  <c r="X194" i="69"/>
  <c r="W194" i="69"/>
  <c r="V194" i="69"/>
  <c r="U194" i="69"/>
  <c r="T194" i="69"/>
  <c r="R194" i="69"/>
  <c r="Q194" i="69"/>
  <c r="P194" i="69"/>
  <c r="N194" i="69"/>
  <c r="I194" i="69"/>
  <c r="H194" i="69"/>
  <c r="G194" i="69"/>
  <c r="F194" i="69"/>
  <c r="E194" i="69"/>
  <c r="D194" i="69"/>
  <c r="C194" i="69"/>
  <c r="B194" i="69"/>
  <c r="A194" i="69"/>
  <c r="AM193" i="69"/>
  <c r="AL193" i="69"/>
  <c r="AK193" i="69"/>
  <c r="AJ193" i="69"/>
  <c r="AI193" i="69"/>
  <c r="AH193" i="69"/>
  <c r="AG193" i="69"/>
  <c r="AF193" i="69"/>
  <c r="AE193" i="69"/>
  <c r="AD193" i="69"/>
  <c r="AC193" i="69"/>
  <c r="AB193" i="69"/>
  <c r="AA193" i="69"/>
  <c r="Z193" i="69"/>
  <c r="Y193" i="69"/>
  <c r="X193" i="69"/>
  <c r="W193" i="69"/>
  <c r="U193" i="69"/>
  <c r="R193" i="69"/>
  <c r="Q193" i="69"/>
  <c r="P193" i="69"/>
  <c r="N193" i="69"/>
  <c r="I193" i="69"/>
  <c r="H193" i="69"/>
  <c r="G193" i="69"/>
  <c r="F193" i="69"/>
  <c r="E193" i="69"/>
  <c r="D193" i="69"/>
  <c r="C193" i="69"/>
  <c r="B193" i="69"/>
  <c r="A193" i="69"/>
  <c r="AM192" i="69"/>
  <c r="AL192" i="69"/>
  <c r="AK192" i="69"/>
  <c r="AJ192" i="69"/>
  <c r="AI192" i="69"/>
  <c r="AH192" i="69"/>
  <c r="AG192" i="69"/>
  <c r="AF192" i="69"/>
  <c r="AE192" i="69"/>
  <c r="AD192" i="69"/>
  <c r="AC192" i="69"/>
  <c r="AB192" i="69"/>
  <c r="AA192" i="69"/>
  <c r="X192" i="69"/>
  <c r="W192" i="69"/>
  <c r="U192" i="69"/>
  <c r="U191" i="69" s="1"/>
  <c r="R192" i="69"/>
  <c r="R191" i="69" s="1"/>
  <c r="Q192" i="69"/>
  <c r="P192" i="69"/>
  <c r="O192" i="69"/>
  <c r="N192" i="69"/>
  <c r="M192" i="69"/>
  <c r="I192" i="69"/>
  <c r="H192" i="69"/>
  <c r="G192" i="69"/>
  <c r="F192" i="69"/>
  <c r="E192" i="69"/>
  <c r="D192" i="69"/>
  <c r="C192" i="69"/>
  <c r="B192" i="69"/>
  <c r="A192" i="69"/>
  <c r="X191" i="69"/>
  <c r="M191" i="69"/>
  <c r="L191" i="69"/>
  <c r="AM190" i="69"/>
  <c r="AL190" i="69"/>
  <c r="AK190" i="69"/>
  <c r="AJ190" i="69"/>
  <c r="AI190" i="69"/>
  <c r="AH190" i="69"/>
  <c r="AG190" i="69"/>
  <c r="AF190" i="69"/>
  <c r="AE190" i="69"/>
  <c r="AD190" i="69"/>
  <c r="AC190" i="69"/>
  <c r="AB190" i="69"/>
  <c r="AA190" i="69"/>
  <c r="Z190" i="69"/>
  <c r="Z189" i="69" s="1"/>
  <c r="X190" i="69"/>
  <c r="X189" i="69" s="1"/>
  <c r="W190" i="69"/>
  <c r="U190" i="69"/>
  <c r="U189" i="69" s="1"/>
  <c r="R190" i="69"/>
  <c r="R189" i="69" s="1"/>
  <c r="Q190" i="69"/>
  <c r="P190" i="69"/>
  <c r="O190" i="69"/>
  <c r="N190" i="69"/>
  <c r="M190" i="69"/>
  <c r="I190" i="69"/>
  <c r="H190" i="69"/>
  <c r="G190" i="69"/>
  <c r="F190" i="69"/>
  <c r="E190" i="69"/>
  <c r="D190" i="69"/>
  <c r="C190" i="69"/>
  <c r="B190" i="69"/>
  <c r="A190" i="69"/>
  <c r="M189" i="69"/>
  <c r="L189" i="69"/>
  <c r="AM188" i="69"/>
  <c r="AL188" i="69"/>
  <c r="AK188" i="69"/>
  <c r="AJ188" i="69"/>
  <c r="AI188" i="69"/>
  <c r="AH188" i="69"/>
  <c r="AG188" i="69"/>
  <c r="AF188" i="69"/>
  <c r="AE188" i="69"/>
  <c r="AD188" i="69"/>
  <c r="AC188" i="69"/>
  <c r="AB188" i="69"/>
  <c r="AA188" i="69"/>
  <c r="Z188" i="69"/>
  <c r="Y188" i="69"/>
  <c r="X188" i="69"/>
  <c r="W188" i="69"/>
  <c r="U188" i="69"/>
  <c r="U187" i="69" s="1"/>
  <c r="R188" i="69"/>
  <c r="R187" i="69" s="1"/>
  <c r="Q188" i="69"/>
  <c r="P188" i="69"/>
  <c r="O188" i="69"/>
  <c r="N188" i="69"/>
  <c r="M188" i="69"/>
  <c r="I188" i="69"/>
  <c r="H188" i="69"/>
  <c r="G188" i="69"/>
  <c r="F188" i="69"/>
  <c r="E188" i="69"/>
  <c r="D188" i="69"/>
  <c r="C188" i="69"/>
  <c r="B188" i="69"/>
  <c r="A188" i="69"/>
  <c r="Z187" i="69"/>
  <c r="Y187" i="69"/>
  <c r="X187" i="69"/>
  <c r="M187" i="69"/>
  <c r="L187" i="69"/>
  <c r="AM186" i="69"/>
  <c r="AL186" i="69"/>
  <c r="AK186" i="69"/>
  <c r="AJ186" i="69"/>
  <c r="AI186" i="69"/>
  <c r="AH186" i="69"/>
  <c r="AG186" i="69"/>
  <c r="AF186" i="69"/>
  <c r="AE186" i="69"/>
  <c r="AD186" i="69"/>
  <c r="AC186" i="69"/>
  <c r="AB186" i="69"/>
  <c r="AA186" i="69"/>
  <c r="Z186" i="69"/>
  <c r="Y186" i="69"/>
  <c r="X186" i="69"/>
  <c r="W186" i="69"/>
  <c r="U186" i="69"/>
  <c r="U185" i="69" s="1"/>
  <c r="R186" i="69"/>
  <c r="R185" i="69" s="1"/>
  <c r="Q186" i="69"/>
  <c r="P186" i="69"/>
  <c r="O186" i="69"/>
  <c r="N186" i="69"/>
  <c r="M186" i="69"/>
  <c r="I186" i="69"/>
  <c r="H186" i="69"/>
  <c r="G186" i="69"/>
  <c r="F186" i="69"/>
  <c r="E186" i="69"/>
  <c r="D186" i="69"/>
  <c r="C186" i="69"/>
  <c r="B186" i="69"/>
  <c r="A186" i="69"/>
  <c r="Z185" i="69"/>
  <c r="Y185" i="69"/>
  <c r="X185" i="69"/>
  <c r="M185" i="69"/>
  <c r="L185" i="69"/>
  <c r="L184" i="69"/>
  <c r="K184" i="69"/>
  <c r="AM183" i="69"/>
  <c r="AL183" i="69"/>
  <c r="AK183" i="69"/>
  <c r="AJ183" i="69"/>
  <c r="AI183" i="69"/>
  <c r="AH183" i="69"/>
  <c r="AG183" i="69"/>
  <c r="AF183" i="69"/>
  <c r="AE183" i="69"/>
  <c r="AD183" i="69"/>
  <c r="AC183" i="69"/>
  <c r="AB183" i="69"/>
  <c r="AA183" i="69"/>
  <c r="Z183" i="69"/>
  <c r="Y183" i="69"/>
  <c r="Y182" i="69" s="1"/>
  <c r="Y181" i="69" s="1"/>
  <c r="X183" i="69"/>
  <c r="X182" i="69" s="1"/>
  <c r="X181" i="69" s="1"/>
  <c r="W183" i="69"/>
  <c r="V183" i="69"/>
  <c r="V182" i="69" s="1"/>
  <c r="V181" i="69" s="1"/>
  <c r="U183" i="69"/>
  <c r="U182" i="69" s="1"/>
  <c r="U181" i="69" s="1"/>
  <c r="T183" i="69"/>
  <c r="T182" i="69" s="1"/>
  <c r="T181" i="69" s="1"/>
  <c r="R183" i="69"/>
  <c r="Q183" i="69"/>
  <c r="P183" i="69"/>
  <c r="O183" i="69"/>
  <c r="N183" i="69"/>
  <c r="M183" i="69"/>
  <c r="I183" i="69"/>
  <c r="H183" i="69"/>
  <c r="G183" i="69"/>
  <c r="F183" i="69"/>
  <c r="E183" i="69"/>
  <c r="D183" i="69"/>
  <c r="C183" i="69"/>
  <c r="B183" i="69"/>
  <c r="A183" i="69"/>
  <c r="Z182" i="69"/>
  <c r="Z181" i="69" s="1"/>
  <c r="R182" i="69"/>
  <c r="R181" i="69" s="1"/>
  <c r="M182" i="69"/>
  <c r="L182" i="69"/>
  <c r="L181" i="69"/>
  <c r="K181" i="69"/>
  <c r="AM180" i="69"/>
  <c r="AL180" i="69"/>
  <c r="AK180" i="69"/>
  <c r="AJ180" i="69"/>
  <c r="AI180" i="69"/>
  <c r="AH180" i="69"/>
  <c r="AG180" i="69"/>
  <c r="AF180" i="69"/>
  <c r="AE180" i="69"/>
  <c r="AD180" i="69"/>
  <c r="AC180" i="69"/>
  <c r="AB180" i="69"/>
  <c r="AA180" i="69"/>
  <c r="Z180" i="69"/>
  <c r="Y180" i="69"/>
  <c r="X180" i="69"/>
  <c r="W180" i="69"/>
  <c r="U180" i="69"/>
  <c r="T180" i="69"/>
  <c r="R180" i="69"/>
  <c r="Q180" i="69"/>
  <c r="P180" i="69"/>
  <c r="N180" i="69"/>
  <c r="I180" i="69"/>
  <c r="H180" i="69"/>
  <c r="G180" i="69"/>
  <c r="F180" i="69"/>
  <c r="E180" i="69"/>
  <c r="D180" i="69"/>
  <c r="C180" i="69"/>
  <c r="B180" i="69"/>
  <c r="A180" i="69"/>
  <c r="AM179" i="69"/>
  <c r="AL179" i="69"/>
  <c r="AK179" i="69"/>
  <c r="AJ179" i="69"/>
  <c r="AI179" i="69"/>
  <c r="AH179" i="69"/>
  <c r="AG179" i="69"/>
  <c r="AF179" i="69"/>
  <c r="AE179" i="69"/>
  <c r="AD179" i="69"/>
  <c r="AC179" i="69"/>
  <c r="AB179" i="69"/>
  <c r="AA179" i="69"/>
  <c r="Z179" i="69"/>
  <c r="Y179" i="69"/>
  <c r="X179" i="69"/>
  <c r="W179" i="69"/>
  <c r="U179" i="69"/>
  <c r="T179" i="69"/>
  <c r="R179" i="69"/>
  <c r="Q179" i="69"/>
  <c r="P179" i="69"/>
  <c r="N179" i="69"/>
  <c r="I179" i="69"/>
  <c r="H179" i="69"/>
  <c r="G179" i="69"/>
  <c r="F179" i="69"/>
  <c r="E179" i="69"/>
  <c r="D179" i="69"/>
  <c r="C179" i="69"/>
  <c r="B179" i="69"/>
  <c r="A179" i="69"/>
  <c r="AM178" i="69"/>
  <c r="AL178" i="69"/>
  <c r="AK178" i="69"/>
  <c r="AJ178" i="69"/>
  <c r="AI178" i="69"/>
  <c r="AH178" i="69"/>
  <c r="AG178" i="69"/>
  <c r="AF178" i="69"/>
  <c r="AE178" i="69"/>
  <c r="AD178" i="69"/>
  <c r="AC178" i="69"/>
  <c r="AB178" i="69"/>
  <c r="AA178" i="69"/>
  <c r="Z178" i="69"/>
  <c r="Y178" i="69"/>
  <c r="X178" i="69"/>
  <c r="W178" i="69"/>
  <c r="U178" i="69"/>
  <c r="T178" i="69"/>
  <c r="R178" i="69"/>
  <c r="Q178" i="69"/>
  <c r="P178" i="69"/>
  <c r="N178" i="69"/>
  <c r="I178" i="69"/>
  <c r="H178" i="69"/>
  <c r="G178" i="69"/>
  <c r="F178" i="69"/>
  <c r="E178" i="69"/>
  <c r="D178" i="69"/>
  <c r="C178" i="69"/>
  <c r="B178" i="69"/>
  <c r="A178" i="69"/>
  <c r="AM177" i="69"/>
  <c r="AL177" i="69"/>
  <c r="AK177" i="69"/>
  <c r="AJ177" i="69"/>
  <c r="AI177" i="69"/>
  <c r="AH177" i="69"/>
  <c r="AG177" i="69"/>
  <c r="AF177" i="69"/>
  <c r="AE177" i="69"/>
  <c r="AD177" i="69"/>
  <c r="AC177" i="69"/>
  <c r="AB177" i="69"/>
  <c r="AA177" i="69"/>
  <c r="Z177" i="69"/>
  <c r="Y177" i="69"/>
  <c r="X177" i="69"/>
  <c r="W177" i="69"/>
  <c r="U177" i="69"/>
  <c r="T177" i="69"/>
  <c r="R177" i="69"/>
  <c r="Q177" i="69"/>
  <c r="P177" i="69"/>
  <c r="N177" i="69"/>
  <c r="I177" i="69"/>
  <c r="H177" i="69"/>
  <c r="G177" i="69"/>
  <c r="F177" i="69"/>
  <c r="E177" i="69"/>
  <c r="D177" i="69"/>
  <c r="C177" i="69"/>
  <c r="B177" i="69"/>
  <c r="A177" i="69"/>
  <c r="AM176" i="69"/>
  <c r="AL176" i="69"/>
  <c r="AK176" i="69"/>
  <c r="AJ176" i="69"/>
  <c r="AI176" i="69"/>
  <c r="AH176" i="69"/>
  <c r="AG176" i="69"/>
  <c r="AF176" i="69"/>
  <c r="AE176" i="69"/>
  <c r="AD176" i="69"/>
  <c r="AC176" i="69"/>
  <c r="AB176" i="69"/>
  <c r="AA176" i="69"/>
  <c r="Z176" i="69"/>
  <c r="Y176" i="69"/>
  <c r="X176" i="69"/>
  <c r="W176" i="69"/>
  <c r="U176" i="69"/>
  <c r="T176" i="69"/>
  <c r="R176" i="69"/>
  <c r="Q176" i="69"/>
  <c r="P176" i="69"/>
  <c r="N176" i="69"/>
  <c r="I176" i="69"/>
  <c r="H176" i="69"/>
  <c r="G176" i="69"/>
  <c r="F176" i="69"/>
  <c r="E176" i="69"/>
  <c r="D176" i="69"/>
  <c r="C176" i="69"/>
  <c r="B176" i="69"/>
  <c r="A176" i="69"/>
  <c r="AM175" i="69"/>
  <c r="AL175" i="69"/>
  <c r="AK175" i="69"/>
  <c r="AJ175" i="69"/>
  <c r="AI175" i="69"/>
  <c r="AH175" i="69"/>
  <c r="AG175" i="69"/>
  <c r="AF175" i="69"/>
  <c r="AE175" i="69"/>
  <c r="AD175" i="69"/>
  <c r="AC175" i="69"/>
  <c r="AB175" i="69"/>
  <c r="AA175" i="69"/>
  <c r="Z175" i="69"/>
  <c r="Y175" i="69"/>
  <c r="X175" i="69"/>
  <c r="W175" i="69"/>
  <c r="U175" i="69"/>
  <c r="T175" i="69"/>
  <c r="R175" i="69"/>
  <c r="Q175" i="69"/>
  <c r="P175" i="69"/>
  <c r="N175" i="69"/>
  <c r="I175" i="69"/>
  <c r="H175" i="69"/>
  <c r="G175" i="69"/>
  <c r="F175" i="69"/>
  <c r="E175" i="69"/>
  <c r="D175" i="69"/>
  <c r="C175" i="69"/>
  <c r="B175" i="69"/>
  <c r="A175" i="69"/>
  <c r="AM174" i="69"/>
  <c r="AL174" i="69"/>
  <c r="AK174" i="69"/>
  <c r="AJ174" i="69"/>
  <c r="AI174" i="69"/>
  <c r="AH174" i="69"/>
  <c r="AG174" i="69"/>
  <c r="AF174" i="69"/>
  <c r="AE174" i="69"/>
  <c r="AD174" i="69"/>
  <c r="AC174" i="69"/>
  <c r="AB174" i="69"/>
  <c r="AA174" i="69"/>
  <c r="X174" i="69"/>
  <c r="W174" i="69"/>
  <c r="Q174" i="69"/>
  <c r="P174" i="69"/>
  <c r="O174" i="69"/>
  <c r="N174" i="69"/>
  <c r="M174" i="69"/>
  <c r="I174" i="69"/>
  <c r="H174" i="69"/>
  <c r="G174" i="69"/>
  <c r="F174" i="69"/>
  <c r="E174" i="69"/>
  <c r="D174" i="69"/>
  <c r="C174" i="69"/>
  <c r="B174" i="69"/>
  <c r="A174" i="69"/>
  <c r="X173" i="69"/>
  <c r="X172" i="69" s="1"/>
  <c r="M173" i="69"/>
  <c r="L173" i="69"/>
  <c r="L172" i="69"/>
  <c r="K172" i="69"/>
  <c r="AM171" i="69"/>
  <c r="AL171" i="69"/>
  <c r="AK171" i="69"/>
  <c r="AJ171" i="69"/>
  <c r="AI171" i="69"/>
  <c r="AH171" i="69"/>
  <c r="AG171" i="69"/>
  <c r="AF171" i="69"/>
  <c r="AE171" i="69"/>
  <c r="AD171" i="69"/>
  <c r="AC171" i="69"/>
  <c r="AB171" i="69"/>
  <c r="AA171" i="69"/>
  <c r="Z171" i="69"/>
  <c r="Y171" i="69"/>
  <c r="X171" i="69"/>
  <c r="W171" i="69"/>
  <c r="U171" i="69"/>
  <c r="T171" i="69"/>
  <c r="R171" i="69"/>
  <c r="Q171" i="69"/>
  <c r="P171" i="69"/>
  <c r="N171" i="69"/>
  <c r="I171" i="69"/>
  <c r="H171" i="69"/>
  <c r="G171" i="69"/>
  <c r="F171" i="69"/>
  <c r="E171" i="69"/>
  <c r="D171" i="69"/>
  <c r="C171" i="69"/>
  <c r="B171" i="69"/>
  <c r="A171" i="69"/>
  <c r="AM170" i="69"/>
  <c r="AL170" i="69"/>
  <c r="AK170" i="69"/>
  <c r="AJ170" i="69"/>
  <c r="AI170" i="69"/>
  <c r="AH170" i="69"/>
  <c r="AG170" i="69"/>
  <c r="AF170" i="69"/>
  <c r="AE170" i="69"/>
  <c r="AD170" i="69"/>
  <c r="AC170" i="69"/>
  <c r="AB170" i="69"/>
  <c r="AA170" i="69"/>
  <c r="Z170" i="69"/>
  <c r="Y170" i="69"/>
  <c r="X170" i="69"/>
  <c r="W170" i="69"/>
  <c r="U170" i="69"/>
  <c r="T170" i="69"/>
  <c r="R170" i="69"/>
  <c r="Q170" i="69"/>
  <c r="P170" i="69"/>
  <c r="N170" i="69"/>
  <c r="I170" i="69"/>
  <c r="H170" i="69"/>
  <c r="G170" i="69"/>
  <c r="F170" i="69"/>
  <c r="E170" i="69"/>
  <c r="D170" i="69"/>
  <c r="C170" i="69"/>
  <c r="B170" i="69"/>
  <c r="A170" i="69"/>
  <c r="AM169" i="69"/>
  <c r="AL169" i="69"/>
  <c r="AK169" i="69"/>
  <c r="AJ169" i="69"/>
  <c r="AI169" i="69"/>
  <c r="AH169" i="69"/>
  <c r="AG169" i="69"/>
  <c r="AF169" i="69"/>
  <c r="AE169" i="69"/>
  <c r="AD169" i="69"/>
  <c r="AC169" i="69"/>
  <c r="AB169" i="69"/>
  <c r="AA169" i="69"/>
  <c r="Z169" i="69"/>
  <c r="Y169" i="69"/>
  <c r="X169" i="69"/>
  <c r="W169" i="69"/>
  <c r="U169" i="69"/>
  <c r="T169" i="69"/>
  <c r="R169" i="69"/>
  <c r="Q169" i="69"/>
  <c r="P169" i="69"/>
  <c r="N169" i="69"/>
  <c r="I169" i="69"/>
  <c r="H169" i="69"/>
  <c r="G169" i="69"/>
  <c r="F169" i="69"/>
  <c r="E169" i="69"/>
  <c r="D169" i="69"/>
  <c r="C169" i="69"/>
  <c r="B169" i="69"/>
  <c r="A169" i="69"/>
  <c r="AM168" i="69"/>
  <c r="AL168" i="69"/>
  <c r="AK168" i="69"/>
  <c r="AJ168" i="69"/>
  <c r="AI168" i="69"/>
  <c r="AH168" i="69"/>
  <c r="AG168" i="69"/>
  <c r="AF168" i="69"/>
  <c r="AE168" i="69"/>
  <c r="AD168" i="69"/>
  <c r="AC168" i="69"/>
  <c r="AB168" i="69"/>
  <c r="AA168" i="69"/>
  <c r="Z168" i="69"/>
  <c r="Y168" i="69"/>
  <c r="X168" i="69"/>
  <c r="W168" i="69"/>
  <c r="U168" i="69"/>
  <c r="T168" i="69"/>
  <c r="R168" i="69"/>
  <c r="Q168" i="69"/>
  <c r="P168" i="69"/>
  <c r="N168" i="69"/>
  <c r="I168" i="69"/>
  <c r="H168" i="69"/>
  <c r="G168" i="69"/>
  <c r="F168" i="69"/>
  <c r="E168" i="69"/>
  <c r="D168" i="69"/>
  <c r="C168" i="69"/>
  <c r="B168" i="69"/>
  <c r="A168" i="69"/>
  <c r="AM167" i="69"/>
  <c r="AL167" i="69"/>
  <c r="AK167" i="69"/>
  <c r="AJ167" i="69"/>
  <c r="AI167" i="69"/>
  <c r="AH167" i="69"/>
  <c r="AG167" i="69"/>
  <c r="AF167" i="69"/>
  <c r="AE167" i="69"/>
  <c r="AD167" i="69"/>
  <c r="AC167" i="69"/>
  <c r="AB167" i="69"/>
  <c r="AA167" i="69"/>
  <c r="Z167" i="69"/>
  <c r="Y167" i="69"/>
  <c r="X167" i="69"/>
  <c r="W167" i="69"/>
  <c r="U167" i="69"/>
  <c r="T167" i="69"/>
  <c r="R167" i="69"/>
  <c r="Q167" i="69"/>
  <c r="P167" i="69"/>
  <c r="N167" i="69"/>
  <c r="I167" i="69"/>
  <c r="H167" i="69"/>
  <c r="G167" i="69"/>
  <c r="F167" i="69"/>
  <c r="E167" i="69"/>
  <c r="D167" i="69"/>
  <c r="C167" i="69"/>
  <c r="B167" i="69"/>
  <c r="A167" i="69"/>
  <c r="AM166" i="69"/>
  <c r="AL166" i="69"/>
  <c r="AK166" i="69"/>
  <c r="AJ166" i="69"/>
  <c r="AI166" i="69"/>
  <c r="AH166" i="69"/>
  <c r="AG166" i="69"/>
  <c r="AF166" i="69"/>
  <c r="AE166" i="69"/>
  <c r="AD166" i="69"/>
  <c r="AC166" i="69"/>
  <c r="AB166" i="69"/>
  <c r="AA166" i="69"/>
  <c r="Z166" i="69"/>
  <c r="Y166" i="69"/>
  <c r="X166" i="69"/>
  <c r="W166" i="69"/>
  <c r="U166" i="69"/>
  <c r="T166" i="69"/>
  <c r="R166" i="69"/>
  <c r="Q166" i="69"/>
  <c r="P166" i="69"/>
  <c r="N166" i="69"/>
  <c r="I166" i="69"/>
  <c r="H166" i="69"/>
  <c r="G166" i="69"/>
  <c r="F166" i="69"/>
  <c r="E166" i="69"/>
  <c r="D166" i="69"/>
  <c r="C166" i="69"/>
  <c r="B166" i="69"/>
  <c r="A166" i="69"/>
  <c r="AM165" i="69"/>
  <c r="AL165" i="69"/>
  <c r="AK165" i="69"/>
  <c r="AJ165" i="69"/>
  <c r="AI165" i="69"/>
  <c r="AH165" i="69"/>
  <c r="AG165" i="69"/>
  <c r="AF165" i="69"/>
  <c r="AE165" i="69"/>
  <c r="AD165" i="69"/>
  <c r="AC165" i="69"/>
  <c r="AB165" i="69"/>
  <c r="AA165" i="69"/>
  <c r="Z165" i="69"/>
  <c r="Y165" i="69"/>
  <c r="X165" i="69"/>
  <c r="W165" i="69"/>
  <c r="U165" i="69"/>
  <c r="T165" i="69"/>
  <c r="R165" i="69"/>
  <c r="Q165" i="69"/>
  <c r="P165" i="69"/>
  <c r="N165" i="69"/>
  <c r="I165" i="69"/>
  <c r="H165" i="69"/>
  <c r="G165" i="69"/>
  <c r="F165" i="69"/>
  <c r="E165" i="69"/>
  <c r="D165" i="69"/>
  <c r="C165" i="69"/>
  <c r="B165" i="69"/>
  <c r="A165" i="69"/>
  <c r="AM164" i="69"/>
  <c r="AL164" i="69"/>
  <c r="AK164" i="69"/>
  <c r="AJ164" i="69"/>
  <c r="AI164" i="69"/>
  <c r="AH164" i="69"/>
  <c r="AG164" i="69"/>
  <c r="AF164" i="69"/>
  <c r="AE164" i="69"/>
  <c r="AD164" i="69"/>
  <c r="AC164" i="69"/>
  <c r="AB164" i="69"/>
  <c r="AA164" i="69"/>
  <c r="X164" i="69"/>
  <c r="W164" i="69"/>
  <c r="Q164" i="69"/>
  <c r="P164" i="69"/>
  <c r="O164" i="69"/>
  <c r="N164" i="69"/>
  <c r="M164" i="69"/>
  <c r="I164" i="69"/>
  <c r="H164" i="69"/>
  <c r="G164" i="69"/>
  <c r="F164" i="69"/>
  <c r="E164" i="69"/>
  <c r="D164" i="69"/>
  <c r="C164" i="69"/>
  <c r="B164" i="69"/>
  <c r="A164" i="69"/>
  <c r="X163" i="69"/>
  <c r="X162" i="69" s="1"/>
  <c r="M163" i="69"/>
  <c r="L163" i="69"/>
  <c r="L162" i="69"/>
  <c r="K162" i="69"/>
  <c r="K161" i="69"/>
  <c r="J161" i="69"/>
  <c r="AM160" i="69"/>
  <c r="AL160" i="69"/>
  <c r="AK160" i="69"/>
  <c r="AJ160" i="69"/>
  <c r="AI160" i="69"/>
  <c r="AH160" i="69"/>
  <c r="AG160" i="69"/>
  <c r="AF160" i="69"/>
  <c r="AE160" i="69"/>
  <c r="AD160" i="69"/>
  <c r="AC160" i="69"/>
  <c r="AB160" i="69"/>
  <c r="AA160" i="69"/>
  <c r="Z160" i="69"/>
  <c r="Y160" i="69"/>
  <c r="X160" i="69"/>
  <c r="W160" i="69"/>
  <c r="U160" i="69"/>
  <c r="T160" i="69"/>
  <c r="R160" i="69"/>
  <c r="Q160" i="69"/>
  <c r="P160" i="69"/>
  <c r="O160" i="69"/>
  <c r="N160" i="69"/>
  <c r="M160" i="69"/>
  <c r="I160" i="69"/>
  <c r="H160" i="69"/>
  <c r="G160" i="69"/>
  <c r="F160" i="69"/>
  <c r="E160" i="69"/>
  <c r="D160" i="69"/>
  <c r="C160" i="69"/>
  <c r="B160" i="69"/>
  <c r="A160" i="69"/>
  <c r="AM159" i="69"/>
  <c r="AL159" i="69"/>
  <c r="AK159" i="69"/>
  <c r="AJ159" i="69"/>
  <c r="AI159" i="69"/>
  <c r="AH159" i="69"/>
  <c r="AG159" i="69"/>
  <c r="AF159" i="69"/>
  <c r="AE159" i="69"/>
  <c r="AD159" i="69"/>
  <c r="AC159" i="69"/>
  <c r="AB159" i="69"/>
  <c r="AA159" i="69"/>
  <c r="Y159" i="69"/>
  <c r="X159" i="69"/>
  <c r="W159" i="69"/>
  <c r="U159" i="69"/>
  <c r="T159" i="69"/>
  <c r="R159" i="69"/>
  <c r="Q159" i="69"/>
  <c r="P159" i="69"/>
  <c r="O159" i="69"/>
  <c r="N159" i="69"/>
  <c r="M159" i="69"/>
  <c r="I159" i="69"/>
  <c r="H159" i="69"/>
  <c r="G159" i="69"/>
  <c r="F159" i="69"/>
  <c r="E159" i="69"/>
  <c r="D159" i="69"/>
  <c r="C159" i="69"/>
  <c r="B159" i="69"/>
  <c r="A159" i="69"/>
  <c r="AM158" i="69"/>
  <c r="AL158" i="69"/>
  <c r="AK158" i="69"/>
  <c r="AJ158" i="69"/>
  <c r="AI158" i="69"/>
  <c r="AH158" i="69"/>
  <c r="AG158" i="69"/>
  <c r="AF158" i="69"/>
  <c r="AE158" i="69"/>
  <c r="AD158" i="69"/>
  <c r="AC158" i="69"/>
  <c r="AB158" i="69"/>
  <c r="AA158" i="69"/>
  <c r="Z158" i="69"/>
  <c r="Y158" i="69"/>
  <c r="X158" i="69"/>
  <c r="W158" i="69"/>
  <c r="U158" i="69"/>
  <c r="T158" i="69"/>
  <c r="R158" i="69"/>
  <c r="Q158" i="69"/>
  <c r="P158" i="69"/>
  <c r="O158" i="69"/>
  <c r="N158" i="69"/>
  <c r="M158" i="69"/>
  <c r="I158" i="69"/>
  <c r="H158" i="69"/>
  <c r="G158" i="69"/>
  <c r="F158" i="69"/>
  <c r="E158" i="69"/>
  <c r="D158" i="69"/>
  <c r="C158" i="69"/>
  <c r="B158" i="69"/>
  <c r="A158" i="69"/>
  <c r="AM157" i="69"/>
  <c r="AL157" i="69"/>
  <c r="AK157" i="69"/>
  <c r="AJ157" i="69"/>
  <c r="AI157" i="69"/>
  <c r="AH157" i="69"/>
  <c r="AG157" i="69"/>
  <c r="AF157" i="69"/>
  <c r="AE157" i="69"/>
  <c r="AD157" i="69"/>
  <c r="AC157" i="69"/>
  <c r="AB157" i="69"/>
  <c r="AA157" i="69"/>
  <c r="Z157" i="69"/>
  <c r="X157" i="69"/>
  <c r="W157" i="69"/>
  <c r="U157" i="69"/>
  <c r="T157" i="69"/>
  <c r="R157" i="69"/>
  <c r="Q157" i="69"/>
  <c r="P157" i="69"/>
  <c r="O157" i="69"/>
  <c r="N157" i="69"/>
  <c r="M157" i="69"/>
  <c r="I157" i="69"/>
  <c r="H157" i="69"/>
  <c r="G157" i="69"/>
  <c r="F157" i="69"/>
  <c r="E157" i="69"/>
  <c r="D157" i="69"/>
  <c r="C157" i="69"/>
  <c r="B157" i="69"/>
  <c r="A157" i="69"/>
  <c r="AM156" i="69"/>
  <c r="AL156" i="69"/>
  <c r="AK156" i="69"/>
  <c r="AJ156" i="69"/>
  <c r="AI156" i="69"/>
  <c r="AH156" i="69"/>
  <c r="AG156" i="69"/>
  <c r="AF156" i="69"/>
  <c r="AE156" i="69"/>
  <c r="AD156" i="69"/>
  <c r="AC156" i="69"/>
  <c r="AB156" i="69"/>
  <c r="AA156" i="69"/>
  <c r="Z156" i="69"/>
  <c r="X156" i="69"/>
  <c r="W156" i="69"/>
  <c r="U156" i="69"/>
  <c r="T156" i="69"/>
  <c r="R156" i="69"/>
  <c r="Q156" i="69"/>
  <c r="P156" i="69"/>
  <c r="O156" i="69"/>
  <c r="N156" i="69"/>
  <c r="M156" i="69"/>
  <c r="I156" i="69"/>
  <c r="H156" i="69"/>
  <c r="G156" i="69"/>
  <c r="F156" i="69"/>
  <c r="E156" i="69"/>
  <c r="D156" i="69"/>
  <c r="C156" i="69"/>
  <c r="B156" i="69"/>
  <c r="A156" i="69"/>
  <c r="AM155" i="69"/>
  <c r="AL155" i="69"/>
  <c r="AK155" i="69"/>
  <c r="AJ155" i="69"/>
  <c r="AI155" i="69"/>
  <c r="AH155" i="69"/>
  <c r="AG155" i="69"/>
  <c r="AF155" i="69"/>
  <c r="AE155" i="69"/>
  <c r="AD155" i="69"/>
  <c r="AC155" i="69"/>
  <c r="AB155" i="69"/>
  <c r="AA155" i="69"/>
  <c r="Z155" i="69"/>
  <c r="X155" i="69"/>
  <c r="W155" i="69"/>
  <c r="U155" i="69"/>
  <c r="T155" i="69"/>
  <c r="R155" i="69"/>
  <c r="Q155" i="69"/>
  <c r="P155" i="69"/>
  <c r="O155" i="69"/>
  <c r="N155" i="69"/>
  <c r="M155" i="69"/>
  <c r="I155" i="69"/>
  <c r="H155" i="69"/>
  <c r="G155" i="69"/>
  <c r="F155" i="69"/>
  <c r="E155" i="69"/>
  <c r="D155" i="69"/>
  <c r="C155" i="69"/>
  <c r="B155" i="69"/>
  <c r="A155" i="69"/>
  <c r="AM154" i="69"/>
  <c r="AL154" i="69"/>
  <c r="AK154" i="69"/>
  <c r="AJ154" i="69"/>
  <c r="AI154" i="69"/>
  <c r="AH154" i="69"/>
  <c r="AG154" i="69"/>
  <c r="AF154" i="69"/>
  <c r="AE154" i="69"/>
  <c r="AD154" i="69"/>
  <c r="AC154" i="69"/>
  <c r="AB154" i="69"/>
  <c r="AA154" i="69"/>
  <c r="Z154" i="69"/>
  <c r="Y154" i="69"/>
  <c r="X154" i="69"/>
  <c r="W154" i="69"/>
  <c r="U154" i="69"/>
  <c r="T154" i="69"/>
  <c r="R154" i="69"/>
  <c r="Q154" i="69"/>
  <c r="P154" i="69"/>
  <c r="O154" i="69"/>
  <c r="N154" i="69"/>
  <c r="I154" i="69"/>
  <c r="H154" i="69"/>
  <c r="G154" i="69"/>
  <c r="F154" i="69"/>
  <c r="E154" i="69"/>
  <c r="D154" i="69"/>
  <c r="C154" i="69"/>
  <c r="B154" i="69"/>
  <c r="A154" i="69"/>
  <c r="AM153" i="69"/>
  <c r="AL153" i="69"/>
  <c r="AK153" i="69"/>
  <c r="AJ153" i="69"/>
  <c r="AI153" i="69"/>
  <c r="AH153" i="69"/>
  <c r="AG153" i="69"/>
  <c r="AF153" i="69"/>
  <c r="AE153" i="69"/>
  <c r="AD153" i="69"/>
  <c r="AC153" i="69"/>
  <c r="AB153" i="69"/>
  <c r="AA153" i="69"/>
  <c r="Z153" i="69"/>
  <c r="Y153" i="69"/>
  <c r="X153" i="69"/>
  <c r="W153" i="69"/>
  <c r="U153" i="69"/>
  <c r="T153" i="69"/>
  <c r="R153" i="69"/>
  <c r="Q153" i="69"/>
  <c r="P153" i="69"/>
  <c r="O153" i="69"/>
  <c r="N153" i="69"/>
  <c r="I153" i="69"/>
  <c r="H153" i="69"/>
  <c r="G153" i="69"/>
  <c r="F153" i="69"/>
  <c r="E153" i="69"/>
  <c r="D153" i="69"/>
  <c r="C153" i="69"/>
  <c r="B153" i="69"/>
  <c r="A153" i="69"/>
  <c r="AM152" i="69"/>
  <c r="AL152" i="69"/>
  <c r="AK152" i="69"/>
  <c r="AJ152" i="69"/>
  <c r="AI152" i="69"/>
  <c r="AH152" i="69"/>
  <c r="AG152" i="69"/>
  <c r="AF152" i="69"/>
  <c r="AE152" i="69"/>
  <c r="AD152" i="69"/>
  <c r="AC152" i="69"/>
  <c r="AB152" i="69"/>
  <c r="AA152" i="69"/>
  <c r="X152" i="69"/>
  <c r="X148" i="69" s="1"/>
  <c r="X147" i="69" s="1"/>
  <c r="W152" i="69"/>
  <c r="Q152" i="69"/>
  <c r="P152" i="69"/>
  <c r="O152" i="69"/>
  <c r="N152" i="69"/>
  <c r="M152" i="69"/>
  <c r="I152" i="69"/>
  <c r="H152" i="69"/>
  <c r="G152" i="69"/>
  <c r="F152" i="69"/>
  <c r="E152" i="69"/>
  <c r="D152" i="69"/>
  <c r="C152" i="69"/>
  <c r="B152" i="69"/>
  <c r="A152" i="69"/>
  <c r="AM151" i="69"/>
  <c r="AL151" i="69"/>
  <c r="AK151" i="69"/>
  <c r="AJ151" i="69"/>
  <c r="AI151" i="69"/>
  <c r="AH151" i="69"/>
  <c r="AG151" i="69"/>
  <c r="AF151" i="69"/>
  <c r="AE151" i="69"/>
  <c r="AD151" i="69"/>
  <c r="AC151" i="69"/>
  <c r="AB151" i="69"/>
  <c r="AA151" i="69"/>
  <c r="Z151" i="69"/>
  <c r="Y151" i="69"/>
  <c r="X151" i="69"/>
  <c r="W151" i="69"/>
  <c r="U151" i="69"/>
  <c r="T151" i="69"/>
  <c r="R151" i="69"/>
  <c r="Q151" i="69"/>
  <c r="P151" i="69"/>
  <c r="O151" i="69"/>
  <c r="N151" i="69"/>
  <c r="I151" i="69"/>
  <c r="H151" i="69"/>
  <c r="G151" i="69"/>
  <c r="F151" i="69"/>
  <c r="E151" i="69"/>
  <c r="D151" i="69"/>
  <c r="C151" i="69"/>
  <c r="B151" i="69"/>
  <c r="A151" i="69"/>
  <c r="AM150" i="69"/>
  <c r="AL150" i="69"/>
  <c r="AK150" i="69"/>
  <c r="AJ150" i="69"/>
  <c r="AI150" i="69"/>
  <c r="AH150" i="69"/>
  <c r="AG150" i="69"/>
  <c r="AF150" i="69"/>
  <c r="AE150" i="69"/>
  <c r="AD150" i="69"/>
  <c r="AC150" i="69"/>
  <c r="AB150" i="69"/>
  <c r="AA150" i="69"/>
  <c r="Z150" i="69"/>
  <c r="Y150" i="69"/>
  <c r="X150" i="69"/>
  <c r="W150" i="69"/>
  <c r="U150" i="69"/>
  <c r="T150" i="69"/>
  <c r="R150" i="69"/>
  <c r="Q150" i="69"/>
  <c r="P150" i="69"/>
  <c r="O150" i="69"/>
  <c r="N150" i="69"/>
  <c r="I150" i="69"/>
  <c r="H150" i="69"/>
  <c r="G150" i="69"/>
  <c r="F150" i="69"/>
  <c r="E150" i="69"/>
  <c r="D150" i="69"/>
  <c r="C150" i="69"/>
  <c r="B150" i="69"/>
  <c r="A150" i="69"/>
  <c r="AM149" i="69"/>
  <c r="AL149" i="69"/>
  <c r="AK149" i="69"/>
  <c r="AJ149" i="69"/>
  <c r="AI149" i="69"/>
  <c r="AH149" i="69"/>
  <c r="AG149" i="69"/>
  <c r="AF149" i="69"/>
  <c r="AE149" i="69"/>
  <c r="AD149" i="69"/>
  <c r="AC149" i="69"/>
  <c r="AB149" i="69"/>
  <c r="AA149" i="69"/>
  <c r="X149" i="69"/>
  <c r="W149" i="69"/>
  <c r="Q149" i="69"/>
  <c r="P149" i="69"/>
  <c r="O149" i="69"/>
  <c r="N149" i="69"/>
  <c r="M149" i="69"/>
  <c r="I149" i="69"/>
  <c r="H149" i="69"/>
  <c r="G149" i="69"/>
  <c r="F149" i="69"/>
  <c r="E149" i="69"/>
  <c r="D149" i="69"/>
  <c r="C149" i="69"/>
  <c r="B149" i="69"/>
  <c r="A149" i="69"/>
  <c r="M148" i="69"/>
  <c r="L148" i="69"/>
  <c r="L147" i="69"/>
  <c r="K147" i="69"/>
  <c r="AM146" i="69"/>
  <c r="AL146" i="69"/>
  <c r="AK146" i="69"/>
  <c r="AJ146" i="69"/>
  <c r="AI146" i="69"/>
  <c r="AH146" i="69"/>
  <c r="AG146" i="69"/>
  <c r="AF146" i="69"/>
  <c r="AE146" i="69"/>
  <c r="AD146" i="69"/>
  <c r="AC146" i="69"/>
  <c r="AB146" i="69"/>
  <c r="AA146" i="69"/>
  <c r="X146" i="69"/>
  <c r="W146" i="69"/>
  <c r="U146" i="69"/>
  <c r="U145" i="69" s="1"/>
  <c r="U144" i="69" s="1"/>
  <c r="T146" i="69"/>
  <c r="R146" i="69"/>
  <c r="Q146" i="69"/>
  <c r="P146" i="69"/>
  <c r="O146" i="69"/>
  <c r="N146" i="69"/>
  <c r="M146" i="69"/>
  <c r="I146" i="69"/>
  <c r="H146" i="69"/>
  <c r="G146" i="69"/>
  <c r="F146" i="69"/>
  <c r="E146" i="69"/>
  <c r="D146" i="69"/>
  <c r="C146" i="69"/>
  <c r="B146" i="69"/>
  <c r="A146" i="69"/>
  <c r="X145" i="69"/>
  <c r="X144" i="69" s="1"/>
  <c r="T145" i="69"/>
  <c r="R145" i="69"/>
  <c r="R144" i="69" s="1"/>
  <c r="M145" i="69"/>
  <c r="L145" i="69"/>
  <c r="T144" i="69"/>
  <c r="L144" i="69"/>
  <c r="K144" i="69"/>
  <c r="AM143" i="69"/>
  <c r="AL143" i="69"/>
  <c r="AK143" i="69"/>
  <c r="AJ143" i="69"/>
  <c r="AI143" i="69"/>
  <c r="AH143" i="69"/>
  <c r="AG143" i="69"/>
  <c r="AF143" i="69"/>
  <c r="AE143" i="69"/>
  <c r="AD143" i="69"/>
  <c r="AC143" i="69"/>
  <c r="AB143" i="69"/>
  <c r="AA143" i="69"/>
  <c r="Y143" i="69"/>
  <c r="X143" i="69"/>
  <c r="X140" i="69" s="1"/>
  <c r="X139" i="69" s="1"/>
  <c r="W143" i="69"/>
  <c r="U143" i="69"/>
  <c r="T143" i="69"/>
  <c r="R143" i="69"/>
  <c r="R140" i="69" s="1"/>
  <c r="R139" i="69" s="1"/>
  <c r="Q143" i="69"/>
  <c r="P143" i="69"/>
  <c r="O143" i="69"/>
  <c r="N143" i="69"/>
  <c r="M143" i="69"/>
  <c r="I143" i="69"/>
  <c r="H143" i="69"/>
  <c r="G143" i="69"/>
  <c r="F143" i="69"/>
  <c r="E143" i="69"/>
  <c r="D143" i="69"/>
  <c r="C143" i="69"/>
  <c r="B143" i="69"/>
  <c r="A143" i="69"/>
  <c r="AM142" i="69"/>
  <c r="AL142" i="69"/>
  <c r="AK142" i="69"/>
  <c r="AJ142" i="69"/>
  <c r="AI142" i="69"/>
  <c r="AH142" i="69"/>
  <c r="AG142" i="69"/>
  <c r="AF142" i="69"/>
  <c r="AE142" i="69"/>
  <c r="AD142" i="69"/>
  <c r="AC142" i="69"/>
  <c r="AB142" i="69"/>
  <c r="AA142" i="69"/>
  <c r="Z142" i="69"/>
  <c r="X142" i="69"/>
  <c r="W142" i="69"/>
  <c r="U142" i="69"/>
  <c r="T142" i="69"/>
  <c r="T140" i="69" s="1"/>
  <c r="T139" i="69" s="1"/>
  <c r="R142" i="69"/>
  <c r="Q142" i="69"/>
  <c r="P142" i="69"/>
  <c r="O142" i="69"/>
  <c r="N142" i="69"/>
  <c r="M142" i="69"/>
  <c r="I142" i="69"/>
  <c r="H142" i="69"/>
  <c r="G142" i="69"/>
  <c r="F142" i="69"/>
  <c r="E142" i="69"/>
  <c r="D142" i="69"/>
  <c r="C142" i="69"/>
  <c r="B142" i="69"/>
  <c r="A142" i="69"/>
  <c r="AM141" i="69"/>
  <c r="AL141" i="69"/>
  <c r="AK141" i="69"/>
  <c r="AJ141" i="69"/>
  <c r="AI141" i="69"/>
  <c r="AH141" i="69"/>
  <c r="AG141" i="69"/>
  <c r="AF141" i="69"/>
  <c r="AE141" i="69"/>
  <c r="AD141" i="69"/>
  <c r="AC141" i="69"/>
  <c r="AB141" i="69"/>
  <c r="AA141" i="69"/>
  <c r="Y141" i="69"/>
  <c r="X141" i="69"/>
  <c r="W141" i="69"/>
  <c r="U141" i="69"/>
  <c r="U140" i="69" s="1"/>
  <c r="U139" i="69" s="1"/>
  <c r="T141" i="69"/>
  <c r="R141" i="69"/>
  <c r="Q141" i="69"/>
  <c r="P141" i="69"/>
  <c r="O141" i="69"/>
  <c r="N141" i="69"/>
  <c r="M141" i="69"/>
  <c r="I141" i="69"/>
  <c r="H141" i="69"/>
  <c r="G141" i="69"/>
  <c r="F141" i="69"/>
  <c r="E141" i="69"/>
  <c r="D141" i="69"/>
  <c r="C141" i="69"/>
  <c r="B141" i="69"/>
  <c r="A141" i="69"/>
  <c r="M140" i="69"/>
  <c r="L140" i="69"/>
  <c r="L139" i="69"/>
  <c r="K139" i="69"/>
  <c r="AM138" i="69"/>
  <c r="AL138" i="69"/>
  <c r="AK138" i="69"/>
  <c r="AJ138" i="69"/>
  <c r="AI138" i="69"/>
  <c r="AH138" i="69"/>
  <c r="AG138" i="69"/>
  <c r="AF138" i="69"/>
  <c r="AE138" i="69"/>
  <c r="AD138" i="69"/>
  <c r="AC138" i="69"/>
  <c r="AB138" i="69"/>
  <c r="AA138" i="69"/>
  <c r="Z138" i="69"/>
  <c r="X138" i="69"/>
  <c r="W138" i="69"/>
  <c r="U138" i="69"/>
  <c r="T138" i="69"/>
  <c r="R138" i="69"/>
  <c r="Q138" i="69"/>
  <c r="P138" i="69"/>
  <c r="O138" i="69"/>
  <c r="N138" i="69"/>
  <c r="M138" i="69"/>
  <c r="I138" i="69"/>
  <c r="H138" i="69"/>
  <c r="G138" i="69"/>
  <c r="F138" i="69"/>
  <c r="E138" i="69"/>
  <c r="D138" i="69"/>
  <c r="C138" i="69"/>
  <c r="B138" i="69"/>
  <c r="A138" i="69"/>
  <c r="Z137" i="69"/>
  <c r="X137" i="69"/>
  <c r="U137" i="69"/>
  <c r="U136" i="69" s="1"/>
  <c r="T137" i="69"/>
  <c r="T136" i="69" s="1"/>
  <c r="R137" i="69"/>
  <c r="M137" i="69"/>
  <c r="L137" i="69"/>
  <c r="Z136" i="69"/>
  <c r="X136" i="69"/>
  <c r="R136" i="69"/>
  <c r="L136" i="69"/>
  <c r="K136" i="69"/>
  <c r="AM135" i="69"/>
  <c r="AL135" i="69"/>
  <c r="AK135" i="69"/>
  <c r="AJ135" i="69"/>
  <c r="AI135" i="69"/>
  <c r="AH135" i="69"/>
  <c r="AG135" i="69"/>
  <c r="AF135" i="69"/>
  <c r="AE135" i="69"/>
  <c r="AD135" i="69"/>
  <c r="AC135" i="69"/>
  <c r="AB135" i="69"/>
  <c r="AA135" i="69"/>
  <c r="Z135" i="69"/>
  <c r="X135" i="69"/>
  <c r="X129" i="69" s="1"/>
  <c r="X128" i="69" s="1"/>
  <c r="W135" i="69"/>
  <c r="U135" i="69"/>
  <c r="T135" i="69"/>
  <c r="R135" i="69"/>
  <c r="Q135" i="69"/>
  <c r="P135" i="69"/>
  <c r="O135" i="69"/>
  <c r="N135" i="69"/>
  <c r="M135" i="69"/>
  <c r="I135" i="69"/>
  <c r="H135" i="69"/>
  <c r="G135" i="69"/>
  <c r="F135" i="69"/>
  <c r="E135" i="69"/>
  <c r="D135" i="69"/>
  <c r="C135" i="69"/>
  <c r="B135" i="69"/>
  <c r="A135" i="69"/>
  <c r="AM134" i="69"/>
  <c r="AL134" i="69"/>
  <c r="AK134" i="69"/>
  <c r="AJ134" i="69"/>
  <c r="AI134" i="69"/>
  <c r="AH134" i="69"/>
  <c r="AG134" i="69"/>
  <c r="AF134" i="69"/>
  <c r="AE134" i="69"/>
  <c r="AD134" i="69"/>
  <c r="AC134" i="69"/>
  <c r="AB134" i="69"/>
  <c r="AA134" i="69"/>
  <c r="Z134" i="69"/>
  <c r="X134" i="69"/>
  <c r="W134" i="69"/>
  <c r="U134" i="69"/>
  <c r="R134" i="69"/>
  <c r="Q134" i="69"/>
  <c r="P134" i="69"/>
  <c r="O134" i="69"/>
  <c r="N134" i="69"/>
  <c r="M134" i="69"/>
  <c r="I134" i="69"/>
  <c r="H134" i="69"/>
  <c r="G134" i="69"/>
  <c r="F134" i="69"/>
  <c r="E134" i="69"/>
  <c r="D134" i="69"/>
  <c r="C134" i="69"/>
  <c r="B134" i="69"/>
  <c r="A134" i="69"/>
  <c r="AM133" i="69"/>
  <c r="AL133" i="69"/>
  <c r="AK133" i="69"/>
  <c r="AJ133" i="69"/>
  <c r="AI133" i="69"/>
  <c r="AH133" i="69"/>
  <c r="AG133" i="69"/>
  <c r="AF133" i="69"/>
  <c r="AE133" i="69"/>
  <c r="AD133" i="69"/>
  <c r="AC133" i="69"/>
  <c r="AB133" i="69"/>
  <c r="AA133" i="69"/>
  <c r="Z133" i="69"/>
  <c r="X133" i="69"/>
  <c r="W133" i="69"/>
  <c r="U133" i="69"/>
  <c r="R133" i="69"/>
  <c r="Q133" i="69"/>
  <c r="P133" i="69"/>
  <c r="O133" i="69"/>
  <c r="N133" i="69"/>
  <c r="M133" i="69"/>
  <c r="I133" i="69"/>
  <c r="H133" i="69"/>
  <c r="G133" i="69"/>
  <c r="F133" i="69"/>
  <c r="E133" i="69"/>
  <c r="D133" i="69"/>
  <c r="C133" i="69"/>
  <c r="B133" i="69"/>
  <c r="A133" i="69"/>
  <c r="AM132" i="69"/>
  <c r="AL132" i="69"/>
  <c r="AK132" i="69"/>
  <c r="AJ132" i="69"/>
  <c r="AI132" i="69"/>
  <c r="AH132" i="69"/>
  <c r="AG132" i="69"/>
  <c r="AF132" i="69"/>
  <c r="AE132" i="69"/>
  <c r="AD132" i="69"/>
  <c r="AC132" i="69"/>
  <c r="AB132" i="69"/>
  <c r="AA132" i="69"/>
  <c r="Z132" i="69"/>
  <c r="X132" i="69"/>
  <c r="W132" i="69"/>
  <c r="U132" i="69"/>
  <c r="T132" i="69"/>
  <c r="R132" i="69"/>
  <c r="Q132" i="69"/>
  <c r="P132" i="69"/>
  <c r="O132" i="69"/>
  <c r="N132" i="69"/>
  <c r="I132" i="69"/>
  <c r="H132" i="69"/>
  <c r="G132" i="69"/>
  <c r="F132" i="69"/>
  <c r="E132" i="69"/>
  <c r="D132" i="69"/>
  <c r="C132" i="69"/>
  <c r="B132" i="69"/>
  <c r="A132" i="69"/>
  <c r="AM131" i="69"/>
  <c r="AL131" i="69"/>
  <c r="AK131" i="69"/>
  <c r="AJ131" i="69"/>
  <c r="AI131" i="69"/>
  <c r="AH131" i="69"/>
  <c r="AG131" i="69"/>
  <c r="AF131" i="69"/>
  <c r="AE131" i="69"/>
  <c r="AD131" i="69"/>
  <c r="AC131" i="69"/>
  <c r="AB131" i="69"/>
  <c r="AA131" i="69"/>
  <c r="Z131" i="69"/>
  <c r="Y131" i="69"/>
  <c r="X131" i="69"/>
  <c r="W131" i="69"/>
  <c r="U131" i="69"/>
  <c r="T131" i="69"/>
  <c r="R131" i="69"/>
  <c r="Q131" i="69"/>
  <c r="P131" i="69"/>
  <c r="O131" i="69"/>
  <c r="N131" i="69"/>
  <c r="I131" i="69"/>
  <c r="H131" i="69"/>
  <c r="G131" i="69"/>
  <c r="F131" i="69"/>
  <c r="E131" i="69"/>
  <c r="D131" i="69"/>
  <c r="C131" i="69"/>
  <c r="B131" i="69"/>
  <c r="A131" i="69"/>
  <c r="AM130" i="69"/>
  <c r="AL130" i="69"/>
  <c r="AK130" i="69"/>
  <c r="AJ130" i="69"/>
  <c r="AI130" i="69"/>
  <c r="AH130" i="69"/>
  <c r="AG130" i="69"/>
  <c r="AF130" i="69"/>
  <c r="AE130" i="69"/>
  <c r="AD130" i="69"/>
  <c r="AC130" i="69"/>
  <c r="AB130" i="69"/>
  <c r="AA130" i="69"/>
  <c r="X130" i="69"/>
  <c r="W130" i="69"/>
  <c r="Q130" i="69"/>
  <c r="P130" i="69"/>
  <c r="O130" i="69"/>
  <c r="N130" i="69"/>
  <c r="M130" i="69"/>
  <c r="I130" i="69"/>
  <c r="H130" i="69"/>
  <c r="G130" i="69"/>
  <c r="F130" i="69"/>
  <c r="E130" i="69"/>
  <c r="D130" i="69"/>
  <c r="C130" i="69"/>
  <c r="B130" i="69"/>
  <c r="A130" i="69"/>
  <c r="M129" i="69"/>
  <c r="L129" i="69"/>
  <c r="L128" i="69"/>
  <c r="K128" i="69"/>
  <c r="AM127" i="69"/>
  <c r="AL127" i="69"/>
  <c r="AK127" i="69"/>
  <c r="AJ127" i="69"/>
  <c r="AI127" i="69"/>
  <c r="AH127" i="69"/>
  <c r="AG127" i="69"/>
  <c r="AF127" i="69"/>
  <c r="AE127" i="69"/>
  <c r="AD127" i="69"/>
  <c r="AC127" i="69"/>
  <c r="AB127" i="69"/>
  <c r="AA127" i="69"/>
  <c r="Z127" i="69"/>
  <c r="Y127" i="69"/>
  <c r="X127" i="69"/>
  <c r="W127" i="69"/>
  <c r="U127" i="69"/>
  <c r="R127" i="69"/>
  <c r="Q127" i="69"/>
  <c r="P127" i="69"/>
  <c r="O127" i="69"/>
  <c r="N127" i="69"/>
  <c r="M127" i="69"/>
  <c r="I127" i="69"/>
  <c r="H127" i="69"/>
  <c r="G127" i="69"/>
  <c r="F127" i="69"/>
  <c r="E127" i="69"/>
  <c r="D127" i="69"/>
  <c r="C127" i="69"/>
  <c r="B127" i="69"/>
  <c r="A127" i="69"/>
  <c r="Z126" i="69"/>
  <c r="Y126" i="69"/>
  <c r="Y125" i="69" s="1"/>
  <c r="X126" i="69"/>
  <c r="U126" i="69"/>
  <c r="U125" i="69" s="1"/>
  <c r="R126" i="69"/>
  <c r="R125" i="69" s="1"/>
  <c r="M126" i="69"/>
  <c r="L126" i="69"/>
  <c r="Z125" i="69"/>
  <c r="X125" i="69"/>
  <c r="L125" i="69"/>
  <c r="K125" i="69"/>
  <c r="AM124" i="69"/>
  <c r="AL124" i="69"/>
  <c r="AK124" i="69"/>
  <c r="AJ124" i="69"/>
  <c r="AI124" i="69"/>
  <c r="AH124" i="69"/>
  <c r="AG124" i="69"/>
  <c r="AF124" i="69"/>
  <c r="AE124" i="69"/>
  <c r="AD124" i="69"/>
  <c r="AC124" i="69"/>
  <c r="AB124" i="69"/>
  <c r="AA124" i="69"/>
  <c r="Y124" i="69"/>
  <c r="X124" i="69"/>
  <c r="W124" i="69"/>
  <c r="U124" i="69"/>
  <c r="T124" i="69"/>
  <c r="R124" i="69"/>
  <c r="R123" i="69" s="1"/>
  <c r="Q124" i="69"/>
  <c r="P124" i="69"/>
  <c r="O124" i="69"/>
  <c r="N124" i="69"/>
  <c r="M124" i="69"/>
  <c r="I124" i="69"/>
  <c r="H124" i="69"/>
  <c r="G124" i="69"/>
  <c r="F124" i="69"/>
  <c r="E124" i="69"/>
  <c r="D124" i="69"/>
  <c r="C124" i="69"/>
  <c r="B124" i="69"/>
  <c r="A124" i="69"/>
  <c r="Y123" i="69"/>
  <c r="X123" i="69"/>
  <c r="U123" i="69"/>
  <c r="T123" i="69"/>
  <c r="M123" i="69"/>
  <c r="L123" i="69"/>
  <c r="AM122" i="69"/>
  <c r="AL122" i="69"/>
  <c r="AK122" i="69"/>
  <c r="AJ122" i="69"/>
  <c r="AI122" i="69"/>
  <c r="AH122" i="69"/>
  <c r="AG122" i="69"/>
  <c r="AF122" i="69"/>
  <c r="AE122" i="69"/>
  <c r="AD122" i="69"/>
  <c r="AC122" i="69"/>
  <c r="AB122" i="69"/>
  <c r="AA122" i="69"/>
  <c r="Y122" i="69"/>
  <c r="X122" i="69"/>
  <c r="W122" i="69"/>
  <c r="U122" i="69"/>
  <c r="T122" i="69"/>
  <c r="R122" i="69"/>
  <c r="Q122" i="69"/>
  <c r="P122" i="69"/>
  <c r="O122" i="69"/>
  <c r="N122" i="69"/>
  <c r="M122" i="69"/>
  <c r="I122" i="69"/>
  <c r="H122" i="69"/>
  <c r="G122" i="69"/>
  <c r="F122" i="69"/>
  <c r="E122" i="69"/>
  <c r="D122" i="69"/>
  <c r="C122" i="69"/>
  <c r="B122" i="69"/>
  <c r="A122" i="69"/>
  <c r="AM121" i="69"/>
  <c r="AL121" i="69"/>
  <c r="AK121" i="69"/>
  <c r="AJ121" i="69"/>
  <c r="AI121" i="69"/>
  <c r="AH121" i="69"/>
  <c r="AG121" i="69"/>
  <c r="AF121" i="69"/>
  <c r="AE121" i="69"/>
  <c r="AD121" i="69"/>
  <c r="AC121" i="69"/>
  <c r="AB121" i="69"/>
  <c r="AA121" i="69"/>
  <c r="Z121" i="69"/>
  <c r="X121" i="69"/>
  <c r="W121" i="69"/>
  <c r="U121" i="69"/>
  <c r="T121" i="69"/>
  <c r="R121" i="69"/>
  <c r="R119" i="69" s="1"/>
  <c r="Q121" i="69"/>
  <c r="P121" i="69"/>
  <c r="O121" i="69"/>
  <c r="N121" i="69"/>
  <c r="M121" i="69"/>
  <c r="I121" i="69"/>
  <c r="H121" i="69"/>
  <c r="G121" i="69"/>
  <c r="F121" i="69"/>
  <c r="E121" i="69"/>
  <c r="D121" i="69"/>
  <c r="C121" i="69"/>
  <c r="B121" i="69"/>
  <c r="A121" i="69"/>
  <c r="AM120" i="69"/>
  <c r="AL120" i="69"/>
  <c r="AK120" i="69"/>
  <c r="AJ120" i="69"/>
  <c r="AI120" i="69"/>
  <c r="AH120" i="69"/>
  <c r="AG120" i="69"/>
  <c r="AF120" i="69"/>
  <c r="AE120" i="69"/>
  <c r="AD120" i="69"/>
  <c r="AC120" i="69"/>
  <c r="AB120" i="69"/>
  <c r="AA120" i="69"/>
  <c r="Y120" i="69"/>
  <c r="X120" i="69"/>
  <c r="W120" i="69"/>
  <c r="U120" i="69"/>
  <c r="U119" i="69" s="1"/>
  <c r="T120" i="69"/>
  <c r="T119" i="69" s="1"/>
  <c r="R120" i="69"/>
  <c r="Q120" i="69"/>
  <c r="P120" i="69"/>
  <c r="O120" i="69"/>
  <c r="N120" i="69"/>
  <c r="M120" i="69"/>
  <c r="I120" i="69"/>
  <c r="H120" i="69"/>
  <c r="G120" i="69"/>
  <c r="F120" i="69"/>
  <c r="E120" i="69"/>
  <c r="D120" i="69"/>
  <c r="C120" i="69"/>
  <c r="B120" i="69"/>
  <c r="A120" i="69"/>
  <c r="X119" i="69"/>
  <c r="M119" i="69"/>
  <c r="L119" i="69"/>
  <c r="AM118" i="69"/>
  <c r="AL118" i="69"/>
  <c r="AK118" i="69"/>
  <c r="AJ118" i="69"/>
  <c r="AI118" i="69"/>
  <c r="AH118" i="69"/>
  <c r="AG118" i="69"/>
  <c r="AF118" i="69"/>
  <c r="AE118" i="69"/>
  <c r="AD118" i="69"/>
  <c r="AC118" i="69"/>
  <c r="AB118" i="69"/>
  <c r="AA118" i="69"/>
  <c r="Z118" i="69"/>
  <c r="Y118" i="69"/>
  <c r="X118" i="69"/>
  <c r="W118" i="69"/>
  <c r="U118" i="69"/>
  <c r="T118" i="69"/>
  <c r="R118" i="69"/>
  <c r="Q118" i="69"/>
  <c r="P118" i="69"/>
  <c r="O118" i="69"/>
  <c r="N118" i="69"/>
  <c r="I118" i="69"/>
  <c r="H118" i="69"/>
  <c r="G118" i="69"/>
  <c r="F118" i="69"/>
  <c r="E118" i="69"/>
  <c r="D118" i="69"/>
  <c r="C118" i="69"/>
  <c r="B118" i="69"/>
  <c r="A118" i="69"/>
  <c r="AM117" i="69"/>
  <c r="AL117" i="69"/>
  <c r="AK117" i="69"/>
  <c r="AJ117" i="69"/>
  <c r="AI117" i="69"/>
  <c r="AH117" i="69"/>
  <c r="AG117" i="69"/>
  <c r="AF117" i="69"/>
  <c r="AE117" i="69"/>
  <c r="AD117" i="69"/>
  <c r="AC117" i="69"/>
  <c r="AB117" i="69"/>
  <c r="AA117" i="69"/>
  <c r="X117" i="69"/>
  <c r="W117" i="69"/>
  <c r="U117" i="69"/>
  <c r="T117" i="69"/>
  <c r="R117" i="69"/>
  <c r="Q117" i="69"/>
  <c r="P117" i="69"/>
  <c r="O117" i="69"/>
  <c r="N117" i="69"/>
  <c r="I117" i="69"/>
  <c r="H117" i="69"/>
  <c r="G117" i="69"/>
  <c r="F117" i="69"/>
  <c r="E117" i="69"/>
  <c r="D117" i="69"/>
  <c r="C117" i="69"/>
  <c r="B117" i="69"/>
  <c r="A117" i="69"/>
  <c r="AM116" i="69"/>
  <c r="AL116" i="69"/>
  <c r="AK116" i="69"/>
  <c r="AJ116" i="69"/>
  <c r="AI116" i="69"/>
  <c r="AH116" i="69"/>
  <c r="AG116" i="69"/>
  <c r="AF116" i="69"/>
  <c r="AE116" i="69"/>
  <c r="AD116" i="69"/>
  <c r="AC116" i="69"/>
  <c r="AB116" i="69"/>
  <c r="AA116" i="69"/>
  <c r="X116" i="69"/>
  <c r="W116" i="69"/>
  <c r="Q116" i="69"/>
  <c r="P116" i="69"/>
  <c r="O116" i="69"/>
  <c r="N116" i="69"/>
  <c r="M116" i="69"/>
  <c r="I116" i="69"/>
  <c r="H116" i="69"/>
  <c r="G116" i="69"/>
  <c r="F116" i="69"/>
  <c r="E116" i="69"/>
  <c r="D116" i="69"/>
  <c r="C116" i="69"/>
  <c r="B116" i="69"/>
  <c r="A116" i="69"/>
  <c r="AM115" i="69"/>
  <c r="AL115" i="69"/>
  <c r="AK115" i="69"/>
  <c r="AJ115" i="69"/>
  <c r="AI115" i="69"/>
  <c r="AH115" i="69"/>
  <c r="AG115" i="69"/>
  <c r="AF115" i="69"/>
  <c r="AE115" i="69"/>
  <c r="AD115" i="69"/>
  <c r="AC115" i="69"/>
  <c r="AB115" i="69"/>
  <c r="AA115" i="69"/>
  <c r="Z115" i="69"/>
  <c r="Y115" i="69"/>
  <c r="X115" i="69"/>
  <c r="W115" i="69"/>
  <c r="U115" i="69"/>
  <c r="T115" i="69"/>
  <c r="R115" i="69"/>
  <c r="Q115" i="69"/>
  <c r="P115" i="69"/>
  <c r="O115" i="69"/>
  <c r="N115" i="69"/>
  <c r="M115" i="69"/>
  <c r="I115" i="69"/>
  <c r="H115" i="69"/>
  <c r="G115" i="69"/>
  <c r="F115" i="69"/>
  <c r="E115" i="69"/>
  <c r="D115" i="69"/>
  <c r="C115" i="69"/>
  <c r="B115" i="69"/>
  <c r="A115" i="69"/>
  <c r="AM114" i="69"/>
  <c r="AL114" i="69"/>
  <c r="AK114" i="69"/>
  <c r="AJ114" i="69"/>
  <c r="AI114" i="69"/>
  <c r="AH114" i="69"/>
  <c r="AG114" i="69"/>
  <c r="AF114" i="69"/>
  <c r="AE114" i="69"/>
  <c r="AD114" i="69"/>
  <c r="AC114" i="69"/>
  <c r="AB114" i="69"/>
  <c r="AA114" i="69"/>
  <c r="Z114" i="69"/>
  <c r="X114" i="69"/>
  <c r="W114" i="69"/>
  <c r="U114" i="69"/>
  <c r="T114" i="69"/>
  <c r="R114" i="69"/>
  <c r="Q114" i="69"/>
  <c r="P114" i="69"/>
  <c r="O114" i="69"/>
  <c r="N114" i="69"/>
  <c r="M114" i="69"/>
  <c r="I114" i="69"/>
  <c r="H114" i="69"/>
  <c r="G114" i="69"/>
  <c r="F114" i="69"/>
  <c r="E114" i="69"/>
  <c r="D114" i="69"/>
  <c r="C114" i="69"/>
  <c r="B114" i="69"/>
  <c r="A114" i="69"/>
  <c r="AM113" i="69"/>
  <c r="AL113" i="69"/>
  <c r="AK113" i="69"/>
  <c r="AJ113" i="69"/>
  <c r="AI113" i="69"/>
  <c r="AH113" i="69"/>
  <c r="AG113" i="69"/>
  <c r="AF113" i="69"/>
  <c r="AE113" i="69"/>
  <c r="AD113" i="69"/>
  <c r="AC113" i="69"/>
  <c r="AB113" i="69"/>
  <c r="AA113" i="69"/>
  <c r="Z113" i="69"/>
  <c r="X113" i="69"/>
  <c r="W113" i="69"/>
  <c r="U113" i="69"/>
  <c r="T113" i="69"/>
  <c r="R113" i="69"/>
  <c r="Q113" i="69"/>
  <c r="P113" i="69"/>
  <c r="O113" i="69"/>
  <c r="N113" i="69"/>
  <c r="M113" i="69"/>
  <c r="I113" i="69"/>
  <c r="H113" i="69"/>
  <c r="G113" i="69"/>
  <c r="F113" i="69"/>
  <c r="E113" i="69"/>
  <c r="D113" i="69"/>
  <c r="C113" i="69"/>
  <c r="B113" i="69"/>
  <c r="A113" i="69"/>
  <c r="AM112" i="69"/>
  <c r="AL112" i="69"/>
  <c r="AK112" i="69"/>
  <c r="AJ112" i="69"/>
  <c r="AI112" i="69"/>
  <c r="AH112" i="69"/>
  <c r="AG112" i="69"/>
  <c r="AF112" i="69"/>
  <c r="AE112" i="69"/>
  <c r="AD112" i="69"/>
  <c r="AC112" i="69"/>
  <c r="AB112" i="69"/>
  <c r="AA112" i="69"/>
  <c r="Z112" i="69"/>
  <c r="X112" i="69"/>
  <c r="W112" i="69"/>
  <c r="U112" i="69"/>
  <c r="T112" i="69"/>
  <c r="R112" i="69"/>
  <c r="Q112" i="69"/>
  <c r="P112" i="69"/>
  <c r="O112" i="69"/>
  <c r="N112" i="69"/>
  <c r="M112" i="69"/>
  <c r="I112" i="69"/>
  <c r="H112" i="69"/>
  <c r="G112" i="69"/>
  <c r="F112" i="69"/>
  <c r="E112" i="69"/>
  <c r="D112" i="69"/>
  <c r="C112" i="69"/>
  <c r="B112" i="69"/>
  <c r="A112" i="69"/>
  <c r="AM111" i="69"/>
  <c r="AL111" i="69"/>
  <c r="AK111" i="69"/>
  <c r="AJ111" i="69"/>
  <c r="AI111" i="69"/>
  <c r="AH111" i="69"/>
  <c r="AG111" i="69"/>
  <c r="AF111" i="69"/>
  <c r="AE111" i="69"/>
  <c r="AD111" i="69"/>
  <c r="AC111" i="69"/>
  <c r="AB111" i="69"/>
  <c r="AA111" i="69"/>
  <c r="X111" i="69"/>
  <c r="W111" i="69"/>
  <c r="U111" i="69"/>
  <c r="T111" i="69"/>
  <c r="R111" i="69"/>
  <c r="Q111" i="69"/>
  <c r="P111" i="69"/>
  <c r="O111" i="69"/>
  <c r="N111" i="69"/>
  <c r="M111" i="69"/>
  <c r="I111" i="69"/>
  <c r="H111" i="69"/>
  <c r="G111" i="69"/>
  <c r="F111" i="69"/>
  <c r="E111" i="69"/>
  <c r="D111" i="69"/>
  <c r="C111" i="69"/>
  <c r="B111" i="69"/>
  <c r="A111" i="69"/>
  <c r="AM110" i="69"/>
  <c r="AL110" i="69"/>
  <c r="AK110" i="69"/>
  <c r="AJ110" i="69"/>
  <c r="AI110" i="69"/>
  <c r="AH110" i="69"/>
  <c r="AG110" i="69"/>
  <c r="AF110" i="69"/>
  <c r="AE110" i="69"/>
  <c r="AD110" i="69"/>
  <c r="AC110" i="69"/>
  <c r="AB110" i="69"/>
  <c r="AA110" i="69"/>
  <c r="X110" i="69"/>
  <c r="W110" i="69"/>
  <c r="U110" i="69"/>
  <c r="T110" i="69"/>
  <c r="R110" i="69"/>
  <c r="Q110" i="69"/>
  <c r="P110" i="69"/>
  <c r="O110" i="69"/>
  <c r="N110" i="69"/>
  <c r="M110" i="69"/>
  <c r="I110" i="69"/>
  <c r="H110" i="69"/>
  <c r="G110" i="69"/>
  <c r="F110" i="69"/>
  <c r="E110" i="69"/>
  <c r="D110" i="69"/>
  <c r="C110" i="69"/>
  <c r="B110" i="69"/>
  <c r="A110" i="69"/>
  <c r="X109" i="69"/>
  <c r="M109" i="69"/>
  <c r="L109" i="69"/>
  <c r="AM108" i="69"/>
  <c r="AL108" i="69"/>
  <c r="AK108" i="69"/>
  <c r="AJ108" i="69"/>
  <c r="AI108" i="69"/>
  <c r="AH108" i="69"/>
  <c r="AG108" i="69"/>
  <c r="AF108" i="69"/>
  <c r="AE108" i="69"/>
  <c r="AD108" i="69"/>
  <c r="AC108" i="69"/>
  <c r="AB108" i="69"/>
  <c r="AA108" i="69"/>
  <c r="X108" i="69"/>
  <c r="W108" i="69"/>
  <c r="U108" i="69"/>
  <c r="T108" i="69"/>
  <c r="R108" i="69"/>
  <c r="Q108" i="69"/>
  <c r="P108" i="69"/>
  <c r="O108" i="69"/>
  <c r="N108" i="69"/>
  <c r="M108" i="69"/>
  <c r="I108" i="69"/>
  <c r="H108" i="69"/>
  <c r="G108" i="69"/>
  <c r="F108" i="69"/>
  <c r="E108" i="69"/>
  <c r="D108" i="69"/>
  <c r="C108" i="69"/>
  <c r="B108" i="69"/>
  <c r="A108" i="69"/>
  <c r="AE107" i="69"/>
  <c r="AD107" i="69"/>
  <c r="AC107" i="69"/>
  <c r="AB107" i="69"/>
  <c r="AA107" i="69"/>
  <c r="X107" i="69"/>
  <c r="W107" i="69"/>
  <c r="U107" i="69"/>
  <c r="T107" i="69"/>
  <c r="R107" i="69"/>
  <c r="Q107" i="69"/>
  <c r="P107" i="69"/>
  <c r="O107" i="69"/>
  <c r="N107" i="69"/>
  <c r="AM106" i="69"/>
  <c r="AL106" i="69"/>
  <c r="AK106" i="69"/>
  <c r="AJ106" i="69"/>
  <c r="AI106" i="69"/>
  <c r="AH106" i="69"/>
  <c r="AG106" i="69"/>
  <c r="AF106" i="69"/>
  <c r="AE106" i="69"/>
  <c r="AD106" i="69"/>
  <c r="AC106" i="69"/>
  <c r="AB106" i="69"/>
  <c r="AA106" i="69"/>
  <c r="Z106" i="69"/>
  <c r="Y106" i="69"/>
  <c r="X106" i="69"/>
  <c r="W106" i="69"/>
  <c r="U106" i="69"/>
  <c r="T106" i="69"/>
  <c r="R106" i="69"/>
  <c r="Q106" i="69"/>
  <c r="P106" i="69"/>
  <c r="O106" i="69"/>
  <c r="N106" i="69"/>
  <c r="AM105" i="69"/>
  <c r="AL105" i="69"/>
  <c r="AK105" i="69"/>
  <c r="AJ105" i="69"/>
  <c r="AI105" i="69"/>
  <c r="AH105" i="69"/>
  <c r="AG105" i="69"/>
  <c r="AF105" i="69"/>
  <c r="AE105" i="69"/>
  <c r="AD105" i="69"/>
  <c r="AC105" i="69"/>
  <c r="AB105" i="69"/>
  <c r="AA105" i="69"/>
  <c r="Z105" i="69"/>
  <c r="Y105" i="69"/>
  <c r="X105" i="69"/>
  <c r="W105" i="69"/>
  <c r="U105" i="69"/>
  <c r="T105" i="69"/>
  <c r="R105" i="69"/>
  <c r="Q105" i="69"/>
  <c r="P105" i="69"/>
  <c r="O105" i="69"/>
  <c r="N105" i="69"/>
  <c r="AM104" i="69"/>
  <c r="AL104" i="69"/>
  <c r="AK104" i="69"/>
  <c r="AJ104" i="69"/>
  <c r="AI104" i="69"/>
  <c r="AH104" i="69"/>
  <c r="AG104" i="69"/>
  <c r="AF104" i="69"/>
  <c r="AE104" i="69"/>
  <c r="AD104" i="69"/>
  <c r="AC104" i="69"/>
  <c r="AB104" i="69"/>
  <c r="AA104" i="69"/>
  <c r="X104" i="69"/>
  <c r="W104" i="69"/>
  <c r="U104" i="69"/>
  <c r="T104" i="69"/>
  <c r="R104" i="69"/>
  <c r="Q104" i="69"/>
  <c r="P104" i="69"/>
  <c r="O104" i="69"/>
  <c r="N104" i="69"/>
  <c r="M104" i="69"/>
  <c r="I104" i="69"/>
  <c r="H104" i="69"/>
  <c r="G104" i="69"/>
  <c r="F104" i="69"/>
  <c r="E104" i="69"/>
  <c r="D104" i="69"/>
  <c r="C104" i="69"/>
  <c r="B104" i="69"/>
  <c r="A104" i="69"/>
  <c r="AM103" i="69"/>
  <c r="AL103" i="69"/>
  <c r="AK103" i="69"/>
  <c r="AJ103" i="69"/>
  <c r="AI103" i="69"/>
  <c r="AH103" i="69"/>
  <c r="AG103" i="69"/>
  <c r="AF103" i="69"/>
  <c r="AE103" i="69"/>
  <c r="AD103" i="69"/>
  <c r="AC103" i="69"/>
  <c r="AB103" i="69"/>
  <c r="AA103" i="69"/>
  <c r="Z103" i="69"/>
  <c r="X103" i="69"/>
  <c r="W103" i="69"/>
  <c r="U103" i="69"/>
  <c r="T103" i="69"/>
  <c r="R103" i="69"/>
  <c r="Q103" i="69"/>
  <c r="P103" i="69"/>
  <c r="O103" i="69"/>
  <c r="N103" i="69"/>
  <c r="M103" i="69"/>
  <c r="I103" i="69"/>
  <c r="H103" i="69"/>
  <c r="G103" i="69"/>
  <c r="F103" i="69"/>
  <c r="E103" i="69"/>
  <c r="D103" i="69"/>
  <c r="C103" i="69"/>
  <c r="B103" i="69"/>
  <c r="A103" i="69"/>
  <c r="AM102" i="69"/>
  <c r="AL102" i="69"/>
  <c r="AK102" i="69"/>
  <c r="AJ102" i="69"/>
  <c r="AI102" i="69"/>
  <c r="AH102" i="69"/>
  <c r="AG102" i="69"/>
  <c r="AF102" i="69"/>
  <c r="AE102" i="69"/>
  <c r="AD102" i="69"/>
  <c r="AC102" i="69"/>
  <c r="AB102" i="69"/>
  <c r="AA102" i="69"/>
  <c r="X102" i="69"/>
  <c r="W102" i="69"/>
  <c r="U102" i="69"/>
  <c r="T102" i="69"/>
  <c r="R102" i="69"/>
  <c r="Q102" i="69"/>
  <c r="P102" i="69"/>
  <c r="O102" i="69"/>
  <c r="N102" i="69"/>
  <c r="M102" i="69"/>
  <c r="I102" i="69"/>
  <c r="H102" i="69"/>
  <c r="G102" i="69"/>
  <c r="F102" i="69"/>
  <c r="E102" i="69"/>
  <c r="D102" i="69"/>
  <c r="C102" i="69"/>
  <c r="B102" i="69"/>
  <c r="A102" i="69"/>
  <c r="AM101" i="69"/>
  <c r="AL101" i="69"/>
  <c r="AK101" i="69"/>
  <c r="AJ101" i="69"/>
  <c r="AI101" i="69"/>
  <c r="AH101" i="69"/>
  <c r="AG101" i="69"/>
  <c r="AF101" i="69"/>
  <c r="AE101" i="69"/>
  <c r="AD101" i="69"/>
  <c r="AC101" i="69"/>
  <c r="AB101" i="69"/>
  <c r="AA101" i="69"/>
  <c r="X101" i="69"/>
  <c r="W101" i="69"/>
  <c r="U101" i="69"/>
  <c r="T101" i="69"/>
  <c r="R101" i="69"/>
  <c r="Q101" i="69"/>
  <c r="P101" i="69"/>
  <c r="O101" i="69"/>
  <c r="N101" i="69"/>
  <c r="M101" i="69"/>
  <c r="I101" i="69"/>
  <c r="H101" i="69"/>
  <c r="G101" i="69"/>
  <c r="F101" i="69"/>
  <c r="E101" i="69"/>
  <c r="D101" i="69"/>
  <c r="C101" i="69"/>
  <c r="B101" i="69"/>
  <c r="A101" i="69"/>
  <c r="AM100" i="69"/>
  <c r="AL100" i="69"/>
  <c r="AK100" i="69"/>
  <c r="AJ100" i="69"/>
  <c r="AI100" i="69"/>
  <c r="AH100" i="69"/>
  <c r="AG100" i="69"/>
  <c r="AF100" i="69"/>
  <c r="AE100" i="69"/>
  <c r="AD100" i="69"/>
  <c r="AC100" i="69"/>
  <c r="AB100" i="69"/>
  <c r="AA100" i="69"/>
  <c r="X100" i="69"/>
  <c r="W100" i="69"/>
  <c r="U100" i="69"/>
  <c r="T100" i="69"/>
  <c r="R100" i="69"/>
  <c r="Q100" i="69"/>
  <c r="P100" i="69"/>
  <c r="O100" i="69"/>
  <c r="N100" i="69"/>
  <c r="M100" i="69"/>
  <c r="I100" i="69"/>
  <c r="H100" i="69"/>
  <c r="G100" i="69"/>
  <c r="F100" i="69"/>
  <c r="E100" i="69"/>
  <c r="D100" i="69"/>
  <c r="C100" i="69"/>
  <c r="B100" i="69"/>
  <c r="A100" i="69"/>
  <c r="AM99" i="69"/>
  <c r="AL99" i="69"/>
  <c r="AK99" i="69"/>
  <c r="AJ99" i="69"/>
  <c r="AI99" i="69"/>
  <c r="AH99" i="69"/>
  <c r="AG99" i="69"/>
  <c r="AF99" i="69"/>
  <c r="AE99" i="69"/>
  <c r="AD99" i="69"/>
  <c r="AC99" i="69"/>
  <c r="AB99" i="69"/>
  <c r="AA99" i="69"/>
  <c r="X99" i="69"/>
  <c r="W99" i="69"/>
  <c r="U99" i="69"/>
  <c r="T99" i="69"/>
  <c r="R99" i="69"/>
  <c r="Q99" i="69"/>
  <c r="P99" i="69"/>
  <c r="O99" i="69"/>
  <c r="N99" i="69"/>
  <c r="M99" i="69"/>
  <c r="I99" i="69"/>
  <c r="H99" i="69"/>
  <c r="G99" i="69"/>
  <c r="F99" i="69"/>
  <c r="E99" i="69"/>
  <c r="D99" i="69"/>
  <c r="C99" i="69"/>
  <c r="B99" i="69"/>
  <c r="A99" i="69"/>
  <c r="AM98" i="69"/>
  <c r="AL98" i="69"/>
  <c r="AK98" i="69"/>
  <c r="AJ98" i="69"/>
  <c r="AI98" i="69"/>
  <c r="AH98" i="69"/>
  <c r="AG98" i="69"/>
  <c r="AF98" i="69"/>
  <c r="AE98" i="69"/>
  <c r="AD98" i="69"/>
  <c r="AC98" i="69"/>
  <c r="AB98" i="69"/>
  <c r="AA98" i="69"/>
  <c r="X98" i="69"/>
  <c r="W98" i="69"/>
  <c r="U98" i="69"/>
  <c r="T98" i="69"/>
  <c r="R98" i="69"/>
  <c r="Q98" i="69"/>
  <c r="P98" i="69"/>
  <c r="O98" i="69"/>
  <c r="N98" i="69"/>
  <c r="M98" i="69"/>
  <c r="I98" i="69"/>
  <c r="H98" i="69"/>
  <c r="G98" i="69"/>
  <c r="F98" i="69"/>
  <c r="E98" i="69"/>
  <c r="D98" i="69"/>
  <c r="C98" i="69"/>
  <c r="B98" i="69"/>
  <c r="A98" i="69"/>
  <c r="AM97" i="69"/>
  <c r="AL97" i="69"/>
  <c r="AK97" i="69"/>
  <c r="AJ97" i="69"/>
  <c r="AI97" i="69"/>
  <c r="AH97" i="69"/>
  <c r="AG97" i="69"/>
  <c r="AF97" i="69"/>
  <c r="AE97" i="69"/>
  <c r="AD97" i="69"/>
  <c r="AC97" i="69"/>
  <c r="AB97" i="69"/>
  <c r="AA97" i="69"/>
  <c r="X97" i="69"/>
  <c r="W97" i="69"/>
  <c r="U97" i="69"/>
  <c r="T97" i="69"/>
  <c r="R97" i="69"/>
  <c r="Q97" i="69"/>
  <c r="P97" i="69"/>
  <c r="O97" i="69"/>
  <c r="N97" i="69"/>
  <c r="M97" i="69"/>
  <c r="I97" i="69"/>
  <c r="H97" i="69"/>
  <c r="G97" i="69"/>
  <c r="F97" i="69"/>
  <c r="E97" i="69"/>
  <c r="D97" i="69"/>
  <c r="C97" i="69"/>
  <c r="B97" i="69"/>
  <c r="A97" i="69"/>
  <c r="AM96" i="69"/>
  <c r="AL96" i="69"/>
  <c r="AK96" i="69"/>
  <c r="AJ96" i="69"/>
  <c r="AI96" i="69"/>
  <c r="AH96" i="69"/>
  <c r="AG96" i="69"/>
  <c r="AF96" i="69"/>
  <c r="AE96" i="69"/>
  <c r="AD96" i="69"/>
  <c r="AC96" i="69"/>
  <c r="AB96" i="69"/>
  <c r="AA96" i="69"/>
  <c r="Z96" i="69"/>
  <c r="X96" i="69"/>
  <c r="W96" i="69"/>
  <c r="U96" i="69"/>
  <c r="T96" i="69"/>
  <c r="R96" i="69"/>
  <c r="Q96" i="69"/>
  <c r="P96" i="69"/>
  <c r="O96" i="69"/>
  <c r="N96" i="69"/>
  <c r="M96" i="69"/>
  <c r="I96" i="69"/>
  <c r="H96" i="69"/>
  <c r="G96" i="69"/>
  <c r="F96" i="69"/>
  <c r="E96" i="69"/>
  <c r="D96" i="69"/>
  <c r="C96" i="69"/>
  <c r="B96" i="69"/>
  <c r="A96" i="69"/>
  <c r="AM95" i="69"/>
  <c r="AL95" i="69"/>
  <c r="AK95" i="69"/>
  <c r="AJ95" i="69"/>
  <c r="AI95" i="69"/>
  <c r="AH95" i="69"/>
  <c r="AG95" i="69"/>
  <c r="AF95" i="69"/>
  <c r="AE95" i="69"/>
  <c r="AD95" i="69"/>
  <c r="AC95" i="69"/>
  <c r="AB95" i="69"/>
  <c r="AA95" i="69"/>
  <c r="X95" i="69"/>
  <c r="X94" i="69" s="1"/>
  <c r="W95" i="69"/>
  <c r="U95" i="69"/>
  <c r="T95" i="69"/>
  <c r="T94" i="69" s="1"/>
  <c r="R95" i="69"/>
  <c r="R94" i="69" s="1"/>
  <c r="Q95" i="69"/>
  <c r="P95" i="69"/>
  <c r="O95" i="69"/>
  <c r="N95" i="69"/>
  <c r="M95" i="69"/>
  <c r="I95" i="69"/>
  <c r="H95" i="69"/>
  <c r="G95" i="69"/>
  <c r="F95" i="69"/>
  <c r="E95" i="69"/>
  <c r="D95" i="69"/>
  <c r="C95" i="69"/>
  <c r="B95" i="69"/>
  <c r="A95" i="69"/>
  <c r="U94" i="69"/>
  <c r="M94" i="69"/>
  <c r="L94" i="69"/>
  <c r="AM93" i="69"/>
  <c r="AL93" i="69"/>
  <c r="AK93" i="69"/>
  <c r="AJ93" i="69"/>
  <c r="AI93" i="69"/>
  <c r="AH93" i="69"/>
  <c r="AG93" i="69"/>
  <c r="AF93" i="69"/>
  <c r="AE93" i="69"/>
  <c r="AD93" i="69"/>
  <c r="AC93" i="69"/>
  <c r="AB93" i="69"/>
  <c r="AA93" i="69"/>
  <c r="X93" i="69"/>
  <c r="W93" i="69"/>
  <c r="U93" i="69"/>
  <c r="T93" i="69"/>
  <c r="R93" i="69"/>
  <c r="Q93" i="69"/>
  <c r="P93" i="69"/>
  <c r="O93" i="69"/>
  <c r="N93" i="69"/>
  <c r="M93" i="69"/>
  <c r="I93" i="69"/>
  <c r="H93" i="69"/>
  <c r="G93" i="69"/>
  <c r="F93" i="69"/>
  <c r="E93" i="69"/>
  <c r="D93" i="69"/>
  <c r="C93" i="69"/>
  <c r="B93" i="69"/>
  <c r="A93" i="69"/>
  <c r="AM92" i="69"/>
  <c r="AL92" i="69"/>
  <c r="AK92" i="69"/>
  <c r="AJ92" i="69"/>
  <c r="AI92" i="69"/>
  <c r="AH92" i="69"/>
  <c r="AG92" i="69"/>
  <c r="AF92" i="69"/>
  <c r="AE92" i="69"/>
  <c r="AD92" i="69"/>
  <c r="AC92" i="69"/>
  <c r="AB92" i="69"/>
  <c r="AA92" i="69"/>
  <c r="X92" i="69"/>
  <c r="W92" i="69"/>
  <c r="U92" i="69"/>
  <c r="U90" i="69" s="1"/>
  <c r="T92" i="69"/>
  <c r="R92" i="69"/>
  <c r="Q92" i="69"/>
  <c r="P92" i="69"/>
  <c r="O92" i="69"/>
  <c r="N92" i="69"/>
  <c r="M92" i="69"/>
  <c r="I92" i="69"/>
  <c r="H92" i="69"/>
  <c r="G92" i="69"/>
  <c r="F92" i="69"/>
  <c r="E92" i="69"/>
  <c r="D92" i="69"/>
  <c r="C92" i="69"/>
  <c r="B92" i="69"/>
  <c r="A92" i="69"/>
  <c r="AM91" i="69"/>
  <c r="AL91" i="69"/>
  <c r="AK91" i="69"/>
  <c r="AJ91" i="69"/>
  <c r="AI91" i="69"/>
  <c r="AH91" i="69"/>
  <c r="AG91" i="69"/>
  <c r="AF91" i="69"/>
  <c r="AE91" i="69"/>
  <c r="AD91" i="69"/>
  <c r="AC91" i="69"/>
  <c r="AB91" i="69"/>
  <c r="AA91" i="69"/>
  <c r="Y91" i="69"/>
  <c r="X91" i="69"/>
  <c r="X90" i="69" s="1"/>
  <c r="W91" i="69"/>
  <c r="U91" i="69"/>
  <c r="T91" i="69"/>
  <c r="R91" i="69"/>
  <c r="R90" i="69" s="1"/>
  <c r="Q91" i="69"/>
  <c r="P91" i="69"/>
  <c r="O91" i="69"/>
  <c r="N91" i="69"/>
  <c r="M91" i="69"/>
  <c r="I91" i="69"/>
  <c r="H91" i="69"/>
  <c r="G91" i="69"/>
  <c r="F91" i="69"/>
  <c r="E91" i="69"/>
  <c r="D91" i="69"/>
  <c r="C91" i="69"/>
  <c r="B91" i="69"/>
  <c r="A91" i="69"/>
  <c r="T90" i="69"/>
  <c r="M90" i="69"/>
  <c r="L90" i="69"/>
  <c r="AM89" i="69"/>
  <c r="AL89" i="69"/>
  <c r="AK89" i="69"/>
  <c r="AJ89" i="69"/>
  <c r="AI89" i="69"/>
  <c r="AH89" i="69"/>
  <c r="AG89" i="69"/>
  <c r="AF89" i="69"/>
  <c r="AE89" i="69"/>
  <c r="AD89" i="69"/>
  <c r="AC89" i="69"/>
  <c r="AB89" i="69"/>
  <c r="AA89" i="69"/>
  <c r="Z89" i="69"/>
  <c r="X89" i="69"/>
  <c r="W89" i="69"/>
  <c r="U89" i="69"/>
  <c r="T89" i="69"/>
  <c r="R89" i="69"/>
  <c r="Q89" i="69"/>
  <c r="P89" i="69"/>
  <c r="O89" i="69"/>
  <c r="N89" i="69"/>
  <c r="M89" i="69"/>
  <c r="I89" i="69"/>
  <c r="H89" i="69"/>
  <c r="G89" i="69"/>
  <c r="F89" i="69"/>
  <c r="E89" i="69"/>
  <c r="D89" i="69"/>
  <c r="C89" i="69"/>
  <c r="B89" i="69"/>
  <c r="A89" i="69"/>
  <c r="AM88" i="69"/>
  <c r="AL88" i="69"/>
  <c r="AK88" i="69"/>
  <c r="AJ88" i="69"/>
  <c r="AI88" i="69"/>
  <c r="AH88" i="69"/>
  <c r="AG88" i="69"/>
  <c r="AF88" i="69"/>
  <c r="AE88" i="69"/>
  <c r="AD88" i="69"/>
  <c r="AC88" i="69"/>
  <c r="AB88" i="69"/>
  <c r="AA88" i="69"/>
  <c r="Z88" i="69"/>
  <c r="X88" i="69"/>
  <c r="W88" i="69"/>
  <c r="U88" i="69"/>
  <c r="T88" i="69"/>
  <c r="R88" i="69"/>
  <c r="Q88" i="69"/>
  <c r="P88" i="69"/>
  <c r="O88" i="69"/>
  <c r="N88" i="69"/>
  <c r="M88" i="69"/>
  <c r="I88" i="69"/>
  <c r="H88" i="69"/>
  <c r="G88" i="69"/>
  <c r="F88" i="69"/>
  <c r="E88" i="69"/>
  <c r="D88" i="69"/>
  <c r="C88" i="69"/>
  <c r="B88" i="69"/>
  <c r="A88" i="69"/>
  <c r="AM87" i="69"/>
  <c r="AL87" i="69"/>
  <c r="AK87" i="69"/>
  <c r="AJ87" i="69"/>
  <c r="AI87" i="69"/>
  <c r="AH87" i="69"/>
  <c r="AG87" i="69"/>
  <c r="AF87" i="69"/>
  <c r="AE87" i="69"/>
  <c r="AD87" i="69"/>
  <c r="AC87" i="69"/>
  <c r="AB87" i="69"/>
  <c r="AA87" i="69"/>
  <c r="Y87" i="69"/>
  <c r="X87" i="69"/>
  <c r="W87" i="69"/>
  <c r="U87" i="69"/>
  <c r="T87" i="69"/>
  <c r="R87" i="69"/>
  <c r="Q87" i="69"/>
  <c r="P87" i="69"/>
  <c r="O87" i="69"/>
  <c r="N87" i="69"/>
  <c r="M87" i="69"/>
  <c r="I87" i="69"/>
  <c r="H87" i="69"/>
  <c r="G87" i="69"/>
  <c r="F87" i="69"/>
  <c r="E87" i="69"/>
  <c r="D87" i="69"/>
  <c r="C87" i="69"/>
  <c r="B87" i="69"/>
  <c r="A87" i="69"/>
  <c r="AM86" i="69"/>
  <c r="AL86" i="69"/>
  <c r="AK86" i="69"/>
  <c r="AJ86" i="69"/>
  <c r="AI86" i="69"/>
  <c r="AH86" i="69"/>
  <c r="AG86" i="69"/>
  <c r="AF86" i="69"/>
  <c r="AE86" i="69"/>
  <c r="AD86" i="69"/>
  <c r="AC86" i="69"/>
  <c r="AB86" i="69"/>
  <c r="AA86" i="69"/>
  <c r="Z86" i="69"/>
  <c r="X86" i="69"/>
  <c r="W86" i="69"/>
  <c r="U86" i="69"/>
  <c r="T86" i="69"/>
  <c r="R86" i="69"/>
  <c r="Q86" i="69"/>
  <c r="P86" i="69"/>
  <c r="O86" i="69"/>
  <c r="N86" i="69"/>
  <c r="M86" i="69"/>
  <c r="I86" i="69"/>
  <c r="H86" i="69"/>
  <c r="G86" i="69"/>
  <c r="F86" i="69"/>
  <c r="E86" i="69"/>
  <c r="D86" i="69"/>
  <c r="C86" i="69"/>
  <c r="B86" i="69"/>
  <c r="A86" i="69"/>
  <c r="AM85" i="69"/>
  <c r="AL85" i="69"/>
  <c r="AK85" i="69"/>
  <c r="AJ85" i="69"/>
  <c r="AI85" i="69"/>
  <c r="AH85" i="69"/>
  <c r="AG85" i="69"/>
  <c r="AF85" i="69"/>
  <c r="AE85" i="69"/>
  <c r="AD85" i="69"/>
  <c r="AC85" i="69"/>
  <c r="AB85" i="69"/>
  <c r="AA85" i="69"/>
  <c r="Z85" i="69"/>
  <c r="X85" i="69"/>
  <c r="W85" i="69"/>
  <c r="U85" i="69"/>
  <c r="T85" i="69"/>
  <c r="R85" i="69"/>
  <c r="Q85" i="69"/>
  <c r="P85" i="69"/>
  <c r="O85" i="69"/>
  <c r="N85" i="69"/>
  <c r="M85" i="69"/>
  <c r="I85" i="69"/>
  <c r="H85" i="69"/>
  <c r="G85" i="69"/>
  <c r="F85" i="69"/>
  <c r="E85" i="69"/>
  <c r="D85" i="69"/>
  <c r="C85" i="69"/>
  <c r="B85" i="69"/>
  <c r="A85" i="69"/>
  <c r="AM84" i="69"/>
  <c r="AL84" i="69"/>
  <c r="AK84" i="69"/>
  <c r="AJ84" i="69"/>
  <c r="AI84" i="69"/>
  <c r="AH84" i="69"/>
  <c r="AG84" i="69"/>
  <c r="AF84" i="69"/>
  <c r="AE84" i="69"/>
  <c r="AD84" i="69"/>
  <c r="AC84" i="69"/>
  <c r="AB84" i="69"/>
  <c r="AA84" i="69"/>
  <c r="Z84" i="69"/>
  <c r="X84" i="69"/>
  <c r="W84" i="69"/>
  <c r="U84" i="69"/>
  <c r="T84" i="69"/>
  <c r="R84" i="69"/>
  <c r="Q84" i="69"/>
  <c r="P84" i="69"/>
  <c r="O84" i="69"/>
  <c r="N84" i="69"/>
  <c r="M84" i="69"/>
  <c r="I84" i="69"/>
  <c r="H84" i="69"/>
  <c r="G84" i="69"/>
  <c r="F84" i="69"/>
  <c r="E84" i="69"/>
  <c r="D84" i="69"/>
  <c r="C84" i="69"/>
  <c r="B84" i="69"/>
  <c r="A84" i="69"/>
  <c r="AM83" i="69"/>
  <c r="AL83" i="69"/>
  <c r="AK83" i="69"/>
  <c r="AJ83" i="69"/>
  <c r="AI83" i="69"/>
  <c r="AH83" i="69"/>
  <c r="AG83" i="69"/>
  <c r="AF83" i="69"/>
  <c r="AE83" i="69"/>
  <c r="AD83" i="69"/>
  <c r="AC83" i="69"/>
  <c r="AB83" i="69"/>
  <c r="AA83" i="69"/>
  <c r="Z83" i="69"/>
  <c r="X83" i="69"/>
  <c r="X76" i="69" s="1"/>
  <c r="W83" i="69"/>
  <c r="U83" i="69"/>
  <c r="T83" i="69"/>
  <c r="R83" i="69"/>
  <c r="Q83" i="69"/>
  <c r="P83" i="69"/>
  <c r="O83" i="69"/>
  <c r="N83" i="69"/>
  <c r="M83" i="69"/>
  <c r="I83" i="69"/>
  <c r="H83" i="69"/>
  <c r="G83" i="69"/>
  <c r="F83" i="69"/>
  <c r="E83" i="69"/>
  <c r="D83" i="69"/>
  <c r="C83" i="69"/>
  <c r="B83" i="69"/>
  <c r="A83" i="69"/>
  <c r="AM82" i="69"/>
  <c r="AL82" i="69"/>
  <c r="AK82" i="69"/>
  <c r="AJ82" i="69"/>
  <c r="AI82" i="69"/>
  <c r="AH82" i="69"/>
  <c r="AG82" i="69"/>
  <c r="AF82" i="69"/>
  <c r="AE82" i="69"/>
  <c r="AD82" i="69"/>
  <c r="AC82" i="69"/>
  <c r="AB82" i="69"/>
  <c r="AA82" i="69"/>
  <c r="Z82" i="69"/>
  <c r="X82" i="69"/>
  <c r="W82" i="69"/>
  <c r="U82" i="69"/>
  <c r="T82" i="69"/>
  <c r="R82" i="69"/>
  <c r="Q82" i="69"/>
  <c r="P82" i="69"/>
  <c r="O82" i="69"/>
  <c r="N82" i="69"/>
  <c r="M82" i="69"/>
  <c r="I82" i="69"/>
  <c r="H82" i="69"/>
  <c r="G82" i="69"/>
  <c r="F82" i="69"/>
  <c r="E82" i="69"/>
  <c r="D82" i="69"/>
  <c r="C82" i="69"/>
  <c r="B82" i="69"/>
  <c r="A82" i="69"/>
  <c r="AM81" i="69"/>
  <c r="AL81" i="69"/>
  <c r="AK81" i="69"/>
  <c r="AJ81" i="69"/>
  <c r="AI81" i="69"/>
  <c r="AH81" i="69"/>
  <c r="AG81" i="69"/>
  <c r="AF81" i="69"/>
  <c r="AE81" i="69"/>
  <c r="AD81" i="69"/>
  <c r="AC81" i="69"/>
  <c r="AB81" i="69"/>
  <c r="AA81" i="69"/>
  <c r="Z81" i="69"/>
  <c r="X81" i="69"/>
  <c r="W81" i="69"/>
  <c r="U81" i="69"/>
  <c r="T81" i="69"/>
  <c r="R81" i="69"/>
  <c r="Q81" i="69"/>
  <c r="P81" i="69"/>
  <c r="O81" i="69"/>
  <c r="N81" i="69"/>
  <c r="M81" i="69"/>
  <c r="I81" i="69"/>
  <c r="H81" i="69"/>
  <c r="G81" i="69"/>
  <c r="F81" i="69"/>
  <c r="E81" i="69"/>
  <c r="D81" i="69"/>
  <c r="C81" i="69"/>
  <c r="B81" i="69"/>
  <c r="A81" i="69"/>
  <c r="AM80" i="69"/>
  <c r="AL80" i="69"/>
  <c r="AK80" i="69"/>
  <c r="AJ80" i="69"/>
  <c r="AI80" i="69"/>
  <c r="AH80" i="69"/>
  <c r="AG80" i="69"/>
  <c r="AF80" i="69"/>
  <c r="AE80" i="69"/>
  <c r="AD80" i="69"/>
  <c r="AC80" i="69"/>
  <c r="AB80" i="69"/>
  <c r="AA80" i="69"/>
  <c r="Z80" i="69"/>
  <c r="Y80" i="69"/>
  <c r="X80" i="69"/>
  <c r="W80" i="69"/>
  <c r="U80" i="69"/>
  <c r="T80" i="69"/>
  <c r="R80" i="69"/>
  <c r="Q80" i="69"/>
  <c r="P80" i="69"/>
  <c r="O80" i="69"/>
  <c r="N80" i="69"/>
  <c r="I80" i="69"/>
  <c r="H80" i="69"/>
  <c r="G80" i="69"/>
  <c r="F80" i="69"/>
  <c r="E80" i="69"/>
  <c r="D80" i="69"/>
  <c r="C80" i="69"/>
  <c r="B80" i="69"/>
  <c r="A80" i="69"/>
  <c r="AM79" i="69"/>
  <c r="AL79" i="69"/>
  <c r="AK79" i="69"/>
  <c r="AJ79" i="69"/>
  <c r="AI79" i="69"/>
  <c r="AH79" i="69"/>
  <c r="AG79" i="69"/>
  <c r="AF79" i="69"/>
  <c r="AE79" i="69"/>
  <c r="AD79" i="69"/>
  <c r="AC79" i="69"/>
  <c r="AB79" i="69"/>
  <c r="AA79" i="69"/>
  <c r="Z79" i="69"/>
  <c r="Y79" i="69"/>
  <c r="X79" i="69"/>
  <c r="W79" i="69"/>
  <c r="U79" i="69"/>
  <c r="T79" i="69"/>
  <c r="R79" i="69"/>
  <c r="Q79" i="69"/>
  <c r="P79" i="69"/>
  <c r="O79" i="69"/>
  <c r="N79" i="69"/>
  <c r="I79" i="69"/>
  <c r="H79" i="69"/>
  <c r="G79" i="69"/>
  <c r="F79" i="69"/>
  <c r="E79" i="69"/>
  <c r="D79" i="69"/>
  <c r="C79" i="69"/>
  <c r="B79" i="69"/>
  <c r="A79" i="69"/>
  <c r="AM78" i="69"/>
  <c r="AL78" i="69"/>
  <c r="AK78" i="69"/>
  <c r="AJ78" i="69"/>
  <c r="AI78" i="69"/>
  <c r="AH78" i="69"/>
  <c r="AG78" i="69"/>
  <c r="AF78" i="69"/>
  <c r="AE78" i="69"/>
  <c r="AD78" i="69"/>
  <c r="AC78" i="69"/>
  <c r="AB78" i="69"/>
  <c r="AA78" i="69"/>
  <c r="Z78" i="69"/>
  <c r="Y78" i="69"/>
  <c r="X78" i="69"/>
  <c r="W78" i="69"/>
  <c r="U78" i="69"/>
  <c r="T78" i="69"/>
  <c r="R78" i="69"/>
  <c r="Q78" i="69"/>
  <c r="P78" i="69"/>
  <c r="O78" i="69"/>
  <c r="N78" i="69"/>
  <c r="I78" i="69"/>
  <c r="H78" i="69"/>
  <c r="G78" i="69"/>
  <c r="F78" i="69"/>
  <c r="E78" i="69"/>
  <c r="D78" i="69"/>
  <c r="C78" i="69"/>
  <c r="B78" i="69"/>
  <c r="A78" i="69"/>
  <c r="AM77" i="69"/>
  <c r="AL77" i="69"/>
  <c r="AK77" i="69"/>
  <c r="AJ77" i="69"/>
  <c r="AI77" i="69"/>
  <c r="AH77" i="69"/>
  <c r="AG77" i="69"/>
  <c r="AF77" i="69"/>
  <c r="AE77" i="69"/>
  <c r="AD77" i="69"/>
  <c r="AC77" i="69"/>
  <c r="AB77" i="69"/>
  <c r="AA77" i="69"/>
  <c r="X77" i="69"/>
  <c r="W77" i="69"/>
  <c r="Q77" i="69"/>
  <c r="P77" i="69"/>
  <c r="O77" i="69"/>
  <c r="N77" i="69"/>
  <c r="M77" i="69"/>
  <c r="I77" i="69"/>
  <c r="H77" i="69"/>
  <c r="G77" i="69"/>
  <c r="F77" i="69"/>
  <c r="E77" i="69"/>
  <c r="D77" i="69"/>
  <c r="C77" i="69"/>
  <c r="B77" i="69"/>
  <c r="A77" i="69"/>
  <c r="M76" i="69"/>
  <c r="L76" i="69"/>
  <c r="AM75" i="69"/>
  <c r="AL75" i="69"/>
  <c r="AK75" i="69"/>
  <c r="AJ75" i="69"/>
  <c r="AI75" i="69"/>
  <c r="AH75" i="69"/>
  <c r="AG75" i="69"/>
  <c r="AF75" i="69"/>
  <c r="AE75" i="69"/>
  <c r="AD75" i="69"/>
  <c r="AC75" i="69"/>
  <c r="AB75" i="69"/>
  <c r="AA75" i="69"/>
  <c r="Z75" i="69"/>
  <c r="X75" i="69"/>
  <c r="W75" i="69"/>
  <c r="U75" i="69"/>
  <c r="R75" i="69"/>
  <c r="Q75" i="69"/>
  <c r="P75" i="69"/>
  <c r="O75" i="69"/>
  <c r="N75" i="69"/>
  <c r="M75" i="69"/>
  <c r="I75" i="69"/>
  <c r="H75" i="69"/>
  <c r="G75" i="69"/>
  <c r="F75" i="69"/>
  <c r="E75" i="69"/>
  <c r="D75" i="69"/>
  <c r="C75" i="69"/>
  <c r="B75" i="69"/>
  <c r="A75" i="69"/>
  <c r="AM74" i="69"/>
  <c r="AL74" i="69"/>
  <c r="AK74" i="69"/>
  <c r="AJ74" i="69"/>
  <c r="AI74" i="69"/>
  <c r="AH74" i="69"/>
  <c r="AG74" i="69"/>
  <c r="AF74" i="69"/>
  <c r="AE74" i="69"/>
  <c r="AD74" i="69"/>
  <c r="AC74" i="69"/>
  <c r="AB74" i="69"/>
  <c r="AA74" i="69"/>
  <c r="Z74" i="69"/>
  <c r="X74" i="69"/>
  <c r="W74" i="69"/>
  <c r="U74" i="69"/>
  <c r="R74" i="69"/>
  <c r="R69" i="69" s="1"/>
  <c r="Q74" i="69"/>
  <c r="P74" i="69"/>
  <c r="O74" i="69"/>
  <c r="N74" i="69"/>
  <c r="M74" i="69"/>
  <c r="I74" i="69"/>
  <c r="H74" i="69"/>
  <c r="G74" i="69"/>
  <c r="F74" i="69"/>
  <c r="E74" i="69"/>
  <c r="D74" i="69"/>
  <c r="C74" i="69"/>
  <c r="B74" i="69"/>
  <c r="A74" i="69"/>
  <c r="AM73" i="69"/>
  <c r="AL73" i="69"/>
  <c r="AK73" i="69"/>
  <c r="AJ73" i="69"/>
  <c r="AI73" i="69"/>
  <c r="AH73" i="69"/>
  <c r="AG73" i="69"/>
  <c r="AF73" i="69"/>
  <c r="AE73" i="69"/>
  <c r="AD73" i="69"/>
  <c r="AC73" i="69"/>
  <c r="AB73" i="69"/>
  <c r="AA73" i="69"/>
  <c r="Z73" i="69"/>
  <c r="Y73" i="69"/>
  <c r="X73" i="69"/>
  <c r="W73" i="69"/>
  <c r="U73" i="69"/>
  <c r="R73" i="69"/>
  <c r="Q73" i="69"/>
  <c r="P73" i="69"/>
  <c r="N73" i="69"/>
  <c r="I73" i="69"/>
  <c r="H73" i="69"/>
  <c r="G73" i="69"/>
  <c r="F73" i="69"/>
  <c r="E73" i="69"/>
  <c r="D73" i="69"/>
  <c r="C73" i="69"/>
  <c r="B73" i="69"/>
  <c r="A73" i="69"/>
  <c r="AM72" i="69"/>
  <c r="AL72" i="69"/>
  <c r="AK72" i="69"/>
  <c r="AJ72" i="69"/>
  <c r="AI72" i="69"/>
  <c r="AH72" i="69"/>
  <c r="AG72" i="69"/>
  <c r="AF72" i="69"/>
  <c r="AE72" i="69"/>
  <c r="AD72" i="69"/>
  <c r="AC72" i="69"/>
  <c r="AB72" i="69"/>
  <c r="AA72" i="69"/>
  <c r="Z72" i="69"/>
  <c r="Y72" i="69"/>
  <c r="X72" i="69"/>
  <c r="W72" i="69"/>
  <c r="U72" i="69"/>
  <c r="R72" i="69"/>
  <c r="Q72" i="69"/>
  <c r="P72" i="69"/>
  <c r="N72" i="69"/>
  <c r="I72" i="69"/>
  <c r="H72" i="69"/>
  <c r="G72" i="69"/>
  <c r="F72" i="69"/>
  <c r="E72" i="69"/>
  <c r="D72" i="69"/>
  <c r="C72" i="69"/>
  <c r="B72" i="69"/>
  <c r="A72" i="69"/>
  <c r="AM71" i="69"/>
  <c r="AL71" i="69"/>
  <c r="AK71" i="69"/>
  <c r="AJ71" i="69"/>
  <c r="AI71" i="69"/>
  <c r="AH71" i="69"/>
  <c r="AG71" i="69"/>
  <c r="AF71" i="69"/>
  <c r="AE71" i="69"/>
  <c r="AD71" i="69"/>
  <c r="AC71" i="69"/>
  <c r="AB71" i="69"/>
  <c r="AA71" i="69"/>
  <c r="X71" i="69"/>
  <c r="W71" i="69"/>
  <c r="U71" i="69"/>
  <c r="R71" i="69"/>
  <c r="Q71" i="69"/>
  <c r="P71" i="69"/>
  <c r="O71" i="69"/>
  <c r="N71" i="69"/>
  <c r="M71" i="69"/>
  <c r="I71" i="69"/>
  <c r="H71" i="69"/>
  <c r="G71" i="69"/>
  <c r="F71" i="69"/>
  <c r="E71" i="69"/>
  <c r="D71" i="69"/>
  <c r="C71" i="69"/>
  <c r="B71" i="69"/>
  <c r="A71" i="69"/>
  <c r="AM70" i="69"/>
  <c r="AL70" i="69"/>
  <c r="AK70" i="69"/>
  <c r="AJ70" i="69"/>
  <c r="AI70" i="69"/>
  <c r="AH70" i="69"/>
  <c r="AG70" i="69"/>
  <c r="AF70" i="69"/>
  <c r="AE70" i="69"/>
  <c r="AD70" i="69"/>
  <c r="AC70" i="69"/>
  <c r="AB70" i="69"/>
  <c r="AA70" i="69"/>
  <c r="Y70" i="69"/>
  <c r="X70" i="69"/>
  <c r="X69" i="69" s="1"/>
  <c r="W70" i="69"/>
  <c r="U70" i="69"/>
  <c r="U69" i="69" s="1"/>
  <c r="R70" i="69"/>
  <c r="Q70" i="69"/>
  <c r="P70" i="69"/>
  <c r="O70" i="69"/>
  <c r="N70" i="69"/>
  <c r="M70" i="69"/>
  <c r="I70" i="69"/>
  <c r="H70" i="69"/>
  <c r="G70" i="69"/>
  <c r="F70" i="69"/>
  <c r="E70" i="69"/>
  <c r="D70" i="69"/>
  <c r="C70" i="69"/>
  <c r="B70" i="69"/>
  <c r="A70" i="69"/>
  <c r="M69" i="69"/>
  <c r="L69" i="69"/>
  <c r="AM68" i="69"/>
  <c r="AL68" i="69"/>
  <c r="AK68" i="69"/>
  <c r="AJ68" i="69"/>
  <c r="AI68" i="69"/>
  <c r="AH68" i="69"/>
  <c r="AG68" i="69"/>
  <c r="AF68" i="69"/>
  <c r="AE68" i="69"/>
  <c r="AD68" i="69"/>
  <c r="AC68" i="69"/>
  <c r="AB68" i="69"/>
  <c r="AA68" i="69"/>
  <c r="Y68" i="69"/>
  <c r="X68" i="69"/>
  <c r="X66" i="69" s="1"/>
  <c r="W68" i="69"/>
  <c r="U68" i="69"/>
  <c r="R68" i="69"/>
  <c r="Q68" i="69"/>
  <c r="P68" i="69"/>
  <c r="O68" i="69"/>
  <c r="N68" i="69"/>
  <c r="M68" i="69"/>
  <c r="I68" i="69"/>
  <c r="H68" i="69"/>
  <c r="G68" i="69"/>
  <c r="F68" i="69"/>
  <c r="E68" i="69"/>
  <c r="D68" i="69"/>
  <c r="C68" i="69"/>
  <c r="B68" i="69"/>
  <c r="A68" i="69"/>
  <c r="AM67" i="69"/>
  <c r="AL67" i="69"/>
  <c r="AK67" i="69"/>
  <c r="AJ67" i="69"/>
  <c r="AI67" i="69"/>
  <c r="AH67" i="69"/>
  <c r="AG67" i="69"/>
  <c r="AF67" i="69"/>
  <c r="AE67" i="69"/>
  <c r="AD67" i="69"/>
  <c r="AC67" i="69"/>
  <c r="AB67" i="69"/>
  <c r="AA67" i="69"/>
  <c r="X67" i="69"/>
  <c r="W67" i="69"/>
  <c r="U67" i="69"/>
  <c r="U66" i="69" s="1"/>
  <c r="R67" i="69"/>
  <c r="Q67" i="69"/>
  <c r="P67" i="69"/>
  <c r="O67" i="69"/>
  <c r="N67" i="69"/>
  <c r="M67" i="69"/>
  <c r="I67" i="69"/>
  <c r="H67" i="69"/>
  <c r="G67" i="69"/>
  <c r="F67" i="69"/>
  <c r="E67" i="69"/>
  <c r="D67" i="69"/>
  <c r="C67" i="69"/>
  <c r="B67" i="69"/>
  <c r="A67" i="69"/>
  <c r="R66" i="69"/>
  <c r="M66" i="69"/>
  <c r="L66" i="69"/>
  <c r="AE65" i="69"/>
  <c r="AD65" i="69"/>
  <c r="AC65" i="69"/>
  <c r="AB65" i="69"/>
  <c r="AA65" i="69"/>
  <c r="Z65" i="69"/>
  <c r="Y65" i="69"/>
  <c r="X65" i="69"/>
  <c r="W65" i="69"/>
  <c r="U65" i="69"/>
  <c r="T65" i="69"/>
  <c r="S65" i="69"/>
  <c r="R65" i="69"/>
  <c r="Q65" i="69"/>
  <c r="P65" i="69"/>
  <c r="O65" i="69"/>
  <c r="N65" i="69"/>
  <c r="M65" i="69"/>
  <c r="AM64" i="69"/>
  <c r="AL64" i="69"/>
  <c r="AK64" i="69"/>
  <c r="AJ64" i="69"/>
  <c r="AI64" i="69"/>
  <c r="AH64" i="69"/>
  <c r="AG64" i="69"/>
  <c r="AF64" i="69"/>
  <c r="AE64" i="69"/>
  <c r="AD64" i="69"/>
  <c r="AC64" i="69"/>
  <c r="AB64" i="69"/>
  <c r="AA64" i="69"/>
  <c r="X64" i="69"/>
  <c r="W64" i="69"/>
  <c r="U64" i="69"/>
  <c r="R64" i="69"/>
  <c r="Q64" i="69"/>
  <c r="P64" i="69"/>
  <c r="O64" i="69"/>
  <c r="N64" i="69"/>
  <c r="M64" i="69"/>
  <c r="I64" i="69"/>
  <c r="H64" i="69"/>
  <c r="G64" i="69"/>
  <c r="F64" i="69"/>
  <c r="E64" i="69"/>
  <c r="D64" i="69"/>
  <c r="C64" i="69"/>
  <c r="B64" i="69"/>
  <c r="A64" i="69"/>
  <c r="AM63" i="69"/>
  <c r="AL63" i="69"/>
  <c r="AK63" i="69"/>
  <c r="AJ63" i="69"/>
  <c r="AI63" i="69"/>
  <c r="AH63" i="69"/>
  <c r="AG63" i="69"/>
  <c r="AF63" i="69"/>
  <c r="AE63" i="69"/>
  <c r="AD63" i="69"/>
  <c r="AC63" i="69"/>
  <c r="AB63" i="69"/>
  <c r="AA63" i="69"/>
  <c r="X63" i="69"/>
  <c r="W63" i="69"/>
  <c r="U63" i="69"/>
  <c r="R63" i="69"/>
  <c r="Q63" i="69"/>
  <c r="P63" i="69"/>
  <c r="O63" i="69"/>
  <c r="N63" i="69"/>
  <c r="M63" i="69"/>
  <c r="I63" i="69"/>
  <c r="H63" i="69"/>
  <c r="G63" i="69"/>
  <c r="F63" i="69"/>
  <c r="E63" i="69"/>
  <c r="D63" i="69"/>
  <c r="C63" i="69"/>
  <c r="B63" i="69"/>
  <c r="A63" i="69"/>
  <c r="AM62" i="69"/>
  <c r="AL62" i="69"/>
  <c r="AK62" i="69"/>
  <c r="AJ62" i="69"/>
  <c r="AI62" i="69"/>
  <c r="AH62" i="69"/>
  <c r="AG62" i="69"/>
  <c r="AF62" i="69"/>
  <c r="AE62" i="69"/>
  <c r="AD62" i="69"/>
  <c r="AC62" i="69"/>
  <c r="AB62" i="69"/>
  <c r="AA62" i="69"/>
  <c r="Z62" i="69"/>
  <c r="Y62" i="69"/>
  <c r="X62" i="69"/>
  <c r="W62" i="69"/>
  <c r="U62" i="69"/>
  <c r="T62" i="69"/>
  <c r="R62" i="69"/>
  <c r="Q62" i="69"/>
  <c r="P62" i="69"/>
  <c r="N62" i="69"/>
  <c r="I62" i="69"/>
  <c r="H62" i="69"/>
  <c r="G62" i="69"/>
  <c r="F62" i="69"/>
  <c r="E62" i="69"/>
  <c r="D62" i="69"/>
  <c r="C62" i="69"/>
  <c r="B62" i="69"/>
  <c r="A62" i="69"/>
  <c r="AM61" i="69"/>
  <c r="AL61" i="69"/>
  <c r="AK61" i="69"/>
  <c r="AJ61" i="69"/>
  <c r="AI61" i="69"/>
  <c r="AH61" i="69"/>
  <c r="AG61" i="69"/>
  <c r="AF61" i="69"/>
  <c r="AE61" i="69"/>
  <c r="AD61" i="69"/>
  <c r="AC61" i="69"/>
  <c r="AB61" i="69"/>
  <c r="AA61" i="69"/>
  <c r="Z61" i="69"/>
  <c r="Y61" i="69"/>
  <c r="X61" i="69"/>
  <c r="W61" i="69"/>
  <c r="U61" i="69"/>
  <c r="T61" i="69"/>
  <c r="R61" i="69"/>
  <c r="Q61" i="69"/>
  <c r="P61" i="69"/>
  <c r="N61" i="69"/>
  <c r="I61" i="69"/>
  <c r="H61" i="69"/>
  <c r="G61" i="69"/>
  <c r="F61" i="69"/>
  <c r="E61" i="69"/>
  <c r="D61" i="69"/>
  <c r="C61" i="69"/>
  <c r="B61" i="69"/>
  <c r="A61" i="69"/>
  <c r="AM60" i="69"/>
  <c r="AL60" i="69"/>
  <c r="AK60" i="69"/>
  <c r="AJ60" i="69"/>
  <c r="AI60" i="69"/>
  <c r="AH60" i="69"/>
  <c r="AG60" i="69"/>
  <c r="AF60" i="69"/>
  <c r="AE60" i="69"/>
  <c r="AD60" i="69"/>
  <c r="AC60" i="69"/>
  <c r="AB60" i="69"/>
  <c r="AA60" i="69"/>
  <c r="Z60" i="69"/>
  <c r="Y60" i="69"/>
  <c r="X60" i="69"/>
  <c r="W60" i="69"/>
  <c r="U60" i="69"/>
  <c r="R60" i="69"/>
  <c r="Q60" i="69"/>
  <c r="P60" i="69"/>
  <c r="N60" i="69"/>
  <c r="I60" i="69"/>
  <c r="H60" i="69"/>
  <c r="G60" i="69"/>
  <c r="F60" i="69"/>
  <c r="E60" i="69"/>
  <c r="D60" i="69"/>
  <c r="C60" i="69"/>
  <c r="B60" i="69"/>
  <c r="A60" i="69"/>
  <c r="AM59" i="69"/>
  <c r="AL59" i="69"/>
  <c r="AK59" i="69"/>
  <c r="AJ59" i="69"/>
  <c r="AI59" i="69"/>
  <c r="AH59" i="69"/>
  <c r="AG59" i="69"/>
  <c r="AF59" i="69"/>
  <c r="AE59" i="69"/>
  <c r="AD59" i="69"/>
  <c r="AC59" i="69"/>
  <c r="AB59" i="69"/>
  <c r="X59" i="69"/>
  <c r="W59" i="69"/>
  <c r="U59" i="69"/>
  <c r="R59" i="69"/>
  <c r="Q59" i="69"/>
  <c r="P59" i="69"/>
  <c r="O59" i="69"/>
  <c r="N59" i="69"/>
  <c r="M59" i="69"/>
  <c r="I59" i="69"/>
  <c r="H59" i="69"/>
  <c r="G59" i="69"/>
  <c r="F59" i="69"/>
  <c r="E59" i="69"/>
  <c r="D59" i="69"/>
  <c r="C59" i="69"/>
  <c r="B59" i="69"/>
  <c r="A59" i="69"/>
  <c r="AM58" i="69"/>
  <c r="AL58" i="69"/>
  <c r="AK58" i="69"/>
  <c r="AJ58" i="69"/>
  <c r="AI58" i="69"/>
  <c r="AH58" i="69"/>
  <c r="AG58" i="69"/>
  <c r="AF58" i="69"/>
  <c r="AE58" i="69"/>
  <c r="AD58" i="69"/>
  <c r="AC58" i="69"/>
  <c r="AB58" i="69"/>
  <c r="AA58" i="69"/>
  <c r="Y58" i="69"/>
  <c r="X58" i="69"/>
  <c r="X53" i="69" s="1"/>
  <c r="W58" i="69"/>
  <c r="U58" i="69"/>
  <c r="R58" i="69"/>
  <c r="Q58" i="69"/>
  <c r="P58" i="69"/>
  <c r="O58" i="69"/>
  <c r="N58" i="69"/>
  <c r="M58" i="69"/>
  <c r="I58" i="69"/>
  <c r="H58" i="69"/>
  <c r="G58" i="69"/>
  <c r="F58" i="69"/>
  <c r="E58" i="69"/>
  <c r="D58" i="69"/>
  <c r="C58" i="69"/>
  <c r="B58" i="69"/>
  <c r="A58" i="69"/>
  <c r="AM57" i="69"/>
  <c r="AL57" i="69"/>
  <c r="AK57" i="69"/>
  <c r="AJ57" i="69"/>
  <c r="AI57" i="69"/>
  <c r="AH57" i="69"/>
  <c r="AG57" i="69"/>
  <c r="AF57" i="69"/>
  <c r="AE57" i="69"/>
  <c r="AD57" i="69"/>
  <c r="AC57" i="69"/>
  <c r="AB57" i="69"/>
  <c r="AA57" i="69"/>
  <c r="X57" i="69"/>
  <c r="W57" i="69"/>
  <c r="U57" i="69"/>
  <c r="R57" i="69"/>
  <c r="Q57" i="69"/>
  <c r="P57" i="69"/>
  <c r="O57" i="69"/>
  <c r="N57" i="69"/>
  <c r="M57" i="69"/>
  <c r="I57" i="69"/>
  <c r="H57" i="69"/>
  <c r="G57" i="69"/>
  <c r="F57" i="69"/>
  <c r="E57" i="69"/>
  <c r="D57" i="69"/>
  <c r="C57" i="69"/>
  <c r="B57" i="69"/>
  <c r="A57" i="69"/>
  <c r="AM56" i="69"/>
  <c r="AL56" i="69"/>
  <c r="AK56" i="69"/>
  <c r="AJ56" i="69"/>
  <c r="AI56" i="69"/>
  <c r="AH56" i="69"/>
  <c r="AG56" i="69"/>
  <c r="AF56" i="69"/>
  <c r="AE56" i="69"/>
  <c r="AD56" i="69"/>
  <c r="AC56" i="69"/>
  <c r="AB56" i="69"/>
  <c r="AA56" i="69"/>
  <c r="Z56" i="69"/>
  <c r="Y56" i="69"/>
  <c r="X56" i="69"/>
  <c r="W56" i="69"/>
  <c r="U56" i="69"/>
  <c r="R56" i="69"/>
  <c r="Q56" i="69"/>
  <c r="P56" i="69"/>
  <c r="O56" i="69"/>
  <c r="N56" i="69"/>
  <c r="AM55" i="69"/>
  <c r="AL55" i="69"/>
  <c r="AK55" i="69"/>
  <c r="AJ55" i="69"/>
  <c r="AI55" i="69"/>
  <c r="AH55" i="69"/>
  <c r="AG55" i="69"/>
  <c r="AF55" i="69"/>
  <c r="AE55" i="69"/>
  <c r="AD55" i="69"/>
  <c r="AC55" i="69"/>
  <c r="AB55" i="69"/>
  <c r="AA55" i="69"/>
  <c r="Z55" i="69"/>
  <c r="Y55" i="69"/>
  <c r="X55" i="69"/>
  <c r="W55" i="69"/>
  <c r="U55" i="69"/>
  <c r="R55" i="69"/>
  <c r="Q55" i="69"/>
  <c r="P55" i="69"/>
  <c r="O55" i="69"/>
  <c r="N55" i="69"/>
  <c r="AM54" i="69"/>
  <c r="AL54" i="69"/>
  <c r="AK54" i="69"/>
  <c r="AJ54" i="69"/>
  <c r="AI54" i="69"/>
  <c r="AH54" i="69"/>
  <c r="AG54" i="69"/>
  <c r="AF54" i="69"/>
  <c r="AE54" i="69"/>
  <c r="AD54" i="69"/>
  <c r="AC54" i="69"/>
  <c r="AB54" i="69"/>
  <c r="AA54" i="69"/>
  <c r="Z54" i="69"/>
  <c r="X54" i="69"/>
  <c r="W54" i="69"/>
  <c r="U54" i="69"/>
  <c r="R54" i="69"/>
  <c r="R53" i="69" s="1"/>
  <c r="Q54" i="69"/>
  <c r="P54" i="69"/>
  <c r="O54" i="69"/>
  <c r="N54" i="69"/>
  <c r="M54" i="69"/>
  <c r="I54" i="69"/>
  <c r="H54" i="69"/>
  <c r="G54" i="69"/>
  <c r="F54" i="69"/>
  <c r="E54" i="69"/>
  <c r="D54" i="69"/>
  <c r="C54" i="69"/>
  <c r="B54" i="69"/>
  <c r="A54" i="69"/>
  <c r="U53" i="69"/>
  <c r="M53" i="69"/>
  <c r="L53" i="69"/>
  <c r="AE52" i="69"/>
  <c r="AD52" i="69"/>
  <c r="AC52" i="69"/>
  <c r="AB52" i="69"/>
  <c r="AA52" i="69"/>
  <c r="Z52" i="69"/>
  <c r="Y52" i="69"/>
  <c r="X52" i="69"/>
  <c r="W52" i="69"/>
  <c r="V52" i="69"/>
  <c r="U52" i="69"/>
  <c r="T52" i="69"/>
  <c r="R52" i="69"/>
  <c r="Q52" i="69"/>
  <c r="P52" i="69"/>
  <c r="O52" i="69"/>
  <c r="N52" i="69"/>
  <c r="M52" i="69"/>
  <c r="AM51" i="69"/>
  <c r="AL51" i="69"/>
  <c r="AK51" i="69"/>
  <c r="AJ51" i="69"/>
  <c r="AI51" i="69"/>
  <c r="AH51" i="69"/>
  <c r="AG51" i="69"/>
  <c r="AF51" i="69"/>
  <c r="AE51" i="69"/>
  <c r="AD51" i="69"/>
  <c r="AC51" i="69"/>
  <c r="AB51" i="69"/>
  <c r="AA51" i="69"/>
  <c r="Y51" i="69"/>
  <c r="X51" i="69"/>
  <c r="W51" i="69"/>
  <c r="U51" i="69"/>
  <c r="T51" i="69"/>
  <c r="R51" i="69"/>
  <c r="Q51" i="69"/>
  <c r="P51" i="69"/>
  <c r="O51" i="69"/>
  <c r="N51" i="69"/>
  <c r="AM50" i="69"/>
  <c r="AL50" i="69"/>
  <c r="AK50" i="69"/>
  <c r="AJ50" i="69"/>
  <c r="AI50" i="69"/>
  <c r="AH50" i="69"/>
  <c r="AG50" i="69"/>
  <c r="AF50" i="69"/>
  <c r="AE50" i="69"/>
  <c r="AD50" i="69"/>
  <c r="AC50" i="69"/>
  <c r="AB50" i="69"/>
  <c r="AA50" i="69"/>
  <c r="Y50" i="69"/>
  <c r="X50" i="69"/>
  <c r="W50" i="69"/>
  <c r="U50" i="69"/>
  <c r="T50" i="69"/>
  <c r="R50" i="69"/>
  <c r="Q50" i="69"/>
  <c r="P50" i="69"/>
  <c r="O50" i="69"/>
  <c r="N50" i="69"/>
  <c r="I50" i="69"/>
  <c r="H50" i="69"/>
  <c r="G50" i="69"/>
  <c r="F50" i="69"/>
  <c r="E50" i="69"/>
  <c r="D50" i="69"/>
  <c r="C50" i="69"/>
  <c r="B50" i="69"/>
  <c r="A50" i="69"/>
  <c r="AM49" i="69"/>
  <c r="AL49" i="69"/>
  <c r="AK49" i="69"/>
  <c r="AJ49" i="69"/>
  <c r="AI49" i="69"/>
  <c r="AH49" i="69"/>
  <c r="AG49" i="69"/>
  <c r="AF49" i="69"/>
  <c r="AE49" i="69"/>
  <c r="AD49" i="69"/>
  <c r="AC49" i="69"/>
  <c r="AB49" i="69"/>
  <c r="AA49" i="69"/>
  <c r="X49" i="69"/>
  <c r="W49" i="69"/>
  <c r="U49" i="69"/>
  <c r="T49" i="69"/>
  <c r="R49" i="69"/>
  <c r="Q49" i="69"/>
  <c r="P49" i="69"/>
  <c r="O49" i="69"/>
  <c r="N49" i="69"/>
  <c r="AM48" i="69"/>
  <c r="AL48" i="69"/>
  <c r="AK48" i="69"/>
  <c r="AJ48" i="69"/>
  <c r="AI48" i="69"/>
  <c r="AH48" i="69"/>
  <c r="AG48" i="69"/>
  <c r="AF48" i="69"/>
  <c r="AE48" i="69"/>
  <c r="AD48" i="69"/>
  <c r="AC48" i="69"/>
  <c r="AB48" i="69"/>
  <c r="AA48" i="69"/>
  <c r="Y48" i="69"/>
  <c r="X48" i="69"/>
  <c r="W48" i="69"/>
  <c r="U48" i="69"/>
  <c r="T48" i="69"/>
  <c r="R48" i="69"/>
  <c r="Q48" i="69"/>
  <c r="P48" i="69"/>
  <c r="O48" i="69"/>
  <c r="N48" i="69"/>
  <c r="I48" i="69"/>
  <c r="H48" i="69"/>
  <c r="G48" i="69"/>
  <c r="F48" i="69"/>
  <c r="E48" i="69"/>
  <c r="D48" i="69"/>
  <c r="C48" i="69"/>
  <c r="B48" i="69"/>
  <c r="A48" i="69"/>
  <c r="AM47" i="69"/>
  <c r="AL47" i="69"/>
  <c r="AK47" i="69"/>
  <c r="AJ47" i="69"/>
  <c r="AI47" i="69"/>
  <c r="AH47" i="69"/>
  <c r="AG47" i="69"/>
  <c r="AF47" i="69"/>
  <c r="AE47" i="69"/>
  <c r="AD47" i="69"/>
  <c r="AC47" i="69"/>
  <c r="AB47" i="69"/>
  <c r="AA47" i="69"/>
  <c r="X47" i="69"/>
  <c r="W47" i="69"/>
  <c r="Q47" i="69"/>
  <c r="P47" i="69"/>
  <c r="O47" i="69"/>
  <c r="N47" i="69"/>
  <c r="M47" i="69"/>
  <c r="I47" i="69"/>
  <c r="H47" i="69"/>
  <c r="G47" i="69"/>
  <c r="F47" i="69"/>
  <c r="E47" i="69"/>
  <c r="D47" i="69"/>
  <c r="C47" i="69"/>
  <c r="B47" i="69"/>
  <c r="A47" i="69"/>
  <c r="AM46" i="69"/>
  <c r="AL46" i="69"/>
  <c r="AK46" i="69"/>
  <c r="AJ46" i="69"/>
  <c r="AI46" i="69"/>
  <c r="AH46" i="69"/>
  <c r="AG46" i="69"/>
  <c r="AF46" i="69"/>
  <c r="AE46" i="69"/>
  <c r="AD46" i="69"/>
  <c r="AC46" i="69"/>
  <c r="AB46" i="69"/>
  <c r="AA46" i="69"/>
  <c r="Y46" i="69"/>
  <c r="X46" i="69"/>
  <c r="W46" i="69"/>
  <c r="U46" i="69"/>
  <c r="T46" i="69"/>
  <c r="R46" i="69"/>
  <c r="Q46" i="69"/>
  <c r="P46" i="69"/>
  <c r="O46" i="69"/>
  <c r="N46" i="69"/>
  <c r="I46" i="69"/>
  <c r="H46" i="69"/>
  <c r="G46" i="69"/>
  <c r="F46" i="69"/>
  <c r="E46" i="69"/>
  <c r="D46" i="69"/>
  <c r="C46" i="69"/>
  <c r="B46" i="69"/>
  <c r="A46" i="69"/>
  <c r="AM45" i="69"/>
  <c r="AL45" i="69"/>
  <c r="AK45" i="69"/>
  <c r="AJ45" i="69"/>
  <c r="AI45" i="69"/>
  <c r="AH45" i="69"/>
  <c r="AG45" i="69"/>
  <c r="AF45" i="69"/>
  <c r="AE45" i="69"/>
  <c r="AD45" i="69"/>
  <c r="AC45" i="69"/>
  <c r="AB45" i="69"/>
  <c r="AA45" i="69"/>
  <c r="Y45" i="69"/>
  <c r="X45" i="69"/>
  <c r="W45" i="69"/>
  <c r="U45" i="69"/>
  <c r="T45" i="69"/>
  <c r="R45" i="69"/>
  <c r="Q45" i="69"/>
  <c r="P45" i="69"/>
  <c r="O45" i="69"/>
  <c r="N45" i="69"/>
  <c r="I45" i="69"/>
  <c r="H45" i="69"/>
  <c r="G45" i="69"/>
  <c r="F45" i="69"/>
  <c r="E45" i="69"/>
  <c r="D45" i="69"/>
  <c r="C45" i="69"/>
  <c r="B45" i="69"/>
  <c r="A45" i="69"/>
  <c r="AM44" i="69"/>
  <c r="AL44" i="69"/>
  <c r="AK44" i="69"/>
  <c r="AJ44" i="69"/>
  <c r="AI44" i="69"/>
  <c r="AH44" i="69"/>
  <c r="AG44" i="69"/>
  <c r="AF44" i="69"/>
  <c r="AE44" i="69"/>
  <c r="AD44" i="69"/>
  <c r="AC44" i="69"/>
  <c r="AB44" i="69"/>
  <c r="AA44" i="69"/>
  <c r="Y44" i="69"/>
  <c r="X44" i="69"/>
  <c r="W44" i="69"/>
  <c r="U44" i="69"/>
  <c r="T44" i="69"/>
  <c r="R44" i="69"/>
  <c r="Q44" i="69"/>
  <c r="P44" i="69"/>
  <c r="O44" i="69"/>
  <c r="N44" i="69"/>
  <c r="I44" i="69"/>
  <c r="H44" i="69"/>
  <c r="G44" i="69"/>
  <c r="F44" i="69"/>
  <c r="E44" i="69"/>
  <c r="D44" i="69"/>
  <c r="C44" i="69"/>
  <c r="B44" i="69"/>
  <c r="A44" i="69"/>
  <c r="AM43" i="69"/>
  <c r="AL43" i="69"/>
  <c r="AK43" i="69"/>
  <c r="AJ43" i="69"/>
  <c r="AI43" i="69"/>
  <c r="AH43" i="69"/>
  <c r="AG43" i="69"/>
  <c r="AF43" i="69"/>
  <c r="AE43" i="69"/>
  <c r="AD43" i="69"/>
  <c r="AC43" i="69"/>
  <c r="AB43" i="69"/>
  <c r="AA43" i="69"/>
  <c r="X43" i="69"/>
  <c r="W43" i="69"/>
  <c r="U43" i="69"/>
  <c r="T43" i="69"/>
  <c r="R43" i="69"/>
  <c r="Q43" i="69"/>
  <c r="P43" i="69"/>
  <c r="O43" i="69"/>
  <c r="N43" i="69"/>
  <c r="I43" i="69"/>
  <c r="H43" i="69"/>
  <c r="G43" i="69"/>
  <c r="F43" i="69"/>
  <c r="E43" i="69"/>
  <c r="D43" i="69"/>
  <c r="C43" i="69"/>
  <c r="B43" i="69"/>
  <c r="A43" i="69"/>
  <c r="AM42" i="69"/>
  <c r="AL42" i="69"/>
  <c r="AK42" i="69"/>
  <c r="AJ42" i="69"/>
  <c r="AI42" i="69"/>
  <c r="AH42" i="69"/>
  <c r="AG42" i="69"/>
  <c r="AF42" i="69"/>
  <c r="AE42" i="69"/>
  <c r="AD42" i="69"/>
  <c r="AC42" i="69"/>
  <c r="AB42" i="69"/>
  <c r="AA42" i="69"/>
  <c r="Z42" i="69"/>
  <c r="Y42" i="69"/>
  <c r="X42" i="69"/>
  <c r="W42" i="69"/>
  <c r="U42" i="69"/>
  <c r="T42" i="69"/>
  <c r="R42" i="69"/>
  <c r="Q42" i="69"/>
  <c r="P42" i="69"/>
  <c r="O42" i="69"/>
  <c r="N42" i="69"/>
  <c r="I42" i="69"/>
  <c r="H42" i="69"/>
  <c r="G42" i="69"/>
  <c r="F42" i="69"/>
  <c r="E42" i="69"/>
  <c r="D42" i="69"/>
  <c r="C42" i="69"/>
  <c r="B42" i="69"/>
  <c r="A42" i="69"/>
  <c r="AM41" i="69"/>
  <c r="AL41" i="69"/>
  <c r="AK41" i="69"/>
  <c r="AJ41" i="69"/>
  <c r="AI41" i="69"/>
  <c r="AH41" i="69"/>
  <c r="AG41" i="69"/>
  <c r="AF41" i="69"/>
  <c r="AE41" i="69"/>
  <c r="AD41" i="69"/>
  <c r="AC41" i="69"/>
  <c r="AB41" i="69"/>
  <c r="AA41" i="69"/>
  <c r="Y41" i="69"/>
  <c r="X41" i="69"/>
  <c r="W41" i="69"/>
  <c r="U41" i="69"/>
  <c r="T41" i="69"/>
  <c r="R41" i="69"/>
  <c r="Q41" i="69"/>
  <c r="P41" i="69"/>
  <c r="O41" i="69"/>
  <c r="N41" i="69"/>
  <c r="I41" i="69"/>
  <c r="H41" i="69"/>
  <c r="G41" i="69"/>
  <c r="F41" i="69"/>
  <c r="E41" i="69"/>
  <c r="D41" i="69"/>
  <c r="C41" i="69"/>
  <c r="B41" i="69"/>
  <c r="A41" i="69"/>
  <c r="AM40" i="69"/>
  <c r="AL40" i="69"/>
  <c r="AK40" i="69"/>
  <c r="AJ40" i="69"/>
  <c r="AI40" i="69"/>
  <c r="AH40" i="69"/>
  <c r="AG40" i="69"/>
  <c r="AF40" i="69"/>
  <c r="AE40" i="69"/>
  <c r="AD40" i="69"/>
  <c r="AC40" i="69"/>
  <c r="AB40" i="69"/>
  <c r="AA40" i="69"/>
  <c r="Y40" i="69"/>
  <c r="X40" i="69"/>
  <c r="W40" i="69"/>
  <c r="U40" i="69"/>
  <c r="T40" i="69"/>
  <c r="R40" i="69"/>
  <c r="Q40" i="69"/>
  <c r="P40" i="69"/>
  <c r="O40" i="69"/>
  <c r="N40" i="69"/>
  <c r="I40" i="69"/>
  <c r="H40" i="69"/>
  <c r="G40" i="69"/>
  <c r="F40" i="69"/>
  <c r="E40" i="69"/>
  <c r="D40" i="69"/>
  <c r="C40" i="69"/>
  <c r="B40" i="69"/>
  <c r="A40" i="69"/>
  <c r="AM39" i="69"/>
  <c r="AL39" i="69"/>
  <c r="AK39" i="69"/>
  <c r="AJ39" i="69"/>
  <c r="AI39" i="69"/>
  <c r="AH39" i="69"/>
  <c r="AG39" i="69"/>
  <c r="AF39" i="69"/>
  <c r="AE39" i="69"/>
  <c r="AD39" i="69"/>
  <c r="AC39" i="69"/>
  <c r="AB39" i="69"/>
  <c r="AA39" i="69"/>
  <c r="Y39" i="69"/>
  <c r="X39" i="69"/>
  <c r="W39" i="69"/>
  <c r="U39" i="69"/>
  <c r="T39" i="69"/>
  <c r="R39" i="69"/>
  <c r="Q39" i="69"/>
  <c r="P39" i="69"/>
  <c r="O39" i="69"/>
  <c r="N39" i="69"/>
  <c r="I39" i="69"/>
  <c r="H39" i="69"/>
  <c r="G39" i="69"/>
  <c r="F39" i="69"/>
  <c r="E39" i="69"/>
  <c r="D39" i="69"/>
  <c r="C39" i="69"/>
  <c r="B39" i="69"/>
  <c r="A39" i="69"/>
  <c r="AM38" i="69"/>
  <c r="AL38" i="69"/>
  <c r="AK38" i="69"/>
  <c r="AJ38" i="69"/>
  <c r="AI38" i="69"/>
  <c r="AH38" i="69"/>
  <c r="AG38" i="69"/>
  <c r="AF38" i="69"/>
  <c r="AE38" i="69"/>
  <c r="AD38" i="69"/>
  <c r="AC38" i="69"/>
  <c r="AB38" i="69"/>
  <c r="AA38" i="69"/>
  <c r="X38" i="69"/>
  <c r="W38" i="69"/>
  <c r="Q38" i="69"/>
  <c r="P38" i="69"/>
  <c r="O38" i="69"/>
  <c r="N38" i="69"/>
  <c r="M38" i="69"/>
  <c r="I38" i="69"/>
  <c r="H38" i="69"/>
  <c r="G38" i="69"/>
  <c r="F38" i="69"/>
  <c r="E38" i="69"/>
  <c r="D38" i="69"/>
  <c r="C38" i="69"/>
  <c r="B38" i="69"/>
  <c r="A38" i="69"/>
  <c r="AM37" i="69"/>
  <c r="AL37" i="69"/>
  <c r="AK37" i="69"/>
  <c r="AJ37" i="69"/>
  <c r="AI37" i="69"/>
  <c r="AH37" i="69"/>
  <c r="AG37" i="69"/>
  <c r="AF37" i="69"/>
  <c r="AE37" i="69"/>
  <c r="AD37" i="69"/>
  <c r="AC37" i="69"/>
  <c r="AB37" i="69"/>
  <c r="AA37" i="69"/>
  <c r="Y37" i="69"/>
  <c r="X37" i="69"/>
  <c r="X35" i="69" s="1"/>
  <c r="W37" i="69"/>
  <c r="U37" i="69"/>
  <c r="T37" i="69"/>
  <c r="R37" i="69"/>
  <c r="Q37" i="69"/>
  <c r="P37" i="69"/>
  <c r="O37" i="69"/>
  <c r="N37" i="69"/>
  <c r="M37" i="69"/>
  <c r="I37" i="69"/>
  <c r="H37" i="69"/>
  <c r="G37" i="69"/>
  <c r="F37" i="69"/>
  <c r="E37" i="69"/>
  <c r="D37" i="69"/>
  <c r="C37" i="69"/>
  <c r="B37" i="69"/>
  <c r="A37" i="69"/>
  <c r="AM36" i="69"/>
  <c r="AL36" i="69"/>
  <c r="AK36" i="69"/>
  <c r="AJ36" i="69"/>
  <c r="AI36" i="69"/>
  <c r="AH36" i="69"/>
  <c r="AG36" i="69"/>
  <c r="AF36" i="69"/>
  <c r="AE36" i="69"/>
  <c r="AD36" i="69"/>
  <c r="AC36" i="69"/>
  <c r="AB36" i="69"/>
  <c r="AA36" i="69"/>
  <c r="Z36" i="69"/>
  <c r="Y36" i="69"/>
  <c r="X36" i="69"/>
  <c r="W36" i="69"/>
  <c r="U36" i="69"/>
  <c r="T36" i="69"/>
  <c r="R36" i="69"/>
  <c r="Q36" i="69"/>
  <c r="P36" i="69"/>
  <c r="O36" i="69"/>
  <c r="N36" i="69"/>
  <c r="M36" i="69"/>
  <c r="I36" i="69"/>
  <c r="H36" i="69"/>
  <c r="G36" i="69"/>
  <c r="F36" i="69"/>
  <c r="E36" i="69"/>
  <c r="D36" i="69"/>
  <c r="C36" i="69"/>
  <c r="B36" i="69"/>
  <c r="A36" i="69"/>
  <c r="M35" i="69"/>
  <c r="L35" i="69"/>
  <c r="AE34" i="69"/>
  <c r="AD34" i="69"/>
  <c r="AC34" i="69"/>
  <c r="AB34" i="69"/>
  <c r="AA34" i="69"/>
  <c r="Z34" i="69"/>
  <c r="Y34" i="69"/>
  <c r="X34" i="69"/>
  <c r="W34" i="69"/>
  <c r="V34" i="69"/>
  <c r="U34" i="69"/>
  <c r="T34" i="69"/>
  <c r="S34" i="69"/>
  <c r="R34" i="69"/>
  <c r="Q34" i="69"/>
  <c r="P34" i="69"/>
  <c r="O34" i="69"/>
  <c r="N34" i="69"/>
  <c r="M34" i="69"/>
  <c r="AM33" i="69"/>
  <c r="AL33" i="69"/>
  <c r="AK33" i="69"/>
  <c r="AJ33" i="69"/>
  <c r="AI33" i="69"/>
  <c r="AH33" i="69"/>
  <c r="AG33" i="69"/>
  <c r="AF33" i="69"/>
  <c r="AE33" i="69"/>
  <c r="AD33" i="69"/>
  <c r="AC33" i="69"/>
  <c r="AB33" i="69"/>
  <c r="AA33" i="69"/>
  <c r="X33" i="69"/>
  <c r="W33" i="69"/>
  <c r="U33" i="69"/>
  <c r="T33" i="69"/>
  <c r="S33" i="69"/>
  <c r="R33" i="69"/>
  <c r="Q33" i="69"/>
  <c r="P33" i="69"/>
  <c r="O33" i="69"/>
  <c r="N33" i="69"/>
  <c r="M33" i="69"/>
  <c r="I33" i="69"/>
  <c r="H33" i="69"/>
  <c r="G33" i="69"/>
  <c r="F33" i="69"/>
  <c r="E33" i="69"/>
  <c r="D33" i="69"/>
  <c r="C33" i="69"/>
  <c r="B33" i="69"/>
  <c r="A33" i="69"/>
  <c r="AM32" i="69"/>
  <c r="AL32" i="69"/>
  <c r="AK32" i="69"/>
  <c r="AJ32" i="69"/>
  <c r="AI32" i="69"/>
  <c r="AH32" i="69"/>
  <c r="AG32" i="69"/>
  <c r="AF32" i="69"/>
  <c r="AE32" i="69"/>
  <c r="AD32" i="69"/>
  <c r="AC32" i="69"/>
  <c r="AB32" i="69"/>
  <c r="AA32" i="69"/>
  <c r="Y32" i="69"/>
  <c r="X32" i="69"/>
  <c r="W32" i="69"/>
  <c r="U32" i="69"/>
  <c r="T32" i="69"/>
  <c r="S32" i="69"/>
  <c r="R32" i="69"/>
  <c r="Q32" i="69"/>
  <c r="P32" i="69"/>
  <c r="O32" i="69"/>
  <c r="N32" i="69"/>
  <c r="M32" i="69"/>
  <c r="I32" i="69"/>
  <c r="H32" i="69"/>
  <c r="G32" i="69"/>
  <c r="F32" i="69"/>
  <c r="E32" i="69"/>
  <c r="D32" i="69"/>
  <c r="C32" i="69"/>
  <c r="B32" i="69"/>
  <c r="A32" i="69"/>
  <c r="AM31" i="69"/>
  <c r="AL31" i="69"/>
  <c r="AK31" i="69"/>
  <c r="AJ31" i="69"/>
  <c r="AI31" i="69"/>
  <c r="AH31" i="69"/>
  <c r="AG31" i="69"/>
  <c r="AF31" i="69"/>
  <c r="AE31" i="69"/>
  <c r="AD31" i="69"/>
  <c r="AC31" i="69"/>
  <c r="AB31" i="69"/>
  <c r="AA31" i="69"/>
  <c r="Y31" i="69"/>
  <c r="X31" i="69"/>
  <c r="W31" i="69"/>
  <c r="U31" i="69"/>
  <c r="T31" i="69"/>
  <c r="S31" i="69"/>
  <c r="R31" i="69"/>
  <c r="Q31" i="69"/>
  <c r="P31" i="69"/>
  <c r="O31" i="69"/>
  <c r="N31" i="69"/>
  <c r="M31" i="69"/>
  <c r="I31" i="69"/>
  <c r="H31" i="69"/>
  <c r="G31" i="69"/>
  <c r="F31" i="69"/>
  <c r="E31" i="69"/>
  <c r="D31" i="69"/>
  <c r="C31" i="69"/>
  <c r="B31" i="69"/>
  <c r="A31" i="69"/>
  <c r="AM30" i="69"/>
  <c r="AL30" i="69"/>
  <c r="AK30" i="69"/>
  <c r="AJ30" i="69"/>
  <c r="AI30" i="69"/>
  <c r="AH30" i="69"/>
  <c r="AG30" i="69"/>
  <c r="AF30" i="69"/>
  <c r="AE30" i="69"/>
  <c r="AD30" i="69"/>
  <c r="AC30" i="69"/>
  <c r="AB30" i="69"/>
  <c r="AA30" i="69"/>
  <c r="Y30" i="69"/>
  <c r="X30" i="69"/>
  <c r="W30" i="69"/>
  <c r="U30" i="69"/>
  <c r="T30" i="69"/>
  <c r="S30" i="69"/>
  <c r="R30" i="69"/>
  <c r="Q30" i="69"/>
  <c r="P30" i="69"/>
  <c r="O30" i="69"/>
  <c r="N30" i="69"/>
  <c r="M30" i="69"/>
  <c r="I30" i="69"/>
  <c r="H30" i="69"/>
  <c r="G30" i="69"/>
  <c r="F30" i="69"/>
  <c r="E30" i="69"/>
  <c r="D30" i="69"/>
  <c r="C30" i="69"/>
  <c r="B30" i="69"/>
  <c r="A30" i="69"/>
  <c r="AM29" i="69"/>
  <c r="AL29" i="69"/>
  <c r="AK29" i="69"/>
  <c r="AJ29" i="69"/>
  <c r="AI29" i="69"/>
  <c r="AH29" i="69"/>
  <c r="AG29" i="69"/>
  <c r="AF29" i="69"/>
  <c r="AE29" i="69"/>
  <c r="AD29" i="69"/>
  <c r="AC29" i="69"/>
  <c r="AB29" i="69"/>
  <c r="AA29" i="69"/>
  <c r="Y29" i="69"/>
  <c r="X29" i="69"/>
  <c r="W29" i="69"/>
  <c r="U29" i="69"/>
  <c r="T29" i="69"/>
  <c r="T25" i="69" s="1"/>
  <c r="S29" i="69"/>
  <c r="R29" i="69"/>
  <c r="Q29" i="69"/>
  <c r="P29" i="69"/>
  <c r="O29" i="69"/>
  <c r="N29" i="69"/>
  <c r="M29" i="69"/>
  <c r="I29" i="69"/>
  <c r="H29" i="69"/>
  <c r="G29" i="69"/>
  <c r="F29" i="69"/>
  <c r="E29" i="69"/>
  <c r="D29" i="69"/>
  <c r="C29" i="69"/>
  <c r="B29" i="69"/>
  <c r="A29" i="69"/>
  <c r="AM28" i="69"/>
  <c r="AL28" i="69"/>
  <c r="AK28" i="69"/>
  <c r="AJ28" i="69"/>
  <c r="AI28" i="69"/>
  <c r="AH28" i="69"/>
  <c r="AG28" i="69"/>
  <c r="AF28" i="69"/>
  <c r="AE28" i="69"/>
  <c r="AD28" i="69"/>
  <c r="AC28" i="69"/>
  <c r="AB28" i="69"/>
  <c r="AA28" i="69"/>
  <c r="Y28" i="69"/>
  <c r="X28" i="69"/>
  <c r="W28" i="69"/>
  <c r="U28" i="69"/>
  <c r="T28" i="69"/>
  <c r="S28" i="69"/>
  <c r="R28" i="69"/>
  <c r="Q28" i="69"/>
  <c r="P28" i="69"/>
  <c r="O28" i="69"/>
  <c r="N28" i="69"/>
  <c r="M28" i="69"/>
  <c r="I28" i="69"/>
  <c r="H28" i="69"/>
  <c r="G28" i="69"/>
  <c r="F28" i="69"/>
  <c r="E28" i="69"/>
  <c r="D28" i="69"/>
  <c r="C28" i="69"/>
  <c r="B28" i="69"/>
  <c r="A28" i="69"/>
  <c r="AM27" i="69"/>
  <c r="AL27" i="69"/>
  <c r="AK27" i="69"/>
  <c r="AJ27" i="69"/>
  <c r="AI27" i="69"/>
  <c r="AH27" i="69"/>
  <c r="AG27" i="69"/>
  <c r="AF27" i="69"/>
  <c r="AE27" i="69"/>
  <c r="AD27" i="69"/>
  <c r="AC27" i="69"/>
  <c r="AB27" i="69"/>
  <c r="AA27" i="69"/>
  <c r="X27" i="69"/>
  <c r="W27" i="69"/>
  <c r="U27" i="69"/>
  <c r="T27" i="69"/>
  <c r="S27" i="69"/>
  <c r="R27" i="69"/>
  <c r="Q27" i="69"/>
  <c r="P27" i="69"/>
  <c r="O27" i="69"/>
  <c r="N27" i="69"/>
  <c r="M27" i="69"/>
  <c r="I27" i="69"/>
  <c r="H27" i="69"/>
  <c r="G27" i="69"/>
  <c r="F27" i="69"/>
  <c r="E27" i="69"/>
  <c r="D27" i="69"/>
  <c r="C27" i="69"/>
  <c r="B27" i="69"/>
  <c r="A27" i="69"/>
  <c r="AE26" i="69"/>
  <c r="AD26" i="69"/>
  <c r="AC26" i="69"/>
  <c r="AB26" i="69"/>
  <c r="AA26" i="69"/>
  <c r="X26" i="69"/>
  <c r="W26" i="69"/>
  <c r="U26" i="69"/>
  <c r="T26" i="69"/>
  <c r="S26" i="69"/>
  <c r="R26" i="69"/>
  <c r="Q26" i="69"/>
  <c r="P26" i="69"/>
  <c r="O26" i="69"/>
  <c r="N26" i="69"/>
  <c r="M26" i="69"/>
  <c r="X25" i="69"/>
  <c r="U25" i="69"/>
  <c r="M25" i="69"/>
  <c r="L25" i="69"/>
  <c r="AM24" i="69"/>
  <c r="AL24" i="69"/>
  <c r="AK24" i="69"/>
  <c r="AJ24" i="69"/>
  <c r="AI24" i="69"/>
  <c r="AH24" i="69"/>
  <c r="AG24" i="69"/>
  <c r="AF24" i="69"/>
  <c r="AE24" i="69"/>
  <c r="AD24" i="69"/>
  <c r="AC24" i="69"/>
  <c r="AB24" i="69"/>
  <c r="AA24" i="69"/>
  <c r="Y24" i="69"/>
  <c r="X24" i="69"/>
  <c r="W24" i="69"/>
  <c r="U24" i="69"/>
  <c r="S24" i="69"/>
  <c r="R24" i="69"/>
  <c r="Q24" i="69"/>
  <c r="P24" i="69"/>
  <c r="O24" i="69"/>
  <c r="N24" i="69"/>
  <c r="M24" i="69"/>
  <c r="I24" i="69"/>
  <c r="H24" i="69"/>
  <c r="G24" i="69"/>
  <c r="F24" i="69"/>
  <c r="E24" i="69"/>
  <c r="D24" i="69"/>
  <c r="C24" i="69"/>
  <c r="B24" i="69"/>
  <c r="A24" i="69"/>
  <c r="AM23" i="69"/>
  <c r="AL23" i="69"/>
  <c r="AK23" i="69"/>
  <c r="AJ23" i="69"/>
  <c r="AI23" i="69"/>
  <c r="AH23" i="69"/>
  <c r="AG23" i="69"/>
  <c r="AF23" i="69"/>
  <c r="AE23" i="69"/>
  <c r="AD23" i="69"/>
  <c r="AC23" i="69"/>
  <c r="AB23" i="69"/>
  <c r="AA23" i="69"/>
  <c r="Y23" i="69"/>
  <c r="Y19" i="69" s="1"/>
  <c r="X23" i="69"/>
  <c r="W23" i="69"/>
  <c r="U23" i="69"/>
  <c r="S23" i="69"/>
  <c r="R23" i="69"/>
  <c r="Q23" i="69"/>
  <c r="P23" i="69"/>
  <c r="O23" i="69"/>
  <c r="N23" i="69"/>
  <c r="M23" i="69"/>
  <c r="I23" i="69"/>
  <c r="H23" i="69"/>
  <c r="G23" i="69"/>
  <c r="F23" i="69"/>
  <c r="E23" i="69"/>
  <c r="D23" i="69"/>
  <c r="C23" i="69"/>
  <c r="B23" i="69"/>
  <c r="A23" i="69"/>
  <c r="AM22" i="69"/>
  <c r="AL22" i="69"/>
  <c r="AK22" i="69"/>
  <c r="AJ22" i="69"/>
  <c r="AI22" i="69"/>
  <c r="AH22" i="69"/>
  <c r="AG22" i="69"/>
  <c r="AF22" i="69"/>
  <c r="AE22" i="69"/>
  <c r="AD22" i="69"/>
  <c r="AC22" i="69"/>
  <c r="AB22" i="69"/>
  <c r="AA22" i="69"/>
  <c r="Y22" i="69"/>
  <c r="X22" i="69"/>
  <c r="W22" i="69"/>
  <c r="U22" i="69"/>
  <c r="T22" i="69"/>
  <c r="S22" i="69"/>
  <c r="R22" i="69"/>
  <c r="Q22" i="69"/>
  <c r="P22" i="69"/>
  <c r="O22" i="69"/>
  <c r="N22" i="69"/>
  <c r="M22" i="69"/>
  <c r="I22" i="69"/>
  <c r="H22" i="69"/>
  <c r="G22" i="69"/>
  <c r="F22" i="69"/>
  <c r="E22" i="69"/>
  <c r="D22" i="69"/>
  <c r="C22" i="69"/>
  <c r="B22" i="69"/>
  <c r="A22" i="69"/>
  <c r="AM21" i="69"/>
  <c r="AL21" i="69"/>
  <c r="AK21" i="69"/>
  <c r="AJ21" i="69"/>
  <c r="AI21" i="69"/>
  <c r="AH21" i="69"/>
  <c r="AG21" i="69"/>
  <c r="AF21" i="69"/>
  <c r="AE21" i="69"/>
  <c r="AD21" i="69"/>
  <c r="AC21" i="69"/>
  <c r="AB21" i="69"/>
  <c r="AA21" i="69"/>
  <c r="Y21" i="69"/>
  <c r="X21" i="69"/>
  <c r="W21" i="69"/>
  <c r="U21" i="69"/>
  <c r="T21" i="69"/>
  <c r="S21" i="69"/>
  <c r="R21" i="69"/>
  <c r="Q21" i="69"/>
  <c r="P21" i="69"/>
  <c r="O21" i="69"/>
  <c r="N21" i="69"/>
  <c r="M21" i="69"/>
  <c r="I21" i="69"/>
  <c r="H21" i="69"/>
  <c r="G21" i="69"/>
  <c r="F21" i="69"/>
  <c r="E21" i="69"/>
  <c r="D21" i="69"/>
  <c r="C21" i="69"/>
  <c r="B21" i="69"/>
  <c r="A21" i="69"/>
  <c r="AM20" i="69"/>
  <c r="AL20" i="69"/>
  <c r="AK20" i="69"/>
  <c r="AJ20" i="69"/>
  <c r="AI20" i="69"/>
  <c r="AH20" i="69"/>
  <c r="AG20" i="69"/>
  <c r="AF20" i="69"/>
  <c r="AE20" i="69"/>
  <c r="AD20" i="69"/>
  <c r="AC20" i="69"/>
  <c r="AB20" i="69"/>
  <c r="AA20" i="69"/>
  <c r="Y20" i="69"/>
  <c r="X20" i="69"/>
  <c r="W20" i="69"/>
  <c r="U20" i="69"/>
  <c r="U19" i="69" s="1"/>
  <c r="T20" i="69"/>
  <c r="S20" i="69"/>
  <c r="R20" i="69"/>
  <c r="Q20" i="69"/>
  <c r="P20" i="69"/>
  <c r="O20" i="69"/>
  <c r="N20" i="69"/>
  <c r="M20" i="69"/>
  <c r="I20" i="69"/>
  <c r="H20" i="69"/>
  <c r="G20" i="69"/>
  <c r="F20" i="69"/>
  <c r="E20" i="69"/>
  <c r="D20" i="69"/>
  <c r="C20" i="69"/>
  <c r="B20" i="69"/>
  <c r="A20" i="69"/>
  <c r="M19" i="69"/>
  <c r="L19" i="69"/>
  <c r="AM18" i="69"/>
  <c r="AL18" i="69"/>
  <c r="AK18" i="69"/>
  <c r="AJ18" i="69"/>
  <c r="AI18" i="69"/>
  <c r="AH18" i="69"/>
  <c r="AG18" i="69"/>
  <c r="AF18" i="69"/>
  <c r="AE18" i="69"/>
  <c r="AD18" i="69"/>
  <c r="AC18" i="69"/>
  <c r="AB18" i="69"/>
  <c r="AA18" i="69"/>
  <c r="Z18" i="69"/>
  <c r="Y18" i="69"/>
  <c r="X18" i="69"/>
  <c r="W18" i="69"/>
  <c r="U18" i="69"/>
  <c r="T18" i="69"/>
  <c r="S18" i="69"/>
  <c r="R18" i="69"/>
  <c r="Q18" i="69"/>
  <c r="P18" i="69"/>
  <c r="O18" i="69"/>
  <c r="N18" i="69"/>
  <c r="I18" i="69"/>
  <c r="H18" i="69"/>
  <c r="G18" i="69"/>
  <c r="F18" i="69"/>
  <c r="E18" i="69"/>
  <c r="D18" i="69"/>
  <c r="C18" i="69"/>
  <c r="B18" i="69"/>
  <c r="A18" i="69"/>
  <c r="AM17" i="69"/>
  <c r="AL17" i="69"/>
  <c r="AK17" i="69"/>
  <c r="AJ17" i="69"/>
  <c r="AI17" i="69"/>
  <c r="AH17" i="69"/>
  <c r="AG17" i="69"/>
  <c r="AF17" i="69"/>
  <c r="AE17" i="69"/>
  <c r="AD17" i="69"/>
  <c r="AC17" i="69"/>
  <c r="AB17" i="69"/>
  <c r="AA17" i="69"/>
  <c r="Z17" i="69"/>
  <c r="Y17" i="69"/>
  <c r="X17" i="69"/>
  <c r="W17" i="69"/>
  <c r="U17" i="69"/>
  <c r="T17" i="69"/>
  <c r="S17" i="69"/>
  <c r="R17" i="69"/>
  <c r="Q17" i="69"/>
  <c r="P17" i="69"/>
  <c r="O17" i="69"/>
  <c r="N17" i="69"/>
  <c r="I17" i="69"/>
  <c r="H17" i="69"/>
  <c r="G17" i="69"/>
  <c r="F17" i="69"/>
  <c r="E17" i="69"/>
  <c r="D17" i="69"/>
  <c r="C17" i="69"/>
  <c r="B17" i="69"/>
  <c r="A17" i="69"/>
  <c r="AM16" i="69"/>
  <c r="AL16" i="69"/>
  <c r="AK16" i="69"/>
  <c r="AJ16" i="69"/>
  <c r="AI16" i="69"/>
  <c r="AH16" i="69"/>
  <c r="AG16" i="69"/>
  <c r="AF16" i="69"/>
  <c r="AE16" i="69"/>
  <c r="AD16" i="69"/>
  <c r="AC16" i="69"/>
  <c r="AB16" i="69"/>
  <c r="AA16" i="69"/>
  <c r="Z16" i="69"/>
  <c r="Y16" i="69"/>
  <c r="X16" i="69"/>
  <c r="W16" i="69"/>
  <c r="U16" i="69"/>
  <c r="T16" i="69"/>
  <c r="S16" i="69"/>
  <c r="R16" i="69"/>
  <c r="Q16" i="69"/>
  <c r="P16" i="69"/>
  <c r="O16" i="69"/>
  <c r="N16" i="69"/>
  <c r="I16" i="69"/>
  <c r="H16" i="69"/>
  <c r="G16" i="69"/>
  <c r="F16" i="69"/>
  <c r="E16" i="69"/>
  <c r="D16" i="69"/>
  <c r="C16" i="69"/>
  <c r="B16" i="69"/>
  <c r="A16" i="69"/>
  <c r="AM15" i="69"/>
  <c r="AL15" i="69"/>
  <c r="AK15" i="69"/>
  <c r="AJ15" i="69"/>
  <c r="AI15" i="69"/>
  <c r="AH15" i="69"/>
  <c r="AG15" i="69"/>
  <c r="AF15" i="69"/>
  <c r="AE15" i="69"/>
  <c r="AD15" i="69"/>
  <c r="AC15" i="69"/>
  <c r="AB15" i="69"/>
  <c r="AA15" i="69"/>
  <c r="Z15" i="69"/>
  <c r="Y15" i="69"/>
  <c r="X15" i="69"/>
  <c r="W15" i="69"/>
  <c r="U15" i="69"/>
  <c r="T15" i="69"/>
  <c r="S15" i="69"/>
  <c r="R15" i="69"/>
  <c r="Q15" i="69"/>
  <c r="P15" i="69"/>
  <c r="O15" i="69"/>
  <c r="N15" i="69"/>
  <c r="I15" i="69"/>
  <c r="H15" i="69"/>
  <c r="G15" i="69"/>
  <c r="F15" i="69"/>
  <c r="E15" i="69"/>
  <c r="D15" i="69"/>
  <c r="C15" i="69"/>
  <c r="B15" i="69"/>
  <c r="A15" i="69"/>
  <c r="AM14" i="69"/>
  <c r="AL14" i="69"/>
  <c r="AK14" i="69"/>
  <c r="AJ14" i="69"/>
  <c r="AI14" i="69"/>
  <c r="AH14" i="69"/>
  <c r="AG14" i="69"/>
  <c r="AF14" i="69"/>
  <c r="AE14" i="69"/>
  <c r="AD14" i="69"/>
  <c r="AC14" i="69"/>
  <c r="AB14" i="69"/>
  <c r="AA14" i="69"/>
  <c r="X14" i="69"/>
  <c r="W14" i="69"/>
  <c r="Q14" i="69"/>
  <c r="P14" i="69"/>
  <c r="O14" i="69"/>
  <c r="N14" i="69"/>
  <c r="M14" i="69"/>
  <c r="I14" i="69"/>
  <c r="H14" i="69"/>
  <c r="G14" i="69"/>
  <c r="F14" i="69"/>
  <c r="E14" i="69"/>
  <c r="D14" i="69"/>
  <c r="C14" i="69"/>
  <c r="B14" i="69"/>
  <c r="A14" i="69"/>
  <c r="AM13" i="69"/>
  <c r="AL13" i="69"/>
  <c r="AK13" i="69"/>
  <c r="AJ13" i="69"/>
  <c r="AI13" i="69"/>
  <c r="AH13" i="69"/>
  <c r="AG13" i="69"/>
  <c r="AF13" i="69"/>
  <c r="AE13" i="69"/>
  <c r="AD13" i="69"/>
  <c r="AC13" i="69"/>
  <c r="AB13" i="69"/>
  <c r="AA13" i="69"/>
  <c r="Z13" i="69"/>
  <c r="Y13" i="69"/>
  <c r="X13" i="69"/>
  <c r="W13" i="69"/>
  <c r="U13" i="69"/>
  <c r="T13" i="69"/>
  <c r="S13" i="69"/>
  <c r="R13" i="69"/>
  <c r="Q13" i="69"/>
  <c r="P13" i="69"/>
  <c r="O13" i="69"/>
  <c r="N13" i="69"/>
  <c r="I13" i="69"/>
  <c r="H13" i="69"/>
  <c r="G13" i="69"/>
  <c r="F13" i="69"/>
  <c r="E13" i="69"/>
  <c r="D13" i="69"/>
  <c r="C13" i="69"/>
  <c r="B13" i="69"/>
  <c r="A13" i="69"/>
  <c r="AM12" i="69"/>
  <c r="AL12" i="69"/>
  <c r="AK12" i="69"/>
  <c r="AJ12" i="69"/>
  <c r="AI12" i="69"/>
  <c r="AH12" i="69"/>
  <c r="AG12" i="69"/>
  <c r="AF12" i="69"/>
  <c r="AE12" i="69"/>
  <c r="AD12" i="69"/>
  <c r="AC12" i="69"/>
  <c r="AB12" i="69"/>
  <c r="AA12" i="69"/>
  <c r="Z12" i="69"/>
  <c r="Y12" i="69"/>
  <c r="X12" i="69"/>
  <c r="W12" i="69"/>
  <c r="U12" i="69"/>
  <c r="T12" i="69"/>
  <c r="S12" i="69"/>
  <c r="R12" i="69"/>
  <c r="Q12" i="69"/>
  <c r="P12" i="69"/>
  <c r="O12" i="69"/>
  <c r="N12" i="69"/>
  <c r="I12" i="69"/>
  <c r="H12" i="69"/>
  <c r="G12" i="69"/>
  <c r="F12" i="69"/>
  <c r="E12" i="69"/>
  <c r="D12" i="69"/>
  <c r="C12" i="69"/>
  <c r="B12" i="69"/>
  <c r="A12" i="69"/>
  <c r="AM11" i="69"/>
  <c r="AL11" i="69"/>
  <c r="AK11" i="69"/>
  <c r="AJ11" i="69"/>
  <c r="AI11" i="69"/>
  <c r="AH11" i="69"/>
  <c r="AG11" i="69"/>
  <c r="AF11" i="69"/>
  <c r="AE11" i="69"/>
  <c r="AD11" i="69"/>
  <c r="AC11" i="69"/>
  <c r="AB11" i="69"/>
  <c r="AA11" i="69"/>
  <c r="X11" i="69"/>
  <c r="W11" i="69"/>
  <c r="U11" i="69"/>
  <c r="T11" i="69"/>
  <c r="R11" i="69"/>
  <c r="Q11" i="69"/>
  <c r="P11" i="69"/>
  <c r="O11" i="69"/>
  <c r="N11" i="69"/>
  <c r="M11" i="69"/>
  <c r="I11" i="69"/>
  <c r="H11" i="69"/>
  <c r="G11" i="69"/>
  <c r="F11" i="69"/>
  <c r="E11" i="69"/>
  <c r="D11" i="69"/>
  <c r="C11" i="69"/>
  <c r="B11" i="69"/>
  <c r="A11" i="69"/>
  <c r="M10" i="69"/>
  <c r="L10" i="69"/>
  <c r="L9" i="69"/>
  <c r="K9" i="69"/>
  <c r="K8" i="69"/>
  <c r="J8" i="69"/>
  <c r="X7" i="69"/>
  <c r="AM223" i="70"/>
  <c r="AL223" i="70"/>
  <c r="AK223" i="70"/>
  <c r="AJ223" i="70"/>
  <c r="AI223" i="70"/>
  <c r="AH223" i="70"/>
  <c r="AG223" i="70"/>
  <c r="AF223" i="70"/>
  <c r="AE223" i="70"/>
  <c r="AD223" i="70"/>
  <c r="AC223" i="70"/>
  <c r="AB223" i="70"/>
  <c r="AA223" i="70"/>
  <c r="Z223" i="70"/>
  <c r="Y223" i="70"/>
  <c r="X223" i="70"/>
  <c r="X222" i="70" s="1"/>
  <c r="W223" i="70"/>
  <c r="U223" i="70"/>
  <c r="T223" i="70"/>
  <c r="R223" i="70"/>
  <c r="Q223" i="70"/>
  <c r="P223" i="70"/>
  <c r="O223" i="70"/>
  <c r="N223" i="70"/>
  <c r="M223" i="70"/>
  <c r="I223" i="70"/>
  <c r="H223" i="70"/>
  <c r="G223" i="70"/>
  <c r="F223" i="70"/>
  <c r="E223" i="70"/>
  <c r="D223" i="70"/>
  <c r="C223" i="70"/>
  <c r="B223" i="70"/>
  <c r="A223" i="70"/>
  <c r="Z222" i="70"/>
  <c r="Y222" i="70"/>
  <c r="U222" i="70"/>
  <c r="T222" i="70"/>
  <c r="T221" i="70" s="1"/>
  <c r="R222" i="70"/>
  <c r="R221" i="70" s="1"/>
  <c r="M222" i="70"/>
  <c r="L222" i="70"/>
  <c r="Z221" i="70"/>
  <c r="Y221" i="70"/>
  <c r="U221" i="70"/>
  <c r="L221" i="70"/>
  <c r="K221" i="70"/>
  <c r="AM220" i="70"/>
  <c r="AL220" i="70"/>
  <c r="AK220" i="70"/>
  <c r="AJ220" i="70"/>
  <c r="AI220" i="70"/>
  <c r="AH220" i="70"/>
  <c r="AG220" i="70"/>
  <c r="AF220" i="70"/>
  <c r="AE220" i="70"/>
  <c r="AD220" i="70"/>
  <c r="AC220" i="70"/>
  <c r="AB220" i="70"/>
  <c r="AA220" i="70"/>
  <c r="X220" i="70"/>
  <c r="W220" i="70"/>
  <c r="U220" i="70"/>
  <c r="U219" i="70" s="1"/>
  <c r="U218" i="70" s="1"/>
  <c r="T220" i="70"/>
  <c r="R220" i="70"/>
  <c r="Q220" i="70"/>
  <c r="P220" i="70"/>
  <c r="O220" i="70"/>
  <c r="N220" i="70"/>
  <c r="M220" i="70"/>
  <c r="I220" i="70"/>
  <c r="H220" i="70"/>
  <c r="G220" i="70"/>
  <c r="F220" i="70"/>
  <c r="E220" i="70"/>
  <c r="D220" i="70"/>
  <c r="C220" i="70"/>
  <c r="B220" i="70"/>
  <c r="A220" i="70"/>
  <c r="T219" i="70"/>
  <c r="T218" i="70" s="1"/>
  <c r="R219" i="70"/>
  <c r="M219" i="70"/>
  <c r="L219" i="70"/>
  <c r="X218" i="70"/>
  <c r="W218" i="70"/>
  <c r="R218" i="70"/>
  <c r="L218" i="70"/>
  <c r="K218" i="70"/>
  <c r="AM217" i="70"/>
  <c r="AL217" i="70"/>
  <c r="AK217" i="70"/>
  <c r="AJ217" i="70"/>
  <c r="AI217" i="70"/>
  <c r="AH217" i="70"/>
  <c r="AG217" i="70"/>
  <c r="AF217" i="70"/>
  <c r="AE217" i="70"/>
  <c r="AD217" i="70"/>
  <c r="AC217" i="70"/>
  <c r="AB217" i="70"/>
  <c r="AA217" i="70"/>
  <c r="Y217" i="70"/>
  <c r="X217" i="70"/>
  <c r="W217" i="70"/>
  <c r="U217" i="70"/>
  <c r="T217" i="70"/>
  <c r="T216" i="70" s="1"/>
  <c r="R217" i="70"/>
  <c r="R216" i="70" s="1"/>
  <c r="R215" i="70" s="1"/>
  <c r="Q217" i="70"/>
  <c r="P217" i="70"/>
  <c r="O217" i="70"/>
  <c r="N217" i="70"/>
  <c r="M217" i="70"/>
  <c r="I217" i="70"/>
  <c r="H217" i="70"/>
  <c r="G217" i="70"/>
  <c r="F217" i="70"/>
  <c r="E217" i="70"/>
  <c r="D217" i="70"/>
  <c r="C217" i="70"/>
  <c r="B217" i="70"/>
  <c r="A217" i="70"/>
  <c r="Y216" i="70"/>
  <c r="Y215" i="70" s="1"/>
  <c r="X216" i="70"/>
  <c r="X215" i="70" s="1"/>
  <c r="U216" i="70"/>
  <c r="U215" i="70" s="1"/>
  <c r="M216" i="70"/>
  <c r="L216" i="70"/>
  <c r="T215" i="70"/>
  <c r="L215" i="70"/>
  <c r="K215" i="70"/>
  <c r="AM214" i="70"/>
  <c r="AL214" i="70"/>
  <c r="AK214" i="70"/>
  <c r="AJ214" i="70"/>
  <c r="AI214" i="70"/>
  <c r="AH214" i="70"/>
  <c r="AG214" i="70"/>
  <c r="AF214" i="70"/>
  <c r="AE214" i="70"/>
  <c r="AD214" i="70"/>
  <c r="AC214" i="70"/>
  <c r="AB214" i="70"/>
  <c r="AA214" i="70"/>
  <c r="X214" i="70"/>
  <c r="W214" i="70"/>
  <c r="U214" i="70"/>
  <c r="U213" i="70" s="1"/>
  <c r="T214" i="70"/>
  <c r="R214" i="70"/>
  <c r="Q214" i="70"/>
  <c r="P214" i="70"/>
  <c r="O214" i="70"/>
  <c r="N214" i="70"/>
  <c r="M214" i="70"/>
  <c r="I214" i="70"/>
  <c r="H214" i="70"/>
  <c r="G214" i="70"/>
  <c r="F214" i="70"/>
  <c r="E214" i="70"/>
  <c r="D214" i="70"/>
  <c r="C214" i="70"/>
  <c r="B214" i="70"/>
  <c r="A214" i="70"/>
  <c r="X213" i="70"/>
  <c r="T213" i="70"/>
  <c r="T212" i="70" s="1"/>
  <c r="R213" i="70"/>
  <c r="R212" i="70" s="1"/>
  <c r="M213" i="70"/>
  <c r="L213" i="70"/>
  <c r="X212" i="70"/>
  <c r="W212" i="70"/>
  <c r="U212" i="70"/>
  <c r="L212" i="70"/>
  <c r="K212" i="70"/>
  <c r="AM211" i="70"/>
  <c r="AL211" i="70"/>
  <c r="AK211" i="70"/>
  <c r="AJ211" i="70"/>
  <c r="AI211" i="70"/>
  <c r="AH211" i="70"/>
  <c r="AG211" i="70"/>
  <c r="AF211" i="70"/>
  <c r="AE211" i="70"/>
  <c r="AD211" i="70"/>
  <c r="AC211" i="70"/>
  <c r="AB211" i="70"/>
  <c r="AA211" i="70"/>
  <c r="Z211" i="70"/>
  <c r="Y211" i="70"/>
  <c r="X211" i="70"/>
  <c r="X209" i="70" s="1"/>
  <c r="W211" i="70"/>
  <c r="U211" i="70"/>
  <c r="T211" i="70"/>
  <c r="R211" i="70"/>
  <c r="R209" i="70" s="1"/>
  <c r="Q211" i="70"/>
  <c r="P211" i="70"/>
  <c r="O211" i="70"/>
  <c r="N211" i="70"/>
  <c r="M211" i="70"/>
  <c r="I211" i="70"/>
  <c r="H211" i="70"/>
  <c r="G211" i="70"/>
  <c r="F211" i="70"/>
  <c r="E211" i="70"/>
  <c r="D211" i="70"/>
  <c r="C211" i="70"/>
  <c r="B211" i="70"/>
  <c r="A211" i="70"/>
  <c r="AM210" i="70"/>
  <c r="AL210" i="70"/>
  <c r="AK210" i="70"/>
  <c r="AJ210" i="70"/>
  <c r="AI210" i="70"/>
  <c r="AH210" i="70"/>
  <c r="AG210" i="70"/>
  <c r="AF210" i="70"/>
  <c r="AE210" i="70"/>
  <c r="AD210" i="70"/>
  <c r="AC210" i="70"/>
  <c r="AB210" i="70"/>
  <c r="AA210" i="70"/>
  <c r="Z210" i="70"/>
  <c r="Z209" i="70" s="1"/>
  <c r="X210" i="70"/>
  <c r="W210" i="70"/>
  <c r="U210" i="70"/>
  <c r="U209" i="70" s="1"/>
  <c r="U199" i="70" s="1"/>
  <c r="T210" i="70"/>
  <c r="R210" i="70"/>
  <c r="Q210" i="70"/>
  <c r="P210" i="70"/>
  <c r="O210" i="70"/>
  <c r="N210" i="70"/>
  <c r="M210" i="70"/>
  <c r="I210" i="70"/>
  <c r="H210" i="70"/>
  <c r="G210" i="70"/>
  <c r="F210" i="70"/>
  <c r="E210" i="70"/>
  <c r="D210" i="70"/>
  <c r="C210" i="70"/>
  <c r="B210" i="70"/>
  <c r="A210" i="70"/>
  <c r="AD209" i="70"/>
  <c r="T209" i="70"/>
  <c r="M209" i="70"/>
  <c r="L209" i="70"/>
  <c r="AM208" i="70"/>
  <c r="AL208" i="70"/>
  <c r="AK208" i="70"/>
  <c r="AJ208" i="70"/>
  <c r="AI208" i="70"/>
  <c r="AH208" i="70"/>
  <c r="AG208" i="70"/>
  <c r="AF208" i="70"/>
  <c r="AE208" i="70"/>
  <c r="AD208" i="70"/>
  <c r="AC208" i="70"/>
  <c r="AB208" i="70"/>
  <c r="AA208" i="70"/>
  <c r="X208" i="70"/>
  <c r="W208" i="70"/>
  <c r="U208" i="70"/>
  <c r="T208" i="70"/>
  <c r="R208" i="70"/>
  <c r="Q208" i="70"/>
  <c r="P208" i="70"/>
  <c r="N208" i="70"/>
  <c r="I208" i="70"/>
  <c r="H208" i="70"/>
  <c r="G208" i="70"/>
  <c r="F208" i="70"/>
  <c r="E208" i="70"/>
  <c r="D208" i="70"/>
  <c r="C208" i="70"/>
  <c r="B208" i="70"/>
  <c r="A208" i="70"/>
  <c r="AM207" i="70"/>
  <c r="AL207" i="70"/>
  <c r="AK207" i="70"/>
  <c r="AJ207" i="70"/>
  <c r="AI207" i="70"/>
  <c r="AH207" i="70"/>
  <c r="AG207" i="70"/>
  <c r="AF207" i="70"/>
  <c r="AE207" i="70"/>
  <c r="AD207" i="70"/>
  <c r="AC207" i="70"/>
  <c r="AB207" i="70"/>
  <c r="AA207" i="70"/>
  <c r="Z207" i="70"/>
  <c r="Y207" i="70"/>
  <c r="X207" i="70"/>
  <c r="W207" i="70"/>
  <c r="U207" i="70"/>
  <c r="T207" i="70"/>
  <c r="R207" i="70"/>
  <c r="Q207" i="70"/>
  <c r="P207" i="70"/>
  <c r="N207" i="70"/>
  <c r="I207" i="70"/>
  <c r="H207" i="70"/>
  <c r="G207" i="70"/>
  <c r="F207" i="70"/>
  <c r="E207" i="70"/>
  <c r="D207" i="70"/>
  <c r="C207" i="70"/>
  <c r="B207" i="70"/>
  <c r="A207" i="70"/>
  <c r="AM206" i="70"/>
  <c r="AL206" i="70"/>
  <c r="AK206" i="70"/>
  <c r="AJ206" i="70"/>
  <c r="AI206" i="70"/>
  <c r="AH206" i="70"/>
  <c r="AG206" i="70"/>
  <c r="AF206" i="70"/>
  <c r="AE206" i="70"/>
  <c r="AD206" i="70"/>
  <c r="AC206" i="70"/>
  <c r="AB206" i="70"/>
  <c r="AA206" i="70"/>
  <c r="Z206" i="70"/>
  <c r="Y206" i="70"/>
  <c r="X206" i="70"/>
  <c r="W206" i="70"/>
  <c r="U206" i="70"/>
  <c r="T206" i="70"/>
  <c r="R206" i="70"/>
  <c r="Q206" i="70"/>
  <c r="P206" i="70"/>
  <c r="N206" i="70"/>
  <c r="I206" i="70"/>
  <c r="H206" i="70"/>
  <c r="G206" i="70"/>
  <c r="F206" i="70"/>
  <c r="E206" i="70"/>
  <c r="D206" i="70"/>
  <c r="C206" i="70"/>
  <c r="B206" i="70"/>
  <c r="A206" i="70"/>
  <c r="AM205" i="70"/>
  <c r="AL205" i="70"/>
  <c r="AK205" i="70"/>
  <c r="AJ205" i="70"/>
  <c r="AI205" i="70"/>
  <c r="AH205" i="70"/>
  <c r="AG205" i="70"/>
  <c r="AF205" i="70"/>
  <c r="AE205" i="70"/>
  <c r="AD205" i="70"/>
  <c r="AC205" i="70"/>
  <c r="AB205" i="70"/>
  <c r="AA205" i="70"/>
  <c r="X205" i="70"/>
  <c r="X200" i="70" s="1"/>
  <c r="X199" i="70" s="1"/>
  <c r="W205" i="70"/>
  <c r="U205" i="70"/>
  <c r="T205" i="70"/>
  <c r="R205" i="70"/>
  <c r="Q205" i="70"/>
  <c r="P205" i="70"/>
  <c r="O205" i="70"/>
  <c r="N205" i="70"/>
  <c r="M205" i="70"/>
  <c r="I205" i="70"/>
  <c r="H205" i="70"/>
  <c r="G205" i="70"/>
  <c r="F205" i="70"/>
  <c r="E205" i="70"/>
  <c r="D205" i="70"/>
  <c r="C205" i="70"/>
  <c r="B205" i="70"/>
  <c r="A205" i="70"/>
  <c r="AM204" i="70"/>
  <c r="AL204" i="70"/>
  <c r="AK204" i="70"/>
  <c r="AJ204" i="70"/>
  <c r="AI204" i="70"/>
  <c r="AH204" i="70"/>
  <c r="AG204" i="70"/>
  <c r="AF204" i="70"/>
  <c r="AE204" i="70"/>
  <c r="AD204" i="70"/>
  <c r="AC204" i="70"/>
  <c r="AB204" i="70"/>
  <c r="AA204" i="70"/>
  <c r="X204" i="70"/>
  <c r="W204" i="70"/>
  <c r="U204" i="70"/>
  <c r="T204" i="70"/>
  <c r="R204" i="70"/>
  <c r="Q204" i="70"/>
  <c r="P204" i="70"/>
  <c r="N204" i="70"/>
  <c r="I204" i="70"/>
  <c r="H204" i="70"/>
  <c r="G204" i="70"/>
  <c r="F204" i="70"/>
  <c r="E204" i="70"/>
  <c r="D204" i="70"/>
  <c r="C204" i="70"/>
  <c r="B204" i="70"/>
  <c r="A204" i="70"/>
  <c r="AM203" i="70"/>
  <c r="AL203" i="70"/>
  <c r="AK203" i="70"/>
  <c r="AJ203" i="70"/>
  <c r="AI203" i="70"/>
  <c r="AH203" i="70"/>
  <c r="AG203" i="70"/>
  <c r="AF203" i="70"/>
  <c r="AE203" i="70"/>
  <c r="AD203" i="70"/>
  <c r="AC203" i="70"/>
  <c r="AB203" i="70"/>
  <c r="AA203" i="70"/>
  <c r="Z203" i="70"/>
  <c r="Y203" i="70"/>
  <c r="X203" i="70"/>
  <c r="W203" i="70"/>
  <c r="U203" i="70"/>
  <c r="T203" i="70"/>
  <c r="R203" i="70"/>
  <c r="Q203" i="70"/>
  <c r="P203" i="70"/>
  <c r="N203" i="70"/>
  <c r="I203" i="70"/>
  <c r="H203" i="70"/>
  <c r="G203" i="70"/>
  <c r="F203" i="70"/>
  <c r="E203" i="70"/>
  <c r="D203" i="70"/>
  <c r="C203" i="70"/>
  <c r="B203" i="70"/>
  <c r="A203" i="70"/>
  <c r="AM202" i="70"/>
  <c r="AL202" i="70"/>
  <c r="AK202" i="70"/>
  <c r="AJ202" i="70"/>
  <c r="AI202" i="70"/>
  <c r="AH202" i="70"/>
  <c r="AG202" i="70"/>
  <c r="AF202" i="70"/>
  <c r="AE202" i="70"/>
  <c r="AD202" i="70"/>
  <c r="AC202" i="70"/>
  <c r="AB202" i="70"/>
  <c r="AA202" i="70"/>
  <c r="Z202" i="70"/>
  <c r="Y202" i="70"/>
  <c r="X202" i="70"/>
  <c r="W202" i="70"/>
  <c r="U202" i="70"/>
  <c r="T202" i="70"/>
  <c r="R202" i="70"/>
  <c r="Q202" i="70"/>
  <c r="P202" i="70"/>
  <c r="N202" i="70"/>
  <c r="I202" i="70"/>
  <c r="H202" i="70"/>
  <c r="G202" i="70"/>
  <c r="F202" i="70"/>
  <c r="E202" i="70"/>
  <c r="D202" i="70"/>
  <c r="C202" i="70"/>
  <c r="B202" i="70"/>
  <c r="A202" i="70"/>
  <c r="AM201" i="70"/>
  <c r="AL201" i="70"/>
  <c r="AK201" i="70"/>
  <c r="AJ201" i="70"/>
  <c r="AI201" i="70"/>
  <c r="AH201" i="70"/>
  <c r="AG201" i="70"/>
  <c r="AF201" i="70"/>
  <c r="AE201" i="70"/>
  <c r="AD201" i="70"/>
  <c r="AC201" i="70"/>
  <c r="AB201" i="70"/>
  <c r="AA201" i="70"/>
  <c r="X201" i="70"/>
  <c r="W201" i="70"/>
  <c r="U201" i="70"/>
  <c r="U200" i="70" s="1"/>
  <c r="T201" i="70"/>
  <c r="R201" i="70"/>
  <c r="Q201" i="70"/>
  <c r="P201" i="70"/>
  <c r="O201" i="70"/>
  <c r="N201" i="70"/>
  <c r="M201" i="70"/>
  <c r="I201" i="70"/>
  <c r="H201" i="70"/>
  <c r="G201" i="70"/>
  <c r="F201" i="70"/>
  <c r="E201" i="70"/>
  <c r="D201" i="70"/>
  <c r="C201" i="70"/>
  <c r="B201" i="70"/>
  <c r="A201" i="70"/>
  <c r="T200" i="70"/>
  <c r="T199" i="70" s="1"/>
  <c r="R200" i="70"/>
  <c r="R199" i="70" s="1"/>
  <c r="M200" i="70"/>
  <c r="L200" i="70"/>
  <c r="L199" i="70"/>
  <c r="K199" i="70"/>
  <c r="AM198" i="70"/>
  <c r="AL198" i="70"/>
  <c r="AK198" i="70"/>
  <c r="AJ198" i="70"/>
  <c r="AI198" i="70"/>
  <c r="AH198" i="70"/>
  <c r="AG198" i="70"/>
  <c r="AF198" i="70"/>
  <c r="AE198" i="70"/>
  <c r="AD198" i="70"/>
  <c r="AC198" i="70"/>
  <c r="AB198" i="70"/>
  <c r="AA198" i="70"/>
  <c r="Z198" i="70"/>
  <c r="X198" i="70"/>
  <c r="W198" i="70"/>
  <c r="U198" i="70"/>
  <c r="T198" i="70"/>
  <c r="R198" i="70"/>
  <c r="R197" i="70" s="1"/>
  <c r="Q198" i="70"/>
  <c r="P198" i="70"/>
  <c r="O198" i="70"/>
  <c r="N198" i="70"/>
  <c r="M198" i="70"/>
  <c r="I198" i="70"/>
  <c r="H198" i="70"/>
  <c r="G198" i="70"/>
  <c r="F198" i="70"/>
  <c r="E198" i="70"/>
  <c r="D198" i="70"/>
  <c r="C198" i="70"/>
  <c r="B198" i="70"/>
  <c r="A198" i="70"/>
  <c r="Z197" i="70"/>
  <c r="X197" i="70"/>
  <c r="X196" i="70" s="1"/>
  <c r="U197" i="70"/>
  <c r="U196" i="70" s="1"/>
  <c r="T197" i="70"/>
  <c r="T196" i="70" s="1"/>
  <c r="M197" i="70"/>
  <c r="L197" i="70"/>
  <c r="Z196" i="70"/>
  <c r="R196" i="70"/>
  <c r="L196" i="70"/>
  <c r="K196" i="70"/>
  <c r="AM195" i="70"/>
  <c r="AL195" i="70"/>
  <c r="AK195" i="70"/>
  <c r="AJ195" i="70"/>
  <c r="AI195" i="70"/>
  <c r="AH195" i="70"/>
  <c r="AG195" i="70"/>
  <c r="AF195" i="70"/>
  <c r="AE195" i="70"/>
  <c r="AD195" i="70"/>
  <c r="AC195" i="70"/>
  <c r="AB195" i="70"/>
  <c r="AA195" i="70"/>
  <c r="X195" i="70"/>
  <c r="W195" i="70"/>
  <c r="V195" i="70"/>
  <c r="U195" i="70"/>
  <c r="T195" i="70"/>
  <c r="R195" i="70"/>
  <c r="Q195" i="70"/>
  <c r="P195" i="70"/>
  <c r="N195" i="70"/>
  <c r="I195" i="70"/>
  <c r="H195" i="70"/>
  <c r="G195" i="70"/>
  <c r="F195" i="70"/>
  <c r="E195" i="70"/>
  <c r="D195" i="70"/>
  <c r="C195" i="70"/>
  <c r="B195" i="70"/>
  <c r="A195" i="70"/>
  <c r="AM194" i="70"/>
  <c r="AL194" i="70"/>
  <c r="AK194" i="70"/>
  <c r="AJ194" i="70"/>
  <c r="AI194" i="70"/>
  <c r="AH194" i="70"/>
  <c r="AG194" i="70"/>
  <c r="AF194" i="70"/>
  <c r="AE194" i="70"/>
  <c r="AD194" i="70"/>
  <c r="AC194" i="70"/>
  <c r="AB194" i="70"/>
  <c r="AA194" i="70"/>
  <c r="Z194" i="70"/>
  <c r="Y194" i="70"/>
  <c r="X194" i="70"/>
  <c r="W194" i="70"/>
  <c r="V194" i="70"/>
  <c r="U194" i="70"/>
  <c r="T194" i="70"/>
  <c r="R194" i="70"/>
  <c r="Q194" i="70"/>
  <c r="P194" i="70"/>
  <c r="N194" i="70"/>
  <c r="I194" i="70"/>
  <c r="H194" i="70"/>
  <c r="G194" i="70"/>
  <c r="F194" i="70"/>
  <c r="E194" i="70"/>
  <c r="D194" i="70"/>
  <c r="C194" i="70"/>
  <c r="B194" i="70"/>
  <c r="A194" i="70"/>
  <c r="AM193" i="70"/>
  <c r="AL193" i="70"/>
  <c r="AK193" i="70"/>
  <c r="AJ193" i="70"/>
  <c r="AI193" i="70"/>
  <c r="AH193" i="70"/>
  <c r="AG193" i="70"/>
  <c r="AF193" i="70"/>
  <c r="AE193" i="70"/>
  <c r="AD193" i="70"/>
  <c r="AC193" i="70"/>
  <c r="AB193" i="70"/>
  <c r="AA193" i="70"/>
  <c r="Z193" i="70"/>
  <c r="Y193" i="70"/>
  <c r="X193" i="70"/>
  <c r="W193" i="70"/>
  <c r="U193" i="70"/>
  <c r="R193" i="70"/>
  <c r="Q193" i="70"/>
  <c r="P193" i="70"/>
  <c r="N193" i="70"/>
  <c r="I193" i="70"/>
  <c r="H193" i="70"/>
  <c r="G193" i="70"/>
  <c r="F193" i="70"/>
  <c r="E193" i="70"/>
  <c r="D193" i="70"/>
  <c r="C193" i="70"/>
  <c r="B193" i="70"/>
  <c r="A193" i="70"/>
  <c r="AM192" i="70"/>
  <c r="AL192" i="70"/>
  <c r="AK192" i="70"/>
  <c r="AJ192" i="70"/>
  <c r="AI192" i="70"/>
  <c r="AH192" i="70"/>
  <c r="AG192" i="70"/>
  <c r="AF192" i="70"/>
  <c r="AE192" i="70"/>
  <c r="AD192" i="70"/>
  <c r="AC192" i="70"/>
  <c r="AB192" i="70"/>
  <c r="AA192" i="70"/>
  <c r="X192" i="70"/>
  <c r="X191" i="70" s="1"/>
  <c r="W192" i="70"/>
  <c r="U192" i="70"/>
  <c r="R192" i="70"/>
  <c r="Q192" i="70"/>
  <c r="P192" i="70"/>
  <c r="O192" i="70"/>
  <c r="N192" i="70"/>
  <c r="M192" i="70"/>
  <c r="I192" i="70"/>
  <c r="H192" i="70"/>
  <c r="G192" i="70"/>
  <c r="F192" i="70"/>
  <c r="E192" i="70"/>
  <c r="D192" i="70"/>
  <c r="C192" i="70"/>
  <c r="B192" i="70"/>
  <c r="A192" i="70"/>
  <c r="U191" i="70"/>
  <c r="R191" i="70"/>
  <c r="M191" i="70"/>
  <c r="L191" i="70"/>
  <c r="AM190" i="70"/>
  <c r="AL190" i="70"/>
  <c r="AK190" i="70"/>
  <c r="AJ190" i="70"/>
  <c r="AI190" i="70"/>
  <c r="AH190" i="70"/>
  <c r="AG190" i="70"/>
  <c r="AF190" i="70"/>
  <c r="AE190" i="70"/>
  <c r="AD190" i="70"/>
  <c r="AC190" i="70"/>
  <c r="AB190" i="70"/>
  <c r="AA190" i="70"/>
  <c r="Z190" i="70"/>
  <c r="X190" i="70"/>
  <c r="W190" i="70"/>
  <c r="U190" i="70"/>
  <c r="U189" i="70" s="1"/>
  <c r="R190" i="70"/>
  <c r="R189" i="70" s="1"/>
  <c r="Q190" i="70"/>
  <c r="P190" i="70"/>
  <c r="O190" i="70"/>
  <c r="N190" i="70"/>
  <c r="M190" i="70"/>
  <c r="I190" i="70"/>
  <c r="H190" i="70"/>
  <c r="G190" i="70"/>
  <c r="F190" i="70"/>
  <c r="E190" i="70"/>
  <c r="D190" i="70"/>
  <c r="C190" i="70"/>
  <c r="B190" i="70"/>
  <c r="A190" i="70"/>
  <c r="Z189" i="70"/>
  <c r="X189" i="70"/>
  <c r="M189" i="70"/>
  <c r="L189" i="70"/>
  <c r="AM188" i="70"/>
  <c r="AL188" i="70"/>
  <c r="AK188" i="70"/>
  <c r="AJ188" i="70"/>
  <c r="AI188" i="70"/>
  <c r="AH188" i="70"/>
  <c r="AG188" i="70"/>
  <c r="AF188" i="70"/>
  <c r="AE188" i="70"/>
  <c r="AD188" i="70"/>
  <c r="AC188" i="70"/>
  <c r="AB188" i="70"/>
  <c r="AA188" i="70"/>
  <c r="Z188" i="70"/>
  <c r="Y188" i="70"/>
  <c r="X188" i="70"/>
  <c r="W188" i="70"/>
  <c r="U188" i="70"/>
  <c r="U187" i="70" s="1"/>
  <c r="R188" i="70"/>
  <c r="R187" i="70" s="1"/>
  <c r="Q188" i="70"/>
  <c r="P188" i="70"/>
  <c r="O188" i="70"/>
  <c r="N188" i="70"/>
  <c r="M188" i="70"/>
  <c r="I188" i="70"/>
  <c r="H188" i="70"/>
  <c r="G188" i="70"/>
  <c r="F188" i="70"/>
  <c r="E188" i="70"/>
  <c r="D188" i="70"/>
  <c r="C188" i="70"/>
  <c r="B188" i="70"/>
  <c r="A188" i="70"/>
  <c r="Z187" i="70"/>
  <c r="Y187" i="70"/>
  <c r="X187" i="70"/>
  <c r="M187" i="70"/>
  <c r="L187" i="70"/>
  <c r="AM186" i="70"/>
  <c r="AL186" i="70"/>
  <c r="AK186" i="70"/>
  <c r="AJ186" i="70"/>
  <c r="AI186" i="70"/>
  <c r="AH186" i="70"/>
  <c r="AG186" i="70"/>
  <c r="AF186" i="70"/>
  <c r="AE186" i="70"/>
  <c r="AD186" i="70"/>
  <c r="AC186" i="70"/>
  <c r="AB186" i="70"/>
  <c r="AA186" i="70"/>
  <c r="Z186" i="70"/>
  <c r="Y186" i="70"/>
  <c r="X186" i="70"/>
  <c r="W186" i="70"/>
  <c r="U186" i="70"/>
  <c r="U185" i="70" s="1"/>
  <c r="R186" i="70"/>
  <c r="R185" i="70" s="1"/>
  <c r="R184" i="70" s="1"/>
  <c r="Q186" i="70"/>
  <c r="P186" i="70"/>
  <c r="O186" i="70"/>
  <c r="N186" i="70"/>
  <c r="M186" i="70"/>
  <c r="I186" i="70"/>
  <c r="H186" i="70"/>
  <c r="G186" i="70"/>
  <c r="F186" i="70"/>
  <c r="E186" i="70"/>
  <c r="D186" i="70"/>
  <c r="C186" i="70"/>
  <c r="B186" i="70"/>
  <c r="A186" i="70"/>
  <c r="Z185" i="70"/>
  <c r="Y185" i="70"/>
  <c r="X185" i="70"/>
  <c r="M185" i="70"/>
  <c r="L185" i="70"/>
  <c r="X184" i="70"/>
  <c r="L184" i="70"/>
  <c r="K184" i="70"/>
  <c r="AM183" i="70"/>
  <c r="AL183" i="70"/>
  <c r="AK183" i="70"/>
  <c r="AJ183" i="70"/>
  <c r="AI183" i="70"/>
  <c r="AH183" i="70"/>
  <c r="AG183" i="70"/>
  <c r="AF183" i="70"/>
  <c r="AE183" i="70"/>
  <c r="AD183" i="70"/>
  <c r="AC183" i="70"/>
  <c r="AB183" i="70"/>
  <c r="AA183" i="70"/>
  <c r="Z183" i="70"/>
  <c r="Z182" i="70" s="1"/>
  <c r="Z181" i="70" s="1"/>
  <c r="Y183" i="70"/>
  <c r="Y182" i="70" s="1"/>
  <c r="X183" i="70"/>
  <c r="X182" i="70" s="1"/>
  <c r="X181" i="70" s="1"/>
  <c r="W183" i="70"/>
  <c r="V183" i="70"/>
  <c r="V182" i="70" s="1"/>
  <c r="V181" i="70" s="1"/>
  <c r="U183" i="70"/>
  <c r="T183" i="70"/>
  <c r="T182" i="70" s="1"/>
  <c r="T181" i="70" s="1"/>
  <c r="R183" i="70"/>
  <c r="Q183" i="70"/>
  <c r="P183" i="70"/>
  <c r="O183" i="70"/>
  <c r="N183" i="70"/>
  <c r="M183" i="70"/>
  <c r="I183" i="70"/>
  <c r="H183" i="70"/>
  <c r="G183" i="70"/>
  <c r="F183" i="70"/>
  <c r="E183" i="70"/>
  <c r="D183" i="70"/>
  <c r="C183" i="70"/>
  <c r="B183" i="70"/>
  <c r="A183" i="70"/>
  <c r="U182" i="70"/>
  <c r="U181" i="70" s="1"/>
  <c r="R182" i="70"/>
  <c r="R181" i="70" s="1"/>
  <c r="M182" i="70"/>
  <c r="L182" i="70"/>
  <c r="Y181" i="70"/>
  <c r="L181" i="70"/>
  <c r="K181" i="70"/>
  <c r="AM180" i="70"/>
  <c r="AL180" i="70"/>
  <c r="AK180" i="70"/>
  <c r="AJ180" i="70"/>
  <c r="AI180" i="70"/>
  <c r="AH180" i="70"/>
  <c r="AG180" i="70"/>
  <c r="AF180" i="70"/>
  <c r="AE180" i="70"/>
  <c r="AD180" i="70"/>
  <c r="AC180" i="70"/>
  <c r="AB180" i="70"/>
  <c r="AA180" i="70"/>
  <c r="Z180" i="70"/>
  <c r="Y180" i="70"/>
  <c r="X180" i="70"/>
  <c r="W180" i="70"/>
  <c r="U180" i="70"/>
  <c r="T180" i="70"/>
  <c r="R180" i="70"/>
  <c r="Q180" i="70"/>
  <c r="P180" i="70"/>
  <c r="N180" i="70"/>
  <c r="I180" i="70"/>
  <c r="H180" i="70"/>
  <c r="G180" i="70"/>
  <c r="F180" i="70"/>
  <c r="E180" i="70"/>
  <c r="D180" i="70"/>
  <c r="C180" i="70"/>
  <c r="B180" i="70"/>
  <c r="A180" i="70"/>
  <c r="AM179" i="70"/>
  <c r="AL179" i="70"/>
  <c r="AK179" i="70"/>
  <c r="AJ179" i="70"/>
  <c r="AI179" i="70"/>
  <c r="AH179" i="70"/>
  <c r="AG179" i="70"/>
  <c r="AF179" i="70"/>
  <c r="AE179" i="70"/>
  <c r="AD179" i="70"/>
  <c r="AC179" i="70"/>
  <c r="AB179" i="70"/>
  <c r="AA179" i="70"/>
  <c r="Z179" i="70"/>
  <c r="Y179" i="70"/>
  <c r="X179" i="70"/>
  <c r="W179" i="70"/>
  <c r="U179" i="70"/>
  <c r="T179" i="70"/>
  <c r="R179" i="70"/>
  <c r="Q179" i="70"/>
  <c r="P179" i="70"/>
  <c r="N179" i="70"/>
  <c r="I179" i="70"/>
  <c r="H179" i="70"/>
  <c r="G179" i="70"/>
  <c r="F179" i="70"/>
  <c r="E179" i="70"/>
  <c r="D179" i="70"/>
  <c r="C179" i="70"/>
  <c r="B179" i="70"/>
  <c r="A179" i="70"/>
  <c r="AM178" i="70"/>
  <c r="AL178" i="70"/>
  <c r="AK178" i="70"/>
  <c r="AJ178" i="70"/>
  <c r="AI178" i="70"/>
  <c r="AH178" i="70"/>
  <c r="AG178" i="70"/>
  <c r="AF178" i="70"/>
  <c r="AE178" i="70"/>
  <c r="AD178" i="70"/>
  <c r="AC178" i="70"/>
  <c r="AB178" i="70"/>
  <c r="AA178" i="70"/>
  <c r="Z178" i="70"/>
  <c r="Y178" i="70"/>
  <c r="X178" i="70"/>
  <c r="W178" i="70"/>
  <c r="U178" i="70"/>
  <c r="T178" i="70"/>
  <c r="R178" i="70"/>
  <c r="Q178" i="70"/>
  <c r="P178" i="70"/>
  <c r="N178" i="70"/>
  <c r="I178" i="70"/>
  <c r="H178" i="70"/>
  <c r="G178" i="70"/>
  <c r="F178" i="70"/>
  <c r="E178" i="70"/>
  <c r="D178" i="70"/>
  <c r="C178" i="70"/>
  <c r="B178" i="70"/>
  <c r="A178" i="70"/>
  <c r="AM177" i="70"/>
  <c r="AL177" i="70"/>
  <c r="AK177" i="70"/>
  <c r="AJ177" i="70"/>
  <c r="AI177" i="70"/>
  <c r="AH177" i="70"/>
  <c r="AG177" i="70"/>
  <c r="AF177" i="70"/>
  <c r="AE177" i="70"/>
  <c r="AD177" i="70"/>
  <c r="AC177" i="70"/>
  <c r="AB177" i="70"/>
  <c r="AA177" i="70"/>
  <c r="Z177" i="70"/>
  <c r="Y177" i="70"/>
  <c r="X177" i="70"/>
  <c r="W177" i="70"/>
  <c r="U177" i="70"/>
  <c r="T177" i="70"/>
  <c r="R177" i="70"/>
  <c r="Q177" i="70"/>
  <c r="P177" i="70"/>
  <c r="N177" i="70"/>
  <c r="I177" i="70"/>
  <c r="H177" i="70"/>
  <c r="G177" i="70"/>
  <c r="F177" i="70"/>
  <c r="E177" i="70"/>
  <c r="D177" i="70"/>
  <c r="C177" i="70"/>
  <c r="B177" i="70"/>
  <c r="A177" i="70"/>
  <c r="AM176" i="70"/>
  <c r="AL176" i="70"/>
  <c r="AK176" i="70"/>
  <c r="AJ176" i="70"/>
  <c r="AI176" i="70"/>
  <c r="AH176" i="70"/>
  <c r="AG176" i="70"/>
  <c r="AF176" i="70"/>
  <c r="AE176" i="70"/>
  <c r="AD176" i="70"/>
  <c r="AC176" i="70"/>
  <c r="AB176" i="70"/>
  <c r="AA176" i="70"/>
  <c r="Z176" i="70"/>
  <c r="Y176" i="70"/>
  <c r="X176" i="70"/>
  <c r="W176" i="70"/>
  <c r="U176" i="70"/>
  <c r="T176" i="70"/>
  <c r="R176" i="70"/>
  <c r="Q176" i="70"/>
  <c r="P176" i="70"/>
  <c r="N176" i="70"/>
  <c r="I176" i="70"/>
  <c r="H176" i="70"/>
  <c r="G176" i="70"/>
  <c r="F176" i="70"/>
  <c r="E176" i="70"/>
  <c r="D176" i="70"/>
  <c r="C176" i="70"/>
  <c r="B176" i="70"/>
  <c r="A176" i="70"/>
  <c r="AM175" i="70"/>
  <c r="AL175" i="70"/>
  <c r="AK175" i="70"/>
  <c r="AJ175" i="70"/>
  <c r="AI175" i="70"/>
  <c r="AH175" i="70"/>
  <c r="AG175" i="70"/>
  <c r="AF175" i="70"/>
  <c r="AE175" i="70"/>
  <c r="AD175" i="70"/>
  <c r="AC175" i="70"/>
  <c r="AB175" i="70"/>
  <c r="AA175" i="70"/>
  <c r="Z175" i="70"/>
  <c r="Y175" i="70"/>
  <c r="X175" i="70"/>
  <c r="W175" i="70"/>
  <c r="U175" i="70"/>
  <c r="T175" i="70"/>
  <c r="R175" i="70"/>
  <c r="Q175" i="70"/>
  <c r="P175" i="70"/>
  <c r="N175" i="70"/>
  <c r="I175" i="70"/>
  <c r="H175" i="70"/>
  <c r="G175" i="70"/>
  <c r="F175" i="70"/>
  <c r="E175" i="70"/>
  <c r="D175" i="70"/>
  <c r="C175" i="70"/>
  <c r="B175" i="70"/>
  <c r="A175" i="70"/>
  <c r="AM174" i="70"/>
  <c r="AL174" i="70"/>
  <c r="AK174" i="70"/>
  <c r="AJ174" i="70"/>
  <c r="AI174" i="70"/>
  <c r="AH174" i="70"/>
  <c r="AG174" i="70"/>
  <c r="AF174" i="70"/>
  <c r="AE174" i="70"/>
  <c r="AD174" i="70"/>
  <c r="AC174" i="70"/>
  <c r="AB174" i="70"/>
  <c r="AA174" i="70"/>
  <c r="X174" i="70"/>
  <c r="W174" i="70"/>
  <c r="Q174" i="70"/>
  <c r="P174" i="70"/>
  <c r="O174" i="70"/>
  <c r="N174" i="70"/>
  <c r="M174" i="70"/>
  <c r="I174" i="70"/>
  <c r="H174" i="70"/>
  <c r="G174" i="70"/>
  <c r="F174" i="70"/>
  <c r="E174" i="70"/>
  <c r="D174" i="70"/>
  <c r="C174" i="70"/>
  <c r="B174" i="70"/>
  <c r="A174" i="70"/>
  <c r="X173" i="70"/>
  <c r="X172" i="70" s="1"/>
  <c r="M173" i="70"/>
  <c r="L173" i="70"/>
  <c r="L172" i="70"/>
  <c r="K172" i="70"/>
  <c r="AM171" i="70"/>
  <c r="AL171" i="70"/>
  <c r="AK171" i="70"/>
  <c r="AJ171" i="70"/>
  <c r="AI171" i="70"/>
  <c r="AH171" i="70"/>
  <c r="AG171" i="70"/>
  <c r="AF171" i="70"/>
  <c r="AE171" i="70"/>
  <c r="AD171" i="70"/>
  <c r="AC171" i="70"/>
  <c r="AB171" i="70"/>
  <c r="AA171" i="70"/>
  <c r="Z171" i="70"/>
  <c r="Y171" i="70"/>
  <c r="X171" i="70"/>
  <c r="W171" i="70"/>
  <c r="U171" i="70"/>
  <c r="T171" i="70"/>
  <c r="R171" i="70"/>
  <c r="Q171" i="70"/>
  <c r="P171" i="70"/>
  <c r="N171" i="70"/>
  <c r="I171" i="70"/>
  <c r="H171" i="70"/>
  <c r="G171" i="70"/>
  <c r="F171" i="70"/>
  <c r="E171" i="70"/>
  <c r="D171" i="70"/>
  <c r="C171" i="70"/>
  <c r="B171" i="70"/>
  <c r="A171" i="70"/>
  <c r="AM170" i="70"/>
  <c r="AL170" i="70"/>
  <c r="AK170" i="70"/>
  <c r="AJ170" i="70"/>
  <c r="AI170" i="70"/>
  <c r="AH170" i="70"/>
  <c r="AG170" i="70"/>
  <c r="AF170" i="70"/>
  <c r="AE170" i="70"/>
  <c r="AD170" i="70"/>
  <c r="AC170" i="70"/>
  <c r="AB170" i="70"/>
  <c r="AA170" i="70"/>
  <c r="Z170" i="70"/>
  <c r="Y170" i="70"/>
  <c r="X170" i="70"/>
  <c r="W170" i="70"/>
  <c r="U170" i="70"/>
  <c r="T170" i="70"/>
  <c r="R170" i="70"/>
  <c r="Q170" i="70"/>
  <c r="P170" i="70"/>
  <c r="N170" i="70"/>
  <c r="I170" i="70"/>
  <c r="H170" i="70"/>
  <c r="G170" i="70"/>
  <c r="F170" i="70"/>
  <c r="E170" i="70"/>
  <c r="D170" i="70"/>
  <c r="C170" i="70"/>
  <c r="B170" i="70"/>
  <c r="A170" i="70"/>
  <c r="AM169" i="70"/>
  <c r="AL169" i="70"/>
  <c r="AK169" i="70"/>
  <c r="AJ169" i="70"/>
  <c r="AI169" i="70"/>
  <c r="AH169" i="70"/>
  <c r="AG169" i="70"/>
  <c r="AF169" i="70"/>
  <c r="AE169" i="70"/>
  <c r="AD169" i="70"/>
  <c r="AC169" i="70"/>
  <c r="AB169" i="70"/>
  <c r="AA169" i="70"/>
  <c r="Z169" i="70"/>
  <c r="Y169" i="70"/>
  <c r="X169" i="70"/>
  <c r="W169" i="70"/>
  <c r="U169" i="70"/>
  <c r="T169" i="70"/>
  <c r="R169" i="70"/>
  <c r="Q169" i="70"/>
  <c r="P169" i="70"/>
  <c r="N169" i="70"/>
  <c r="I169" i="70"/>
  <c r="H169" i="70"/>
  <c r="G169" i="70"/>
  <c r="F169" i="70"/>
  <c r="E169" i="70"/>
  <c r="D169" i="70"/>
  <c r="C169" i="70"/>
  <c r="B169" i="70"/>
  <c r="A169" i="70"/>
  <c r="AM168" i="70"/>
  <c r="AL168" i="70"/>
  <c r="AK168" i="70"/>
  <c r="AJ168" i="70"/>
  <c r="AI168" i="70"/>
  <c r="AH168" i="70"/>
  <c r="AG168" i="70"/>
  <c r="AF168" i="70"/>
  <c r="AE168" i="70"/>
  <c r="AD168" i="70"/>
  <c r="AC168" i="70"/>
  <c r="AB168" i="70"/>
  <c r="AA168" i="70"/>
  <c r="Z168" i="70"/>
  <c r="Y168" i="70"/>
  <c r="X168" i="70"/>
  <c r="W168" i="70"/>
  <c r="U168" i="70"/>
  <c r="T168" i="70"/>
  <c r="R168" i="70"/>
  <c r="Q168" i="70"/>
  <c r="P168" i="70"/>
  <c r="N168" i="70"/>
  <c r="I168" i="70"/>
  <c r="H168" i="70"/>
  <c r="G168" i="70"/>
  <c r="F168" i="70"/>
  <c r="E168" i="70"/>
  <c r="D168" i="70"/>
  <c r="C168" i="70"/>
  <c r="B168" i="70"/>
  <c r="A168" i="70"/>
  <c r="AM167" i="70"/>
  <c r="AL167" i="70"/>
  <c r="AK167" i="70"/>
  <c r="AJ167" i="70"/>
  <c r="AI167" i="70"/>
  <c r="AH167" i="70"/>
  <c r="AG167" i="70"/>
  <c r="AF167" i="70"/>
  <c r="AE167" i="70"/>
  <c r="AD167" i="70"/>
  <c r="AC167" i="70"/>
  <c r="AB167" i="70"/>
  <c r="AA167" i="70"/>
  <c r="Z167" i="70"/>
  <c r="Y167" i="70"/>
  <c r="X167" i="70"/>
  <c r="W167" i="70"/>
  <c r="U167" i="70"/>
  <c r="T167" i="70"/>
  <c r="R167" i="70"/>
  <c r="Q167" i="70"/>
  <c r="P167" i="70"/>
  <c r="N167" i="70"/>
  <c r="I167" i="70"/>
  <c r="H167" i="70"/>
  <c r="G167" i="70"/>
  <c r="F167" i="70"/>
  <c r="E167" i="70"/>
  <c r="D167" i="70"/>
  <c r="C167" i="70"/>
  <c r="B167" i="70"/>
  <c r="A167" i="70"/>
  <c r="AM166" i="70"/>
  <c r="AL166" i="70"/>
  <c r="AK166" i="70"/>
  <c r="AJ166" i="70"/>
  <c r="AI166" i="70"/>
  <c r="AH166" i="70"/>
  <c r="AG166" i="70"/>
  <c r="AF166" i="70"/>
  <c r="AE166" i="70"/>
  <c r="AD166" i="70"/>
  <c r="AC166" i="70"/>
  <c r="AB166" i="70"/>
  <c r="AA166" i="70"/>
  <c r="Z166" i="70"/>
  <c r="Y166" i="70"/>
  <c r="X166" i="70"/>
  <c r="W166" i="70"/>
  <c r="U166" i="70"/>
  <c r="T166" i="70"/>
  <c r="R166" i="70"/>
  <c r="Q166" i="70"/>
  <c r="P166" i="70"/>
  <c r="N166" i="70"/>
  <c r="I166" i="70"/>
  <c r="H166" i="70"/>
  <c r="G166" i="70"/>
  <c r="F166" i="70"/>
  <c r="E166" i="70"/>
  <c r="D166" i="70"/>
  <c r="C166" i="70"/>
  <c r="B166" i="70"/>
  <c r="A166" i="70"/>
  <c r="AM165" i="70"/>
  <c r="AL165" i="70"/>
  <c r="AK165" i="70"/>
  <c r="AJ165" i="70"/>
  <c r="AI165" i="70"/>
  <c r="AH165" i="70"/>
  <c r="AG165" i="70"/>
  <c r="AF165" i="70"/>
  <c r="AE165" i="70"/>
  <c r="AD165" i="70"/>
  <c r="AC165" i="70"/>
  <c r="AB165" i="70"/>
  <c r="AA165" i="70"/>
  <c r="Z165" i="70"/>
  <c r="Y165" i="70"/>
  <c r="X165" i="70"/>
  <c r="W165" i="70"/>
  <c r="U165" i="70"/>
  <c r="T165" i="70"/>
  <c r="R165" i="70"/>
  <c r="Q165" i="70"/>
  <c r="P165" i="70"/>
  <c r="N165" i="70"/>
  <c r="I165" i="70"/>
  <c r="H165" i="70"/>
  <c r="G165" i="70"/>
  <c r="F165" i="70"/>
  <c r="E165" i="70"/>
  <c r="D165" i="70"/>
  <c r="C165" i="70"/>
  <c r="B165" i="70"/>
  <c r="A165" i="70"/>
  <c r="AM164" i="70"/>
  <c r="AL164" i="70"/>
  <c r="AK164" i="70"/>
  <c r="AJ164" i="70"/>
  <c r="AI164" i="70"/>
  <c r="AH164" i="70"/>
  <c r="AG164" i="70"/>
  <c r="AF164" i="70"/>
  <c r="AE164" i="70"/>
  <c r="AD164" i="70"/>
  <c r="AC164" i="70"/>
  <c r="AB164" i="70"/>
  <c r="AA164" i="70"/>
  <c r="X164" i="70"/>
  <c r="W164" i="70"/>
  <c r="Q164" i="70"/>
  <c r="P164" i="70"/>
  <c r="O164" i="70"/>
  <c r="N164" i="70"/>
  <c r="M164" i="70"/>
  <c r="I164" i="70"/>
  <c r="H164" i="70"/>
  <c r="G164" i="70"/>
  <c r="F164" i="70"/>
  <c r="E164" i="70"/>
  <c r="D164" i="70"/>
  <c r="C164" i="70"/>
  <c r="B164" i="70"/>
  <c r="A164" i="70"/>
  <c r="X163" i="70"/>
  <c r="X162" i="70" s="1"/>
  <c r="M163" i="70"/>
  <c r="L163" i="70"/>
  <c r="L162" i="70"/>
  <c r="K162" i="70"/>
  <c r="K161" i="70"/>
  <c r="J161" i="70"/>
  <c r="AM160" i="70"/>
  <c r="AL160" i="70"/>
  <c r="AK160" i="70"/>
  <c r="AJ160" i="70"/>
  <c r="AI160" i="70"/>
  <c r="AH160" i="70"/>
  <c r="AG160" i="70"/>
  <c r="AF160" i="70"/>
  <c r="AE160" i="70"/>
  <c r="AD160" i="70"/>
  <c r="AC160" i="70"/>
  <c r="AB160" i="70"/>
  <c r="AA160" i="70"/>
  <c r="Z160" i="70"/>
  <c r="Y160" i="70"/>
  <c r="X160" i="70"/>
  <c r="W160" i="70"/>
  <c r="U160" i="70"/>
  <c r="T160" i="70"/>
  <c r="R160" i="70"/>
  <c r="Q160" i="70"/>
  <c r="P160" i="70"/>
  <c r="O160" i="70"/>
  <c r="N160" i="70"/>
  <c r="M160" i="70"/>
  <c r="I160" i="70"/>
  <c r="H160" i="70"/>
  <c r="G160" i="70"/>
  <c r="F160" i="70"/>
  <c r="E160" i="70"/>
  <c r="D160" i="70"/>
  <c r="C160" i="70"/>
  <c r="B160" i="70"/>
  <c r="A160" i="70"/>
  <c r="AM159" i="70"/>
  <c r="AL159" i="70"/>
  <c r="AK159" i="70"/>
  <c r="AJ159" i="70"/>
  <c r="AI159" i="70"/>
  <c r="AH159" i="70"/>
  <c r="AG159" i="70"/>
  <c r="AF159" i="70"/>
  <c r="AE159" i="70"/>
  <c r="AD159" i="70"/>
  <c r="AC159" i="70"/>
  <c r="AB159" i="70"/>
  <c r="AA159" i="70"/>
  <c r="Y159" i="70"/>
  <c r="X159" i="70"/>
  <c r="W159" i="70"/>
  <c r="U159" i="70"/>
  <c r="T159" i="70"/>
  <c r="R159" i="70"/>
  <c r="Q159" i="70"/>
  <c r="P159" i="70"/>
  <c r="O159" i="70"/>
  <c r="N159" i="70"/>
  <c r="M159" i="70"/>
  <c r="I159" i="70"/>
  <c r="H159" i="70"/>
  <c r="G159" i="70"/>
  <c r="F159" i="70"/>
  <c r="E159" i="70"/>
  <c r="D159" i="70"/>
  <c r="C159" i="70"/>
  <c r="B159" i="70"/>
  <c r="A159" i="70"/>
  <c r="AM158" i="70"/>
  <c r="AL158" i="70"/>
  <c r="AK158" i="70"/>
  <c r="AJ158" i="70"/>
  <c r="AI158" i="70"/>
  <c r="AH158" i="70"/>
  <c r="AG158" i="70"/>
  <c r="AF158" i="70"/>
  <c r="AE158" i="70"/>
  <c r="AD158" i="70"/>
  <c r="AC158" i="70"/>
  <c r="AB158" i="70"/>
  <c r="AA158" i="70"/>
  <c r="Z158" i="70"/>
  <c r="Y158" i="70"/>
  <c r="X158" i="70"/>
  <c r="W158" i="70"/>
  <c r="U158" i="70"/>
  <c r="T158" i="70"/>
  <c r="R158" i="70"/>
  <c r="Q158" i="70"/>
  <c r="P158" i="70"/>
  <c r="O158" i="70"/>
  <c r="N158" i="70"/>
  <c r="M158" i="70"/>
  <c r="I158" i="70"/>
  <c r="H158" i="70"/>
  <c r="G158" i="70"/>
  <c r="F158" i="70"/>
  <c r="E158" i="70"/>
  <c r="D158" i="70"/>
  <c r="C158" i="70"/>
  <c r="B158" i="70"/>
  <c r="A158" i="70"/>
  <c r="AM157" i="70"/>
  <c r="AL157" i="70"/>
  <c r="AK157" i="70"/>
  <c r="AJ157" i="70"/>
  <c r="AI157" i="70"/>
  <c r="AH157" i="70"/>
  <c r="AG157" i="70"/>
  <c r="AF157" i="70"/>
  <c r="AE157" i="70"/>
  <c r="AD157" i="70"/>
  <c r="AC157" i="70"/>
  <c r="AB157" i="70"/>
  <c r="AA157" i="70"/>
  <c r="Z157" i="70"/>
  <c r="X157" i="70"/>
  <c r="W157" i="70"/>
  <c r="U157" i="70"/>
  <c r="T157" i="70"/>
  <c r="R157" i="70"/>
  <c r="Q157" i="70"/>
  <c r="P157" i="70"/>
  <c r="O157" i="70"/>
  <c r="N157" i="70"/>
  <c r="M157" i="70"/>
  <c r="I157" i="70"/>
  <c r="H157" i="70"/>
  <c r="G157" i="70"/>
  <c r="F157" i="70"/>
  <c r="E157" i="70"/>
  <c r="D157" i="70"/>
  <c r="C157" i="70"/>
  <c r="B157" i="70"/>
  <c r="A157" i="70"/>
  <c r="AM156" i="70"/>
  <c r="AL156" i="70"/>
  <c r="AK156" i="70"/>
  <c r="AJ156" i="70"/>
  <c r="AI156" i="70"/>
  <c r="AH156" i="70"/>
  <c r="AG156" i="70"/>
  <c r="AF156" i="70"/>
  <c r="AE156" i="70"/>
  <c r="AD156" i="70"/>
  <c r="AC156" i="70"/>
  <c r="AB156" i="70"/>
  <c r="AA156" i="70"/>
  <c r="Z156" i="70"/>
  <c r="X156" i="70"/>
  <c r="W156" i="70"/>
  <c r="U156" i="70"/>
  <c r="T156" i="70"/>
  <c r="R156" i="70"/>
  <c r="Q156" i="70"/>
  <c r="P156" i="70"/>
  <c r="O156" i="70"/>
  <c r="N156" i="70"/>
  <c r="M156" i="70"/>
  <c r="I156" i="70"/>
  <c r="H156" i="70"/>
  <c r="G156" i="70"/>
  <c r="F156" i="70"/>
  <c r="E156" i="70"/>
  <c r="D156" i="70"/>
  <c r="C156" i="70"/>
  <c r="B156" i="70"/>
  <c r="A156" i="70"/>
  <c r="AM155" i="70"/>
  <c r="AL155" i="70"/>
  <c r="AK155" i="70"/>
  <c r="AJ155" i="70"/>
  <c r="AI155" i="70"/>
  <c r="AH155" i="70"/>
  <c r="AG155" i="70"/>
  <c r="AF155" i="70"/>
  <c r="AE155" i="70"/>
  <c r="AD155" i="70"/>
  <c r="AC155" i="70"/>
  <c r="AB155" i="70"/>
  <c r="AA155" i="70"/>
  <c r="Z155" i="70"/>
  <c r="X155" i="70"/>
  <c r="W155" i="70"/>
  <c r="U155" i="70"/>
  <c r="T155" i="70"/>
  <c r="R155" i="70"/>
  <c r="Q155" i="70"/>
  <c r="P155" i="70"/>
  <c r="O155" i="70"/>
  <c r="N155" i="70"/>
  <c r="M155" i="70"/>
  <c r="I155" i="70"/>
  <c r="H155" i="70"/>
  <c r="G155" i="70"/>
  <c r="F155" i="70"/>
  <c r="E155" i="70"/>
  <c r="D155" i="70"/>
  <c r="C155" i="70"/>
  <c r="B155" i="70"/>
  <c r="A155" i="70"/>
  <c r="AM154" i="70"/>
  <c r="AL154" i="70"/>
  <c r="AK154" i="70"/>
  <c r="AJ154" i="70"/>
  <c r="AI154" i="70"/>
  <c r="AH154" i="70"/>
  <c r="AG154" i="70"/>
  <c r="AF154" i="70"/>
  <c r="AE154" i="70"/>
  <c r="AD154" i="70"/>
  <c r="AC154" i="70"/>
  <c r="AB154" i="70"/>
  <c r="AA154" i="70"/>
  <c r="Z154" i="70"/>
  <c r="Y154" i="70"/>
  <c r="X154" i="70"/>
  <c r="W154" i="70"/>
  <c r="U154" i="70"/>
  <c r="T154" i="70"/>
  <c r="R154" i="70"/>
  <c r="Q154" i="70"/>
  <c r="P154" i="70"/>
  <c r="O154" i="70"/>
  <c r="N154" i="70"/>
  <c r="I154" i="70"/>
  <c r="H154" i="70"/>
  <c r="G154" i="70"/>
  <c r="F154" i="70"/>
  <c r="E154" i="70"/>
  <c r="D154" i="70"/>
  <c r="C154" i="70"/>
  <c r="B154" i="70"/>
  <c r="A154" i="70"/>
  <c r="AM153" i="70"/>
  <c r="AL153" i="70"/>
  <c r="AK153" i="70"/>
  <c r="AJ153" i="70"/>
  <c r="AI153" i="70"/>
  <c r="AH153" i="70"/>
  <c r="AG153" i="70"/>
  <c r="AF153" i="70"/>
  <c r="AE153" i="70"/>
  <c r="AD153" i="70"/>
  <c r="AC153" i="70"/>
  <c r="AB153" i="70"/>
  <c r="AA153" i="70"/>
  <c r="Z153" i="70"/>
  <c r="Y153" i="70"/>
  <c r="X153" i="70"/>
  <c r="W153" i="70"/>
  <c r="U153" i="70"/>
  <c r="T153" i="70"/>
  <c r="R153" i="70"/>
  <c r="Q153" i="70"/>
  <c r="P153" i="70"/>
  <c r="O153" i="70"/>
  <c r="N153" i="70"/>
  <c r="I153" i="70"/>
  <c r="H153" i="70"/>
  <c r="G153" i="70"/>
  <c r="F153" i="70"/>
  <c r="E153" i="70"/>
  <c r="D153" i="70"/>
  <c r="C153" i="70"/>
  <c r="B153" i="70"/>
  <c r="A153" i="70"/>
  <c r="AM152" i="70"/>
  <c r="AL152" i="70"/>
  <c r="AK152" i="70"/>
  <c r="AJ152" i="70"/>
  <c r="AI152" i="70"/>
  <c r="AH152" i="70"/>
  <c r="AG152" i="70"/>
  <c r="AF152" i="70"/>
  <c r="AE152" i="70"/>
  <c r="AD152" i="70"/>
  <c r="AC152" i="70"/>
  <c r="AB152" i="70"/>
  <c r="AA152" i="70"/>
  <c r="X152" i="70"/>
  <c r="W152" i="70"/>
  <c r="Q152" i="70"/>
  <c r="P152" i="70"/>
  <c r="O152" i="70"/>
  <c r="N152" i="70"/>
  <c r="M152" i="70"/>
  <c r="I152" i="70"/>
  <c r="H152" i="70"/>
  <c r="G152" i="70"/>
  <c r="F152" i="70"/>
  <c r="E152" i="70"/>
  <c r="D152" i="70"/>
  <c r="C152" i="70"/>
  <c r="B152" i="70"/>
  <c r="A152" i="70"/>
  <c r="AM151" i="70"/>
  <c r="AL151" i="70"/>
  <c r="AK151" i="70"/>
  <c r="AJ151" i="70"/>
  <c r="AI151" i="70"/>
  <c r="AH151" i="70"/>
  <c r="AG151" i="70"/>
  <c r="AF151" i="70"/>
  <c r="AE151" i="70"/>
  <c r="AD151" i="70"/>
  <c r="AC151" i="70"/>
  <c r="AB151" i="70"/>
  <c r="AA151" i="70"/>
  <c r="Z151" i="70"/>
  <c r="Y151" i="70"/>
  <c r="X151" i="70"/>
  <c r="W151" i="70"/>
  <c r="U151" i="70"/>
  <c r="T151" i="70"/>
  <c r="R151" i="70"/>
  <c r="Q151" i="70"/>
  <c r="P151" i="70"/>
  <c r="O151" i="70"/>
  <c r="N151" i="70"/>
  <c r="I151" i="70"/>
  <c r="H151" i="70"/>
  <c r="G151" i="70"/>
  <c r="F151" i="70"/>
  <c r="E151" i="70"/>
  <c r="D151" i="70"/>
  <c r="C151" i="70"/>
  <c r="B151" i="70"/>
  <c r="A151" i="70"/>
  <c r="AM150" i="70"/>
  <c r="AL150" i="70"/>
  <c r="AK150" i="70"/>
  <c r="AJ150" i="70"/>
  <c r="AI150" i="70"/>
  <c r="AH150" i="70"/>
  <c r="AG150" i="70"/>
  <c r="AF150" i="70"/>
  <c r="AE150" i="70"/>
  <c r="AD150" i="70"/>
  <c r="AC150" i="70"/>
  <c r="AB150" i="70"/>
  <c r="AA150" i="70"/>
  <c r="Z150" i="70"/>
  <c r="Y150" i="70"/>
  <c r="X150" i="70"/>
  <c r="W150" i="70"/>
  <c r="U150" i="70"/>
  <c r="T150" i="70"/>
  <c r="R150" i="70"/>
  <c r="Q150" i="70"/>
  <c r="P150" i="70"/>
  <c r="O150" i="70"/>
  <c r="N150" i="70"/>
  <c r="I150" i="70"/>
  <c r="H150" i="70"/>
  <c r="G150" i="70"/>
  <c r="F150" i="70"/>
  <c r="E150" i="70"/>
  <c r="D150" i="70"/>
  <c r="C150" i="70"/>
  <c r="B150" i="70"/>
  <c r="A150" i="70"/>
  <c r="AM149" i="70"/>
  <c r="AL149" i="70"/>
  <c r="AK149" i="70"/>
  <c r="AJ149" i="70"/>
  <c r="AI149" i="70"/>
  <c r="AH149" i="70"/>
  <c r="AG149" i="70"/>
  <c r="AF149" i="70"/>
  <c r="AE149" i="70"/>
  <c r="AD149" i="70"/>
  <c r="AC149" i="70"/>
  <c r="AB149" i="70"/>
  <c r="AA149" i="70"/>
  <c r="X149" i="70"/>
  <c r="W149" i="70"/>
  <c r="Q149" i="70"/>
  <c r="P149" i="70"/>
  <c r="O149" i="70"/>
  <c r="N149" i="70"/>
  <c r="M149" i="70"/>
  <c r="I149" i="70"/>
  <c r="H149" i="70"/>
  <c r="G149" i="70"/>
  <c r="F149" i="70"/>
  <c r="E149" i="70"/>
  <c r="D149" i="70"/>
  <c r="C149" i="70"/>
  <c r="B149" i="70"/>
  <c r="A149" i="70"/>
  <c r="X148" i="70"/>
  <c r="X147" i="70" s="1"/>
  <c r="M148" i="70"/>
  <c r="L148" i="70"/>
  <c r="L147" i="70"/>
  <c r="K147" i="70"/>
  <c r="AM146" i="70"/>
  <c r="AL146" i="70"/>
  <c r="AK146" i="70"/>
  <c r="AJ146" i="70"/>
  <c r="AI146" i="70"/>
  <c r="AH146" i="70"/>
  <c r="AG146" i="70"/>
  <c r="AF146" i="70"/>
  <c r="AE146" i="70"/>
  <c r="AD146" i="70"/>
  <c r="AC146" i="70"/>
  <c r="AB146" i="70"/>
  <c r="AA146" i="70"/>
  <c r="X146" i="70"/>
  <c r="W146" i="70"/>
  <c r="U146" i="70"/>
  <c r="U145" i="70" s="1"/>
  <c r="U144" i="70" s="1"/>
  <c r="T146" i="70"/>
  <c r="T145" i="70" s="1"/>
  <c r="T144" i="70" s="1"/>
  <c r="R146" i="70"/>
  <c r="Q146" i="70"/>
  <c r="P146" i="70"/>
  <c r="O146" i="70"/>
  <c r="N146" i="70"/>
  <c r="M146" i="70"/>
  <c r="I146" i="70"/>
  <c r="H146" i="70"/>
  <c r="G146" i="70"/>
  <c r="F146" i="70"/>
  <c r="E146" i="70"/>
  <c r="D146" i="70"/>
  <c r="C146" i="70"/>
  <c r="B146" i="70"/>
  <c r="A146" i="70"/>
  <c r="X145" i="70"/>
  <c r="X144" i="70" s="1"/>
  <c r="R145" i="70"/>
  <c r="M145" i="70"/>
  <c r="L145" i="70"/>
  <c r="R144" i="70"/>
  <c r="L144" i="70"/>
  <c r="K144" i="70"/>
  <c r="AM143" i="70"/>
  <c r="AL143" i="70"/>
  <c r="AK143" i="70"/>
  <c r="AJ143" i="70"/>
  <c r="AI143" i="70"/>
  <c r="AH143" i="70"/>
  <c r="AG143" i="70"/>
  <c r="AF143" i="70"/>
  <c r="AE143" i="70"/>
  <c r="AD143" i="70"/>
  <c r="AC143" i="70"/>
  <c r="AB143" i="70"/>
  <c r="AA143" i="70"/>
  <c r="Y143" i="70"/>
  <c r="X143" i="70"/>
  <c r="W143" i="70"/>
  <c r="U143" i="70"/>
  <c r="T143" i="70"/>
  <c r="R143" i="70"/>
  <c r="Q143" i="70"/>
  <c r="P143" i="70"/>
  <c r="O143" i="70"/>
  <c r="N143" i="70"/>
  <c r="M143" i="70"/>
  <c r="I143" i="70"/>
  <c r="H143" i="70"/>
  <c r="G143" i="70"/>
  <c r="F143" i="70"/>
  <c r="E143" i="70"/>
  <c r="D143" i="70"/>
  <c r="C143" i="70"/>
  <c r="B143" i="70"/>
  <c r="A143" i="70"/>
  <c r="AM142" i="70"/>
  <c r="AL142" i="70"/>
  <c r="AK142" i="70"/>
  <c r="AJ142" i="70"/>
  <c r="AI142" i="70"/>
  <c r="AH142" i="70"/>
  <c r="AG142" i="70"/>
  <c r="AF142" i="70"/>
  <c r="AE142" i="70"/>
  <c r="AD142" i="70"/>
  <c r="AC142" i="70"/>
  <c r="AB142" i="70"/>
  <c r="AA142" i="70"/>
  <c r="Z142" i="70"/>
  <c r="X142" i="70"/>
  <c r="W142" i="70"/>
  <c r="U142" i="70"/>
  <c r="U140" i="70" s="1"/>
  <c r="U139" i="70" s="1"/>
  <c r="T142" i="70"/>
  <c r="R142" i="70"/>
  <c r="Q142" i="70"/>
  <c r="P142" i="70"/>
  <c r="O142" i="70"/>
  <c r="N142" i="70"/>
  <c r="M142" i="70"/>
  <c r="I142" i="70"/>
  <c r="H142" i="70"/>
  <c r="G142" i="70"/>
  <c r="F142" i="70"/>
  <c r="E142" i="70"/>
  <c r="D142" i="70"/>
  <c r="C142" i="70"/>
  <c r="B142" i="70"/>
  <c r="A142" i="70"/>
  <c r="AM141" i="70"/>
  <c r="AL141" i="70"/>
  <c r="AK141" i="70"/>
  <c r="AJ141" i="70"/>
  <c r="AI141" i="70"/>
  <c r="AH141" i="70"/>
  <c r="AG141" i="70"/>
  <c r="AF141" i="70"/>
  <c r="AE141" i="70"/>
  <c r="AD141" i="70"/>
  <c r="AC141" i="70"/>
  <c r="AB141" i="70"/>
  <c r="AA141" i="70"/>
  <c r="Y141" i="70"/>
  <c r="X141" i="70"/>
  <c r="W141" i="70"/>
  <c r="U141" i="70"/>
  <c r="T141" i="70"/>
  <c r="R141" i="70"/>
  <c r="R140" i="70" s="1"/>
  <c r="R139" i="70" s="1"/>
  <c r="Q141" i="70"/>
  <c r="P141" i="70"/>
  <c r="O141" i="70"/>
  <c r="N141" i="70"/>
  <c r="M141" i="70"/>
  <c r="I141" i="70"/>
  <c r="H141" i="70"/>
  <c r="G141" i="70"/>
  <c r="F141" i="70"/>
  <c r="E141" i="70"/>
  <c r="D141" i="70"/>
  <c r="C141" i="70"/>
  <c r="B141" i="70"/>
  <c r="A141" i="70"/>
  <c r="X140" i="70"/>
  <c r="X139" i="70" s="1"/>
  <c r="T140" i="70"/>
  <c r="M140" i="70"/>
  <c r="L140" i="70"/>
  <c r="T139" i="70"/>
  <c r="L139" i="70"/>
  <c r="K139" i="70"/>
  <c r="AM138" i="70"/>
  <c r="AL138" i="70"/>
  <c r="AK138" i="70"/>
  <c r="AJ138" i="70"/>
  <c r="AI138" i="70"/>
  <c r="AH138" i="70"/>
  <c r="AG138" i="70"/>
  <c r="AF138" i="70"/>
  <c r="AE138" i="70"/>
  <c r="AD138" i="70"/>
  <c r="AC138" i="70"/>
  <c r="AB138" i="70"/>
  <c r="AA138" i="70"/>
  <c r="Z138" i="70"/>
  <c r="X138" i="70"/>
  <c r="W138" i="70"/>
  <c r="U138" i="70"/>
  <c r="T138" i="70"/>
  <c r="T137" i="70" s="1"/>
  <c r="T136" i="70" s="1"/>
  <c r="R138" i="70"/>
  <c r="R137" i="70" s="1"/>
  <c r="R136" i="70" s="1"/>
  <c r="Q138" i="70"/>
  <c r="P138" i="70"/>
  <c r="O138" i="70"/>
  <c r="N138" i="70"/>
  <c r="M138" i="70"/>
  <c r="I138" i="70"/>
  <c r="H138" i="70"/>
  <c r="G138" i="70"/>
  <c r="F138" i="70"/>
  <c r="E138" i="70"/>
  <c r="D138" i="70"/>
  <c r="C138" i="70"/>
  <c r="B138" i="70"/>
  <c r="A138" i="70"/>
  <c r="Z137" i="70"/>
  <c r="Z136" i="70" s="1"/>
  <c r="X137" i="70"/>
  <c r="X136" i="70" s="1"/>
  <c r="U137" i="70"/>
  <c r="U136" i="70" s="1"/>
  <c r="M137" i="70"/>
  <c r="L137" i="70"/>
  <c r="L136" i="70"/>
  <c r="K136" i="70"/>
  <c r="AM135" i="70"/>
  <c r="AL135" i="70"/>
  <c r="AK135" i="70"/>
  <c r="AJ135" i="70"/>
  <c r="AI135" i="70"/>
  <c r="AH135" i="70"/>
  <c r="AG135" i="70"/>
  <c r="AF135" i="70"/>
  <c r="AE135" i="70"/>
  <c r="AD135" i="70"/>
  <c r="AC135" i="70"/>
  <c r="AB135" i="70"/>
  <c r="AA135" i="70"/>
  <c r="Z135" i="70"/>
  <c r="X135" i="70"/>
  <c r="W135" i="70"/>
  <c r="U135" i="70"/>
  <c r="T135" i="70"/>
  <c r="R135" i="70"/>
  <c r="Q135" i="70"/>
  <c r="P135" i="70"/>
  <c r="O135" i="70"/>
  <c r="N135" i="70"/>
  <c r="M135" i="70"/>
  <c r="I135" i="70"/>
  <c r="H135" i="70"/>
  <c r="G135" i="70"/>
  <c r="F135" i="70"/>
  <c r="E135" i="70"/>
  <c r="D135" i="70"/>
  <c r="C135" i="70"/>
  <c r="B135" i="70"/>
  <c r="A135" i="70"/>
  <c r="AM134" i="70"/>
  <c r="AL134" i="70"/>
  <c r="AK134" i="70"/>
  <c r="AJ134" i="70"/>
  <c r="AI134" i="70"/>
  <c r="AH134" i="70"/>
  <c r="AG134" i="70"/>
  <c r="AF134" i="70"/>
  <c r="AE134" i="70"/>
  <c r="AD134" i="70"/>
  <c r="AC134" i="70"/>
  <c r="AB134" i="70"/>
  <c r="AA134" i="70"/>
  <c r="Z134" i="70"/>
  <c r="X134" i="70"/>
  <c r="W134" i="70"/>
  <c r="U134" i="70"/>
  <c r="R134" i="70"/>
  <c r="Q134" i="70"/>
  <c r="P134" i="70"/>
  <c r="O134" i="70"/>
  <c r="N134" i="70"/>
  <c r="M134" i="70"/>
  <c r="I134" i="70"/>
  <c r="H134" i="70"/>
  <c r="G134" i="70"/>
  <c r="F134" i="70"/>
  <c r="E134" i="70"/>
  <c r="D134" i="70"/>
  <c r="C134" i="70"/>
  <c r="B134" i="70"/>
  <c r="A134" i="70"/>
  <c r="AM133" i="70"/>
  <c r="AL133" i="70"/>
  <c r="AK133" i="70"/>
  <c r="AJ133" i="70"/>
  <c r="AI133" i="70"/>
  <c r="AH133" i="70"/>
  <c r="AG133" i="70"/>
  <c r="AF133" i="70"/>
  <c r="AE133" i="70"/>
  <c r="AD133" i="70"/>
  <c r="AC133" i="70"/>
  <c r="AB133" i="70"/>
  <c r="AA133" i="70"/>
  <c r="Z133" i="70"/>
  <c r="X133" i="70"/>
  <c r="W133" i="70"/>
  <c r="U133" i="70"/>
  <c r="R133" i="70"/>
  <c r="Q133" i="70"/>
  <c r="P133" i="70"/>
  <c r="O133" i="70"/>
  <c r="N133" i="70"/>
  <c r="M133" i="70"/>
  <c r="I133" i="70"/>
  <c r="H133" i="70"/>
  <c r="G133" i="70"/>
  <c r="F133" i="70"/>
  <c r="E133" i="70"/>
  <c r="D133" i="70"/>
  <c r="C133" i="70"/>
  <c r="B133" i="70"/>
  <c r="A133" i="70"/>
  <c r="AM132" i="70"/>
  <c r="AL132" i="70"/>
  <c r="AK132" i="70"/>
  <c r="AJ132" i="70"/>
  <c r="AI132" i="70"/>
  <c r="AH132" i="70"/>
  <c r="AG132" i="70"/>
  <c r="AF132" i="70"/>
  <c r="AE132" i="70"/>
  <c r="AD132" i="70"/>
  <c r="AC132" i="70"/>
  <c r="AB132" i="70"/>
  <c r="AA132" i="70"/>
  <c r="Z132" i="70"/>
  <c r="X132" i="70"/>
  <c r="W132" i="70"/>
  <c r="U132" i="70"/>
  <c r="T132" i="70"/>
  <c r="R132" i="70"/>
  <c r="Q132" i="70"/>
  <c r="P132" i="70"/>
  <c r="O132" i="70"/>
  <c r="N132" i="70"/>
  <c r="I132" i="70"/>
  <c r="H132" i="70"/>
  <c r="G132" i="70"/>
  <c r="F132" i="70"/>
  <c r="E132" i="70"/>
  <c r="D132" i="70"/>
  <c r="C132" i="70"/>
  <c r="B132" i="70"/>
  <c r="A132" i="70"/>
  <c r="AM131" i="70"/>
  <c r="AL131" i="70"/>
  <c r="AK131" i="70"/>
  <c r="AJ131" i="70"/>
  <c r="AI131" i="70"/>
  <c r="AH131" i="70"/>
  <c r="AG131" i="70"/>
  <c r="AF131" i="70"/>
  <c r="AE131" i="70"/>
  <c r="AD131" i="70"/>
  <c r="AC131" i="70"/>
  <c r="AB131" i="70"/>
  <c r="AA131" i="70"/>
  <c r="Z131" i="70"/>
  <c r="Y131" i="70"/>
  <c r="X131" i="70"/>
  <c r="W131" i="70"/>
  <c r="U131" i="70"/>
  <c r="T131" i="70"/>
  <c r="R131" i="70"/>
  <c r="Q131" i="70"/>
  <c r="P131" i="70"/>
  <c r="O131" i="70"/>
  <c r="N131" i="70"/>
  <c r="I131" i="70"/>
  <c r="H131" i="70"/>
  <c r="G131" i="70"/>
  <c r="F131" i="70"/>
  <c r="E131" i="70"/>
  <c r="D131" i="70"/>
  <c r="C131" i="70"/>
  <c r="B131" i="70"/>
  <c r="A131" i="70"/>
  <c r="AM130" i="70"/>
  <c r="AL130" i="70"/>
  <c r="AK130" i="70"/>
  <c r="AJ130" i="70"/>
  <c r="AI130" i="70"/>
  <c r="AH130" i="70"/>
  <c r="AG130" i="70"/>
  <c r="AF130" i="70"/>
  <c r="AE130" i="70"/>
  <c r="AD130" i="70"/>
  <c r="AC130" i="70"/>
  <c r="AB130" i="70"/>
  <c r="AA130" i="70"/>
  <c r="X130" i="70"/>
  <c r="W130" i="70"/>
  <c r="Q130" i="70"/>
  <c r="P130" i="70"/>
  <c r="O130" i="70"/>
  <c r="N130" i="70"/>
  <c r="M130" i="70"/>
  <c r="I130" i="70"/>
  <c r="H130" i="70"/>
  <c r="G130" i="70"/>
  <c r="F130" i="70"/>
  <c r="E130" i="70"/>
  <c r="D130" i="70"/>
  <c r="C130" i="70"/>
  <c r="B130" i="70"/>
  <c r="A130" i="70"/>
  <c r="X129" i="70"/>
  <c r="X128" i="70" s="1"/>
  <c r="M129" i="70"/>
  <c r="L129" i="70"/>
  <c r="L128" i="70"/>
  <c r="K128" i="70"/>
  <c r="AM127" i="70"/>
  <c r="AL127" i="70"/>
  <c r="AK127" i="70"/>
  <c r="AJ127" i="70"/>
  <c r="AI127" i="70"/>
  <c r="AH127" i="70"/>
  <c r="AG127" i="70"/>
  <c r="AF127" i="70"/>
  <c r="AE127" i="70"/>
  <c r="AD127" i="70"/>
  <c r="AC127" i="70"/>
  <c r="AB127" i="70"/>
  <c r="AA127" i="70"/>
  <c r="Z127" i="70"/>
  <c r="Y127" i="70"/>
  <c r="X127" i="70"/>
  <c r="W127" i="70"/>
  <c r="U127" i="70"/>
  <c r="R127" i="70"/>
  <c r="R126" i="70" s="1"/>
  <c r="Q127" i="70"/>
  <c r="P127" i="70"/>
  <c r="O127" i="70"/>
  <c r="N127" i="70"/>
  <c r="M127" i="70"/>
  <c r="I127" i="70"/>
  <c r="H127" i="70"/>
  <c r="G127" i="70"/>
  <c r="F127" i="70"/>
  <c r="E127" i="70"/>
  <c r="D127" i="70"/>
  <c r="C127" i="70"/>
  <c r="B127" i="70"/>
  <c r="A127" i="70"/>
  <c r="Z126" i="70"/>
  <c r="Y126" i="70"/>
  <c r="Y125" i="70" s="1"/>
  <c r="X126" i="70"/>
  <c r="X125" i="70" s="1"/>
  <c r="U126" i="70"/>
  <c r="M126" i="70"/>
  <c r="L126" i="70"/>
  <c r="Z125" i="70"/>
  <c r="U125" i="70"/>
  <c r="R125" i="70"/>
  <c r="L125" i="70"/>
  <c r="K125" i="70"/>
  <c r="AM124" i="70"/>
  <c r="AL124" i="70"/>
  <c r="AK124" i="70"/>
  <c r="AJ124" i="70"/>
  <c r="AI124" i="70"/>
  <c r="AH124" i="70"/>
  <c r="AG124" i="70"/>
  <c r="AF124" i="70"/>
  <c r="AE124" i="70"/>
  <c r="AD124" i="70"/>
  <c r="AC124" i="70"/>
  <c r="AB124" i="70"/>
  <c r="AA124" i="70"/>
  <c r="Y124" i="70"/>
  <c r="X124" i="70"/>
  <c r="W124" i="70"/>
  <c r="U124" i="70"/>
  <c r="U123" i="70" s="1"/>
  <c r="T124" i="70"/>
  <c r="R124" i="70"/>
  <c r="Q124" i="70"/>
  <c r="P124" i="70"/>
  <c r="O124" i="70"/>
  <c r="N124" i="70"/>
  <c r="M124" i="70"/>
  <c r="I124" i="70"/>
  <c r="H124" i="70"/>
  <c r="G124" i="70"/>
  <c r="F124" i="70"/>
  <c r="E124" i="70"/>
  <c r="D124" i="70"/>
  <c r="C124" i="70"/>
  <c r="B124" i="70"/>
  <c r="A124" i="70"/>
  <c r="Y123" i="70"/>
  <c r="X123" i="70"/>
  <c r="T123" i="70"/>
  <c r="R123" i="70"/>
  <c r="M123" i="70"/>
  <c r="L123" i="70"/>
  <c r="AM122" i="70"/>
  <c r="AL122" i="70"/>
  <c r="AK122" i="70"/>
  <c r="AJ122" i="70"/>
  <c r="AI122" i="70"/>
  <c r="AH122" i="70"/>
  <c r="AG122" i="70"/>
  <c r="AF122" i="70"/>
  <c r="AE122" i="70"/>
  <c r="AD122" i="70"/>
  <c r="AC122" i="70"/>
  <c r="AB122" i="70"/>
  <c r="AA122" i="70"/>
  <c r="Y122" i="70"/>
  <c r="X122" i="70"/>
  <c r="W122" i="70"/>
  <c r="U122" i="70"/>
  <c r="T122" i="70"/>
  <c r="R122" i="70"/>
  <c r="Q122" i="70"/>
  <c r="P122" i="70"/>
  <c r="O122" i="70"/>
  <c r="N122" i="70"/>
  <c r="M122" i="70"/>
  <c r="I122" i="70"/>
  <c r="H122" i="70"/>
  <c r="G122" i="70"/>
  <c r="F122" i="70"/>
  <c r="E122" i="70"/>
  <c r="D122" i="70"/>
  <c r="C122" i="70"/>
  <c r="B122" i="70"/>
  <c r="A122" i="70"/>
  <c r="AM121" i="70"/>
  <c r="AL121" i="70"/>
  <c r="AK121" i="70"/>
  <c r="AJ121" i="70"/>
  <c r="AI121" i="70"/>
  <c r="AH121" i="70"/>
  <c r="AG121" i="70"/>
  <c r="AF121" i="70"/>
  <c r="AE121" i="70"/>
  <c r="AD121" i="70"/>
  <c r="AC121" i="70"/>
  <c r="AB121" i="70"/>
  <c r="AA121" i="70"/>
  <c r="Z121" i="70"/>
  <c r="X121" i="70"/>
  <c r="W121" i="70"/>
  <c r="U121" i="70"/>
  <c r="T121" i="70"/>
  <c r="R121" i="70"/>
  <c r="Q121" i="70"/>
  <c r="P121" i="70"/>
  <c r="O121" i="70"/>
  <c r="N121" i="70"/>
  <c r="M121" i="70"/>
  <c r="I121" i="70"/>
  <c r="H121" i="70"/>
  <c r="G121" i="70"/>
  <c r="F121" i="70"/>
  <c r="E121" i="70"/>
  <c r="D121" i="70"/>
  <c r="C121" i="70"/>
  <c r="B121" i="70"/>
  <c r="A121" i="70"/>
  <c r="AM120" i="70"/>
  <c r="AL120" i="70"/>
  <c r="AK120" i="70"/>
  <c r="AJ120" i="70"/>
  <c r="AI120" i="70"/>
  <c r="AH120" i="70"/>
  <c r="AG120" i="70"/>
  <c r="AF120" i="70"/>
  <c r="AE120" i="70"/>
  <c r="AD120" i="70"/>
  <c r="AC120" i="70"/>
  <c r="AB120" i="70"/>
  <c r="AA120" i="70"/>
  <c r="Y120" i="70"/>
  <c r="X120" i="70"/>
  <c r="X119" i="70" s="1"/>
  <c r="W120" i="70"/>
  <c r="U120" i="70"/>
  <c r="T120" i="70"/>
  <c r="R120" i="70"/>
  <c r="R119" i="70" s="1"/>
  <c r="Q120" i="70"/>
  <c r="P120" i="70"/>
  <c r="O120" i="70"/>
  <c r="N120" i="70"/>
  <c r="M120" i="70"/>
  <c r="I120" i="70"/>
  <c r="H120" i="70"/>
  <c r="G120" i="70"/>
  <c r="F120" i="70"/>
  <c r="E120" i="70"/>
  <c r="D120" i="70"/>
  <c r="C120" i="70"/>
  <c r="B120" i="70"/>
  <c r="A120" i="70"/>
  <c r="U119" i="70"/>
  <c r="T119" i="70"/>
  <c r="M119" i="70"/>
  <c r="L119" i="70"/>
  <c r="AM118" i="70"/>
  <c r="AL118" i="70"/>
  <c r="AK118" i="70"/>
  <c r="AJ118" i="70"/>
  <c r="AI118" i="70"/>
  <c r="AH118" i="70"/>
  <c r="AG118" i="70"/>
  <c r="AF118" i="70"/>
  <c r="AE118" i="70"/>
  <c r="AD118" i="70"/>
  <c r="AC118" i="70"/>
  <c r="AB118" i="70"/>
  <c r="AA118" i="70"/>
  <c r="Z118" i="70"/>
  <c r="Y118" i="70"/>
  <c r="X118" i="70"/>
  <c r="W118" i="70"/>
  <c r="U118" i="70"/>
  <c r="T118" i="70"/>
  <c r="R118" i="70"/>
  <c r="Q118" i="70"/>
  <c r="P118" i="70"/>
  <c r="O118" i="70"/>
  <c r="N118" i="70"/>
  <c r="I118" i="70"/>
  <c r="H118" i="70"/>
  <c r="G118" i="70"/>
  <c r="F118" i="70"/>
  <c r="E118" i="70"/>
  <c r="D118" i="70"/>
  <c r="C118" i="70"/>
  <c r="B118" i="70"/>
  <c r="A118" i="70"/>
  <c r="AM117" i="70"/>
  <c r="AL117" i="70"/>
  <c r="AK117" i="70"/>
  <c r="AJ117" i="70"/>
  <c r="AI117" i="70"/>
  <c r="AH117" i="70"/>
  <c r="AG117" i="70"/>
  <c r="AF117" i="70"/>
  <c r="AE117" i="70"/>
  <c r="AD117" i="70"/>
  <c r="AC117" i="70"/>
  <c r="AB117" i="70"/>
  <c r="AA117" i="70"/>
  <c r="X117" i="70"/>
  <c r="W117" i="70"/>
  <c r="U117" i="70"/>
  <c r="T117" i="70"/>
  <c r="R117" i="70"/>
  <c r="Q117" i="70"/>
  <c r="P117" i="70"/>
  <c r="O117" i="70"/>
  <c r="N117" i="70"/>
  <c r="I117" i="70"/>
  <c r="H117" i="70"/>
  <c r="G117" i="70"/>
  <c r="F117" i="70"/>
  <c r="E117" i="70"/>
  <c r="D117" i="70"/>
  <c r="C117" i="70"/>
  <c r="B117" i="70"/>
  <c r="A117" i="70"/>
  <c r="AM116" i="70"/>
  <c r="AL116" i="70"/>
  <c r="AK116" i="70"/>
  <c r="AJ116" i="70"/>
  <c r="AI116" i="70"/>
  <c r="AH116" i="70"/>
  <c r="AG116" i="70"/>
  <c r="AF116" i="70"/>
  <c r="AE116" i="70"/>
  <c r="AD116" i="70"/>
  <c r="AC116" i="70"/>
  <c r="AB116" i="70"/>
  <c r="AA116" i="70"/>
  <c r="X116" i="70"/>
  <c r="W116" i="70"/>
  <c r="Q116" i="70"/>
  <c r="P116" i="70"/>
  <c r="O116" i="70"/>
  <c r="N116" i="70"/>
  <c r="M116" i="70"/>
  <c r="I116" i="70"/>
  <c r="H116" i="70"/>
  <c r="G116" i="70"/>
  <c r="F116" i="70"/>
  <c r="E116" i="70"/>
  <c r="D116" i="70"/>
  <c r="C116" i="70"/>
  <c r="B116" i="70"/>
  <c r="A116" i="70"/>
  <c r="AM115" i="70"/>
  <c r="AL115" i="70"/>
  <c r="AK115" i="70"/>
  <c r="AJ115" i="70"/>
  <c r="AI115" i="70"/>
  <c r="AH115" i="70"/>
  <c r="AG115" i="70"/>
  <c r="AF115" i="70"/>
  <c r="AE115" i="70"/>
  <c r="AD115" i="70"/>
  <c r="AC115" i="70"/>
  <c r="AB115" i="70"/>
  <c r="AA115" i="70"/>
  <c r="Z115" i="70"/>
  <c r="Y115" i="70"/>
  <c r="X115" i="70"/>
  <c r="W115" i="70"/>
  <c r="U115" i="70"/>
  <c r="T115" i="70"/>
  <c r="R115" i="70"/>
  <c r="Q115" i="70"/>
  <c r="P115" i="70"/>
  <c r="O115" i="70"/>
  <c r="N115" i="70"/>
  <c r="M115" i="70"/>
  <c r="I115" i="70"/>
  <c r="H115" i="70"/>
  <c r="G115" i="70"/>
  <c r="F115" i="70"/>
  <c r="E115" i="70"/>
  <c r="D115" i="70"/>
  <c r="C115" i="70"/>
  <c r="B115" i="70"/>
  <c r="A115" i="70"/>
  <c r="AM114" i="70"/>
  <c r="AL114" i="70"/>
  <c r="AK114" i="70"/>
  <c r="AJ114" i="70"/>
  <c r="AI114" i="70"/>
  <c r="AH114" i="70"/>
  <c r="AG114" i="70"/>
  <c r="AF114" i="70"/>
  <c r="AE114" i="70"/>
  <c r="AD114" i="70"/>
  <c r="AC114" i="70"/>
  <c r="AB114" i="70"/>
  <c r="AA114" i="70"/>
  <c r="Z114" i="70"/>
  <c r="X114" i="70"/>
  <c r="W114" i="70"/>
  <c r="U114" i="70"/>
  <c r="T114" i="70"/>
  <c r="R114" i="70"/>
  <c r="Q114" i="70"/>
  <c r="P114" i="70"/>
  <c r="O114" i="70"/>
  <c r="N114" i="70"/>
  <c r="M114" i="70"/>
  <c r="I114" i="70"/>
  <c r="H114" i="70"/>
  <c r="G114" i="70"/>
  <c r="F114" i="70"/>
  <c r="E114" i="70"/>
  <c r="D114" i="70"/>
  <c r="C114" i="70"/>
  <c r="B114" i="70"/>
  <c r="A114" i="70"/>
  <c r="AM113" i="70"/>
  <c r="AL113" i="70"/>
  <c r="AK113" i="70"/>
  <c r="AJ113" i="70"/>
  <c r="AI113" i="70"/>
  <c r="AH113" i="70"/>
  <c r="AG113" i="70"/>
  <c r="AF113" i="70"/>
  <c r="AE113" i="70"/>
  <c r="AD113" i="70"/>
  <c r="AC113" i="70"/>
  <c r="AB113" i="70"/>
  <c r="AA113" i="70"/>
  <c r="Z113" i="70"/>
  <c r="X113" i="70"/>
  <c r="W113" i="70"/>
  <c r="U113" i="70"/>
  <c r="T113" i="70"/>
  <c r="R113" i="70"/>
  <c r="Q113" i="70"/>
  <c r="P113" i="70"/>
  <c r="O113" i="70"/>
  <c r="N113" i="70"/>
  <c r="M113" i="70"/>
  <c r="I113" i="70"/>
  <c r="H113" i="70"/>
  <c r="G113" i="70"/>
  <c r="F113" i="70"/>
  <c r="E113" i="70"/>
  <c r="D113" i="70"/>
  <c r="C113" i="70"/>
  <c r="B113" i="70"/>
  <c r="A113" i="70"/>
  <c r="AM112" i="70"/>
  <c r="AL112" i="70"/>
  <c r="AK112" i="70"/>
  <c r="AJ112" i="70"/>
  <c r="AI112" i="70"/>
  <c r="AH112" i="70"/>
  <c r="AG112" i="70"/>
  <c r="AF112" i="70"/>
  <c r="AE112" i="70"/>
  <c r="AD112" i="70"/>
  <c r="AC112" i="70"/>
  <c r="AB112" i="70"/>
  <c r="AA112" i="70"/>
  <c r="Z112" i="70"/>
  <c r="X112" i="70"/>
  <c r="W112" i="70"/>
  <c r="U112" i="70"/>
  <c r="T112" i="70"/>
  <c r="R112" i="70"/>
  <c r="Q112" i="70"/>
  <c r="P112" i="70"/>
  <c r="O112" i="70"/>
  <c r="N112" i="70"/>
  <c r="M112" i="70"/>
  <c r="I112" i="70"/>
  <c r="H112" i="70"/>
  <c r="G112" i="70"/>
  <c r="F112" i="70"/>
  <c r="E112" i="70"/>
  <c r="D112" i="70"/>
  <c r="C112" i="70"/>
  <c r="B112" i="70"/>
  <c r="A112" i="70"/>
  <c r="AM111" i="70"/>
  <c r="AL111" i="70"/>
  <c r="AK111" i="70"/>
  <c r="AJ111" i="70"/>
  <c r="AI111" i="70"/>
  <c r="AH111" i="70"/>
  <c r="AG111" i="70"/>
  <c r="AF111" i="70"/>
  <c r="AE111" i="70"/>
  <c r="AD111" i="70"/>
  <c r="AC111" i="70"/>
  <c r="AB111" i="70"/>
  <c r="AA111" i="70"/>
  <c r="X111" i="70"/>
  <c r="W111" i="70"/>
  <c r="U111" i="70"/>
  <c r="T111" i="70"/>
  <c r="R111" i="70"/>
  <c r="Q111" i="70"/>
  <c r="P111" i="70"/>
  <c r="O111" i="70"/>
  <c r="N111" i="70"/>
  <c r="M111" i="70"/>
  <c r="I111" i="70"/>
  <c r="H111" i="70"/>
  <c r="G111" i="70"/>
  <c r="F111" i="70"/>
  <c r="E111" i="70"/>
  <c r="D111" i="70"/>
  <c r="C111" i="70"/>
  <c r="B111" i="70"/>
  <c r="A111" i="70"/>
  <c r="AM110" i="70"/>
  <c r="AL110" i="70"/>
  <c r="AK110" i="70"/>
  <c r="AJ110" i="70"/>
  <c r="AI110" i="70"/>
  <c r="AH110" i="70"/>
  <c r="AG110" i="70"/>
  <c r="AF110" i="70"/>
  <c r="AE110" i="70"/>
  <c r="AD110" i="70"/>
  <c r="AC110" i="70"/>
  <c r="AB110" i="70"/>
  <c r="AA110" i="70"/>
  <c r="X110" i="70"/>
  <c r="X109" i="70" s="1"/>
  <c r="W110" i="70"/>
  <c r="U110" i="70"/>
  <c r="T110" i="70"/>
  <c r="R110" i="70"/>
  <c r="Q110" i="70"/>
  <c r="P110" i="70"/>
  <c r="O110" i="70"/>
  <c r="N110" i="70"/>
  <c r="M110" i="70"/>
  <c r="I110" i="70"/>
  <c r="H110" i="70"/>
  <c r="G110" i="70"/>
  <c r="F110" i="70"/>
  <c r="E110" i="70"/>
  <c r="D110" i="70"/>
  <c r="C110" i="70"/>
  <c r="B110" i="70"/>
  <c r="A110" i="70"/>
  <c r="M109" i="70"/>
  <c r="L109" i="70"/>
  <c r="AM108" i="70"/>
  <c r="AL108" i="70"/>
  <c r="AK108" i="70"/>
  <c r="AJ108" i="70"/>
  <c r="AI108" i="70"/>
  <c r="AH108" i="70"/>
  <c r="AG108" i="70"/>
  <c r="AF108" i="70"/>
  <c r="AE108" i="70"/>
  <c r="AD108" i="70"/>
  <c r="AC108" i="70"/>
  <c r="AB108" i="70"/>
  <c r="AA108" i="70"/>
  <c r="X108" i="70"/>
  <c r="W108" i="70"/>
  <c r="U108" i="70"/>
  <c r="T108" i="70"/>
  <c r="R108" i="70"/>
  <c r="Q108" i="70"/>
  <c r="P108" i="70"/>
  <c r="O108" i="70"/>
  <c r="N108" i="70"/>
  <c r="M108" i="70"/>
  <c r="I108" i="70"/>
  <c r="H108" i="70"/>
  <c r="G108" i="70"/>
  <c r="F108" i="70"/>
  <c r="E108" i="70"/>
  <c r="D108" i="70"/>
  <c r="C108" i="70"/>
  <c r="B108" i="70"/>
  <c r="A108" i="70"/>
  <c r="AE107" i="70"/>
  <c r="AD107" i="70"/>
  <c r="AC107" i="70"/>
  <c r="AB107" i="70"/>
  <c r="AA107" i="70"/>
  <c r="X107" i="70"/>
  <c r="W107" i="70"/>
  <c r="U107" i="70"/>
  <c r="T107" i="70"/>
  <c r="R107" i="70"/>
  <c r="Q107" i="70"/>
  <c r="P107" i="70"/>
  <c r="O107" i="70"/>
  <c r="N107" i="70"/>
  <c r="AM106" i="70"/>
  <c r="AL106" i="70"/>
  <c r="AK106" i="70"/>
  <c r="AJ106" i="70"/>
  <c r="AI106" i="70"/>
  <c r="AH106" i="70"/>
  <c r="AG106" i="70"/>
  <c r="AF106" i="70"/>
  <c r="AE106" i="70"/>
  <c r="AD106" i="70"/>
  <c r="AC106" i="70"/>
  <c r="AB106" i="70"/>
  <c r="AA106" i="70"/>
  <c r="Z106" i="70"/>
  <c r="Y106" i="70"/>
  <c r="X106" i="70"/>
  <c r="W106" i="70"/>
  <c r="U106" i="70"/>
  <c r="T106" i="70"/>
  <c r="R106" i="70"/>
  <c r="Q106" i="70"/>
  <c r="P106" i="70"/>
  <c r="O106" i="70"/>
  <c r="N106" i="70"/>
  <c r="AM105" i="70"/>
  <c r="AL105" i="70"/>
  <c r="AK105" i="70"/>
  <c r="AJ105" i="70"/>
  <c r="AI105" i="70"/>
  <c r="AH105" i="70"/>
  <c r="AG105" i="70"/>
  <c r="AF105" i="70"/>
  <c r="AE105" i="70"/>
  <c r="AD105" i="70"/>
  <c r="AC105" i="70"/>
  <c r="AB105" i="70"/>
  <c r="AA105" i="70"/>
  <c r="Z105" i="70"/>
  <c r="Y105" i="70"/>
  <c r="X105" i="70"/>
  <c r="W105" i="70"/>
  <c r="U105" i="70"/>
  <c r="T105" i="70"/>
  <c r="R105" i="70"/>
  <c r="Q105" i="70"/>
  <c r="P105" i="70"/>
  <c r="O105" i="70"/>
  <c r="N105" i="70"/>
  <c r="AM104" i="70"/>
  <c r="AL104" i="70"/>
  <c r="AK104" i="70"/>
  <c r="AJ104" i="70"/>
  <c r="AI104" i="70"/>
  <c r="AH104" i="70"/>
  <c r="AG104" i="70"/>
  <c r="AF104" i="70"/>
  <c r="AE104" i="70"/>
  <c r="AD104" i="70"/>
  <c r="AC104" i="70"/>
  <c r="AB104" i="70"/>
  <c r="AA104" i="70"/>
  <c r="X104" i="70"/>
  <c r="W104" i="70"/>
  <c r="U104" i="70"/>
  <c r="T104" i="70"/>
  <c r="R104" i="70"/>
  <c r="Q104" i="70"/>
  <c r="P104" i="70"/>
  <c r="O104" i="70"/>
  <c r="N104" i="70"/>
  <c r="M104" i="70"/>
  <c r="I104" i="70"/>
  <c r="H104" i="70"/>
  <c r="G104" i="70"/>
  <c r="F104" i="70"/>
  <c r="E104" i="70"/>
  <c r="D104" i="70"/>
  <c r="C104" i="70"/>
  <c r="B104" i="70"/>
  <c r="A104" i="70"/>
  <c r="AM103" i="70"/>
  <c r="AL103" i="70"/>
  <c r="AK103" i="70"/>
  <c r="AJ103" i="70"/>
  <c r="AI103" i="70"/>
  <c r="AH103" i="70"/>
  <c r="AG103" i="70"/>
  <c r="AF103" i="70"/>
  <c r="AE103" i="70"/>
  <c r="AD103" i="70"/>
  <c r="AC103" i="70"/>
  <c r="AB103" i="70"/>
  <c r="AA103" i="70"/>
  <c r="Z103" i="70"/>
  <c r="X103" i="70"/>
  <c r="W103" i="70"/>
  <c r="U103" i="70"/>
  <c r="T103" i="70"/>
  <c r="R103" i="70"/>
  <c r="Q103" i="70"/>
  <c r="P103" i="70"/>
  <c r="O103" i="70"/>
  <c r="N103" i="70"/>
  <c r="M103" i="70"/>
  <c r="I103" i="70"/>
  <c r="H103" i="70"/>
  <c r="G103" i="70"/>
  <c r="F103" i="70"/>
  <c r="E103" i="70"/>
  <c r="D103" i="70"/>
  <c r="C103" i="70"/>
  <c r="B103" i="70"/>
  <c r="A103" i="70"/>
  <c r="AM102" i="70"/>
  <c r="AL102" i="70"/>
  <c r="AK102" i="70"/>
  <c r="AJ102" i="70"/>
  <c r="AI102" i="70"/>
  <c r="AH102" i="70"/>
  <c r="AG102" i="70"/>
  <c r="AF102" i="70"/>
  <c r="AE102" i="70"/>
  <c r="AD102" i="70"/>
  <c r="AC102" i="70"/>
  <c r="AB102" i="70"/>
  <c r="AA102" i="70"/>
  <c r="X102" i="70"/>
  <c r="W102" i="70"/>
  <c r="U102" i="70"/>
  <c r="T102" i="70"/>
  <c r="R102" i="70"/>
  <c r="Q102" i="70"/>
  <c r="P102" i="70"/>
  <c r="O102" i="70"/>
  <c r="N102" i="70"/>
  <c r="M102" i="70"/>
  <c r="I102" i="70"/>
  <c r="H102" i="70"/>
  <c r="G102" i="70"/>
  <c r="F102" i="70"/>
  <c r="E102" i="70"/>
  <c r="D102" i="70"/>
  <c r="C102" i="70"/>
  <c r="B102" i="70"/>
  <c r="A102" i="70"/>
  <c r="AM101" i="70"/>
  <c r="AL101" i="70"/>
  <c r="AK101" i="70"/>
  <c r="AJ101" i="70"/>
  <c r="AI101" i="70"/>
  <c r="AH101" i="70"/>
  <c r="AG101" i="70"/>
  <c r="AF101" i="70"/>
  <c r="AE101" i="70"/>
  <c r="AD101" i="70"/>
  <c r="AC101" i="70"/>
  <c r="AB101" i="70"/>
  <c r="AA101" i="70"/>
  <c r="X101" i="70"/>
  <c r="W101" i="70"/>
  <c r="U101" i="70"/>
  <c r="T101" i="70"/>
  <c r="R101" i="70"/>
  <c r="Q101" i="70"/>
  <c r="P101" i="70"/>
  <c r="O101" i="70"/>
  <c r="N101" i="70"/>
  <c r="M101" i="70"/>
  <c r="I101" i="70"/>
  <c r="H101" i="70"/>
  <c r="G101" i="70"/>
  <c r="F101" i="70"/>
  <c r="E101" i="70"/>
  <c r="D101" i="70"/>
  <c r="C101" i="70"/>
  <c r="B101" i="70"/>
  <c r="A101" i="70"/>
  <c r="AM100" i="70"/>
  <c r="AL100" i="70"/>
  <c r="AK100" i="70"/>
  <c r="AJ100" i="70"/>
  <c r="AI100" i="70"/>
  <c r="AH100" i="70"/>
  <c r="AG100" i="70"/>
  <c r="AF100" i="70"/>
  <c r="AE100" i="70"/>
  <c r="AD100" i="70"/>
  <c r="AC100" i="70"/>
  <c r="AB100" i="70"/>
  <c r="AA100" i="70"/>
  <c r="X100" i="70"/>
  <c r="W100" i="70"/>
  <c r="U100" i="70"/>
  <c r="T100" i="70"/>
  <c r="R100" i="70"/>
  <c r="Q100" i="70"/>
  <c r="P100" i="70"/>
  <c r="O100" i="70"/>
  <c r="N100" i="70"/>
  <c r="M100" i="70"/>
  <c r="I100" i="70"/>
  <c r="H100" i="70"/>
  <c r="G100" i="70"/>
  <c r="F100" i="70"/>
  <c r="E100" i="70"/>
  <c r="D100" i="70"/>
  <c r="C100" i="70"/>
  <c r="B100" i="70"/>
  <c r="A100" i="70"/>
  <c r="AM99" i="70"/>
  <c r="AL99" i="70"/>
  <c r="AK99" i="70"/>
  <c r="AJ99" i="70"/>
  <c r="AI99" i="70"/>
  <c r="AH99" i="70"/>
  <c r="AG99" i="70"/>
  <c r="AF99" i="70"/>
  <c r="AE99" i="70"/>
  <c r="AD99" i="70"/>
  <c r="AC99" i="70"/>
  <c r="AB99" i="70"/>
  <c r="AA99" i="70"/>
  <c r="X99" i="70"/>
  <c r="W99" i="70"/>
  <c r="U99" i="70"/>
  <c r="T99" i="70"/>
  <c r="R99" i="70"/>
  <c r="Q99" i="70"/>
  <c r="P99" i="70"/>
  <c r="O99" i="70"/>
  <c r="N99" i="70"/>
  <c r="M99" i="70"/>
  <c r="I99" i="70"/>
  <c r="H99" i="70"/>
  <c r="G99" i="70"/>
  <c r="F99" i="70"/>
  <c r="E99" i="70"/>
  <c r="D99" i="70"/>
  <c r="C99" i="70"/>
  <c r="B99" i="70"/>
  <c r="A99" i="70"/>
  <c r="AM98" i="70"/>
  <c r="AL98" i="70"/>
  <c r="AK98" i="70"/>
  <c r="AJ98" i="70"/>
  <c r="AI98" i="70"/>
  <c r="AH98" i="70"/>
  <c r="AG98" i="70"/>
  <c r="AF98" i="70"/>
  <c r="AE98" i="70"/>
  <c r="AD98" i="70"/>
  <c r="AC98" i="70"/>
  <c r="AB98" i="70"/>
  <c r="AA98" i="70"/>
  <c r="X98" i="70"/>
  <c r="W98" i="70"/>
  <c r="U98" i="70"/>
  <c r="T98" i="70"/>
  <c r="R98" i="70"/>
  <c r="Q98" i="70"/>
  <c r="P98" i="70"/>
  <c r="O98" i="70"/>
  <c r="N98" i="70"/>
  <c r="M98" i="70"/>
  <c r="I98" i="70"/>
  <c r="H98" i="70"/>
  <c r="G98" i="70"/>
  <c r="F98" i="70"/>
  <c r="E98" i="70"/>
  <c r="D98" i="70"/>
  <c r="C98" i="70"/>
  <c r="B98" i="70"/>
  <c r="A98" i="70"/>
  <c r="AM97" i="70"/>
  <c r="AL97" i="70"/>
  <c r="AK97" i="70"/>
  <c r="AJ97" i="70"/>
  <c r="AI97" i="70"/>
  <c r="AH97" i="70"/>
  <c r="AG97" i="70"/>
  <c r="AF97" i="70"/>
  <c r="AE97" i="70"/>
  <c r="AD97" i="70"/>
  <c r="AC97" i="70"/>
  <c r="AB97" i="70"/>
  <c r="AA97" i="70"/>
  <c r="X97" i="70"/>
  <c r="W97" i="70"/>
  <c r="U97" i="70"/>
  <c r="T97" i="70"/>
  <c r="T94" i="70" s="1"/>
  <c r="R97" i="70"/>
  <c r="Q97" i="70"/>
  <c r="P97" i="70"/>
  <c r="O97" i="70"/>
  <c r="N97" i="70"/>
  <c r="M97" i="70"/>
  <c r="I97" i="70"/>
  <c r="H97" i="70"/>
  <c r="G97" i="70"/>
  <c r="F97" i="70"/>
  <c r="E97" i="70"/>
  <c r="D97" i="70"/>
  <c r="C97" i="70"/>
  <c r="B97" i="70"/>
  <c r="A97" i="70"/>
  <c r="AM96" i="70"/>
  <c r="AL96" i="70"/>
  <c r="AK96" i="70"/>
  <c r="AJ96" i="70"/>
  <c r="AI96" i="70"/>
  <c r="AH96" i="70"/>
  <c r="AG96" i="70"/>
  <c r="AF96" i="70"/>
  <c r="AE96" i="70"/>
  <c r="AD96" i="70"/>
  <c r="AC96" i="70"/>
  <c r="AB96" i="70"/>
  <c r="AA96" i="70"/>
  <c r="Z96" i="70"/>
  <c r="X96" i="70"/>
  <c r="W96" i="70"/>
  <c r="U96" i="70"/>
  <c r="T96" i="70"/>
  <c r="R96" i="70"/>
  <c r="Q96" i="70"/>
  <c r="P96" i="70"/>
  <c r="O96" i="70"/>
  <c r="N96" i="70"/>
  <c r="M96" i="70"/>
  <c r="I96" i="70"/>
  <c r="H96" i="70"/>
  <c r="G96" i="70"/>
  <c r="F96" i="70"/>
  <c r="E96" i="70"/>
  <c r="D96" i="70"/>
  <c r="C96" i="70"/>
  <c r="B96" i="70"/>
  <c r="A96" i="70"/>
  <c r="AM95" i="70"/>
  <c r="AL95" i="70"/>
  <c r="AK95" i="70"/>
  <c r="AJ95" i="70"/>
  <c r="AI95" i="70"/>
  <c r="AH95" i="70"/>
  <c r="AG95" i="70"/>
  <c r="AF95" i="70"/>
  <c r="AE95" i="70"/>
  <c r="AD95" i="70"/>
  <c r="AC95" i="70"/>
  <c r="AB95" i="70"/>
  <c r="AA95" i="70"/>
  <c r="X95" i="70"/>
  <c r="W95" i="70"/>
  <c r="U95" i="70"/>
  <c r="U94" i="70" s="1"/>
  <c r="T95" i="70"/>
  <c r="R95" i="70"/>
  <c r="R94" i="70" s="1"/>
  <c r="Q95" i="70"/>
  <c r="P95" i="70"/>
  <c r="O95" i="70"/>
  <c r="N95" i="70"/>
  <c r="M95" i="70"/>
  <c r="I95" i="70"/>
  <c r="H95" i="70"/>
  <c r="G95" i="70"/>
  <c r="F95" i="70"/>
  <c r="E95" i="70"/>
  <c r="D95" i="70"/>
  <c r="C95" i="70"/>
  <c r="B95" i="70"/>
  <c r="A95" i="70"/>
  <c r="M94" i="70"/>
  <c r="L94" i="70"/>
  <c r="AM93" i="70"/>
  <c r="AL93" i="70"/>
  <c r="AK93" i="70"/>
  <c r="AJ93" i="70"/>
  <c r="AI93" i="70"/>
  <c r="AH93" i="70"/>
  <c r="AG93" i="70"/>
  <c r="AF93" i="70"/>
  <c r="AE93" i="70"/>
  <c r="AD93" i="70"/>
  <c r="AC93" i="70"/>
  <c r="AB93" i="70"/>
  <c r="AA93" i="70"/>
  <c r="X93" i="70"/>
  <c r="W93" i="70"/>
  <c r="U93" i="70"/>
  <c r="T93" i="70"/>
  <c r="R93" i="70"/>
  <c r="Q93" i="70"/>
  <c r="P93" i="70"/>
  <c r="O93" i="70"/>
  <c r="N93" i="70"/>
  <c r="M93" i="70"/>
  <c r="I93" i="70"/>
  <c r="H93" i="70"/>
  <c r="G93" i="70"/>
  <c r="F93" i="70"/>
  <c r="E93" i="70"/>
  <c r="D93" i="70"/>
  <c r="C93" i="70"/>
  <c r="B93" i="70"/>
  <c r="A93" i="70"/>
  <c r="AM92" i="70"/>
  <c r="AL92" i="70"/>
  <c r="AK92" i="70"/>
  <c r="AJ92" i="70"/>
  <c r="AI92" i="70"/>
  <c r="AH92" i="70"/>
  <c r="AG92" i="70"/>
  <c r="AF92" i="70"/>
  <c r="AE92" i="70"/>
  <c r="AD92" i="70"/>
  <c r="AC92" i="70"/>
  <c r="AB92" i="70"/>
  <c r="AA92" i="70"/>
  <c r="X92" i="70"/>
  <c r="W92" i="70"/>
  <c r="U92" i="70"/>
  <c r="T92" i="70"/>
  <c r="R92" i="70"/>
  <c r="Q92" i="70"/>
  <c r="P92" i="70"/>
  <c r="O92" i="70"/>
  <c r="N92" i="70"/>
  <c r="M92" i="70"/>
  <c r="I92" i="70"/>
  <c r="H92" i="70"/>
  <c r="G92" i="70"/>
  <c r="F92" i="70"/>
  <c r="E92" i="70"/>
  <c r="D92" i="70"/>
  <c r="C92" i="70"/>
  <c r="B92" i="70"/>
  <c r="A92" i="70"/>
  <c r="AM91" i="70"/>
  <c r="AL91" i="70"/>
  <c r="AK91" i="70"/>
  <c r="AJ91" i="70"/>
  <c r="AI91" i="70"/>
  <c r="AH91" i="70"/>
  <c r="AG91" i="70"/>
  <c r="AF91" i="70"/>
  <c r="AE91" i="70"/>
  <c r="AD91" i="70"/>
  <c r="AC91" i="70"/>
  <c r="AB91" i="70"/>
  <c r="AA91" i="70"/>
  <c r="Y91" i="70"/>
  <c r="X91" i="70"/>
  <c r="W91" i="70"/>
  <c r="U91" i="70"/>
  <c r="T91" i="70"/>
  <c r="R91" i="70"/>
  <c r="Q91" i="70"/>
  <c r="P91" i="70"/>
  <c r="O91" i="70"/>
  <c r="N91" i="70"/>
  <c r="M91" i="70"/>
  <c r="I91" i="70"/>
  <c r="H91" i="70"/>
  <c r="G91" i="70"/>
  <c r="F91" i="70"/>
  <c r="E91" i="70"/>
  <c r="D91" i="70"/>
  <c r="C91" i="70"/>
  <c r="B91" i="70"/>
  <c r="A91" i="70"/>
  <c r="X90" i="70"/>
  <c r="T90" i="70"/>
  <c r="R90" i="70"/>
  <c r="M90" i="70"/>
  <c r="L90" i="70"/>
  <c r="AM89" i="70"/>
  <c r="AL89" i="70"/>
  <c r="AK89" i="70"/>
  <c r="AJ89" i="70"/>
  <c r="AI89" i="70"/>
  <c r="AH89" i="70"/>
  <c r="AG89" i="70"/>
  <c r="AF89" i="70"/>
  <c r="AE89" i="70"/>
  <c r="AD89" i="70"/>
  <c r="AC89" i="70"/>
  <c r="AB89" i="70"/>
  <c r="AA89" i="70"/>
  <c r="Z89" i="70"/>
  <c r="X89" i="70"/>
  <c r="W89" i="70"/>
  <c r="U89" i="70"/>
  <c r="T89" i="70"/>
  <c r="R89" i="70"/>
  <c r="Q89" i="70"/>
  <c r="P89" i="70"/>
  <c r="O89" i="70"/>
  <c r="N89" i="70"/>
  <c r="M89" i="70"/>
  <c r="I89" i="70"/>
  <c r="H89" i="70"/>
  <c r="G89" i="70"/>
  <c r="F89" i="70"/>
  <c r="E89" i="70"/>
  <c r="D89" i="70"/>
  <c r="C89" i="70"/>
  <c r="B89" i="70"/>
  <c r="A89" i="70"/>
  <c r="AM88" i="70"/>
  <c r="AL88" i="70"/>
  <c r="AK88" i="70"/>
  <c r="AJ88" i="70"/>
  <c r="AI88" i="70"/>
  <c r="AH88" i="70"/>
  <c r="AG88" i="70"/>
  <c r="AF88" i="70"/>
  <c r="AE88" i="70"/>
  <c r="AD88" i="70"/>
  <c r="AC88" i="70"/>
  <c r="AB88" i="70"/>
  <c r="AA88" i="70"/>
  <c r="Z88" i="70"/>
  <c r="X88" i="70"/>
  <c r="W88" i="70"/>
  <c r="U88" i="70"/>
  <c r="T88" i="70"/>
  <c r="R88" i="70"/>
  <c r="Q88" i="70"/>
  <c r="P88" i="70"/>
  <c r="O88" i="70"/>
  <c r="N88" i="70"/>
  <c r="M88" i="70"/>
  <c r="I88" i="70"/>
  <c r="H88" i="70"/>
  <c r="G88" i="70"/>
  <c r="F88" i="70"/>
  <c r="E88" i="70"/>
  <c r="D88" i="70"/>
  <c r="C88" i="70"/>
  <c r="B88" i="70"/>
  <c r="A88" i="70"/>
  <c r="AM87" i="70"/>
  <c r="AL87" i="70"/>
  <c r="AK87" i="70"/>
  <c r="AJ87" i="70"/>
  <c r="AI87" i="70"/>
  <c r="AH87" i="70"/>
  <c r="AG87" i="70"/>
  <c r="AF87" i="70"/>
  <c r="AE87" i="70"/>
  <c r="AD87" i="70"/>
  <c r="AC87" i="70"/>
  <c r="AB87" i="70"/>
  <c r="AA87" i="70"/>
  <c r="Y87" i="70"/>
  <c r="X87" i="70"/>
  <c r="W87" i="70"/>
  <c r="U87" i="70"/>
  <c r="T87" i="70"/>
  <c r="R87" i="70"/>
  <c r="Q87" i="70"/>
  <c r="P87" i="70"/>
  <c r="O87" i="70"/>
  <c r="N87" i="70"/>
  <c r="M87" i="70"/>
  <c r="I87" i="70"/>
  <c r="H87" i="70"/>
  <c r="G87" i="70"/>
  <c r="F87" i="70"/>
  <c r="E87" i="70"/>
  <c r="D87" i="70"/>
  <c r="C87" i="70"/>
  <c r="B87" i="70"/>
  <c r="A87" i="70"/>
  <c r="AM86" i="70"/>
  <c r="AL86" i="70"/>
  <c r="AK86" i="70"/>
  <c r="AJ86" i="70"/>
  <c r="AI86" i="70"/>
  <c r="AH86" i="70"/>
  <c r="AG86" i="70"/>
  <c r="AF86" i="70"/>
  <c r="AE86" i="70"/>
  <c r="AD86" i="70"/>
  <c r="AC86" i="70"/>
  <c r="AB86" i="70"/>
  <c r="AA86" i="70"/>
  <c r="Z86" i="70"/>
  <c r="X86" i="70"/>
  <c r="W86" i="70"/>
  <c r="U86" i="70"/>
  <c r="T86" i="70"/>
  <c r="R86" i="70"/>
  <c r="Q86" i="70"/>
  <c r="P86" i="70"/>
  <c r="O86" i="70"/>
  <c r="N86" i="70"/>
  <c r="M86" i="70"/>
  <c r="I86" i="70"/>
  <c r="H86" i="70"/>
  <c r="G86" i="70"/>
  <c r="F86" i="70"/>
  <c r="E86" i="70"/>
  <c r="D86" i="70"/>
  <c r="C86" i="70"/>
  <c r="B86" i="70"/>
  <c r="A86" i="70"/>
  <c r="AM85" i="70"/>
  <c r="AL85" i="70"/>
  <c r="AK85" i="70"/>
  <c r="AJ85" i="70"/>
  <c r="AI85" i="70"/>
  <c r="AH85" i="70"/>
  <c r="AG85" i="70"/>
  <c r="AF85" i="70"/>
  <c r="AE85" i="70"/>
  <c r="AD85" i="70"/>
  <c r="AC85" i="70"/>
  <c r="AB85" i="70"/>
  <c r="AA85" i="70"/>
  <c r="Z85" i="70"/>
  <c r="X85" i="70"/>
  <c r="W85" i="70"/>
  <c r="U85" i="70"/>
  <c r="T85" i="70"/>
  <c r="R85" i="70"/>
  <c r="Q85" i="70"/>
  <c r="P85" i="70"/>
  <c r="O85" i="70"/>
  <c r="N85" i="70"/>
  <c r="M85" i="70"/>
  <c r="I85" i="70"/>
  <c r="H85" i="70"/>
  <c r="G85" i="70"/>
  <c r="F85" i="70"/>
  <c r="E85" i="70"/>
  <c r="D85" i="70"/>
  <c r="C85" i="70"/>
  <c r="B85" i="70"/>
  <c r="A85" i="70"/>
  <c r="AM84" i="70"/>
  <c r="AL84" i="70"/>
  <c r="AK84" i="70"/>
  <c r="AJ84" i="70"/>
  <c r="AI84" i="70"/>
  <c r="AH84" i="70"/>
  <c r="AG84" i="70"/>
  <c r="AF84" i="70"/>
  <c r="AE84" i="70"/>
  <c r="AD84" i="70"/>
  <c r="AC84" i="70"/>
  <c r="AB84" i="70"/>
  <c r="AA84" i="70"/>
  <c r="Z84" i="70"/>
  <c r="X84" i="70"/>
  <c r="W84" i="70"/>
  <c r="U84" i="70"/>
  <c r="T84" i="70"/>
  <c r="R84" i="70"/>
  <c r="Q84" i="70"/>
  <c r="P84" i="70"/>
  <c r="O84" i="70"/>
  <c r="N84" i="70"/>
  <c r="M84" i="70"/>
  <c r="I84" i="70"/>
  <c r="H84" i="70"/>
  <c r="G84" i="70"/>
  <c r="F84" i="70"/>
  <c r="E84" i="70"/>
  <c r="D84" i="70"/>
  <c r="C84" i="70"/>
  <c r="B84" i="70"/>
  <c r="A84" i="70"/>
  <c r="AM83" i="70"/>
  <c r="AL83" i="70"/>
  <c r="AK83" i="70"/>
  <c r="AJ83" i="70"/>
  <c r="AI83" i="70"/>
  <c r="AH83" i="70"/>
  <c r="AG83" i="70"/>
  <c r="AF83" i="70"/>
  <c r="AE83" i="70"/>
  <c r="AD83" i="70"/>
  <c r="AC83" i="70"/>
  <c r="AB83" i="70"/>
  <c r="AA83" i="70"/>
  <c r="Z83" i="70"/>
  <c r="X83" i="70"/>
  <c r="X76" i="70" s="1"/>
  <c r="W83" i="70"/>
  <c r="U83" i="70"/>
  <c r="T83" i="70"/>
  <c r="R83" i="70"/>
  <c r="Q83" i="70"/>
  <c r="P83" i="70"/>
  <c r="O83" i="70"/>
  <c r="N83" i="70"/>
  <c r="M83" i="70"/>
  <c r="I83" i="70"/>
  <c r="H83" i="70"/>
  <c r="G83" i="70"/>
  <c r="F83" i="70"/>
  <c r="E83" i="70"/>
  <c r="D83" i="70"/>
  <c r="C83" i="70"/>
  <c r="B83" i="70"/>
  <c r="A83" i="70"/>
  <c r="AM82" i="70"/>
  <c r="AL82" i="70"/>
  <c r="AK82" i="70"/>
  <c r="AJ82" i="70"/>
  <c r="AI82" i="70"/>
  <c r="AH82" i="70"/>
  <c r="AG82" i="70"/>
  <c r="AF82" i="70"/>
  <c r="AE82" i="70"/>
  <c r="AD82" i="70"/>
  <c r="AC82" i="70"/>
  <c r="AB82" i="70"/>
  <c r="AA82" i="70"/>
  <c r="Z82" i="70"/>
  <c r="X82" i="70"/>
  <c r="W82" i="70"/>
  <c r="U82" i="70"/>
  <c r="T82" i="70"/>
  <c r="R82" i="70"/>
  <c r="Q82" i="70"/>
  <c r="P82" i="70"/>
  <c r="O82" i="70"/>
  <c r="N82" i="70"/>
  <c r="M82" i="70"/>
  <c r="I82" i="70"/>
  <c r="H82" i="70"/>
  <c r="G82" i="70"/>
  <c r="F82" i="70"/>
  <c r="E82" i="70"/>
  <c r="D82" i="70"/>
  <c r="C82" i="70"/>
  <c r="B82" i="70"/>
  <c r="A82" i="70"/>
  <c r="AM81" i="70"/>
  <c r="AL81" i="70"/>
  <c r="AK81" i="70"/>
  <c r="AJ81" i="70"/>
  <c r="AI81" i="70"/>
  <c r="AH81" i="70"/>
  <c r="AG81" i="70"/>
  <c r="AF81" i="70"/>
  <c r="AE81" i="70"/>
  <c r="AD81" i="70"/>
  <c r="AC81" i="70"/>
  <c r="AB81" i="70"/>
  <c r="AA81" i="70"/>
  <c r="Z81" i="70"/>
  <c r="X81" i="70"/>
  <c r="W81" i="70"/>
  <c r="U81" i="70"/>
  <c r="T81" i="70"/>
  <c r="R81" i="70"/>
  <c r="Q81" i="70"/>
  <c r="P81" i="70"/>
  <c r="O81" i="70"/>
  <c r="N81" i="70"/>
  <c r="M81" i="70"/>
  <c r="I81" i="70"/>
  <c r="H81" i="70"/>
  <c r="G81" i="70"/>
  <c r="F81" i="70"/>
  <c r="E81" i="70"/>
  <c r="D81" i="70"/>
  <c r="C81" i="70"/>
  <c r="B81" i="70"/>
  <c r="A81" i="70"/>
  <c r="AM80" i="70"/>
  <c r="AL80" i="70"/>
  <c r="AK80" i="70"/>
  <c r="AJ80" i="70"/>
  <c r="AI80" i="70"/>
  <c r="AH80" i="70"/>
  <c r="AG80" i="70"/>
  <c r="AF80" i="70"/>
  <c r="AE80" i="70"/>
  <c r="AD80" i="70"/>
  <c r="AC80" i="70"/>
  <c r="AB80" i="70"/>
  <c r="AA80" i="70"/>
  <c r="Z80" i="70"/>
  <c r="Y80" i="70"/>
  <c r="X80" i="70"/>
  <c r="W80" i="70"/>
  <c r="U80" i="70"/>
  <c r="T80" i="70"/>
  <c r="R80" i="70"/>
  <c r="Q80" i="70"/>
  <c r="P80" i="70"/>
  <c r="O80" i="70"/>
  <c r="N80" i="70"/>
  <c r="I80" i="70"/>
  <c r="H80" i="70"/>
  <c r="G80" i="70"/>
  <c r="F80" i="70"/>
  <c r="E80" i="70"/>
  <c r="D80" i="70"/>
  <c r="C80" i="70"/>
  <c r="B80" i="70"/>
  <c r="A80" i="70"/>
  <c r="AM79" i="70"/>
  <c r="AL79" i="70"/>
  <c r="AK79" i="70"/>
  <c r="AJ79" i="70"/>
  <c r="AI79" i="70"/>
  <c r="AH79" i="70"/>
  <c r="AG79" i="70"/>
  <c r="AF79" i="70"/>
  <c r="AE79" i="70"/>
  <c r="AD79" i="70"/>
  <c r="AC79" i="70"/>
  <c r="AB79" i="70"/>
  <c r="AA79" i="70"/>
  <c r="Z79" i="70"/>
  <c r="Y79" i="70"/>
  <c r="X79" i="70"/>
  <c r="W79" i="70"/>
  <c r="U79" i="70"/>
  <c r="T79" i="70"/>
  <c r="R79" i="70"/>
  <c r="Q79" i="70"/>
  <c r="P79" i="70"/>
  <c r="O79" i="70"/>
  <c r="N79" i="70"/>
  <c r="I79" i="70"/>
  <c r="H79" i="70"/>
  <c r="G79" i="70"/>
  <c r="F79" i="70"/>
  <c r="E79" i="70"/>
  <c r="D79" i="70"/>
  <c r="C79" i="70"/>
  <c r="B79" i="70"/>
  <c r="A79" i="70"/>
  <c r="AM78" i="70"/>
  <c r="AL78" i="70"/>
  <c r="AK78" i="70"/>
  <c r="AJ78" i="70"/>
  <c r="AI78" i="70"/>
  <c r="AH78" i="70"/>
  <c r="AG78" i="70"/>
  <c r="AF78" i="70"/>
  <c r="AE78" i="70"/>
  <c r="AD78" i="70"/>
  <c r="AC78" i="70"/>
  <c r="AB78" i="70"/>
  <c r="AA78" i="70"/>
  <c r="Z78" i="70"/>
  <c r="Y78" i="70"/>
  <c r="X78" i="70"/>
  <c r="W78" i="70"/>
  <c r="U78" i="70"/>
  <c r="T78" i="70"/>
  <c r="R78" i="70"/>
  <c r="Q78" i="70"/>
  <c r="P78" i="70"/>
  <c r="O78" i="70"/>
  <c r="N78" i="70"/>
  <c r="I78" i="70"/>
  <c r="H78" i="70"/>
  <c r="G78" i="70"/>
  <c r="F78" i="70"/>
  <c r="E78" i="70"/>
  <c r="D78" i="70"/>
  <c r="C78" i="70"/>
  <c r="B78" i="70"/>
  <c r="A78" i="70"/>
  <c r="AM77" i="70"/>
  <c r="AL77" i="70"/>
  <c r="AK77" i="70"/>
  <c r="AJ77" i="70"/>
  <c r="AI77" i="70"/>
  <c r="AH77" i="70"/>
  <c r="AG77" i="70"/>
  <c r="AF77" i="70"/>
  <c r="AE77" i="70"/>
  <c r="AD77" i="70"/>
  <c r="AC77" i="70"/>
  <c r="AB77" i="70"/>
  <c r="AA77" i="70"/>
  <c r="X77" i="70"/>
  <c r="W77" i="70"/>
  <c r="Q77" i="70"/>
  <c r="P77" i="70"/>
  <c r="O77" i="70"/>
  <c r="N77" i="70"/>
  <c r="M77" i="70"/>
  <c r="I77" i="70"/>
  <c r="H77" i="70"/>
  <c r="G77" i="70"/>
  <c r="F77" i="70"/>
  <c r="E77" i="70"/>
  <c r="D77" i="70"/>
  <c r="C77" i="70"/>
  <c r="B77" i="70"/>
  <c r="A77" i="70"/>
  <c r="M76" i="70"/>
  <c r="L76" i="70"/>
  <c r="AM75" i="70"/>
  <c r="AL75" i="70"/>
  <c r="AK75" i="70"/>
  <c r="AJ75" i="70"/>
  <c r="AI75" i="70"/>
  <c r="AH75" i="70"/>
  <c r="AG75" i="70"/>
  <c r="AF75" i="70"/>
  <c r="AE75" i="70"/>
  <c r="AD75" i="70"/>
  <c r="AC75" i="70"/>
  <c r="AB75" i="70"/>
  <c r="AA75" i="70"/>
  <c r="Z75" i="70"/>
  <c r="X75" i="70"/>
  <c r="W75" i="70"/>
  <c r="U75" i="70"/>
  <c r="R75" i="70"/>
  <c r="Q75" i="70"/>
  <c r="P75" i="70"/>
  <c r="O75" i="70"/>
  <c r="N75" i="70"/>
  <c r="M75" i="70"/>
  <c r="I75" i="70"/>
  <c r="H75" i="70"/>
  <c r="G75" i="70"/>
  <c r="F75" i="70"/>
  <c r="E75" i="70"/>
  <c r="D75" i="70"/>
  <c r="C75" i="70"/>
  <c r="B75" i="70"/>
  <c r="A75" i="70"/>
  <c r="AM74" i="70"/>
  <c r="AL74" i="70"/>
  <c r="AK74" i="70"/>
  <c r="AJ74" i="70"/>
  <c r="AI74" i="70"/>
  <c r="AH74" i="70"/>
  <c r="AG74" i="70"/>
  <c r="AF74" i="70"/>
  <c r="AE74" i="70"/>
  <c r="AD74" i="70"/>
  <c r="AC74" i="70"/>
  <c r="AB74" i="70"/>
  <c r="AA74" i="70"/>
  <c r="Z74" i="70"/>
  <c r="X74" i="70"/>
  <c r="W74" i="70"/>
  <c r="U74" i="70"/>
  <c r="R74" i="70"/>
  <c r="Q74" i="70"/>
  <c r="P74" i="70"/>
  <c r="O74" i="70"/>
  <c r="N74" i="70"/>
  <c r="M74" i="70"/>
  <c r="I74" i="70"/>
  <c r="H74" i="70"/>
  <c r="G74" i="70"/>
  <c r="F74" i="70"/>
  <c r="E74" i="70"/>
  <c r="D74" i="70"/>
  <c r="C74" i="70"/>
  <c r="B74" i="70"/>
  <c r="A74" i="70"/>
  <c r="AM73" i="70"/>
  <c r="AL73" i="70"/>
  <c r="AK73" i="70"/>
  <c r="AJ73" i="70"/>
  <c r="AI73" i="70"/>
  <c r="AH73" i="70"/>
  <c r="AG73" i="70"/>
  <c r="AF73" i="70"/>
  <c r="AE73" i="70"/>
  <c r="AD73" i="70"/>
  <c r="AC73" i="70"/>
  <c r="AB73" i="70"/>
  <c r="AA73" i="70"/>
  <c r="Z73" i="70"/>
  <c r="Y73" i="70"/>
  <c r="X73" i="70"/>
  <c r="W73" i="70"/>
  <c r="U73" i="70"/>
  <c r="R73" i="70"/>
  <c r="Q73" i="70"/>
  <c r="P73" i="70"/>
  <c r="N73" i="70"/>
  <c r="I73" i="70"/>
  <c r="H73" i="70"/>
  <c r="G73" i="70"/>
  <c r="F73" i="70"/>
  <c r="E73" i="70"/>
  <c r="D73" i="70"/>
  <c r="C73" i="70"/>
  <c r="B73" i="70"/>
  <c r="A73" i="70"/>
  <c r="AM72" i="70"/>
  <c r="AL72" i="70"/>
  <c r="AK72" i="70"/>
  <c r="AJ72" i="70"/>
  <c r="AI72" i="70"/>
  <c r="AH72" i="70"/>
  <c r="AG72" i="70"/>
  <c r="AF72" i="70"/>
  <c r="AE72" i="70"/>
  <c r="AD72" i="70"/>
  <c r="AC72" i="70"/>
  <c r="AB72" i="70"/>
  <c r="AA72" i="70"/>
  <c r="Z72" i="70"/>
  <c r="Y72" i="70"/>
  <c r="X72" i="70"/>
  <c r="W72" i="70"/>
  <c r="U72" i="70"/>
  <c r="R72" i="70"/>
  <c r="Q72" i="70"/>
  <c r="P72" i="70"/>
  <c r="N72" i="70"/>
  <c r="I72" i="70"/>
  <c r="H72" i="70"/>
  <c r="G72" i="70"/>
  <c r="F72" i="70"/>
  <c r="E72" i="70"/>
  <c r="D72" i="70"/>
  <c r="C72" i="70"/>
  <c r="B72" i="70"/>
  <c r="A72" i="70"/>
  <c r="AM71" i="70"/>
  <c r="AL71" i="70"/>
  <c r="AK71" i="70"/>
  <c r="AJ71" i="70"/>
  <c r="AI71" i="70"/>
  <c r="AH71" i="70"/>
  <c r="AG71" i="70"/>
  <c r="AF71" i="70"/>
  <c r="AE71" i="70"/>
  <c r="AD71" i="70"/>
  <c r="AC71" i="70"/>
  <c r="AB71" i="70"/>
  <c r="AA71" i="70"/>
  <c r="X71" i="70"/>
  <c r="W71" i="70"/>
  <c r="U71" i="70"/>
  <c r="R71" i="70"/>
  <c r="Q71" i="70"/>
  <c r="P71" i="70"/>
  <c r="O71" i="70"/>
  <c r="N71" i="70"/>
  <c r="M71" i="70"/>
  <c r="I71" i="70"/>
  <c r="H71" i="70"/>
  <c r="G71" i="70"/>
  <c r="F71" i="70"/>
  <c r="E71" i="70"/>
  <c r="D71" i="70"/>
  <c r="C71" i="70"/>
  <c r="B71" i="70"/>
  <c r="A71" i="70"/>
  <c r="AM70" i="70"/>
  <c r="AL70" i="70"/>
  <c r="AK70" i="70"/>
  <c r="AJ70" i="70"/>
  <c r="AI70" i="70"/>
  <c r="AH70" i="70"/>
  <c r="AG70" i="70"/>
  <c r="AF70" i="70"/>
  <c r="AE70" i="70"/>
  <c r="AD70" i="70"/>
  <c r="AC70" i="70"/>
  <c r="AB70" i="70"/>
  <c r="AA70" i="70"/>
  <c r="Y70" i="70"/>
  <c r="X70" i="70"/>
  <c r="W70" i="70"/>
  <c r="U70" i="70"/>
  <c r="R70" i="70"/>
  <c r="Q70" i="70"/>
  <c r="P70" i="70"/>
  <c r="O70" i="70"/>
  <c r="N70" i="70"/>
  <c r="M70" i="70"/>
  <c r="I70" i="70"/>
  <c r="H70" i="70"/>
  <c r="G70" i="70"/>
  <c r="F70" i="70"/>
  <c r="E70" i="70"/>
  <c r="D70" i="70"/>
  <c r="C70" i="70"/>
  <c r="B70" i="70"/>
  <c r="A70" i="70"/>
  <c r="X69" i="70"/>
  <c r="M69" i="70"/>
  <c r="L69" i="70"/>
  <c r="AM68" i="70"/>
  <c r="AL68" i="70"/>
  <c r="AK68" i="70"/>
  <c r="AJ68" i="70"/>
  <c r="AI68" i="70"/>
  <c r="AH68" i="70"/>
  <c r="AG68" i="70"/>
  <c r="AF68" i="70"/>
  <c r="AE68" i="70"/>
  <c r="AD68" i="70"/>
  <c r="AC68" i="70"/>
  <c r="AB68" i="70"/>
  <c r="AA68" i="70"/>
  <c r="Y68" i="70"/>
  <c r="X68" i="70"/>
  <c r="W68" i="70"/>
  <c r="U68" i="70"/>
  <c r="U66" i="70" s="1"/>
  <c r="R68" i="70"/>
  <c r="Q68" i="70"/>
  <c r="P68" i="70"/>
  <c r="O68" i="70"/>
  <c r="N68" i="70"/>
  <c r="M68" i="70"/>
  <c r="I68" i="70"/>
  <c r="H68" i="70"/>
  <c r="G68" i="70"/>
  <c r="F68" i="70"/>
  <c r="E68" i="70"/>
  <c r="D68" i="70"/>
  <c r="C68" i="70"/>
  <c r="B68" i="70"/>
  <c r="A68" i="70"/>
  <c r="AM67" i="70"/>
  <c r="AL67" i="70"/>
  <c r="AK67" i="70"/>
  <c r="AJ67" i="70"/>
  <c r="AI67" i="70"/>
  <c r="AH67" i="70"/>
  <c r="AG67" i="70"/>
  <c r="AF67" i="70"/>
  <c r="AE67" i="70"/>
  <c r="AD67" i="70"/>
  <c r="AC67" i="70"/>
  <c r="AB67" i="70"/>
  <c r="AA67" i="70"/>
  <c r="X67" i="70"/>
  <c r="X66" i="70" s="1"/>
  <c r="W67" i="70"/>
  <c r="U67" i="70"/>
  <c r="R67" i="70"/>
  <c r="Q67" i="70"/>
  <c r="P67" i="70"/>
  <c r="O67" i="70"/>
  <c r="N67" i="70"/>
  <c r="M67" i="70"/>
  <c r="I67" i="70"/>
  <c r="H67" i="70"/>
  <c r="G67" i="70"/>
  <c r="F67" i="70"/>
  <c r="E67" i="70"/>
  <c r="D67" i="70"/>
  <c r="C67" i="70"/>
  <c r="B67" i="70"/>
  <c r="A67" i="70"/>
  <c r="R66" i="70"/>
  <c r="M66" i="70"/>
  <c r="L66" i="70"/>
  <c r="AE65" i="70"/>
  <c r="AD65" i="70"/>
  <c r="AC65" i="70"/>
  <c r="AB65" i="70"/>
  <c r="AA65" i="70"/>
  <c r="Z65" i="70"/>
  <c r="Y65" i="70"/>
  <c r="X65" i="70"/>
  <c r="W65" i="70"/>
  <c r="U65" i="70"/>
  <c r="T65" i="70"/>
  <c r="S65" i="70"/>
  <c r="R65" i="70"/>
  <c r="Q65" i="70"/>
  <c r="P65" i="70"/>
  <c r="O65" i="70"/>
  <c r="N65" i="70"/>
  <c r="M65" i="70"/>
  <c r="AM64" i="70"/>
  <c r="AL64" i="70"/>
  <c r="AK64" i="70"/>
  <c r="AJ64" i="70"/>
  <c r="AI64" i="70"/>
  <c r="AH64" i="70"/>
  <c r="AG64" i="70"/>
  <c r="AF64" i="70"/>
  <c r="AE64" i="70"/>
  <c r="AD64" i="70"/>
  <c r="AC64" i="70"/>
  <c r="AB64" i="70"/>
  <c r="AA64" i="70"/>
  <c r="X64" i="70"/>
  <c r="W64" i="70"/>
  <c r="U64" i="70"/>
  <c r="R64" i="70"/>
  <c r="Q64" i="70"/>
  <c r="P64" i="70"/>
  <c r="O64" i="70"/>
  <c r="N64" i="70"/>
  <c r="M64" i="70"/>
  <c r="I64" i="70"/>
  <c r="H64" i="70"/>
  <c r="G64" i="70"/>
  <c r="F64" i="70"/>
  <c r="E64" i="70"/>
  <c r="D64" i="70"/>
  <c r="C64" i="70"/>
  <c r="B64" i="70"/>
  <c r="A64" i="70"/>
  <c r="AM63" i="70"/>
  <c r="AL63" i="70"/>
  <c r="AK63" i="70"/>
  <c r="AJ63" i="70"/>
  <c r="AI63" i="70"/>
  <c r="AH63" i="70"/>
  <c r="AG63" i="70"/>
  <c r="AF63" i="70"/>
  <c r="AE63" i="70"/>
  <c r="AD63" i="70"/>
  <c r="AC63" i="70"/>
  <c r="AB63" i="70"/>
  <c r="AA63" i="70"/>
  <c r="X63" i="70"/>
  <c r="W63" i="70"/>
  <c r="U63" i="70"/>
  <c r="R63" i="70"/>
  <c r="Q63" i="70"/>
  <c r="P63" i="70"/>
  <c r="O63" i="70"/>
  <c r="N63" i="70"/>
  <c r="M63" i="70"/>
  <c r="I63" i="70"/>
  <c r="H63" i="70"/>
  <c r="G63" i="70"/>
  <c r="F63" i="70"/>
  <c r="E63" i="70"/>
  <c r="D63" i="70"/>
  <c r="C63" i="70"/>
  <c r="B63" i="70"/>
  <c r="A63" i="70"/>
  <c r="AM62" i="70"/>
  <c r="AL62" i="70"/>
  <c r="AK62" i="70"/>
  <c r="AJ62" i="70"/>
  <c r="AI62" i="70"/>
  <c r="AH62" i="70"/>
  <c r="AG62" i="70"/>
  <c r="AF62" i="70"/>
  <c r="AE62" i="70"/>
  <c r="AD62" i="70"/>
  <c r="AC62" i="70"/>
  <c r="AB62" i="70"/>
  <c r="AA62" i="70"/>
  <c r="Z62" i="70"/>
  <c r="Y62" i="70"/>
  <c r="X62" i="70"/>
  <c r="W62" i="70"/>
  <c r="U62" i="70"/>
  <c r="T62" i="70"/>
  <c r="R62" i="70"/>
  <c r="Q62" i="70"/>
  <c r="P62" i="70"/>
  <c r="N62" i="70"/>
  <c r="I62" i="70"/>
  <c r="H62" i="70"/>
  <c r="G62" i="70"/>
  <c r="F62" i="70"/>
  <c r="E62" i="70"/>
  <c r="D62" i="70"/>
  <c r="C62" i="70"/>
  <c r="B62" i="70"/>
  <c r="A62" i="70"/>
  <c r="AM61" i="70"/>
  <c r="AL61" i="70"/>
  <c r="AK61" i="70"/>
  <c r="AJ61" i="70"/>
  <c r="AI61" i="70"/>
  <c r="AH61" i="70"/>
  <c r="AG61" i="70"/>
  <c r="AF61" i="70"/>
  <c r="AE61" i="70"/>
  <c r="AD61" i="70"/>
  <c r="AC61" i="70"/>
  <c r="AB61" i="70"/>
  <c r="AA61" i="70"/>
  <c r="Z61" i="70"/>
  <c r="Y61" i="70"/>
  <c r="X61" i="70"/>
  <c r="W61" i="70"/>
  <c r="U61" i="70"/>
  <c r="T61" i="70"/>
  <c r="R61" i="70"/>
  <c r="Q61" i="70"/>
  <c r="P61" i="70"/>
  <c r="N61" i="70"/>
  <c r="I61" i="70"/>
  <c r="H61" i="70"/>
  <c r="G61" i="70"/>
  <c r="F61" i="70"/>
  <c r="E61" i="70"/>
  <c r="D61" i="70"/>
  <c r="C61" i="70"/>
  <c r="B61" i="70"/>
  <c r="A61" i="70"/>
  <c r="AM60" i="70"/>
  <c r="AL60" i="70"/>
  <c r="AK60" i="70"/>
  <c r="AJ60" i="70"/>
  <c r="AI60" i="70"/>
  <c r="AH60" i="70"/>
  <c r="AG60" i="70"/>
  <c r="AF60" i="70"/>
  <c r="AE60" i="70"/>
  <c r="AD60" i="70"/>
  <c r="AC60" i="70"/>
  <c r="AB60" i="70"/>
  <c r="AA60" i="70"/>
  <c r="Z60" i="70"/>
  <c r="Y60" i="70"/>
  <c r="X60" i="70"/>
  <c r="W60" i="70"/>
  <c r="U60" i="70"/>
  <c r="R60" i="70"/>
  <c r="Q60" i="70"/>
  <c r="P60" i="70"/>
  <c r="N60" i="70"/>
  <c r="I60" i="70"/>
  <c r="H60" i="70"/>
  <c r="G60" i="70"/>
  <c r="F60" i="70"/>
  <c r="E60" i="70"/>
  <c r="D60" i="70"/>
  <c r="C60" i="70"/>
  <c r="B60" i="70"/>
  <c r="A60" i="70"/>
  <c r="AM59" i="70"/>
  <c r="AL59" i="70"/>
  <c r="AK59" i="70"/>
  <c r="AJ59" i="70"/>
  <c r="AI59" i="70"/>
  <c r="AH59" i="70"/>
  <c r="AG59" i="70"/>
  <c r="AF59" i="70"/>
  <c r="AE59" i="70"/>
  <c r="AD59" i="70"/>
  <c r="AC59" i="70"/>
  <c r="AB59" i="70"/>
  <c r="X59" i="70"/>
  <c r="W59" i="70"/>
  <c r="U59" i="70"/>
  <c r="R59" i="70"/>
  <c r="Q59" i="70"/>
  <c r="P59" i="70"/>
  <c r="O59" i="70"/>
  <c r="N59" i="70"/>
  <c r="M59" i="70"/>
  <c r="I59" i="70"/>
  <c r="H59" i="70"/>
  <c r="G59" i="70"/>
  <c r="F59" i="70"/>
  <c r="E59" i="70"/>
  <c r="D59" i="70"/>
  <c r="C59" i="70"/>
  <c r="B59" i="70"/>
  <c r="A59" i="70"/>
  <c r="AM58" i="70"/>
  <c r="AL58" i="70"/>
  <c r="AK58" i="70"/>
  <c r="AJ58" i="70"/>
  <c r="AI58" i="70"/>
  <c r="AH58" i="70"/>
  <c r="AG58" i="70"/>
  <c r="AF58" i="70"/>
  <c r="AE58" i="70"/>
  <c r="AD58" i="70"/>
  <c r="AC58" i="70"/>
  <c r="AB58" i="70"/>
  <c r="AA58" i="70"/>
  <c r="Y58" i="70"/>
  <c r="X58" i="70"/>
  <c r="W58" i="70"/>
  <c r="U58" i="70"/>
  <c r="R58" i="70"/>
  <c r="Q58" i="70"/>
  <c r="P58" i="70"/>
  <c r="O58" i="70"/>
  <c r="N58" i="70"/>
  <c r="M58" i="70"/>
  <c r="I58" i="70"/>
  <c r="H58" i="70"/>
  <c r="G58" i="70"/>
  <c r="F58" i="70"/>
  <c r="E58" i="70"/>
  <c r="D58" i="70"/>
  <c r="C58" i="70"/>
  <c r="B58" i="70"/>
  <c r="A58" i="70"/>
  <c r="AM57" i="70"/>
  <c r="AL57" i="70"/>
  <c r="AK57" i="70"/>
  <c r="AJ57" i="70"/>
  <c r="AI57" i="70"/>
  <c r="AH57" i="70"/>
  <c r="AG57" i="70"/>
  <c r="AF57" i="70"/>
  <c r="AE57" i="70"/>
  <c r="AD57" i="70"/>
  <c r="AC57" i="70"/>
  <c r="AB57" i="70"/>
  <c r="AA57" i="70"/>
  <c r="X57" i="70"/>
  <c r="W57" i="70"/>
  <c r="U57" i="70"/>
  <c r="R57" i="70"/>
  <c r="Q57" i="70"/>
  <c r="P57" i="70"/>
  <c r="O57" i="70"/>
  <c r="N57" i="70"/>
  <c r="M57" i="70"/>
  <c r="I57" i="70"/>
  <c r="H57" i="70"/>
  <c r="G57" i="70"/>
  <c r="F57" i="70"/>
  <c r="E57" i="70"/>
  <c r="D57" i="70"/>
  <c r="C57" i="70"/>
  <c r="B57" i="70"/>
  <c r="A57" i="70"/>
  <c r="AM56" i="70"/>
  <c r="AL56" i="70"/>
  <c r="AK56" i="70"/>
  <c r="AJ56" i="70"/>
  <c r="AI56" i="70"/>
  <c r="AH56" i="70"/>
  <c r="AG56" i="70"/>
  <c r="AF56" i="70"/>
  <c r="AE56" i="70"/>
  <c r="AD56" i="70"/>
  <c r="AC56" i="70"/>
  <c r="AB56" i="70"/>
  <c r="AA56" i="70"/>
  <c r="Z56" i="70"/>
  <c r="Y56" i="70"/>
  <c r="X56" i="70"/>
  <c r="W56" i="70"/>
  <c r="U56" i="70"/>
  <c r="R56" i="70"/>
  <c r="Q56" i="70"/>
  <c r="P56" i="70"/>
  <c r="O56" i="70"/>
  <c r="N56" i="70"/>
  <c r="AM55" i="70"/>
  <c r="AL55" i="70"/>
  <c r="AK55" i="70"/>
  <c r="AJ55" i="70"/>
  <c r="AI55" i="70"/>
  <c r="AH55" i="70"/>
  <c r="AG55" i="70"/>
  <c r="AF55" i="70"/>
  <c r="AE55" i="70"/>
  <c r="AD55" i="70"/>
  <c r="AC55" i="70"/>
  <c r="AB55" i="70"/>
  <c r="AA55" i="70"/>
  <c r="Z55" i="70"/>
  <c r="Y55" i="70"/>
  <c r="X55" i="70"/>
  <c r="W55" i="70"/>
  <c r="U55" i="70"/>
  <c r="R55" i="70"/>
  <c r="Q55" i="70"/>
  <c r="P55" i="70"/>
  <c r="O55" i="70"/>
  <c r="N55" i="70"/>
  <c r="AM54" i="70"/>
  <c r="AL54" i="70"/>
  <c r="AK54" i="70"/>
  <c r="AJ54" i="70"/>
  <c r="AI54" i="70"/>
  <c r="AH54" i="70"/>
  <c r="AG54" i="70"/>
  <c r="AF54" i="70"/>
  <c r="AE54" i="70"/>
  <c r="AD54" i="70"/>
  <c r="AC54" i="70"/>
  <c r="AB54" i="70"/>
  <c r="AA54" i="70"/>
  <c r="Z54" i="70"/>
  <c r="X54" i="70"/>
  <c r="W54" i="70"/>
  <c r="U54" i="70"/>
  <c r="R54" i="70"/>
  <c r="Q54" i="70"/>
  <c r="P54" i="70"/>
  <c r="O54" i="70"/>
  <c r="N54" i="70"/>
  <c r="M54" i="70"/>
  <c r="I54" i="70"/>
  <c r="H54" i="70"/>
  <c r="G54" i="70"/>
  <c r="F54" i="70"/>
  <c r="E54" i="70"/>
  <c r="D54" i="70"/>
  <c r="C54" i="70"/>
  <c r="B54" i="70"/>
  <c r="A54" i="70"/>
  <c r="X53" i="70"/>
  <c r="M53" i="70"/>
  <c r="L53" i="70"/>
  <c r="AE52" i="70"/>
  <c r="AD52" i="70"/>
  <c r="AC52" i="70"/>
  <c r="AB52" i="70"/>
  <c r="AA52" i="70"/>
  <c r="Z52" i="70"/>
  <c r="Y52" i="70"/>
  <c r="X52" i="70"/>
  <c r="W52" i="70"/>
  <c r="V52" i="70"/>
  <c r="U52" i="70"/>
  <c r="T52" i="70"/>
  <c r="R52" i="70"/>
  <c r="Q52" i="70"/>
  <c r="P52" i="70"/>
  <c r="O52" i="70"/>
  <c r="N52" i="70"/>
  <c r="M52" i="70"/>
  <c r="AM51" i="70"/>
  <c r="AL51" i="70"/>
  <c r="AK51" i="70"/>
  <c r="AJ51" i="70"/>
  <c r="AI51" i="70"/>
  <c r="AH51" i="70"/>
  <c r="AG51" i="70"/>
  <c r="AF51" i="70"/>
  <c r="AE51" i="70"/>
  <c r="AD51" i="70"/>
  <c r="AC51" i="70"/>
  <c r="AB51" i="70"/>
  <c r="AA51" i="70"/>
  <c r="Y51" i="70"/>
  <c r="X51" i="70"/>
  <c r="W51" i="70"/>
  <c r="U51" i="70"/>
  <c r="T51" i="70"/>
  <c r="R51" i="70"/>
  <c r="Q51" i="70"/>
  <c r="P51" i="70"/>
  <c r="O51" i="70"/>
  <c r="N51" i="70"/>
  <c r="AM50" i="70"/>
  <c r="AL50" i="70"/>
  <c r="AK50" i="70"/>
  <c r="AJ50" i="70"/>
  <c r="AI50" i="70"/>
  <c r="AH50" i="70"/>
  <c r="AG50" i="70"/>
  <c r="AF50" i="70"/>
  <c r="AE50" i="70"/>
  <c r="AD50" i="70"/>
  <c r="AC50" i="70"/>
  <c r="AB50" i="70"/>
  <c r="AA50" i="70"/>
  <c r="Y50" i="70"/>
  <c r="X50" i="70"/>
  <c r="W50" i="70"/>
  <c r="U50" i="70"/>
  <c r="T50" i="70"/>
  <c r="R50" i="70"/>
  <c r="Q50" i="70"/>
  <c r="P50" i="70"/>
  <c r="O50" i="70"/>
  <c r="N50" i="70"/>
  <c r="I50" i="70"/>
  <c r="H50" i="70"/>
  <c r="G50" i="70"/>
  <c r="F50" i="70"/>
  <c r="E50" i="70"/>
  <c r="D50" i="70"/>
  <c r="C50" i="70"/>
  <c r="B50" i="70"/>
  <c r="A50" i="70"/>
  <c r="AM49" i="70"/>
  <c r="AL49" i="70"/>
  <c r="AK49" i="70"/>
  <c r="AJ49" i="70"/>
  <c r="AI49" i="70"/>
  <c r="AH49" i="70"/>
  <c r="AG49" i="70"/>
  <c r="AF49" i="70"/>
  <c r="AE49" i="70"/>
  <c r="AD49" i="70"/>
  <c r="AC49" i="70"/>
  <c r="AB49" i="70"/>
  <c r="AA49" i="70"/>
  <c r="X49" i="70"/>
  <c r="W49" i="70"/>
  <c r="U49" i="70"/>
  <c r="T49" i="70"/>
  <c r="R49" i="70"/>
  <c r="Q49" i="70"/>
  <c r="P49" i="70"/>
  <c r="O49" i="70"/>
  <c r="N49" i="70"/>
  <c r="AM48" i="70"/>
  <c r="AL48" i="70"/>
  <c r="AK48" i="70"/>
  <c r="AJ48" i="70"/>
  <c r="AI48" i="70"/>
  <c r="AH48" i="70"/>
  <c r="AG48" i="70"/>
  <c r="AF48" i="70"/>
  <c r="AE48" i="70"/>
  <c r="AD48" i="70"/>
  <c r="AC48" i="70"/>
  <c r="AB48" i="70"/>
  <c r="AA48" i="70"/>
  <c r="Y48" i="70"/>
  <c r="X48" i="70"/>
  <c r="W48" i="70"/>
  <c r="U48" i="70"/>
  <c r="T48" i="70"/>
  <c r="R48" i="70"/>
  <c r="Q48" i="70"/>
  <c r="P48" i="70"/>
  <c r="O48" i="70"/>
  <c r="N48" i="70"/>
  <c r="I48" i="70"/>
  <c r="H48" i="70"/>
  <c r="G48" i="70"/>
  <c r="F48" i="70"/>
  <c r="E48" i="70"/>
  <c r="D48" i="70"/>
  <c r="C48" i="70"/>
  <c r="B48" i="70"/>
  <c r="A48" i="70"/>
  <c r="AM47" i="70"/>
  <c r="AL47" i="70"/>
  <c r="AK47" i="70"/>
  <c r="AJ47" i="70"/>
  <c r="AI47" i="70"/>
  <c r="AH47" i="70"/>
  <c r="AG47" i="70"/>
  <c r="AF47" i="70"/>
  <c r="AE47" i="70"/>
  <c r="AD47" i="70"/>
  <c r="AC47" i="70"/>
  <c r="AB47" i="70"/>
  <c r="AA47" i="70"/>
  <c r="X47" i="70"/>
  <c r="W47" i="70"/>
  <c r="Q47" i="70"/>
  <c r="P47" i="70"/>
  <c r="O47" i="70"/>
  <c r="N47" i="70"/>
  <c r="M47" i="70"/>
  <c r="I47" i="70"/>
  <c r="H47" i="70"/>
  <c r="G47" i="70"/>
  <c r="F47" i="70"/>
  <c r="E47" i="70"/>
  <c r="D47" i="70"/>
  <c r="C47" i="70"/>
  <c r="B47" i="70"/>
  <c r="A47" i="70"/>
  <c r="AM46" i="70"/>
  <c r="AL46" i="70"/>
  <c r="AK46" i="70"/>
  <c r="AJ46" i="70"/>
  <c r="AI46" i="70"/>
  <c r="AH46" i="70"/>
  <c r="AG46" i="70"/>
  <c r="AF46" i="70"/>
  <c r="AE46" i="70"/>
  <c r="AD46" i="70"/>
  <c r="AC46" i="70"/>
  <c r="AB46" i="70"/>
  <c r="AA46" i="70"/>
  <c r="Y46" i="70"/>
  <c r="X46" i="70"/>
  <c r="W46" i="70"/>
  <c r="U46" i="70"/>
  <c r="T46" i="70"/>
  <c r="R46" i="70"/>
  <c r="Q46" i="70"/>
  <c r="P46" i="70"/>
  <c r="O46" i="70"/>
  <c r="N46" i="70"/>
  <c r="I46" i="70"/>
  <c r="H46" i="70"/>
  <c r="G46" i="70"/>
  <c r="F46" i="70"/>
  <c r="E46" i="70"/>
  <c r="D46" i="70"/>
  <c r="C46" i="70"/>
  <c r="B46" i="70"/>
  <c r="A46" i="70"/>
  <c r="AM45" i="70"/>
  <c r="AL45" i="70"/>
  <c r="AK45" i="70"/>
  <c r="AJ45" i="70"/>
  <c r="AI45" i="70"/>
  <c r="AH45" i="70"/>
  <c r="AG45" i="70"/>
  <c r="AF45" i="70"/>
  <c r="AE45" i="70"/>
  <c r="AD45" i="70"/>
  <c r="AC45" i="70"/>
  <c r="AB45" i="70"/>
  <c r="AA45" i="70"/>
  <c r="Y45" i="70"/>
  <c r="X45" i="70"/>
  <c r="W45" i="70"/>
  <c r="U45" i="70"/>
  <c r="T45" i="70"/>
  <c r="R45" i="70"/>
  <c r="Q45" i="70"/>
  <c r="P45" i="70"/>
  <c r="O45" i="70"/>
  <c r="N45" i="70"/>
  <c r="I45" i="70"/>
  <c r="H45" i="70"/>
  <c r="G45" i="70"/>
  <c r="F45" i="70"/>
  <c r="E45" i="70"/>
  <c r="D45" i="70"/>
  <c r="C45" i="70"/>
  <c r="B45" i="70"/>
  <c r="A45" i="70"/>
  <c r="AM44" i="70"/>
  <c r="AL44" i="70"/>
  <c r="AK44" i="70"/>
  <c r="AJ44" i="70"/>
  <c r="AI44" i="70"/>
  <c r="AH44" i="70"/>
  <c r="AG44" i="70"/>
  <c r="AF44" i="70"/>
  <c r="AE44" i="70"/>
  <c r="AD44" i="70"/>
  <c r="AC44" i="70"/>
  <c r="AB44" i="70"/>
  <c r="AA44" i="70"/>
  <c r="Y44" i="70"/>
  <c r="X44" i="70"/>
  <c r="W44" i="70"/>
  <c r="U44" i="70"/>
  <c r="T44" i="70"/>
  <c r="R44" i="70"/>
  <c r="Q44" i="70"/>
  <c r="P44" i="70"/>
  <c r="O44" i="70"/>
  <c r="N44" i="70"/>
  <c r="I44" i="70"/>
  <c r="H44" i="70"/>
  <c r="G44" i="70"/>
  <c r="F44" i="70"/>
  <c r="E44" i="70"/>
  <c r="D44" i="70"/>
  <c r="C44" i="70"/>
  <c r="B44" i="70"/>
  <c r="A44" i="70"/>
  <c r="AM43" i="70"/>
  <c r="AL43" i="70"/>
  <c r="AK43" i="70"/>
  <c r="AJ43" i="70"/>
  <c r="AI43" i="70"/>
  <c r="AH43" i="70"/>
  <c r="AG43" i="70"/>
  <c r="AF43" i="70"/>
  <c r="AE43" i="70"/>
  <c r="AD43" i="70"/>
  <c r="AC43" i="70"/>
  <c r="AB43" i="70"/>
  <c r="AA43" i="70"/>
  <c r="X43" i="70"/>
  <c r="W43" i="70"/>
  <c r="U43" i="70"/>
  <c r="T43" i="70"/>
  <c r="R43" i="70"/>
  <c r="Q43" i="70"/>
  <c r="P43" i="70"/>
  <c r="O43" i="70"/>
  <c r="N43" i="70"/>
  <c r="I43" i="70"/>
  <c r="H43" i="70"/>
  <c r="G43" i="70"/>
  <c r="F43" i="70"/>
  <c r="E43" i="70"/>
  <c r="D43" i="70"/>
  <c r="C43" i="70"/>
  <c r="B43" i="70"/>
  <c r="A43" i="70"/>
  <c r="AM42" i="70"/>
  <c r="AL42" i="70"/>
  <c r="AK42" i="70"/>
  <c r="AJ42" i="70"/>
  <c r="AI42" i="70"/>
  <c r="AH42" i="70"/>
  <c r="AG42" i="70"/>
  <c r="AF42" i="70"/>
  <c r="AE42" i="70"/>
  <c r="AD42" i="70"/>
  <c r="AC42" i="70"/>
  <c r="AB42" i="70"/>
  <c r="AA42" i="70"/>
  <c r="Z42" i="70"/>
  <c r="Y42" i="70"/>
  <c r="X42" i="70"/>
  <c r="W42" i="70"/>
  <c r="U42" i="70"/>
  <c r="T42" i="70"/>
  <c r="R42" i="70"/>
  <c r="Q42" i="70"/>
  <c r="P42" i="70"/>
  <c r="O42" i="70"/>
  <c r="N42" i="70"/>
  <c r="I42" i="70"/>
  <c r="H42" i="70"/>
  <c r="G42" i="70"/>
  <c r="F42" i="70"/>
  <c r="E42" i="70"/>
  <c r="D42" i="70"/>
  <c r="C42" i="70"/>
  <c r="B42" i="70"/>
  <c r="A42" i="70"/>
  <c r="AM41" i="70"/>
  <c r="AL41" i="70"/>
  <c r="AK41" i="70"/>
  <c r="AJ41" i="70"/>
  <c r="AI41" i="70"/>
  <c r="AH41" i="70"/>
  <c r="AG41" i="70"/>
  <c r="AF41" i="70"/>
  <c r="AE41" i="70"/>
  <c r="AD41" i="70"/>
  <c r="AC41" i="70"/>
  <c r="AB41" i="70"/>
  <c r="AA41" i="70"/>
  <c r="Y41" i="70"/>
  <c r="X41" i="70"/>
  <c r="W41" i="70"/>
  <c r="U41" i="70"/>
  <c r="T41" i="70"/>
  <c r="R41" i="70"/>
  <c r="Q41" i="70"/>
  <c r="P41" i="70"/>
  <c r="O41" i="70"/>
  <c r="N41" i="70"/>
  <c r="I41" i="70"/>
  <c r="H41" i="70"/>
  <c r="G41" i="70"/>
  <c r="F41" i="70"/>
  <c r="E41" i="70"/>
  <c r="D41" i="70"/>
  <c r="C41" i="70"/>
  <c r="B41" i="70"/>
  <c r="A41" i="70"/>
  <c r="AM40" i="70"/>
  <c r="AL40" i="70"/>
  <c r="AK40" i="70"/>
  <c r="AJ40" i="70"/>
  <c r="AI40" i="70"/>
  <c r="AH40" i="70"/>
  <c r="AG40" i="70"/>
  <c r="AF40" i="70"/>
  <c r="AE40" i="70"/>
  <c r="AD40" i="70"/>
  <c r="AC40" i="70"/>
  <c r="AB40" i="70"/>
  <c r="AA40" i="70"/>
  <c r="Y40" i="70"/>
  <c r="X40" i="70"/>
  <c r="W40" i="70"/>
  <c r="U40" i="70"/>
  <c r="T40" i="70"/>
  <c r="R40" i="70"/>
  <c r="Q40" i="70"/>
  <c r="P40" i="70"/>
  <c r="O40" i="70"/>
  <c r="N40" i="70"/>
  <c r="I40" i="70"/>
  <c r="H40" i="70"/>
  <c r="G40" i="70"/>
  <c r="F40" i="70"/>
  <c r="E40" i="70"/>
  <c r="D40" i="70"/>
  <c r="C40" i="70"/>
  <c r="B40" i="70"/>
  <c r="A40" i="70"/>
  <c r="AM39" i="70"/>
  <c r="AL39" i="70"/>
  <c r="AK39" i="70"/>
  <c r="AJ39" i="70"/>
  <c r="AI39" i="70"/>
  <c r="AH39" i="70"/>
  <c r="AG39" i="70"/>
  <c r="AF39" i="70"/>
  <c r="AE39" i="70"/>
  <c r="AD39" i="70"/>
  <c r="AC39" i="70"/>
  <c r="AB39" i="70"/>
  <c r="AA39" i="70"/>
  <c r="Y39" i="70"/>
  <c r="X39" i="70"/>
  <c r="W39" i="70"/>
  <c r="U39" i="70"/>
  <c r="T39" i="70"/>
  <c r="R39" i="70"/>
  <c r="Q39" i="70"/>
  <c r="P39" i="70"/>
  <c r="O39" i="70"/>
  <c r="N39" i="70"/>
  <c r="I39" i="70"/>
  <c r="H39" i="70"/>
  <c r="G39" i="70"/>
  <c r="F39" i="70"/>
  <c r="E39" i="70"/>
  <c r="D39" i="70"/>
  <c r="C39" i="70"/>
  <c r="B39" i="70"/>
  <c r="A39" i="70"/>
  <c r="AM38" i="70"/>
  <c r="AL38" i="70"/>
  <c r="AK38" i="70"/>
  <c r="AJ38" i="70"/>
  <c r="AI38" i="70"/>
  <c r="AH38" i="70"/>
  <c r="AG38" i="70"/>
  <c r="AF38" i="70"/>
  <c r="AE38" i="70"/>
  <c r="AD38" i="70"/>
  <c r="AC38" i="70"/>
  <c r="AB38" i="70"/>
  <c r="AA38" i="70"/>
  <c r="X38" i="70"/>
  <c r="W38" i="70"/>
  <c r="Q38" i="70"/>
  <c r="P38" i="70"/>
  <c r="O38" i="70"/>
  <c r="N38" i="70"/>
  <c r="M38" i="70"/>
  <c r="I38" i="70"/>
  <c r="H38" i="70"/>
  <c r="G38" i="70"/>
  <c r="F38" i="70"/>
  <c r="E38" i="70"/>
  <c r="D38" i="70"/>
  <c r="C38" i="70"/>
  <c r="B38" i="70"/>
  <c r="A38" i="70"/>
  <c r="AM37" i="70"/>
  <c r="AL37" i="70"/>
  <c r="AK37" i="70"/>
  <c r="AJ37" i="70"/>
  <c r="AI37" i="70"/>
  <c r="AH37" i="70"/>
  <c r="AG37" i="70"/>
  <c r="AF37" i="70"/>
  <c r="AE37" i="70"/>
  <c r="AD37" i="70"/>
  <c r="AC37" i="70"/>
  <c r="AB37" i="70"/>
  <c r="AA37" i="70"/>
  <c r="Y37" i="70"/>
  <c r="X37" i="70"/>
  <c r="W37" i="70"/>
  <c r="U37" i="70"/>
  <c r="T37" i="70"/>
  <c r="R37" i="70"/>
  <c r="Q37" i="70"/>
  <c r="P37" i="70"/>
  <c r="O37" i="70"/>
  <c r="N37" i="70"/>
  <c r="M37" i="70"/>
  <c r="I37" i="70"/>
  <c r="H37" i="70"/>
  <c r="G37" i="70"/>
  <c r="F37" i="70"/>
  <c r="E37" i="70"/>
  <c r="D37" i="70"/>
  <c r="C37" i="70"/>
  <c r="B37" i="70"/>
  <c r="A37" i="70"/>
  <c r="AM36" i="70"/>
  <c r="AL36" i="70"/>
  <c r="AK36" i="70"/>
  <c r="AJ36" i="70"/>
  <c r="AI36" i="70"/>
  <c r="AH36" i="70"/>
  <c r="AG36" i="70"/>
  <c r="AF36" i="70"/>
  <c r="AE36" i="70"/>
  <c r="AD36" i="70"/>
  <c r="AC36" i="70"/>
  <c r="AB36" i="70"/>
  <c r="AA36" i="70"/>
  <c r="Z36" i="70"/>
  <c r="Y36" i="70"/>
  <c r="X36" i="70"/>
  <c r="W36" i="70"/>
  <c r="U36" i="70"/>
  <c r="T36" i="70"/>
  <c r="R36" i="70"/>
  <c r="Q36" i="70"/>
  <c r="P36" i="70"/>
  <c r="O36" i="70"/>
  <c r="N36" i="70"/>
  <c r="M36" i="70"/>
  <c r="I36" i="70"/>
  <c r="H36" i="70"/>
  <c r="G36" i="70"/>
  <c r="F36" i="70"/>
  <c r="E36" i="70"/>
  <c r="D36" i="70"/>
  <c r="C36" i="70"/>
  <c r="B36" i="70"/>
  <c r="A36" i="70"/>
  <c r="X35" i="70"/>
  <c r="M35" i="70"/>
  <c r="L35" i="70"/>
  <c r="AE34" i="70"/>
  <c r="AD34" i="70"/>
  <c r="AC34" i="70"/>
  <c r="AB34" i="70"/>
  <c r="AA34" i="70"/>
  <c r="Z34" i="70"/>
  <c r="Y34" i="70"/>
  <c r="X34" i="70"/>
  <c r="W34" i="70"/>
  <c r="V34" i="70"/>
  <c r="U34" i="70"/>
  <c r="T34" i="70"/>
  <c r="S34" i="70"/>
  <c r="R34" i="70"/>
  <c r="Q34" i="70"/>
  <c r="P34" i="70"/>
  <c r="O34" i="70"/>
  <c r="N34" i="70"/>
  <c r="M34" i="70"/>
  <c r="AM33" i="70"/>
  <c r="AL33" i="70"/>
  <c r="AK33" i="70"/>
  <c r="AJ33" i="70"/>
  <c r="AI33" i="70"/>
  <c r="AH33" i="70"/>
  <c r="AG33" i="70"/>
  <c r="AF33" i="70"/>
  <c r="AE33" i="70"/>
  <c r="AD33" i="70"/>
  <c r="AC33" i="70"/>
  <c r="AB33" i="70"/>
  <c r="AA33" i="70"/>
  <c r="X33" i="70"/>
  <c r="W33" i="70"/>
  <c r="U33" i="70"/>
  <c r="T33" i="70"/>
  <c r="S33" i="70"/>
  <c r="R33" i="70"/>
  <c r="Q33" i="70"/>
  <c r="P33" i="70"/>
  <c r="O33" i="70"/>
  <c r="N33" i="70"/>
  <c r="M33" i="70"/>
  <c r="I33" i="70"/>
  <c r="H33" i="70"/>
  <c r="G33" i="70"/>
  <c r="F33" i="70"/>
  <c r="E33" i="70"/>
  <c r="D33" i="70"/>
  <c r="C33" i="70"/>
  <c r="B33" i="70"/>
  <c r="A33" i="70"/>
  <c r="AM32" i="70"/>
  <c r="AL32" i="70"/>
  <c r="AK32" i="70"/>
  <c r="AJ32" i="70"/>
  <c r="AI32" i="70"/>
  <c r="AH32" i="70"/>
  <c r="AG32" i="70"/>
  <c r="AF32" i="70"/>
  <c r="AE32" i="70"/>
  <c r="AD32" i="70"/>
  <c r="AC32" i="70"/>
  <c r="AB32" i="70"/>
  <c r="AA32" i="70"/>
  <c r="Y32" i="70"/>
  <c r="X32" i="70"/>
  <c r="W32" i="70"/>
  <c r="U32" i="70"/>
  <c r="T32" i="70"/>
  <c r="S32" i="70"/>
  <c r="R32" i="70"/>
  <c r="Q32" i="70"/>
  <c r="P32" i="70"/>
  <c r="O32" i="70"/>
  <c r="N32" i="70"/>
  <c r="M32" i="70"/>
  <c r="I32" i="70"/>
  <c r="H32" i="70"/>
  <c r="G32" i="70"/>
  <c r="F32" i="70"/>
  <c r="E32" i="70"/>
  <c r="D32" i="70"/>
  <c r="C32" i="70"/>
  <c r="B32" i="70"/>
  <c r="A32" i="70"/>
  <c r="AM31" i="70"/>
  <c r="AL31" i="70"/>
  <c r="AK31" i="70"/>
  <c r="AJ31" i="70"/>
  <c r="AI31" i="70"/>
  <c r="AH31" i="70"/>
  <c r="AG31" i="70"/>
  <c r="AF31" i="70"/>
  <c r="AE31" i="70"/>
  <c r="AD31" i="70"/>
  <c r="AC31" i="70"/>
  <c r="AB31" i="70"/>
  <c r="AA31" i="70"/>
  <c r="Y31" i="70"/>
  <c r="X31" i="70"/>
  <c r="W31" i="70"/>
  <c r="U31" i="70"/>
  <c r="T31" i="70"/>
  <c r="S31" i="70"/>
  <c r="R31" i="70"/>
  <c r="Q31" i="70"/>
  <c r="P31" i="70"/>
  <c r="O31" i="70"/>
  <c r="N31" i="70"/>
  <c r="M31" i="70"/>
  <c r="I31" i="70"/>
  <c r="H31" i="70"/>
  <c r="G31" i="70"/>
  <c r="F31" i="70"/>
  <c r="E31" i="70"/>
  <c r="D31" i="70"/>
  <c r="C31" i="70"/>
  <c r="B31" i="70"/>
  <c r="A31" i="70"/>
  <c r="AM30" i="70"/>
  <c r="AL30" i="70"/>
  <c r="AK30" i="70"/>
  <c r="AJ30" i="70"/>
  <c r="AI30" i="70"/>
  <c r="AH30" i="70"/>
  <c r="AG30" i="70"/>
  <c r="AF30" i="70"/>
  <c r="AE30" i="70"/>
  <c r="AD30" i="70"/>
  <c r="AC30" i="70"/>
  <c r="AB30" i="70"/>
  <c r="AA30" i="70"/>
  <c r="Y30" i="70"/>
  <c r="X30" i="70"/>
  <c r="W30" i="70"/>
  <c r="U30" i="70"/>
  <c r="T30" i="70"/>
  <c r="S30" i="70"/>
  <c r="R30" i="70"/>
  <c r="Q30" i="70"/>
  <c r="P30" i="70"/>
  <c r="O30" i="70"/>
  <c r="N30" i="70"/>
  <c r="M30" i="70"/>
  <c r="I30" i="70"/>
  <c r="H30" i="70"/>
  <c r="G30" i="70"/>
  <c r="F30" i="70"/>
  <c r="E30" i="70"/>
  <c r="D30" i="70"/>
  <c r="C30" i="70"/>
  <c r="B30" i="70"/>
  <c r="A30" i="70"/>
  <c r="AM29" i="70"/>
  <c r="AL29" i="70"/>
  <c r="AK29" i="70"/>
  <c r="AJ29" i="70"/>
  <c r="AI29" i="70"/>
  <c r="AH29" i="70"/>
  <c r="AG29" i="70"/>
  <c r="AF29" i="70"/>
  <c r="AE29" i="70"/>
  <c r="AD29" i="70"/>
  <c r="AC29" i="70"/>
  <c r="AB29" i="70"/>
  <c r="AA29" i="70"/>
  <c r="Y29" i="70"/>
  <c r="X29" i="70"/>
  <c r="W29" i="70"/>
  <c r="U29" i="70"/>
  <c r="T29" i="70"/>
  <c r="S29" i="70"/>
  <c r="R29" i="70"/>
  <c r="Q29" i="70"/>
  <c r="P29" i="70"/>
  <c r="O29" i="70"/>
  <c r="N29" i="70"/>
  <c r="M29" i="70"/>
  <c r="I29" i="70"/>
  <c r="H29" i="70"/>
  <c r="G29" i="70"/>
  <c r="F29" i="70"/>
  <c r="E29" i="70"/>
  <c r="D29" i="70"/>
  <c r="C29" i="70"/>
  <c r="B29" i="70"/>
  <c r="A29" i="70"/>
  <c r="AM28" i="70"/>
  <c r="AL28" i="70"/>
  <c r="AK28" i="70"/>
  <c r="AJ28" i="70"/>
  <c r="AI28" i="70"/>
  <c r="AH28" i="70"/>
  <c r="AG28" i="70"/>
  <c r="AF28" i="70"/>
  <c r="AE28" i="70"/>
  <c r="AD28" i="70"/>
  <c r="AC28" i="70"/>
  <c r="AB28" i="70"/>
  <c r="AA28" i="70"/>
  <c r="Y28" i="70"/>
  <c r="X28" i="70"/>
  <c r="X25" i="70" s="1"/>
  <c r="W28" i="70"/>
  <c r="U28" i="70"/>
  <c r="T28" i="70"/>
  <c r="S28" i="70"/>
  <c r="R28" i="70"/>
  <c r="Q28" i="70"/>
  <c r="P28" i="70"/>
  <c r="O28" i="70"/>
  <c r="N28" i="70"/>
  <c r="M28" i="70"/>
  <c r="I28" i="70"/>
  <c r="H28" i="70"/>
  <c r="G28" i="70"/>
  <c r="F28" i="70"/>
  <c r="E28" i="70"/>
  <c r="D28" i="70"/>
  <c r="C28" i="70"/>
  <c r="B28" i="70"/>
  <c r="A28" i="70"/>
  <c r="AM27" i="70"/>
  <c r="AL27" i="70"/>
  <c r="AK27" i="70"/>
  <c r="AJ27" i="70"/>
  <c r="AI27" i="70"/>
  <c r="AH27" i="70"/>
  <c r="AG27" i="70"/>
  <c r="AF27" i="70"/>
  <c r="AE27" i="70"/>
  <c r="AD27" i="70"/>
  <c r="AC27" i="70"/>
  <c r="AB27" i="70"/>
  <c r="AA27" i="70"/>
  <c r="X27" i="70"/>
  <c r="W27" i="70"/>
  <c r="U27" i="70"/>
  <c r="U25" i="70" s="1"/>
  <c r="T27" i="70"/>
  <c r="S27" i="70"/>
  <c r="R27" i="70"/>
  <c r="Q27" i="70"/>
  <c r="P27" i="70"/>
  <c r="O27" i="70"/>
  <c r="N27" i="70"/>
  <c r="M27" i="70"/>
  <c r="I27" i="70"/>
  <c r="H27" i="70"/>
  <c r="G27" i="70"/>
  <c r="F27" i="70"/>
  <c r="E27" i="70"/>
  <c r="D27" i="70"/>
  <c r="C27" i="70"/>
  <c r="B27" i="70"/>
  <c r="A27" i="70"/>
  <c r="AE26" i="70"/>
  <c r="AD26" i="70"/>
  <c r="AC26" i="70"/>
  <c r="AB26" i="70"/>
  <c r="AA26" i="70"/>
  <c r="X26" i="70"/>
  <c r="W26" i="70"/>
  <c r="U26" i="70"/>
  <c r="T26" i="70"/>
  <c r="S26" i="70"/>
  <c r="R26" i="70"/>
  <c r="R25" i="70" s="1"/>
  <c r="Q26" i="70"/>
  <c r="P26" i="70"/>
  <c r="O26" i="70"/>
  <c r="N26" i="70"/>
  <c r="M26" i="70"/>
  <c r="M25" i="70"/>
  <c r="L25" i="70"/>
  <c r="AM24" i="70"/>
  <c r="AL24" i="70"/>
  <c r="AK24" i="70"/>
  <c r="AJ24" i="70"/>
  <c r="AI24" i="70"/>
  <c r="AH24" i="70"/>
  <c r="AG24" i="70"/>
  <c r="AF24" i="70"/>
  <c r="AE24" i="70"/>
  <c r="AD24" i="70"/>
  <c r="AC24" i="70"/>
  <c r="AB24" i="70"/>
  <c r="AA24" i="70"/>
  <c r="Y24" i="70"/>
  <c r="X24" i="70"/>
  <c r="W24" i="70"/>
  <c r="U24" i="70"/>
  <c r="S24" i="70"/>
  <c r="R24" i="70"/>
  <c r="Q24" i="70"/>
  <c r="P24" i="70"/>
  <c r="O24" i="70"/>
  <c r="N24" i="70"/>
  <c r="M24" i="70"/>
  <c r="I24" i="70"/>
  <c r="H24" i="70"/>
  <c r="G24" i="70"/>
  <c r="F24" i="70"/>
  <c r="E24" i="70"/>
  <c r="D24" i="70"/>
  <c r="C24" i="70"/>
  <c r="B24" i="70"/>
  <c r="A24" i="70"/>
  <c r="AM23" i="70"/>
  <c r="AL23" i="70"/>
  <c r="AK23" i="70"/>
  <c r="AJ23" i="70"/>
  <c r="AI23" i="70"/>
  <c r="AH23" i="70"/>
  <c r="AG23" i="70"/>
  <c r="AF23" i="70"/>
  <c r="AE23" i="70"/>
  <c r="AD23" i="70"/>
  <c r="AC23" i="70"/>
  <c r="AB23" i="70"/>
  <c r="AA23" i="70"/>
  <c r="Y23" i="70"/>
  <c r="X23" i="70"/>
  <c r="W23" i="70"/>
  <c r="U23" i="70"/>
  <c r="S23" i="70"/>
  <c r="R23" i="70"/>
  <c r="Q23" i="70"/>
  <c r="P23" i="70"/>
  <c r="O23" i="70"/>
  <c r="N23" i="70"/>
  <c r="M23" i="70"/>
  <c r="I23" i="70"/>
  <c r="H23" i="70"/>
  <c r="G23" i="70"/>
  <c r="F23" i="70"/>
  <c r="E23" i="70"/>
  <c r="D23" i="70"/>
  <c r="C23" i="70"/>
  <c r="B23" i="70"/>
  <c r="A23" i="70"/>
  <c r="AM22" i="70"/>
  <c r="AL22" i="70"/>
  <c r="AK22" i="70"/>
  <c r="AJ22" i="70"/>
  <c r="AI22" i="70"/>
  <c r="AH22" i="70"/>
  <c r="AG22" i="70"/>
  <c r="AF22" i="70"/>
  <c r="AE22" i="70"/>
  <c r="AD22" i="70"/>
  <c r="AC22" i="70"/>
  <c r="AB22" i="70"/>
  <c r="AA22" i="70"/>
  <c r="Y22" i="70"/>
  <c r="X22" i="70"/>
  <c r="W22" i="70"/>
  <c r="U22" i="70"/>
  <c r="T22" i="70"/>
  <c r="S22" i="70"/>
  <c r="R22" i="70"/>
  <c r="Q22" i="70"/>
  <c r="P22" i="70"/>
  <c r="O22" i="70"/>
  <c r="N22" i="70"/>
  <c r="M22" i="70"/>
  <c r="I22" i="70"/>
  <c r="H22" i="70"/>
  <c r="G22" i="70"/>
  <c r="F22" i="70"/>
  <c r="E22" i="70"/>
  <c r="D22" i="70"/>
  <c r="C22" i="70"/>
  <c r="B22" i="70"/>
  <c r="A22" i="70"/>
  <c r="AM21" i="70"/>
  <c r="AL21" i="70"/>
  <c r="AK21" i="70"/>
  <c r="AJ21" i="70"/>
  <c r="AI21" i="70"/>
  <c r="AH21" i="70"/>
  <c r="AG21" i="70"/>
  <c r="AF21" i="70"/>
  <c r="AE21" i="70"/>
  <c r="AD21" i="70"/>
  <c r="AC21" i="70"/>
  <c r="AB21" i="70"/>
  <c r="AA21" i="70"/>
  <c r="Y21" i="70"/>
  <c r="Y19" i="70" s="1"/>
  <c r="X21" i="70"/>
  <c r="W21" i="70"/>
  <c r="U21" i="70"/>
  <c r="T21" i="70"/>
  <c r="S21" i="70"/>
  <c r="R21" i="70"/>
  <c r="Q21" i="70"/>
  <c r="P21" i="70"/>
  <c r="O21" i="70"/>
  <c r="N21" i="70"/>
  <c r="M21" i="70"/>
  <c r="I21" i="70"/>
  <c r="H21" i="70"/>
  <c r="G21" i="70"/>
  <c r="F21" i="70"/>
  <c r="E21" i="70"/>
  <c r="D21" i="70"/>
  <c r="C21" i="70"/>
  <c r="B21" i="70"/>
  <c r="A21" i="70"/>
  <c r="AM20" i="70"/>
  <c r="AL20" i="70"/>
  <c r="AK20" i="70"/>
  <c r="AJ20" i="70"/>
  <c r="AI20" i="70"/>
  <c r="AH20" i="70"/>
  <c r="AG20" i="70"/>
  <c r="AF20" i="70"/>
  <c r="AE20" i="70"/>
  <c r="AD20" i="70"/>
  <c r="AC20" i="70"/>
  <c r="AB20" i="70"/>
  <c r="AA20" i="70"/>
  <c r="Y20" i="70"/>
  <c r="X20" i="70"/>
  <c r="W20" i="70"/>
  <c r="U20" i="70"/>
  <c r="T20" i="70"/>
  <c r="S20" i="70"/>
  <c r="R20" i="70"/>
  <c r="R19" i="70" s="1"/>
  <c r="Q20" i="70"/>
  <c r="P20" i="70"/>
  <c r="O20" i="70"/>
  <c r="N20" i="70"/>
  <c r="M20" i="70"/>
  <c r="I20" i="70"/>
  <c r="H20" i="70"/>
  <c r="G20" i="70"/>
  <c r="F20" i="70"/>
  <c r="E20" i="70"/>
  <c r="D20" i="70"/>
  <c r="C20" i="70"/>
  <c r="B20" i="70"/>
  <c r="A20" i="70"/>
  <c r="X19" i="70"/>
  <c r="M19" i="70"/>
  <c r="L19" i="70"/>
  <c r="AM18" i="70"/>
  <c r="AL18" i="70"/>
  <c r="AK18" i="70"/>
  <c r="AJ18" i="70"/>
  <c r="AI18" i="70"/>
  <c r="AH18" i="70"/>
  <c r="AG18" i="70"/>
  <c r="AF18" i="70"/>
  <c r="AE18" i="70"/>
  <c r="AD18" i="70"/>
  <c r="AC18" i="70"/>
  <c r="AB18" i="70"/>
  <c r="AA18" i="70"/>
  <c r="Z18" i="70"/>
  <c r="Y18" i="70"/>
  <c r="X18" i="70"/>
  <c r="W18" i="70"/>
  <c r="U18" i="70"/>
  <c r="T18" i="70"/>
  <c r="S18" i="70"/>
  <c r="R18" i="70"/>
  <c r="Q18" i="70"/>
  <c r="P18" i="70"/>
  <c r="O18" i="70"/>
  <c r="N18" i="70"/>
  <c r="I18" i="70"/>
  <c r="H18" i="70"/>
  <c r="G18" i="70"/>
  <c r="F18" i="70"/>
  <c r="E18" i="70"/>
  <c r="D18" i="70"/>
  <c r="C18" i="70"/>
  <c r="B18" i="70"/>
  <c r="A18" i="70"/>
  <c r="AM17" i="70"/>
  <c r="AL17" i="70"/>
  <c r="AK17" i="70"/>
  <c r="AJ17" i="70"/>
  <c r="AI17" i="70"/>
  <c r="AH17" i="70"/>
  <c r="AG17" i="70"/>
  <c r="AF17" i="70"/>
  <c r="AE17" i="70"/>
  <c r="AD17" i="70"/>
  <c r="AC17" i="70"/>
  <c r="AB17" i="70"/>
  <c r="AA17" i="70"/>
  <c r="Z17" i="70"/>
  <c r="Y17" i="70"/>
  <c r="X17" i="70"/>
  <c r="W17" i="70"/>
  <c r="U17" i="70"/>
  <c r="T17" i="70"/>
  <c r="S17" i="70"/>
  <c r="R17" i="70"/>
  <c r="Q17" i="70"/>
  <c r="P17" i="70"/>
  <c r="O17" i="70"/>
  <c r="N17" i="70"/>
  <c r="I17" i="70"/>
  <c r="H17" i="70"/>
  <c r="G17" i="70"/>
  <c r="F17" i="70"/>
  <c r="E17" i="70"/>
  <c r="D17" i="70"/>
  <c r="C17" i="70"/>
  <c r="B17" i="70"/>
  <c r="A17" i="70"/>
  <c r="AM16" i="70"/>
  <c r="AL16" i="70"/>
  <c r="AK16" i="70"/>
  <c r="AJ16" i="70"/>
  <c r="AI16" i="70"/>
  <c r="AH16" i="70"/>
  <c r="AG16" i="70"/>
  <c r="AF16" i="70"/>
  <c r="AE16" i="70"/>
  <c r="AD16" i="70"/>
  <c r="AC16" i="70"/>
  <c r="AB16" i="70"/>
  <c r="AA16" i="70"/>
  <c r="Z16" i="70"/>
  <c r="Y16" i="70"/>
  <c r="X16" i="70"/>
  <c r="W16" i="70"/>
  <c r="U16" i="70"/>
  <c r="T16" i="70"/>
  <c r="S16" i="70"/>
  <c r="R16" i="70"/>
  <c r="Q16" i="70"/>
  <c r="P16" i="70"/>
  <c r="O16" i="70"/>
  <c r="N16" i="70"/>
  <c r="I16" i="70"/>
  <c r="H16" i="70"/>
  <c r="G16" i="70"/>
  <c r="F16" i="70"/>
  <c r="E16" i="70"/>
  <c r="D16" i="70"/>
  <c r="C16" i="70"/>
  <c r="B16" i="70"/>
  <c r="A16" i="70"/>
  <c r="AM15" i="70"/>
  <c r="AL15" i="70"/>
  <c r="AK15" i="70"/>
  <c r="AJ15" i="70"/>
  <c r="AI15" i="70"/>
  <c r="AH15" i="70"/>
  <c r="AG15" i="70"/>
  <c r="AF15" i="70"/>
  <c r="AE15" i="70"/>
  <c r="AD15" i="70"/>
  <c r="AC15" i="70"/>
  <c r="AB15" i="70"/>
  <c r="AA15" i="70"/>
  <c r="Z15" i="70"/>
  <c r="Y15" i="70"/>
  <c r="X15" i="70"/>
  <c r="W15" i="70"/>
  <c r="U15" i="70"/>
  <c r="T15" i="70"/>
  <c r="S15" i="70"/>
  <c r="R15" i="70"/>
  <c r="Q15" i="70"/>
  <c r="P15" i="70"/>
  <c r="O15" i="70"/>
  <c r="N15" i="70"/>
  <c r="I15" i="70"/>
  <c r="H15" i="70"/>
  <c r="G15" i="70"/>
  <c r="F15" i="70"/>
  <c r="E15" i="70"/>
  <c r="D15" i="70"/>
  <c r="C15" i="70"/>
  <c r="B15" i="70"/>
  <c r="A15" i="70"/>
  <c r="AM14" i="70"/>
  <c r="AL14" i="70"/>
  <c r="AK14" i="70"/>
  <c r="AJ14" i="70"/>
  <c r="AI14" i="70"/>
  <c r="AH14" i="70"/>
  <c r="AG14" i="70"/>
  <c r="AF14" i="70"/>
  <c r="AE14" i="70"/>
  <c r="AD14" i="70"/>
  <c r="AC14" i="70"/>
  <c r="AB14" i="70"/>
  <c r="AA14" i="70"/>
  <c r="X14" i="70"/>
  <c r="W14" i="70"/>
  <c r="Q14" i="70"/>
  <c r="P14" i="70"/>
  <c r="O14" i="70"/>
  <c r="N14" i="70"/>
  <c r="M14" i="70"/>
  <c r="I14" i="70"/>
  <c r="H14" i="70"/>
  <c r="G14" i="70"/>
  <c r="F14" i="70"/>
  <c r="E14" i="70"/>
  <c r="D14" i="70"/>
  <c r="C14" i="70"/>
  <c r="B14" i="70"/>
  <c r="A14" i="70"/>
  <c r="AM13" i="70"/>
  <c r="AL13" i="70"/>
  <c r="AK13" i="70"/>
  <c r="AJ13" i="70"/>
  <c r="AI13" i="70"/>
  <c r="AH13" i="70"/>
  <c r="AG13" i="70"/>
  <c r="AF13" i="70"/>
  <c r="AE13" i="70"/>
  <c r="AD13" i="70"/>
  <c r="AC13" i="70"/>
  <c r="AB13" i="70"/>
  <c r="AA13" i="70"/>
  <c r="Z13" i="70"/>
  <c r="Y13" i="70"/>
  <c r="X13" i="70"/>
  <c r="W13" i="70"/>
  <c r="U13" i="70"/>
  <c r="T13" i="70"/>
  <c r="S13" i="70"/>
  <c r="R13" i="70"/>
  <c r="Q13" i="70"/>
  <c r="P13" i="70"/>
  <c r="O13" i="70"/>
  <c r="N13" i="70"/>
  <c r="I13" i="70"/>
  <c r="H13" i="70"/>
  <c r="G13" i="70"/>
  <c r="F13" i="70"/>
  <c r="E13" i="70"/>
  <c r="D13" i="70"/>
  <c r="C13" i="70"/>
  <c r="B13" i="70"/>
  <c r="A13" i="70"/>
  <c r="AM12" i="70"/>
  <c r="AL12" i="70"/>
  <c r="AK12" i="70"/>
  <c r="AJ12" i="70"/>
  <c r="AI12" i="70"/>
  <c r="AH12" i="70"/>
  <c r="AG12" i="70"/>
  <c r="AF12" i="70"/>
  <c r="AE12" i="70"/>
  <c r="AD12" i="70"/>
  <c r="AC12" i="70"/>
  <c r="AB12" i="70"/>
  <c r="AA12" i="70"/>
  <c r="Z12" i="70"/>
  <c r="Y12" i="70"/>
  <c r="X12" i="70"/>
  <c r="W12" i="70"/>
  <c r="U12" i="70"/>
  <c r="T12" i="70"/>
  <c r="S12" i="70"/>
  <c r="R12" i="70"/>
  <c r="Q12" i="70"/>
  <c r="P12" i="70"/>
  <c r="O12" i="70"/>
  <c r="N12" i="70"/>
  <c r="I12" i="70"/>
  <c r="H12" i="70"/>
  <c r="G12" i="70"/>
  <c r="F12" i="70"/>
  <c r="E12" i="70"/>
  <c r="D12" i="70"/>
  <c r="C12" i="70"/>
  <c r="B12" i="70"/>
  <c r="A12" i="70"/>
  <c r="AM11" i="70"/>
  <c r="AL11" i="70"/>
  <c r="AK11" i="70"/>
  <c r="AJ11" i="70"/>
  <c r="AI11" i="70"/>
  <c r="AH11" i="70"/>
  <c r="AG11" i="70"/>
  <c r="AF11" i="70"/>
  <c r="AE11" i="70"/>
  <c r="AD11" i="70"/>
  <c r="AC11" i="70"/>
  <c r="AB11" i="70"/>
  <c r="AA11" i="70"/>
  <c r="X11" i="70"/>
  <c r="W11" i="70"/>
  <c r="U11" i="70"/>
  <c r="T11" i="70"/>
  <c r="R11" i="70"/>
  <c r="Q11" i="70"/>
  <c r="P11" i="70"/>
  <c r="O11" i="70"/>
  <c r="N11" i="70"/>
  <c r="M11" i="70"/>
  <c r="I11" i="70"/>
  <c r="H11" i="70"/>
  <c r="G11" i="70"/>
  <c r="F11" i="70"/>
  <c r="E11" i="70"/>
  <c r="D11" i="70"/>
  <c r="C11" i="70"/>
  <c r="B11" i="70"/>
  <c r="A11" i="70"/>
  <c r="M10" i="70"/>
  <c r="L10" i="70"/>
  <c r="L9" i="70"/>
  <c r="K9" i="70"/>
  <c r="K8" i="70"/>
  <c r="J8" i="70"/>
  <c r="X7" i="70"/>
  <c r="AT223" i="74"/>
  <c r="AS223" i="74"/>
  <c r="AR223" i="74"/>
  <c r="AQ223" i="74"/>
  <c r="AP223" i="74"/>
  <c r="AO223" i="74"/>
  <c r="AN223" i="74"/>
  <c r="AM223" i="74"/>
  <c r="AL223" i="74"/>
  <c r="AK223" i="74"/>
  <c r="AJ223" i="74"/>
  <c r="AB223" i="74"/>
  <c r="AA223" i="74"/>
  <c r="Z223" i="74"/>
  <c r="Y223" i="74"/>
  <c r="Y222" i="74" s="1"/>
  <c r="Y221" i="74" s="1"/>
  <c r="X223" i="74"/>
  <c r="X222" i="74" s="1"/>
  <c r="W223" i="74"/>
  <c r="U223" i="74"/>
  <c r="T223" i="74"/>
  <c r="R223" i="74"/>
  <c r="Q223" i="74"/>
  <c r="P223" i="74"/>
  <c r="O223" i="74"/>
  <c r="N223" i="74"/>
  <c r="M223" i="74"/>
  <c r="I223" i="74"/>
  <c r="H223" i="74"/>
  <c r="G223" i="74"/>
  <c r="F223" i="74"/>
  <c r="E223" i="74"/>
  <c r="D223" i="74"/>
  <c r="C223" i="74"/>
  <c r="B223" i="74"/>
  <c r="A223" i="74"/>
  <c r="Z222" i="74"/>
  <c r="U222" i="74"/>
  <c r="U221" i="74" s="1"/>
  <c r="T222" i="74"/>
  <c r="T221" i="74" s="1"/>
  <c r="R222" i="74"/>
  <c r="M222" i="74"/>
  <c r="L222" i="74"/>
  <c r="Z221" i="74"/>
  <c r="R221" i="74"/>
  <c r="L221" i="74"/>
  <c r="K221" i="74"/>
  <c r="AT220" i="74"/>
  <c r="AS220" i="74"/>
  <c r="AR220" i="74"/>
  <c r="AQ220" i="74"/>
  <c r="AP220" i="74"/>
  <c r="AO220" i="74"/>
  <c r="AN220" i="74"/>
  <c r="AM220" i="74"/>
  <c r="AL220" i="74"/>
  <c r="AK220" i="74"/>
  <c r="AJ220" i="74"/>
  <c r="AB220" i="74"/>
  <c r="AA220" i="74"/>
  <c r="X220" i="74"/>
  <c r="W220" i="74"/>
  <c r="U220" i="74"/>
  <c r="T220" i="74"/>
  <c r="R220" i="74"/>
  <c r="R219" i="74" s="1"/>
  <c r="Q220" i="74"/>
  <c r="P220" i="74"/>
  <c r="O220" i="74"/>
  <c r="N220" i="74"/>
  <c r="M220" i="74"/>
  <c r="I220" i="74"/>
  <c r="H220" i="74"/>
  <c r="G220" i="74"/>
  <c r="F220" i="74"/>
  <c r="E220" i="74"/>
  <c r="D220" i="74"/>
  <c r="C220" i="74"/>
  <c r="B220" i="74"/>
  <c r="A220" i="74"/>
  <c r="U219" i="74"/>
  <c r="U218" i="74" s="1"/>
  <c r="T219" i="74"/>
  <c r="T218" i="74" s="1"/>
  <c r="M219" i="74"/>
  <c r="L219" i="74"/>
  <c r="X218" i="74"/>
  <c r="W218" i="74"/>
  <c r="R218" i="74"/>
  <c r="L218" i="74"/>
  <c r="K218" i="74"/>
  <c r="AT217" i="74"/>
  <c r="AS217" i="74"/>
  <c r="AR217" i="74"/>
  <c r="AQ217" i="74"/>
  <c r="AP217" i="74"/>
  <c r="AO217" i="74"/>
  <c r="AN217" i="74"/>
  <c r="AM217" i="74"/>
  <c r="AL217" i="74"/>
  <c r="AK217" i="74"/>
  <c r="AJ217" i="74"/>
  <c r="AB217" i="74"/>
  <c r="AA217" i="74"/>
  <c r="Y217" i="74"/>
  <c r="X217" i="74"/>
  <c r="W217" i="74"/>
  <c r="U217" i="74"/>
  <c r="U216" i="74" s="1"/>
  <c r="U215" i="74" s="1"/>
  <c r="T217" i="74"/>
  <c r="T216" i="74" s="1"/>
  <c r="T215" i="74" s="1"/>
  <c r="R217" i="74"/>
  <c r="Q217" i="74"/>
  <c r="P217" i="74"/>
  <c r="O217" i="74"/>
  <c r="N217" i="74"/>
  <c r="M217" i="74"/>
  <c r="I217" i="74"/>
  <c r="H217" i="74"/>
  <c r="G217" i="74"/>
  <c r="F217" i="74"/>
  <c r="E217" i="74"/>
  <c r="D217" i="74"/>
  <c r="C217" i="74"/>
  <c r="B217" i="74"/>
  <c r="A217" i="74"/>
  <c r="Y216" i="74"/>
  <c r="Y215" i="74" s="1"/>
  <c r="X216" i="74"/>
  <c r="R216" i="74"/>
  <c r="R215" i="74" s="1"/>
  <c r="M216" i="74"/>
  <c r="L216" i="74"/>
  <c r="X215" i="74"/>
  <c r="L215" i="74"/>
  <c r="K215" i="74"/>
  <c r="AT214" i="74"/>
  <c r="AS214" i="74"/>
  <c r="AR214" i="74"/>
  <c r="AQ214" i="74"/>
  <c r="AP214" i="74"/>
  <c r="AO214" i="74"/>
  <c r="AN214" i="74"/>
  <c r="AM214" i="74"/>
  <c r="AL214" i="74"/>
  <c r="AK214" i="74"/>
  <c r="AJ214" i="74"/>
  <c r="AB214" i="74"/>
  <c r="AA214" i="74"/>
  <c r="X214" i="74"/>
  <c r="X213" i="74" s="1"/>
  <c r="W214" i="74"/>
  <c r="U214" i="74"/>
  <c r="U213" i="74" s="1"/>
  <c r="U212" i="74" s="1"/>
  <c r="T214" i="74"/>
  <c r="R214" i="74"/>
  <c r="Q214" i="74"/>
  <c r="P214" i="74"/>
  <c r="O214" i="74"/>
  <c r="N214" i="74"/>
  <c r="M214" i="74"/>
  <c r="I214" i="74"/>
  <c r="H214" i="74"/>
  <c r="G214" i="74"/>
  <c r="F214" i="74"/>
  <c r="E214" i="74"/>
  <c r="D214" i="74"/>
  <c r="C214" i="74"/>
  <c r="B214" i="74"/>
  <c r="A214" i="74"/>
  <c r="T213" i="74"/>
  <c r="T212" i="74" s="1"/>
  <c r="R213" i="74"/>
  <c r="M213" i="74"/>
  <c r="L213" i="74"/>
  <c r="X212" i="74"/>
  <c r="W212" i="74"/>
  <c r="R212" i="74"/>
  <c r="L212" i="74"/>
  <c r="K212" i="74"/>
  <c r="AT211" i="74"/>
  <c r="AS211" i="74"/>
  <c r="AR211" i="74"/>
  <c r="AQ211" i="74"/>
  <c r="AP211" i="74"/>
  <c r="AO211" i="74"/>
  <c r="AN211" i="74"/>
  <c r="AM211" i="74"/>
  <c r="AL211" i="74"/>
  <c r="AK211" i="74"/>
  <c r="AJ211" i="74"/>
  <c r="AB211" i="74"/>
  <c r="AA211" i="74"/>
  <c r="Z211" i="74"/>
  <c r="Z209" i="74" s="1"/>
  <c r="Y211" i="74"/>
  <c r="X211" i="74"/>
  <c r="W211" i="74"/>
  <c r="U211" i="74"/>
  <c r="U209" i="74" s="1"/>
  <c r="T211" i="74"/>
  <c r="T209" i="74" s="1"/>
  <c r="R211" i="74"/>
  <c r="Q211" i="74"/>
  <c r="P211" i="74"/>
  <c r="O211" i="74"/>
  <c r="N211" i="74"/>
  <c r="M211" i="74"/>
  <c r="I211" i="74"/>
  <c r="H211" i="74"/>
  <c r="G211" i="74"/>
  <c r="F211" i="74"/>
  <c r="E211" i="74"/>
  <c r="D211" i="74"/>
  <c r="C211" i="74"/>
  <c r="B211" i="74"/>
  <c r="A211" i="74"/>
  <c r="AT210" i="74"/>
  <c r="AS210" i="74"/>
  <c r="AR210" i="74"/>
  <c r="AQ210" i="74"/>
  <c r="AP210" i="74"/>
  <c r="AO210" i="74"/>
  <c r="AN210" i="74"/>
  <c r="AM210" i="74"/>
  <c r="AL210" i="74"/>
  <c r="AK210" i="74"/>
  <c r="AJ210" i="74"/>
  <c r="AB210" i="74"/>
  <c r="AA210" i="74"/>
  <c r="Z210" i="74"/>
  <c r="X210" i="74"/>
  <c r="W210" i="74"/>
  <c r="U210" i="74"/>
  <c r="T210" i="74"/>
  <c r="R210" i="74"/>
  <c r="Q210" i="74"/>
  <c r="P210" i="74"/>
  <c r="O210" i="74"/>
  <c r="N210" i="74"/>
  <c r="M210" i="74"/>
  <c r="I210" i="74"/>
  <c r="H210" i="74"/>
  <c r="G210" i="74"/>
  <c r="F210" i="74"/>
  <c r="E210" i="74"/>
  <c r="D210" i="74"/>
  <c r="C210" i="74"/>
  <c r="B210" i="74"/>
  <c r="A210" i="74"/>
  <c r="AK209" i="74"/>
  <c r="X209" i="74"/>
  <c r="R209" i="74"/>
  <c r="M209" i="74"/>
  <c r="L209" i="74"/>
  <c r="AT208" i="74"/>
  <c r="AS208" i="74"/>
  <c r="AR208" i="74"/>
  <c r="AQ208" i="74"/>
  <c r="AP208" i="74"/>
  <c r="AO208" i="74"/>
  <c r="AN208" i="74"/>
  <c r="AM208" i="74"/>
  <c r="AL208" i="74"/>
  <c r="AK208" i="74"/>
  <c r="AJ208" i="74"/>
  <c r="AB208" i="74"/>
  <c r="AA208" i="74"/>
  <c r="X208" i="74"/>
  <c r="W208" i="74"/>
  <c r="U208" i="74"/>
  <c r="T208" i="74"/>
  <c r="R208" i="74"/>
  <c r="Q208" i="74"/>
  <c r="P208" i="74"/>
  <c r="N208" i="74"/>
  <c r="I208" i="74"/>
  <c r="H208" i="74"/>
  <c r="G208" i="74"/>
  <c r="F208" i="74"/>
  <c r="E208" i="74"/>
  <c r="D208" i="74"/>
  <c r="C208" i="74"/>
  <c r="B208" i="74"/>
  <c r="A208" i="74"/>
  <c r="AT207" i="74"/>
  <c r="AS207" i="74"/>
  <c r="AR207" i="74"/>
  <c r="AQ207" i="74"/>
  <c r="AP207" i="74"/>
  <c r="AO207" i="74"/>
  <c r="AN207" i="74"/>
  <c r="AM207" i="74"/>
  <c r="AL207" i="74"/>
  <c r="AK207" i="74"/>
  <c r="AJ207" i="74"/>
  <c r="AB207" i="74"/>
  <c r="AA207" i="74"/>
  <c r="Z207" i="74"/>
  <c r="Y207" i="74"/>
  <c r="X207" i="74"/>
  <c r="W207" i="74"/>
  <c r="U207" i="74"/>
  <c r="T207" i="74"/>
  <c r="R207" i="74"/>
  <c r="Q207" i="74"/>
  <c r="P207" i="74"/>
  <c r="N207" i="74"/>
  <c r="I207" i="74"/>
  <c r="H207" i="74"/>
  <c r="G207" i="74"/>
  <c r="F207" i="74"/>
  <c r="E207" i="74"/>
  <c r="D207" i="74"/>
  <c r="C207" i="74"/>
  <c r="B207" i="74"/>
  <c r="A207" i="74"/>
  <c r="AT206" i="74"/>
  <c r="AS206" i="74"/>
  <c r="AR206" i="74"/>
  <c r="AQ206" i="74"/>
  <c r="AP206" i="74"/>
  <c r="AO206" i="74"/>
  <c r="AN206" i="74"/>
  <c r="AM206" i="74"/>
  <c r="AL206" i="74"/>
  <c r="AK206" i="74"/>
  <c r="AJ206" i="74"/>
  <c r="AB206" i="74"/>
  <c r="AA206" i="74"/>
  <c r="Z206" i="74"/>
  <c r="Y206" i="74"/>
  <c r="X206" i="74"/>
  <c r="W206" i="74"/>
  <c r="U206" i="74"/>
  <c r="T206" i="74"/>
  <c r="R206" i="74"/>
  <c r="Q206" i="74"/>
  <c r="P206" i="74"/>
  <c r="N206" i="74"/>
  <c r="I206" i="74"/>
  <c r="H206" i="74"/>
  <c r="G206" i="74"/>
  <c r="F206" i="74"/>
  <c r="E206" i="74"/>
  <c r="D206" i="74"/>
  <c r="C206" i="74"/>
  <c r="B206" i="74"/>
  <c r="A206" i="74"/>
  <c r="AT205" i="74"/>
  <c r="AS205" i="74"/>
  <c r="AR205" i="74"/>
  <c r="AQ205" i="74"/>
  <c r="AP205" i="74"/>
  <c r="AO205" i="74"/>
  <c r="AN205" i="74"/>
  <c r="AM205" i="74"/>
  <c r="AL205" i="74"/>
  <c r="AK205" i="74"/>
  <c r="AJ205" i="74"/>
  <c r="AB205" i="74"/>
  <c r="AA205" i="74"/>
  <c r="X205" i="74"/>
  <c r="W205" i="74"/>
  <c r="U205" i="74"/>
  <c r="T205" i="74"/>
  <c r="T200" i="74" s="1"/>
  <c r="T199" i="74" s="1"/>
  <c r="R205" i="74"/>
  <c r="Q205" i="74"/>
  <c r="P205" i="74"/>
  <c r="O205" i="74"/>
  <c r="N205" i="74"/>
  <c r="M205" i="74"/>
  <c r="I205" i="74"/>
  <c r="H205" i="74"/>
  <c r="G205" i="74"/>
  <c r="F205" i="74"/>
  <c r="E205" i="74"/>
  <c r="D205" i="74"/>
  <c r="C205" i="74"/>
  <c r="B205" i="74"/>
  <c r="A205" i="74"/>
  <c r="AT204" i="74"/>
  <c r="AS204" i="74"/>
  <c r="AR204" i="74"/>
  <c r="AQ204" i="74"/>
  <c r="AP204" i="74"/>
  <c r="AO204" i="74"/>
  <c r="AN204" i="74"/>
  <c r="AM204" i="74"/>
  <c r="AL204" i="74"/>
  <c r="AK204" i="74"/>
  <c r="AJ204" i="74"/>
  <c r="AB204" i="74"/>
  <c r="AA204" i="74"/>
  <c r="X204" i="74"/>
  <c r="W204" i="74"/>
  <c r="U204" i="74"/>
  <c r="T204" i="74"/>
  <c r="R204" i="74"/>
  <c r="Q204" i="74"/>
  <c r="P204" i="74"/>
  <c r="N204" i="74"/>
  <c r="I204" i="74"/>
  <c r="H204" i="74"/>
  <c r="G204" i="74"/>
  <c r="F204" i="74"/>
  <c r="E204" i="74"/>
  <c r="D204" i="74"/>
  <c r="C204" i="74"/>
  <c r="B204" i="74"/>
  <c r="A204" i="74"/>
  <c r="AT203" i="74"/>
  <c r="AS203" i="74"/>
  <c r="AR203" i="74"/>
  <c r="AQ203" i="74"/>
  <c r="AP203" i="74"/>
  <c r="AO203" i="74"/>
  <c r="AN203" i="74"/>
  <c r="AM203" i="74"/>
  <c r="AL203" i="74"/>
  <c r="AK203" i="74"/>
  <c r="AJ203" i="74"/>
  <c r="AB203" i="74"/>
  <c r="AA203" i="74"/>
  <c r="Z203" i="74"/>
  <c r="Y203" i="74"/>
  <c r="X203" i="74"/>
  <c r="W203" i="74"/>
  <c r="U203" i="74"/>
  <c r="T203" i="74"/>
  <c r="R203" i="74"/>
  <c r="Q203" i="74"/>
  <c r="P203" i="74"/>
  <c r="N203" i="74"/>
  <c r="I203" i="74"/>
  <c r="H203" i="74"/>
  <c r="G203" i="74"/>
  <c r="F203" i="74"/>
  <c r="E203" i="74"/>
  <c r="D203" i="74"/>
  <c r="C203" i="74"/>
  <c r="B203" i="74"/>
  <c r="A203" i="74"/>
  <c r="AT202" i="74"/>
  <c r="AS202" i="74"/>
  <c r="AR202" i="74"/>
  <c r="AQ202" i="74"/>
  <c r="AP202" i="74"/>
  <c r="AO202" i="74"/>
  <c r="AN202" i="74"/>
  <c r="AM202" i="74"/>
  <c r="AL202" i="74"/>
  <c r="AK202" i="74"/>
  <c r="AJ202" i="74"/>
  <c r="AB202" i="74"/>
  <c r="AA202" i="74"/>
  <c r="Z202" i="74"/>
  <c r="Y202" i="74"/>
  <c r="X202" i="74"/>
  <c r="W202" i="74"/>
  <c r="U202" i="74"/>
  <c r="T202" i="74"/>
  <c r="R202" i="74"/>
  <c r="Q202" i="74"/>
  <c r="P202" i="74"/>
  <c r="N202" i="74"/>
  <c r="I202" i="74"/>
  <c r="H202" i="74"/>
  <c r="G202" i="74"/>
  <c r="F202" i="74"/>
  <c r="E202" i="74"/>
  <c r="D202" i="74"/>
  <c r="C202" i="74"/>
  <c r="B202" i="74"/>
  <c r="A202" i="74"/>
  <c r="AT201" i="74"/>
  <c r="AS201" i="74"/>
  <c r="AR201" i="74"/>
  <c r="AQ201" i="74"/>
  <c r="AP201" i="74"/>
  <c r="AO201" i="74"/>
  <c r="AN201" i="74"/>
  <c r="AM201" i="74"/>
  <c r="AL201" i="74"/>
  <c r="AK201" i="74"/>
  <c r="AJ201" i="74"/>
  <c r="AB201" i="74"/>
  <c r="AA201" i="74"/>
  <c r="X201" i="74"/>
  <c r="X200" i="74" s="1"/>
  <c r="X199" i="74" s="1"/>
  <c r="W201" i="74"/>
  <c r="U201" i="74"/>
  <c r="U200" i="74" s="1"/>
  <c r="T201" i="74"/>
  <c r="R201" i="74"/>
  <c r="Q201" i="74"/>
  <c r="P201" i="74"/>
  <c r="O201" i="74"/>
  <c r="N201" i="74"/>
  <c r="M201" i="74"/>
  <c r="I201" i="74"/>
  <c r="H201" i="74"/>
  <c r="G201" i="74"/>
  <c r="F201" i="74"/>
  <c r="E201" i="74"/>
  <c r="D201" i="74"/>
  <c r="C201" i="74"/>
  <c r="B201" i="74"/>
  <c r="A201" i="74"/>
  <c r="M200" i="74"/>
  <c r="L200" i="74"/>
  <c r="L199" i="74"/>
  <c r="K199" i="74"/>
  <c r="AT198" i="74"/>
  <c r="AS198" i="74"/>
  <c r="AR198" i="74"/>
  <c r="AQ198" i="74"/>
  <c r="AP198" i="74"/>
  <c r="AO198" i="74"/>
  <c r="AN198" i="74"/>
  <c r="AM198" i="74"/>
  <c r="AL198" i="74"/>
  <c r="AK198" i="74"/>
  <c r="AJ198" i="74"/>
  <c r="AB198" i="74"/>
  <c r="AA198" i="74"/>
  <c r="Z198" i="74"/>
  <c r="X198" i="74"/>
  <c r="W198" i="74"/>
  <c r="U198" i="74"/>
  <c r="T198" i="74"/>
  <c r="R198" i="74"/>
  <c r="R197" i="74" s="1"/>
  <c r="R196" i="74" s="1"/>
  <c r="Q198" i="74"/>
  <c r="P198" i="74"/>
  <c r="O198" i="74"/>
  <c r="N198" i="74"/>
  <c r="M198" i="74"/>
  <c r="I198" i="74"/>
  <c r="H198" i="74"/>
  <c r="G198" i="74"/>
  <c r="F198" i="74"/>
  <c r="E198" i="74"/>
  <c r="D198" i="74"/>
  <c r="C198" i="74"/>
  <c r="B198" i="74"/>
  <c r="A198" i="74"/>
  <c r="Z197" i="74"/>
  <c r="Z196" i="74" s="1"/>
  <c r="X197" i="74"/>
  <c r="X196" i="74" s="1"/>
  <c r="U197" i="74"/>
  <c r="U196" i="74" s="1"/>
  <c r="T197" i="74"/>
  <c r="M197" i="74"/>
  <c r="L197" i="74"/>
  <c r="T196" i="74"/>
  <c r="L196" i="74"/>
  <c r="K196" i="74"/>
  <c r="AT195" i="74"/>
  <c r="AS195" i="74"/>
  <c r="AR195" i="74"/>
  <c r="AQ195" i="74"/>
  <c r="AP195" i="74"/>
  <c r="AO195" i="74"/>
  <c r="AN195" i="74"/>
  <c r="AM195" i="74"/>
  <c r="AL195" i="74"/>
  <c r="AK195" i="74"/>
  <c r="AJ195" i="74"/>
  <c r="AB195" i="74"/>
  <c r="AA195" i="74"/>
  <c r="X195" i="74"/>
  <c r="W195" i="74"/>
  <c r="V195" i="74"/>
  <c r="U195" i="74"/>
  <c r="T195" i="74"/>
  <c r="R195" i="74"/>
  <c r="Q195" i="74"/>
  <c r="P195" i="74"/>
  <c r="N195" i="74"/>
  <c r="I195" i="74"/>
  <c r="H195" i="74"/>
  <c r="G195" i="74"/>
  <c r="F195" i="74"/>
  <c r="E195" i="74"/>
  <c r="D195" i="74"/>
  <c r="C195" i="74"/>
  <c r="B195" i="74"/>
  <c r="A195" i="74"/>
  <c r="AT194" i="74"/>
  <c r="AS194" i="74"/>
  <c r="AR194" i="74"/>
  <c r="AQ194" i="74"/>
  <c r="AP194" i="74"/>
  <c r="AO194" i="74"/>
  <c r="AN194" i="74"/>
  <c r="AM194" i="74"/>
  <c r="AL194" i="74"/>
  <c r="AK194" i="74"/>
  <c r="AJ194" i="74"/>
  <c r="AB194" i="74"/>
  <c r="AA194" i="74"/>
  <c r="Z194" i="74"/>
  <c r="Y194" i="74"/>
  <c r="X194" i="74"/>
  <c r="W194" i="74"/>
  <c r="V194" i="74"/>
  <c r="U194" i="74"/>
  <c r="T194" i="74"/>
  <c r="R194" i="74"/>
  <c r="Q194" i="74"/>
  <c r="P194" i="74"/>
  <c r="N194" i="74"/>
  <c r="I194" i="74"/>
  <c r="H194" i="74"/>
  <c r="G194" i="74"/>
  <c r="F194" i="74"/>
  <c r="E194" i="74"/>
  <c r="D194" i="74"/>
  <c r="C194" i="74"/>
  <c r="B194" i="74"/>
  <c r="A194" i="74"/>
  <c r="AT193" i="74"/>
  <c r="AS193" i="74"/>
  <c r="AR193" i="74"/>
  <c r="AQ193" i="74"/>
  <c r="AP193" i="74"/>
  <c r="AO193" i="74"/>
  <c r="AN193" i="74"/>
  <c r="AM193" i="74"/>
  <c r="AL193" i="74"/>
  <c r="AK193" i="74"/>
  <c r="AJ193" i="74"/>
  <c r="AB193" i="74"/>
  <c r="AA193" i="74"/>
  <c r="Z193" i="74"/>
  <c r="Y193" i="74"/>
  <c r="X193" i="74"/>
  <c r="W193" i="74"/>
  <c r="U193" i="74"/>
  <c r="R193" i="74"/>
  <c r="Q193" i="74"/>
  <c r="P193" i="74"/>
  <c r="N193" i="74"/>
  <c r="I193" i="74"/>
  <c r="H193" i="74"/>
  <c r="G193" i="74"/>
  <c r="F193" i="74"/>
  <c r="E193" i="74"/>
  <c r="D193" i="74"/>
  <c r="C193" i="74"/>
  <c r="B193" i="74"/>
  <c r="A193" i="74"/>
  <c r="AT192" i="74"/>
  <c r="AS192" i="74"/>
  <c r="AR192" i="74"/>
  <c r="AQ192" i="74"/>
  <c r="AP192" i="74"/>
  <c r="AO192" i="74"/>
  <c r="AN192" i="74"/>
  <c r="AM192" i="74"/>
  <c r="AL192" i="74"/>
  <c r="AK192" i="74"/>
  <c r="AJ192" i="74"/>
  <c r="AB192" i="74"/>
  <c r="AA192" i="74"/>
  <c r="X192" i="74"/>
  <c r="X191" i="74" s="1"/>
  <c r="W192" i="74"/>
  <c r="U192" i="74"/>
  <c r="U191" i="74" s="1"/>
  <c r="R192" i="74"/>
  <c r="R191" i="74" s="1"/>
  <c r="Q192" i="74"/>
  <c r="P192" i="74"/>
  <c r="O192" i="74"/>
  <c r="N192" i="74"/>
  <c r="M192" i="74"/>
  <c r="I192" i="74"/>
  <c r="H192" i="74"/>
  <c r="G192" i="74"/>
  <c r="F192" i="74"/>
  <c r="E192" i="74"/>
  <c r="D192" i="74"/>
  <c r="C192" i="74"/>
  <c r="B192" i="74"/>
  <c r="A192" i="74"/>
  <c r="M191" i="74"/>
  <c r="L191" i="74"/>
  <c r="AT190" i="74"/>
  <c r="AS190" i="74"/>
  <c r="AR190" i="74"/>
  <c r="AQ190" i="74"/>
  <c r="AP190" i="74"/>
  <c r="AO190" i="74"/>
  <c r="AN190" i="74"/>
  <c r="AM190" i="74"/>
  <c r="AL190" i="74"/>
  <c r="AK190" i="74"/>
  <c r="AJ190" i="74"/>
  <c r="AB190" i="74"/>
  <c r="AA190" i="74"/>
  <c r="Z190" i="74"/>
  <c r="X190" i="74"/>
  <c r="X189" i="74" s="1"/>
  <c r="W190" i="74"/>
  <c r="U190" i="74"/>
  <c r="U189" i="74" s="1"/>
  <c r="R190" i="74"/>
  <c r="R189" i="74" s="1"/>
  <c r="Q190" i="74"/>
  <c r="P190" i="74"/>
  <c r="O190" i="74"/>
  <c r="N190" i="74"/>
  <c r="M190" i="74"/>
  <c r="I190" i="74"/>
  <c r="H190" i="74"/>
  <c r="G190" i="74"/>
  <c r="F190" i="74"/>
  <c r="E190" i="74"/>
  <c r="D190" i="74"/>
  <c r="C190" i="74"/>
  <c r="B190" i="74"/>
  <c r="A190" i="74"/>
  <c r="Z189" i="74"/>
  <c r="M189" i="74"/>
  <c r="L189" i="74"/>
  <c r="AT188" i="74"/>
  <c r="AS188" i="74"/>
  <c r="AR188" i="74"/>
  <c r="AQ188" i="74"/>
  <c r="AP188" i="74"/>
  <c r="AO188" i="74"/>
  <c r="AN188" i="74"/>
  <c r="AM188" i="74"/>
  <c r="AL188" i="74"/>
  <c r="AK188" i="74"/>
  <c r="AJ188" i="74"/>
  <c r="AB188" i="74"/>
  <c r="AA188" i="74"/>
  <c r="Z188" i="74"/>
  <c r="Y188" i="74"/>
  <c r="X188" i="74"/>
  <c r="W188" i="74"/>
  <c r="U188" i="74"/>
  <c r="U187" i="74" s="1"/>
  <c r="R188" i="74"/>
  <c r="R187" i="74" s="1"/>
  <c r="Q188" i="74"/>
  <c r="P188" i="74"/>
  <c r="O188" i="74"/>
  <c r="N188" i="74"/>
  <c r="M188" i="74"/>
  <c r="I188" i="74"/>
  <c r="H188" i="74"/>
  <c r="G188" i="74"/>
  <c r="F188" i="74"/>
  <c r="E188" i="74"/>
  <c r="D188" i="74"/>
  <c r="C188" i="74"/>
  <c r="B188" i="74"/>
  <c r="A188" i="74"/>
  <c r="Z187" i="74"/>
  <c r="Y187" i="74"/>
  <c r="X187" i="74"/>
  <c r="M187" i="74"/>
  <c r="L187" i="74"/>
  <c r="AT186" i="74"/>
  <c r="AS186" i="74"/>
  <c r="AR186" i="74"/>
  <c r="AQ186" i="74"/>
  <c r="AP186" i="74"/>
  <c r="AO186" i="74"/>
  <c r="AN186" i="74"/>
  <c r="AM186" i="74"/>
  <c r="AL186" i="74"/>
  <c r="AK186" i="74"/>
  <c r="AJ186" i="74"/>
  <c r="AB186" i="74"/>
  <c r="AA186" i="74"/>
  <c r="Z186" i="74"/>
  <c r="Y186" i="74"/>
  <c r="X186" i="74"/>
  <c r="W186" i="74"/>
  <c r="U186" i="74"/>
  <c r="U185" i="74" s="1"/>
  <c r="R186" i="74"/>
  <c r="R185" i="74" s="1"/>
  <c r="R184" i="74" s="1"/>
  <c r="Q186" i="74"/>
  <c r="P186" i="74"/>
  <c r="O186" i="74"/>
  <c r="N186" i="74"/>
  <c r="M186" i="74"/>
  <c r="I186" i="74"/>
  <c r="H186" i="74"/>
  <c r="G186" i="74"/>
  <c r="F186" i="74"/>
  <c r="E186" i="74"/>
  <c r="D186" i="74"/>
  <c r="C186" i="74"/>
  <c r="B186" i="74"/>
  <c r="A186" i="74"/>
  <c r="Z185" i="74"/>
  <c r="Y185" i="74"/>
  <c r="X185" i="74"/>
  <c r="M185" i="74"/>
  <c r="L185" i="74"/>
  <c r="L184" i="74"/>
  <c r="K184" i="74"/>
  <c r="AT183" i="74"/>
  <c r="AS183" i="74"/>
  <c r="AR183" i="74"/>
  <c r="AQ183" i="74"/>
  <c r="AP183" i="74"/>
  <c r="AO183" i="74"/>
  <c r="AN183" i="74"/>
  <c r="AM183" i="74"/>
  <c r="AL183" i="74"/>
  <c r="AK183" i="74"/>
  <c r="AJ183" i="74"/>
  <c r="AB183" i="74"/>
  <c r="AA183" i="74"/>
  <c r="Z183" i="74"/>
  <c r="Z182" i="74" s="1"/>
  <c r="Z181" i="74" s="1"/>
  <c r="Y183" i="74"/>
  <c r="X183" i="74"/>
  <c r="W183" i="74"/>
  <c r="V183" i="74"/>
  <c r="V182" i="74" s="1"/>
  <c r="V181" i="74" s="1"/>
  <c r="U183" i="74"/>
  <c r="T183" i="74"/>
  <c r="T182" i="74" s="1"/>
  <c r="T181" i="74" s="1"/>
  <c r="R183" i="74"/>
  <c r="R182" i="74" s="1"/>
  <c r="R181" i="74" s="1"/>
  <c r="Q183" i="74"/>
  <c r="P183" i="74"/>
  <c r="O183" i="74"/>
  <c r="N183" i="74"/>
  <c r="M183" i="74"/>
  <c r="I183" i="74"/>
  <c r="H183" i="74"/>
  <c r="G183" i="74"/>
  <c r="F183" i="74"/>
  <c r="E183" i="74"/>
  <c r="D183" i="74"/>
  <c r="C183" i="74"/>
  <c r="B183" i="74"/>
  <c r="A183" i="74"/>
  <c r="Y182" i="74"/>
  <c r="Y181" i="74" s="1"/>
  <c r="X182" i="74"/>
  <c r="X181" i="74" s="1"/>
  <c r="U182" i="74"/>
  <c r="U181" i="74" s="1"/>
  <c r="M182" i="74"/>
  <c r="L182" i="74"/>
  <c r="L181" i="74"/>
  <c r="K181" i="74"/>
  <c r="AT180" i="74"/>
  <c r="AS180" i="74"/>
  <c r="AR180" i="74"/>
  <c r="AQ180" i="74"/>
  <c r="AP180" i="74"/>
  <c r="AO180" i="74"/>
  <c r="AN180" i="74"/>
  <c r="AM180" i="74"/>
  <c r="AL180" i="74"/>
  <c r="AK180" i="74"/>
  <c r="AJ180" i="74"/>
  <c r="AB180" i="74"/>
  <c r="AA180" i="74"/>
  <c r="Z180" i="74"/>
  <c r="Y180" i="74"/>
  <c r="X180" i="74"/>
  <c r="W180" i="74"/>
  <c r="U180" i="74"/>
  <c r="T180" i="74"/>
  <c r="R180" i="74"/>
  <c r="Q180" i="74"/>
  <c r="P180" i="74"/>
  <c r="N180" i="74"/>
  <c r="I180" i="74"/>
  <c r="H180" i="74"/>
  <c r="G180" i="74"/>
  <c r="F180" i="74"/>
  <c r="E180" i="74"/>
  <c r="D180" i="74"/>
  <c r="C180" i="74"/>
  <c r="B180" i="74"/>
  <c r="A180" i="74"/>
  <c r="AT179" i="74"/>
  <c r="AS179" i="74"/>
  <c r="AR179" i="74"/>
  <c r="AQ179" i="74"/>
  <c r="AP179" i="74"/>
  <c r="AO179" i="74"/>
  <c r="AN179" i="74"/>
  <c r="AM179" i="74"/>
  <c r="AL179" i="74"/>
  <c r="AK179" i="74"/>
  <c r="AJ179" i="74"/>
  <c r="AB179" i="74"/>
  <c r="AA179" i="74"/>
  <c r="Z179" i="74"/>
  <c r="Y179" i="74"/>
  <c r="X179" i="74"/>
  <c r="W179" i="74"/>
  <c r="U179" i="74"/>
  <c r="T179" i="74"/>
  <c r="R179" i="74"/>
  <c r="Q179" i="74"/>
  <c r="P179" i="74"/>
  <c r="N179" i="74"/>
  <c r="I179" i="74"/>
  <c r="H179" i="74"/>
  <c r="G179" i="74"/>
  <c r="F179" i="74"/>
  <c r="E179" i="74"/>
  <c r="D179" i="74"/>
  <c r="C179" i="74"/>
  <c r="B179" i="74"/>
  <c r="A179" i="74"/>
  <c r="AT178" i="74"/>
  <c r="AS178" i="74"/>
  <c r="AR178" i="74"/>
  <c r="AQ178" i="74"/>
  <c r="AP178" i="74"/>
  <c r="AO178" i="74"/>
  <c r="AN178" i="74"/>
  <c r="AM178" i="74"/>
  <c r="AL178" i="74"/>
  <c r="AK178" i="74"/>
  <c r="AJ178" i="74"/>
  <c r="AB178" i="74"/>
  <c r="AA178" i="74"/>
  <c r="Z178" i="74"/>
  <c r="Y178" i="74"/>
  <c r="X178" i="74"/>
  <c r="W178" i="74"/>
  <c r="U178" i="74"/>
  <c r="T178" i="74"/>
  <c r="R178" i="74"/>
  <c r="Q178" i="74"/>
  <c r="P178" i="74"/>
  <c r="N178" i="74"/>
  <c r="I178" i="74"/>
  <c r="H178" i="74"/>
  <c r="G178" i="74"/>
  <c r="F178" i="74"/>
  <c r="E178" i="74"/>
  <c r="D178" i="74"/>
  <c r="C178" i="74"/>
  <c r="B178" i="74"/>
  <c r="A178" i="74"/>
  <c r="AT177" i="74"/>
  <c r="AS177" i="74"/>
  <c r="AR177" i="74"/>
  <c r="AQ177" i="74"/>
  <c r="AP177" i="74"/>
  <c r="AO177" i="74"/>
  <c r="AN177" i="74"/>
  <c r="AM177" i="74"/>
  <c r="AL177" i="74"/>
  <c r="AK177" i="74"/>
  <c r="AJ177" i="74"/>
  <c r="AB177" i="74"/>
  <c r="AA177" i="74"/>
  <c r="Z177" i="74"/>
  <c r="Y177" i="74"/>
  <c r="X177" i="74"/>
  <c r="W177" i="74"/>
  <c r="U177" i="74"/>
  <c r="T177" i="74"/>
  <c r="R177" i="74"/>
  <c r="Q177" i="74"/>
  <c r="P177" i="74"/>
  <c r="N177" i="74"/>
  <c r="I177" i="74"/>
  <c r="H177" i="74"/>
  <c r="G177" i="74"/>
  <c r="F177" i="74"/>
  <c r="E177" i="74"/>
  <c r="D177" i="74"/>
  <c r="C177" i="74"/>
  <c r="B177" i="74"/>
  <c r="A177" i="74"/>
  <c r="AT176" i="74"/>
  <c r="AS176" i="74"/>
  <c r="AR176" i="74"/>
  <c r="AQ176" i="74"/>
  <c r="AP176" i="74"/>
  <c r="AO176" i="74"/>
  <c r="AN176" i="74"/>
  <c r="AM176" i="74"/>
  <c r="AL176" i="74"/>
  <c r="AK176" i="74"/>
  <c r="AJ176" i="74"/>
  <c r="AB176" i="74"/>
  <c r="AA176" i="74"/>
  <c r="Z176" i="74"/>
  <c r="Y176" i="74"/>
  <c r="X176" i="74"/>
  <c r="W176" i="74"/>
  <c r="U176" i="74"/>
  <c r="T176" i="74"/>
  <c r="R176" i="74"/>
  <c r="Q176" i="74"/>
  <c r="P176" i="74"/>
  <c r="N176" i="74"/>
  <c r="I176" i="74"/>
  <c r="H176" i="74"/>
  <c r="G176" i="74"/>
  <c r="F176" i="74"/>
  <c r="E176" i="74"/>
  <c r="D176" i="74"/>
  <c r="C176" i="74"/>
  <c r="B176" i="74"/>
  <c r="A176" i="74"/>
  <c r="AT175" i="74"/>
  <c r="AS175" i="74"/>
  <c r="AR175" i="74"/>
  <c r="AQ175" i="74"/>
  <c r="AP175" i="74"/>
  <c r="AO175" i="74"/>
  <c r="AN175" i="74"/>
  <c r="AM175" i="74"/>
  <c r="AL175" i="74"/>
  <c r="AK175" i="74"/>
  <c r="AJ175" i="74"/>
  <c r="AB175" i="74"/>
  <c r="AA175" i="74"/>
  <c r="Z175" i="74"/>
  <c r="Y175" i="74"/>
  <c r="X175" i="74"/>
  <c r="W175" i="74"/>
  <c r="U175" i="74"/>
  <c r="T175" i="74"/>
  <c r="R175" i="74"/>
  <c r="Q175" i="74"/>
  <c r="P175" i="74"/>
  <c r="N175" i="74"/>
  <c r="I175" i="74"/>
  <c r="H175" i="74"/>
  <c r="G175" i="74"/>
  <c r="F175" i="74"/>
  <c r="E175" i="74"/>
  <c r="D175" i="74"/>
  <c r="C175" i="74"/>
  <c r="B175" i="74"/>
  <c r="A175" i="74"/>
  <c r="AT174" i="74"/>
  <c r="AS174" i="74"/>
  <c r="AR174" i="74"/>
  <c r="AQ174" i="74"/>
  <c r="AP174" i="74"/>
  <c r="AO174" i="74"/>
  <c r="AN174" i="74"/>
  <c r="AM174" i="74"/>
  <c r="AL174" i="74"/>
  <c r="AK174" i="74"/>
  <c r="AJ174" i="74"/>
  <c r="AB174" i="74"/>
  <c r="AA174" i="74"/>
  <c r="X174" i="74"/>
  <c r="W174" i="74"/>
  <c r="Q174" i="74"/>
  <c r="P174" i="74"/>
  <c r="O174" i="74"/>
  <c r="N174" i="74"/>
  <c r="M174" i="74"/>
  <c r="I174" i="74"/>
  <c r="H174" i="74"/>
  <c r="G174" i="74"/>
  <c r="F174" i="74"/>
  <c r="E174" i="74"/>
  <c r="D174" i="74"/>
  <c r="C174" i="74"/>
  <c r="B174" i="74"/>
  <c r="A174" i="74"/>
  <c r="X173" i="74"/>
  <c r="M173" i="74"/>
  <c r="L173" i="74"/>
  <c r="X172" i="74"/>
  <c r="L172" i="74"/>
  <c r="K172" i="74"/>
  <c r="AT171" i="74"/>
  <c r="AS171" i="74"/>
  <c r="AR171" i="74"/>
  <c r="AQ171" i="74"/>
  <c r="AP171" i="74"/>
  <c r="AO171" i="74"/>
  <c r="AN171" i="74"/>
  <c r="AM171" i="74"/>
  <c r="AL171" i="74"/>
  <c r="AK171" i="74"/>
  <c r="AJ171" i="74"/>
  <c r="AB171" i="74"/>
  <c r="AA171" i="74"/>
  <c r="Z171" i="74"/>
  <c r="Y171" i="74"/>
  <c r="X171" i="74"/>
  <c r="W171" i="74"/>
  <c r="U171" i="74"/>
  <c r="T171" i="74"/>
  <c r="R171" i="74"/>
  <c r="Q171" i="74"/>
  <c r="P171" i="74"/>
  <c r="N171" i="74"/>
  <c r="I171" i="74"/>
  <c r="H171" i="74"/>
  <c r="G171" i="74"/>
  <c r="F171" i="74"/>
  <c r="E171" i="74"/>
  <c r="D171" i="74"/>
  <c r="C171" i="74"/>
  <c r="B171" i="74"/>
  <c r="A171" i="74"/>
  <c r="AT170" i="74"/>
  <c r="AS170" i="74"/>
  <c r="AR170" i="74"/>
  <c r="AQ170" i="74"/>
  <c r="AP170" i="74"/>
  <c r="AO170" i="74"/>
  <c r="AN170" i="74"/>
  <c r="AM170" i="74"/>
  <c r="AL170" i="74"/>
  <c r="AK170" i="74"/>
  <c r="AJ170" i="74"/>
  <c r="AB170" i="74"/>
  <c r="AA170" i="74"/>
  <c r="Z170" i="74"/>
  <c r="Y170" i="74"/>
  <c r="X170" i="74"/>
  <c r="W170" i="74"/>
  <c r="U170" i="74"/>
  <c r="T170" i="74"/>
  <c r="R170" i="74"/>
  <c r="Q170" i="74"/>
  <c r="P170" i="74"/>
  <c r="N170" i="74"/>
  <c r="I170" i="74"/>
  <c r="H170" i="74"/>
  <c r="G170" i="74"/>
  <c r="F170" i="74"/>
  <c r="E170" i="74"/>
  <c r="D170" i="74"/>
  <c r="C170" i="74"/>
  <c r="B170" i="74"/>
  <c r="A170" i="74"/>
  <c r="AT169" i="74"/>
  <c r="AS169" i="74"/>
  <c r="AR169" i="74"/>
  <c r="AQ169" i="74"/>
  <c r="AP169" i="74"/>
  <c r="AO169" i="74"/>
  <c r="AN169" i="74"/>
  <c r="AM169" i="74"/>
  <c r="AL169" i="74"/>
  <c r="AK169" i="74"/>
  <c r="AJ169" i="74"/>
  <c r="AB169" i="74"/>
  <c r="AA169" i="74"/>
  <c r="Z169" i="74"/>
  <c r="Y169" i="74"/>
  <c r="X169" i="74"/>
  <c r="W169" i="74"/>
  <c r="U169" i="74"/>
  <c r="T169" i="74"/>
  <c r="R169" i="74"/>
  <c r="Q169" i="74"/>
  <c r="P169" i="74"/>
  <c r="N169" i="74"/>
  <c r="I169" i="74"/>
  <c r="H169" i="74"/>
  <c r="G169" i="74"/>
  <c r="F169" i="74"/>
  <c r="E169" i="74"/>
  <c r="D169" i="74"/>
  <c r="C169" i="74"/>
  <c r="B169" i="74"/>
  <c r="A169" i="74"/>
  <c r="AT168" i="74"/>
  <c r="AS168" i="74"/>
  <c r="AR168" i="74"/>
  <c r="AQ168" i="74"/>
  <c r="AP168" i="74"/>
  <c r="AO168" i="74"/>
  <c r="AN168" i="74"/>
  <c r="AM168" i="74"/>
  <c r="AL168" i="74"/>
  <c r="AK168" i="74"/>
  <c r="AJ168" i="74"/>
  <c r="AB168" i="74"/>
  <c r="AA168" i="74"/>
  <c r="Z168" i="74"/>
  <c r="Y168" i="74"/>
  <c r="X168" i="74"/>
  <c r="W168" i="74"/>
  <c r="U168" i="74"/>
  <c r="T168" i="74"/>
  <c r="R168" i="74"/>
  <c r="Q168" i="74"/>
  <c r="P168" i="74"/>
  <c r="N168" i="74"/>
  <c r="I168" i="74"/>
  <c r="H168" i="74"/>
  <c r="G168" i="74"/>
  <c r="F168" i="74"/>
  <c r="E168" i="74"/>
  <c r="D168" i="74"/>
  <c r="C168" i="74"/>
  <c r="B168" i="74"/>
  <c r="A168" i="74"/>
  <c r="AT167" i="74"/>
  <c r="AS167" i="74"/>
  <c r="AR167" i="74"/>
  <c r="AQ167" i="74"/>
  <c r="AP167" i="74"/>
  <c r="AO167" i="74"/>
  <c r="AN167" i="74"/>
  <c r="AM167" i="74"/>
  <c r="AL167" i="74"/>
  <c r="AK167" i="74"/>
  <c r="AJ167" i="74"/>
  <c r="AB167" i="74"/>
  <c r="AA167" i="74"/>
  <c r="Z167" i="74"/>
  <c r="Y167" i="74"/>
  <c r="X167" i="74"/>
  <c r="W167" i="74"/>
  <c r="U167" i="74"/>
  <c r="T167" i="74"/>
  <c r="R167" i="74"/>
  <c r="Q167" i="74"/>
  <c r="P167" i="74"/>
  <c r="N167" i="74"/>
  <c r="I167" i="74"/>
  <c r="H167" i="74"/>
  <c r="G167" i="74"/>
  <c r="F167" i="74"/>
  <c r="E167" i="74"/>
  <c r="D167" i="74"/>
  <c r="C167" i="74"/>
  <c r="B167" i="74"/>
  <c r="A167" i="74"/>
  <c r="AT166" i="74"/>
  <c r="AS166" i="74"/>
  <c r="AR166" i="74"/>
  <c r="AQ166" i="74"/>
  <c r="AP166" i="74"/>
  <c r="AO166" i="74"/>
  <c r="AN166" i="74"/>
  <c r="AM166" i="74"/>
  <c r="AL166" i="74"/>
  <c r="AK166" i="74"/>
  <c r="AJ166" i="74"/>
  <c r="AB166" i="74"/>
  <c r="AA166" i="74"/>
  <c r="Z166" i="74"/>
  <c r="Y166" i="74"/>
  <c r="X166" i="74"/>
  <c r="W166" i="74"/>
  <c r="U166" i="74"/>
  <c r="T166" i="74"/>
  <c r="R166" i="74"/>
  <c r="Q166" i="74"/>
  <c r="P166" i="74"/>
  <c r="N166" i="74"/>
  <c r="I166" i="74"/>
  <c r="H166" i="74"/>
  <c r="G166" i="74"/>
  <c r="F166" i="74"/>
  <c r="E166" i="74"/>
  <c r="D166" i="74"/>
  <c r="C166" i="74"/>
  <c r="B166" i="74"/>
  <c r="A166" i="74"/>
  <c r="AT165" i="74"/>
  <c r="AS165" i="74"/>
  <c r="AR165" i="74"/>
  <c r="AQ165" i="74"/>
  <c r="AP165" i="74"/>
  <c r="AO165" i="74"/>
  <c r="AN165" i="74"/>
  <c r="AM165" i="74"/>
  <c r="AL165" i="74"/>
  <c r="AK165" i="74"/>
  <c r="AJ165" i="74"/>
  <c r="AB165" i="74"/>
  <c r="AA165" i="74"/>
  <c r="Z165" i="74"/>
  <c r="Y165" i="74"/>
  <c r="X165" i="74"/>
  <c r="W165" i="74"/>
  <c r="U165" i="74"/>
  <c r="T165" i="74"/>
  <c r="R165" i="74"/>
  <c r="Q165" i="74"/>
  <c r="P165" i="74"/>
  <c r="N165" i="74"/>
  <c r="I165" i="74"/>
  <c r="H165" i="74"/>
  <c r="G165" i="74"/>
  <c r="F165" i="74"/>
  <c r="E165" i="74"/>
  <c r="D165" i="74"/>
  <c r="C165" i="74"/>
  <c r="B165" i="74"/>
  <c r="A165" i="74"/>
  <c r="AT164" i="74"/>
  <c r="AS164" i="74"/>
  <c r="AR164" i="74"/>
  <c r="AQ164" i="74"/>
  <c r="AP164" i="74"/>
  <c r="AO164" i="74"/>
  <c r="AN164" i="74"/>
  <c r="AM164" i="74"/>
  <c r="AL164" i="74"/>
  <c r="AK164" i="74"/>
  <c r="AJ164" i="74"/>
  <c r="AB164" i="74"/>
  <c r="AA164" i="74"/>
  <c r="X164" i="74"/>
  <c r="W164" i="74"/>
  <c r="Q164" i="74"/>
  <c r="P164" i="74"/>
  <c r="O164" i="74"/>
  <c r="N164" i="74"/>
  <c r="M164" i="74"/>
  <c r="I164" i="74"/>
  <c r="H164" i="74"/>
  <c r="G164" i="74"/>
  <c r="F164" i="74"/>
  <c r="E164" i="74"/>
  <c r="D164" i="74"/>
  <c r="C164" i="74"/>
  <c r="B164" i="74"/>
  <c r="A164" i="74"/>
  <c r="X163" i="74"/>
  <c r="X162" i="74" s="1"/>
  <c r="M163" i="74"/>
  <c r="L163" i="74"/>
  <c r="L162" i="74"/>
  <c r="K162" i="74"/>
  <c r="K161" i="74"/>
  <c r="J161" i="74"/>
  <c r="AT160" i="74"/>
  <c r="AS160" i="74"/>
  <c r="AR160" i="74"/>
  <c r="AQ160" i="74"/>
  <c r="AP160" i="74"/>
  <c r="AO160" i="74"/>
  <c r="AN160" i="74"/>
  <c r="AM160" i="74"/>
  <c r="AL160" i="74"/>
  <c r="AK160" i="74"/>
  <c r="AJ160" i="74"/>
  <c r="AB160" i="74"/>
  <c r="AA160" i="74"/>
  <c r="Z160" i="74"/>
  <c r="Y160" i="74"/>
  <c r="X160" i="74"/>
  <c r="W160" i="74"/>
  <c r="U160" i="74"/>
  <c r="T160" i="74"/>
  <c r="R160" i="74"/>
  <c r="Q160" i="74"/>
  <c r="P160" i="74"/>
  <c r="O160" i="74"/>
  <c r="N160" i="74"/>
  <c r="M160" i="74"/>
  <c r="I160" i="74"/>
  <c r="H160" i="74"/>
  <c r="G160" i="74"/>
  <c r="F160" i="74"/>
  <c r="E160" i="74"/>
  <c r="D160" i="74"/>
  <c r="C160" i="74"/>
  <c r="B160" i="74"/>
  <c r="A160" i="74"/>
  <c r="AT159" i="74"/>
  <c r="AS159" i="74"/>
  <c r="AR159" i="74"/>
  <c r="AQ159" i="74"/>
  <c r="AP159" i="74"/>
  <c r="AO159" i="74"/>
  <c r="AN159" i="74"/>
  <c r="AM159" i="74"/>
  <c r="AL159" i="74"/>
  <c r="AK159" i="74"/>
  <c r="AJ159" i="74"/>
  <c r="AB159" i="74"/>
  <c r="AA159" i="74"/>
  <c r="Y159" i="74"/>
  <c r="X159" i="74"/>
  <c r="W159" i="74"/>
  <c r="U159" i="74"/>
  <c r="T159" i="74"/>
  <c r="R159" i="74"/>
  <c r="Q159" i="74"/>
  <c r="P159" i="74"/>
  <c r="O159" i="74"/>
  <c r="N159" i="74"/>
  <c r="M159" i="74"/>
  <c r="I159" i="74"/>
  <c r="H159" i="74"/>
  <c r="G159" i="74"/>
  <c r="F159" i="74"/>
  <c r="E159" i="74"/>
  <c r="D159" i="74"/>
  <c r="C159" i="74"/>
  <c r="B159" i="74"/>
  <c r="A159" i="74"/>
  <c r="AT158" i="74"/>
  <c r="AS158" i="74"/>
  <c r="AR158" i="74"/>
  <c r="AQ158" i="74"/>
  <c r="AP158" i="74"/>
  <c r="AO158" i="74"/>
  <c r="AN158" i="74"/>
  <c r="AM158" i="74"/>
  <c r="AL158" i="74"/>
  <c r="AK158" i="74"/>
  <c r="AJ158" i="74"/>
  <c r="AB158" i="74"/>
  <c r="AA158" i="74"/>
  <c r="Z158" i="74"/>
  <c r="Y158" i="74"/>
  <c r="X158" i="74"/>
  <c r="W158" i="74"/>
  <c r="U158" i="74"/>
  <c r="T158" i="74"/>
  <c r="R158" i="74"/>
  <c r="Q158" i="74"/>
  <c r="P158" i="74"/>
  <c r="O158" i="74"/>
  <c r="N158" i="74"/>
  <c r="M158" i="74"/>
  <c r="I158" i="74"/>
  <c r="H158" i="74"/>
  <c r="G158" i="74"/>
  <c r="F158" i="74"/>
  <c r="E158" i="74"/>
  <c r="D158" i="74"/>
  <c r="C158" i="74"/>
  <c r="B158" i="74"/>
  <c r="A158" i="74"/>
  <c r="AT157" i="74"/>
  <c r="AS157" i="74"/>
  <c r="AR157" i="74"/>
  <c r="AQ157" i="74"/>
  <c r="AP157" i="74"/>
  <c r="AO157" i="74"/>
  <c r="AN157" i="74"/>
  <c r="AM157" i="74"/>
  <c r="AL157" i="74"/>
  <c r="AK157" i="74"/>
  <c r="AJ157" i="74"/>
  <c r="AB157" i="74"/>
  <c r="AA157" i="74"/>
  <c r="Z157" i="74"/>
  <c r="X157" i="74"/>
  <c r="W157" i="74"/>
  <c r="U157" i="74"/>
  <c r="T157" i="74"/>
  <c r="R157" i="74"/>
  <c r="Q157" i="74"/>
  <c r="P157" i="74"/>
  <c r="O157" i="74"/>
  <c r="N157" i="74"/>
  <c r="M157" i="74"/>
  <c r="I157" i="74"/>
  <c r="H157" i="74"/>
  <c r="G157" i="74"/>
  <c r="F157" i="74"/>
  <c r="E157" i="74"/>
  <c r="D157" i="74"/>
  <c r="C157" i="74"/>
  <c r="B157" i="74"/>
  <c r="A157" i="74"/>
  <c r="AT156" i="74"/>
  <c r="AS156" i="74"/>
  <c r="AR156" i="74"/>
  <c r="AQ156" i="74"/>
  <c r="AP156" i="74"/>
  <c r="AO156" i="74"/>
  <c r="AN156" i="74"/>
  <c r="AM156" i="74"/>
  <c r="AL156" i="74"/>
  <c r="AK156" i="74"/>
  <c r="AJ156" i="74"/>
  <c r="AB156" i="74"/>
  <c r="AA156" i="74"/>
  <c r="Z156" i="74"/>
  <c r="X156" i="74"/>
  <c r="W156" i="74"/>
  <c r="U156" i="74"/>
  <c r="T156" i="74"/>
  <c r="R156" i="74"/>
  <c r="Q156" i="74"/>
  <c r="P156" i="74"/>
  <c r="O156" i="74"/>
  <c r="N156" i="74"/>
  <c r="M156" i="74"/>
  <c r="I156" i="74"/>
  <c r="H156" i="74"/>
  <c r="G156" i="74"/>
  <c r="F156" i="74"/>
  <c r="E156" i="74"/>
  <c r="D156" i="74"/>
  <c r="C156" i="74"/>
  <c r="B156" i="74"/>
  <c r="A156" i="74"/>
  <c r="AT155" i="74"/>
  <c r="AS155" i="74"/>
  <c r="AR155" i="74"/>
  <c r="AQ155" i="74"/>
  <c r="AP155" i="74"/>
  <c r="AO155" i="74"/>
  <c r="AN155" i="74"/>
  <c r="AM155" i="74"/>
  <c r="AL155" i="74"/>
  <c r="AK155" i="74"/>
  <c r="AJ155" i="74"/>
  <c r="AB155" i="74"/>
  <c r="AA155" i="74"/>
  <c r="Z155" i="74"/>
  <c r="X155" i="74"/>
  <c r="W155" i="74"/>
  <c r="U155" i="74"/>
  <c r="T155" i="74"/>
  <c r="R155" i="74"/>
  <c r="Q155" i="74"/>
  <c r="P155" i="74"/>
  <c r="O155" i="74"/>
  <c r="N155" i="74"/>
  <c r="M155" i="74"/>
  <c r="I155" i="74"/>
  <c r="H155" i="74"/>
  <c r="G155" i="74"/>
  <c r="F155" i="74"/>
  <c r="E155" i="74"/>
  <c r="D155" i="74"/>
  <c r="C155" i="74"/>
  <c r="B155" i="74"/>
  <c r="A155" i="74"/>
  <c r="AT154" i="74"/>
  <c r="AS154" i="74"/>
  <c r="AR154" i="74"/>
  <c r="AQ154" i="74"/>
  <c r="AP154" i="74"/>
  <c r="AO154" i="74"/>
  <c r="AN154" i="74"/>
  <c r="AM154" i="74"/>
  <c r="AL154" i="74"/>
  <c r="AK154" i="74"/>
  <c r="AJ154" i="74"/>
  <c r="AB154" i="74"/>
  <c r="AA154" i="74"/>
  <c r="Z154" i="74"/>
  <c r="Y154" i="74"/>
  <c r="X154" i="74"/>
  <c r="W154" i="74"/>
  <c r="U154" i="74"/>
  <c r="T154" i="74"/>
  <c r="R154" i="74"/>
  <c r="Q154" i="74"/>
  <c r="P154" i="74"/>
  <c r="O154" i="74"/>
  <c r="N154" i="74"/>
  <c r="I154" i="74"/>
  <c r="H154" i="74"/>
  <c r="G154" i="74"/>
  <c r="F154" i="74"/>
  <c r="E154" i="74"/>
  <c r="D154" i="74"/>
  <c r="C154" i="74"/>
  <c r="B154" i="74"/>
  <c r="A154" i="74"/>
  <c r="AT153" i="74"/>
  <c r="AS153" i="74"/>
  <c r="AR153" i="74"/>
  <c r="AQ153" i="74"/>
  <c r="AP153" i="74"/>
  <c r="AO153" i="74"/>
  <c r="AN153" i="74"/>
  <c r="AM153" i="74"/>
  <c r="AL153" i="74"/>
  <c r="AK153" i="74"/>
  <c r="AJ153" i="74"/>
  <c r="AB153" i="74"/>
  <c r="AA153" i="74"/>
  <c r="Z153" i="74"/>
  <c r="Y153" i="74"/>
  <c r="X153" i="74"/>
  <c r="W153" i="74"/>
  <c r="U153" i="74"/>
  <c r="T153" i="74"/>
  <c r="R153" i="74"/>
  <c r="Q153" i="74"/>
  <c r="P153" i="74"/>
  <c r="O153" i="74"/>
  <c r="N153" i="74"/>
  <c r="I153" i="74"/>
  <c r="H153" i="74"/>
  <c r="G153" i="74"/>
  <c r="F153" i="74"/>
  <c r="E153" i="74"/>
  <c r="D153" i="74"/>
  <c r="C153" i="74"/>
  <c r="B153" i="74"/>
  <c r="A153" i="74"/>
  <c r="AT152" i="74"/>
  <c r="AS152" i="74"/>
  <c r="AR152" i="74"/>
  <c r="AQ152" i="74"/>
  <c r="AP152" i="74"/>
  <c r="AO152" i="74"/>
  <c r="AN152" i="74"/>
  <c r="AM152" i="74"/>
  <c r="AL152" i="74"/>
  <c r="AK152" i="74"/>
  <c r="AJ152" i="74"/>
  <c r="AB152" i="74"/>
  <c r="AA152" i="74"/>
  <c r="X152" i="74"/>
  <c r="W152" i="74"/>
  <c r="Q152" i="74"/>
  <c r="P152" i="74"/>
  <c r="O152" i="74"/>
  <c r="N152" i="74"/>
  <c r="M152" i="74"/>
  <c r="I152" i="74"/>
  <c r="H152" i="74"/>
  <c r="G152" i="74"/>
  <c r="F152" i="74"/>
  <c r="E152" i="74"/>
  <c r="D152" i="74"/>
  <c r="C152" i="74"/>
  <c r="B152" i="74"/>
  <c r="A152" i="74"/>
  <c r="AT151" i="74"/>
  <c r="AS151" i="74"/>
  <c r="AR151" i="74"/>
  <c r="AQ151" i="74"/>
  <c r="AP151" i="74"/>
  <c r="AO151" i="74"/>
  <c r="AN151" i="74"/>
  <c r="AM151" i="74"/>
  <c r="AL151" i="74"/>
  <c r="AK151" i="74"/>
  <c r="AJ151" i="74"/>
  <c r="AB151" i="74"/>
  <c r="AA151" i="74"/>
  <c r="Z151" i="74"/>
  <c r="Y151" i="74"/>
  <c r="X151" i="74"/>
  <c r="W151" i="74"/>
  <c r="U151" i="74"/>
  <c r="T151" i="74"/>
  <c r="R151" i="74"/>
  <c r="Q151" i="74"/>
  <c r="P151" i="74"/>
  <c r="O151" i="74"/>
  <c r="N151" i="74"/>
  <c r="I151" i="74"/>
  <c r="H151" i="74"/>
  <c r="G151" i="74"/>
  <c r="F151" i="74"/>
  <c r="E151" i="74"/>
  <c r="D151" i="74"/>
  <c r="C151" i="74"/>
  <c r="B151" i="74"/>
  <c r="A151" i="74"/>
  <c r="AT150" i="74"/>
  <c r="AS150" i="74"/>
  <c r="AR150" i="74"/>
  <c r="AQ150" i="74"/>
  <c r="AP150" i="74"/>
  <c r="AO150" i="74"/>
  <c r="AN150" i="74"/>
  <c r="AM150" i="74"/>
  <c r="AL150" i="74"/>
  <c r="AK150" i="74"/>
  <c r="AJ150" i="74"/>
  <c r="AB150" i="74"/>
  <c r="AA150" i="74"/>
  <c r="Z150" i="74"/>
  <c r="Y150" i="74"/>
  <c r="X150" i="74"/>
  <c r="W150" i="74"/>
  <c r="U150" i="74"/>
  <c r="T150" i="74"/>
  <c r="R150" i="74"/>
  <c r="Q150" i="74"/>
  <c r="P150" i="74"/>
  <c r="O150" i="74"/>
  <c r="N150" i="74"/>
  <c r="I150" i="74"/>
  <c r="H150" i="74"/>
  <c r="G150" i="74"/>
  <c r="F150" i="74"/>
  <c r="E150" i="74"/>
  <c r="D150" i="74"/>
  <c r="C150" i="74"/>
  <c r="B150" i="74"/>
  <c r="A150" i="74"/>
  <c r="AT149" i="74"/>
  <c r="AS149" i="74"/>
  <c r="AR149" i="74"/>
  <c r="AQ149" i="74"/>
  <c r="AP149" i="74"/>
  <c r="AO149" i="74"/>
  <c r="AN149" i="74"/>
  <c r="AM149" i="74"/>
  <c r="AL149" i="74"/>
  <c r="AK149" i="74"/>
  <c r="AJ149" i="74"/>
  <c r="AB149" i="74"/>
  <c r="AA149" i="74"/>
  <c r="X149" i="74"/>
  <c r="W149" i="74"/>
  <c r="Q149" i="74"/>
  <c r="P149" i="74"/>
  <c r="O149" i="74"/>
  <c r="N149" i="74"/>
  <c r="M149" i="74"/>
  <c r="I149" i="74"/>
  <c r="H149" i="74"/>
  <c r="G149" i="74"/>
  <c r="F149" i="74"/>
  <c r="E149" i="74"/>
  <c r="D149" i="74"/>
  <c r="C149" i="74"/>
  <c r="B149" i="74"/>
  <c r="A149" i="74"/>
  <c r="M148" i="74"/>
  <c r="L148" i="74"/>
  <c r="L147" i="74"/>
  <c r="K147" i="74"/>
  <c r="AT146" i="74"/>
  <c r="AS146" i="74"/>
  <c r="AR146" i="74"/>
  <c r="AQ146" i="74"/>
  <c r="AP146" i="74"/>
  <c r="AO146" i="74"/>
  <c r="AN146" i="74"/>
  <c r="AM146" i="74"/>
  <c r="AL146" i="74"/>
  <c r="AK146" i="74"/>
  <c r="AJ146" i="74"/>
  <c r="AB146" i="74"/>
  <c r="AA146" i="74"/>
  <c r="X146" i="74"/>
  <c r="W146" i="74"/>
  <c r="U146" i="74"/>
  <c r="T146" i="74"/>
  <c r="T145" i="74" s="1"/>
  <c r="T144" i="74" s="1"/>
  <c r="R146" i="74"/>
  <c r="R145" i="74" s="1"/>
  <c r="R144" i="74" s="1"/>
  <c r="Q146" i="74"/>
  <c r="P146" i="74"/>
  <c r="O146" i="74"/>
  <c r="N146" i="74"/>
  <c r="M146" i="74"/>
  <c r="I146" i="74"/>
  <c r="H146" i="74"/>
  <c r="G146" i="74"/>
  <c r="F146" i="74"/>
  <c r="E146" i="74"/>
  <c r="D146" i="74"/>
  <c r="C146" i="74"/>
  <c r="B146" i="74"/>
  <c r="A146" i="74"/>
  <c r="X145" i="74"/>
  <c r="X144" i="74" s="1"/>
  <c r="U145" i="74"/>
  <c r="U144" i="74" s="1"/>
  <c r="M145" i="74"/>
  <c r="L145" i="74"/>
  <c r="L144" i="74"/>
  <c r="K144" i="74"/>
  <c r="AT143" i="74"/>
  <c r="AS143" i="74"/>
  <c r="AR143" i="74"/>
  <c r="AQ143" i="74"/>
  <c r="AP143" i="74"/>
  <c r="AO143" i="74"/>
  <c r="AN143" i="74"/>
  <c r="AM143" i="74"/>
  <c r="AL143" i="74"/>
  <c r="AK143" i="74"/>
  <c r="AJ143" i="74"/>
  <c r="AB143" i="74"/>
  <c r="AA143" i="74"/>
  <c r="Y143" i="74"/>
  <c r="X143" i="74"/>
  <c r="W143" i="74"/>
  <c r="U143" i="74"/>
  <c r="T143" i="74"/>
  <c r="R143" i="74"/>
  <c r="Q143" i="74"/>
  <c r="P143" i="74"/>
  <c r="O143" i="74"/>
  <c r="N143" i="74"/>
  <c r="M143" i="74"/>
  <c r="I143" i="74"/>
  <c r="H143" i="74"/>
  <c r="G143" i="74"/>
  <c r="F143" i="74"/>
  <c r="E143" i="74"/>
  <c r="D143" i="74"/>
  <c r="C143" i="74"/>
  <c r="B143" i="74"/>
  <c r="A143" i="74"/>
  <c r="AT142" i="74"/>
  <c r="AS142" i="74"/>
  <c r="AR142" i="74"/>
  <c r="AQ142" i="74"/>
  <c r="AP142" i="74"/>
  <c r="AO142" i="74"/>
  <c r="AN142" i="74"/>
  <c r="AM142" i="74"/>
  <c r="AL142" i="74"/>
  <c r="AK142" i="74"/>
  <c r="AJ142" i="74"/>
  <c r="AB142" i="74"/>
  <c r="AA142" i="74"/>
  <c r="Z142" i="74"/>
  <c r="X142" i="74"/>
  <c r="W142" i="74"/>
  <c r="U142" i="74"/>
  <c r="T142" i="74"/>
  <c r="R142" i="74"/>
  <c r="Q142" i="74"/>
  <c r="P142" i="74"/>
  <c r="O142" i="74"/>
  <c r="N142" i="74"/>
  <c r="M142" i="74"/>
  <c r="I142" i="74"/>
  <c r="H142" i="74"/>
  <c r="G142" i="74"/>
  <c r="F142" i="74"/>
  <c r="E142" i="74"/>
  <c r="D142" i="74"/>
  <c r="C142" i="74"/>
  <c r="B142" i="74"/>
  <c r="A142" i="74"/>
  <c r="AT141" i="74"/>
  <c r="AS141" i="74"/>
  <c r="AR141" i="74"/>
  <c r="AQ141" i="74"/>
  <c r="AP141" i="74"/>
  <c r="AO141" i="74"/>
  <c r="AN141" i="74"/>
  <c r="AM141" i="74"/>
  <c r="AL141" i="74"/>
  <c r="AK141" i="74"/>
  <c r="AJ141" i="74"/>
  <c r="AB141" i="74"/>
  <c r="AA141" i="74"/>
  <c r="Y141" i="74"/>
  <c r="X141" i="74"/>
  <c r="X140" i="74" s="1"/>
  <c r="X139" i="74" s="1"/>
  <c r="W141" i="74"/>
  <c r="U141" i="74"/>
  <c r="T141" i="74"/>
  <c r="R141" i="74"/>
  <c r="Q141" i="74"/>
  <c r="P141" i="74"/>
  <c r="O141" i="74"/>
  <c r="N141" i="74"/>
  <c r="M141" i="74"/>
  <c r="I141" i="74"/>
  <c r="H141" i="74"/>
  <c r="G141" i="74"/>
  <c r="F141" i="74"/>
  <c r="E141" i="74"/>
  <c r="D141" i="74"/>
  <c r="C141" i="74"/>
  <c r="B141" i="74"/>
  <c r="A141" i="74"/>
  <c r="M140" i="74"/>
  <c r="L140" i="74"/>
  <c r="L139" i="74"/>
  <c r="K139" i="74"/>
  <c r="AT138" i="74"/>
  <c r="AS138" i="74"/>
  <c r="AR138" i="74"/>
  <c r="AQ138" i="74"/>
  <c r="AP138" i="74"/>
  <c r="AO138" i="74"/>
  <c r="AN138" i="74"/>
  <c r="AM138" i="74"/>
  <c r="AL138" i="74"/>
  <c r="AK138" i="74"/>
  <c r="AJ138" i="74"/>
  <c r="AB138" i="74"/>
  <c r="AA138" i="74"/>
  <c r="Z138" i="74"/>
  <c r="X138" i="74"/>
  <c r="W138" i="74"/>
  <c r="U138" i="74"/>
  <c r="T138" i="74"/>
  <c r="T137" i="74" s="1"/>
  <c r="T136" i="74" s="1"/>
  <c r="R138" i="74"/>
  <c r="Q138" i="74"/>
  <c r="P138" i="74"/>
  <c r="O138" i="74"/>
  <c r="N138" i="74"/>
  <c r="M138" i="74"/>
  <c r="I138" i="74"/>
  <c r="H138" i="74"/>
  <c r="G138" i="74"/>
  <c r="F138" i="74"/>
  <c r="E138" i="74"/>
  <c r="D138" i="74"/>
  <c r="C138" i="74"/>
  <c r="B138" i="74"/>
  <c r="A138" i="74"/>
  <c r="Z137" i="74"/>
  <c r="Z136" i="74" s="1"/>
  <c r="X137" i="74"/>
  <c r="X136" i="74" s="1"/>
  <c r="U137" i="74"/>
  <c r="U136" i="74" s="1"/>
  <c r="R137" i="74"/>
  <c r="R136" i="74" s="1"/>
  <c r="M137" i="74"/>
  <c r="L137" i="74"/>
  <c r="L136" i="74"/>
  <c r="K136" i="74"/>
  <c r="AT135" i="74"/>
  <c r="AS135" i="74"/>
  <c r="AR135" i="74"/>
  <c r="AQ135" i="74"/>
  <c r="AP135" i="74"/>
  <c r="AO135" i="74"/>
  <c r="AN135" i="74"/>
  <c r="AM135" i="74"/>
  <c r="AL135" i="74"/>
  <c r="AK135" i="74"/>
  <c r="AJ135" i="74"/>
  <c r="AB135" i="74"/>
  <c r="AA135" i="74"/>
  <c r="Z135" i="74"/>
  <c r="X135" i="74"/>
  <c r="X129" i="74" s="1"/>
  <c r="X128" i="74" s="1"/>
  <c r="W135" i="74"/>
  <c r="U135" i="74"/>
  <c r="T135" i="74"/>
  <c r="R135" i="74"/>
  <c r="Q135" i="74"/>
  <c r="P135" i="74"/>
  <c r="O135" i="74"/>
  <c r="N135" i="74"/>
  <c r="M135" i="74"/>
  <c r="I135" i="74"/>
  <c r="H135" i="74"/>
  <c r="G135" i="74"/>
  <c r="F135" i="74"/>
  <c r="E135" i="74"/>
  <c r="D135" i="74"/>
  <c r="C135" i="74"/>
  <c r="B135" i="74"/>
  <c r="A135" i="74"/>
  <c r="AT134" i="74"/>
  <c r="AS134" i="74"/>
  <c r="AR134" i="74"/>
  <c r="AQ134" i="74"/>
  <c r="AP134" i="74"/>
  <c r="AO134" i="74"/>
  <c r="AN134" i="74"/>
  <c r="AM134" i="74"/>
  <c r="AL134" i="74"/>
  <c r="AK134" i="74"/>
  <c r="AJ134" i="74"/>
  <c r="AB134" i="74"/>
  <c r="AA134" i="74"/>
  <c r="Z134" i="74"/>
  <c r="X134" i="74"/>
  <c r="W134" i="74"/>
  <c r="U134" i="74"/>
  <c r="R134" i="74"/>
  <c r="Q134" i="74"/>
  <c r="P134" i="74"/>
  <c r="O134" i="74"/>
  <c r="N134" i="74"/>
  <c r="M134" i="74"/>
  <c r="I134" i="74"/>
  <c r="H134" i="74"/>
  <c r="G134" i="74"/>
  <c r="F134" i="74"/>
  <c r="E134" i="74"/>
  <c r="D134" i="74"/>
  <c r="C134" i="74"/>
  <c r="B134" i="74"/>
  <c r="A134" i="74"/>
  <c r="AT133" i="74"/>
  <c r="AS133" i="74"/>
  <c r="AR133" i="74"/>
  <c r="AQ133" i="74"/>
  <c r="AP133" i="74"/>
  <c r="AO133" i="74"/>
  <c r="AN133" i="74"/>
  <c r="AM133" i="74"/>
  <c r="AL133" i="74"/>
  <c r="AK133" i="74"/>
  <c r="AJ133" i="74"/>
  <c r="AB133" i="74"/>
  <c r="AA133" i="74"/>
  <c r="Z133" i="74"/>
  <c r="X133" i="74"/>
  <c r="W133" i="74"/>
  <c r="U133" i="74"/>
  <c r="R133" i="74"/>
  <c r="Q133" i="74"/>
  <c r="P133" i="74"/>
  <c r="O133" i="74"/>
  <c r="N133" i="74"/>
  <c r="M133" i="74"/>
  <c r="I133" i="74"/>
  <c r="H133" i="74"/>
  <c r="G133" i="74"/>
  <c r="F133" i="74"/>
  <c r="E133" i="74"/>
  <c r="D133" i="74"/>
  <c r="C133" i="74"/>
  <c r="B133" i="74"/>
  <c r="A133" i="74"/>
  <c r="AT132" i="74"/>
  <c r="AS132" i="74"/>
  <c r="AR132" i="74"/>
  <c r="AQ132" i="74"/>
  <c r="AP132" i="74"/>
  <c r="AO132" i="74"/>
  <c r="AN132" i="74"/>
  <c r="AM132" i="74"/>
  <c r="AL132" i="74"/>
  <c r="AK132" i="74"/>
  <c r="AJ132" i="74"/>
  <c r="AB132" i="74"/>
  <c r="AA132" i="74"/>
  <c r="Z132" i="74"/>
  <c r="X132" i="74"/>
  <c r="W132" i="74"/>
  <c r="U132" i="74"/>
  <c r="T132" i="74"/>
  <c r="R132" i="74"/>
  <c r="Q132" i="74"/>
  <c r="P132" i="74"/>
  <c r="O132" i="74"/>
  <c r="N132" i="74"/>
  <c r="I132" i="74"/>
  <c r="H132" i="74"/>
  <c r="G132" i="74"/>
  <c r="F132" i="74"/>
  <c r="E132" i="74"/>
  <c r="D132" i="74"/>
  <c r="C132" i="74"/>
  <c r="B132" i="74"/>
  <c r="A132" i="74"/>
  <c r="AT131" i="74"/>
  <c r="AS131" i="74"/>
  <c r="AR131" i="74"/>
  <c r="AQ131" i="74"/>
  <c r="AP131" i="74"/>
  <c r="AO131" i="74"/>
  <c r="AN131" i="74"/>
  <c r="AM131" i="74"/>
  <c r="AL131" i="74"/>
  <c r="AK131" i="74"/>
  <c r="AJ131" i="74"/>
  <c r="AB131" i="74"/>
  <c r="AA131" i="74"/>
  <c r="Z131" i="74"/>
  <c r="Y131" i="74"/>
  <c r="X131" i="74"/>
  <c r="W131" i="74"/>
  <c r="U131" i="74"/>
  <c r="T131" i="74"/>
  <c r="R131" i="74"/>
  <c r="Q131" i="74"/>
  <c r="P131" i="74"/>
  <c r="O131" i="74"/>
  <c r="N131" i="74"/>
  <c r="I131" i="74"/>
  <c r="H131" i="74"/>
  <c r="G131" i="74"/>
  <c r="F131" i="74"/>
  <c r="E131" i="74"/>
  <c r="D131" i="74"/>
  <c r="C131" i="74"/>
  <c r="B131" i="74"/>
  <c r="A131" i="74"/>
  <c r="AT130" i="74"/>
  <c r="AS130" i="74"/>
  <c r="AR130" i="74"/>
  <c r="AQ130" i="74"/>
  <c r="AP130" i="74"/>
  <c r="AO130" i="74"/>
  <c r="AN130" i="74"/>
  <c r="AM130" i="74"/>
  <c r="AL130" i="74"/>
  <c r="AK130" i="74"/>
  <c r="AJ130" i="74"/>
  <c r="AB130" i="74"/>
  <c r="AA130" i="74"/>
  <c r="X130" i="74"/>
  <c r="W130" i="74"/>
  <c r="Q130" i="74"/>
  <c r="P130" i="74"/>
  <c r="O130" i="74"/>
  <c r="N130" i="74"/>
  <c r="M130" i="74"/>
  <c r="I130" i="74"/>
  <c r="H130" i="74"/>
  <c r="G130" i="74"/>
  <c r="F130" i="74"/>
  <c r="E130" i="74"/>
  <c r="D130" i="74"/>
  <c r="C130" i="74"/>
  <c r="B130" i="74"/>
  <c r="A130" i="74"/>
  <c r="M129" i="74"/>
  <c r="L129" i="74"/>
  <c r="L128" i="74"/>
  <c r="K128" i="74"/>
  <c r="AT127" i="74"/>
  <c r="AS127" i="74"/>
  <c r="AR127" i="74"/>
  <c r="AQ127" i="74"/>
  <c r="AP127" i="74"/>
  <c r="AO127" i="74"/>
  <c r="AN127" i="74"/>
  <c r="AM127" i="74"/>
  <c r="AL127" i="74"/>
  <c r="AK127" i="74"/>
  <c r="AJ127" i="74"/>
  <c r="AB127" i="74"/>
  <c r="AA127" i="74"/>
  <c r="Z127" i="74"/>
  <c r="Y127" i="74"/>
  <c r="X127" i="74"/>
  <c r="W127" i="74"/>
  <c r="U127" i="74"/>
  <c r="U126" i="74" s="1"/>
  <c r="U125" i="74" s="1"/>
  <c r="R127" i="74"/>
  <c r="R126" i="74" s="1"/>
  <c r="R125" i="74" s="1"/>
  <c r="Q127" i="74"/>
  <c r="P127" i="74"/>
  <c r="O127" i="74"/>
  <c r="N127" i="74"/>
  <c r="M127" i="74"/>
  <c r="I127" i="74"/>
  <c r="H127" i="74"/>
  <c r="G127" i="74"/>
  <c r="F127" i="74"/>
  <c r="E127" i="74"/>
  <c r="D127" i="74"/>
  <c r="C127" i="74"/>
  <c r="B127" i="74"/>
  <c r="A127" i="74"/>
  <c r="Z126" i="74"/>
  <c r="Y126" i="74"/>
  <c r="Y125" i="74" s="1"/>
  <c r="X126" i="74"/>
  <c r="M126" i="74"/>
  <c r="L126" i="74"/>
  <c r="Z125" i="74"/>
  <c r="X125" i="74"/>
  <c r="L125" i="74"/>
  <c r="K125" i="74"/>
  <c r="AT124" i="74"/>
  <c r="AS124" i="74"/>
  <c r="AR124" i="74"/>
  <c r="AQ124" i="74"/>
  <c r="AP124" i="74"/>
  <c r="AO124" i="74"/>
  <c r="AN124" i="74"/>
  <c r="AM124" i="74"/>
  <c r="AL124" i="74"/>
  <c r="AK124" i="74"/>
  <c r="AJ124" i="74"/>
  <c r="AB124" i="74"/>
  <c r="AA124" i="74"/>
  <c r="Y124" i="74"/>
  <c r="X124" i="74"/>
  <c r="W124" i="74"/>
  <c r="U124" i="74"/>
  <c r="U123" i="74" s="1"/>
  <c r="T124" i="74"/>
  <c r="T123" i="74" s="1"/>
  <c r="R124" i="74"/>
  <c r="Q124" i="74"/>
  <c r="P124" i="74"/>
  <c r="O124" i="74"/>
  <c r="N124" i="74"/>
  <c r="M124" i="74"/>
  <c r="I124" i="74"/>
  <c r="H124" i="74"/>
  <c r="G124" i="74"/>
  <c r="F124" i="74"/>
  <c r="E124" i="74"/>
  <c r="D124" i="74"/>
  <c r="C124" i="74"/>
  <c r="B124" i="74"/>
  <c r="A124" i="74"/>
  <c r="Y123" i="74"/>
  <c r="X123" i="74"/>
  <c r="R123" i="74"/>
  <c r="M123" i="74"/>
  <c r="L123" i="74"/>
  <c r="AT122" i="74"/>
  <c r="AS122" i="74"/>
  <c r="AR122" i="74"/>
  <c r="AQ122" i="74"/>
  <c r="AP122" i="74"/>
  <c r="AO122" i="74"/>
  <c r="AN122" i="74"/>
  <c r="AM122" i="74"/>
  <c r="AL122" i="74"/>
  <c r="AK122" i="74"/>
  <c r="AJ122" i="74"/>
  <c r="AB122" i="74"/>
  <c r="AA122" i="74"/>
  <c r="Y122" i="74"/>
  <c r="X122" i="74"/>
  <c r="W122" i="74"/>
  <c r="U122" i="74"/>
  <c r="T122" i="74"/>
  <c r="T119" i="74" s="1"/>
  <c r="R122" i="74"/>
  <c r="Q122" i="74"/>
  <c r="P122" i="74"/>
  <c r="O122" i="74"/>
  <c r="N122" i="74"/>
  <c r="M122" i="74"/>
  <c r="I122" i="74"/>
  <c r="H122" i="74"/>
  <c r="G122" i="74"/>
  <c r="F122" i="74"/>
  <c r="E122" i="74"/>
  <c r="D122" i="74"/>
  <c r="C122" i="74"/>
  <c r="B122" i="74"/>
  <c r="A122" i="74"/>
  <c r="AT121" i="74"/>
  <c r="AS121" i="74"/>
  <c r="AR121" i="74"/>
  <c r="AQ121" i="74"/>
  <c r="AP121" i="74"/>
  <c r="AO121" i="74"/>
  <c r="AN121" i="74"/>
  <c r="AM121" i="74"/>
  <c r="AL121" i="74"/>
  <c r="AK121" i="74"/>
  <c r="AJ121" i="74"/>
  <c r="AB121" i="74"/>
  <c r="AA121" i="74"/>
  <c r="Z121" i="74"/>
  <c r="X121" i="74"/>
  <c r="W121" i="74"/>
  <c r="U121" i="74"/>
  <c r="T121" i="74"/>
  <c r="R121" i="74"/>
  <c r="Q121" i="74"/>
  <c r="P121" i="74"/>
  <c r="O121" i="74"/>
  <c r="N121" i="74"/>
  <c r="M121" i="74"/>
  <c r="I121" i="74"/>
  <c r="H121" i="74"/>
  <c r="G121" i="74"/>
  <c r="F121" i="74"/>
  <c r="E121" i="74"/>
  <c r="D121" i="74"/>
  <c r="C121" i="74"/>
  <c r="B121" i="74"/>
  <c r="A121" i="74"/>
  <c r="AT120" i="74"/>
  <c r="AS120" i="74"/>
  <c r="AR120" i="74"/>
  <c r="AQ120" i="74"/>
  <c r="AP120" i="74"/>
  <c r="AO120" i="74"/>
  <c r="AN120" i="74"/>
  <c r="AM120" i="74"/>
  <c r="AL120" i="74"/>
  <c r="AK120" i="74"/>
  <c r="AJ120" i="74"/>
  <c r="AB120" i="74"/>
  <c r="AA120" i="74"/>
  <c r="Y120" i="74"/>
  <c r="X120" i="74"/>
  <c r="X119" i="74" s="1"/>
  <c r="W120" i="74"/>
  <c r="U120" i="74"/>
  <c r="T120" i="74"/>
  <c r="R120" i="74"/>
  <c r="Q120" i="74"/>
  <c r="P120" i="74"/>
  <c r="O120" i="74"/>
  <c r="N120" i="74"/>
  <c r="M120" i="74"/>
  <c r="I120" i="74"/>
  <c r="H120" i="74"/>
  <c r="G120" i="74"/>
  <c r="F120" i="74"/>
  <c r="E120" i="74"/>
  <c r="D120" i="74"/>
  <c r="C120" i="74"/>
  <c r="B120" i="74"/>
  <c r="A120" i="74"/>
  <c r="R119" i="74"/>
  <c r="M119" i="74"/>
  <c r="L119" i="74"/>
  <c r="AT118" i="74"/>
  <c r="AS118" i="74"/>
  <c r="AR118" i="74"/>
  <c r="AQ118" i="74"/>
  <c r="AP118" i="74"/>
  <c r="AO118" i="74"/>
  <c r="AN118" i="74"/>
  <c r="AM118" i="74"/>
  <c r="AL118" i="74"/>
  <c r="AK118" i="74"/>
  <c r="AJ118" i="74"/>
  <c r="AB118" i="74"/>
  <c r="AA118" i="74"/>
  <c r="Z118" i="74"/>
  <c r="Y118" i="74"/>
  <c r="X118" i="74"/>
  <c r="W118" i="74"/>
  <c r="U118" i="74"/>
  <c r="T118" i="74"/>
  <c r="R118" i="74"/>
  <c r="Q118" i="74"/>
  <c r="P118" i="74"/>
  <c r="O118" i="74"/>
  <c r="N118" i="74"/>
  <c r="I118" i="74"/>
  <c r="H118" i="74"/>
  <c r="G118" i="74"/>
  <c r="F118" i="74"/>
  <c r="E118" i="74"/>
  <c r="D118" i="74"/>
  <c r="C118" i="74"/>
  <c r="B118" i="74"/>
  <c r="A118" i="74"/>
  <c r="AT117" i="74"/>
  <c r="AS117" i="74"/>
  <c r="AR117" i="74"/>
  <c r="AQ117" i="74"/>
  <c r="AP117" i="74"/>
  <c r="AO117" i="74"/>
  <c r="AN117" i="74"/>
  <c r="AM117" i="74"/>
  <c r="AL117" i="74"/>
  <c r="AK117" i="74"/>
  <c r="AJ117" i="74"/>
  <c r="AB117" i="74"/>
  <c r="AA117" i="74"/>
  <c r="X117" i="74"/>
  <c r="W117" i="74"/>
  <c r="U117" i="74"/>
  <c r="T117" i="74"/>
  <c r="R117" i="74"/>
  <c r="Q117" i="74"/>
  <c r="P117" i="74"/>
  <c r="O117" i="74"/>
  <c r="N117" i="74"/>
  <c r="I117" i="74"/>
  <c r="H117" i="74"/>
  <c r="G117" i="74"/>
  <c r="F117" i="74"/>
  <c r="E117" i="74"/>
  <c r="D117" i="74"/>
  <c r="C117" i="74"/>
  <c r="B117" i="74"/>
  <c r="A117" i="74"/>
  <c r="AT116" i="74"/>
  <c r="AS116" i="74"/>
  <c r="AR116" i="74"/>
  <c r="AQ116" i="74"/>
  <c r="AP116" i="74"/>
  <c r="AO116" i="74"/>
  <c r="AN116" i="74"/>
  <c r="AM116" i="74"/>
  <c r="AL116" i="74"/>
  <c r="AK116" i="74"/>
  <c r="AJ116" i="74"/>
  <c r="AB116" i="74"/>
  <c r="AA116" i="74"/>
  <c r="X116" i="74"/>
  <c r="W116" i="74"/>
  <c r="Q116" i="74"/>
  <c r="P116" i="74"/>
  <c r="O116" i="74"/>
  <c r="N116" i="74"/>
  <c r="M116" i="74"/>
  <c r="I116" i="74"/>
  <c r="H116" i="74"/>
  <c r="G116" i="74"/>
  <c r="F116" i="74"/>
  <c r="E116" i="74"/>
  <c r="D116" i="74"/>
  <c r="C116" i="74"/>
  <c r="B116" i="74"/>
  <c r="A116" i="74"/>
  <c r="AT115" i="74"/>
  <c r="AS115" i="74"/>
  <c r="AR115" i="74"/>
  <c r="AQ115" i="74"/>
  <c r="AP115" i="74"/>
  <c r="AO115" i="74"/>
  <c r="AN115" i="74"/>
  <c r="AM115" i="74"/>
  <c r="AL115" i="74"/>
  <c r="AK115" i="74"/>
  <c r="AJ115" i="74"/>
  <c r="AB115" i="74"/>
  <c r="AA115" i="74"/>
  <c r="Z115" i="74"/>
  <c r="Y115" i="74"/>
  <c r="X115" i="74"/>
  <c r="W115" i="74"/>
  <c r="U115" i="74"/>
  <c r="T115" i="74"/>
  <c r="R115" i="74"/>
  <c r="Q115" i="74"/>
  <c r="P115" i="74"/>
  <c r="O115" i="74"/>
  <c r="N115" i="74"/>
  <c r="M115" i="74"/>
  <c r="I115" i="74"/>
  <c r="H115" i="74"/>
  <c r="G115" i="74"/>
  <c r="F115" i="74"/>
  <c r="E115" i="74"/>
  <c r="D115" i="74"/>
  <c r="C115" i="74"/>
  <c r="B115" i="74"/>
  <c r="A115" i="74"/>
  <c r="AT114" i="74"/>
  <c r="AS114" i="74"/>
  <c r="AR114" i="74"/>
  <c r="AQ114" i="74"/>
  <c r="AP114" i="74"/>
  <c r="AO114" i="74"/>
  <c r="AN114" i="74"/>
  <c r="AM114" i="74"/>
  <c r="AL114" i="74"/>
  <c r="AK114" i="74"/>
  <c r="AJ114" i="74"/>
  <c r="AB114" i="74"/>
  <c r="AA114" i="74"/>
  <c r="Z114" i="74"/>
  <c r="X114" i="74"/>
  <c r="W114" i="74"/>
  <c r="U114" i="74"/>
  <c r="T114" i="74"/>
  <c r="R114" i="74"/>
  <c r="Q114" i="74"/>
  <c r="P114" i="74"/>
  <c r="O114" i="74"/>
  <c r="N114" i="74"/>
  <c r="M114" i="74"/>
  <c r="I114" i="74"/>
  <c r="H114" i="74"/>
  <c r="G114" i="74"/>
  <c r="F114" i="74"/>
  <c r="E114" i="74"/>
  <c r="D114" i="74"/>
  <c r="C114" i="74"/>
  <c r="B114" i="74"/>
  <c r="A114" i="74"/>
  <c r="AT113" i="74"/>
  <c r="AS113" i="74"/>
  <c r="AR113" i="74"/>
  <c r="AQ113" i="74"/>
  <c r="AP113" i="74"/>
  <c r="AO113" i="74"/>
  <c r="AN113" i="74"/>
  <c r="AM113" i="74"/>
  <c r="AL113" i="74"/>
  <c r="AK113" i="74"/>
  <c r="AJ113" i="74"/>
  <c r="AB113" i="74"/>
  <c r="AA113" i="74"/>
  <c r="Z113" i="74"/>
  <c r="X113" i="74"/>
  <c r="W113" i="74"/>
  <c r="U113" i="74"/>
  <c r="T113" i="74"/>
  <c r="R113" i="74"/>
  <c r="Q113" i="74"/>
  <c r="P113" i="74"/>
  <c r="O113" i="74"/>
  <c r="N113" i="74"/>
  <c r="M113" i="74"/>
  <c r="I113" i="74"/>
  <c r="H113" i="74"/>
  <c r="G113" i="74"/>
  <c r="F113" i="74"/>
  <c r="E113" i="74"/>
  <c r="D113" i="74"/>
  <c r="C113" i="74"/>
  <c r="B113" i="74"/>
  <c r="A113" i="74"/>
  <c r="AT112" i="74"/>
  <c r="AS112" i="74"/>
  <c r="AR112" i="74"/>
  <c r="AQ112" i="74"/>
  <c r="AP112" i="74"/>
  <c r="AO112" i="74"/>
  <c r="AN112" i="74"/>
  <c r="AM112" i="74"/>
  <c r="AL112" i="74"/>
  <c r="AK112" i="74"/>
  <c r="AJ112" i="74"/>
  <c r="AB112" i="74"/>
  <c r="AA112" i="74"/>
  <c r="Z112" i="74"/>
  <c r="X112" i="74"/>
  <c r="W112" i="74"/>
  <c r="U112" i="74"/>
  <c r="T112" i="74"/>
  <c r="R112" i="74"/>
  <c r="Q112" i="74"/>
  <c r="P112" i="74"/>
  <c r="O112" i="74"/>
  <c r="N112" i="74"/>
  <c r="M112" i="74"/>
  <c r="I112" i="74"/>
  <c r="H112" i="74"/>
  <c r="G112" i="74"/>
  <c r="F112" i="74"/>
  <c r="E112" i="74"/>
  <c r="D112" i="74"/>
  <c r="C112" i="74"/>
  <c r="B112" i="74"/>
  <c r="A112" i="74"/>
  <c r="AT111" i="74"/>
  <c r="AS111" i="74"/>
  <c r="AR111" i="74"/>
  <c r="AQ111" i="74"/>
  <c r="AP111" i="74"/>
  <c r="AO111" i="74"/>
  <c r="AN111" i="74"/>
  <c r="AM111" i="74"/>
  <c r="AL111" i="74"/>
  <c r="AK111" i="74"/>
  <c r="AJ111" i="74"/>
  <c r="AB111" i="74"/>
  <c r="AA111" i="74"/>
  <c r="X111" i="74"/>
  <c r="W111" i="74"/>
  <c r="U111" i="74"/>
  <c r="T111" i="74"/>
  <c r="R111" i="74"/>
  <c r="Q111" i="74"/>
  <c r="P111" i="74"/>
  <c r="O111" i="74"/>
  <c r="N111" i="74"/>
  <c r="M111" i="74"/>
  <c r="I111" i="74"/>
  <c r="H111" i="74"/>
  <c r="G111" i="74"/>
  <c r="F111" i="74"/>
  <c r="E111" i="74"/>
  <c r="D111" i="74"/>
  <c r="C111" i="74"/>
  <c r="B111" i="74"/>
  <c r="A111" i="74"/>
  <c r="AT110" i="74"/>
  <c r="AS110" i="74"/>
  <c r="AR110" i="74"/>
  <c r="AQ110" i="74"/>
  <c r="AP110" i="74"/>
  <c r="AO110" i="74"/>
  <c r="AN110" i="74"/>
  <c r="AM110" i="74"/>
  <c r="AL110" i="74"/>
  <c r="AK110" i="74"/>
  <c r="AJ110" i="74"/>
  <c r="AB110" i="74"/>
  <c r="AA110" i="74"/>
  <c r="X110" i="74"/>
  <c r="W110" i="74"/>
  <c r="U110" i="74"/>
  <c r="T110" i="74"/>
  <c r="R110" i="74"/>
  <c r="Q110" i="74"/>
  <c r="P110" i="74"/>
  <c r="O110" i="74"/>
  <c r="N110" i="74"/>
  <c r="M110" i="74"/>
  <c r="I110" i="74"/>
  <c r="H110" i="74"/>
  <c r="G110" i="74"/>
  <c r="F110" i="74"/>
  <c r="E110" i="74"/>
  <c r="D110" i="74"/>
  <c r="C110" i="74"/>
  <c r="B110" i="74"/>
  <c r="A110" i="74"/>
  <c r="M109" i="74"/>
  <c r="L109" i="74"/>
  <c r="AT108" i="74"/>
  <c r="AS108" i="74"/>
  <c r="AR108" i="74"/>
  <c r="AQ108" i="74"/>
  <c r="AP108" i="74"/>
  <c r="AO108" i="74"/>
  <c r="AN108" i="74"/>
  <c r="AM108" i="74"/>
  <c r="AL108" i="74"/>
  <c r="AK108" i="74"/>
  <c r="AJ108" i="74"/>
  <c r="AB108" i="74"/>
  <c r="AA108" i="74"/>
  <c r="X108" i="74"/>
  <c r="W108" i="74"/>
  <c r="U108" i="74"/>
  <c r="T108" i="74"/>
  <c r="R108" i="74"/>
  <c r="Q108" i="74"/>
  <c r="P108" i="74"/>
  <c r="O108" i="74"/>
  <c r="N108" i="74"/>
  <c r="M108" i="74"/>
  <c r="I108" i="74"/>
  <c r="H108" i="74"/>
  <c r="G108" i="74"/>
  <c r="F108" i="74"/>
  <c r="E108" i="74"/>
  <c r="D108" i="74"/>
  <c r="C108" i="74"/>
  <c r="B108" i="74"/>
  <c r="A108" i="74"/>
  <c r="AL107" i="74"/>
  <c r="AK107" i="74"/>
  <c r="AJ107" i="74"/>
  <c r="AB107" i="74"/>
  <c r="AA107" i="74"/>
  <c r="X107" i="74"/>
  <c r="W107" i="74"/>
  <c r="U107" i="74"/>
  <c r="T107" i="74"/>
  <c r="R107" i="74"/>
  <c r="Q107" i="74"/>
  <c r="P107" i="74"/>
  <c r="O107" i="74"/>
  <c r="N107" i="74"/>
  <c r="AT106" i="74"/>
  <c r="AS106" i="74"/>
  <c r="AR106" i="74"/>
  <c r="AQ106" i="74"/>
  <c r="AP106" i="74"/>
  <c r="AO106" i="74"/>
  <c r="AN106" i="74"/>
  <c r="AM106" i="74"/>
  <c r="AL106" i="74"/>
  <c r="AK106" i="74"/>
  <c r="AJ106" i="74"/>
  <c r="AB106" i="74"/>
  <c r="AA106" i="74"/>
  <c r="Z106" i="74"/>
  <c r="Y106" i="74"/>
  <c r="X106" i="74"/>
  <c r="W106" i="74"/>
  <c r="U106" i="74"/>
  <c r="T106" i="74"/>
  <c r="R106" i="74"/>
  <c r="Q106" i="74"/>
  <c r="P106" i="74"/>
  <c r="O106" i="74"/>
  <c r="N106" i="74"/>
  <c r="AT105" i="74"/>
  <c r="AS105" i="74"/>
  <c r="AR105" i="74"/>
  <c r="AQ105" i="74"/>
  <c r="AP105" i="74"/>
  <c r="AO105" i="74"/>
  <c r="AN105" i="74"/>
  <c r="AM105" i="74"/>
  <c r="AL105" i="74"/>
  <c r="AK105" i="74"/>
  <c r="AJ105" i="74"/>
  <c r="AB105" i="74"/>
  <c r="AA105" i="74"/>
  <c r="Z105" i="74"/>
  <c r="Y105" i="74"/>
  <c r="X105" i="74"/>
  <c r="W105" i="74"/>
  <c r="U105" i="74"/>
  <c r="T105" i="74"/>
  <c r="R105" i="74"/>
  <c r="Q105" i="74"/>
  <c r="P105" i="74"/>
  <c r="O105" i="74"/>
  <c r="N105" i="74"/>
  <c r="AT104" i="74"/>
  <c r="AS104" i="74"/>
  <c r="AR104" i="74"/>
  <c r="AQ104" i="74"/>
  <c r="AP104" i="74"/>
  <c r="AO104" i="74"/>
  <c r="AN104" i="74"/>
  <c r="AM104" i="74"/>
  <c r="AL104" i="74"/>
  <c r="AK104" i="74"/>
  <c r="AJ104" i="74"/>
  <c r="AB104" i="74"/>
  <c r="AA104" i="74"/>
  <c r="X104" i="74"/>
  <c r="X94" i="74" s="1"/>
  <c r="W104" i="74"/>
  <c r="U104" i="74"/>
  <c r="T104" i="74"/>
  <c r="R104" i="74"/>
  <c r="Q104" i="74"/>
  <c r="P104" i="74"/>
  <c r="O104" i="74"/>
  <c r="N104" i="74"/>
  <c r="M104" i="74"/>
  <c r="I104" i="74"/>
  <c r="H104" i="74"/>
  <c r="G104" i="74"/>
  <c r="F104" i="74"/>
  <c r="E104" i="74"/>
  <c r="D104" i="74"/>
  <c r="C104" i="74"/>
  <c r="B104" i="74"/>
  <c r="A104" i="74"/>
  <c r="AT103" i="74"/>
  <c r="AS103" i="74"/>
  <c r="AR103" i="74"/>
  <c r="AQ103" i="74"/>
  <c r="AP103" i="74"/>
  <c r="AO103" i="74"/>
  <c r="AN103" i="74"/>
  <c r="AM103" i="74"/>
  <c r="AL103" i="74"/>
  <c r="AK103" i="74"/>
  <c r="AJ103" i="74"/>
  <c r="AB103" i="74"/>
  <c r="AA103" i="74"/>
  <c r="Z103" i="74"/>
  <c r="X103" i="74"/>
  <c r="W103" i="74"/>
  <c r="U103" i="74"/>
  <c r="T103" i="74"/>
  <c r="R103" i="74"/>
  <c r="Q103" i="74"/>
  <c r="P103" i="74"/>
  <c r="O103" i="74"/>
  <c r="N103" i="74"/>
  <c r="M103" i="74"/>
  <c r="I103" i="74"/>
  <c r="H103" i="74"/>
  <c r="G103" i="74"/>
  <c r="F103" i="74"/>
  <c r="E103" i="74"/>
  <c r="D103" i="74"/>
  <c r="C103" i="74"/>
  <c r="B103" i="74"/>
  <c r="A103" i="74"/>
  <c r="AT102" i="74"/>
  <c r="AS102" i="74"/>
  <c r="AR102" i="74"/>
  <c r="AQ102" i="74"/>
  <c r="AP102" i="74"/>
  <c r="AO102" i="74"/>
  <c r="AN102" i="74"/>
  <c r="AM102" i="74"/>
  <c r="AL102" i="74"/>
  <c r="AK102" i="74"/>
  <c r="AJ102" i="74"/>
  <c r="AB102" i="74"/>
  <c r="AA102" i="74"/>
  <c r="X102" i="74"/>
  <c r="W102" i="74"/>
  <c r="U102" i="74"/>
  <c r="T102" i="74"/>
  <c r="R102" i="74"/>
  <c r="Q102" i="74"/>
  <c r="P102" i="74"/>
  <c r="O102" i="74"/>
  <c r="N102" i="74"/>
  <c r="M102" i="74"/>
  <c r="I102" i="74"/>
  <c r="H102" i="74"/>
  <c r="G102" i="74"/>
  <c r="F102" i="74"/>
  <c r="E102" i="74"/>
  <c r="D102" i="74"/>
  <c r="C102" i="74"/>
  <c r="B102" i="74"/>
  <c r="A102" i="74"/>
  <c r="AT101" i="74"/>
  <c r="AS101" i="74"/>
  <c r="AR101" i="74"/>
  <c r="AQ101" i="74"/>
  <c r="AP101" i="74"/>
  <c r="AO101" i="74"/>
  <c r="AN101" i="74"/>
  <c r="AM101" i="74"/>
  <c r="AL101" i="74"/>
  <c r="AK101" i="74"/>
  <c r="AJ101" i="74"/>
  <c r="AB101" i="74"/>
  <c r="AA101" i="74"/>
  <c r="X101" i="74"/>
  <c r="W101" i="74"/>
  <c r="U101" i="74"/>
  <c r="T101" i="74"/>
  <c r="R101" i="74"/>
  <c r="Q101" i="74"/>
  <c r="P101" i="74"/>
  <c r="O101" i="74"/>
  <c r="N101" i="74"/>
  <c r="M101" i="74"/>
  <c r="I101" i="74"/>
  <c r="H101" i="74"/>
  <c r="G101" i="74"/>
  <c r="F101" i="74"/>
  <c r="E101" i="74"/>
  <c r="D101" i="74"/>
  <c r="C101" i="74"/>
  <c r="B101" i="74"/>
  <c r="A101" i="74"/>
  <c r="AT100" i="74"/>
  <c r="AS100" i="74"/>
  <c r="AR100" i="74"/>
  <c r="AQ100" i="74"/>
  <c r="AP100" i="74"/>
  <c r="AO100" i="74"/>
  <c r="AN100" i="74"/>
  <c r="AM100" i="74"/>
  <c r="AL100" i="74"/>
  <c r="AK100" i="74"/>
  <c r="AJ100" i="74"/>
  <c r="AB100" i="74"/>
  <c r="AA100" i="74"/>
  <c r="X100" i="74"/>
  <c r="W100" i="74"/>
  <c r="U100" i="74"/>
  <c r="T100" i="74"/>
  <c r="R100" i="74"/>
  <c r="Q100" i="74"/>
  <c r="P100" i="74"/>
  <c r="O100" i="74"/>
  <c r="N100" i="74"/>
  <c r="M100" i="74"/>
  <c r="I100" i="74"/>
  <c r="H100" i="74"/>
  <c r="G100" i="74"/>
  <c r="F100" i="74"/>
  <c r="E100" i="74"/>
  <c r="D100" i="74"/>
  <c r="C100" i="74"/>
  <c r="B100" i="74"/>
  <c r="A100" i="74"/>
  <c r="AT99" i="74"/>
  <c r="AS99" i="74"/>
  <c r="AR99" i="74"/>
  <c r="AQ99" i="74"/>
  <c r="AP99" i="74"/>
  <c r="AO99" i="74"/>
  <c r="AN99" i="74"/>
  <c r="AM99" i="74"/>
  <c r="AL99" i="74"/>
  <c r="AK99" i="74"/>
  <c r="AJ99" i="74"/>
  <c r="AB99" i="74"/>
  <c r="AA99" i="74"/>
  <c r="X99" i="74"/>
  <c r="W99" i="74"/>
  <c r="U99" i="74"/>
  <c r="T99" i="74"/>
  <c r="R99" i="74"/>
  <c r="Q99" i="74"/>
  <c r="P99" i="74"/>
  <c r="O99" i="74"/>
  <c r="N99" i="74"/>
  <c r="M99" i="74"/>
  <c r="I99" i="74"/>
  <c r="H99" i="74"/>
  <c r="G99" i="74"/>
  <c r="F99" i="74"/>
  <c r="E99" i="74"/>
  <c r="D99" i="74"/>
  <c r="C99" i="74"/>
  <c r="B99" i="74"/>
  <c r="A99" i="74"/>
  <c r="AT98" i="74"/>
  <c r="AS98" i="74"/>
  <c r="AR98" i="74"/>
  <c r="AQ98" i="74"/>
  <c r="AP98" i="74"/>
  <c r="AO98" i="74"/>
  <c r="AN98" i="74"/>
  <c r="AM98" i="74"/>
  <c r="AL98" i="74"/>
  <c r="AK98" i="74"/>
  <c r="AJ98" i="74"/>
  <c r="AB98" i="74"/>
  <c r="AA98" i="74"/>
  <c r="X98" i="74"/>
  <c r="W98" i="74"/>
  <c r="U98" i="74"/>
  <c r="T98" i="74"/>
  <c r="R98" i="74"/>
  <c r="Q98" i="74"/>
  <c r="P98" i="74"/>
  <c r="O98" i="74"/>
  <c r="N98" i="74"/>
  <c r="M98" i="74"/>
  <c r="I98" i="74"/>
  <c r="H98" i="74"/>
  <c r="G98" i="74"/>
  <c r="F98" i="74"/>
  <c r="E98" i="74"/>
  <c r="D98" i="74"/>
  <c r="C98" i="74"/>
  <c r="B98" i="74"/>
  <c r="A98" i="74"/>
  <c r="AT97" i="74"/>
  <c r="AS97" i="74"/>
  <c r="AR97" i="74"/>
  <c r="AQ97" i="74"/>
  <c r="AP97" i="74"/>
  <c r="AO97" i="74"/>
  <c r="AN97" i="74"/>
  <c r="AM97" i="74"/>
  <c r="AL97" i="74"/>
  <c r="AK97" i="74"/>
  <c r="AJ97" i="74"/>
  <c r="AB97" i="74"/>
  <c r="AA97" i="74"/>
  <c r="X97" i="74"/>
  <c r="W97" i="74"/>
  <c r="U97" i="74"/>
  <c r="T97" i="74"/>
  <c r="R97" i="74"/>
  <c r="Q97" i="74"/>
  <c r="P97" i="74"/>
  <c r="O97" i="74"/>
  <c r="N97" i="74"/>
  <c r="M97" i="74"/>
  <c r="I97" i="74"/>
  <c r="H97" i="74"/>
  <c r="G97" i="74"/>
  <c r="F97" i="74"/>
  <c r="E97" i="74"/>
  <c r="D97" i="74"/>
  <c r="C97" i="74"/>
  <c r="B97" i="74"/>
  <c r="A97" i="74"/>
  <c r="AT96" i="74"/>
  <c r="AS96" i="74"/>
  <c r="AR96" i="74"/>
  <c r="AQ96" i="74"/>
  <c r="AP96" i="74"/>
  <c r="AO96" i="74"/>
  <c r="AN96" i="74"/>
  <c r="AM96" i="74"/>
  <c r="AL96" i="74"/>
  <c r="AK96" i="74"/>
  <c r="AJ96" i="74"/>
  <c r="AB96" i="74"/>
  <c r="AA96" i="74"/>
  <c r="Z96" i="74"/>
  <c r="X96" i="74"/>
  <c r="W96" i="74"/>
  <c r="U96" i="74"/>
  <c r="T96" i="74"/>
  <c r="R96" i="74"/>
  <c r="Q96" i="74"/>
  <c r="P96" i="74"/>
  <c r="O96" i="74"/>
  <c r="N96" i="74"/>
  <c r="M96" i="74"/>
  <c r="I96" i="74"/>
  <c r="H96" i="74"/>
  <c r="G96" i="74"/>
  <c r="F96" i="74"/>
  <c r="E96" i="74"/>
  <c r="D96" i="74"/>
  <c r="C96" i="74"/>
  <c r="B96" i="74"/>
  <c r="A96" i="74"/>
  <c r="AT95" i="74"/>
  <c r="AS95" i="74"/>
  <c r="AR95" i="74"/>
  <c r="AQ95" i="74"/>
  <c r="AP95" i="74"/>
  <c r="AO95" i="74"/>
  <c r="AN95" i="74"/>
  <c r="AM95" i="74"/>
  <c r="AL95" i="74"/>
  <c r="AK95" i="74"/>
  <c r="AJ95" i="74"/>
  <c r="AB95" i="74"/>
  <c r="AA95" i="74"/>
  <c r="X95" i="74"/>
  <c r="W95" i="74"/>
  <c r="U95" i="74"/>
  <c r="U94" i="74" s="1"/>
  <c r="T95" i="74"/>
  <c r="T94" i="74" s="1"/>
  <c r="R95" i="74"/>
  <c r="Q95" i="74"/>
  <c r="P95" i="74"/>
  <c r="O95" i="74"/>
  <c r="N95" i="74"/>
  <c r="M95" i="74"/>
  <c r="I95" i="74"/>
  <c r="H95" i="74"/>
  <c r="G95" i="74"/>
  <c r="F95" i="74"/>
  <c r="E95" i="74"/>
  <c r="D95" i="74"/>
  <c r="C95" i="74"/>
  <c r="B95" i="74"/>
  <c r="A95" i="74"/>
  <c r="R94" i="74"/>
  <c r="M94" i="74"/>
  <c r="L94" i="74"/>
  <c r="AT93" i="74"/>
  <c r="AS93" i="74"/>
  <c r="AR93" i="74"/>
  <c r="AQ93" i="74"/>
  <c r="AP93" i="74"/>
  <c r="AO93" i="74"/>
  <c r="AN93" i="74"/>
  <c r="AM93" i="74"/>
  <c r="AL93" i="74"/>
  <c r="AK93" i="74"/>
  <c r="AJ93" i="74"/>
  <c r="AB93" i="74"/>
  <c r="AA93" i="74"/>
  <c r="X93" i="74"/>
  <c r="W93" i="74"/>
  <c r="U93" i="74"/>
  <c r="T93" i="74"/>
  <c r="R93" i="74"/>
  <c r="Q93" i="74"/>
  <c r="P93" i="74"/>
  <c r="O93" i="74"/>
  <c r="N93" i="74"/>
  <c r="M93" i="74"/>
  <c r="I93" i="74"/>
  <c r="H93" i="74"/>
  <c r="G93" i="74"/>
  <c r="F93" i="74"/>
  <c r="E93" i="74"/>
  <c r="D93" i="74"/>
  <c r="C93" i="74"/>
  <c r="B93" i="74"/>
  <c r="A93" i="74"/>
  <c r="AT92" i="74"/>
  <c r="AS92" i="74"/>
  <c r="AR92" i="74"/>
  <c r="AQ92" i="74"/>
  <c r="AP92" i="74"/>
  <c r="AO92" i="74"/>
  <c r="AN92" i="74"/>
  <c r="AM92" i="74"/>
  <c r="AL92" i="74"/>
  <c r="AK92" i="74"/>
  <c r="AJ92" i="74"/>
  <c r="AB92" i="74"/>
  <c r="AA92" i="74"/>
  <c r="X92" i="74"/>
  <c r="W92" i="74"/>
  <c r="U92" i="74"/>
  <c r="T92" i="74"/>
  <c r="R92" i="74"/>
  <c r="Q92" i="74"/>
  <c r="P92" i="74"/>
  <c r="O92" i="74"/>
  <c r="N92" i="74"/>
  <c r="M92" i="74"/>
  <c r="I92" i="74"/>
  <c r="H92" i="74"/>
  <c r="G92" i="74"/>
  <c r="F92" i="74"/>
  <c r="E92" i="74"/>
  <c r="D92" i="74"/>
  <c r="C92" i="74"/>
  <c r="B92" i="74"/>
  <c r="A92" i="74"/>
  <c r="AT91" i="74"/>
  <c r="AS91" i="74"/>
  <c r="AR91" i="74"/>
  <c r="AQ91" i="74"/>
  <c r="AP91" i="74"/>
  <c r="AO91" i="74"/>
  <c r="AN91" i="74"/>
  <c r="AM91" i="74"/>
  <c r="AL91" i="74"/>
  <c r="AK91" i="74"/>
  <c r="AJ91" i="74"/>
  <c r="AB91" i="74"/>
  <c r="AA91" i="74"/>
  <c r="Y91" i="74"/>
  <c r="X91" i="74"/>
  <c r="W91" i="74"/>
  <c r="U91" i="74"/>
  <c r="T91" i="74"/>
  <c r="T90" i="74" s="1"/>
  <c r="R91" i="74"/>
  <c r="Q91" i="74"/>
  <c r="P91" i="74"/>
  <c r="O91" i="74"/>
  <c r="N91" i="74"/>
  <c r="M91" i="74"/>
  <c r="I91" i="74"/>
  <c r="H91" i="74"/>
  <c r="G91" i="74"/>
  <c r="F91" i="74"/>
  <c r="E91" i="74"/>
  <c r="D91" i="74"/>
  <c r="C91" i="74"/>
  <c r="B91" i="74"/>
  <c r="A91" i="74"/>
  <c r="X90" i="74"/>
  <c r="U90" i="74"/>
  <c r="M90" i="74"/>
  <c r="L90" i="74"/>
  <c r="AT89" i="74"/>
  <c r="AS89" i="74"/>
  <c r="AR89" i="74"/>
  <c r="AQ89" i="74"/>
  <c r="AP89" i="74"/>
  <c r="AO89" i="74"/>
  <c r="AN89" i="74"/>
  <c r="AM89" i="74"/>
  <c r="AL89" i="74"/>
  <c r="AK89" i="74"/>
  <c r="AJ89" i="74"/>
  <c r="AB89" i="74"/>
  <c r="AA89" i="74"/>
  <c r="Z89" i="74"/>
  <c r="X89" i="74"/>
  <c r="W89" i="74"/>
  <c r="U89" i="74"/>
  <c r="T89" i="74"/>
  <c r="R89" i="74"/>
  <c r="Q89" i="74"/>
  <c r="P89" i="74"/>
  <c r="O89" i="74"/>
  <c r="N89" i="74"/>
  <c r="M89" i="74"/>
  <c r="I89" i="74"/>
  <c r="H89" i="74"/>
  <c r="G89" i="74"/>
  <c r="F89" i="74"/>
  <c r="E89" i="74"/>
  <c r="D89" i="74"/>
  <c r="C89" i="74"/>
  <c r="B89" i="74"/>
  <c r="A89" i="74"/>
  <c r="AT88" i="74"/>
  <c r="AS88" i="74"/>
  <c r="AR88" i="74"/>
  <c r="AQ88" i="74"/>
  <c r="AP88" i="74"/>
  <c r="AO88" i="74"/>
  <c r="AN88" i="74"/>
  <c r="AM88" i="74"/>
  <c r="AL88" i="74"/>
  <c r="AK88" i="74"/>
  <c r="AJ88" i="74"/>
  <c r="AB88" i="74"/>
  <c r="AA88" i="74"/>
  <c r="Z88" i="74"/>
  <c r="X88" i="74"/>
  <c r="W88" i="74"/>
  <c r="U88" i="74"/>
  <c r="T88" i="74"/>
  <c r="R88" i="74"/>
  <c r="Q88" i="74"/>
  <c r="P88" i="74"/>
  <c r="O88" i="74"/>
  <c r="N88" i="74"/>
  <c r="M88" i="74"/>
  <c r="I88" i="74"/>
  <c r="H88" i="74"/>
  <c r="G88" i="74"/>
  <c r="F88" i="74"/>
  <c r="E88" i="74"/>
  <c r="D88" i="74"/>
  <c r="C88" i="74"/>
  <c r="B88" i="74"/>
  <c r="A88" i="74"/>
  <c r="AT87" i="74"/>
  <c r="AS87" i="74"/>
  <c r="AR87" i="74"/>
  <c r="AQ87" i="74"/>
  <c r="AP87" i="74"/>
  <c r="AO87" i="74"/>
  <c r="AN87" i="74"/>
  <c r="AM87" i="74"/>
  <c r="AL87" i="74"/>
  <c r="AK87" i="74"/>
  <c r="AJ87" i="74"/>
  <c r="AB87" i="74"/>
  <c r="AA87" i="74"/>
  <c r="Y87" i="74"/>
  <c r="X87" i="74"/>
  <c r="W87" i="74"/>
  <c r="U87" i="74"/>
  <c r="T87" i="74"/>
  <c r="R87" i="74"/>
  <c r="Q87" i="74"/>
  <c r="P87" i="74"/>
  <c r="O87" i="74"/>
  <c r="N87" i="74"/>
  <c r="M87" i="74"/>
  <c r="I87" i="74"/>
  <c r="H87" i="74"/>
  <c r="G87" i="74"/>
  <c r="F87" i="74"/>
  <c r="E87" i="74"/>
  <c r="D87" i="74"/>
  <c r="C87" i="74"/>
  <c r="B87" i="74"/>
  <c r="A87" i="74"/>
  <c r="AT86" i="74"/>
  <c r="AS86" i="74"/>
  <c r="AR86" i="74"/>
  <c r="AQ86" i="74"/>
  <c r="AP86" i="74"/>
  <c r="AO86" i="74"/>
  <c r="AN86" i="74"/>
  <c r="AM86" i="74"/>
  <c r="AL86" i="74"/>
  <c r="AK86" i="74"/>
  <c r="AJ86" i="74"/>
  <c r="AB86" i="74"/>
  <c r="AA86" i="74"/>
  <c r="Z86" i="74"/>
  <c r="X86" i="74"/>
  <c r="W86" i="74"/>
  <c r="U86" i="74"/>
  <c r="T86" i="74"/>
  <c r="R86" i="74"/>
  <c r="Q86" i="74"/>
  <c r="P86" i="74"/>
  <c r="O86" i="74"/>
  <c r="N86" i="74"/>
  <c r="M86" i="74"/>
  <c r="I86" i="74"/>
  <c r="H86" i="74"/>
  <c r="G86" i="74"/>
  <c r="F86" i="74"/>
  <c r="E86" i="74"/>
  <c r="D86" i="74"/>
  <c r="C86" i="74"/>
  <c r="B86" i="74"/>
  <c r="A86" i="74"/>
  <c r="AT85" i="74"/>
  <c r="AS85" i="74"/>
  <c r="AR85" i="74"/>
  <c r="AQ85" i="74"/>
  <c r="AP85" i="74"/>
  <c r="AO85" i="74"/>
  <c r="AN85" i="74"/>
  <c r="AM85" i="74"/>
  <c r="AL85" i="74"/>
  <c r="AK85" i="74"/>
  <c r="AJ85" i="74"/>
  <c r="AB85" i="74"/>
  <c r="AA85" i="74"/>
  <c r="Z85" i="74"/>
  <c r="X85" i="74"/>
  <c r="W85" i="74"/>
  <c r="U85" i="74"/>
  <c r="T85" i="74"/>
  <c r="R85" i="74"/>
  <c r="Q85" i="74"/>
  <c r="P85" i="74"/>
  <c r="O85" i="74"/>
  <c r="N85" i="74"/>
  <c r="M85" i="74"/>
  <c r="I85" i="74"/>
  <c r="H85" i="74"/>
  <c r="G85" i="74"/>
  <c r="F85" i="74"/>
  <c r="E85" i="74"/>
  <c r="D85" i="74"/>
  <c r="C85" i="74"/>
  <c r="B85" i="74"/>
  <c r="A85" i="74"/>
  <c r="AT84" i="74"/>
  <c r="AS84" i="74"/>
  <c r="AR84" i="74"/>
  <c r="AQ84" i="74"/>
  <c r="AP84" i="74"/>
  <c r="AO84" i="74"/>
  <c r="AN84" i="74"/>
  <c r="AM84" i="74"/>
  <c r="AL84" i="74"/>
  <c r="AK84" i="74"/>
  <c r="AJ84" i="74"/>
  <c r="AB84" i="74"/>
  <c r="AA84" i="74"/>
  <c r="Z84" i="74"/>
  <c r="X84" i="74"/>
  <c r="W84" i="74"/>
  <c r="U84" i="74"/>
  <c r="T84" i="74"/>
  <c r="R84" i="74"/>
  <c r="Q84" i="74"/>
  <c r="P84" i="74"/>
  <c r="O84" i="74"/>
  <c r="N84" i="74"/>
  <c r="M84" i="74"/>
  <c r="I84" i="74"/>
  <c r="H84" i="74"/>
  <c r="G84" i="74"/>
  <c r="F84" i="74"/>
  <c r="E84" i="74"/>
  <c r="D84" i="74"/>
  <c r="C84" i="74"/>
  <c r="B84" i="74"/>
  <c r="A84" i="74"/>
  <c r="AT83" i="74"/>
  <c r="AS83" i="74"/>
  <c r="AR83" i="74"/>
  <c r="AQ83" i="74"/>
  <c r="AP83" i="74"/>
  <c r="AO83" i="74"/>
  <c r="AN83" i="74"/>
  <c r="AM83" i="74"/>
  <c r="AL83" i="74"/>
  <c r="AK83" i="74"/>
  <c r="AJ83" i="74"/>
  <c r="AB83" i="74"/>
  <c r="AA83" i="74"/>
  <c r="Z83" i="74"/>
  <c r="X83" i="74"/>
  <c r="W83" i="74"/>
  <c r="U83" i="74"/>
  <c r="T83" i="74"/>
  <c r="R83" i="74"/>
  <c r="Q83" i="74"/>
  <c r="P83" i="74"/>
  <c r="O83" i="74"/>
  <c r="N83" i="74"/>
  <c r="M83" i="74"/>
  <c r="I83" i="74"/>
  <c r="H83" i="74"/>
  <c r="G83" i="74"/>
  <c r="F83" i="74"/>
  <c r="E83" i="74"/>
  <c r="D83" i="74"/>
  <c r="C83" i="74"/>
  <c r="B83" i="74"/>
  <c r="A83" i="74"/>
  <c r="AT82" i="74"/>
  <c r="AS82" i="74"/>
  <c r="AR82" i="74"/>
  <c r="AQ82" i="74"/>
  <c r="AP82" i="74"/>
  <c r="AO82" i="74"/>
  <c r="AN82" i="74"/>
  <c r="AM82" i="74"/>
  <c r="AL82" i="74"/>
  <c r="AK82" i="74"/>
  <c r="AJ82" i="74"/>
  <c r="AB82" i="74"/>
  <c r="AA82" i="74"/>
  <c r="Z82" i="74"/>
  <c r="X82" i="74"/>
  <c r="W82" i="74"/>
  <c r="U82" i="74"/>
  <c r="T82" i="74"/>
  <c r="R82" i="74"/>
  <c r="Q82" i="74"/>
  <c r="P82" i="74"/>
  <c r="O82" i="74"/>
  <c r="N82" i="74"/>
  <c r="M82" i="74"/>
  <c r="I82" i="74"/>
  <c r="H82" i="74"/>
  <c r="G82" i="74"/>
  <c r="F82" i="74"/>
  <c r="E82" i="74"/>
  <c r="D82" i="74"/>
  <c r="C82" i="74"/>
  <c r="B82" i="74"/>
  <c r="A82" i="74"/>
  <c r="AT81" i="74"/>
  <c r="AS81" i="74"/>
  <c r="AR81" i="74"/>
  <c r="AQ81" i="74"/>
  <c r="AP81" i="74"/>
  <c r="AO81" i="74"/>
  <c r="AN81" i="74"/>
  <c r="AM81" i="74"/>
  <c r="AL81" i="74"/>
  <c r="AK81" i="74"/>
  <c r="AJ81" i="74"/>
  <c r="AB81" i="74"/>
  <c r="AA81" i="74"/>
  <c r="Z81" i="74"/>
  <c r="X81" i="74"/>
  <c r="X76" i="74" s="1"/>
  <c r="W81" i="74"/>
  <c r="U81" i="74"/>
  <c r="T81" i="74"/>
  <c r="R81" i="74"/>
  <c r="Q81" i="74"/>
  <c r="P81" i="74"/>
  <c r="O81" i="74"/>
  <c r="N81" i="74"/>
  <c r="M81" i="74"/>
  <c r="I81" i="74"/>
  <c r="H81" i="74"/>
  <c r="G81" i="74"/>
  <c r="F81" i="74"/>
  <c r="E81" i="74"/>
  <c r="D81" i="74"/>
  <c r="C81" i="74"/>
  <c r="B81" i="74"/>
  <c r="A81" i="74"/>
  <c r="AT80" i="74"/>
  <c r="AS80" i="74"/>
  <c r="AR80" i="74"/>
  <c r="AQ80" i="74"/>
  <c r="AP80" i="74"/>
  <c r="AO80" i="74"/>
  <c r="AN80" i="74"/>
  <c r="AM80" i="74"/>
  <c r="AL80" i="74"/>
  <c r="AK80" i="74"/>
  <c r="AJ80" i="74"/>
  <c r="AB80" i="74"/>
  <c r="AA80" i="74"/>
  <c r="Z80" i="74"/>
  <c r="Y80" i="74"/>
  <c r="X80" i="74"/>
  <c r="W80" i="74"/>
  <c r="U80" i="74"/>
  <c r="T80" i="74"/>
  <c r="R80" i="74"/>
  <c r="Q80" i="74"/>
  <c r="P80" i="74"/>
  <c r="O80" i="74"/>
  <c r="N80" i="74"/>
  <c r="I80" i="74"/>
  <c r="H80" i="74"/>
  <c r="G80" i="74"/>
  <c r="F80" i="74"/>
  <c r="E80" i="74"/>
  <c r="D80" i="74"/>
  <c r="C80" i="74"/>
  <c r="B80" i="74"/>
  <c r="A80" i="74"/>
  <c r="AT79" i="74"/>
  <c r="AS79" i="74"/>
  <c r="AR79" i="74"/>
  <c r="AQ79" i="74"/>
  <c r="AP79" i="74"/>
  <c r="AO79" i="74"/>
  <c r="AN79" i="74"/>
  <c r="AM79" i="74"/>
  <c r="AL79" i="74"/>
  <c r="AK79" i="74"/>
  <c r="AJ79" i="74"/>
  <c r="AB79" i="74"/>
  <c r="AA79" i="74"/>
  <c r="Z79" i="74"/>
  <c r="Y79" i="74"/>
  <c r="X79" i="74"/>
  <c r="W79" i="74"/>
  <c r="U79" i="74"/>
  <c r="T79" i="74"/>
  <c r="R79" i="74"/>
  <c r="Q79" i="74"/>
  <c r="P79" i="74"/>
  <c r="O79" i="74"/>
  <c r="N79" i="74"/>
  <c r="I79" i="74"/>
  <c r="H79" i="74"/>
  <c r="G79" i="74"/>
  <c r="F79" i="74"/>
  <c r="E79" i="74"/>
  <c r="D79" i="74"/>
  <c r="C79" i="74"/>
  <c r="B79" i="74"/>
  <c r="A79" i="74"/>
  <c r="AT78" i="74"/>
  <c r="AS78" i="74"/>
  <c r="AR78" i="74"/>
  <c r="AQ78" i="74"/>
  <c r="AP78" i="74"/>
  <c r="AO78" i="74"/>
  <c r="AN78" i="74"/>
  <c r="AM78" i="74"/>
  <c r="AL78" i="74"/>
  <c r="AK78" i="74"/>
  <c r="AJ78" i="74"/>
  <c r="AB78" i="74"/>
  <c r="AA78" i="74"/>
  <c r="Z78" i="74"/>
  <c r="Y78" i="74"/>
  <c r="X78" i="74"/>
  <c r="W78" i="74"/>
  <c r="U78" i="74"/>
  <c r="T78" i="74"/>
  <c r="R78" i="74"/>
  <c r="Q78" i="74"/>
  <c r="P78" i="74"/>
  <c r="O78" i="74"/>
  <c r="N78" i="74"/>
  <c r="I78" i="74"/>
  <c r="H78" i="74"/>
  <c r="G78" i="74"/>
  <c r="F78" i="74"/>
  <c r="E78" i="74"/>
  <c r="D78" i="74"/>
  <c r="C78" i="74"/>
  <c r="B78" i="74"/>
  <c r="A78" i="74"/>
  <c r="AT77" i="74"/>
  <c r="AS77" i="74"/>
  <c r="AR77" i="74"/>
  <c r="AQ77" i="74"/>
  <c r="AP77" i="74"/>
  <c r="AO77" i="74"/>
  <c r="AN77" i="74"/>
  <c r="AM77" i="74"/>
  <c r="AL77" i="74"/>
  <c r="AK77" i="74"/>
  <c r="AJ77" i="74"/>
  <c r="AB77" i="74"/>
  <c r="AA77" i="74"/>
  <c r="X77" i="74"/>
  <c r="W77" i="74"/>
  <c r="Q77" i="74"/>
  <c r="P77" i="74"/>
  <c r="O77" i="74"/>
  <c r="N77" i="74"/>
  <c r="M77" i="74"/>
  <c r="I77" i="74"/>
  <c r="H77" i="74"/>
  <c r="G77" i="74"/>
  <c r="F77" i="74"/>
  <c r="E77" i="74"/>
  <c r="D77" i="74"/>
  <c r="C77" i="74"/>
  <c r="B77" i="74"/>
  <c r="A77" i="74"/>
  <c r="M76" i="74"/>
  <c r="L76" i="74"/>
  <c r="AT75" i="74"/>
  <c r="AS75" i="74"/>
  <c r="AR75" i="74"/>
  <c r="AQ75" i="74"/>
  <c r="AP75" i="74"/>
  <c r="AO75" i="74"/>
  <c r="AN75" i="74"/>
  <c r="AM75" i="74"/>
  <c r="AL75" i="74"/>
  <c r="AK75" i="74"/>
  <c r="AJ75" i="74"/>
  <c r="AB75" i="74"/>
  <c r="AA75" i="74"/>
  <c r="Z75" i="74"/>
  <c r="X75" i="74"/>
  <c r="W75" i="74"/>
  <c r="U75" i="74"/>
  <c r="R75" i="74"/>
  <c r="Q75" i="74"/>
  <c r="P75" i="74"/>
  <c r="O75" i="74"/>
  <c r="N75" i="74"/>
  <c r="M75" i="74"/>
  <c r="I75" i="74"/>
  <c r="H75" i="74"/>
  <c r="G75" i="74"/>
  <c r="F75" i="74"/>
  <c r="E75" i="74"/>
  <c r="D75" i="74"/>
  <c r="C75" i="74"/>
  <c r="B75" i="74"/>
  <c r="A75" i="74"/>
  <c r="AT74" i="74"/>
  <c r="AS74" i="74"/>
  <c r="AR74" i="74"/>
  <c r="AQ74" i="74"/>
  <c r="AP74" i="74"/>
  <c r="AO74" i="74"/>
  <c r="AN74" i="74"/>
  <c r="AM74" i="74"/>
  <c r="AL74" i="74"/>
  <c r="AK74" i="74"/>
  <c r="AJ74" i="74"/>
  <c r="AB74" i="74"/>
  <c r="AA74" i="74"/>
  <c r="Z74" i="74"/>
  <c r="X74" i="74"/>
  <c r="W74" i="74"/>
  <c r="U74" i="74"/>
  <c r="R74" i="74"/>
  <c r="Q74" i="74"/>
  <c r="P74" i="74"/>
  <c r="O74" i="74"/>
  <c r="N74" i="74"/>
  <c r="M74" i="74"/>
  <c r="I74" i="74"/>
  <c r="H74" i="74"/>
  <c r="G74" i="74"/>
  <c r="F74" i="74"/>
  <c r="E74" i="74"/>
  <c r="D74" i="74"/>
  <c r="C74" i="74"/>
  <c r="B74" i="74"/>
  <c r="A74" i="74"/>
  <c r="AT73" i="74"/>
  <c r="AS73" i="74"/>
  <c r="AR73" i="74"/>
  <c r="AQ73" i="74"/>
  <c r="AP73" i="74"/>
  <c r="AO73" i="74"/>
  <c r="AN73" i="74"/>
  <c r="AM73" i="74"/>
  <c r="AL73" i="74"/>
  <c r="AK73" i="74"/>
  <c r="AJ73" i="74"/>
  <c r="AB73" i="74"/>
  <c r="AA73" i="74"/>
  <c r="Z73" i="74"/>
  <c r="Y73" i="74"/>
  <c r="X73" i="74"/>
  <c r="W73" i="74"/>
  <c r="U73" i="74"/>
  <c r="R73" i="74"/>
  <c r="Q73" i="74"/>
  <c r="P73" i="74"/>
  <c r="N73" i="74"/>
  <c r="I73" i="74"/>
  <c r="H73" i="74"/>
  <c r="G73" i="74"/>
  <c r="F73" i="74"/>
  <c r="E73" i="74"/>
  <c r="D73" i="74"/>
  <c r="C73" i="74"/>
  <c r="B73" i="74"/>
  <c r="A73" i="74"/>
  <c r="AT72" i="74"/>
  <c r="AS72" i="74"/>
  <c r="AR72" i="74"/>
  <c r="AQ72" i="74"/>
  <c r="AP72" i="74"/>
  <c r="AO72" i="74"/>
  <c r="AN72" i="74"/>
  <c r="AM72" i="74"/>
  <c r="AL72" i="74"/>
  <c r="AK72" i="74"/>
  <c r="AJ72" i="74"/>
  <c r="AB72" i="74"/>
  <c r="AA72" i="74"/>
  <c r="Z72" i="74"/>
  <c r="Y72" i="74"/>
  <c r="X72" i="74"/>
  <c r="W72" i="74"/>
  <c r="U72" i="74"/>
  <c r="R72" i="74"/>
  <c r="Q72" i="74"/>
  <c r="P72" i="74"/>
  <c r="N72" i="74"/>
  <c r="I72" i="74"/>
  <c r="H72" i="74"/>
  <c r="G72" i="74"/>
  <c r="F72" i="74"/>
  <c r="E72" i="74"/>
  <c r="D72" i="74"/>
  <c r="C72" i="74"/>
  <c r="B72" i="74"/>
  <c r="A72" i="74"/>
  <c r="AT71" i="74"/>
  <c r="AS71" i="74"/>
  <c r="AR71" i="74"/>
  <c r="AQ71" i="74"/>
  <c r="AP71" i="74"/>
  <c r="AO71" i="74"/>
  <c r="AN71" i="74"/>
  <c r="AM71" i="74"/>
  <c r="AL71" i="74"/>
  <c r="AK71" i="74"/>
  <c r="AJ71" i="74"/>
  <c r="AB71" i="74"/>
  <c r="AA71" i="74"/>
  <c r="X71" i="74"/>
  <c r="W71" i="74"/>
  <c r="U71" i="74"/>
  <c r="R71" i="74"/>
  <c r="Q71" i="74"/>
  <c r="P71" i="74"/>
  <c r="O71" i="74"/>
  <c r="N71" i="74"/>
  <c r="M71" i="74"/>
  <c r="I71" i="74"/>
  <c r="H71" i="74"/>
  <c r="G71" i="74"/>
  <c r="F71" i="74"/>
  <c r="E71" i="74"/>
  <c r="D71" i="74"/>
  <c r="C71" i="74"/>
  <c r="B71" i="74"/>
  <c r="A71" i="74"/>
  <c r="AT70" i="74"/>
  <c r="AS70" i="74"/>
  <c r="AR70" i="74"/>
  <c r="AQ70" i="74"/>
  <c r="AP70" i="74"/>
  <c r="AO70" i="74"/>
  <c r="AN70" i="74"/>
  <c r="AM70" i="74"/>
  <c r="AL70" i="74"/>
  <c r="AK70" i="74"/>
  <c r="AJ70" i="74"/>
  <c r="AB70" i="74"/>
  <c r="AA70" i="74"/>
  <c r="Y70" i="74"/>
  <c r="X70" i="74"/>
  <c r="W70" i="74"/>
  <c r="U70" i="74"/>
  <c r="U69" i="74" s="1"/>
  <c r="R70" i="74"/>
  <c r="R69" i="74" s="1"/>
  <c r="Q70" i="74"/>
  <c r="P70" i="74"/>
  <c r="O70" i="74"/>
  <c r="N70" i="74"/>
  <c r="M70" i="74"/>
  <c r="I70" i="74"/>
  <c r="H70" i="74"/>
  <c r="G70" i="74"/>
  <c r="F70" i="74"/>
  <c r="E70" i="74"/>
  <c r="D70" i="74"/>
  <c r="C70" i="74"/>
  <c r="B70" i="74"/>
  <c r="A70" i="74"/>
  <c r="M69" i="74"/>
  <c r="L69" i="74"/>
  <c r="AT68" i="74"/>
  <c r="AS68" i="74"/>
  <c r="AR68" i="74"/>
  <c r="AQ68" i="74"/>
  <c r="AP68" i="74"/>
  <c r="AO68" i="74"/>
  <c r="AN68" i="74"/>
  <c r="AM68" i="74"/>
  <c r="AL68" i="74"/>
  <c r="AK68" i="74"/>
  <c r="AJ68" i="74"/>
  <c r="AB68" i="74"/>
  <c r="AA68" i="74"/>
  <c r="Y68" i="74"/>
  <c r="X68" i="74"/>
  <c r="W68" i="74"/>
  <c r="U68" i="74"/>
  <c r="R68" i="74"/>
  <c r="Q68" i="74"/>
  <c r="P68" i="74"/>
  <c r="O68" i="74"/>
  <c r="N68" i="74"/>
  <c r="M68" i="74"/>
  <c r="I68" i="74"/>
  <c r="H68" i="74"/>
  <c r="G68" i="74"/>
  <c r="F68" i="74"/>
  <c r="E68" i="74"/>
  <c r="D68" i="74"/>
  <c r="C68" i="74"/>
  <c r="B68" i="74"/>
  <c r="A68" i="74"/>
  <c r="AT67" i="74"/>
  <c r="AS67" i="74"/>
  <c r="AR67" i="74"/>
  <c r="AQ67" i="74"/>
  <c r="AP67" i="74"/>
  <c r="AO67" i="74"/>
  <c r="AN67" i="74"/>
  <c r="AM67" i="74"/>
  <c r="AL67" i="74"/>
  <c r="AK67" i="74"/>
  <c r="AJ67" i="74"/>
  <c r="AB67" i="74"/>
  <c r="AA67" i="74"/>
  <c r="X67" i="74"/>
  <c r="W67" i="74"/>
  <c r="U67" i="74"/>
  <c r="U66" i="74" s="1"/>
  <c r="R67" i="74"/>
  <c r="R66" i="74" s="1"/>
  <c r="Q67" i="74"/>
  <c r="P67" i="74"/>
  <c r="O67" i="74"/>
  <c r="N67" i="74"/>
  <c r="M67" i="74"/>
  <c r="I67" i="74"/>
  <c r="H67" i="74"/>
  <c r="G67" i="74"/>
  <c r="F67" i="74"/>
  <c r="E67" i="74"/>
  <c r="D67" i="74"/>
  <c r="C67" i="74"/>
  <c r="B67" i="74"/>
  <c r="A67" i="74"/>
  <c r="X66" i="74"/>
  <c r="M66" i="74"/>
  <c r="L66" i="74"/>
  <c r="AL65" i="74"/>
  <c r="AK65" i="74"/>
  <c r="AJ65" i="74"/>
  <c r="AB65" i="74"/>
  <c r="AA65" i="74"/>
  <c r="Z65" i="74"/>
  <c r="Y65" i="74"/>
  <c r="X65" i="74"/>
  <c r="W65" i="74"/>
  <c r="U65" i="74"/>
  <c r="T65" i="74"/>
  <c r="S65" i="74"/>
  <c r="R65" i="74"/>
  <c r="Q65" i="74"/>
  <c r="P65" i="74"/>
  <c r="O65" i="74"/>
  <c r="N65" i="74"/>
  <c r="M65" i="74"/>
  <c r="AT64" i="74"/>
  <c r="AS64" i="74"/>
  <c r="AR64" i="74"/>
  <c r="AQ64" i="74"/>
  <c r="AP64" i="74"/>
  <c r="AO64" i="74"/>
  <c r="AN64" i="74"/>
  <c r="AM64" i="74"/>
  <c r="AL64" i="74"/>
  <c r="AK64" i="74"/>
  <c r="AJ64" i="74"/>
  <c r="AB64" i="74"/>
  <c r="AA64" i="74"/>
  <c r="X64" i="74"/>
  <c r="W64" i="74"/>
  <c r="U64" i="74"/>
  <c r="R64" i="74"/>
  <c r="Q64" i="74"/>
  <c r="P64" i="74"/>
  <c r="O64" i="74"/>
  <c r="N64" i="74"/>
  <c r="M64" i="74"/>
  <c r="I64" i="74"/>
  <c r="H64" i="74"/>
  <c r="G64" i="74"/>
  <c r="F64" i="74"/>
  <c r="E64" i="74"/>
  <c r="D64" i="74"/>
  <c r="C64" i="74"/>
  <c r="B64" i="74"/>
  <c r="A64" i="74"/>
  <c r="AT63" i="74"/>
  <c r="AS63" i="74"/>
  <c r="AR63" i="74"/>
  <c r="AQ63" i="74"/>
  <c r="AP63" i="74"/>
  <c r="AO63" i="74"/>
  <c r="AN63" i="74"/>
  <c r="AM63" i="74"/>
  <c r="AL63" i="74"/>
  <c r="AK63" i="74"/>
  <c r="AJ63" i="74"/>
  <c r="AB63" i="74"/>
  <c r="AA63" i="74"/>
  <c r="X63" i="74"/>
  <c r="W63" i="74"/>
  <c r="U63" i="74"/>
  <c r="R63" i="74"/>
  <c r="Q63" i="74"/>
  <c r="P63" i="74"/>
  <c r="O63" i="74"/>
  <c r="N63" i="74"/>
  <c r="M63" i="74"/>
  <c r="I63" i="74"/>
  <c r="H63" i="74"/>
  <c r="G63" i="74"/>
  <c r="F63" i="74"/>
  <c r="E63" i="74"/>
  <c r="D63" i="74"/>
  <c r="C63" i="74"/>
  <c r="B63" i="74"/>
  <c r="A63" i="74"/>
  <c r="AT62" i="74"/>
  <c r="AS62" i="74"/>
  <c r="AR62" i="74"/>
  <c r="AQ62" i="74"/>
  <c r="AP62" i="74"/>
  <c r="AO62" i="74"/>
  <c r="AN62" i="74"/>
  <c r="AM62" i="74"/>
  <c r="AL62" i="74"/>
  <c r="AK62" i="74"/>
  <c r="AJ62" i="74"/>
  <c r="AB62" i="74"/>
  <c r="AA62" i="74"/>
  <c r="Z62" i="74"/>
  <c r="Y62" i="74"/>
  <c r="X62" i="74"/>
  <c r="W62" i="74"/>
  <c r="U62" i="74"/>
  <c r="T62" i="74"/>
  <c r="R62" i="74"/>
  <c r="Q62" i="74"/>
  <c r="P62" i="74"/>
  <c r="N62" i="74"/>
  <c r="I62" i="74"/>
  <c r="H62" i="74"/>
  <c r="G62" i="74"/>
  <c r="F62" i="74"/>
  <c r="E62" i="74"/>
  <c r="D62" i="74"/>
  <c r="C62" i="74"/>
  <c r="B62" i="74"/>
  <c r="A62" i="74"/>
  <c r="AT61" i="74"/>
  <c r="AS61" i="74"/>
  <c r="AR61" i="74"/>
  <c r="AQ61" i="74"/>
  <c r="AP61" i="74"/>
  <c r="AO61" i="74"/>
  <c r="AN61" i="74"/>
  <c r="AM61" i="74"/>
  <c r="AL61" i="74"/>
  <c r="AK61" i="74"/>
  <c r="AJ61" i="74"/>
  <c r="AB61" i="74"/>
  <c r="AA61" i="74"/>
  <c r="Z61" i="74"/>
  <c r="Y61" i="74"/>
  <c r="X61" i="74"/>
  <c r="W61" i="74"/>
  <c r="U61" i="74"/>
  <c r="T61" i="74"/>
  <c r="R61" i="74"/>
  <c r="Q61" i="74"/>
  <c r="P61" i="74"/>
  <c r="N61" i="74"/>
  <c r="I61" i="74"/>
  <c r="H61" i="74"/>
  <c r="G61" i="74"/>
  <c r="F61" i="74"/>
  <c r="E61" i="74"/>
  <c r="D61" i="74"/>
  <c r="C61" i="74"/>
  <c r="B61" i="74"/>
  <c r="A61" i="74"/>
  <c r="AT60" i="74"/>
  <c r="AS60" i="74"/>
  <c r="AR60" i="74"/>
  <c r="AQ60" i="74"/>
  <c r="AP60" i="74"/>
  <c r="AO60" i="74"/>
  <c r="AN60" i="74"/>
  <c r="AM60" i="74"/>
  <c r="AL60" i="74"/>
  <c r="AK60" i="74"/>
  <c r="AJ60" i="74"/>
  <c r="AB60" i="74"/>
  <c r="AA60" i="74"/>
  <c r="Z60" i="74"/>
  <c r="Y60" i="74"/>
  <c r="X60" i="74"/>
  <c r="W60" i="74"/>
  <c r="U60" i="74"/>
  <c r="R60" i="74"/>
  <c r="Q60" i="74"/>
  <c r="P60" i="74"/>
  <c r="N60" i="74"/>
  <c r="I60" i="74"/>
  <c r="H60" i="74"/>
  <c r="G60" i="74"/>
  <c r="F60" i="74"/>
  <c r="E60" i="74"/>
  <c r="D60" i="74"/>
  <c r="C60" i="74"/>
  <c r="B60" i="74"/>
  <c r="A60" i="74"/>
  <c r="AT59" i="74"/>
  <c r="AS59" i="74"/>
  <c r="AR59" i="74"/>
  <c r="AQ59" i="74"/>
  <c r="AP59" i="74"/>
  <c r="AO59" i="74"/>
  <c r="AN59" i="74"/>
  <c r="AM59" i="74"/>
  <c r="AL59" i="74"/>
  <c r="AK59" i="74"/>
  <c r="AJ59" i="74"/>
  <c r="AB59" i="74"/>
  <c r="X59" i="74"/>
  <c r="W59" i="74"/>
  <c r="U59" i="74"/>
  <c r="R59" i="74"/>
  <c r="Q59" i="74"/>
  <c r="P59" i="74"/>
  <c r="O59" i="74"/>
  <c r="N59" i="74"/>
  <c r="M59" i="74"/>
  <c r="I59" i="74"/>
  <c r="H59" i="74"/>
  <c r="G59" i="74"/>
  <c r="F59" i="74"/>
  <c r="E59" i="74"/>
  <c r="D59" i="74"/>
  <c r="C59" i="74"/>
  <c r="B59" i="74"/>
  <c r="A59" i="74"/>
  <c r="AT58" i="74"/>
  <c r="AS58" i="74"/>
  <c r="AR58" i="74"/>
  <c r="AQ58" i="74"/>
  <c r="AP58" i="74"/>
  <c r="AO58" i="74"/>
  <c r="AN58" i="74"/>
  <c r="AM58" i="74"/>
  <c r="AL58" i="74"/>
  <c r="AK58" i="74"/>
  <c r="AJ58" i="74"/>
  <c r="AB58" i="74"/>
  <c r="AA58" i="74"/>
  <c r="Y58" i="74"/>
  <c r="X58" i="74"/>
  <c r="W58" i="74"/>
  <c r="U58" i="74"/>
  <c r="R58" i="74"/>
  <c r="Q58" i="74"/>
  <c r="P58" i="74"/>
  <c r="O58" i="74"/>
  <c r="N58" i="74"/>
  <c r="M58" i="74"/>
  <c r="I58" i="74"/>
  <c r="H58" i="74"/>
  <c r="G58" i="74"/>
  <c r="F58" i="74"/>
  <c r="E58" i="74"/>
  <c r="D58" i="74"/>
  <c r="C58" i="74"/>
  <c r="B58" i="74"/>
  <c r="A58" i="74"/>
  <c r="AT57" i="74"/>
  <c r="AS57" i="74"/>
  <c r="AR57" i="74"/>
  <c r="AQ57" i="74"/>
  <c r="AP57" i="74"/>
  <c r="AO57" i="74"/>
  <c r="AN57" i="74"/>
  <c r="AM57" i="74"/>
  <c r="AL57" i="74"/>
  <c r="AK57" i="74"/>
  <c r="AJ57" i="74"/>
  <c r="AB57" i="74"/>
  <c r="AA57" i="74"/>
  <c r="X57" i="74"/>
  <c r="W57" i="74"/>
  <c r="U57" i="74"/>
  <c r="R57" i="74"/>
  <c r="Q57" i="74"/>
  <c r="P57" i="74"/>
  <c r="O57" i="74"/>
  <c r="N57" i="74"/>
  <c r="M57" i="74"/>
  <c r="I57" i="74"/>
  <c r="H57" i="74"/>
  <c r="G57" i="74"/>
  <c r="F57" i="74"/>
  <c r="E57" i="74"/>
  <c r="D57" i="74"/>
  <c r="C57" i="74"/>
  <c r="B57" i="74"/>
  <c r="A57" i="74"/>
  <c r="AT56" i="74"/>
  <c r="AS56" i="74"/>
  <c r="AR56" i="74"/>
  <c r="AQ56" i="74"/>
  <c r="AP56" i="74"/>
  <c r="AO56" i="74"/>
  <c r="AN56" i="74"/>
  <c r="AM56" i="74"/>
  <c r="AL56" i="74"/>
  <c r="AK56" i="74"/>
  <c r="AJ56" i="74"/>
  <c r="AB56" i="74"/>
  <c r="AA56" i="74"/>
  <c r="Z56" i="74"/>
  <c r="Y56" i="74"/>
  <c r="X56" i="74"/>
  <c r="W56" i="74"/>
  <c r="U56" i="74"/>
  <c r="R56" i="74"/>
  <c r="Q56" i="74"/>
  <c r="P56" i="74"/>
  <c r="O56" i="74"/>
  <c r="N56" i="74"/>
  <c r="AT55" i="74"/>
  <c r="AS55" i="74"/>
  <c r="AR55" i="74"/>
  <c r="AQ55" i="74"/>
  <c r="AP55" i="74"/>
  <c r="AO55" i="74"/>
  <c r="AN55" i="74"/>
  <c r="AM55" i="74"/>
  <c r="AL55" i="74"/>
  <c r="AK55" i="74"/>
  <c r="AJ55" i="74"/>
  <c r="AB55" i="74"/>
  <c r="AA55" i="74"/>
  <c r="Z55" i="74"/>
  <c r="Y55" i="74"/>
  <c r="X55" i="74"/>
  <c r="W55" i="74"/>
  <c r="U55" i="74"/>
  <c r="R55" i="74"/>
  <c r="Q55" i="74"/>
  <c r="P55" i="74"/>
  <c r="O55" i="74"/>
  <c r="N55" i="74"/>
  <c r="AT54" i="74"/>
  <c r="AS54" i="74"/>
  <c r="AR54" i="74"/>
  <c r="AQ54" i="74"/>
  <c r="AP54" i="74"/>
  <c r="AO54" i="74"/>
  <c r="AN54" i="74"/>
  <c r="AM54" i="74"/>
  <c r="AL54" i="74"/>
  <c r="AK54" i="74"/>
  <c r="AJ54" i="74"/>
  <c r="AB54" i="74"/>
  <c r="AA54" i="74"/>
  <c r="Z54" i="74"/>
  <c r="X54" i="74"/>
  <c r="W54" i="74"/>
  <c r="U54" i="74"/>
  <c r="R54" i="74"/>
  <c r="R53" i="74" s="1"/>
  <c r="Q54" i="74"/>
  <c r="P54" i="74"/>
  <c r="O54" i="74"/>
  <c r="N54" i="74"/>
  <c r="M54" i="74"/>
  <c r="I54" i="74"/>
  <c r="H54" i="74"/>
  <c r="G54" i="74"/>
  <c r="F54" i="74"/>
  <c r="E54" i="74"/>
  <c r="D54" i="74"/>
  <c r="C54" i="74"/>
  <c r="B54" i="74"/>
  <c r="A54" i="74"/>
  <c r="M53" i="74"/>
  <c r="L53" i="74"/>
  <c r="AL52" i="74"/>
  <c r="AK52" i="74"/>
  <c r="AJ52" i="74"/>
  <c r="AB52" i="74"/>
  <c r="AA52" i="74"/>
  <c r="Z52" i="74"/>
  <c r="Y52" i="74"/>
  <c r="X52" i="74"/>
  <c r="W52" i="74"/>
  <c r="V52" i="74"/>
  <c r="U52" i="74"/>
  <c r="T52" i="74"/>
  <c r="R52" i="74"/>
  <c r="Q52" i="74"/>
  <c r="P52" i="74"/>
  <c r="O52" i="74"/>
  <c r="N52" i="74"/>
  <c r="M52" i="74"/>
  <c r="AT51" i="74"/>
  <c r="AS51" i="74"/>
  <c r="AR51" i="74"/>
  <c r="AQ51" i="74"/>
  <c r="AP51" i="74"/>
  <c r="AO51" i="74"/>
  <c r="AN51" i="74"/>
  <c r="AM51" i="74"/>
  <c r="AL51" i="74"/>
  <c r="AK51" i="74"/>
  <c r="AJ51" i="74"/>
  <c r="AB51" i="74"/>
  <c r="AA51" i="74"/>
  <c r="Y51" i="74"/>
  <c r="X51" i="74"/>
  <c r="W51" i="74"/>
  <c r="U51" i="74"/>
  <c r="T51" i="74"/>
  <c r="R51" i="74"/>
  <c r="Q51" i="74"/>
  <c r="P51" i="74"/>
  <c r="O51" i="74"/>
  <c r="N51" i="74"/>
  <c r="AT50" i="74"/>
  <c r="AS50" i="74"/>
  <c r="AR50" i="74"/>
  <c r="AQ50" i="74"/>
  <c r="AP50" i="74"/>
  <c r="AO50" i="74"/>
  <c r="AN50" i="74"/>
  <c r="AM50" i="74"/>
  <c r="AL50" i="74"/>
  <c r="AK50" i="74"/>
  <c r="AJ50" i="74"/>
  <c r="AB50" i="74"/>
  <c r="AA50" i="74"/>
  <c r="Y50" i="74"/>
  <c r="X50" i="74"/>
  <c r="W50" i="74"/>
  <c r="U50" i="74"/>
  <c r="T50" i="74"/>
  <c r="R50" i="74"/>
  <c r="Q50" i="74"/>
  <c r="P50" i="74"/>
  <c r="O50" i="74"/>
  <c r="N50" i="74"/>
  <c r="I50" i="74"/>
  <c r="H50" i="74"/>
  <c r="G50" i="74"/>
  <c r="F50" i="74"/>
  <c r="E50" i="74"/>
  <c r="D50" i="74"/>
  <c r="C50" i="74"/>
  <c r="B50" i="74"/>
  <c r="A50" i="74"/>
  <c r="AT49" i="74"/>
  <c r="AS49" i="74"/>
  <c r="AR49" i="74"/>
  <c r="AQ49" i="74"/>
  <c r="AP49" i="74"/>
  <c r="AO49" i="74"/>
  <c r="AN49" i="74"/>
  <c r="AM49" i="74"/>
  <c r="AL49" i="74"/>
  <c r="AK49" i="74"/>
  <c r="AJ49" i="74"/>
  <c r="AB49" i="74"/>
  <c r="AA49" i="74"/>
  <c r="X49" i="74"/>
  <c r="W49" i="74"/>
  <c r="U49" i="74"/>
  <c r="T49" i="74"/>
  <c r="R49" i="74"/>
  <c r="Q49" i="74"/>
  <c r="P49" i="74"/>
  <c r="O49" i="74"/>
  <c r="N49" i="74"/>
  <c r="AT48" i="74"/>
  <c r="AS48" i="74"/>
  <c r="AR48" i="74"/>
  <c r="AQ48" i="74"/>
  <c r="AP48" i="74"/>
  <c r="AO48" i="74"/>
  <c r="AN48" i="74"/>
  <c r="AM48" i="74"/>
  <c r="AL48" i="74"/>
  <c r="AK48" i="74"/>
  <c r="AJ48" i="74"/>
  <c r="AB48" i="74"/>
  <c r="AA48" i="74"/>
  <c r="Y48" i="74"/>
  <c r="X48" i="74"/>
  <c r="W48" i="74"/>
  <c r="U48" i="74"/>
  <c r="T48" i="74"/>
  <c r="R48" i="74"/>
  <c r="Q48" i="74"/>
  <c r="P48" i="74"/>
  <c r="O48" i="74"/>
  <c r="N48" i="74"/>
  <c r="I48" i="74"/>
  <c r="H48" i="74"/>
  <c r="G48" i="74"/>
  <c r="F48" i="74"/>
  <c r="E48" i="74"/>
  <c r="D48" i="74"/>
  <c r="C48" i="74"/>
  <c r="B48" i="74"/>
  <c r="A48" i="74"/>
  <c r="AT47" i="74"/>
  <c r="AS47" i="74"/>
  <c r="AR47" i="74"/>
  <c r="AQ47" i="74"/>
  <c r="AP47" i="74"/>
  <c r="AO47" i="74"/>
  <c r="AN47" i="74"/>
  <c r="AM47" i="74"/>
  <c r="AL47" i="74"/>
  <c r="AK47" i="74"/>
  <c r="AJ47" i="74"/>
  <c r="AB47" i="74"/>
  <c r="AA47" i="74"/>
  <c r="X47" i="74"/>
  <c r="W47" i="74"/>
  <c r="Q47" i="74"/>
  <c r="P47" i="74"/>
  <c r="O47" i="74"/>
  <c r="N47" i="74"/>
  <c r="M47" i="74"/>
  <c r="I47" i="74"/>
  <c r="H47" i="74"/>
  <c r="G47" i="74"/>
  <c r="F47" i="74"/>
  <c r="E47" i="74"/>
  <c r="D47" i="74"/>
  <c r="C47" i="74"/>
  <c r="B47" i="74"/>
  <c r="A47" i="74"/>
  <c r="AT46" i="74"/>
  <c r="AS46" i="74"/>
  <c r="AR46" i="74"/>
  <c r="AQ46" i="74"/>
  <c r="AP46" i="74"/>
  <c r="AO46" i="74"/>
  <c r="AN46" i="74"/>
  <c r="AM46" i="74"/>
  <c r="AL46" i="74"/>
  <c r="AK46" i="74"/>
  <c r="AJ46" i="74"/>
  <c r="AB46" i="74"/>
  <c r="AA46" i="74"/>
  <c r="Y46" i="74"/>
  <c r="X46" i="74"/>
  <c r="W46" i="74"/>
  <c r="U46" i="74"/>
  <c r="T46" i="74"/>
  <c r="R46" i="74"/>
  <c r="Q46" i="74"/>
  <c r="P46" i="74"/>
  <c r="O46" i="74"/>
  <c r="N46" i="74"/>
  <c r="I46" i="74"/>
  <c r="H46" i="74"/>
  <c r="G46" i="74"/>
  <c r="F46" i="74"/>
  <c r="E46" i="74"/>
  <c r="D46" i="74"/>
  <c r="C46" i="74"/>
  <c r="B46" i="74"/>
  <c r="A46" i="74"/>
  <c r="AT45" i="74"/>
  <c r="AS45" i="74"/>
  <c r="AR45" i="74"/>
  <c r="AQ45" i="74"/>
  <c r="AP45" i="74"/>
  <c r="AO45" i="74"/>
  <c r="AN45" i="74"/>
  <c r="AM45" i="74"/>
  <c r="AL45" i="74"/>
  <c r="AK45" i="74"/>
  <c r="AJ45" i="74"/>
  <c r="AB45" i="74"/>
  <c r="AA45" i="74"/>
  <c r="Y45" i="74"/>
  <c r="X45" i="74"/>
  <c r="W45" i="74"/>
  <c r="U45" i="74"/>
  <c r="T45" i="74"/>
  <c r="R45" i="74"/>
  <c r="Q45" i="74"/>
  <c r="P45" i="74"/>
  <c r="O45" i="74"/>
  <c r="N45" i="74"/>
  <c r="I45" i="74"/>
  <c r="H45" i="74"/>
  <c r="G45" i="74"/>
  <c r="F45" i="74"/>
  <c r="E45" i="74"/>
  <c r="D45" i="74"/>
  <c r="C45" i="74"/>
  <c r="B45" i="74"/>
  <c r="A45" i="74"/>
  <c r="AT44" i="74"/>
  <c r="AS44" i="74"/>
  <c r="AR44" i="74"/>
  <c r="AQ44" i="74"/>
  <c r="AP44" i="74"/>
  <c r="AO44" i="74"/>
  <c r="AN44" i="74"/>
  <c r="AM44" i="74"/>
  <c r="AL44" i="74"/>
  <c r="AK44" i="74"/>
  <c r="AJ44" i="74"/>
  <c r="AB44" i="74"/>
  <c r="AA44" i="74"/>
  <c r="Y44" i="74"/>
  <c r="X44" i="74"/>
  <c r="W44" i="74"/>
  <c r="U44" i="74"/>
  <c r="T44" i="74"/>
  <c r="R44" i="74"/>
  <c r="Q44" i="74"/>
  <c r="P44" i="74"/>
  <c r="O44" i="74"/>
  <c r="N44" i="74"/>
  <c r="I44" i="74"/>
  <c r="H44" i="74"/>
  <c r="G44" i="74"/>
  <c r="F44" i="74"/>
  <c r="E44" i="74"/>
  <c r="D44" i="74"/>
  <c r="C44" i="74"/>
  <c r="B44" i="74"/>
  <c r="A44" i="74"/>
  <c r="AT43" i="74"/>
  <c r="AS43" i="74"/>
  <c r="AR43" i="74"/>
  <c r="AQ43" i="74"/>
  <c r="AP43" i="74"/>
  <c r="AO43" i="74"/>
  <c r="AN43" i="74"/>
  <c r="AM43" i="74"/>
  <c r="AL43" i="74"/>
  <c r="AK43" i="74"/>
  <c r="AJ43" i="74"/>
  <c r="AB43" i="74"/>
  <c r="AA43" i="74"/>
  <c r="X43" i="74"/>
  <c r="W43" i="74"/>
  <c r="U43" i="74"/>
  <c r="T43" i="74"/>
  <c r="R43" i="74"/>
  <c r="Q43" i="74"/>
  <c r="P43" i="74"/>
  <c r="O43" i="74"/>
  <c r="N43" i="74"/>
  <c r="I43" i="74"/>
  <c r="H43" i="74"/>
  <c r="G43" i="74"/>
  <c r="F43" i="74"/>
  <c r="E43" i="74"/>
  <c r="D43" i="74"/>
  <c r="C43" i="74"/>
  <c r="B43" i="74"/>
  <c r="A43" i="74"/>
  <c r="AT42" i="74"/>
  <c r="AS42" i="74"/>
  <c r="AR42" i="74"/>
  <c r="AQ42" i="74"/>
  <c r="AP42" i="74"/>
  <c r="AO42" i="74"/>
  <c r="AN42" i="74"/>
  <c r="AM42" i="74"/>
  <c r="AL42" i="74"/>
  <c r="AK42" i="74"/>
  <c r="AJ42" i="74"/>
  <c r="AB42" i="74"/>
  <c r="AA42" i="74"/>
  <c r="Z42" i="74"/>
  <c r="Y42" i="74"/>
  <c r="X42" i="74"/>
  <c r="W42" i="74"/>
  <c r="U42" i="74"/>
  <c r="T42" i="74"/>
  <c r="R42" i="74"/>
  <c r="Q42" i="74"/>
  <c r="P42" i="74"/>
  <c r="O42" i="74"/>
  <c r="N42" i="74"/>
  <c r="I42" i="74"/>
  <c r="H42" i="74"/>
  <c r="G42" i="74"/>
  <c r="F42" i="74"/>
  <c r="E42" i="74"/>
  <c r="D42" i="74"/>
  <c r="C42" i="74"/>
  <c r="B42" i="74"/>
  <c r="A42" i="74"/>
  <c r="AT41" i="74"/>
  <c r="AS41" i="74"/>
  <c r="AR41" i="74"/>
  <c r="AQ41" i="74"/>
  <c r="AP41" i="74"/>
  <c r="AO41" i="74"/>
  <c r="AN41" i="74"/>
  <c r="AM41" i="74"/>
  <c r="AL41" i="74"/>
  <c r="AK41" i="74"/>
  <c r="AJ41" i="74"/>
  <c r="AB41" i="74"/>
  <c r="AA41" i="74"/>
  <c r="Y41" i="74"/>
  <c r="X41" i="74"/>
  <c r="W41" i="74"/>
  <c r="U41" i="74"/>
  <c r="T41" i="74"/>
  <c r="R41" i="74"/>
  <c r="Q41" i="74"/>
  <c r="P41" i="74"/>
  <c r="O41" i="74"/>
  <c r="N41" i="74"/>
  <c r="I41" i="74"/>
  <c r="H41" i="74"/>
  <c r="G41" i="74"/>
  <c r="F41" i="74"/>
  <c r="E41" i="74"/>
  <c r="D41" i="74"/>
  <c r="C41" i="74"/>
  <c r="B41" i="74"/>
  <c r="A41" i="74"/>
  <c r="AT40" i="74"/>
  <c r="AS40" i="74"/>
  <c r="AR40" i="74"/>
  <c r="AQ40" i="74"/>
  <c r="AP40" i="74"/>
  <c r="AO40" i="74"/>
  <c r="AN40" i="74"/>
  <c r="AM40" i="74"/>
  <c r="AL40" i="74"/>
  <c r="AK40" i="74"/>
  <c r="AJ40" i="74"/>
  <c r="AB40" i="74"/>
  <c r="AA40" i="74"/>
  <c r="Y40" i="74"/>
  <c r="X40" i="74"/>
  <c r="W40" i="74"/>
  <c r="U40" i="74"/>
  <c r="T40" i="74"/>
  <c r="R40" i="74"/>
  <c r="Q40" i="74"/>
  <c r="P40" i="74"/>
  <c r="O40" i="74"/>
  <c r="N40" i="74"/>
  <c r="I40" i="74"/>
  <c r="H40" i="74"/>
  <c r="G40" i="74"/>
  <c r="F40" i="74"/>
  <c r="E40" i="74"/>
  <c r="D40" i="74"/>
  <c r="C40" i="74"/>
  <c r="B40" i="74"/>
  <c r="A40" i="74"/>
  <c r="AT39" i="74"/>
  <c r="AS39" i="74"/>
  <c r="AR39" i="74"/>
  <c r="AQ39" i="74"/>
  <c r="AP39" i="74"/>
  <c r="AO39" i="74"/>
  <c r="AN39" i="74"/>
  <c r="AM39" i="74"/>
  <c r="AL39" i="74"/>
  <c r="AK39" i="74"/>
  <c r="AJ39" i="74"/>
  <c r="AB39" i="74"/>
  <c r="AA39" i="74"/>
  <c r="Y39" i="74"/>
  <c r="X39" i="74"/>
  <c r="W39" i="74"/>
  <c r="U39" i="74"/>
  <c r="T39" i="74"/>
  <c r="R39" i="74"/>
  <c r="Q39" i="74"/>
  <c r="P39" i="74"/>
  <c r="O39" i="74"/>
  <c r="N39" i="74"/>
  <c r="I39" i="74"/>
  <c r="H39" i="74"/>
  <c r="G39" i="74"/>
  <c r="F39" i="74"/>
  <c r="E39" i="74"/>
  <c r="D39" i="74"/>
  <c r="C39" i="74"/>
  <c r="B39" i="74"/>
  <c r="A39" i="74"/>
  <c r="AT38" i="74"/>
  <c r="AS38" i="74"/>
  <c r="AR38" i="74"/>
  <c r="AQ38" i="74"/>
  <c r="AP38" i="74"/>
  <c r="AO38" i="74"/>
  <c r="AN38" i="74"/>
  <c r="AM38" i="74"/>
  <c r="AL38" i="74"/>
  <c r="AK38" i="74"/>
  <c r="AJ38" i="74"/>
  <c r="AB38" i="74"/>
  <c r="AA38" i="74"/>
  <c r="X38" i="74"/>
  <c r="W38" i="74"/>
  <c r="Q38" i="74"/>
  <c r="P38" i="74"/>
  <c r="O38" i="74"/>
  <c r="N38" i="74"/>
  <c r="M38" i="74"/>
  <c r="I38" i="74"/>
  <c r="H38" i="74"/>
  <c r="G38" i="74"/>
  <c r="F38" i="74"/>
  <c r="E38" i="74"/>
  <c r="D38" i="74"/>
  <c r="C38" i="74"/>
  <c r="B38" i="74"/>
  <c r="A38" i="74"/>
  <c r="AT37" i="74"/>
  <c r="AS37" i="74"/>
  <c r="AR37" i="74"/>
  <c r="AQ37" i="74"/>
  <c r="AP37" i="74"/>
  <c r="AO37" i="74"/>
  <c r="AN37" i="74"/>
  <c r="AM37" i="74"/>
  <c r="AL37" i="74"/>
  <c r="AK37" i="74"/>
  <c r="AJ37" i="74"/>
  <c r="AB37" i="74"/>
  <c r="AA37" i="74"/>
  <c r="Y37" i="74"/>
  <c r="X37" i="74"/>
  <c r="X35" i="74" s="1"/>
  <c r="W37" i="74"/>
  <c r="U37" i="74"/>
  <c r="T37" i="74"/>
  <c r="R37" i="74"/>
  <c r="Q37" i="74"/>
  <c r="P37" i="74"/>
  <c r="O37" i="74"/>
  <c r="N37" i="74"/>
  <c r="M37" i="74"/>
  <c r="I37" i="74"/>
  <c r="H37" i="74"/>
  <c r="G37" i="74"/>
  <c r="F37" i="74"/>
  <c r="E37" i="74"/>
  <c r="D37" i="74"/>
  <c r="C37" i="74"/>
  <c r="B37" i="74"/>
  <c r="A37" i="74"/>
  <c r="AT36" i="74"/>
  <c r="AS36" i="74"/>
  <c r="AR36" i="74"/>
  <c r="AQ36" i="74"/>
  <c r="AP36" i="74"/>
  <c r="AO36" i="74"/>
  <c r="AN36" i="74"/>
  <c r="AM36" i="74"/>
  <c r="AL36" i="74"/>
  <c r="AK36" i="74"/>
  <c r="AJ36" i="74"/>
  <c r="AB36" i="74"/>
  <c r="AA36" i="74"/>
  <c r="Z36" i="74"/>
  <c r="Y36" i="74"/>
  <c r="X36" i="74"/>
  <c r="W36" i="74"/>
  <c r="U36" i="74"/>
  <c r="T36" i="74"/>
  <c r="R36" i="74"/>
  <c r="Q36" i="74"/>
  <c r="P36" i="74"/>
  <c r="O36" i="74"/>
  <c r="N36" i="74"/>
  <c r="M36" i="74"/>
  <c r="I36" i="74"/>
  <c r="H36" i="74"/>
  <c r="G36" i="74"/>
  <c r="F36" i="74"/>
  <c r="E36" i="74"/>
  <c r="D36" i="74"/>
  <c r="C36" i="74"/>
  <c r="B36" i="74"/>
  <c r="A36" i="74"/>
  <c r="M35" i="74"/>
  <c r="L35" i="74"/>
  <c r="AL34" i="74"/>
  <c r="AK34" i="74"/>
  <c r="AJ34" i="74"/>
  <c r="AB34" i="74"/>
  <c r="AA34" i="74"/>
  <c r="Z34" i="74"/>
  <c r="Y34" i="74"/>
  <c r="X34" i="74"/>
  <c r="W34" i="74"/>
  <c r="V34" i="74"/>
  <c r="U34" i="74"/>
  <c r="T34" i="74"/>
  <c r="S34" i="74"/>
  <c r="R34" i="74"/>
  <c r="Q34" i="74"/>
  <c r="P34" i="74"/>
  <c r="O34" i="74"/>
  <c r="N34" i="74"/>
  <c r="M34" i="74"/>
  <c r="AT33" i="74"/>
  <c r="AS33" i="74"/>
  <c r="AR33" i="74"/>
  <c r="AQ33" i="74"/>
  <c r="AP33" i="74"/>
  <c r="AO33" i="74"/>
  <c r="AN33" i="74"/>
  <c r="AM33" i="74"/>
  <c r="AL33" i="74"/>
  <c r="AK33" i="74"/>
  <c r="AJ33" i="74"/>
  <c r="AB33" i="74"/>
  <c r="AA33" i="74"/>
  <c r="X33" i="74"/>
  <c r="W33" i="74"/>
  <c r="U33" i="74"/>
  <c r="T33" i="74"/>
  <c r="S33" i="74"/>
  <c r="R33" i="74"/>
  <c r="Q33" i="74"/>
  <c r="P33" i="74"/>
  <c r="O33" i="74"/>
  <c r="N33" i="74"/>
  <c r="M33" i="74"/>
  <c r="I33" i="74"/>
  <c r="H33" i="74"/>
  <c r="G33" i="74"/>
  <c r="F33" i="74"/>
  <c r="E33" i="74"/>
  <c r="D33" i="74"/>
  <c r="C33" i="74"/>
  <c r="B33" i="74"/>
  <c r="A33" i="74"/>
  <c r="AT32" i="74"/>
  <c r="AS32" i="74"/>
  <c r="AR32" i="74"/>
  <c r="AQ32" i="74"/>
  <c r="AP32" i="74"/>
  <c r="AO32" i="74"/>
  <c r="AN32" i="74"/>
  <c r="AM32" i="74"/>
  <c r="AL32" i="74"/>
  <c r="AK32" i="74"/>
  <c r="AJ32" i="74"/>
  <c r="AB32" i="74"/>
  <c r="AA32" i="74"/>
  <c r="Y32" i="74"/>
  <c r="X32" i="74"/>
  <c r="W32" i="74"/>
  <c r="U32" i="74"/>
  <c r="T32" i="74"/>
  <c r="S32" i="74"/>
  <c r="R32" i="74"/>
  <c r="Q32" i="74"/>
  <c r="P32" i="74"/>
  <c r="O32" i="74"/>
  <c r="N32" i="74"/>
  <c r="M32" i="74"/>
  <c r="I32" i="74"/>
  <c r="H32" i="74"/>
  <c r="G32" i="74"/>
  <c r="F32" i="74"/>
  <c r="E32" i="74"/>
  <c r="D32" i="74"/>
  <c r="C32" i="74"/>
  <c r="B32" i="74"/>
  <c r="A32" i="74"/>
  <c r="AT31" i="74"/>
  <c r="AS31" i="74"/>
  <c r="AR31" i="74"/>
  <c r="AQ31" i="74"/>
  <c r="AP31" i="74"/>
  <c r="AO31" i="74"/>
  <c r="AN31" i="74"/>
  <c r="AM31" i="74"/>
  <c r="AL31" i="74"/>
  <c r="AK31" i="74"/>
  <c r="AJ31" i="74"/>
  <c r="AB31" i="74"/>
  <c r="AA31" i="74"/>
  <c r="Y31" i="74"/>
  <c r="X31" i="74"/>
  <c r="W31" i="74"/>
  <c r="U31" i="74"/>
  <c r="T31" i="74"/>
  <c r="S31" i="74"/>
  <c r="R31" i="74"/>
  <c r="Q31" i="74"/>
  <c r="P31" i="74"/>
  <c r="O31" i="74"/>
  <c r="N31" i="74"/>
  <c r="M31" i="74"/>
  <c r="I31" i="74"/>
  <c r="H31" i="74"/>
  <c r="G31" i="74"/>
  <c r="F31" i="74"/>
  <c r="E31" i="74"/>
  <c r="D31" i="74"/>
  <c r="C31" i="74"/>
  <c r="B31" i="74"/>
  <c r="A31" i="74"/>
  <c r="AT30" i="74"/>
  <c r="AS30" i="74"/>
  <c r="AR30" i="74"/>
  <c r="AQ30" i="74"/>
  <c r="AP30" i="74"/>
  <c r="AO30" i="74"/>
  <c r="AN30" i="74"/>
  <c r="AM30" i="74"/>
  <c r="AL30" i="74"/>
  <c r="AK30" i="74"/>
  <c r="AJ30" i="74"/>
  <c r="AB30" i="74"/>
  <c r="AA30" i="74"/>
  <c r="Y30" i="74"/>
  <c r="X30" i="74"/>
  <c r="W30" i="74"/>
  <c r="U30" i="74"/>
  <c r="T30" i="74"/>
  <c r="S30" i="74"/>
  <c r="R30" i="74"/>
  <c r="Q30" i="74"/>
  <c r="P30" i="74"/>
  <c r="O30" i="74"/>
  <c r="N30" i="74"/>
  <c r="M30" i="74"/>
  <c r="I30" i="74"/>
  <c r="H30" i="74"/>
  <c r="G30" i="74"/>
  <c r="F30" i="74"/>
  <c r="E30" i="74"/>
  <c r="D30" i="74"/>
  <c r="C30" i="74"/>
  <c r="B30" i="74"/>
  <c r="A30" i="74"/>
  <c r="AT29" i="74"/>
  <c r="AS29" i="74"/>
  <c r="AR29" i="74"/>
  <c r="AQ29" i="74"/>
  <c r="AP29" i="74"/>
  <c r="AO29" i="74"/>
  <c r="AN29" i="74"/>
  <c r="AM29" i="74"/>
  <c r="AL29" i="74"/>
  <c r="AK29" i="74"/>
  <c r="AJ29" i="74"/>
  <c r="AB29" i="74"/>
  <c r="AA29" i="74"/>
  <c r="Y29" i="74"/>
  <c r="X29" i="74"/>
  <c r="W29" i="74"/>
  <c r="U29" i="74"/>
  <c r="T29" i="74"/>
  <c r="T25" i="74" s="1"/>
  <c r="S29" i="74"/>
  <c r="R29" i="74"/>
  <c r="Q29" i="74"/>
  <c r="P29" i="74"/>
  <c r="O29" i="74"/>
  <c r="N29" i="74"/>
  <c r="M29" i="74"/>
  <c r="I29" i="74"/>
  <c r="H29" i="74"/>
  <c r="G29" i="74"/>
  <c r="F29" i="74"/>
  <c r="E29" i="74"/>
  <c r="D29" i="74"/>
  <c r="C29" i="74"/>
  <c r="B29" i="74"/>
  <c r="A29" i="74"/>
  <c r="AT28" i="74"/>
  <c r="AS28" i="74"/>
  <c r="AR28" i="74"/>
  <c r="AQ28" i="74"/>
  <c r="AP28" i="74"/>
  <c r="AO28" i="74"/>
  <c r="AN28" i="74"/>
  <c r="AM28" i="74"/>
  <c r="AL28" i="74"/>
  <c r="AK28" i="74"/>
  <c r="AJ28" i="74"/>
  <c r="AB28" i="74"/>
  <c r="AA28" i="74"/>
  <c r="Y28" i="74"/>
  <c r="X28" i="74"/>
  <c r="W28" i="74"/>
  <c r="U28" i="74"/>
  <c r="T28" i="74"/>
  <c r="S28" i="74"/>
  <c r="R28" i="74"/>
  <c r="Q28" i="74"/>
  <c r="P28" i="74"/>
  <c r="O28" i="74"/>
  <c r="N28" i="74"/>
  <c r="M28" i="74"/>
  <c r="I28" i="74"/>
  <c r="H28" i="74"/>
  <c r="G28" i="74"/>
  <c r="F28" i="74"/>
  <c r="E28" i="74"/>
  <c r="D28" i="74"/>
  <c r="C28" i="74"/>
  <c r="B28" i="74"/>
  <c r="A28" i="74"/>
  <c r="AT27" i="74"/>
  <c r="AS27" i="74"/>
  <c r="AR27" i="74"/>
  <c r="AQ27" i="74"/>
  <c r="AP27" i="74"/>
  <c r="AO27" i="74"/>
  <c r="AN27" i="74"/>
  <c r="AM27" i="74"/>
  <c r="AL27" i="74"/>
  <c r="AK27" i="74"/>
  <c r="AJ27" i="74"/>
  <c r="AB27" i="74"/>
  <c r="AA27" i="74"/>
  <c r="X27" i="74"/>
  <c r="W27" i="74"/>
  <c r="U27" i="74"/>
  <c r="T27" i="74"/>
  <c r="S27" i="74"/>
  <c r="R27" i="74"/>
  <c r="R25" i="74" s="1"/>
  <c r="Q27" i="74"/>
  <c r="P27" i="74"/>
  <c r="O27" i="74"/>
  <c r="N27" i="74"/>
  <c r="M27" i="74"/>
  <c r="I27" i="74"/>
  <c r="H27" i="74"/>
  <c r="G27" i="74"/>
  <c r="F27" i="74"/>
  <c r="E27" i="74"/>
  <c r="D27" i="74"/>
  <c r="C27" i="74"/>
  <c r="B27" i="74"/>
  <c r="A27" i="74"/>
  <c r="AL26" i="74"/>
  <c r="AK26" i="74"/>
  <c r="AJ26" i="74"/>
  <c r="AB26" i="74"/>
  <c r="AA26" i="74"/>
  <c r="X26" i="74"/>
  <c r="W26" i="74"/>
  <c r="U26" i="74"/>
  <c r="T26" i="74"/>
  <c r="S26" i="74"/>
  <c r="R26" i="74"/>
  <c r="Q26" i="74"/>
  <c r="P26" i="74"/>
  <c r="O26" i="74"/>
  <c r="N26" i="74"/>
  <c r="M26" i="74"/>
  <c r="X25" i="74"/>
  <c r="M25" i="74"/>
  <c r="L25" i="74"/>
  <c r="AT24" i="74"/>
  <c r="AS24" i="74"/>
  <c r="AR24" i="74"/>
  <c r="AQ24" i="74"/>
  <c r="AP24" i="74"/>
  <c r="AO24" i="74"/>
  <c r="AN24" i="74"/>
  <c r="AM24" i="74"/>
  <c r="AL24" i="74"/>
  <c r="AK24" i="74"/>
  <c r="AJ24" i="74"/>
  <c r="AB24" i="74"/>
  <c r="AA24" i="74"/>
  <c r="Y24" i="74"/>
  <c r="X24" i="74"/>
  <c r="W24" i="74"/>
  <c r="U24" i="74"/>
  <c r="S24" i="74"/>
  <c r="R24" i="74"/>
  <c r="Q24" i="74"/>
  <c r="P24" i="74"/>
  <c r="O24" i="74"/>
  <c r="N24" i="74"/>
  <c r="M24" i="74"/>
  <c r="I24" i="74"/>
  <c r="H24" i="74"/>
  <c r="G24" i="74"/>
  <c r="F24" i="74"/>
  <c r="E24" i="74"/>
  <c r="D24" i="74"/>
  <c r="C24" i="74"/>
  <c r="B24" i="74"/>
  <c r="A24" i="74"/>
  <c r="AT23" i="74"/>
  <c r="AS23" i="74"/>
  <c r="AR23" i="74"/>
  <c r="AQ23" i="74"/>
  <c r="AP23" i="74"/>
  <c r="AO23" i="74"/>
  <c r="AN23" i="74"/>
  <c r="AM23" i="74"/>
  <c r="AL23" i="74"/>
  <c r="AK23" i="74"/>
  <c r="AJ23" i="74"/>
  <c r="AB23" i="74"/>
  <c r="AA23" i="74"/>
  <c r="Y23" i="74"/>
  <c r="X23" i="74"/>
  <c r="X19" i="74" s="1"/>
  <c r="W23" i="74"/>
  <c r="U23" i="74"/>
  <c r="S23" i="74"/>
  <c r="R23" i="74"/>
  <c r="Q23" i="74"/>
  <c r="P23" i="74"/>
  <c r="O23" i="74"/>
  <c r="N23" i="74"/>
  <c r="M23" i="74"/>
  <c r="I23" i="74"/>
  <c r="H23" i="74"/>
  <c r="G23" i="74"/>
  <c r="F23" i="74"/>
  <c r="E23" i="74"/>
  <c r="D23" i="74"/>
  <c r="C23" i="74"/>
  <c r="B23" i="74"/>
  <c r="A23" i="74"/>
  <c r="AT22" i="74"/>
  <c r="AS22" i="74"/>
  <c r="AR22" i="74"/>
  <c r="AQ22" i="74"/>
  <c r="AP22" i="74"/>
  <c r="AO22" i="74"/>
  <c r="AN22" i="74"/>
  <c r="AM22" i="74"/>
  <c r="AL22" i="74"/>
  <c r="AK22" i="74"/>
  <c r="AJ22" i="74"/>
  <c r="AB22" i="74"/>
  <c r="AA22" i="74"/>
  <c r="Y22" i="74"/>
  <c r="X22" i="74"/>
  <c r="W22" i="74"/>
  <c r="U22" i="74"/>
  <c r="T22" i="74"/>
  <c r="S22" i="74"/>
  <c r="R22" i="74"/>
  <c r="Q22" i="74"/>
  <c r="P22" i="74"/>
  <c r="O22" i="74"/>
  <c r="N22" i="74"/>
  <c r="M22" i="74"/>
  <c r="I22" i="74"/>
  <c r="H22" i="74"/>
  <c r="G22" i="74"/>
  <c r="F22" i="74"/>
  <c r="E22" i="74"/>
  <c r="D22" i="74"/>
  <c r="C22" i="74"/>
  <c r="B22" i="74"/>
  <c r="A22" i="74"/>
  <c r="AT21" i="74"/>
  <c r="AS21" i="74"/>
  <c r="AR21" i="74"/>
  <c r="AQ21" i="74"/>
  <c r="AP21" i="74"/>
  <c r="AO21" i="74"/>
  <c r="AN21" i="74"/>
  <c r="AM21" i="74"/>
  <c r="AL21" i="74"/>
  <c r="AK21" i="74"/>
  <c r="AJ21" i="74"/>
  <c r="AB21" i="74"/>
  <c r="AA21" i="74"/>
  <c r="Y21" i="74"/>
  <c r="X21" i="74"/>
  <c r="W21" i="74"/>
  <c r="U21" i="74"/>
  <c r="U19" i="74" s="1"/>
  <c r="T21" i="74"/>
  <c r="S21" i="74"/>
  <c r="R21" i="74"/>
  <c r="Q21" i="74"/>
  <c r="P21" i="74"/>
  <c r="O21" i="74"/>
  <c r="N21" i="74"/>
  <c r="M21" i="74"/>
  <c r="I21" i="74"/>
  <c r="H21" i="74"/>
  <c r="G21" i="74"/>
  <c r="F21" i="74"/>
  <c r="E21" i="74"/>
  <c r="D21" i="74"/>
  <c r="C21" i="74"/>
  <c r="B21" i="74"/>
  <c r="A21" i="74"/>
  <c r="AT20" i="74"/>
  <c r="AS20" i="74"/>
  <c r="AR20" i="74"/>
  <c r="AQ20" i="74"/>
  <c r="AP20" i="74"/>
  <c r="AO20" i="74"/>
  <c r="AN20" i="74"/>
  <c r="AM20" i="74"/>
  <c r="AL20" i="74"/>
  <c r="AK20" i="74"/>
  <c r="AJ20" i="74"/>
  <c r="AB20" i="74"/>
  <c r="AA20" i="74"/>
  <c r="Y20" i="74"/>
  <c r="Y19" i="74" s="1"/>
  <c r="X20" i="74"/>
  <c r="W20" i="74"/>
  <c r="U20" i="74"/>
  <c r="T20" i="74"/>
  <c r="S20" i="74"/>
  <c r="R20" i="74"/>
  <c r="Q20" i="74"/>
  <c r="P20" i="74"/>
  <c r="O20" i="74"/>
  <c r="N20" i="74"/>
  <c r="M20" i="74"/>
  <c r="I20" i="74"/>
  <c r="H20" i="74"/>
  <c r="G20" i="74"/>
  <c r="F20" i="74"/>
  <c r="E20" i="74"/>
  <c r="D20" i="74"/>
  <c r="C20" i="74"/>
  <c r="B20" i="74"/>
  <c r="A20" i="74"/>
  <c r="M19" i="74"/>
  <c r="L19" i="74"/>
  <c r="AT18" i="74"/>
  <c r="AS18" i="74"/>
  <c r="AR18" i="74"/>
  <c r="AQ18" i="74"/>
  <c r="AP18" i="74"/>
  <c r="AO18" i="74"/>
  <c r="AN18" i="74"/>
  <c r="AM18" i="74"/>
  <c r="AL18" i="74"/>
  <c r="AK18" i="74"/>
  <c r="AJ18" i="74"/>
  <c r="AB18" i="74"/>
  <c r="AA18" i="74"/>
  <c r="Z18" i="74"/>
  <c r="Y18" i="74"/>
  <c r="X18" i="74"/>
  <c r="W18" i="74"/>
  <c r="U18" i="74"/>
  <c r="T18" i="74"/>
  <c r="S18" i="74"/>
  <c r="R18" i="74"/>
  <c r="Q18" i="74"/>
  <c r="P18" i="74"/>
  <c r="O18" i="74"/>
  <c r="N18" i="74"/>
  <c r="I18" i="74"/>
  <c r="H18" i="74"/>
  <c r="G18" i="74"/>
  <c r="F18" i="74"/>
  <c r="E18" i="74"/>
  <c r="D18" i="74"/>
  <c r="C18" i="74"/>
  <c r="B18" i="74"/>
  <c r="A18" i="74"/>
  <c r="AT17" i="74"/>
  <c r="AS17" i="74"/>
  <c r="AR17" i="74"/>
  <c r="AQ17" i="74"/>
  <c r="AP17" i="74"/>
  <c r="AO17" i="74"/>
  <c r="AN17" i="74"/>
  <c r="AM17" i="74"/>
  <c r="AL17" i="74"/>
  <c r="AK17" i="74"/>
  <c r="AJ17" i="74"/>
  <c r="AB17" i="74"/>
  <c r="AA17" i="74"/>
  <c r="Z17" i="74"/>
  <c r="Y17" i="74"/>
  <c r="X17" i="74"/>
  <c r="W17" i="74"/>
  <c r="U17" i="74"/>
  <c r="T17" i="74"/>
  <c r="S17" i="74"/>
  <c r="R17" i="74"/>
  <c r="Q17" i="74"/>
  <c r="P17" i="74"/>
  <c r="O17" i="74"/>
  <c r="N17" i="74"/>
  <c r="I17" i="74"/>
  <c r="H17" i="74"/>
  <c r="G17" i="74"/>
  <c r="F17" i="74"/>
  <c r="E17" i="74"/>
  <c r="D17" i="74"/>
  <c r="C17" i="74"/>
  <c r="B17" i="74"/>
  <c r="A17" i="74"/>
  <c r="AT16" i="74"/>
  <c r="AS16" i="74"/>
  <c r="AR16" i="74"/>
  <c r="AQ16" i="74"/>
  <c r="AP16" i="74"/>
  <c r="AO16" i="74"/>
  <c r="AN16" i="74"/>
  <c r="AM16" i="74"/>
  <c r="AL16" i="74"/>
  <c r="AK16" i="74"/>
  <c r="AJ16" i="74"/>
  <c r="AB16" i="74"/>
  <c r="AA16" i="74"/>
  <c r="Z16" i="74"/>
  <c r="Y16" i="74"/>
  <c r="X16" i="74"/>
  <c r="W16" i="74"/>
  <c r="U16" i="74"/>
  <c r="T16" i="74"/>
  <c r="S16" i="74"/>
  <c r="R16" i="74"/>
  <c r="Q16" i="74"/>
  <c r="P16" i="74"/>
  <c r="O16" i="74"/>
  <c r="N16" i="74"/>
  <c r="I16" i="74"/>
  <c r="H16" i="74"/>
  <c r="G16" i="74"/>
  <c r="F16" i="74"/>
  <c r="E16" i="74"/>
  <c r="D16" i="74"/>
  <c r="C16" i="74"/>
  <c r="B16" i="74"/>
  <c r="A16" i="74"/>
  <c r="AT15" i="74"/>
  <c r="AS15" i="74"/>
  <c r="AR15" i="74"/>
  <c r="AQ15" i="74"/>
  <c r="AP15" i="74"/>
  <c r="AO15" i="74"/>
  <c r="AN15" i="74"/>
  <c r="AM15" i="74"/>
  <c r="AL15" i="74"/>
  <c r="AK15" i="74"/>
  <c r="AJ15" i="74"/>
  <c r="AB15" i="74"/>
  <c r="AA15" i="74"/>
  <c r="Z15" i="74"/>
  <c r="Y15" i="74"/>
  <c r="X15" i="74"/>
  <c r="W15" i="74"/>
  <c r="U15" i="74"/>
  <c r="T15" i="74"/>
  <c r="S15" i="74"/>
  <c r="R15" i="74"/>
  <c r="Q15" i="74"/>
  <c r="P15" i="74"/>
  <c r="O15" i="74"/>
  <c r="N15" i="74"/>
  <c r="I15" i="74"/>
  <c r="H15" i="74"/>
  <c r="G15" i="74"/>
  <c r="F15" i="74"/>
  <c r="E15" i="74"/>
  <c r="D15" i="74"/>
  <c r="C15" i="74"/>
  <c r="B15" i="74"/>
  <c r="A15" i="74"/>
  <c r="AT14" i="74"/>
  <c r="AS14" i="74"/>
  <c r="AR14" i="74"/>
  <c r="AQ14" i="74"/>
  <c r="AP14" i="74"/>
  <c r="AO14" i="74"/>
  <c r="AN14" i="74"/>
  <c r="AM14" i="74"/>
  <c r="AL14" i="74"/>
  <c r="AK14" i="74"/>
  <c r="AJ14" i="74"/>
  <c r="AB14" i="74"/>
  <c r="AA14" i="74"/>
  <c r="X14" i="74"/>
  <c r="W14" i="74"/>
  <c r="Q14" i="74"/>
  <c r="P14" i="74"/>
  <c r="O14" i="74"/>
  <c r="N14" i="74"/>
  <c r="M14" i="74"/>
  <c r="I14" i="74"/>
  <c r="H14" i="74"/>
  <c r="G14" i="74"/>
  <c r="F14" i="74"/>
  <c r="E14" i="74"/>
  <c r="D14" i="74"/>
  <c r="C14" i="74"/>
  <c r="B14" i="74"/>
  <c r="A14" i="74"/>
  <c r="AT13" i="74"/>
  <c r="AS13" i="74"/>
  <c r="AR13" i="74"/>
  <c r="AQ13" i="74"/>
  <c r="AP13" i="74"/>
  <c r="AO13" i="74"/>
  <c r="AN13" i="74"/>
  <c r="AM13" i="74"/>
  <c r="AL13" i="74"/>
  <c r="AK13" i="74"/>
  <c r="AJ13" i="74"/>
  <c r="AB13" i="74"/>
  <c r="AA13" i="74"/>
  <c r="Z13" i="74"/>
  <c r="Y13" i="74"/>
  <c r="X13" i="74"/>
  <c r="W13" i="74"/>
  <c r="U13" i="74"/>
  <c r="T13" i="74"/>
  <c r="S13" i="74"/>
  <c r="R13" i="74"/>
  <c r="Q13" i="74"/>
  <c r="P13" i="74"/>
  <c r="O13" i="74"/>
  <c r="N13" i="74"/>
  <c r="I13" i="74"/>
  <c r="H13" i="74"/>
  <c r="G13" i="74"/>
  <c r="F13" i="74"/>
  <c r="E13" i="74"/>
  <c r="D13" i="74"/>
  <c r="C13" i="74"/>
  <c r="B13" i="74"/>
  <c r="A13" i="74"/>
  <c r="AT12" i="74"/>
  <c r="AS12" i="74"/>
  <c r="AR12" i="74"/>
  <c r="AQ12" i="74"/>
  <c r="AP12" i="74"/>
  <c r="AO12" i="74"/>
  <c r="AN12" i="74"/>
  <c r="AM12" i="74"/>
  <c r="AL12" i="74"/>
  <c r="AK12" i="74"/>
  <c r="AJ12" i="74"/>
  <c r="AB12" i="74"/>
  <c r="AA12" i="74"/>
  <c r="Z12" i="74"/>
  <c r="Y12" i="74"/>
  <c r="X12" i="74"/>
  <c r="W12" i="74"/>
  <c r="U12" i="74"/>
  <c r="T12" i="74"/>
  <c r="S12" i="74"/>
  <c r="R12" i="74"/>
  <c r="Q12" i="74"/>
  <c r="P12" i="74"/>
  <c r="O12" i="74"/>
  <c r="N12" i="74"/>
  <c r="I12" i="74"/>
  <c r="H12" i="74"/>
  <c r="G12" i="74"/>
  <c r="F12" i="74"/>
  <c r="E12" i="74"/>
  <c r="D12" i="74"/>
  <c r="C12" i="74"/>
  <c r="B12" i="74"/>
  <c r="A12" i="74"/>
  <c r="AT11" i="74"/>
  <c r="AS11" i="74"/>
  <c r="AR11" i="74"/>
  <c r="AQ11" i="74"/>
  <c r="AP11" i="74"/>
  <c r="AO11" i="74"/>
  <c r="AN11" i="74"/>
  <c r="AM11" i="74"/>
  <c r="AL11" i="74"/>
  <c r="AK11" i="74"/>
  <c r="AJ11" i="74"/>
  <c r="AB11" i="74"/>
  <c r="AA11" i="74"/>
  <c r="X11" i="74"/>
  <c r="W11" i="74"/>
  <c r="U11" i="74"/>
  <c r="T11" i="74"/>
  <c r="R11" i="74"/>
  <c r="Q11" i="74"/>
  <c r="P11" i="74"/>
  <c r="O11" i="74"/>
  <c r="N11" i="74"/>
  <c r="M11" i="74"/>
  <c r="I11" i="74"/>
  <c r="H11" i="74"/>
  <c r="G11" i="74"/>
  <c r="F11" i="74"/>
  <c r="E11" i="74"/>
  <c r="D11" i="74"/>
  <c r="C11" i="74"/>
  <c r="B11" i="74"/>
  <c r="A11" i="74"/>
  <c r="M10" i="74"/>
  <c r="L10" i="74"/>
  <c r="L9" i="74"/>
  <c r="K9" i="74"/>
  <c r="K8" i="74"/>
  <c r="J8" i="74"/>
  <c r="X7" i="74"/>
  <c r="AM224" i="75"/>
  <c r="AL224" i="75"/>
  <c r="AK224" i="75"/>
  <c r="AJ224" i="75"/>
  <c r="AI224" i="75"/>
  <c r="AH224" i="75"/>
  <c r="AG224" i="75"/>
  <c r="AF224" i="75"/>
  <c r="AE224" i="75"/>
  <c r="AD224" i="75"/>
  <c r="AC224" i="75"/>
  <c r="AB224" i="75"/>
  <c r="AA224" i="75"/>
  <c r="Z224" i="75"/>
  <c r="Y224" i="75"/>
  <c r="Y223" i="75" s="1"/>
  <c r="Y222" i="75" s="1"/>
  <c r="X224" i="75"/>
  <c r="X223" i="75" s="1"/>
  <c r="W224" i="75"/>
  <c r="U224" i="75"/>
  <c r="U223" i="75" s="1"/>
  <c r="U222" i="75" s="1"/>
  <c r="T224" i="75"/>
  <c r="T223" i="75" s="1"/>
  <c r="T222" i="75" s="1"/>
  <c r="R224" i="75"/>
  <c r="R223" i="75" s="1"/>
  <c r="R222" i="75" s="1"/>
  <c r="Q224" i="75"/>
  <c r="P224" i="75"/>
  <c r="O224" i="75"/>
  <c r="N224" i="75"/>
  <c r="M224" i="75"/>
  <c r="I224" i="75"/>
  <c r="H224" i="75"/>
  <c r="G224" i="75"/>
  <c r="F224" i="75"/>
  <c r="E224" i="75"/>
  <c r="D224" i="75"/>
  <c r="C224" i="75"/>
  <c r="B224" i="75"/>
  <c r="A224" i="75"/>
  <c r="Z223" i="75"/>
  <c r="Z222" i="75" s="1"/>
  <c r="M223" i="75"/>
  <c r="L223" i="75"/>
  <c r="L222" i="75"/>
  <c r="K222" i="75"/>
  <c r="AM221" i="75"/>
  <c r="AL221" i="75"/>
  <c r="AK221" i="75"/>
  <c r="AJ221" i="75"/>
  <c r="AI221" i="75"/>
  <c r="AH221" i="75"/>
  <c r="AG221" i="75"/>
  <c r="AF221" i="75"/>
  <c r="AE221" i="75"/>
  <c r="AD221" i="75"/>
  <c r="AC221" i="75"/>
  <c r="AB221" i="75"/>
  <c r="AA221" i="75"/>
  <c r="X221" i="75"/>
  <c r="W221" i="75"/>
  <c r="U221" i="75"/>
  <c r="U220" i="75" s="1"/>
  <c r="U219" i="75" s="1"/>
  <c r="T221" i="75"/>
  <c r="T220" i="75" s="1"/>
  <c r="T219" i="75" s="1"/>
  <c r="R221" i="75"/>
  <c r="Q221" i="75"/>
  <c r="P221" i="75"/>
  <c r="O221" i="75"/>
  <c r="N221" i="75"/>
  <c r="M221" i="75"/>
  <c r="I221" i="75"/>
  <c r="H221" i="75"/>
  <c r="G221" i="75"/>
  <c r="F221" i="75"/>
  <c r="E221" i="75"/>
  <c r="D221" i="75"/>
  <c r="C221" i="75"/>
  <c r="B221" i="75"/>
  <c r="A221" i="75"/>
  <c r="R220" i="75"/>
  <c r="R219" i="75" s="1"/>
  <c r="M220" i="75"/>
  <c r="L220" i="75"/>
  <c r="X219" i="75"/>
  <c r="W219" i="75"/>
  <c r="L219" i="75"/>
  <c r="K219" i="75"/>
  <c r="AM218" i="75"/>
  <c r="AL218" i="75"/>
  <c r="AK218" i="75"/>
  <c r="AJ218" i="75"/>
  <c r="AI218" i="75"/>
  <c r="AH218" i="75"/>
  <c r="AG218" i="75"/>
  <c r="AF218" i="75"/>
  <c r="AE218" i="75"/>
  <c r="AD218" i="75"/>
  <c r="AC218" i="75"/>
  <c r="AB218" i="75"/>
  <c r="AA218" i="75"/>
  <c r="Y218" i="75"/>
  <c r="X218" i="75"/>
  <c r="W218" i="75"/>
  <c r="U218" i="75"/>
  <c r="T218" i="75"/>
  <c r="T217" i="75" s="1"/>
  <c r="T216" i="75" s="1"/>
  <c r="R218" i="75"/>
  <c r="R217" i="75" s="1"/>
  <c r="R216" i="75" s="1"/>
  <c r="Q218" i="75"/>
  <c r="P218" i="75"/>
  <c r="O218" i="75"/>
  <c r="N218" i="75"/>
  <c r="M218" i="75"/>
  <c r="I218" i="75"/>
  <c r="H218" i="75"/>
  <c r="G218" i="75"/>
  <c r="F218" i="75"/>
  <c r="E218" i="75"/>
  <c r="D218" i="75"/>
  <c r="C218" i="75"/>
  <c r="B218" i="75"/>
  <c r="A218" i="75"/>
  <c r="Y217" i="75"/>
  <c r="X217" i="75"/>
  <c r="X216" i="75" s="1"/>
  <c r="U217" i="75"/>
  <c r="U216" i="75" s="1"/>
  <c r="M217" i="75"/>
  <c r="L217" i="75"/>
  <c r="Y216" i="75"/>
  <c r="L216" i="75"/>
  <c r="K216" i="75"/>
  <c r="AM215" i="75"/>
  <c r="AL215" i="75"/>
  <c r="AK215" i="75"/>
  <c r="AJ215" i="75"/>
  <c r="AI215" i="75"/>
  <c r="AH215" i="75"/>
  <c r="AG215" i="75"/>
  <c r="AF215" i="75"/>
  <c r="AE215" i="75"/>
  <c r="AD215" i="75"/>
  <c r="AC215" i="75"/>
  <c r="AB215" i="75"/>
  <c r="AA215" i="75"/>
  <c r="X215" i="75"/>
  <c r="W215" i="75"/>
  <c r="U215" i="75"/>
  <c r="U214" i="75" s="1"/>
  <c r="U213" i="75" s="1"/>
  <c r="T215" i="75"/>
  <c r="T214" i="75" s="1"/>
  <c r="T213" i="75" s="1"/>
  <c r="R215" i="75"/>
  <c r="R214" i="75" s="1"/>
  <c r="R213" i="75" s="1"/>
  <c r="Q215" i="75"/>
  <c r="P215" i="75"/>
  <c r="O215" i="75"/>
  <c r="N215" i="75"/>
  <c r="M215" i="75"/>
  <c r="I215" i="75"/>
  <c r="H215" i="75"/>
  <c r="G215" i="75"/>
  <c r="F215" i="75"/>
  <c r="E215" i="75"/>
  <c r="D215" i="75"/>
  <c r="C215" i="75"/>
  <c r="B215" i="75"/>
  <c r="A215" i="75"/>
  <c r="X214" i="75"/>
  <c r="M214" i="75"/>
  <c r="L214" i="75"/>
  <c r="X213" i="75"/>
  <c r="W213" i="75"/>
  <c r="L213" i="75"/>
  <c r="K213" i="75"/>
  <c r="AM212" i="75"/>
  <c r="AL212" i="75"/>
  <c r="AK212" i="75"/>
  <c r="AJ212" i="75"/>
  <c r="AI212" i="75"/>
  <c r="AH212" i="75"/>
  <c r="AG212" i="75"/>
  <c r="AF212" i="75"/>
  <c r="AE212" i="75"/>
  <c r="AD212" i="75"/>
  <c r="AC212" i="75"/>
  <c r="AB212" i="75"/>
  <c r="AA212" i="75"/>
  <c r="Z212" i="75"/>
  <c r="Y212" i="75"/>
  <c r="X212" i="75"/>
  <c r="W212" i="75"/>
  <c r="U212" i="75"/>
  <c r="T212" i="75"/>
  <c r="R212" i="75"/>
  <c r="Q212" i="75"/>
  <c r="P212" i="75"/>
  <c r="O212" i="75"/>
  <c r="N212" i="75"/>
  <c r="M212" i="75"/>
  <c r="I212" i="75"/>
  <c r="H212" i="75"/>
  <c r="G212" i="75"/>
  <c r="F212" i="75"/>
  <c r="E212" i="75"/>
  <c r="D212" i="75"/>
  <c r="C212" i="75"/>
  <c r="B212" i="75"/>
  <c r="A212" i="75"/>
  <c r="AM211" i="75"/>
  <c r="AL211" i="75"/>
  <c r="AK211" i="75"/>
  <c r="AJ211" i="75"/>
  <c r="AI211" i="75"/>
  <c r="AH211" i="75"/>
  <c r="AG211" i="75"/>
  <c r="AF211" i="75"/>
  <c r="AE211" i="75"/>
  <c r="AD211" i="75"/>
  <c r="AC211" i="75"/>
  <c r="AB211" i="75"/>
  <c r="AA211" i="75"/>
  <c r="Z211" i="75"/>
  <c r="Z210" i="75" s="1"/>
  <c r="X211" i="75"/>
  <c r="W211" i="75"/>
  <c r="U211" i="75"/>
  <c r="T211" i="75"/>
  <c r="T210" i="75" s="1"/>
  <c r="R211" i="75"/>
  <c r="Q211" i="75"/>
  <c r="P211" i="75"/>
  <c r="O211" i="75"/>
  <c r="N211" i="75"/>
  <c r="M211" i="75"/>
  <c r="I211" i="75"/>
  <c r="H211" i="75"/>
  <c r="G211" i="75"/>
  <c r="F211" i="75"/>
  <c r="E211" i="75"/>
  <c r="D211" i="75"/>
  <c r="C211" i="75"/>
  <c r="B211" i="75"/>
  <c r="A211" i="75"/>
  <c r="AD210" i="75"/>
  <c r="U210" i="75"/>
  <c r="M210" i="75"/>
  <c r="L210" i="75"/>
  <c r="AM209" i="75"/>
  <c r="AL209" i="75"/>
  <c r="AK209" i="75"/>
  <c r="AJ209" i="75"/>
  <c r="AI209" i="75"/>
  <c r="AH209" i="75"/>
  <c r="AG209" i="75"/>
  <c r="AF209" i="75"/>
  <c r="AE209" i="75"/>
  <c r="AD209" i="75"/>
  <c r="AC209" i="75"/>
  <c r="AB209" i="75"/>
  <c r="AA209" i="75"/>
  <c r="X209" i="75"/>
  <c r="W209" i="75"/>
  <c r="U209" i="75"/>
  <c r="T209" i="75"/>
  <c r="R209" i="75"/>
  <c r="Q209" i="75"/>
  <c r="P209" i="75"/>
  <c r="N209" i="75"/>
  <c r="I209" i="75"/>
  <c r="H209" i="75"/>
  <c r="G209" i="75"/>
  <c r="F209" i="75"/>
  <c r="E209" i="75"/>
  <c r="D209" i="75"/>
  <c r="C209" i="75"/>
  <c r="B209" i="75"/>
  <c r="A209" i="75"/>
  <c r="AM208" i="75"/>
  <c r="AL208" i="75"/>
  <c r="AK208" i="75"/>
  <c r="AJ208" i="75"/>
  <c r="AI208" i="75"/>
  <c r="AH208" i="75"/>
  <c r="AG208" i="75"/>
  <c r="AF208" i="75"/>
  <c r="AE208" i="75"/>
  <c r="AD208" i="75"/>
  <c r="AC208" i="75"/>
  <c r="AB208" i="75"/>
  <c r="AA208" i="75"/>
  <c r="Z208" i="75"/>
  <c r="Y208" i="75"/>
  <c r="X208" i="75"/>
  <c r="W208" i="75"/>
  <c r="U208" i="75"/>
  <c r="T208" i="75"/>
  <c r="R208" i="75"/>
  <c r="Q208" i="75"/>
  <c r="P208" i="75"/>
  <c r="N208" i="75"/>
  <c r="I208" i="75"/>
  <c r="H208" i="75"/>
  <c r="G208" i="75"/>
  <c r="F208" i="75"/>
  <c r="E208" i="75"/>
  <c r="D208" i="75"/>
  <c r="C208" i="75"/>
  <c r="B208" i="75"/>
  <c r="A208" i="75"/>
  <c r="AM207" i="75"/>
  <c r="AL207" i="75"/>
  <c r="AK207" i="75"/>
  <c r="AJ207" i="75"/>
  <c r="AI207" i="75"/>
  <c r="AH207" i="75"/>
  <c r="AG207" i="75"/>
  <c r="AF207" i="75"/>
  <c r="AE207" i="75"/>
  <c r="AD207" i="75"/>
  <c r="AC207" i="75"/>
  <c r="AB207" i="75"/>
  <c r="AA207" i="75"/>
  <c r="Z207" i="75"/>
  <c r="Y207" i="75"/>
  <c r="X207" i="75"/>
  <c r="W207" i="75"/>
  <c r="U207" i="75"/>
  <c r="T207" i="75"/>
  <c r="R207" i="75"/>
  <c r="Q207" i="75"/>
  <c r="P207" i="75"/>
  <c r="N207" i="75"/>
  <c r="I207" i="75"/>
  <c r="H207" i="75"/>
  <c r="G207" i="75"/>
  <c r="F207" i="75"/>
  <c r="E207" i="75"/>
  <c r="D207" i="75"/>
  <c r="C207" i="75"/>
  <c r="B207" i="75"/>
  <c r="A207" i="75"/>
  <c r="AM206" i="75"/>
  <c r="AL206" i="75"/>
  <c r="AK206" i="75"/>
  <c r="AJ206" i="75"/>
  <c r="AI206" i="75"/>
  <c r="AH206" i="75"/>
  <c r="AG206" i="75"/>
  <c r="AF206" i="75"/>
  <c r="AE206" i="75"/>
  <c r="AD206" i="75"/>
  <c r="AC206" i="75"/>
  <c r="AB206" i="75"/>
  <c r="AA206" i="75"/>
  <c r="X206" i="75"/>
  <c r="X201" i="75" s="1"/>
  <c r="W206" i="75"/>
  <c r="U206" i="75"/>
  <c r="T206" i="75"/>
  <c r="R206" i="75"/>
  <c r="Q206" i="75"/>
  <c r="P206" i="75"/>
  <c r="O206" i="75"/>
  <c r="N206" i="75"/>
  <c r="M206" i="75"/>
  <c r="I206" i="75"/>
  <c r="H206" i="75"/>
  <c r="G206" i="75"/>
  <c r="F206" i="75"/>
  <c r="E206" i="75"/>
  <c r="D206" i="75"/>
  <c r="C206" i="75"/>
  <c r="B206" i="75"/>
  <c r="A206" i="75"/>
  <c r="AM205" i="75"/>
  <c r="AL205" i="75"/>
  <c r="AK205" i="75"/>
  <c r="AJ205" i="75"/>
  <c r="AI205" i="75"/>
  <c r="AH205" i="75"/>
  <c r="AG205" i="75"/>
  <c r="AF205" i="75"/>
  <c r="AE205" i="75"/>
  <c r="AD205" i="75"/>
  <c r="AC205" i="75"/>
  <c r="AB205" i="75"/>
  <c r="AA205" i="75"/>
  <c r="X205" i="75"/>
  <c r="W205" i="75"/>
  <c r="U205" i="75"/>
  <c r="T205" i="75"/>
  <c r="R205" i="75"/>
  <c r="Q205" i="75"/>
  <c r="P205" i="75"/>
  <c r="N205" i="75"/>
  <c r="I205" i="75"/>
  <c r="H205" i="75"/>
  <c r="G205" i="75"/>
  <c r="F205" i="75"/>
  <c r="E205" i="75"/>
  <c r="D205" i="75"/>
  <c r="C205" i="75"/>
  <c r="B205" i="75"/>
  <c r="A205" i="75"/>
  <c r="AM204" i="75"/>
  <c r="AL204" i="75"/>
  <c r="AK204" i="75"/>
  <c r="AJ204" i="75"/>
  <c r="AI204" i="75"/>
  <c r="AH204" i="75"/>
  <c r="AG204" i="75"/>
  <c r="AF204" i="75"/>
  <c r="AE204" i="75"/>
  <c r="AD204" i="75"/>
  <c r="AC204" i="75"/>
  <c r="AB204" i="75"/>
  <c r="AA204" i="75"/>
  <c r="Z204" i="75"/>
  <c r="Y204" i="75"/>
  <c r="X204" i="75"/>
  <c r="W204" i="75"/>
  <c r="U204" i="75"/>
  <c r="T204" i="75"/>
  <c r="R204" i="75"/>
  <c r="Q204" i="75"/>
  <c r="P204" i="75"/>
  <c r="N204" i="75"/>
  <c r="I204" i="75"/>
  <c r="H204" i="75"/>
  <c r="G204" i="75"/>
  <c r="F204" i="75"/>
  <c r="E204" i="75"/>
  <c r="D204" i="75"/>
  <c r="C204" i="75"/>
  <c r="B204" i="75"/>
  <c r="A204" i="75"/>
  <c r="AM203" i="75"/>
  <c r="AL203" i="75"/>
  <c r="AK203" i="75"/>
  <c r="AJ203" i="75"/>
  <c r="AI203" i="75"/>
  <c r="AH203" i="75"/>
  <c r="AG203" i="75"/>
  <c r="AF203" i="75"/>
  <c r="AE203" i="75"/>
  <c r="AD203" i="75"/>
  <c r="AC203" i="75"/>
  <c r="AB203" i="75"/>
  <c r="AA203" i="75"/>
  <c r="Z203" i="75"/>
  <c r="Y203" i="75"/>
  <c r="X203" i="75"/>
  <c r="W203" i="75"/>
  <c r="U203" i="75"/>
  <c r="T203" i="75"/>
  <c r="R203" i="75"/>
  <c r="Q203" i="75"/>
  <c r="P203" i="75"/>
  <c r="N203" i="75"/>
  <c r="I203" i="75"/>
  <c r="H203" i="75"/>
  <c r="G203" i="75"/>
  <c r="F203" i="75"/>
  <c r="E203" i="75"/>
  <c r="D203" i="75"/>
  <c r="C203" i="75"/>
  <c r="B203" i="75"/>
  <c r="A203" i="75"/>
  <c r="AM202" i="75"/>
  <c r="AL202" i="75"/>
  <c r="AK202" i="75"/>
  <c r="AJ202" i="75"/>
  <c r="AI202" i="75"/>
  <c r="AH202" i="75"/>
  <c r="AG202" i="75"/>
  <c r="AF202" i="75"/>
  <c r="AE202" i="75"/>
  <c r="AD202" i="75"/>
  <c r="AC202" i="75"/>
  <c r="AB202" i="75"/>
  <c r="AA202" i="75"/>
  <c r="X202" i="75"/>
  <c r="W202" i="75"/>
  <c r="U202" i="75"/>
  <c r="U201" i="75" s="1"/>
  <c r="U200" i="75" s="1"/>
  <c r="T202" i="75"/>
  <c r="R202" i="75"/>
  <c r="Q202" i="75"/>
  <c r="P202" i="75"/>
  <c r="O202" i="75"/>
  <c r="N202" i="75"/>
  <c r="M202" i="75"/>
  <c r="I202" i="75"/>
  <c r="H202" i="75"/>
  <c r="G202" i="75"/>
  <c r="F202" i="75"/>
  <c r="E202" i="75"/>
  <c r="D202" i="75"/>
  <c r="C202" i="75"/>
  <c r="B202" i="75"/>
  <c r="A202" i="75"/>
  <c r="R201" i="75"/>
  <c r="M201" i="75"/>
  <c r="L201" i="75"/>
  <c r="L200" i="75"/>
  <c r="K200" i="75"/>
  <c r="AM199" i="75"/>
  <c r="AL199" i="75"/>
  <c r="AK199" i="75"/>
  <c r="AJ199" i="75"/>
  <c r="AI199" i="75"/>
  <c r="AH199" i="75"/>
  <c r="AG199" i="75"/>
  <c r="AF199" i="75"/>
  <c r="AE199" i="75"/>
  <c r="AD199" i="75"/>
  <c r="AC199" i="75"/>
  <c r="AB199" i="75"/>
  <c r="AA199" i="75"/>
  <c r="Z199" i="75"/>
  <c r="X199" i="75"/>
  <c r="W199" i="75"/>
  <c r="U199" i="75"/>
  <c r="U198" i="75" s="1"/>
  <c r="U197" i="75" s="1"/>
  <c r="T199" i="75"/>
  <c r="R199" i="75"/>
  <c r="R198" i="75" s="1"/>
  <c r="R197" i="75" s="1"/>
  <c r="Q199" i="75"/>
  <c r="P199" i="75"/>
  <c r="O199" i="75"/>
  <c r="N199" i="75"/>
  <c r="M199" i="75"/>
  <c r="I199" i="75"/>
  <c r="H199" i="75"/>
  <c r="G199" i="75"/>
  <c r="F199" i="75"/>
  <c r="E199" i="75"/>
  <c r="D199" i="75"/>
  <c r="C199" i="75"/>
  <c r="B199" i="75"/>
  <c r="A199" i="75"/>
  <c r="Z198" i="75"/>
  <c r="X198" i="75"/>
  <c r="T198" i="75"/>
  <c r="T197" i="75" s="1"/>
  <c r="M198" i="75"/>
  <c r="L198" i="75"/>
  <c r="Z197" i="75"/>
  <c r="X197" i="75"/>
  <c r="L197" i="75"/>
  <c r="K197" i="75"/>
  <c r="AM196" i="75"/>
  <c r="AL196" i="75"/>
  <c r="AK196" i="75"/>
  <c r="AJ196" i="75"/>
  <c r="AI196" i="75"/>
  <c r="AH196" i="75"/>
  <c r="AG196" i="75"/>
  <c r="AF196" i="75"/>
  <c r="AE196" i="75"/>
  <c r="AD196" i="75"/>
  <c r="AC196" i="75"/>
  <c r="AB196" i="75"/>
  <c r="AA196" i="75"/>
  <c r="X196" i="75"/>
  <c r="W196" i="75"/>
  <c r="V196" i="75"/>
  <c r="U196" i="75"/>
  <c r="T196" i="75"/>
  <c r="R196" i="75"/>
  <c r="Q196" i="75"/>
  <c r="P196" i="75"/>
  <c r="N196" i="75"/>
  <c r="I196" i="75"/>
  <c r="H196" i="75"/>
  <c r="G196" i="75"/>
  <c r="F196" i="75"/>
  <c r="E196" i="75"/>
  <c r="D196" i="75"/>
  <c r="C196" i="75"/>
  <c r="B196" i="75"/>
  <c r="A196" i="75"/>
  <c r="AM195" i="75"/>
  <c r="AL195" i="75"/>
  <c r="AK195" i="75"/>
  <c r="AJ195" i="75"/>
  <c r="AI195" i="75"/>
  <c r="AH195" i="75"/>
  <c r="AG195" i="75"/>
  <c r="AF195" i="75"/>
  <c r="AE195" i="75"/>
  <c r="AD195" i="75"/>
  <c r="AC195" i="75"/>
  <c r="AB195" i="75"/>
  <c r="AA195" i="75"/>
  <c r="Z195" i="75"/>
  <c r="Y195" i="75"/>
  <c r="X195" i="75"/>
  <c r="W195" i="75"/>
  <c r="V195" i="75"/>
  <c r="U195" i="75"/>
  <c r="T195" i="75"/>
  <c r="R195" i="75"/>
  <c r="Q195" i="75"/>
  <c r="P195" i="75"/>
  <c r="N195" i="75"/>
  <c r="I195" i="75"/>
  <c r="H195" i="75"/>
  <c r="G195" i="75"/>
  <c r="F195" i="75"/>
  <c r="E195" i="75"/>
  <c r="D195" i="75"/>
  <c r="C195" i="75"/>
  <c r="B195" i="75"/>
  <c r="A195" i="75"/>
  <c r="AM194" i="75"/>
  <c r="AL194" i="75"/>
  <c r="AK194" i="75"/>
  <c r="AJ194" i="75"/>
  <c r="AI194" i="75"/>
  <c r="AH194" i="75"/>
  <c r="AG194" i="75"/>
  <c r="AF194" i="75"/>
  <c r="AE194" i="75"/>
  <c r="AD194" i="75"/>
  <c r="AC194" i="75"/>
  <c r="AB194" i="75"/>
  <c r="AA194" i="75"/>
  <c r="Z194" i="75"/>
  <c r="Y194" i="75"/>
  <c r="X194" i="75"/>
  <c r="W194" i="75"/>
  <c r="U194" i="75"/>
  <c r="R194" i="75"/>
  <c r="Q194" i="75"/>
  <c r="P194" i="75"/>
  <c r="N194" i="75"/>
  <c r="I194" i="75"/>
  <c r="H194" i="75"/>
  <c r="G194" i="75"/>
  <c r="F194" i="75"/>
  <c r="E194" i="75"/>
  <c r="D194" i="75"/>
  <c r="C194" i="75"/>
  <c r="B194" i="75"/>
  <c r="A194" i="75"/>
  <c r="AM193" i="75"/>
  <c r="AL193" i="75"/>
  <c r="AK193" i="75"/>
  <c r="AJ193" i="75"/>
  <c r="AI193" i="75"/>
  <c r="AH193" i="75"/>
  <c r="AG193" i="75"/>
  <c r="AF193" i="75"/>
  <c r="AE193" i="75"/>
  <c r="AD193" i="75"/>
  <c r="AC193" i="75"/>
  <c r="AB193" i="75"/>
  <c r="AA193" i="75"/>
  <c r="X193" i="75"/>
  <c r="W193" i="75"/>
  <c r="U193" i="75"/>
  <c r="U192" i="75" s="1"/>
  <c r="R193" i="75"/>
  <c r="Q193" i="75"/>
  <c r="P193" i="75"/>
  <c r="O193" i="75"/>
  <c r="N193" i="75"/>
  <c r="M193" i="75"/>
  <c r="I193" i="75"/>
  <c r="H193" i="75"/>
  <c r="G193" i="75"/>
  <c r="F193" i="75"/>
  <c r="E193" i="75"/>
  <c r="D193" i="75"/>
  <c r="C193" i="75"/>
  <c r="B193" i="75"/>
  <c r="A193" i="75"/>
  <c r="X192" i="75"/>
  <c r="R192" i="75"/>
  <c r="M192" i="75"/>
  <c r="L192" i="75"/>
  <c r="AM191" i="75"/>
  <c r="AL191" i="75"/>
  <c r="AK191" i="75"/>
  <c r="AJ191" i="75"/>
  <c r="AI191" i="75"/>
  <c r="AH191" i="75"/>
  <c r="AG191" i="75"/>
  <c r="AF191" i="75"/>
  <c r="AE191" i="75"/>
  <c r="AD191" i="75"/>
  <c r="AC191" i="75"/>
  <c r="AB191" i="75"/>
  <c r="AA191" i="75"/>
  <c r="Z191" i="75"/>
  <c r="X191" i="75"/>
  <c r="X190" i="75" s="1"/>
  <c r="X185" i="75" s="1"/>
  <c r="W191" i="75"/>
  <c r="U191" i="75"/>
  <c r="R191" i="75"/>
  <c r="Q191" i="75"/>
  <c r="P191" i="75"/>
  <c r="O191" i="75"/>
  <c r="N191" i="75"/>
  <c r="M191" i="75"/>
  <c r="I191" i="75"/>
  <c r="H191" i="75"/>
  <c r="G191" i="75"/>
  <c r="F191" i="75"/>
  <c r="E191" i="75"/>
  <c r="D191" i="75"/>
  <c r="C191" i="75"/>
  <c r="B191" i="75"/>
  <c r="A191" i="75"/>
  <c r="Z190" i="75"/>
  <c r="U190" i="75"/>
  <c r="R190" i="75"/>
  <c r="M190" i="75"/>
  <c r="L190" i="75"/>
  <c r="AM189" i="75"/>
  <c r="AL189" i="75"/>
  <c r="AK189" i="75"/>
  <c r="AJ189" i="75"/>
  <c r="AI189" i="75"/>
  <c r="AH189" i="75"/>
  <c r="AG189" i="75"/>
  <c r="AF189" i="75"/>
  <c r="AE189" i="75"/>
  <c r="AD189" i="75"/>
  <c r="AC189" i="75"/>
  <c r="AB189" i="75"/>
  <c r="AA189" i="75"/>
  <c r="Z189" i="75"/>
  <c r="Y189" i="75"/>
  <c r="X189" i="75"/>
  <c r="W189" i="75"/>
  <c r="U189" i="75"/>
  <c r="R189" i="75"/>
  <c r="Q189" i="75"/>
  <c r="P189" i="75"/>
  <c r="O189" i="75"/>
  <c r="N189" i="75"/>
  <c r="M189" i="75"/>
  <c r="I189" i="75"/>
  <c r="H189" i="75"/>
  <c r="G189" i="75"/>
  <c r="F189" i="75"/>
  <c r="E189" i="75"/>
  <c r="D189" i="75"/>
  <c r="C189" i="75"/>
  <c r="B189" i="75"/>
  <c r="A189" i="75"/>
  <c r="Z188" i="75"/>
  <c r="Y188" i="75"/>
  <c r="X188" i="75"/>
  <c r="U188" i="75"/>
  <c r="R188" i="75"/>
  <c r="M188" i="75"/>
  <c r="L188" i="75"/>
  <c r="AM187" i="75"/>
  <c r="AL187" i="75"/>
  <c r="AK187" i="75"/>
  <c r="AJ187" i="75"/>
  <c r="AI187" i="75"/>
  <c r="AH187" i="75"/>
  <c r="AG187" i="75"/>
  <c r="AF187" i="75"/>
  <c r="AE187" i="75"/>
  <c r="AD187" i="75"/>
  <c r="AC187" i="75"/>
  <c r="AB187" i="75"/>
  <c r="AA187" i="75"/>
  <c r="Z187" i="75"/>
  <c r="Y187" i="75"/>
  <c r="X187" i="75"/>
  <c r="W187" i="75"/>
  <c r="U187" i="75"/>
  <c r="R187" i="75"/>
  <c r="Q187" i="75"/>
  <c r="P187" i="75"/>
  <c r="O187" i="75"/>
  <c r="N187" i="75"/>
  <c r="M187" i="75"/>
  <c r="I187" i="75"/>
  <c r="H187" i="75"/>
  <c r="G187" i="75"/>
  <c r="F187" i="75"/>
  <c r="E187" i="75"/>
  <c r="D187" i="75"/>
  <c r="C187" i="75"/>
  <c r="B187" i="75"/>
  <c r="A187" i="75"/>
  <c r="Z186" i="75"/>
  <c r="Y186" i="75"/>
  <c r="X186" i="75"/>
  <c r="U186" i="75"/>
  <c r="R186" i="75"/>
  <c r="R185" i="75" s="1"/>
  <c r="M186" i="75"/>
  <c r="L186" i="75"/>
  <c r="L185" i="75"/>
  <c r="K185" i="75"/>
  <c r="AM184" i="75"/>
  <c r="AL184" i="75"/>
  <c r="AK184" i="75"/>
  <c r="AJ184" i="75"/>
  <c r="AI184" i="75"/>
  <c r="AH184" i="75"/>
  <c r="AG184" i="75"/>
  <c r="AF184" i="75"/>
  <c r="AE184" i="75"/>
  <c r="AD184" i="75"/>
  <c r="AC184" i="75"/>
  <c r="AB184" i="75"/>
  <c r="AA184" i="75"/>
  <c r="Z184" i="75"/>
  <c r="Y184" i="75"/>
  <c r="X184" i="75"/>
  <c r="X183" i="75" s="1"/>
  <c r="X182" i="75" s="1"/>
  <c r="W184" i="75"/>
  <c r="V184" i="75"/>
  <c r="U184" i="75"/>
  <c r="T184" i="75"/>
  <c r="T183" i="75" s="1"/>
  <c r="T182" i="75" s="1"/>
  <c r="R184" i="75"/>
  <c r="R183" i="75" s="1"/>
  <c r="R182" i="75" s="1"/>
  <c r="Q184" i="75"/>
  <c r="P184" i="75"/>
  <c r="O184" i="75"/>
  <c r="N184" i="75"/>
  <c r="M184" i="75"/>
  <c r="I184" i="75"/>
  <c r="H184" i="75"/>
  <c r="G184" i="75"/>
  <c r="F184" i="75"/>
  <c r="E184" i="75"/>
  <c r="D184" i="75"/>
  <c r="C184" i="75"/>
  <c r="B184" i="75"/>
  <c r="A184" i="75"/>
  <c r="Z183" i="75"/>
  <c r="Z182" i="75" s="1"/>
  <c r="Y183" i="75"/>
  <c r="V183" i="75"/>
  <c r="V182" i="75" s="1"/>
  <c r="U183" i="75"/>
  <c r="U182" i="75" s="1"/>
  <c r="M183" i="75"/>
  <c r="L183" i="75"/>
  <c r="Y182" i="75"/>
  <c r="L182" i="75"/>
  <c r="K182" i="75"/>
  <c r="AM181" i="75"/>
  <c r="AL181" i="75"/>
  <c r="AK181" i="75"/>
  <c r="AJ181" i="75"/>
  <c r="AI181" i="75"/>
  <c r="AH181" i="75"/>
  <c r="AG181" i="75"/>
  <c r="AF181" i="75"/>
  <c r="AE181" i="75"/>
  <c r="AD181" i="75"/>
  <c r="AC181" i="75"/>
  <c r="AB181" i="75"/>
  <c r="AA181" i="75"/>
  <c r="Z181" i="75"/>
  <c r="Y181" i="75"/>
  <c r="X181" i="75"/>
  <c r="W181" i="75"/>
  <c r="U181" i="75"/>
  <c r="T181" i="75"/>
  <c r="R181" i="75"/>
  <c r="Q181" i="75"/>
  <c r="P181" i="75"/>
  <c r="N181" i="75"/>
  <c r="I181" i="75"/>
  <c r="H181" i="75"/>
  <c r="G181" i="75"/>
  <c r="F181" i="75"/>
  <c r="E181" i="75"/>
  <c r="D181" i="75"/>
  <c r="C181" i="75"/>
  <c r="B181" i="75"/>
  <c r="A181" i="75"/>
  <c r="AM180" i="75"/>
  <c r="AL180" i="75"/>
  <c r="AK180" i="75"/>
  <c r="AJ180" i="75"/>
  <c r="AI180" i="75"/>
  <c r="AH180" i="75"/>
  <c r="AG180" i="75"/>
  <c r="AF180" i="75"/>
  <c r="AE180" i="75"/>
  <c r="AD180" i="75"/>
  <c r="AC180" i="75"/>
  <c r="AB180" i="75"/>
  <c r="AA180" i="75"/>
  <c r="Z180" i="75"/>
  <c r="Y180" i="75"/>
  <c r="X180" i="75"/>
  <c r="W180" i="75"/>
  <c r="U180" i="75"/>
  <c r="T180" i="75"/>
  <c r="R180" i="75"/>
  <c r="Q180" i="75"/>
  <c r="P180" i="75"/>
  <c r="N180" i="75"/>
  <c r="I180" i="75"/>
  <c r="H180" i="75"/>
  <c r="G180" i="75"/>
  <c r="F180" i="75"/>
  <c r="E180" i="75"/>
  <c r="D180" i="75"/>
  <c r="C180" i="75"/>
  <c r="B180" i="75"/>
  <c r="A180" i="75"/>
  <c r="AM179" i="75"/>
  <c r="AL179" i="75"/>
  <c r="AK179" i="75"/>
  <c r="AJ179" i="75"/>
  <c r="AI179" i="75"/>
  <c r="AH179" i="75"/>
  <c r="AG179" i="75"/>
  <c r="AF179" i="75"/>
  <c r="AE179" i="75"/>
  <c r="AD179" i="75"/>
  <c r="AC179" i="75"/>
  <c r="AB179" i="75"/>
  <c r="AA179" i="75"/>
  <c r="Z179" i="75"/>
  <c r="Y179" i="75"/>
  <c r="X179" i="75"/>
  <c r="W179" i="75"/>
  <c r="U179" i="75"/>
  <c r="T179" i="75"/>
  <c r="R179" i="75"/>
  <c r="Q179" i="75"/>
  <c r="P179" i="75"/>
  <c r="N179" i="75"/>
  <c r="I179" i="75"/>
  <c r="H179" i="75"/>
  <c r="G179" i="75"/>
  <c r="F179" i="75"/>
  <c r="E179" i="75"/>
  <c r="D179" i="75"/>
  <c r="C179" i="75"/>
  <c r="B179" i="75"/>
  <c r="A179" i="75"/>
  <c r="AM178" i="75"/>
  <c r="AL178" i="75"/>
  <c r="AK178" i="75"/>
  <c r="AJ178" i="75"/>
  <c r="AI178" i="75"/>
  <c r="AH178" i="75"/>
  <c r="AG178" i="75"/>
  <c r="AF178" i="75"/>
  <c r="AE178" i="75"/>
  <c r="AD178" i="75"/>
  <c r="AC178" i="75"/>
  <c r="AB178" i="75"/>
  <c r="AA178" i="75"/>
  <c r="Z178" i="75"/>
  <c r="Y178" i="75"/>
  <c r="X178" i="75"/>
  <c r="W178" i="75"/>
  <c r="U178" i="75"/>
  <c r="T178" i="75"/>
  <c r="R178" i="75"/>
  <c r="Q178" i="75"/>
  <c r="P178" i="75"/>
  <c r="N178" i="75"/>
  <c r="I178" i="75"/>
  <c r="H178" i="75"/>
  <c r="G178" i="75"/>
  <c r="F178" i="75"/>
  <c r="E178" i="75"/>
  <c r="D178" i="75"/>
  <c r="C178" i="75"/>
  <c r="B178" i="75"/>
  <c r="A178" i="75"/>
  <c r="AM177" i="75"/>
  <c r="AL177" i="75"/>
  <c r="AK177" i="75"/>
  <c r="AJ177" i="75"/>
  <c r="AI177" i="75"/>
  <c r="AH177" i="75"/>
  <c r="AG177" i="75"/>
  <c r="AF177" i="75"/>
  <c r="AE177" i="75"/>
  <c r="AD177" i="75"/>
  <c r="AC177" i="75"/>
  <c r="AB177" i="75"/>
  <c r="AA177" i="75"/>
  <c r="Z177" i="75"/>
  <c r="Y177" i="75"/>
  <c r="X177" i="75"/>
  <c r="W177" i="75"/>
  <c r="U177" i="75"/>
  <c r="T177" i="75"/>
  <c r="R177" i="75"/>
  <c r="Q177" i="75"/>
  <c r="P177" i="75"/>
  <c r="N177" i="75"/>
  <c r="I177" i="75"/>
  <c r="H177" i="75"/>
  <c r="G177" i="75"/>
  <c r="F177" i="75"/>
  <c r="E177" i="75"/>
  <c r="D177" i="75"/>
  <c r="C177" i="75"/>
  <c r="B177" i="75"/>
  <c r="A177" i="75"/>
  <c r="AM176" i="75"/>
  <c r="AL176" i="75"/>
  <c r="AK176" i="75"/>
  <c r="AJ176" i="75"/>
  <c r="AI176" i="75"/>
  <c r="AH176" i="75"/>
  <c r="AG176" i="75"/>
  <c r="AF176" i="75"/>
  <c r="AE176" i="75"/>
  <c r="AD176" i="75"/>
  <c r="AC176" i="75"/>
  <c r="AB176" i="75"/>
  <c r="AA176" i="75"/>
  <c r="Z176" i="75"/>
  <c r="Y176" i="75"/>
  <c r="X176" i="75"/>
  <c r="W176" i="75"/>
  <c r="U176" i="75"/>
  <c r="T176" i="75"/>
  <c r="R176" i="75"/>
  <c r="Q176" i="75"/>
  <c r="P176" i="75"/>
  <c r="N176" i="75"/>
  <c r="I176" i="75"/>
  <c r="H176" i="75"/>
  <c r="G176" i="75"/>
  <c r="F176" i="75"/>
  <c r="E176" i="75"/>
  <c r="D176" i="75"/>
  <c r="C176" i="75"/>
  <c r="B176" i="75"/>
  <c r="A176" i="75"/>
  <c r="AM175" i="75"/>
  <c r="AL175" i="75"/>
  <c r="AK175" i="75"/>
  <c r="AJ175" i="75"/>
  <c r="AI175" i="75"/>
  <c r="AH175" i="75"/>
  <c r="AG175" i="75"/>
  <c r="AF175" i="75"/>
  <c r="AE175" i="75"/>
  <c r="AD175" i="75"/>
  <c r="AC175" i="75"/>
  <c r="AB175" i="75"/>
  <c r="AA175" i="75"/>
  <c r="X175" i="75"/>
  <c r="W175" i="75"/>
  <c r="Q175" i="75"/>
  <c r="P175" i="75"/>
  <c r="O175" i="75"/>
  <c r="N175" i="75"/>
  <c r="M175" i="75"/>
  <c r="I175" i="75"/>
  <c r="H175" i="75"/>
  <c r="G175" i="75"/>
  <c r="F175" i="75"/>
  <c r="E175" i="75"/>
  <c r="D175" i="75"/>
  <c r="C175" i="75"/>
  <c r="B175" i="75"/>
  <c r="A175" i="75"/>
  <c r="X174" i="75"/>
  <c r="M174" i="75"/>
  <c r="L174" i="75"/>
  <c r="X173" i="75"/>
  <c r="L173" i="75"/>
  <c r="K173" i="75"/>
  <c r="AM172" i="75"/>
  <c r="AL172" i="75"/>
  <c r="AK172" i="75"/>
  <c r="AJ172" i="75"/>
  <c r="AI172" i="75"/>
  <c r="AH172" i="75"/>
  <c r="AG172" i="75"/>
  <c r="AF172" i="75"/>
  <c r="AE172" i="75"/>
  <c r="AD172" i="75"/>
  <c r="AC172" i="75"/>
  <c r="AB172" i="75"/>
  <c r="AA172" i="75"/>
  <c r="Z172" i="75"/>
  <c r="Y172" i="75"/>
  <c r="X172" i="75"/>
  <c r="W172" i="75"/>
  <c r="U172" i="75"/>
  <c r="T172" i="75"/>
  <c r="R172" i="75"/>
  <c r="Q172" i="75"/>
  <c r="P172" i="75"/>
  <c r="N172" i="75"/>
  <c r="I172" i="75"/>
  <c r="H172" i="75"/>
  <c r="G172" i="75"/>
  <c r="F172" i="75"/>
  <c r="E172" i="75"/>
  <c r="D172" i="75"/>
  <c r="C172" i="75"/>
  <c r="B172" i="75"/>
  <c r="A172" i="75"/>
  <c r="AM171" i="75"/>
  <c r="AL171" i="75"/>
  <c r="AK171" i="75"/>
  <c r="AJ171" i="75"/>
  <c r="AI171" i="75"/>
  <c r="AH171" i="75"/>
  <c r="AG171" i="75"/>
  <c r="AF171" i="75"/>
  <c r="AE171" i="75"/>
  <c r="AD171" i="75"/>
  <c r="AC171" i="75"/>
  <c r="AB171" i="75"/>
  <c r="AA171" i="75"/>
  <c r="Z171" i="75"/>
  <c r="Y171" i="75"/>
  <c r="X171" i="75"/>
  <c r="W171" i="75"/>
  <c r="U171" i="75"/>
  <c r="T171" i="75"/>
  <c r="R171" i="75"/>
  <c r="Q171" i="75"/>
  <c r="P171" i="75"/>
  <c r="N171" i="75"/>
  <c r="I171" i="75"/>
  <c r="H171" i="75"/>
  <c r="G171" i="75"/>
  <c r="F171" i="75"/>
  <c r="E171" i="75"/>
  <c r="D171" i="75"/>
  <c r="C171" i="75"/>
  <c r="B171" i="75"/>
  <c r="A171" i="75"/>
  <c r="AM170" i="75"/>
  <c r="AL170" i="75"/>
  <c r="AK170" i="75"/>
  <c r="AJ170" i="75"/>
  <c r="AI170" i="75"/>
  <c r="AH170" i="75"/>
  <c r="AG170" i="75"/>
  <c r="AF170" i="75"/>
  <c r="AE170" i="75"/>
  <c r="AD170" i="75"/>
  <c r="AC170" i="75"/>
  <c r="AB170" i="75"/>
  <c r="AA170" i="75"/>
  <c r="Z170" i="75"/>
  <c r="Y170" i="75"/>
  <c r="X170" i="75"/>
  <c r="W170" i="75"/>
  <c r="U170" i="75"/>
  <c r="T170" i="75"/>
  <c r="R170" i="75"/>
  <c r="Q170" i="75"/>
  <c r="P170" i="75"/>
  <c r="N170" i="75"/>
  <c r="I170" i="75"/>
  <c r="H170" i="75"/>
  <c r="G170" i="75"/>
  <c r="F170" i="75"/>
  <c r="E170" i="75"/>
  <c r="D170" i="75"/>
  <c r="C170" i="75"/>
  <c r="B170" i="75"/>
  <c r="A170" i="75"/>
  <c r="AM169" i="75"/>
  <c r="AL169" i="75"/>
  <c r="AK169" i="75"/>
  <c r="AJ169" i="75"/>
  <c r="AI169" i="75"/>
  <c r="AH169" i="75"/>
  <c r="AG169" i="75"/>
  <c r="AF169" i="75"/>
  <c r="AE169" i="75"/>
  <c r="AD169" i="75"/>
  <c r="AC169" i="75"/>
  <c r="AB169" i="75"/>
  <c r="AA169" i="75"/>
  <c r="Z169" i="75"/>
  <c r="Y169" i="75"/>
  <c r="X169" i="75"/>
  <c r="W169" i="75"/>
  <c r="U169" i="75"/>
  <c r="T169" i="75"/>
  <c r="R169" i="75"/>
  <c r="Q169" i="75"/>
  <c r="P169" i="75"/>
  <c r="N169" i="75"/>
  <c r="I169" i="75"/>
  <c r="H169" i="75"/>
  <c r="G169" i="75"/>
  <c r="F169" i="75"/>
  <c r="E169" i="75"/>
  <c r="D169" i="75"/>
  <c r="C169" i="75"/>
  <c r="B169" i="75"/>
  <c r="A169" i="75"/>
  <c r="AM168" i="75"/>
  <c r="AL168" i="75"/>
  <c r="AK168" i="75"/>
  <c r="AJ168" i="75"/>
  <c r="AI168" i="75"/>
  <c r="AH168" i="75"/>
  <c r="AG168" i="75"/>
  <c r="AF168" i="75"/>
  <c r="AE168" i="75"/>
  <c r="AD168" i="75"/>
  <c r="AC168" i="75"/>
  <c r="AB168" i="75"/>
  <c r="AA168" i="75"/>
  <c r="Z168" i="75"/>
  <c r="Y168" i="75"/>
  <c r="X168" i="75"/>
  <c r="W168" i="75"/>
  <c r="U168" i="75"/>
  <c r="T168" i="75"/>
  <c r="R168" i="75"/>
  <c r="Q168" i="75"/>
  <c r="P168" i="75"/>
  <c r="N168" i="75"/>
  <c r="I168" i="75"/>
  <c r="H168" i="75"/>
  <c r="G168" i="75"/>
  <c r="F168" i="75"/>
  <c r="E168" i="75"/>
  <c r="D168" i="75"/>
  <c r="C168" i="75"/>
  <c r="B168" i="75"/>
  <c r="A168" i="75"/>
  <c r="AM167" i="75"/>
  <c r="AL167" i="75"/>
  <c r="AK167" i="75"/>
  <c r="AJ167" i="75"/>
  <c r="AI167" i="75"/>
  <c r="AH167" i="75"/>
  <c r="AG167" i="75"/>
  <c r="AF167" i="75"/>
  <c r="AE167" i="75"/>
  <c r="AD167" i="75"/>
  <c r="AC167" i="75"/>
  <c r="AB167" i="75"/>
  <c r="AA167" i="75"/>
  <c r="Z167" i="75"/>
  <c r="Y167" i="75"/>
  <c r="X167" i="75"/>
  <c r="W167" i="75"/>
  <c r="U167" i="75"/>
  <c r="T167" i="75"/>
  <c r="R167" i="75"/>
  <c r="Q167" i="75"/>
  <c r="P167" i="75"/>
  <c r="N167" i="75"/>
  <c r="I167" i="75"/>
  <c r="H167" i="75"/>
  <c r="G167" i="75"/>
  <c r="F167" i="75"/>
  <c r="E167" i="75"/>
  <c r="D167" i="75"/>
  <c r="C167" i="75"/>
  <c r="B167" i="75"/>
  <c r="A167" i="75"/>
  <c r="AM166" i="75"/>
  <c r="AL166" i="75"/>
  <c r="AK166" i="75"/>
  <c r="AJ166" i="75"/>
  <c r="AI166" i="75"/>
  <c r="AH166" i="75"/>
  <c r="AG166" i="75"/>
  <c r="AF166" i="75"/>
  <c r="AE166" i="75"/>
  <c r="AD166" i="75"/>
  <c r="AC166" i="75"/>
  <c r="AB166" i="75"/>
  <c r="AA166" i="75"/>
  <c r="Z166" i="75"/>
  <c r="Y166" i="75"/>
  <c r="X166" i="75"/>
  <c r="W166" i="75"/>
  <c r="U166" i="75"/>
  <c r="T166" i="75"/>
  <c r="R166" i="75"/>
  <c r="Q166" i="75"/>
  <c r="P166" i="75"/>
  <c r="N166" i="75"/>
  <c r="I166" i="75"/>
  <c r="H166" i="75"/>
  <c r="G166" i="75"/>
  <c r="F166" i="75"/>
  <c r="E166" i="75"/>
  <c r="D166" i="75"/>
  <c r="C166" i="75"/>
  <c r="B166" i="75"/>
  <c r="A166" i="75"/>
  <c r="AM165" i="75"/>
  <c r="AL165" i="75"/>
  <c r="AK165" i="75"/>
  <c r="AJ165" i="75"/>
  <c r="AI165" i="75"/>
  <c r="AH165" i="75"/>
  <c r="AG165" i="75"/>
  <c r="AF165" i="75"/>
  <c r="AE165" i="75"/>
  <c r="AD165" i="75"/>
  <c r="AC165" i="75"/>
  <c r="AB165" i="75"/>
  <c r="AA165" i="75"/>
  <c r="X165" i="75"/>
  <c r="W165" i="75"/>
  <c r="Q165" i="75"/>
  <c r="P165" i="75"/>
  <c r="O165" i="75"/>
  <c r="N165" i="75"/>
  <c r="M165" i="75"/>
  <c r="I165" i="75"/>
  <c r="H165" i="75"/>
  <c r="G165" i="75"/>
  <c r="F165" i="75"/>
  <c r="E165" i="75"/>
  <c r="D165" i="75"/>
  <c r="C165" i="75"/>
  <c r="B165" i="75"/>
  <c r="A165" i="75"/>
  <c r="X164" i="75"/>
  <c r="M164" i="75"/>
  <c r="L164" i="75"/>
  <c r="X163" i="75"/>
  <c r="L163" i="75"/>
  <c r="K163" i="75"/>
  <c r="K162" i="75"/>
  <c r="J162" i="75"/>
  <c r="AM161" i="75"/>
  <c r="AL161" i="75"/>
  <c r="AK161" i="75"/>
  <c r="AJ161" i="75"/>
  <c r="AI161" i="75"/>
  <c r="AH161" i="75"/>
  <c r="AG161" i="75"/>
  <c r="AF161" i="75"/>
  <c r="AE161" i="75"/>
  <c r="AD161" i="75"/>
  <c r="AC161" i="75"/>
  <c r="AB161" i="75"/>
  <c r="AA161" i="75"/>
  <c r="Z161" i="75"/>
  <c r="Y161" i="75"/>
  <c r="X161" i="75"/>
  <c r="W161" i="75"/>
  <c r="U161" i="75"/>
  <c r="T161" i="75"/>
  <c r="R161" i="75"/>
  <c r="Q161" i="75"/>
  <c r="P161" i="75"/>
  <c r="O161" i="75"/>
  <c r="N161" i="75"/>
  <c r="M161" i="75"/>
  <c r="I161" i="75"/>
  <c r="H161" i="75"/>
  <c r="G161" i="75"/>
  <c r="F161" i="75"/>
  <c r="E161" i="75"/>
  <c r="D161" i="75"/>
  <c r="C161" i="75"/>
  <c r="B161" i="75"/>
  <c r="A161" i="75"/>
  <c r="AM160" i="75"/>
  <c r="AL160" i="75"/>
  <c r="AK160" i="75"/>
  <c r="AJ160" i="75"/>
  <c r="AI160" i="75"/>
  <c r="AH160" i="75"/>
  <c r="AG160" i="75"/>
  <c r="AF160" i="75"/>
  <c r="AE160" i="75"/>
  <c r="AD160" i="75"/>
  <c r="AC160" i="75"/>
  <c r="AB160" i="75"/>
  <c r="AA160" i="75"/>
  <c r="Y160" i="75"/>
  <c r="X160" i="75"/>
  <c r="W160" i="75"/>
  <c r="U160" i="75"/>
  <c r="T160" i="75"/>
  <c r="R160" i="75"/>
  <c r="Q160" i="75"/>
  <c r="P160" i="75"/>
  <c r="O160" i="75"/>
  <c r="N160" i="75"/>
  <c r="M160" i="75"/>
  <c r="I160" i="75"/>
  <c r="H160" i="75"/>
  <c r="G160" i="75"/>
  <c r="F160" i="75"/>
  <c r="E160" i="75"/>
  <c r="D160" i="75"/>
  <c r="C160" i="75"/>
  <c r="B160" i="75"/>
  <c r="A160" i="75"/>
  <c r="AM159" i="75"/>
  <c r="AL159" i="75"/>
  <c r="AK159" i="75"/>
  <c r="AJ159" i="75"/>
  <c r="AI159" i="75"/>
  <c r="AH159" i="75"/>
  <c r="AG159" i="75"/>
  <c r="AF159" i="75"/>
  <c r="AE159" i="75"/>
  <c r="AD159" i="75"/>
  <c r="AC159" i="75"/>
  <c r="AB159" i="75"/>
  <c r="AA159" i="75"/>
  <c r="Z159" i="75"/>
  <c r="Y159" i="75"/>
  <c r="X159" i="75"/>
  <c r="W159" i="75"/>
  <c r="U159" i="75"/>
  <c r="T159" i="75"/>
  <c r="R159" i="75"/>
  <c r="Q159" i="75"/>
  <c r="P159" i="75"/>
  <c r="O159" i="75"/>
  <c r="N159" i="75"/>
  <c r="M159" i="75"/>
  <c r="I159" i="75"/>
  <c r="H159" i="75"/>
  <c r="G159" i="75"/>
  <c r="F159" i="75"/>
  <c r="E159" i="75"/>
  <c r="D159" i="75"/>
  <c r="C159" i="75"/>
  <c r="B159" i="75"/>
  <c r="A159" i="75"/>
  <c r="AM158" i="75"/>
  <c r="AL158" i="75"/>
  <c r="AK158" i="75"/>
  <c r="AJ158" i="75"/>
  <c r="AI158" i="75"/>
  <c r="AH158" i="75"/>
  <c r="AG158" i="75"/>
  <c r="AF158" i="75"/>
  <c r="AE158" i="75"/>
  <c r="AD158" i="75"/>
  <c r="AC158" i="75"/>
  <c r="AB158" i="75"/>
  <c r="AA158" i="75"/>
  <c r="Z158" i="75"/>
  <c r="X158" i="75"/>
  <c r="W158" i="75"/>
  <c r="U158" i="75"/>
  <c r="T158" i="75"/>
  <c r="R158" i="75"/>
  <c r="Q158" i="75"/>
  <c r="P158" i="75"/>
  <c r="O158" i="75"/>
  <c r="N158" i="75"/>
  <c r="M158" i="75"/>
  <c r="I158" i="75"/>
  <c r="H158" i="75"/>
  <c r="G158" i="75"/>
  <c r="F158" i="75"/>
  <c r="E158" i="75"/>
  <c r="D158" i="75"/>
  <c r="C158" i="75"/>
  <c r="B158" i="75"/>
  <c r="A158" i="75"/>
  <c r="AM157" i="75"/>
  <c r="AL157" i="75"/>
  <c r="AK157" i="75"/>
  <c r="AJ157" i="75"/>
  <c r="AI157" i="75"/>
  <c r="AH157" i="75"/>
  <c r="AG157" i="75"/>
  <c r="AF157" i="75"/>
  <c r="AE157" i="75"/>
  <c r="AD157" i="75"/>
  <c r="AC157" i="75"/>
  <c r="AB157" i="75"/>
  <c r="AA157" i="75"/>
  <c r="Z157" i="75"/>
  <c r="X157" i="75"/>
  <c r="W157" i="75"/>
  <c r="U157" i="75"/>
  <c r="T157" i="75"/>
  <c r="R157" i="75"/>
  <c r="Q157" i="75"/>
  <c r="P157" i="75"/>
  <c r="O157" i="75"/>
  <c r="N157" i="75"/>
  <c r="M157" i="75"/>
  <c r="I157" i="75"/>
  <c r="H157" i="75"/>
  <c r="G157" i="75"/>
  <c r="F157" i="75"/>
  <c r="E157" i="75"/>
  <c r="D157" i="75"/>
  <c r="C157" i="75"/>
  <c r="B157" i="75"/>
  <c r="A157" i="75"/>
  <c r="AM156" i="75"/>
  <c r="AL156" i="75"/>
  <c r="AK156" i="75"/>
  <c r="AJ156" i="75"/>
  <c r="AI156" i="75"/>
  <c r="AH156" i="75"/>
  <c r="AG156" i="75"/>
  <c r="AF156" i="75"/>
  <c r="AE156" i="75"/>
  <c r="AD156" i="75"/>
  <c r="AC156" i="75"/>
  <c r="AB156" i="75"/>
  <c r="AA156" i="75"/>
  <c r="Z156" i="75"/>
  <c r="X156" i="75"/>
  <c r="W156" i="75"/>
  <c r="U156" i="75"/>
  <c r="T156" i="75"/>
  <c r="R156" i="75"/>
  <c r="Q156" i="75"/>
  <c r="P156" i="75"/>
  <c r="O156" i="75"/>
  <c r="N156" i="75"/>
  <c r="M156" i="75"/>
  <c r="I156" i="75"/>
  <c r="H156" i="75"/>
  <c r="G156" i="75"/>
  <c r="F156" i="75"/>
  <c r="E156" i="75"/>
  <c r="D156" i="75"/>
  <c r="C156" i="75"/>
  <c r="B156" i="75"/>
  <c r="A156" i="75"/>
  <c r="AM155" i="75"/>
  <c r="AL155" i="75"/>
  <c r="AK155" i="75"/>
  <c r="AJ155" i="75"/>
  <c r="AI155" i="75"/>
  <c r="AH155" i="75"/>
  <c r="AG155" i="75"/>
  <c r="AF155" i="75"/>
  <c r="AE155" i="75"/>
  <c r="AD155" i="75"/>
  <c r="AC155" i="75"/>
  <c r="AB155" i="75"/>
  <c r="AA155" i="75"/>
  <c r="Z155" i="75"/>
  <c r="Y155" i="75"/>
  <c r="X155" i="75"/>
  <c r="W155" i="75"/>
  <c r="U155" i="75"/>
  <c r="T155" i="75"/>
  <c r="R155" i="75"/>
  <c r="Q155" i="75"/>
  <c r="P155" i="75"/>
  <c r="O155" i="75"/>
  <c r="N155" i="75"/>
  <c r="I155" i="75"/>
  <c r="H155" i="75"/>
  <c r="G155" i="75"/>
  <c r="F155" i="75"/>
  <c r="E155" i="75"/>
  <c r="D155" i="75"/>
  <c r="C155" i="75"/>
  <c r="B155" i="75"/>
  <c r="A155" i="75"/>
  <c r="AM154" i="75"/>
  <c r="AL154" i="75"/>
  <c r="AK154" i="75"/>
  <c r="AJ154" i="75"/>
  <c r="AI154" i="75"/>
  <c r="AH154" i="75"/>
  <c r="AG154" i="75"/>
  <c r="AF154" i="75"/>
  <c r="AE154" i="75"/>
  <c r="AD154" i="75"/>
  <c r="AC154" i="75"/>
  <c r="AB154" i="75"/>
  <c r="AA154" i="75"/>
  <c r="Z154" i="75"/>
  <c r="Y154" i="75"/>
  <c r="X154" i="75"/>
  <c r="W154" i="75"/>
  <c r="U154" i="75"/>
  <c r="T154" i="75"/>
  <c r="R154" i="75"/>
  <c r="Q154" i="75"/>
  <c r="P154" i="75"/>
  <c r="O154" i="75"/>
  <c r="N154" i="75"/>
  <c r="I154" i="75"/>
  <c r="H154" i="75"/>
  <c r="G154" i="75"/>
  <c r="F154" i="75"/>
  <c r="E154" i="75"/>
  <c r="D154" i="75"/>
  <c r="C154" i="75"/>
  <c r="B154" i="75"/>
  <c r="A154" i="75"/>
  <c r="AM153" i="75"/>
  <c r="AL153" i="75"/>
  <c r="AK153" i="75"/>
  <c r="AJ153" i="75"/>
  <c r="AI153" i="75"/>
  <c r="AH153" i="75"/>
  <c r="AG153" i="75"/>
  <c r="AF153" i="75"/>
  <c r="AE153" i="75"/>
  <c r="AD153" i="75"/>
  <c r="AC153" i="75"/>
  <c r="AB153" i="75"/>
  <c r="AA153" i="75"/>
  <c r="X153" i="75"/>
  <c r="W153" i="75"/>
  <c r="Q153" i="75"/>
  <c r="P153" i="75"/>
  <c r="O153" i="75"/>
  <c r="N153" i="75"/>
  <c r="M153" i="75"/>
  <c r="I153" i="75"/>
  <c r="H153" i="75"/>
  <c r="G153" i="75"/>
  <c r="F153" i="75"/>
  <c r="E153" i="75"/>
  <c r="D153" i="75"/>
  <c r="C153" i="75"/>
  <c r="B153" i="75"/>
  <c r="A153" i="75"/>
  <c r="AM152" i="75"/>
  <c r="AL152" i="75"/>
  <c r="AK152" i="75"/>
  <c r="AJ152" i="75"/>
  <c r="AI152" i="75"/>
  <c r="AH152" i="75"/>
  <c r="AG152" i="75"/>
  <c r="AF152" i="75"/>
  <c r="AE152" i="75"/>
  <c r="AD152" i="75"/>
  <c r="AC152" i="75"/>
  <c r="AB152" i="75"/>
  <c r="AA152" i="75"/>
  <c r="Z152" i="75"/>
  <c r="Y152" i="75"/>
  <c r="X152" i="75"/>
  <c r="W152" i="75"/>
  <c r="U152" i="75"/>
  <c r="T152" i="75"/>
  <c r="R152" i="75"/>
  <c r="Q152" i="75"/>
  <c r="P152" i="75"/>
  <c r="O152" i="75"/>
  <c r="N152" i="75"/>
  <c r="I152" i="75"/>
  <c r="H152" i="75"/>
  <c r="G152" i="75"/>
  <c r="F152" i="75"/>
  <c r="E152" i="75"/>
  <c r="D152" i="75"/>
  <c r="C152" i="75"/>
  <c r="B152" i="75"/>
  <c r="A152" i="75"/>
  <c r="AM151" i="75"/>
  <c r="AL151" i="75"/>
  <c r="AK151" i="75"/>
  <c r="AJ151" i="75"/>
  <c r="AI151" i="75"/>
  <c r="AH151" i="75"/>
  <c r="AG151" i="75"/>
  <c r="AF151" i="75"/>
  <c r="AE151" i="75"/>
  <c r="AD151" i="75"/>
  <c r="AC151" i="75"/>
  <c r="AB151" i="75"/>
  <c r="AA151" i="75"/>
  <c r="Z151" i="75"/>
  <c r="Y151" i="75"/>
  <c r="X151" i="75"/>
  <c r="W151" i="75"/>
  <c r="U151" i="75"/>
  <c r="T151" i="75"/>
  <c r="R151" i="75"/>
  <c r="Q151" i="75"/>
  <c r="P151" i="75"/>
  <c r="O151" i="75"/>
  <c r="N151" i="75"/>
  <c r="I151" i="75"/>
  <c r="H151" i="75"/>
  <c r="G151" i="75"/>
  <c r="F151" i="75"/>
  <c r="E151" i="75"/>
  <c r="D151" i="75"/>
  <c r="C151" i="75"/>
  <c r="B151" i="75"/>
  <c r="A151" i="75"/>
  <c r="AM150" i="75"/>
  <c r="AL150" i="75"/>
  <c r="AK150" i="75"/>
  <c r="AJ150" i="75"/>
  <c r="AI150" i="75"/>
  <c r="AH150" i="75"/>
  <c r="AG150" i="75"/>
  <c r="AF150" i="75"/>
  <c r="AE150" i="75"/>
  <c r="AD150" i="75"/>
  <c r="AC150" i="75"/>
  <c r="AB150" i="75"/>
  <c r="AA150" i="75"/>
  <c r="X150" i="75"/>
  <c r="W150" i="75"/>
  <c r="Q150" i="75"/>
  <c r="P150" i="75"/>
  <c r="O150" i="75"/>
  <c r="N150" i="75"/>
  <c r="M150" i="75"/>
  <c r="I150" i="75"/>
  <c r="H150" i="75"/>
  <c r="G150" i="75"/>
  <c r="F150" i="75"/>
  <c r="E150" i="75"/>
  <c r="D150" i="75"/>
  <c r="C150" i="75"/>
  <c r="B150" i="75"/>
  <c r="A150" i="75"/>
  <c r="X149" i="75"/>
  <c r="X148" i="75" s="1"/>
  <c r="M149" i="75"/>
  <c r="L149" i="75"/>
  <c r="L148" i="75"/>
  <c r="K148" i="75"/>
  <c r="AM147" i="75"/>
  <c r="AL147" i="75"/>
  <c r="AK147" i="75"/>
  <c r="AJ147" i="75"/>
  <c r="AI147" i="75"/>
  <c r="AH147" i="75"/>
  <c r="AG147" i="75"/>
  <c r="AF147" i="75"/>
  <c r="AE147" i="75"/>
  <c r="AD147" i="75"/>
  <c r="AC147" i="75"/>
  <c r="AB147" i="75"/>
  <c r="AA147" i="75"/>
  <c r="X147" i="75"/>
  <c r="W147" i="75"/>
  <c r="U147" i="75"/>
  <c r="U146" i="75" s="1"/>
  <c r="U145" i="75" s="1"/>
  <c r="T147" i="75"/>
  <c r="T146" i="75" s="1"/>
  <c r="T145" i="75" s="1"/>
  <c r="R147" i="75"/>
  <c r="R146" i="75" s="1"/>
  <c r="R145" i="75" s="1"/>
  <c r="Q147" i="75"/>
  <c r="P147" i="75"/>
  <c r="O147" i="75"/>
  <c r="N147" i="75"/>
  <c r="M147" i="75"/>
  <c r="I147" i="75"/>
  <c r="H147" i="75"/>
  <c r="G147" i="75"/>
  <c r="F147" i="75"/>
  <c r="E147" i="75"/>
  <c r="D147" i="75"/>
  <c r="C147" i="75"/>
  <c r="B147" i="75"/>
  <c r="A147" i="75"/>
  <c r="X146" i="75"/>
  <c r="M146" i="75"/>
  <c r="L146" i="75"/>
  <c r="X145" i="75"/>
  <c r="L145" i="75"/>
  <c r="K145" i="75"/>
  <c r="AM144" i="75"/>
  <c r="AL144" i="75"/>
  <c r="AK144" i="75"/>
  <c r="AJ144" i="75"/>
  <c r="AI144" i="75"/>
  <c r="AH144" i="75"/>
  <c r="AG144" i="75"/>
  <c r="AF144" i="75"/>
  <c r="AE144" i="75"/>
  <c r="AD144" i="75"/>
  <c r="AC144" i="75"/>
  <c r="AB144" i="75"/>
  <c r="AA144" i="75"/>
  <c r="Y144" i="75"/>
  <c r="X144" i="75"/>
  <c r="W144" i="75"/>
  <c r="U144" i="75"/>
  <c r="T144" i="75"/>
  <c r="R144" i="75"/>
  <c r="Q144" i="75"/>
  <c r="P144" i="75"/>
  <c r="O144" i="75"/>
  <c r="N144" i="75"/>
  <c r="M144" i="75"/>
  <c r="I144" i="75"/>
  <c r="H144" i="75"/>
  <c r="G144" i="75"/>
  <c r="F144" i="75"/>
  <c r="E144" i="75"/>
  <c r="D144" i="75"/>
  <c r="C144" i="75"/>
  <c r="B144" i="75"/>
  <c r="A144" i="75"/>
  <c r="AM143" i="75"/>
  <c r="AL143" i="75"/>
  <c r="AK143" i="75"/>
  <c r="AJ143" i="75"/>
  <c r="AI143" i="75"/>
  <c r="AH143" i="75"/>
  <c r="AG143" i="75"/>
  <c r="AF143" i="75"/>
  <c r="AE143" i="75"/>
  <c r="AD143" i="75"/>
  <c r="AC143" i="75"/>
  <c r="AB143" i="75"/>
  <c r="AA143" i="75"/>
  <c r="Z143" i="75"/>
  <c r="X143" i="75"/>
  <c r="W143" i="75"/>
  <c r="U143" i="75"/>
  <c r="T143" i="75"/>
  <c r="R143" i="75"/>
  <c r="Q143" i="75"/>
  <c r="P143" i="75"/>
  <c r="O143" i="75"/>
  <c r="N143" i="75"/>
  <c r="M143" i="75"/>
  <c r="I143" i="75"/>
  <c r="H143" i="75"/>
  <c r="G143" i="75"/>
  <c r="F143" i="75"/>
  <c r="E143" i="75"/>
  <c r="D143" i="75"/>
  <c r="C143" i="75"/>
  <c r="B143" i="75"/>
  <c r="A143" i="75"/>
  <c r="AM142" i="75"/>
  <c r="AL142" i="75"/>
  <c r="AK142" i="75"/>
  <c r="AJ142" i="75"/>
  <c r="AI142" i="75"/>
  <c r="AH142" i="75"/>
  <c r="AG142" i="75"/>
  <c r="AF142" i="75"/>
  <c r="AE142" i="75"/>
  <c r="AD142" i="75"/>
  <c r="AC142" i="75"/>
  <c r="AB142" i="75"/>
  <c r="AA142" i="75"/>
  <c r="Y142" i="75"/>
  <c r="X142" i="75"/>
  <c r="X141" i="75" s="1"/>
  <c r="X140" i="75" s="1"/>
  <c r="W142" i="75"/>
  <c r="U142" i="75"/>
  <c r="T142" i="75"/>
  <c r="R142" i="75"/>
  <c r="R141" i="75" s="1"/>
  <c r="R140" i="75" s="1"/>
  <c r="Q142" i="75"/>
  <c r="P142" i="75"/>
  <c r="O142" i="75"/>
  <c r="N142" i="75"/>
  <c r="M142" i="75"/>
  <c r="I142" i="75"/>
  <c r="H142" i="75"/>
  <c r="G142" i="75"/>
  <c r="F142" i="75"/>
  <c r="E142" i="75"/>
  <c r="D142" i="75"/>
  <c r="C142" i="75"/>
  <c r="B142" i="75"/>
  <c r="A142" i="75"/>
  <c r="U141" i="75"/>
  <c r="U140" i="75" s="1"/>
  <c r="M141" i="75"/>
  <c r="L141" i="75"/>
  <c r="L140" i="75"/>
  <c r="K140" i="75"/>
  <c r="AM139" i="75"/>
  <c r="AL139" i="75"/>
  <c r="AK139" i="75"/>
  <c r="AJ139" i="75"/>
  <c r="AI139" i="75"/>
  <c r="AH139" i="75"/>
  <c r="AG139" i="75"/>
  <c r="AF139" i="75"/>
  <c r="AE139" i="75"/>
  <c r="AD139" i="75"/>
  <c r="AC139" i="75"/>
  <c r="AB139" i="75"/>
  <c r="AA139" i="75"/>
  <c r="Z139" i="75"/>
  <c r="X139" i="75"/>
  <c r="W139" i="75"/>
  <c r="U139" i="75"/>
  <c r="U138" i="75" s="1"/>
  <c r="U137" i="75" s="1"/>
  <c r="T139" i="75"/>
  <c r="R139" i="75"/>
  <c r="R138" i="75" s="1"/>
  <c r="R137" i="75" s="1"/>
  <c r="Q139" i="75"/>
  <c r="P139" i="75"/>
  <c r="O139" i="75"/>
  <c r="N139" i="75"/>
  <c r="M139" i="75"/>
  <c r="I139" i="75"/>
  <c r="H139" i="75"/>
  <c r="G139" i="75"/>
  <c r="F139" i="75"/>
  <c r="E139" i="75"/>
  <c r="D139" i="75"/>
  <c r="C139" i="75"/>
  <c r="B139" i="75"/>
  <c r="A139" i="75"/>
  <c r="Z138" i="75"/>
  <c r="X138" i="75"/>
  <c r="X137" i="75" s="1"/>
  <c r="T138" i="75"/>
  <c r="T137" i="75" s="1"/>
  <c r="M138" i="75"/>
  <c r="L138" i="75"/>
  <c r="Z137" i="75"/>
  <c r="L137" i="75"/>
  <c r="K137" i="75"/>
  <c r="AM136" i="75"/>
  <c r="AL136" i="75"/>
  <c r="AK136" i="75"/>
  <c r="AJ136" i="75"/>
  <c r="AI136" i="75"/>
  <c r="AH136" i="75"/>
  <c r="AG136" i="75"/>
  <c r="AF136" i="75"/>
  <c r="AE136" i="75"/>
  <c r="AD136" i="75"/>
  <c r="AC136" i="75"/>
  <c r="AB136" i="75"/>
  <c r="AA136" i="75"/>
  <c r="Z136" i="75"/>
  <c r="X136" i="75"/>
  <c r="W136" i="75"/>
  <c r="U136" i="75"/>
  <c r="T136" i="75"/>
  <c r="R136" i="75"/>
  <c r="Q136" i="75"/>
  <c r="P136" i="75"/>
  <c r="O136" i="75"/>
  <c r="N136" i="75"/>
  <c r="M136" i="75"/>
  <c r="I136" i="75"/>
  <c r="H136" i="75"/>
  <c r="G136" i="75"/>
  <c r="F136" i="75"/>
  <c r="E136" i="75"/>
  <c r="D136" i="75"/>
  <c r="C136" i="75"/>
  <c r="B136" i="75"/>
  <c r="A136" i="75"/>
  <c r="AM135" i="75"/>
  <c r="AL135" i="75"/>
  <c r="AK135" i="75"/>
  <c r="AJ135" i="75"/>
  <c r="AI135" i="75"/>
  <c r="AH135" i="75"/>
  <c r="AG135" i="75"/>
  <c r="AF135" i="75"/>
  <c r="AE135" i="75"/>
  <c r="AD135" i="75"/>
  <c r="AC135" i="75"/>
  <c r="AB135" i="75"/>
  <c r="AA135" i="75"/>
  <c r="Z135" i="75"/>
  <c r="X135" i="75"/>
  <c r="W135" i="75"/>
  <c r="U135" i="75"/>
  <c r="R135" i="75"/>
  <c r="Q135" i="75"/>
  <c r="P135" i="75"/>
  <c r="O135" i="75"/>
  <c r="N135" i="75"/>
  <c r="M135" i="75"/>
  <c r="I135" i="75"/>
  <c r="H135" i="75"/>
  <c r="G135" i="75"/>
  <c r="F135" i="75"/>
  <c r="E135" i="75"/>
  <c r="D135" i="75"/>
  <c r="C135" i="75"/>
  <c r="B135" i="75"/>
  <c r="A135" i="75"/>
  <c r="AM134" i="75"/>
  <c r="AL134" i="75"/>
  <c r="AK134" i="75"/>
  <c r="AJ134" i="75"/>
  <c r="AI134" i="75"/>
  <c r="AH134" i="75"/>
  <c r="AG134" i="75"/>
  <c r="AF134" i="75"/>
  <c r="AE134" i="75"/>
  <c r="AD134" i="75"/>
  <c r="AC134" i="75"/>
  <c r="AB134" i="75"/>
  <c r="AA134" i="75"/>
  <c r="Z134" i="75"/>
  <c r="X134" i="75"/>
  <c r="W134" i="75"/>
  <c r="U134" i="75"/>
  <c r="R134" i="75"/>
  <c r="Q134" i="75"/>
  <c r="P134" i="75"/>
  <c r="O134" i="75"/>
  <c r="N134" i="75"/>
  <c r="M134" i="75"/>
  <c r="I134" i="75"/>
  <c r="H134" i="75"/>
  <c r="G134" i="75"/>
  <c r="F134" i="75"/>
  <c r="E134" i="75"/>
  <c r="D134" i="75"/>
  <c r="C134" i="75"/>
  <c r="B134" i="75"/>
  <c r="A134" i="75"/>
  <c r="AM133" i="75"/>
  <c r="AL133" i="75"/>
  <c r="AK133" i="75"/>
  <c r="AJ133" i="75"/>
  <c r="AI133" i="75"/>
  <c r="AH133" i="75"/>
  <c r="AG133" i="75"/>
  <c r="AF133" i="75"/>
  <c r="AE133" i="75"/>
  <c r="AD133" i="75"/>
  <c r="AC133" i="75"/>
  <c r="AB133" i="75"/>
  <c r="AA133" i="75"/>
  <c r="Z133" i="75"/>
  <c r="X133" i="75"/>
  <c r="W133" i="75"/>
  <c r="U133" i="75"/>
  <c r="T133" i="75"/>
  <c r="R133" i="75"/>
  <c r="Q133" i="75"/>
  <c r="P133" i="75"/>
  <c r="O133" i="75"/>
  <c r="N133" i="75"/>
  <c r="I133" i="75"/>
  <c r="H133" i="75"/>
  <c r="G133" i="75"/>
  <c r="F133" i="75"/>
  <c r="E133" i="75"/>
  <c r="D133" i="75"/>
  <c r="C133" i="75"/>
  <c r="B133" i="75"/>
  <c r="A133" i="75"/>
  <c r="AM132" i="75"/>
  <c r="AL132" i="75"/>
  <c r="AK132" i="75"/>
  <c r="AJ132" i="75"/>
  <c r="AI132" i="75"/>
  <c r="AH132" i="75"/>
  <c r="AG132" i="75"/>
  <c r="AF132" i="75"/>
  <c r="AE132" i="75"/>
  <c r="AD132" i="75"/>
  <c r="AC132" i="75"/>
  <c r="AB132" i="75"/>
  <c r="AA132" i="75"/>
  <c r="Z132" i="75"/>
  <c r="Y132" i="75"/>
  <c r="X132" i="75"/>
  <c r="W132" i="75"/>
  <c r="U132" i="75"/>
  <c r="T132" i="75"/>
  <c r="R132" i="75"/>
  <c r="Q132" i="75"/>
  <c r="P132" i="75"/>
  <c r="O132" i="75"/>
  <c r="N132" i="75"/>
  <c r="I132" i="75"/>
  <c r="H132" i="75"/>
  <c r="G132" i="75"/>
  <c r="F132" i="75"/>
  <c r="E132" i="75"/>
  <c r="D132" i="75"/>
  <c r="C132" i="75"/>
  <c r="B132" i="75"/>
  <c r="A132" i="75"/>
  <c r="AM131" i="75"/>
  <c r="AL131" i="75"/>
  <c r="AK131" i="75"/>
  <c r="AJ131" i="75"/>
  <c r="AI131" i="75"/>
  <c r="AH131" i="75"/>
  <c r="AG131" i="75"/>
  <c r="AF131" i="75"/>
  <c r="AE131" i="75"/>
  <c r="AD131" i="75"/>
  <c r="AC131" i="75"/>
  <c r="AB131" i="75"/>
  <c r="AA131" i="75"/>
  <c r="X131" i="75"/>
  <c r="W131" i="75"/>
  <c r="Q131" i="75"/>
  <c r="P131" i="75"/>
  <c r="O131" i="75"/>
  <c r="N131" i="75"/>
  <c r="M131" i="75"/>
  <c r="I131" i="75"/>
  <c r="H131" i="75"/>
  <c r="G131" i="75"/>
  <c r="F131" i="75"/>
  <c r="E131" i="75"/>
  <c r="D131" i="75"/>
  <c r="C131" i="75"/>
  <c r="B131" i="75"/>
  <c r="A131" i="75"/>
  <c r="X130" i="75"/>
  <c r="X129" i="75" s="1"/>
  <c r="M130" i="75"/>
  <c r="L130" i="75"/>
  <c r="L129" i="75"/>
  <c r="K129" i="75"/>
  <c r="AM128" i="75"/>
  <c r="AL128" i="75"/>
  <c r="AK128" i="75"/>
  <c r="AJ128" i="75"/>
  <c r="AI128" i="75"/>
  <c r="AH128" i="75"/>
  <c r="AG128" i="75"/>
  <c r="AF128" i="75"/>
  <c r="AE128" i="75"/>
  <c r="AD128" i="75"/>
  <c r="AC128" i="75"/>
  <c r="AB128" i="75"/>
  <c r="AA128" i="75"/>
  <c r="Z128" i="75"/>
  <c r="Y128" i="75"/>
  <c r="X128" i="75"/>
  <c r="W128" i="75"/>
  <c r="U128" i="75"/>
  <c r="R128" i="75"/>
  <c r="Q128" i="75"/>
  <c r="P128" i="75"/>
  <c r="O128" i="75"/>
  <c r="N128" i="75"/>
  <c r="M128" i="75"/>
  <c r="I128" i="75"/>
  <c r="H128" i="75"/>
  <c r="G128" i="75"/>
  <c r="F128" i="75"/>
  <c r="E128" i="75"/>
  <c r="D128" i="75"/>
  <c r="C128" i="75"/>
  <c r="B128" i="75"/>
  <c r="A128" i="75"/>
  <c r="Z127" i="75"/>
  <c r="Z126" i="75" s="1"/>
  <c r="Y127" i="75"/>
  <c r="X127" i="75"/>
  <c r="X126" i="75" s="1"/>
  <c r="U127" i="75"/>
  <c r="U126" i="75" s="1"/>
  <c r="R127" i="75"/>
  <c r="R126" i="75" s="1"/>
  <c r="M127" i="75"/>
  <c r="L127" i="75"/>
  <c r="Y126" i="75"/>
  <c r="L126" i="75"/>
  <c r="K126" i="75"/>
  <c r="AM125" i="75"/>
  <c r="AL125" i="75"/>
  <c r="AK125" i="75"/>
  <c r="AJ125" i="75"/>
  <c r="AI125" i="75"/>
  <c r="AH125" i="75"/>
  <c r="AG125" i="75"/>
  <c r="AF125" i="75"/>
  <c r="AE125" i="75"/>
  <c r="AD125" i="75"/>
  <c r="AC125" i="75"/>
  <c r="AB125" i="75"/>
  <c r="AA125" i="75"/>
  <c r="Y125" i="75"/>
  <c r="X125" i="75"/>
  <c r="W125" i="75"/>
  <c r="U125" i="75"/>
  <c r="U124" i="75" s="1"/>
  <c r="T125" i="75"/>
  <c r="T124" i="75" s="1"/>
  <c r="R125" i="75"/>
  <c r="R124" i="75" s="1"/>
  <c r="Q125" i="75"/>
  <c r="P125" i="75"/>
  <c r="O125" i="75"/>
  <c r="N125" i="75"/>
  <c r="M125" i="75"/>
  <c r="I125" i="75"/>
  <c r="H125" i="75"/>
  <c r="G125" i="75"/>
  <c r="F125" i="75"/>
  <c r="E125" i="75"/>
  <c r="D125" i="75"/>
  <c r="C125" i="75"/>
  <c r="B125" i="75"/>
  <c r="A125" i="75"/>
  <c r="Y124" i="75"/>
  <c r="X124" i="75"/>
  <c r="M124" i="75"/>
  <c r="L124" i="75"/>
  <c r="AM123" i="75"/>
  <c r="AL123" i="75"/>
  <c r="AK123" i="75"/>
  <c r="AJ123" i="75"/>
  <c r="AI123" i="75"/>
  <c r="AH123" i="75"/>
  <c r="AG123" i="75"/>
  <c r="AF123" i="75"/>
  <c r="AE123" i="75"/>
  <c r="AD123" i="75"/>
  <c r="AC123" i="75"/>
  <c r="AB123" i="75"/>
  <c r="AA123" i="75"/>
  <c r="Y123" i="75"/>
  <c r="X123" i="75"/>
  <c r="W123" i="75"/>
  <c r="U123" i="75"/>
  <c r="T123" i="75"/>
  <c r="R123" i="75"/>
  <c r="Q123" i="75"/>
  <c r="P123" i="75"/>
  <c r="O123" i="75"/>
  <c r="N123" i="75"/>
  <c r="M123" i="75"/>
  <c r="I123" i="75"/>
  <c r="H123" i="75"/>
  <c r="G123" i="75"/>
  <c r="F123" i="75"/>
  <c r="E123" i="75"/>
  <c r="D123" i="75"/>
  <c r="C123" i="75"/>
  <c r="B123" i="75"/>
  <c r="A123" i="75"/>
  <c r="AM122" i="75"/>
  <c r="AL122" i="75"/>
  <c r="AK122" i="75"/>
  <c r="AJ122" i="75"/>
  <c r="AI122" i="75"/>
  <c r="AH122" i="75"/>
  <c r="AG122" i="75"/>
  <c r="AF122" i="75"/>
  <c r="AE122" i="75"/>
  <c r="AD122" i="75"/>
  <c r="AC122" i="75"/>
  <c r="AB122" i="75"/>
  <c r="AA122" i="75"/>
  <c r="Z122" i="75"/>
  <c r="X122" i="75"/>
  <c r="W122" i="75"/>
  <c r="U122" i="75"/>
  <c r="T122" i="75"/>
  <c r="T120" i="75" s="1"/>
  <c r="R122" i="75"/>
  <c r="Q122" i="75"/>
  <c r="P122" i="75"/>
  <c r="O122" i="75"/>
  <c r="N122" i="75"/>
  <c r="M122" i="75"/>
  <c r="I122" i="75"/>
  <c r="H122" i="75"/>
  <c r="G122" i="75"/>
  <c r="F122" i="75"/>
  <c r="E122" i="75"/>
  <c r="D122" i="75"/>
  <c r="C122" i="75"/>
  <c r="B122" i="75"/>
  <c r="A122" i="75"/>
  <c r="AM121" i="75"/>
  <c r="AL121" i="75"/>
  <c r="AK121" i="75"/>
  <c r="AJ121" i="75"/>
  <c r="AI121" i="75"/>
  <c r="AH121" i="75"/>
  <c r="AG121" i="75"/>
  <c r="AF121" i="75"/>
  <c r="AE121" i="75"/>
  <c r="AD121" i="75"/>
  <c r="AC121" i="75"/>
  <c r="AB121" i="75"/>
  <c r="AA121" i="75"/>
  <c r="Y121" i="75"/>
  <c r="X121" i="75"/>
  <c r="W121" i="75"/>
  <c r="U121" i="75"/>
  <c r="U120" i="75" s="1"/>
  <c r="T121" i="75"/>
  <c r="R121" i="75"/>
  <c r="Q121" i="75"/>
  <c r="P121" i="75"/>
  <c r="O121" i="75"/>
  <c r="N121" i="75"/>
  <c r="M121" i="75"/>
  <c r="I121" i="75"/>
  <c r="H121" i="75"/>
  <c r="G121" i="75"/>
  <c r="F121" i="75"/>
  <c r="E121" i="75"/>
  <c r="D121" i="75"/>
  <c r="C121" i="75"/>
  <c r="B121" i="75"/>
  <c r="A121" i="75"/>
  <c r="M120" i="75"/>
  <c r="L120" i="75"/>
  <c r="AM119" i="75"/>
  <c r="AL119" i="75"/>
  <c r="AK119" i="75"/>
  <c r="AJ119" i="75"/>
  <c r="AI119" i="75"/>
  <c r="AH119" i="75"/>
  <c r="AG119" i="75"/>
  <c r="AF119" i="75"/>
  <c r="AE119" i="75"/>
  <c r="AD119" i="75"/>
  <c r="AC119" i="75"/>
  <c r="AB119" i="75"/>
  <c r="AA119" i="75"/>
  <c r="Z119" i="75"/>
  <c r="Y119" i="75"/>
  <c r="X119" i="75"/>
  <c r="W119" i="75"/>
  <c r="U119" i="75"/>
  <c r="T119" i="75"/>
  <c r="R119" i="75"/>
  <c r="Q119" i="75"/>
  <c r="P119" i="75"/>
  <c r="O119" i="75"/>
  <c r="N119" i="75"/>
  <c r="I119" i="75"/>
  <c r="H119" i="75"/>
  <c r="G119" i="75"/>
  <c r="F119" i="75"/>
  <c r="E119" i="75"/>
  <c r="D119" i="75"/>
  <c r="C119" i="75"/>
  <c r="B119" i="75"/>
  <c r="A119" i="75"/>
  <c r="AM118" i="75"/>
  <c r="AL118" i="75"/>
  <c r="AK118" i="75"/>
  <c r="AJ118" i="75"/>
  <c r="AI118" i="75"/>
  <c r="AH118" i="75"/>
  <c r="AG118" i="75"/>
  <c r="AF118" i="75"/>
  <c r="AE118" i="75"/>
  <c r="AD118" i="75"/>
  <c r="AC118" i="75"/>
  <c r="AB118" i="75"/>
  <c r="AA118" i="75"/>
  <c r="X118" i="75"/>
  <c r="W118" i="75"/>
  <c r="U118" i="75"/>
  <c r="T118" i="75"/>
  <c r="R118" i="75"/>
  <c r="Q118" i="75"/>
  <c r="P118" i="75"/>
  <c r="O118" i="75"/>
  <c r="N118" i="75"/>
  <c r="I118" i="75"/>
  <c r="H118" i="75"/>
  <c r="G118" i="75"/>
  <c r="F118" i="75"/>
  <c r="E118" i="75"/>
  <c r="D118" i="75"/>
  <c r="C118" i="75"/>
  <c r="B118" i="75"/>
  <c r="A118" i="75"/>
  <c r="AM117" i="75"/>
  <c r="AL117" i="75"/>
  <c r="AK117" i="75"/>
  <c r="AJ117" i="75"/>
  <c r="AI117" i="75"/>
  <c r="AH117" i="75"/>
  <c r="AG117" i="75"/>
  <c r="AF117" i="75"/>
  <c r="AE117" i="75"/>
  <c r="AD117" i="75"/>
  <c r="AC117" i="75"/>
  <c r="AB117" i="75"/>
  <c r="AA117" i="75"/>
  <c r="X117" i="75"/>
  <c r="W117" i="75"/>
  <c r="Q117" i="75"/>
  <c r="P117" i="75"/>
  <c r="O117" i="75"/>
  <c r="N117" i="75"/>
  <c r="M117" i="75"/>
  <c r="I117" i="75"/>
  <c r="H117" i="75"/>
  <c r="G117" i="75"/>
  <c r="F117" i="75"/>
  <c r="E117" i="75"/>
  <c r="D117" i="75"/>
  <c r="C117" i="75"/>
  <c r="B117" i="75"/>
  <c r="A117" i="75"/>
  <c r="AM116" i="75"/>
  <c r="AL116" i="75"/>
  <c r="AK116" i="75"/>
  <c r="AJ116" i="75"/>
  <c r="AI116" i="75"/>
  <c r="AH116" i="75"/>
  <c r="AG116" i="75"/>
  <c r="AF116" i="75"/>
  <c r="AE116" i="75"/>
  <c r="AD116" i="75"/>
  <c r="AC116" i="75"/>
  <c r="AB116" i="75"/>
  <c r="AA116" i="75"/>
  <c r="Z116" i="75"/>
  <c r="Y116" i="75"/>
  <c r="X116" i="75"/>
  <c r="W116" i="75"/>
  <c r="U116" i="75"/>
  <c r="T116" i="75"/>
  <c r="R116" i="75"/>
  <c r="Q116" i="75"/>
  <c r="P116" i="75"/>
  <c r="O116" i="75"/>
  <c r="N116" i="75"/>
  <c r="M116" i="75"/>
  <c r="I116" i="75"/>
  <c r="H116" i="75"/>
  <c r="G116" i="75"/>
  <c r="F116" i="75"/>
  <c r="E116" i="75"/>
  <c r="D116" i="75"/>
  <c r="C116" i="75"/>
  <c r="B116" i="75"/>
  <c r="A116" i="75"/>
  <c r="AM115" i="75"/>
  <c r="AL115" i="75"/>
  <c r="AK115" i="75"/>
  <c r="AJ115" i="75"/>
  <c r="AI115" i="75"/>
  <c r="AH115" i="75"/>
  <c r="AG115" i="75"/>
  <c r="AF115" i="75"/>
  <c r="AE115" i="75"/>
  <c r="AD115" i="75"/>
  <c r="AC115" i="75"/>
  <c r="AB115" i="75"/>
  <c r="AA115" i="75"/>
  <c r="Z115" i="75"/>
  <c r="X115" i="75"/>
  <c r="W115" i="75"/>
  <c r="U115" i="75"/>
  <c r="T115" i="75"/>
  <c r="R115" i="75"/>
  <c r="Q115" i="75"/>
  <c r="P115" i="75"/>
  <c r="O115" i="75"/>
  <c r="N115" i="75"/>
  <c r="M115" i="75"/>
  <c r="I115" i="75"/>
  <c r="H115" i="75"/>
  <c r="G115" i="75"/>
  <c r="F115" i="75"/>
  <c r="E115" i="75"/>
  <c r="D115" i="75"/>
  <c r="C115" i="75"/>
  <c r="B115" i="75"/>
  <c r="A115" i="75"/>
  <c r="AM114" i="75"/>
  <c r="AL114" i="75"/>
  <c r="AK114" i="75"/>
  <c r="AJ114" i="75"/>
  <c r="AI114" i="75"/>
  <c r="AH114" i="75"/>
  <c r="AG114" i="75"/>
  <c r="AF114" i="75"/>
  <c r="AE114" i="75"/>
  <c r="AD114" i="75"/>
  <c r="AC114" i="75"/>
  <c r="AB114" i="75"/>
  <c r="AA114" i="75"/>
  <c r="Z114" i="75"/>
  <c r="X114" i="75"/>
  <c r="W114" i="75"/>
  <c r="U114" i="75"/>
  <c r="T114" i="75"/>
  <c r="R114" i="75"/>
  <c r="Q114" i="75"/>
  <c r="P114" i="75"/>
  <c r="O114" i="75"/>
  <c r="N114" i="75"/>
  <c r="M114" i="75"/>
  <c r="I114" i="75"/>
  <c r="H114" i="75"/>
  <c r="G114" i="75"/>
  <c r="F114" i="75"/>
  <c r="E114" i="75"/>
  <c r="D114" i="75"/>
  <c r="C114" i="75"/>
  <c r="B114" i="75"/>
  <c r="A114" i="75"/>
  <c r="AM113" i="75"/>
  <c r="AL113" i="75"/>
  <c r="AK113" i="75"/>
  <c r="AJ113" i="75"/>
  <c r="AI113" i="75"/>
  <c r="AH113" i="75"/>
  <c r="AG113" i="75"/>
  <c r="AF113" i="75"/>
  <c r="AE113" i="75"/>
  <c r="AD113" i="75"/>
  <c r="AC113" i="75"/>
  <c r="AB113" i="75"/>
  <c r="AA113" i="75"/>
  <c r="Z113" i="75"/>
  <c r="X113" i="75"/>
  <c r="W113" i="75"/>
  <c r="U113" i="75"/>
  <c r="T113" i="75"/>
  <c r="R113" i="75"/>
  <c r="Q113" i="75"/>
  <c r="P113" i="75"/>
  <c r="O113" i="75"/>
  <c r="N113" i="75"/>
  <c r="M113" i="75"/>
  <c r="I113" i="75"/>
  <c r="H113" i="75"/>
  <c r="G113" i="75"/>
  <c r="F113" i="75"/>
  <c r="E113" i="75"/>
  <c r="D113" i="75"/>
  <c r="C113" i="75"/>
  <c r="B113" i="75"/>
  <c r="A113" i="75"/>
  <c r="AM112" i="75"/>
  <c r="AL112" i="75"/>
  <c r="AK112" i="75"/>
  <c r="AJ112" i="75"/>
  <c r="AI112" i="75"/>
  <c r="AH112" i="75"/>
  <c r="AG112" i="75"/>
  <c r="AF112" i="75"/>
  <c r="AE112" i="75"/>
  <c r="AD112" i="75"/>
  <c r="AC112" i="75"/>
  <c r="AB112" i="75"/>
  <c r="AA112" i="75"/>
  <c r="X112" i="75"/>
  <c r="W112" i="75"/>
  <c r="U112" i="75"/>
  <c r="T112" i="75"/>
  <c r="R112" i="75"/>
  <c r="Q112" i="75"/>
  <c r="P112" i="75"/>
  <c r="O112" i="75"/>
  <c r="N112" i="75"/>
  <c r="M112" i="75"/>
  <c r="I112" i="75"/>
  <c r="H112" i="75"/>
  <c r="G112" i="75"/>
  <c r="F112" i="75"/>
  <c r="E112" i="75"/>
  <c r="D112" i="75"/>
  <c r="C112" i="75"/>
  <c r="B112" i="75"/>
  <c r="A112" i="75"/>
  <c r="AM111" i="75"/>
  <c r="AL111" i="75"/>
  <c r="AK111" i="75"/>
  <c r="AJ111" i="75"/>
  <c r="AI111" i="75"/>
  <c r="AH111" i="75"/>
  <c r="AG111" i="75"/>
  <c r="AF111" i="75"/>
  <c r="AE111" i="75"/>
  <c r="AD111" i="75"/>
  <c r="AC111" i="75"/>
  <c r="AB111" i="75"/>
  <c r="AA111" i="75"/>
  <c r="X111" i="75"/>
  <c r="W111" i="75"/>
  <c r="U111" i="75"/>
  <c r="T111" i="75"/>
  <c r="R111" i="75"/>
  <c r="Q111" i="75"/>
  <c r="P111" i="75"/>
  <c r="O111" i="75"/>
  <c r="N111" i="75"/>
  <c r="M111" i="75"/>
  <c r="I111" i="75"/>
  <c r="H111" i="75"/>
  <c r="G111" i="75"/>
  <c r="F111" i="75"/>
  <c r="E111" i="75"/>
  <c r="D111" i="75"/>
  <c r="C111" i="75"/>
  <c r="B111" i="75"/>
  <c r="A111" i="75"/>
  <c r="M110" i="75"/>
  <c r="L110" i="75"/>
  <c r="AM109" i="75"/>
  <c r="AL109" i="75"/>
  <c r="AK109" i="75"/>
  <c r="AJ109" i="75"/>
  <c r="AI109" i="75"/>
  <c r="AH109" i="75"/>
  <c r="AG109" i="75"/>
  <c r="AF109" i="75"/>
  <c r="AE109" i="75"/>
  <c r="AD109" i="75"/>
  <c r="AC109" i="75"/>
  <c r="AB109" i="75"/>
  <c r="AA109" i="75"/>
  <c r="X109" i="75"/>
  <c r="W109" i="75"/>
  <c r="U109" i="75"/>
  <c r="T109" i="75"/>
  <c r="R109" i="75"/>
  <c r="Q109" i="75"/>
  <c r="P109" i="75"/>
  <c r="O109" i="75"/>
  <c r="N109" i="75"/>
  <c r="M109" i="75"/>
  <c r="I109" i="75"/>
  <c r="H109" i="75"/>
  <c r="G109" i="75"/>
  <c r="F109" i="75"/>
  <c r="E109" i="75"/>
  <c r="D109" i="75"/>
  <c r="C109" i="75"/>
  <c r="B109" i="75"/>
  <c r="A109" i="75"/>
  <c r="AE108" i="75"/>
  <c r="AD108" i="75"/>
  <c r="AC108" i="75"/>
  <c r="AB108" i="75"/>
  <c r="AA108" i="75"/>
  <c r="X108" i="75"/>
  <c r="W108" i="75"/>
  <c r="U108" i="75"/>
  <c r="T108" i="75"/>
  <c r="R108" i="75"/>
  <c r="Q108" i="75"/>
  <c r="P108" i="75"/>
  <c r="O108" i="75"/>
  <c r="N108" i="75"/>
  <c r="AM107" i="75"/>
  <c r="AL107" i="75"/>
  <c r="AK107" i="75"/>
  <c r="AJ107" i="75"/>
  <c r="AI107" i="75"/>
  <c r="AH107" i="75"/>
  <c r="AG107" i="75"/>
  <c r="AF107" i="75"/>
  <c r="AE107" i="75"/>
  <c r="AD107" i="75"/>
  <c r="AC107" i="75"/>
  <c r="AB107" i="75"/>
  <c r="AA107" i="75"/>
  <c r="Z107" i="75"/>
  <c r="Y107" i="75"/>
  <c r="X107" i="75"/>
  <c r="W107" i="75"/>
  <c r="U107" i="75"/>
  <c r="T107" i="75"/>
  <c r="R107" i="75"/>
  <c r="Q107" i="75"/>
  <c r="P107" i="75"/>
  <c r="O107" i="75"/>
  <c r="N107" i="75"/>
  <c r="AM106" i="75"/>
  <c r="AL106" i="75"/>
  <c r="AK106" i="75"/>
  <c r="AJ106" i="75"/>
  <c r="AI106" i="75"/>
  <c r="AH106" i="75"/>
  <c r="AG106" i="75"/>
  <c r="AF106" i="75"/>
  <c r="AE106" i="75"/>
  <c r="AD106" i="75"/>
  <c r="AC106" i="75"/>
  <c r="AB106" i="75"/>
  <c r="AA106" i="75"/>
  <c r="Z106" i="75"/>
  <c r="Y106" i="75"/>
  <c r="X106" i="75"/>
  <c r="W106" i="75"/>
  <c r="U106" i="75"/>
  <c r="T106" i="75"/>
  <c r="R106" i="75"/>
  <c r="Q106" i="75"/>
  <c r="P106" i="75"/>
  <c r="O106" i="75"/>
  <c r="N106" i="75"/>
  <c r="AM105" i="75"/>
  <c r="AL105" i="75"/>
  <c r="AK105" i="75"/>
  <c r="AJ105" i="75"/>
  <c r="AI105" i="75"/>
  <c r="AH105" i="75"/>
  <c r="AG105" i="75"/>
  <c r="AF105" i="75"/>
  <c r="AE105" i="75"/>
  <c r="AD105" i="75"/>
  <c r="AC105" i="75"/>
  <c r="AB105" i="75"/>
  <c r="AA105" i="75"/>
  <c r="X105" i="75"/>
  <c r="W105" i="75"/>
  <c r="U105" i="75"/>
  <c r="T105" i="75"/>
  <c r="R105" i="75"/>
  <c r="Q105" i="75"/>
  <c r="P105" i="75"/>
  <c r="O105" i="75"/>
  <c r="N105" i="75"/>
  <c r="M105" i="75"/>
  <c r="I105" i="75"/>
  <c r="H105" i="75"/>
  <c r="G105" i="75"/>
  <c r="F105" i="75"/>
  <c r="E105" i="75"/>
  <c r="D105" i="75"/>
  <c r="C105" i="75"/>
  <c r="B105" i="75"/>
  <c r="A105" i="75"/>
  <c r="AM104" i="75"/>
  <c r="AL104" i="75"/>
  <c r="AK104" i="75"/>
  <c r="AJ104" i="75"/>
  <c r="AI104" i="75"/>
  <c r="AH104" i="75"/>
  <c r="AG104" i="75"/>
  <c r="AF104" i="75"/>
  <c r="AE104" i="75"/>
  <c r="AD104" i="75"/>
  <c r="AC104" i="75"/>
  <c r="AB104" i="75"/>
  <c r="AA104" i="75"/>
  <c r="Z104" i="75"/>
  <c r="X104" i="75"/>
  <c r="W104" i="75"/>
  <c r="U104" i="75"/>
  <c r="T104" i="75"/>
  <c r="R104" i="75"/>
  <c r="Q104" i="75"/>
  <c r="P104" i="75"/>
  <c r="O104" i="75"/>
  <c r="N104" i="75"/>
  <c r="M104" i="75"/>
  <c r="I104" i="75"/>
  <c r="H104" i="75"/>
  <c r="G104" i="75"/>
  <c r="F104" i="75"/>
  <c r="E104" i="75"/>
  <c r="D104" i="75"/>
  <c r="C104" i="75"/>
  <c r="B104" i="75"/>
  <c r="A104" i="75"/>
  <c r="AM103" i="75"/>
  <c r="AL103" i="75"/>
  <c r="AK103" i="75"/>
  <c r="AJ103" i="75"/>
  <c r="AI103" i="75"/>
  <c r="AH103" i="75"/>
  <c r="AG103" i="75"/>
  <c r="AF103" i="75"/>
  <c r="AE103" i="75"/>
  <c r="AD103" i="75"/>
  <c r="AC103" i="75"/>
  <c r="AB103" i="75"/>
  <c r="AA103" i="75"/>
  <c r="X103" i="75"/>
  <c r="W103" i="75"/>
  <c r="U103" i="75"/>
  <c r="T103" i="75"/>
  <c r="R103" i="75"/>
  <c r="Q103" i="75"/>
  <c r="P103" i="75"/>
  <c r="O103" i="75"/>
  <c r="N103" i="75"/>
  <c r="M103" i="75"/>
  <c r="I103" i="75"/>
  <c r="H103" i="75"/>
  <c r="G103" i="75"/>
  <c r="F103" i="75"/>
  <c r="E103" i="75"/>
  <c r="D103" i="75"/>
  <c r="C103" i="75"/>
  <c r="B103" i="75"/>
  <c r="A103" i="75"/>
  <c r="AM102" i="75"/>
  <c r="AL102" i="75"/>
  <c r="AK102" i="75"/>
  <c r="AJ102" i="75"/>
  <c r="AI102" i="75"/>
  <c r="AH102" i="75"/>
  <c r="AG102" i="75"/>
  <c r="AF102" i="75"/>
  <c r="AE102" i="75"/>
  <c r="AD102" i="75"/>
  <c r="AC102" i="75"/>
  <c r="AB102" i="75"/>
  <c r="AA102" i="75"/>
  <c r="X102" i="75"/>
  <c r="W102" i="75"/>
  <c r="U102" i="75"/>
  <c r="T102" i="75"/>
  <c r="R102" i="75"/>
  <c r="Q102" i="75"/>
  <c r="P102" i="75"/>
  <c r="O102" i="75"/>
  <c r="N102" i="75"/>
  <c r="M102" i="75"/>
  <c r="I102" i="75"/>
  <c r="H102" i="75"/>
  <c r="G102" i="75"/>
  <c r="F102" i="75"/>
  <c r="E102" i="75"/>
  <c r="D102" i="75"/>
  <c r="C102" i="75"/>
  <c r="B102" i="75"/>
  <c r="A102" i="75"/>
  <c r="AM101" i="75"/>
  <c r="AL101" i="75"/>
  <c r="AK101" i="75"/>
  <c r="AJ101" i="75"/>
  <c r="AI101" i="75"/>
  <c r="AH101" i="75"/>
  <c r="AG101" i="75"/>
  <c r="AF101" i="75"/>
  <c r="AE101" i="75"/>
  <c r="AD101" i="75"/>
  <c r="AC101" i="75"/>
  <c r="AB101" i="75"/>
  <c r="AA101" i="75"/>
  <c r="X101" i="75"/>
  <c r="W101" i="75"/>
  <c r="U101" i="75"/>
  <c r="T101" i="75"/>
  <c r="R101" i="75"/>
  <c r="Q101" i="75"/>
  <c r="P101" i="75"/>
  <c r="O101" i="75"/>
  <c r="N101" i="75"/>
  <c r="M101" i="75"/>
  <c r="I101" i="75"/>
  <c r="H101" i="75"/>
  <c r="G101" i="75"/>
  <c r="F101" i="75"/>
  <c r="E101" i="75"/>
  <c r="D101" i="75"/>
  <c r="C101" i="75"/>
  <c r="B101" i="75"/>
  <c r="A101" i="75"/>
  <c r="AM100" i="75"/>
  <c r="AL100" i="75"/>
  <c r="AK100" i="75"/>
  <c r="AJ100" i="75"/>
  <c r="AI100" i="75"/>
  <c r="AH100" i="75"/>
  <c r="AG100" i="75"/>
  <c r="AF100" i="75"/>
  <c r="AE100" i="75"/>
  <c r="AD100" i="75"/>
  <c r="AC100" i="75"/>
  <c r="AB100" i="75"/>
  <c r="AA100" i="75"/>
  <c r="X100" i="75"/>
  <c r="W100" i="75"/>
  <c r="U100" i="75"/>
  <c r="T100" i="75"/>
  <c r="R100" i="75"/>
  <c r="Q100" i="75"/>
  <c r="P100" i="75"/>
  <c r="O100" i="75"/>
  <c r="N100" i="75"/>
  <c r="M100" i="75"/>
  <c r="I100" i="75"/>
  <c r="H100" i="75"/>
  <c r="G100" i="75"/>
  <c r="F100" i="75"/>
  <c r="E100" i="75"/>
  <c r="D100" i="75"/>
  <c r="C100" i="75"/>
  <c r="B100" i="75"/>
  <c r="A100" i="75"/>
  <c r="AM99" i="75"/>
  <c r="AL99" i="75"/>
  <c r="AK99" i="75"/>
  <c r="AJ99" i="75"/>
  <c r="AI99" i="75"/>
  <c r="AH99" i="75"/>
  <c r="AG99" i="75"/>
  <c r="AF99" i="75"/>
  <c r="AE99" i="75"/>
  <c r="AD99" i="75"/>
  <c r="AC99" i="75"/>
  <c r="AB99" i="75"/>
  <c r="AA99" i="75"/>
  <c r="X99" i="75"/>
  <c r="W99" i="75"/>
  <c r="U99" i="75"/>
  <c r="T99" i="75"/>
  <c r="R99" i="75"/>
  <c r="Q99" i="75"/>
  <c r="P99" i="75"/>
  <c r="O99" i="75"/>
  <c r="N99" i="75"/>
  <c r="M99" i="75"/>
  <c r="I99" i="75"/>
  <c r="H99" i="75"/>
  <c r="G99" i="75"/>
  <c r="F99" i="75"/>
  <c r="E99" i="75"/>
  <c r="D99" i="75"/>
  <c r="C99" i="75"/>
  <c r="B99" i="75"/>
  <c r="A99" i="75"/>
  <c r="AM98" i="75"/>
  <c r="AL98" i="75"/>
  <c r="AK98" i="75"/>
  <c r="AJ98" i="75"/>
  <c r="AI98" i="75"/>
  <c r="AH98" i="75"/>
  <c r="AG98" i="75"/>
  <c r="AF98" i="75"/>
  <c r="AE98" i="75"/>
  <c r="AD98" i="75"/>
  <c r="AC98" i="75"/>
  <c r="AB98" i="75"/>
  <c r="AA98" i="75"/>
  <c r="X98" i="75"/>
  <c r="W98" i="75"/>
  <c r="U98" i="75"/>
  <c r="T98" i="75"/>
  <c r="R98" i="75"/>
  <c r="Q98" i="75"/>
  <c r="P98" i="75"/>
  <c r="O98" i="75"/>
  <c r="N98" i="75"/>
  <c r="M98" i="75"/>
  <c r="I98" i="75"/>
  <c r="H98" i="75"/>
  <c r="G98" i="75"/>
  <c r="F98" i="75"/>
  <c r="E98" i="75"/>
  <c r="D98" i="75"/>
  <c r="C98" i="75"/>
  <c r="B98" i="75"/>
  <c r="A98" i="75"/>
  <c r="AM97" i="75"/>
  <c r="AL97" i="75"/>
  <c r="AK97" i="75"/>
  <c r="AJ97" i="75"/>
  <c r="AI97" i="75"/>
  <c r="AH97" i="75"/>
  <c r="AG97" i="75"/>
  <c r="AF97" i="75"/>
  <c r="AE97" i="75"/>
  <c r="AD97" i="75"/>
  <c r="AC97" i="75"/>
  <c r="AB97" i="75"/>
  <c r="AA97" i="75"/>
  <c r="Z97" i="75"/>
  <c r="X97" i="75"/>
  <c r="W97" i="75"/>
  <c r="U97" i="75"/>
  <c r="T97" i="75"/>
  <c r="R97" i="75"/>
  <c r="Q97" i="75"/>
  <c r="P97" i="75"/>
  <c r="O97" i="75"/>
  <c r="N97" i="75"/>
  <c r="M97" i="75"/>
  <c r="I97" i="75"/>
  <c r="H97" i="75"/>
  <c r="G97" i="75"/>
  <c r="F97" i="75"/>
  <c r="E97" i="75"/>
  <c r="D97" i="75"/>
  <c r="C97" i="75"/>
  <c r="B97" i="75"/>
  <c r="A97" i="75"/>
  <c r="AM96" i="75"/>
  <c r="AL96" i="75"/>
  <c r="AK96" i="75"/>
  <c r="AJ96" i="75"/>
  <c r="AI96" i="75"/>
  <c r="AH96" i="75"/>
  <c r="AG96" i="75"/>
  <c r="AF96" i="75"/>
  <c r="AE96" i="75"/>
  <c r="AD96" i="75"/>
  <c r="AC96" i="75"/>
  <c r="AB96" i="75"/>
  <c r="AA96" i="75"/>
  <c r="X96" i="75"/>
  <c r="W96" i="75"/>
  <c r="U96" i="75"/>
  <c r="T96" i="75"/>
  <c r="T95" i="75" s="1"/>
  <c r="R96" i="75"/>
  <c r="Q96" i="75"/>
  <c r="P96" i="75"/>
  <c r="O96" i="75"/>
  <c r="N96" i="75"/>
  <c r="M96" i="75"/>
  <c r="I96" i="75"/>
  <c r="H96" i="75"/>
  <c r="G96" i="75"/>
  <c r="F96" i="75"/>
  <c r="E96" i="75"/>
  <c r="D96" i="75"/>
  <c r="C96" i="75"/>
  <c r="B96" i="75"/>
  <c r="A96" i="75"/>
  <c r="X95" i="75"/>
  <c r="U95" i="75"/>
  <c r="M95" i="75"/>
  <c r="L95" i="75"/>
  <c r="AM94" i="75"/>
  <c r="AL94" i="75"/>
  <c r="AK94" i="75"/>
  <c r="AJ94" i="75"/>
  <c r="AI94" i="75"/>
  <c r="AH94" i="75"/>
  <c r="AG94" i="75"/>
  <c r="AF94" i="75"/>
  <c r="AE94" i="75"/>
  <c r="AD94" i="75"/>
  <c r="AC94" i="75"/>
  <c r="AB94" i="75"/>
  <c r="AA94" i="75"/>
  <c r="X94" i="75"/>
  <c r="W94" i="75"/>
  <c r="U94" i="75"/>
  <c r="T94" i="75"/>
  <c r="R94" i="75"/>
  <c r="Q94" i="75"/>
  <c r="P94" i="75"/>
  <c r="O94" i="75"/>
  <c r="N94" i="75"/>
  <c r="M94" i="75"/>
  <c r="I94" i="75"/>
  <c r="H94" i="75"/>
  <c r="G94" i="75"/>
  <c r="F94" i="75"/>
  <c r="E94" i="75"/>
  <c r="D94" i="75"/>
  <c r="C94" i="75"/>
  <c r="B94" i="75"/>
  <c r="A94" i="75"/>
  <c r="AM93" i="75"/>
  <c r="AL93" i="75"/>
  <c r="AK93" i="75"/>
  <c r="AJ93" i="75"/>
  <c r="AI93" i="75"/>
  <c r="AH93" i="75"/>
  <c r="AG93" i="75"/>
  <c r="AF93" i="75"/>
  <c r="AE93" i="75"/>
  <c r="AD93" i="75"/>
  <c r="AC93" i="75"/>
  <c r="AB93" i="75"/>
  <c r="AA93" i="75"/>
  <c r="X93" i="75"/>
  <c r="W93" i="75"/>
  <c r="U93" i="75"/>
  <c r="T93" i="75"/>
  <c r="R93" i="75"/>
  <c r="Q93" i="75"/>
  <c r="P93" i="75"/>
  <c r="O93" i="75"/>
  <c r="N93" i="75"/>
  <c r="M93" i="75"/>
  <c r="I93" i="75"/>
  <c r="H93" i="75"/>
  <c r="G93" i="75"/>
  <c r="F93" i="75"/>
  <c r="E93" i="75"/>
  <c r="D93" i="75"/>
  <c r="C93" i="75"/>
  <c r="B93" i="75"/>
  <c r="A93" i="75"/>
  <c r="AM92" i="75"/>
  <c r="AL92" i="75"/>
  <c r="AK92" i="75"/>
  <c r="AJ92" i="75"/>
  <c r="AI92" i="75"/>
  <c r="AH92" i="75"/>
  <c r="AG92" i="75"/>
  <c r="AF92" i="75"/>
  <c r="AE92" i="75"/>
  <c r="AD92" i="75"/>
  <c r="AC92" i="75"/>
  <c r="AB92" i="75"/>
  <c r="AA92" i="75"/>
  <c r="Y92" i="75"/>
  <c r="X92" i="75"/>
  <c r="W92" i="75"/>
  <c r="U92" i="75"/>
  <c r="T92" i="75"/>
  <c r="R92" i="75"/>
  <c r="Q92" i="75"/>
  <c r="P92" i="75"/>
  <c r="O92" i="75"/>
  <c r="N92" i="75"/>
  <c r="M92" i="75"/>
  <c r="I92" i="75"/>
  <c r="H92" i="75"/>
  <c r="G92" i="75"/>
  <c r="F92" i="75"/>
  <c r="E92" i="75"/>
  <c r="D92" i="75"/>
  <c r="C92" i="75"/>
  <c r="B92" i="75"/>
  <c r="A92" i="75"/>
  <c r="X91" i="75"/>
  <c r="R91" i="75"/>
  <c r="M91" i="75"/>
  <c r="L91" i="75"/>
  <c r="AM90" i="75"/>
  <c r="AL90" i="75"/>
  <c r="AK90" i="75"/>
  <c r="AJ90" i="75"/>
  <c r="AI90" i="75"/>
  <c r="AH90" i="75"/>
  <c r="AG90" i="75"/>
  <c r="AF90" i="75"/>
  <c r="AE90" i="75"/>
  <c r="AD90" i="75"/>
  <c r="AC90" i="75"/>
  <c r="AB90" i="75"/>
  <c r="AA90" i="75"/>
  <c r="Z90" i="75"/>
  <c r="X90" i="75"/>
  <c r="W90" i="75"/>
  <c r="U90" i="75"/>
  <c r="T90" i="75"/>
  <c r="R90" i="75"/>
  <c r="Q90" i="75"/>
  <c r="P90" i="75"/>
  <c r="O90" i="75"/>
  <c r="N90" i="75"/>
  <c r="M90" i="75"/>
  <c r="I90" i="75"/>
  <c r="H90" i="75"/>
  <c r="G90" i="75"/>
  <c r="F90" i="75"/>
  <c r="E90" i="75"/>
  <c r="D90" i="75"/>
  <c r="C90" i="75"/>
  <c r="B90" i="75"/>
  <c r="A90" i="75"/>
  <c r="AM89" i="75"/>
  <c r="AL89" i="75"/>
  <c r="AK89" i="75"/>
  <c r="AJ89" i="75"/>
  <c r="AI89" i="75"/>
  <c r="AH89" i="75"/>
  <c r="AG89" i="75"/>
  <c r="AF89" i="75"/>
  <c r="AE89" i="75"/>
  <c r="AD89" i="75"/>
  <c r="AC89" i="75"/>
  <c r="AB89" i="75"/>
  <c r="AA89" i="75"/>
  <c r="Z89" i="75"/>
  <c r="X89" i="75"/>
  <c r="W89" i="75"/>
  <c r="U89" i="75"/>
  <c r="T89" i="75"/>
  <c r="R89" i="75"/>
  <c r="Q89" i="75"/>
  <c r="P89" i="75"/>
  <c r="O89" i="75"/>
  <c r="N89" i="75"/>
  <c r="M89" i="75"/>
  <c r="I89" i="75"/>
  <c r="H89" i="75"/>
  <c r="G89" i="75"/>
  <c r="F89" i="75"/>
  <c r="E89" i="75"/>
  <c r="D89" i="75"/>
  <c r="C89" i="75"/>
  <c r="B89" i="75"/>
  <c r="A89" i="75"/>
  <c r="AM88" i="75"/>
  <c r="AL88" i="75"/>
  <c r="AK88" i="75"/>
  <c r="AJ88" i="75"/>
  <c r="AI88" i="75"/>
  <c r="AH88" i="75"/>
  <c r="AG88" i="75"/>
  <c r="AF88" i="75"/>
  <c r="AE88" i="75"/>
  <c r="AD88" i="75"/>
  <c r="AC88" i="75"/>
  <c r="AB88" i="75"/>
  <c r="AA88" i="75"/>
  <c r="Y88" i="75"/>
  <c r="X88" i="75"/>
  <c r="W88" i="75"/>
  <c r="U88" i="75"/>
  <c r="T88" i="75"/>
  <c r="R88" i="75"/>
  <c r="Q88" i="75"/>
  <c r="P88" i="75"/>
  <c r="O88" i="75"/>
  <c r="N88" i="75"/>
  <c r="M88" i="75"/>
  <c r="I88" i="75"/>
  <c r="H88" i="75"/>
  <c r="G88" i="75"/>
  <c r="F88" i="75"/>
  <c r="E88" i="75"/>
  <c r="D88" i="75"/>
  <c r="C88" i="75"/>
  <c r="B88" i="75"/>
  <c r="A88" i="75"/>
  <c r="AM87" i="75"/>
  <c r="AL87" i="75"/>
  <c r="AK87" i="75"/>
  <c r="AJ87" i="75"/>
  <c r="AI87" i="75"/>
  <c r="AH87" i="75"/>
  <c r="AG87" i="75"/>
  <c r="AF87" i="75"/>
  <c r="AE87" i="75"/>
  <c r="AD87" i="75"/>
  <c r="AC87" i="75"/>
  <c r="AB87" i="75"/>
  <c r="AA87" i="75"/>
  <c r="Z87" i="75"/>
  <c r="X87" i="75"/>
  <c r="W87" i="75"/>
  <c r="U87" i="75"/>
  <c r="T87" i="75"/>
  <c r="R87" i="75"/>
  <c r="Q87" i="75"/>
  <c r="P87" i="75"/>
  <c r="O87" i="75"/>
  <c r="N87" i="75"/>
  <c r="M87" i="75"/>
  <c r="I87" i="75"/>
  <c r="H87" i="75"/>
  <c r="G87" i="75"/>
  <c r="F87" i="75"/>
  <c r="E87" i="75"/>
  <c r="D87" i="75"/>
  <c r="C87" i="75"/>
  <c r="B87" i="75"/>
  <c r="A87" i="75"/>
  <c r="AM86" i="75"/>
  <c r="AL86" i="75"/>
  <c r="AK86" i="75"/>
  <c r="AJ86" i="75"/>
  <c r="AI86" i="75"/>
  <c r="AH86" i="75"/>
  <c r="AG86" i="75"/>
  <c r="AF86" i="75"/>
  <c r="AE86" i="75"/>
  <c r="AD86" i="75"/>
  <c r="AC86" i="75"/>
  <c r="AB86" i="75"/>
  <c r="AA86" i="75"/>
  <c r="Z86" i="75"/>
  <c r="X86" i="75"/>
  <c r="W86" i="75"/>
  <c r="U86" i="75"/>
  <c r="T86" i="75"/>
  <c r="R86" i="75"/>
  <c r="Q86" i="75"/>
  <c r="P86" i="75"/>
  <c r="O86" i="75"/>
  <c r="N86" i="75"/>
  <c r="M86" i="75"/>
  <c r="I86" i="75"/>
  <c r="H86" i="75"/>
  <c r="G86" i="75"/>
  <c r="F86" i="75"/>
  <c r="E86" i="75"/>
  <c r="D86" i="75"/>
  <c r="C86" i="75"/>
  <c r="B86" i="75"/>
  <c r="A86" i="75"/>
  <c r="AM85" i="75"/>
  <c r="AL85" i="75"/>
  <c r="AK85" i="75"/>
  <c r="AJ85" i="75"/>
  <c r="AI85" i="75"/>
  <c r="AH85" i="75"/>
  <c r="AG85" i="75"/>
  <c r="AF85" i="75"/>
  <c r="AE85" i="75"/>
  <c r="AD85" i="75"/>
  <c r="AC85" i="75"/>
  <c r="AB85" i="75"/>
  <c r="AA85" i="75"/>
  <c r="Z85" i="75"/>
  <c r="X85" i="75"/>
  <c r="W85" i="75"/>
  <c r="U85" i="75"/>
  <c r="T85" i="75"/>
  <c r="R85" i="75"/>
  <c r="Q85" i="75"/>
  <c r="P85" i="75"/>
  <c r="O85" i="75"/>
  <c r="N85" i="75"/>
  <c r="M85" i="75"/>
  <c r="I85" i="75"/>
  <c r="H85" i="75"/>
  <c r="G85" i="75"/>
  <c r="F85" i="75"/>
  <c r="E85" i="75"/>
  <c r="D85" i="75"/>
  <c r="C85" i="75"/>
  <c r="B85" i="75"/>
  <c r="A85" i="75"/>
  <c r="AM84" i="75"/>
  <c r="AL84" i="75"/>
  <c r="AK84" i="75"/>
  <c r="AJ84" i="75"/>
  <c r="AI84" i="75"/>
  <c r="AH84" i="75"/>
  <c r="AG84" i="75"/>
  <c r="AF84" i="75"/>
  <c r="AE84" i="75"/>
  <c r="AD84" i="75"/>
  <c r="AC84" i="75"/>
  <c r="AB84" i="75"/>
  <c r="AA84" i="75"/>
  <c r="Z84" i="75"/>
  <c r="X84" i="75"/>
  <c r="W84" i="75"/>
  <c r="U84" i="75"/>
  <c r="T84" i="75"/>
  <c r="R84" i="75"/>
  <c r="Q84" i="75"/>
  <c r="P84" i="75"/>
  <c r="O84" i="75"/>
  <c r="N84" i="75"/>
  <c r="M84" i="75"/>
  <c r="I84" i="75"/>
  <c r="H84" i="75"/>
  <c r="G84" i="75"/>
  <c r="F84" i="75"/>
  <c r="E84" i="75"/>
  <c r="D84" i="75"/>
  <c r="C84" i="75"/>
  <c r="B84" i="75"/>
  <c r="A84" i="75"/>
  <c r="AM83" i="75"/>
  <c r="AL83" i="75"/>
  <c r="AK83" i="75"/>
  <c r="AJ83" i="75"/>
  <c r="AI83" i="75"/>
  <c r="AH83" i="75"/>
  <c r="AG83" i="75"/>
  <c r="AF83" i="75"/>
  <c r="AE83" i="75"/>
  <c r="AD83" i="75"/>
  <c r="AC83" i="75"/>
  <c r="AB83" i="75"/>
  <c r="AA83" i="75"/>
  <c r="Z83" i="75"/>
  <c r="X83" i="75"/>
  <c r="W83" i="75"/>
  <c r="U83" i="75"/>
  <c r="T83" i="75"/>
  <c r="R83" i="75"/>
  <c r="Q83" i="75"/>
  <c r="P83" i="75"/>
  <c r="O83" i="75"/>
  <c r="N83" i="75"/>
  <c r="M83" i="75"/>
  <c r="I83" i="75"/>
  <c r="H83" i="75"/>
  <c r="G83" i="75"/>
  <c r="F83" i="75"/>
  <c r="E83" i="75"/>
  <c r="D83" i="75"/>
  <c r="C83" i="75"/>
  <c r="B83" i="75"/>
  <c r="A83" i="75"/>
  <c r="AM82" i="75"/>
  <c r="AL82" i="75"/>
  <c r="AK82" i="75"/>
  <c r="AJ82" i="75"/>
  <c r="AI82" i="75"/>
  <c r="AH82" i="75"/>
  <c r="AG82" i="75"/>
  <c r="AF82" i="75"/>
  <c r="AE82" i="75"/>
  <c r="AD82" i="75"/>
  <c r="AC82" i="75"/>
  <c r="AB82" i="75"/>
  <c r="AA82" i="75"/>
  <c r="Z82" i="75"/>
  <c r="X82" i="75"/>
  <c r="W82" i="75"/>
  <c r="U82" i="75"/>
  <c r="T82" i="75"/>
  <c r="R82" i="75"/>
  <c r="Q82" i="75"/>
  <c r="P82" i="75"/>
  <c r="O82" i="75"/>
  <c r="N82" i="75"/>
  <c r="M82" i="75"/>
  <c r="I82" i="75"/>
  <c r="H82" i="75"/>
  <c r="G82" i="75"/>
  <c r="F82" i="75"/>
  <c r="E82" i="75"/>
  <c r="D82" i="75"/>
  <c r="C82" i="75"/>
  <c r="B82" i="75"/>
  <c r="A82" i="75"/>
  <c r="AM81" i="75"/>
  <c r="AL81" i="75"/>
  <c r="AK81" i="75"/>
  <c r="AJ81" i="75"/>
  <c r="AI81" i="75"/>
  <c r="AH81" i="75"/>
  <c r="AG81" i="75"/>
  <c r="AF81" i="75"/>
  <c r="AE81" i="75"/>
  <c r="AD81" i="75"/>
  <c r="AC81" i="75"/>
  <c r="AB81" i="75"/>
  <c r="AA81" i="75"/>
  <c r="Z81" i="75"/>
  <c r="Y81" i="75"/>
  <c r="X81" i="75"/>
  <c r="W81" i="75"/>
  <c r="U81" i="75"/>
  <c r="T81" i="75"/>
  <c r="R81" i="75"/>
  <c r="Q81" i="75"/>
  <c r="P81" i="75"/>
  <c r="O81" i="75"/>
  <c r="N81" i="75"/>
  <c r="I81" i="75"/>
  <c r="H81" i="75"/>
  <c r="G81" i="75"/>
  <c r="F81" i="75"/>
  <c r="E81" i="75"/>
  <c r="D81" i="75"/>
  <c r="C81" i="75"/>
  <c r="B81" i="75"/>
  <c r="A81" i="75"/>
  <c r="AM80" i="75"/>
  <c r="AL80" i="75"/>
  <c r="AK80" i="75"/>
  <c r="AJ80" i="75"/>
  <c r="AI80" i="75"/>
  <c r="AH80" i="75"/>
  <c r="AG80" i="75"/>
  <c r="AF80" i="75"/>
  <c r="AE80" i="75"/>
  <c r="AD80" i="75"/>
  <c r="AC80" i="75"/>
  <c r="AB80" i="75"/>
  <c r="AA80" i="75"/>
  <c r="Z80" i="75"/>
  <c r="Y80" i="75"/>
  <c r="X80" i="75"/>
  <c r="W80" i="75"/>
  <c r="U80" i="75"/>
  <c r="T80" i="75"/>
  <c r="R80" i="75"/>
  <c r="Q80" i="75"/>
  <c r="P80" i="75"/>
  <c r="O80" i="75"/>
  <c r="N80" i="75"/>
  <c r="I80" i="75"/>
  <c r="H80" i="75"/>
  <c r="G80" i="75"/>
  <c r="F80" i="75"/>
  <c r="E80" i="75"/>
  <c r="D80" i="75"/>
  <c r="C80" i="75"/>
  <c r="B80" i="75"/>
  <c r="A80" i="75"/>
  <c r="AM79" i="75"/>
  <c r="AL79" i="75"/>
  <c r="AK79" i="75"/>
  <c r="AJ79" i="75"/>
  <c r="AI79" i="75"/>
  <c r="AH79" i="75"/>
  <c r="AG79" i="75"/>
  <c r="AF79" i="75"/>
  <c r="AE79" i="75"/>
  <c r="AD79" i="75"/>
  <c r="AC79" i="75"/>
  <c r="AB79" i="75"/>
  <c r="AA79" i="75"/>
  <c r="Z79" i="75"/>
  <c r="Y79" i="75"/>
  <c r="X79" i="75"/>
  <c r="W79" i="75"/>
  <c r="U79" i="75"/>
  <c r="T79" i="75"/>
  <c r="R79" i="75"/>
  <c r="Q79" i="75"/>
  <c r="P79" i="75"/>
  <c r="O79" i="75"/>
  <c r="N79" i="75"/>
  <c r="I79" i="75"/>
  <c r="H79" i="75"/>
  <c r="G79" i="75"/>
  <c r="F79" i="75"/>
  <c r="E79" i="75"/>
  <c r="D79" i="75"/>
  <c r="C79" i="75"/>
  <c r="B79" i="75"/>
  <c r="A79" i="75"/>
  <c r="AM78" i="75"/>
  <c r="AL78" i="75"/>
  <c r="AK78" i="75"/>
  <c r="AJ78" i="75"/>
  <c r="AI78" i="75"/>
  <c r="AH78" i="75"/>
  <c r="AG78" i="75"/>
  <c r="AF78" i="75"/>
  <c r="AE78" i="75"/>
  <c r="AD78" i="75"/>
  <c r="AC78" i="75"/>
  <c r="AB78" i="75"/>
  <c r="AA78" i="75"/>
  <c r="X78" i="75"/>
  <c r="W78" i="75"/>
  <c r="Q78" i="75"/>
  <c r="P78" i="75"/>
  <c r="O78" i="75"/>
  <c r="N78" i="75"/>
  <c r="M78" i="75"/>
  <c r="I78" i="75"/>
  <c r="H78" i="75"/>
  <c r="G78" i="75"/>
  <c r="F78" i="75"/>
  <c r="E78" i="75"/>
  <c r="D78" i="75"/>
  <c r="C78" i="75"/>
  <c r="B78" i="75"/>
  <c r="A78" i="75"/>
  <c r="X77" i="75"/>
  <c r="M77" i="75"/>
  <c r="L77" i="75"/>
  <c r="AM76" i="75"/>
  <c r="AL76" i="75"/>
  <c r="AK76" i="75"/>
  <c r="AJ76" i="75"/>
  <c r="AI76" i="75"/>
  <c r="AH76" i="75"/>
  <c r="AG76" i="75"/>
  <c r="AF76" i="75"/>
  <c r="AE76" i="75"/>
  <c r="AD76" i="75"/>
  <c r="AC76" i="75"/>
  <c r="AB76" i="75"/>
  <c r="AA76" i="75"/>
  <c r="Z76" i="75"/>
  <c r="X76" i="75"/>
  <c r="W76" i="75"/>
  <c r="U76" i="75"/>
  <c r="R76" i="75"/>
  <c r="Q76" i="75"/>
  <c r="P76" i="75"/>
  <c r="O76" i="75"/>
  <c r="N76" i="75"/>
  <c r="M76" i="75"/>
  <c r="I76" i="75"/>
  <c r="H76" i="75"/>
  <c r="G76" i="75"/>
  <c r="F76" i="75"/>
  <c r="E76" i="75"/>
  <c r="D76" i="75"/>
  <c r="C76" i="75"/>
  <c r="B76" i="75"/>
  <c r="A76" i="75"/>
  <c r="AM75" i="75"/>
  <c r="AL75" i="75"/>
  <c r="AK75" i="75"/>
  <c r="AJ75" i="75"/>
  <c r="AI75" i="75"/>
  <c r="AH75" i="75"/>
  <c r="AG75" i="75"/>
  <c r="AF75" i="75"/>
  <c r="AE75" i="75"/>
  <c r="AD75" i="75"/>
  <c r="AC75" i="75"/>
  <c r="AB75" i="75"/>
  <c r="AA75" i="75"/>
  <c r="Z75" i="75"/>
  <c r="X75" i="75"/>
  <c r="W75" i="75"/>
  <c r="U75" i="75"/>
  <c r="R75" i="75"/>
  <c r="Q75" i="75"/>
  <c r="P75" i="75"/>
  <c r="O75" i="75"/>
  <c r="N75" i="75"/>
  <c r="M75" i="75"/>
  <c r="I75" i="75"/>
  <c r="H75" i="75"/>
  <c r="G75" i="75"/>
  <c r="F75" i="75"/>
  <c r="E75" i="75"/>
  <c r="D75" i="75"/>
  <c r="C75" i="75"/>
  <c r="B75" i="75"/>
  <c r="A75" i="75"/>
  <c r="AM74" i="75"/>
  <c r="AL74" i="75"/>
  <c r="AK74" i="75"/>
  <c r="AJ74" i="75"/>
  <c r="AI74" i="75"/>
  <c r="AH74" i="75"/>
  <c r="AG74" i="75"/>
  <c r="AF74" i="75"/>
  <c r="AE74" i="75"/>
  <c r="AD74" i="75"/>
  <c r="AC74" i="75"/>
  <c r="AB74" i="75"/>
  <c r="AA74" i="75"/>
  <c r="Z74" i="75"/>
  <c r="Y74" i="75"/>
  <c r="X74" i="75"/>
  <c r="W74" i="75"/>
  <c r="U74" i="75"/>
  <c r="R74" i="75"/>
  <c r="Q74" i="75"/>
  <c r="P74" i="75"/>
  <c r="N74" i="75"/>
  <c r="I74" i="75"/>
  <c r="H74" i="75"/>
  <c r="G74" i="75"/>
  <c r="F74" i="75"/>
  <c r="E74" i="75"/>
  <c r="D74" i="75"/>
  <c r="C74" i="75"/>
  <c r="B74" i="75"/>
  <c r="A74" i="75"/>
  <c r="AM73" i="75"/>
  <c r="AL73" i="75"/>
  <c r="AK73" i="75"/>
  <c r="AJ73" i="75"/>
  <c r="AI73" i="75"/>
  <c r="AH73" i="75"/>
  <c r="AG73" i="75"/>
  <c r="AF73" i="75"/>
  <c r="AE73" i="75"/>
  <c r="AD73" i="75"/>
  <c r="AC73" i="75"/>
  <c r="AB73" i="75"/>
  <c r="AA73" i="75"/>
  <c r="Z73" i="75"/>
  <c r="Y73" i="75"/>
  <c r="X73" i="75"/>
  <c r="W73" i="75"/>
  <c r="U73" i="75"/>
  <c r="R73" i="75"/>
  <c r="Q73" i="75"/>
  <c r="P73" i="75"/>
  <c r="N73" i="75"/>
  <c r="I73" i="75"/>
  <c r="H73" i="75"/>
  <c r="G73" i="75"/>
  <c r="F73" i="75"/>
  <c r="E73" i="75"/>
  <c r="D73" i="75"/>
  <c r="C73" i="75"/>
  <c r="B73" i="75"/>
  <c r="A73" i="75"/>
  <c r="AM72" i="75"/>
  <c r="AL72" i="75"/>
  <c r="AK72" i="75"/>
  <c r="AJ72" i="75"/>
  <c r="AI72" i="75"/>
  <c r="AH72" i="75"/>
  <c r="AG72" i="75"/>
  <c r="AF72" i="75"/>
  <c r="AE72" i="75"/>
  <c r="AD72" i="75"/>
  <c r="AC72" i="75"/>
  <c r="AB72" i="75"/>
  <c r="AA72" i="75"/>
  <c r="X72" i="75"/>
  <c r="W72" i="75"/>
  <c r="U72" i="75"/>
  <c r="R72" i="75"/>
  <c r="Q72" i="75"/>
  <c r="P72" i="75"/>
  <c r="O72" i="75"/>
  <c r="N72" i="75"/>
  <c r="M72" i="75"/>
  <c r="I72" i="75"/>
  <c r="H72" i="75"/>
  <c r="G72" i="75"/>
  <c r="F72" i="75"/>
  <c r="E72" i="75"/>
  <c r="D72" i="75"/>
  <c r="C72" i="75"/>
  <c r="B72" i="75"/>
  <c r="A72" i="75"/>
  <c r="AM71" i="75"/>
  <c r="AL71" i="75"/>
  <c r="AK71" i="75"/>
  <c r="AJ71" i="75"/>
  <c r="AI71" i="75"/>
  <c r="AH71" i="75"/>
  <c r="AG71" i="75"/>
  <c r="AF71" i="75"/>
  <c r="AE71" i="75"/>
  <c r="AD71" i="75"/>
  <c r="AC71" i="75"/>
  <c r="AB71" i="75"/>
  <c r="AA71" i="75"/>
  <c r="Y71" i="75"/>
  <c r="X71" i="75"/>
  <c r="W71" i="75"/>
  <c r="U71" i="75"/>
  <c r="U70" i="75" s="1"/>
  <c r="R71" i="75"/>
  <c r="Q71" i="75"/>
  <c r="P71" i="75"/>
  <c r="O71" i="75"/>
  <c r="N71" i="75"/>
  <c r="M71" i="75"/>
  <c r="I71" i="75"/>
  <c r="H71" i="75"/>
  <c r="G71" i="75"/>
  <c r="F71" i="75"/>
  <c r="E71" i="75"/>
  <c r="D71" i="75"/>
  <c r="C71" i="75"/>
  <c r="B71" i="75"/>
  <c r="A71" i="75"/>
  <c r="M70" i="75"/>
  <c r="L70" i="75"/>
  <c r="AM69" i="75"/>
  <c r="AL69" i="75"/>
  <c r="AK69" i="75"/>
  <c r="AJ69" i="75"/>
  <c r="AI69" i="75"/>
  <c r="AH69" i="75"/>
  <c r="AG69" i="75"/>
  <c r="AF69" i="75"/>
  <c r="AE69" i="75"/>
  <c r="AD69" i="75"/>
  <c r="AC69" i="75"/>
  <c r="AB69" i="75"/>
  <c r="AA69" i="75"/>
  <c r="Y69" i="75"/>
  <c r="X69" i="75"/>
  <c r="X67" i="75" s="1"/>
  <c r="W69" i="75"/>
  <c r="U69" i="75"/>
  <c r="R69" i="75"/>
  <c r="Q69" i="75"/>
  <c r="P69" i="75"/>
  <c r="O69" i="75"/>
  <c r="N69" i="75"/>
  <c r="M69" i="75"/>
  <c r="I69" i="75"/>
  <c r="H69" i="75"/>
  <c r="G69" i="75"/>
  <c r="F69" i="75"/>
  <c r="E69" i="75"/>
  <c r="D69" i="75"/>
  <c r="C69" i="75"/>
  <c r="B69" i="75"/>
  <c r="A69" i="75"/>
  <c r="AM68" i="75"/>
  <c r="AL68" i="75"/>
  <c r="AK68" i="75"/>
  <c r="AJ68" i="75"/>
  <c r="AI68" i="75"/>
  <c r="AH68" i="75"/>
  <c r="AG68" i="75"/>
  <c r="AF68" i="75"/>
  <c r="AE68" i="75"/>
  <c r="AD68" i="75"/>
  <c r="AC68" i="75"/>
  <c r="AB68" i="75"/>
  <c r="AA68" i="75"/>
  <c r="X68" i="75"/>
  <c r="W68" i="75"/>
  <c r="U68" i="75"/>
  <c r="U67" i="75" s="1"/>
  <c r="R68" i="75"/>
  <c r="Q68" i="75"/>
  <c r="P68" i="75"/>
  <c r="O68" i="75"/>
  <c r="N68" i="75"/>
  <c r="M68" i="75"/>
  <c r="I68" i="75"/>
  <c r="H68" i="75"/>
  <c r="G68" i="75"/>
  <c r="F68" i="75"/>
  <c r="E68" i="75"/>
  <c r="D68" i="75"/>
  <c r="C68" i="75"/>
  <c r="B68" i="75"/>
  <c r="A68" i="75"/>
  <c r="R67" i="75"/>
  <c r="M67" i="75"/>
  <c r="L67" i="75"/>
  <c r="AE66" i="75"/>
  <c r="AD66" i="75"/>
  <c r="AC66" i="75"/>
  <c r="AB66" i="75"/>
  <c r="AA66" i="75"/>
  <c r="Z66" i="75"/>
  <c r="Y66" i="75"/>
  <c r="X66" i="75"/>
  <c r="W66" i="75"/>
  <c r="U66" i="75"/>
  <c r="T66" i="75"/>
  <c r="S66" i="75"/>
  <c r="R66" i="75"/>
  <c r="Q66" i="75"/>
  <c r="P66" i="75"/>
  <c r="O66" i="75"/>
  <c r="N66" i="75"/>
  <c r="M66" i="75"/>
  <c r="AM65" i="75"/>
  <c r="AL65" i="75"/>
  <c r="AK65" i="75"/>
  <c r="AJ65" i="75"/>
  <c r="AI65" i="75"/>
  <c r="AH65" i="75"/>
  <c r="AG65" i="75"/>
  <c r="AF65" i="75"/>
  <c r="AE65" i="75"/>
  <c r="AD65" i="75"/>
  <c r="AC65" i="75"/>
  <c r="AB65" i="75"/>
  <c r="AA65" i="75"/>
  <c r="X65" i="75"/>
  <c r="W65" i="75"/>
  <c r="U65" i="75"/>
  <c r="R65" i="75"/>
  <c r="Q65" i="75"/>
  <c r="P65" i="75"/>
  <c r="O65" i="75"/>
  <c r="N65" i="75"/>
  <c r="M65" i="75"/>
  <c r="I65" i="75"/>
  <c r="H65" i="75"/>
  <c r="G65" i="75"/>
  <c r="F65" i="75"/>
  <c r="E65" i="75"/>
  <c r="D65" i="75"/>
  <c r="C65" i="75"/>
  <c r="B65" i="75"/>
  <c r="A65" i="75"/>
  <c r="AM64" i="75"/>
  <c r="AL64" i="75"/>
  <c r="AK64" i="75"/>
  <c r="AJ64" i="75"/>
  <c r="AI64" i="75"/>
  <c r="AH64" i="75"/>
  <c r="AG64" i="75"/>
  <c r="AF64" i="75"/>
  <c r="AE64" i="75"/>
  <c r="AD64" i="75"/>
  <c r="AC64" i="75"/>
  <c r="AB64" i="75"/>
  <c r="AA64" i="75"/>
  <c r="X64" i="75"/>
  <c r="W64" i="75"/>
  <c r="U64" i="75"/>
  <c r="R64" i="75"/>
  <c r="Q64" i="75"/>
  <c r="P64" i="75"/>
  <c r="O64" i="75"/>
  <c r="N64" i="75"/>
  <c r="M64" i="75"/>
  <c r="I64" i="75"/>
  <c r="H64" i="75"/>
  <c r="G64" i="75"/>
  <c r="F64" i="75"/>
  <c r="E64" i="75"/>
  <c r="D64" i="75"/>
  <c r="C64" i="75"/>
  <c r="B64" i="75"/>
  <c r="A64" i="75"/>
  <c r="AM63" i="75"/>
  <c r="AL63" i="75"/>
  <c r="AK63" i="75"/>
  <c r="AJ63" i="75"/>
  <c r="AI63" i="75"/>
  <c r="AH63" i="75"/>
  <c r="AG63" i="75"/>
  <c r="AF63" i="75"/>
  <c r="AE63" i="75"/>
  <c r="AD63" i="75"/>
  <c r="AC63" i="75"/>
  <c r="AB63" i="75"/>
  <c r="AA63" i="75"/>
  <c r="Z63" i="75"/>
  <c r="Y63" i="75"/>
  <c r="X63" i="75"/>
  <c r="W63" i="75"/>
  <c r="U63" i="75"/>
  <c r="T63" i="75"/>
  <c r="R63" i="75"/>
  <c r="Q63" i="75"/>
  <c r="P63" i="75"/>
  <c r="N63" i="75"/>
  <c r="I63" i="75"/>
  <c r="H63" i="75"/>
  <c r="G63" i="75"/>
  <c r="F63" i="75"/>
  <c r="E63" i="75"/>
  <c r="D63" i="75"/>
  <c r="C63" i="75"/>
  <c r="B63" i="75"/>
  <c r="A63" i="75"/>
  <c r="AM62" i="75"/>
  <c r="AL62" i="75"/>
  <c r="AK62" i="75"/>
  <c r="AJ62" i="75"/>
  <c r="AI62" i="75"/>
  <c r="AH62" i="75"/>
  <c r="AG62" i="75"/>
  <c r="AF62" i="75"/>
  <c r="AE62" i="75"/>
  <c r="AD62" i="75"/>
  <c r="AC62" i="75"/>
  <c r="AB62" i="75"/>
  <c r="AA62" i="75"/>
  <c r="Z62" i="75"/>
  <c r="Y62" i="75"/>
  <c r="X62" i="75"/>
  <c r="W62" i="75"/>
  <c r="U62" i="75"/>
  <c r="T62" i="75"/>
  <c r="R62" i="75"/>
  <c r="Q62" i="75"/>
  <c r="P62" i="75"/>
  <c r="N62" i="75"/>
  <c r="I62" i="75"/>
  <c r="H62" i="75"/>
  <c r="G62" i="75"/>
  <c r="F62" i="75"/>
  <c r="E62" i="75"/>
  <c r="D62" i="75"/>
  <c r="C62" i="75"/>
  <c r="B62" i="75"/>
  <c r="A62" i="75"/>
  <c r="AM61" i="75"/>
  <c r="AL61" i="75"/>
  <c r="AK61" i="75"/>
  <c r="AJ61" i="75"/>
  <c r="AI61" i="75"/>
  <c r="AH61" i="75"/>
  <c r="AG61" i="75"/>
  <c r="AF61" i="75"/>
  <c r="AE61" i="75"/>
  <c r="AD61" i="75"/>
  <c r="AC61" i="75"/>
  <c r="AB61" i="75"/>
  <c r="AA61" i="75"/>
  <c r="Z61" i="75"/>
  <c r="Y61" i="75"/>
  <c r="X61" i="75"/>
  <c r="W61" i="75"/>
  <c r="U61" i="75"/>
  <c r="R61" i="75"/>
  <c r="Q61" i="75"/>
  <c r="P61" i="75"/>
  <c r="N61" i="75"/>
  <c r="I61" i="75"/>
  <c r="H61" i="75"/>
  <c r="G61" i="75"/>
  <c r="F61" i="75"/>
  <c r="E61" i="75"/>
  <c r="D61" i="75"/>
  <c r="C61" i="75"/>
  <c r="B61" i="75"/>
  <c r="A61" i="75"/>
  <c r="AM60" i="75"/>
  <c r="AL60" i="75"/>
  <c r="AK60" i="75"/>
  <c r="AJ60" i="75"/>
  <c r="AI60" i="75"/>
  <c r="AH60" i="75"/>
  <c r="AG60" i="75"/>
  <c r="AF60" i="75"/>
  <c r="AE60" i="75"/>
  <c r="AD60" i="75"/>
  <c r="AC60" i="75"/>
  <c r="AB60" i="75"/>
  <c r="X60" i="75"/>
  <c r="W60" i="75"/>
  <c r="U60" i="75"/>
  <c r="R60" i="75"/>
  <c r="Q60" i="75"/>
  <c r="P60" i="75"/>
  <c r="O60" i="75"/>
  <c r="N60" i="75"/>
  <c r="M60" i="75"/>
  <c r="I60" i="75"/>
  <c r="H60" i="75"/>
  <c r="G60" i="75"/>
  <c r="F60" i="75"/>
  <c r="E60" i="75"/>
  <c r="D60" i="75"/>
  <c r="C60" i="75"/>
  <c r="B60" i="75"/>
  <c r="A60" i="75"/>
  <c r="AM59" i="75"/>
  <c r="AL59" i="75"/>
  <c r="AK59" i="75"/>
  <c r="AJ59" i="75"/>
  <c r="AI59" i="75"/>
  <c r="AH59" i="75"/>
  <c r="AG59" i="75"/>
  <c r="AF59" i="75"/>
  <c r="AE59" i="75"/>
  <c r="AD59" i="75"/>
  <c r="AC59" i="75"/>
  <c r="AB59" i="75"/>
  <c r="AA59" i="75"/>
  <c r="Y59" i="75"/>
  <c r="X59" i="75"/>
  <c r="W59" i="75"/>
  <c r="U59" i="75"/>
  <c r="R59" i="75"/>
  <c r="Q59" i="75"/>
  <c r="P59" i="75"/>
  <c r="O59" i="75"/>
  <c r="N59" i="75"/>
  <c r="M59" i="75"/>
  <c r="I59" i="75"/>
  <c r="H59" i="75"/>
  <c r="G59" i="75"/>
  <c r="F59" i="75"/>
  <c r="E59" i="75"/>
  <c r="D59" i="75"/>
  <c r="C59" i="75"/>
  <c r="B59" i="75"/>
  <c r="A59" i="75"/>
  <c r="AM58" i="75"/>
  <c r="AL58" i="75"/>
  <c r="AK58" i="75"/>
  <c r="AJ58" i="75"/>
  <c r="AI58" i="75"/>
  <c r="AH58" i="75"/>
  <c r="AG58" i="75"/>
  <c r="AF58" i="75"/>
  <c r="AE58" i="75"/>
  <c r="AD58" i="75"/>
  <c r="AC58" i="75"/>
  <c r="AB58" i="75"/>
  <c r="AA58" i="75"/>
  <c r="X58" i="75"/>
  <c r="X54" i="75" s="1"/>
  <c r="W58" i="75"/>
  <c r="U58" i="75"/>
  <c r="R58" i="75"/>
  <c r="Q58" i="75"/>
  <c r="P58" i="75"/>
  <c r="O58" i="75"/>
  <c r="N58" i="75"/>
  <c r="M58" i="75"/>
  <c r="I58" i="75"/>
  <c r="H58" i="75"/>
  <c r="G58" i="75"/>
  <c r="F58" i="75"/>
  <c r="E58" i="75"/>
  <c r="D58" i="75"/>
  <c r="C58" i="75"/>
  <c r="B58" i="75"/>
  <c r="A58" i="75"/>
  <c r="AM57" i="75"/>
  <c r="AL57" i="75"/>
  <c r="AK57" i="75"/>
  <c r="AJ57" i="75"/>
  <c r="AI57" i="75"/>
  <c r="AH57" i="75"/>
  <c r="AG57" i="75"/>
  <c r="AF57" i="75"/>
  <c r="AE57" i="75"/>
  <c r="AD57" i="75"/>
  <c r="AC57" i="75"/>
  <c r="AB57" i="75"/>
  <c r="AA57" i="75"/>
  <c r="Z57" i="75"/>
  <c r="Y57" i="75"/>
  <c r="X57" i="75"/>
  <c r="W57" i="75"/>
  <c r="U57" i="75"/>
  <c r="R57" i="75"/>
  <c r="Q57" i="75"/>
  <c r="P57" i="75"/>
  <c r="O57" i="75"/>
  <c r="N57" i="75"/>
  <c r="AM56" i="75"/>
  <c r="AL56" i="75"/>
  <c r="AK56" i="75"/>
  <c r="AJ56" i="75"/>
  <c r="AI56" i="75"/>
  <c r="AH56" i="75"/>
  <c r="AG56" i="75"/>
  <c r="AF56" i="75"/>
  <c r="AE56" i="75"/>
  <c r="AD56" i="75"/>
  <c r="AC56" i="75"/>
  <c r="AB56" i="75"/>
  <c r="AA56" i="75"/>
  <c r="Z56" i="75"/>
  <c r="Y56" i="75"/>
  <c r="X56" i="75"/>
  <c r="W56" i="75"/>
  <c r="U56" i="75"/>
  <c r="R56" i="75"/>
  <c r="Q56" i="75"/>
  <c r="P56" i="75"/>
  <c r="O56" i="75"/>
  <c r="N56" i="75"/>
  <c r="AM55" i="75"/>
  <c r="AL55" i="75"/>
  <c r="AK55" i="75"/>
  <c r="AJ55" i="75"/>
  <c r="AI55" i="75"/>
  <c r="AH55" i="75"/>
  <c r="AG55" i="75"/>
  <c r="AF55" i="75"/>
  <c r="AE55" i="75"/>
  <c r="AD55" i="75"/>
  <c r="AC55" i="75"/>
  <c r="AB55" i="75"/>
  <c r="AA55" i="75"/>
  <c r="Z55" i="75"/>
  <c r="X55" i="75"/>
  <c r="W55" i="75"/>
  <c r="U55" i="75"/>
  <c r="U54" i="75" s="1"/>
  <c r="R55" i="75"/>
  <c r="Q55" i="75"/>
  <c r="P55" i="75"/>
  <c r="O55" i="75"/>
  <c r="N55" i="75"/>
  <c r="M55" i="75"/>
  <c r="I55" i="75"/>
  <c r="H55" i="75"/>
  <c r="G55" i="75"/>
  <c r="F55" i="75"/>
  <c r="E55" i="75"/>
  <c r="D55" i="75"/>
  <c r="C55" i="75"/>
  <c r="B55" i="75"/>
  <c r="A55" i="75"/>
  <c r="M54" i="75"/>
  <c r="L54" i="75"/>
  <c r="AE53" i="75"/>
  <c r="AD53" i="75"/>
  <c r="AC53" i="75"/>
  <c r="AB53" i="75"/>
  <c r="AA53" i="75"/>
  <c r="Z53" i="75"/>
  <c r="Y53" i="75"/>
  <c r="X53" i="75"/>
  <c r="W53" i="75"/>
  <c r="V53" i="75"/>
  <c r="U53" i="75"/>
  <c r="T53" i="75"/>
  <c r="R53" i="75"/>
  <c r="Q53" i="75"/>
  <c r="P53" i="75"/>
  <c r="O53" i="75"/>
  <c r="N53" i="75"/>
  <c r="M53" i="75"/>
  <c r="AM52" i="75"/>
  <c r="AL52" i="75"/>
  <c r="AK52" i="75"/>
  <c r="AJ52" i="75"/>
  <c r="AI52" i="75"/>
  <c r="AH52" i="75"/>
  <c r="AG52" i="75"/>
  <c r="AF52" i="75"/>
  <c r="AE52" i="75"/>
  <c r="AD52" i="75"/>
  <c r="AC52" i="75"/>
  <c r="AB52" i="75"/>
  <c r="AA52" i="75"/>
  <c r="Y52" i="75"/>
  <c r="X52" i="75"/>
  <c r="W52" i="75"/>
  <c r="U52" i="75"/>
  <c r="T52" i="75"/>
  <c r="R52" i="75"/>
  <c r="Q52" i="75"/>
  <c r="P52" i="75"/>
  <c r="O52" i="75"/>
  <c r="N52" i="75"/>
  <c r="AM51" i="75"/>
  <c r="AL51" i="75"/>
  <c r="AK51" i="75"/>
  <c r="AJ51" i="75"/>
  <c r="AI51" i="75"/>
  <c r="AH51" i="75"/>
  <c r="AG51" i="75"/>
  <c r="AF51" i="75"/>
  <c r="AE51" i="75"/>
  <c r="AD51" i="75"/>
  <c r="AC51" i="75"/>
  <c r="AB51" i="75"/>
  <c r="AA51" i="75"/>
  <c r="Y51" i="75"/>
  <c r="X51" i="75"/>
  <c r="W51" i="75"/>
  <c r="U51" i="75"/>
  <c r="T51" i="75"/>
  <c r="R51" i="75"/>
  <c r="Q51" i="75"/>
  <c r="P51" i="75"/>
  <c r="O51" i="75"/>
  <c r="N51" i="75"/>
  <c r="I51" i="75"/>
  <c r="H51" i="75"/>
  <c r="G51" i="75"/>
  <c r="F51" i="75"/>
  <c r="E51" i="75"/>
  <c r="D51" i="75"/>
  <c r="C51" i="75"/>
  <c r="B51" i="75"/>
  <c r="A51" i="75"/>
  <c r="AM50" i="75"/>
  <c r="AL50" i="75"/>
  <c r="AK50" i="75"/>
  <c r="AJ50" i="75"/>
  <c r="AI50" i="75"/>
  <c r="AH50" i="75"/>
  <c r="AG50" i="75"/>
  <c r="AF50" i="75"/>
  <c r="AE50" i="75"/>
  <c r="AD50" i="75"/>
  <c r="AC50" i="75"/>
  <c r="AB50" i="75"/>
  <c r="AA50" i="75"/>
  <c r="X50" i="75"/>
  <c r="W50" i="75"/>
  <c r="U50" i="75"/>
  <c r="T50" i="75"/>
  <c r="R50" i="75"/>
  <c r="Q50" i="75"/>
  <c r="P50" i="75"/>
  <c r="O50" i="75"/>
  <c r="N50" i="75"/>
  <c r="AM49" i="75"/>
  <c r="AL49" i="75"/>
  <c r="AK49" i="75"/>
  <c r="AJ49" i="75"/>
  <c r="AI49" i="75"/>
  <c r="AH49" i="75"/>
  <c r="AG49" i="75"/>
  <c r="AF49" i="75"/>
  <c r="AE49" i="75"/>
  <c r="AD49" i="75"/>
  <c r="AC49" i="75"/>
  <c r="AB49" i="75"/>
  <c r="AA49" i="75"/>
  <c r="Y49" i="75"/>
  <c r="X49" i="75"/>
  <c r="W49" i="75"/>
  <c r="U49" i="75"/>
  <c r="T49" i="75"/>
  <c r="R49" i="75"/>
  <c r="Q49" i="75"/>
  <c r="P49" i="75"/>
  <c r="O49" i="75"/>
  <c r="N49" i="75"/>
  <c r="I49" i="75"/>
  <c r="H49" i="75"/>
  <c r="G49" i="75"/>
  <c r="F49" i="75"/>
  <c r="E49" i="75"/>
  <c r="D49" i="75"/>
  <c r="C49" i="75"/>
  <c r="B49" i="75"/>
  <c r="A49" i="75"/>
  <c r="AM48" i="75"/>
  <c r="AL48" i="75"/>
  <c r="AK48" i="75"/>
  <c r="AJ48" i="75"/>
  <c r="AI48" i="75"/>
  <c r="AH48" i="75"/>
  <c r="AG48" i="75"/>
  <c r="AF48" i="75"/>
  <c r="AE48" i="75"/>
  <c r="AD48" i="75"/>
  <c r="AC48" i="75"/>
  <c r="AB48" i="75"/>
  <c r="AA48" i="75"/>
  <c r="X48" i="75"/>
  <c r="W48" i="75"/>
  <c r="Q48" i="75"/>
  <c r="P48" i="75"/>
  <c r="O48" i="75"/>
  <c r="N48" i="75"/>
  <c r="M48" i="75"/>
  <c r="I48" i="75"/>
  <c r="H48" i="75"/>
  <c r="G48" i="75"/>
  <c r="F48" i="75"/>
  <c r="E48" i="75"/>
  <c r="D48" i="75"/>
  <c r="C48" i="75"/>
  <c r="B48" i="75"/>
  <c r="A48" i="75"/>
  <c r="AM47" i="75"/>
  <c r="AL47" i="75"/>
  <c r="AK47" i="75"/>
  <c r="AJ47" i="75"/>
  <c r="AI47" i="75"/>
  <c r="AH47" i="75"/>
  <c r="AG47" i="75"/>
  <c r="AF47" i="75"/>
  <c r="AE47" i="75"/>
  <c r="AD47" i="75"/>
  <c r="AC47" i="75"/>
  <c r="AB47" i="75"/>
  <c r="AA47" i="75"/>
  <c r="Y47" i="75"/>
  <c r="X47" i="75"/>
  <c r="W47" i="75"/>
  <c r="U47" i="75"/>
  <c r="T47" i="75"/>
  <c r="R47" i="75"/>
  <c r="Q47" i="75"/>
  <c r="P47" i="75"/>
  <c r="O47" i="75"/>
  <c r="N47" i="75"/>
  <c r="I47" i="75"/>
  <c r="H47" i="75"/>
  <c r="G47" i="75"/>
  <c r="F47" i="75"/>
  <c r="E47" i="75"/>
  <c r="D47" i="75"/>
  <c r="C47" i="75"/>
  <c r="B47" i="75"/>
  <c r="A47" i="75"/>
  <c r="AM46" i="75"/>
  <c r="AL46" i="75"/>
  <c r="AK46" i="75"/>
  <c r="AJ46" i="75"/>
  <c r="AI46" i="75"/>
  <c r="AH46" i="75"/>
  <c r="AG46" i="75"/>
  <c r="AF46" i="75"/>
  <c r="AE46" i="75"/>
  <c r="AD46" i="75"/>
  <c r="AC46" i="75"/>
  <c r="AB46" i="75"/>
  <c r="AA46" i="75"/>
  <c r="Y46" i="75"/>
  <c r="X46" i="75"/>
  <c r="W46" i="75"/>
  <c r="U46" i="75"/>
  <c r="T46" i="75"/>
  <c r="R46" i="75"/>
  <c r="Q46" i="75"/>
  <c r="P46" i="75"/>
  <c r="O46" i="75"/>
  <c r="N46" i="75"/>
  <c r="I46" i="75"/>
  <c r="H46" i="75"/>
  <c r="G46" i="75"/>
  <c r="F46" i="75"/>
  <c r="E46" i="75"/>
  <c r="D46" i="75"/>
  <c r="C46" i="75"/>
  <c r="B46" i="75"/>
  <c r="A46" i="75"/>
  <c r="AM45" i="75"/>
  <c r="AL45" i="75"/>
  <c r="AK45" i="75"/>
  <c r="AJ45" i="75"/>
  <c r="AI45" i="75"/>
  <c r="AH45" i="75"/>
  <c r="AG45" i="75"/>
  <c r="AF45" i="75"/>
  <c r="AE45" i="75"/>
  <c r="AD45" i="75"/>
  <c r="AC45" i="75"/>
  <c r="AB45" i="75"/>
  <c r="AA45" i="75"/>
  <c r="Y45" i="75"/>
  <c r="X45" i="75"/>
  <c r="W45" i="75"/>
  <c r="U45" i="75"/>
  <c r="T45" i="75"/>
  <c r="R45" i="75"/>
  <c r="Q45" i="75"/>
  <c r="P45" i="75"/>
  <c r="O45" i="75"/>
  <c r="N45" i="75"/>
  <c r="I45" i="75"/>
  <c r="H45" i="75"/>
  <c r="G45" i="75"/>
  <c r="F45" i="75"/>
  <c r="E45" i="75"/>
  <c r="D45" i="75"/>
  <c r="C45" i="75"/>
  <c r="B45" i="75"/>
  <c r="A45" i="75"/>
  <c r="AM44" i="75"/>
  <c r="AL44" i="75"/>
  <c r="AK44" i="75"/>
  <c r="AJ44" i="75"/>
  <c r="AI44" i="75"/>
  <c r="AH44" i="75"/>
  <c r="AG44" i="75"/>
  <c r="AF44" i="75"/>
  <c r="AE44" i="75"/>
  <c r="AD44" i="75"/>
  <c r="AC44" i="75"/>
  <c r="AB44" i="75"/>
  <c r="AA44" i="75"/>
  <c r="X44" i="75"/>
  <c r="W44" i="75"/>
  <c r="U44" i="75"/>
  <c r="T44" i="75"/>
  <c r="R44" i="75"/>
  <c r="Q44" i="75"/>
  <c r="P44" i="75"/>
  <c r="O44" i="75"/>
  <c r="N44" i="75"/>
  <c r="I44" i="75"/>
  <c r="H44" i="75"/>
  <c r="G44" i="75"/>
  <c r="F44" i="75"/>
  <c r="E44" i="75"/>
  <c r="D44" i="75"/>
  <c r="C44" i="75"/>
  <c r="B44" i="75"/>
  <c r="A44" i="75"/>
  <c r="AM43" i="75"/>
  <c r="AL43" i="75"/>
  <c r="AK43" i="75"/>
  <c r="AJ43" i="75"/>
  <c r="AI43" i="75"/>
  <c r="AH43" i="75"/>
  <c r="AG43" i="75"/>
  <c r="AF43" i="75"/>
  <c r="AE43" i="75"/>
  <c r="AD43" i="75"/>
  <c r="AC43" i="75"/>
  <c r="AB43" i="75"/>
  <c r="AA43" i="75"/>
  <c r="Z43" i="75"/>
  <c r="Y43" i="75"/>
  <c r="X43" i="75"/>
  <c r="W43" i="75"/>
  <c r="U43" i="75"/>
  <c r="T43" i="75"/>
  <c r="R43" i="75"/>
  <c r="Q43" i="75"/>
  <c r="P43" i="75"/>
  <c r="O43" i="75"/>
  <c r="N43" i="75"/>
  <c r="I43" i="75"/>
  <c r="H43" i="75"/>
  <c r="G43" i="75"/>
  <c r="F43" i="75"/>
  <c r="E43" i="75"/>
  <c r="D43" i="75"/>
  <c r="C43" i="75"/>
  <c r="B43" i="75"/>
  <c r="A43" i="75"/>
  <c r="AM42" i="75"/>
  <c r="AL42" i="75"/>
  <c r="AK42" i="75"/>
  <c r="AJ42" i="75"/>
  <c r="AI42" i="75"/>
  <c r="AH42" i="75"/>
  <c r="AG42" i="75"/>
  <c r="AF42" i="75"/>
  <c r="AE42" i="75"/>
  <c r="AD42" i="75"/>
  <c r="AC42" i="75"/>
  <c r="AB42" i="75"/>
  <c r="AA42" i="75"/>
  <c r="Y42" i="75"/>
  <c r="X42" i="75"/>
  <c r="W42" i="75"/>
  <c r="U42" i="75"/>
  <c r="T42" i="75"/>
  <c r="R42" i="75"/>
  <c r="Q42" i="75"/>
  <c r="P42" i="75"/>
  <c r="O42" i="75"/>
  <c r="N42" i="75"/>
  <c r="I42" i="75"/>
  <c r="H42" i="75"/>
  <c r="G42" i="75"/>
  <c r="F42" i="75"/>
  <c r="E42" i="75"/>
  <c r="D42" i="75"/>
  <c r="C42" i="75"/>
  <c r="B42" i="75"/>
  <c r="A42" i="75"/>
  <c r="AM41" i="75"/>
  <c r="AL41" i="75"/>
  <c r="AK41" i="75"/>
  <c r="AJ41" i="75"/>
  <c r="AI41" i="75"/>
  <c r="AH41" i="75"/>
  <c r="AG41" i="75"/>
  <c r="AF41" i="75"/>
  <c r="AE41" i="75"/>
  <c r="AD41" i="75"/>
  <c r="AC41" i="75"/>
  <c r="AB41" i="75"/>
  <c r="AA41" i="75"/>
  <c r="Y41" i="75"/>
  <c r="X41" i="75"/>
  <c r="W41" i="75"/>
  <c r="U41" i="75"/>
  <c r="T41" i="75"/>
  <c r="R41" i="75"/>
  <c r="Q41" i="75"/>
  <c r="P41" i="75"/>
  <c r="O41" i="75"/>
  <c r="N41" i="75"/>
  <c r="I41" i="75"/>
  <c r="H41" i="75"/>
  <c r="G41" i="75"/>
  <c r="F41" i="75"/>
  <c r="E41" i="75"/>
  <c r="D41" i="75"/>
  <c r="C41" i="75"/>
  <c r="B41" i="75"/>
  <c r="A41" i="75"/>
  <c r="AM40" i="75"/>
  <c r="AL40" i="75"/>
  <c r="AK40" i="75"/>
  <c r="AJ40" i="75"/>
  <c r="AI40" i="75"/>
  <c r="AH40" i="75"/>
  <c r="AG40" i="75"/>
  <c r="AF40" i="75"/>
  <c r="AE40" i="75"/>
  <c r="AD40" i="75"/>
  <c r="AC40" i="75"/>
  <c r="AB40" i="75"/>
  <c r="AA40" i="75"/>
  <c r="Y40" i="75"/>
  <c r="X40" i="75"/>
  <c r="W40" i="75"/>
  <c r="U40" i="75"/>
  <c r="T40" i="75"/>
  <c r="R40" i="75"/>
  <c r="Q40" i="75"/>
  <c r="P40" i="75"/>
  <c r="O40" i="75"/>
  <c r="N40" i="75"/>
  <c r="I40" i="75"/>
  <c r="H40" i="75"/>
  <c r="G40" i="75"/>
  <c r="F40" i="75"/>
  <c r="E40" i="75"/>
  <c r="D40" i="75"/>
  <c r="C40" i="75"/>
  <c r="B40" i="75"/>
  <c r="A40" i="75"/>
  <c r="AM39" i="75"/>
  <c r="AL39" i="75"/>
  <c r="AK39" i="75"/>
  <c r="AJ39" i="75"/>
  <c r="AI39" i="75"/>
  <c r="AH39" i="75"/>
  <c r="AG39" i="75"/>
  <c r="AF39" i="75"/>
  <c r="AE39" i="75"/>
  <c r="AD39" i="75"/>
  <c r="AC39" i="75"/>
  <c r="AB39" i="75"/>
  <c r="AA39" i="75"/>
  <c r="X39" i="75"/>
  <c r="W39" i="75"/>
  <c r="Q39" i="75"/>
  <c r="P39" i="75"/>
  <c r="O39" i="75"/>
  <c r="N39" i="75"/>
  <c r="M39" i="75"/>
  <c r="I39" i="75"/>
  <c r="H39" i="75"/>
  <c r="G39" i="75"/>
  <c r="F39" i="75"/>
  <c r="E39" i="75"/>
  <c r="D39" i="75"/>
  <c r="C39" i="75"/>
  <c r="B39" i="75"/>
  <c r="A39" i="75"/>
  <c r="AM38" i="75"/>
  <c r="AL38" i="75"/>
  <c r="AK38" i="75"/>
  <c r="AJ38" i="75"/>
  <c r="AI38" i="75"/>
  <c r="AH38" i="75"/>
  <c r="AG38" i="75"/>
  <c r="AF38" i="75"/>
  <c r="AE38" i="75"/>
  <c r="AD38" i="75"/>
  <c r="AC38" i="75"/>
  <c r="AB38" i="75"/>
  <c r="AA38" i="75"/>
  <c r="Y38" i="75"/>
  <c r="X38" i="75"/>
  <c r="X36" i="75" s="1"/>
  <c r="W38" i="75"/>
  <c r="U38" i="75"/>
  <c r="T38" i="75"/>
  <c r="R38" i="75"/>
  <c r="Q38" i="75"/>
  <c r="P38" i="75"/>
  <c r="O38" i="75"/>
  <c r="N38" i="75"/>
  <c r="M38" i="75"/>
  <c r="I38" i="75"/>
  <c r="H38" i="75"/>
  <c r="G38" i="75"/>
  <c r="F38" i="75"/>
  <c r="E38" i="75"/>
  <c r="D38" i="75"/>
  <c r="C38" i="75"/>
  <c r="B38" i="75"/>
  <c r="A38" i="75"/>
  <c r="AM37" i="75"/>
  <c r="AL37" i="75"/>
  <c r="AK37" i="75"/>
  <c r="AJ37" i="75"/>
  <c r="AI37" i="75"/>
  <c r="AH37" i="75"/>
  <c r="AG37" i="75"/>
  <c r="AF37" i="75"/>
  <c r="AE37" i="75"/>
  <c r="AD37" i="75"/>
  <c r="AC37" i="75"/>
  <c r="AB37" i="75"/>
  <c r="AA37" i="75"/>
  <c r="Z37" i="75"/>
  <c r="Y37" i="75"/>
  <c r="X37" i="75"/>
  <c r="W37" i="75"/>
  <c r="U37" i="75"/>
  <c r="T37" i="75"/>
  <c r="R37" i="75"/>
  <c r="Q37" i="75"/>
  <c r="P37" i="75"/>
  <c r="O37" i="75"/>
  <c r="N37" i="75"/>
  <c r="M37" i="75"/>
  <c r="I37" i="75"/>
  <c r="H37" i="75"/>
  <c r="G37" i="75"/>
  <c r="F37" i="75"/>
  <c r="E37" i="75"/>
  <c r="D37" i="75"/>
  <c r="C37" i="75"/>
  <c r="B37" i="75"/>
  <c r="A37" i="75"/>
  <c r="M36" i="75"/>
  <c r="L36" i="75"/>
  <c r="AE35" i="75"/>
  <c r="AD35" i="75"/>
  <c r="AC35" i="75"/>
  <c r="AB35" i="75"/>
  <c r="AA35" i="75"/>
  <c r="Z35" i="75"/>
  <c r="Y35" i="75"/>
  <c r="X35" i="75"/>
  <c r="W35" i="75"/>
  <c r="V35" i="75"/>
  <c r="U35" i="75"/>
  <c r="T35" i="75"/>
  <c r="S35" i="75"/>
  <c r="R35" i="75"/>
  <c r="Q35" i="75"/>
  <c r="P35" i="75"/>
  <c r="O35" i="75"/>
  <c r="N35" i="75"/>
  <c r="M35" i="75"/>
  <c r="AM34" i="75"/>
  <c r="AL34" i="75"/>
  <c r="AK34" i="75"/>
  <c r="AJ34" i="75"/>
  <c r="AI34" i="75"/>
  <c r="AH34" i="75"/>
  <c r="AG34" i="75"/>
  <c r="AF34" i="75"/>
  <c r="AE34" i="75"/>
  <c r="AD34" i="75"/>
  <c r="AC34" i="75"/>
  <c r="AB34" i="75"/>
  <c r="AA34" i="75"/>
  <c r="X34" i="75"/>
  <c r="W34" i="75"/>
  <c r="U34" i="75"/>
  <c r="T34" i="75"/>
  <c r="S34" i="75"/>
  <c r="R34" i="75"/>
  <c r="Q34" i="75"/>
  <c r="P34" i="75"/>
  <c r="O34" i="75"/>
  <c r="N34" i="75"/>
  <c r="M34" i="75"/>
  <c r="I34" i="75"/>
  <c r="H34" i="75"/>
  <c r="G34" i="75"/>
  <c r="F34" i="75"/>
  <c r="E34" i="75"/>
  <c r="D34" i="75"/>
  <c r="C34" i="75"/>
  <c r="B34" i="75"/>
  <c r="A34" i="75"/>
  <c r="AM33" i="75"/>
  <c r="AL33" i="75"/>
  <c r="AK33" i="75"/>
  <c r="AJ33" i="75"/>
  <c r="AI33" i="75"/>
  <c r="AH33" i="75"/>
  <c r="AG33" i="75"/>
  <c r="AF33" i="75"/>
  <c r="AE33" i="75"/>
  <c r="AD33" i="75"/>
  <c r="AC33" i="75"/>
  <c r="AB33" i="75"/>
  <c r="AA33" i="75"/>
  <c r="Y33" i="75"/>
  <c r="X33" i="75"/>
  <c r="W33" i="75"/>
  <c r="U33" i="75"/>
  <c r="T33" i="75"/>
  <c r="S33" i="75"/>
  <c r="R33" i="75"/>
  <c r="Q33" i="75"/>
  <c r="P33" i="75"/>
  <c r="O33" i="75"/>
  <c r="N33" i="75"/>
  <c r="M33" i="75"/>
  <c r="I33" i="75"/>
  <c r="H33" i="75"/>
  <c r="G33" i="75"/>
  <c r="F33" i="75"/>
  <c r="E33" i="75"/>
  <c r="D33" i="75"/>
  <c r="C33" i="75"/>
  <c r="B33" i="75"/>
  <c r="A33" i="75"/>
  <c r="AM32" i="75"/>
  <c r="AL32" i="75"/>
  <c r="AK32" i="75"/>
  <c r="AJ32" i="75"/>
  <c r="AI32" i="75"/>
  <c r="AH32" i="75"/>
  <c r="AG32" i="75"/>
  <c r="AF32" i="75"/>
  <c r="AE32" i="75"/>
  <c r="AD32" i="75"/>
  <c r="AC32" i="75"/>
  <c r="AB32" i="75"/>
  <c r="AA32" i="75"/>
  <c r="Y32" i="75"/>
  <c r="X32" i="75"/>
  <c r="W32" i="75"/>
  <c r="U32" i="75"/>
  <c r="T32" i="75"/>
  <c r="S32" i="75"/>
  <c r="R32" i="75"/>
  <c r="Q32" i="75"/>
  <c r="P32" i="75"/>
  <c r="O32" i="75"/>
  <c r="N32" i="75"/>
  <c r="M32" i="75"/>
  <c r="I32" i="75"/>
  <c r="H32" i="75"/>
  <c r="G32" i="75"/>
  <c r="F32" i="75"/>
  <c r="E32" i="75"/>
  <c r="D32" i="75"/>
  <c r="C32" i="75"/>
  <c r="B32" i="75"/>
  <c r="A32" i="75"/>
  <c r="AM31" i="75"/>
  <c r="AL31" i="75"/>
  <c r="AK31" i="75"/>
  <c r="AJ31" i="75"/>
  <c r="AI31" i="75"/>
  <c r="AH31" i="75"/>
  <c r="AG31" i="75"/>
  <c r="AF31" i="75"/>
  <c r="AE31" i="75"/>
  <c r="AD31" i="75"/>
  <c r="AC31" i="75"/>
  <c r="AB31" i="75"/>
  <c r="AA31" i="75"/>
  <c r="Y31" i="75"/>
  <c r="X31" i="75"/>
  <c r="W31" i="75"/>
  <c r="U31" i="75"/>
  <c r="T31" i="75"/>
  <c r="S31" i="75"/>
  <c r="R31" i="75"/>
  <c r="Q31" i="75"/>
  <c r="P31" i="75"/>
  <c r="O31" i="75"/>
  <c r="N31" i="75"/>
  <c r="M31" i="75"/>
  <c r="I31" i="75"/>
  <c r="H31" i="75"/>
  <c r="G31" i="75"/>
  <c r="F31" i="75"/>
  <c r="E31" i="75"/>
  <c r="D31" i="75"/>
  <c r="C31" i="75"/>
  <c r="B31" i="75"/>
  <c r="A31" i="75"/>
  <c r="AM30" i="75"/>
  <c r="AL30" i="75"/>
  <c r="AK30" i="75"/>
  <c r="AJ30" i="75"/>
  <c r="AI30" i="75"/>
  <c r="AH30" i="75"/>
  <c r="AG30" i="75"/>
  <c r="AF30" i="75"/>
  <c r="AE30" i="75"/>
  <c r="AD30" i="75"/>
  <c r="AC30" i="75"/>
  <c r="AB30" i="75"/>
  <c r="AA30" i="75"/>
  <c r="Y30" i="75"/>
  <c r="X30" i="75"/>
  <c r="W30" i="75"/>
  <c r="U30" i="75"/>
  <c r="T30" i="75"/>
  <c r="S30" i="75"/>
  <c r="R30" i="75"/>
  <c r="Q30" i="75"/>
  <c r="P30" i="75"/>
  <c r="O30" i="75"/>
  <c r="N30" i="75"/>
  <c r="M30" i="75"/>
  <c r="I30" i="75"/>
  <c r="H30" i="75"/>
  <c r="G30" i="75"/>
  <c r="F30" i="75"/>
  <c r="E30" i="75"/>
  <c r="D30" i="75"/>
  <c r="C30" i="75"/>
  <c r="B30" i="75"/>
  <c r="A30" i="75"/>
  <c r="AM29" i="75"/>
  <c r="AL29" i="75"/>
  <c r="AK29" i="75"/>
  <c r="AJ29" i="75"/>
  <c r="AI29" i="75"/>
  <c r="AH29" i="75"/>
  <c r="AG29" i="75"/>
  <c r="AF29" i="75"/>
  <c r="AE29" i="75"/>
  <c r="AD29" i="75"/>
  <c r="AC29" i="75"/>
  <c r="AB29" i="75"/>
  <c r="AA29" i="75"/>
  <c r="Y29" i="75"/>
  <c r="X29" i="75"/>
  <c r="W29" i="75"/>
  <c r="U29" i="75"/>
  <c r="T29" i="75"/>
  <c r="S29" i="75"/>
  <c r="R29" i="75"/>
  <c r="Q29" i="75"/>
  <c r="P29" i="75"/>
  <c r="O29" i="75"/>
  <c r="N29" i="75"/>
  <c r="M29" i="75"/>
  <c r="I29" i="75"/>
  <c r="H29" i="75"/>
  <c r="G29" i="75"/>
  <c r="F29" i="75"/>
  <c r="E29" i="75"/>
  <c r="D29" i="75"/>
  <c r="C29" i="75"/>
  <c r="B29" i="75"/>
  <c r="A29" i="75"/>
  <c r="AM28" i="75"/>
  <c r="AL28" i="75"/>
  <c r="AK28" i="75"/>
  <c r="AJ28" i="75"/>
  <c r="AI28" i="75"/>
  <c r="AH28" i="75"/>
  <c r="AG28" i="75"/>
  <c r="AF28" i="75"/>
  <c r="AE28" i="75"/>
  <c r="AD28" i="75"/>
  <c r="AC28" i="75"/>
  <c r="AB28" i="75"/>
  <c r="AA28" i="75"/>
  <c r="X28" i="75"/>
  <c r="W28" i="75"/>
  <c r="U28" i="75"/>
  <c r="T28" i="75"/>
  <c r="S28" i="75"/>
  <c r="R28" i="75"/>
  <c r="Q28" i="75"/>
  <c r="P28" i="75"/>
  <c r="O28" i="75"/>
  <c r="N28" i="75"/>
  <c r="M28" i="75"/>
  <c r="I28" i="75"/>
  <c r="H28" i="75"/>
  <c r="G28" i="75"/>
  <c r="F28" i="75"/>
  <c r="E28" i="75"/>
  <c r="D28" i="75"/>
  <c r="C28" i="75"/>
  <c r="B28" i="75"/>
  <c r="A28" i="75"/>
  <c r="AE27" i="75"/>
  <c r="AD27" i="75"/>
  <c r="AC27" i="75"/>
  <c r="AB27" i="75"/>
  <c r="AA27" i="75"/>
  <c r="X27" i="75"/>
  <c r="W27" i="75"/>
  <c r="U27" i="75"/>
  <c r="T27" i="75"/>
  <c r="S27" i="75"/>
  <c r="R27" i="75"/>
  <c r="Q27" i="75"/>
  <c r="P27" i="75"/>
  <c r="O27" i="75"/>
  <c r="N27" i="75"/>
  <c r="M27" i="75"/>
  <c r="X26" i="75"/>
  <c r="T26" i="75"/>
  <c r="M26" i="75"/>
  <c r="L26" i="75"/>
  <c r="AM25" i="75"/>
  <c r="AL25" i="75"/>
  <c r="AK25" i="75"/>
  <c r="AJ25" i="75"/>
  <c r="AI25" i="75"/>
  <c r="AH25" i="75"/>
  <c r="AG25" i="75"/>
  <c r="AF25" i="75"/>
  <c r="AE25" i="75"/>
  <c r="AD25" i="75"/>
  <c r="AC25" i="75"/>
  <c r="AB25" i="75"/>
  <c r="AA25" i="75"/>
  <c r="Y25" i="75"/>
  <c r="X25" i="75"/>
  <c r="W25" i="75"/>
  <c r="U25" i="75"/>
  <c r="S25" i="75"/>
  <c r="R25" i="75"/>
  <c r="Q25" i="75"/>
  <c r="P25" i="75"/>
  <c r="O25" i="75"/>
  <c r="N25" i="75"/>
  <c r="M25" i="75"/>
  <c r="I25" i="75"/>
  <c r="H25" i="75"/>
  <c r="G25" i="75"/>
  <c r="F25" i="75"/>
  <c r="E25" i="75"/>
  <c r="D25" i="75"/>
  <c r="C25" i="75"/>
  <c r="B25" i="75"/>
  <c r="A25" i="75"/>
  <c r="AM24" i="75"/>
  <c r="AL24" i="75"/>
  <c r="AK24" i="75"/>
  <c r="AJ24" i="75"/>
  <c r="AI24" i="75"/>
  <c r="AH24" i="75"/>
  <c r="AG24" i="75"/>
  <c r="AF24" i="75"/>
  <c r="AE24" i="75"/>
  <c r="AD24" i="75"/>
  <c r="AC24" i="75"/>
  <c r="AB24" i="75"/>
  <c r="AA24" i="75"/>
  <c r="Y24" i="75"/>
  <c r="X24" i="75"/>
  <c r="W24" i="75"/>
  <c r="U24" i="75"/>
  <c r="S24" i="75"/>
  <c r="R24" i="75"/>
  <c r="Q24" i="75"/>
  <c r="P24" i="75"/>
  <c r="O24" i="75"/>
  <c r="N24" i="75"/>
  <c r="M24" i="75"/>
  <c r="I24" i="75"/>
  <c r="H24" i="75"/>
  <c r="G24" i="75"/>
  <c r="F24" i="75"/>
  <c r="E24" i="75"/>
  <c r="D24" i="75"/>
  <c r="C24" i="75"/>
  <c r="B24" i="75"/>
  <c r="A24" i="75"/>
  <c r="AM23" i="75"/>
  <c r="AL23" i="75"/>
  <c r="AK23" i="75"/>
  <c r="AJ23" i="75"/>
  <c r="AI23" i="75"/>
  <c r="AH23" i="75"/>
  <c r="AG23" i="75"/>
  <c r="AF23" i="75"/>
  <c r="AE23" i="75"/>
  <c r="AD23" i="75"/>
  <c r="AC23" i="75"/>
  <c r="AB23" i="75"/>
  <c r="AA23" i="75"/>
  <c r="Y23" i="75"/>
  <c r="X23" i="75"/>
  <c r="W23" i="75"/>
  <c r="U23" i="75"/>
  <c r="T23" i="75"/>
  <c r="S23" i="75"/>
  <c r="R23" i="75"/>
  <c r="Q23" i="75"/>
  <c r="P23" i="75"/>
  <c r="O23" i="75"/>
  <c r="N23" i="75"/>
  <c r="M23" i="75"/>
  <c r="I23" i="75"/>
  <c r="H23" i="75"/>
  <c r="G23" i="75"/>
  <c r="F23" i="75"/>
  <c r="E23" i="75"/>
  <c r="D23" i="75"/>
  <c r="C23" i="75"/>
  <c r="B23" i="75"/>
  <c r="A23" i="75"/>
  <c r="AM22" i="75"/>
  <c r="AL22" i="75"/>
  <c r="AK22" i="75"/>
  <c r="AJ22" i="75"/>
  <c r="AI22" i="75"/>
  <c r="AH22" i="75"/>
  <c r="AG22" i="75"/>
  <c r="AF22" i="75"/>
  <c r="AE22" i="75"/>
  <c r="AD22" i="75"/>
  <c r="AC22" i="75"/>
  <c r="AB22" i="75"/>
  <c r="AA22" i="75"/>
  <c r="Y22" i="75"/>
  <c r="X22" i="75"/>
  <c r="W22" i="75"/>
  <c r="U22" i="75"/>
  <c r="U20" i="75" s="1"/>
  <c r="T22" i="75"/>
  <c r="S22" i="75"/>
  <c r="R22" i="75"/>
  <c r="R20" i="75" s="1"/>
  <c r="Q22" i="75"/>
  <c r="P22" i="75"/>
  <c r="O22" i="75"/>
  <c r="N22" i="75"/>
  <c r="M22" i="75"/>
  <c r="I22" i="75"/>
  <c r="H22" i="75"/>
  <c r="G22" i="75"/>
  <c r="F22" i="75"/>
  <c r="E22" i="75"/>
  <c r="D22" i="75"/>
  <c r="C22" i="75"/>
  <c r="B22" i="75"/>
  <c r="A22" i="75"/>
  <c r="AM21" i="75"/>
  <c r="AL21" i="75"/>
  <c r="AK21" i="75"/>
  <c r="AJ21" i="75"/>
  <c r="AI21" i="75"/>
  <c r="AH21" i="75"/>
  <c r="AG21" i="75"/>
  <c r="AF21" i="75"/>
  <c r="AE21" i="75"/>
  <c r="AD21" i="75"/>
  <c r="AC21" i="75"/>
  <c r="AB21" i="75"/>
  <c r="AA21" i="75"/>
  <c r="Y21" i="75"/>
  <c r="Y20" i="75" s="1"/>
  <c r="X21" i="75"/>
  <c r="W21" i="75"/>
  <c r="U21" i="75"/>
  <c r="T21" i="75"/>
  <c r="S21" i="75"/>
  <c r="R21" i="75"/>
  <c r="Q21" i="75"/>
  <c r="P21" i="75"/>
  <c r="O21" i="75"/>
  <c r="N21" i="75"/>
  <c r="M21" i="75"/>
  <c r="I21" i="75"/>
  <c r="H21" i="75"/>
  <c r="G21" i="75"/>
  <c r="F21" i="75"/>
  <c r="E21" i="75"/>
  <c r="D21" i="75"/>
  <c r="C21" i="75"/>
  <c r="B21" i="75"/>
  <c r="A21" i="75"/>
  <c r="X20" i="75"/>
  <c r="M20" i="75"/>
  <c r="L20" i="75"/>
  <c r="AM19" i="75"/>
  <c r="AL19" i="75"/>
  <c r="AK19" i="75"/>
  <c r="AJ19" i="75"/>
  <c r="AI19" i="75"/>
  <c r="AH19" i="75"/>
  <c r="AG19" i="75"/>
  <c r="AF19" i="75"/>
  <c r="AE19" i="75"/>
  <c r="AD19" i="75"/>
  <c r="AC19" i="75"/>
  <c r="AB19" i="75"/>
  <c r="AA19" i="75"/>
  <c r="Z19" i="75"/>
  <c r="Y19" i="75"/>
  <c r="X19" i="75"/>
  <c r="W19" i="75"/>
  <c r="U19" i="75"/>
  <c r="T19" i="75"/>
  <c r="S19" i="75"/>
  <c r="R19" i="75"/>
  <c r="Q19" i="75"/>
  <c r="P19" i="75"/>
  <c r="O19" i="75"/>
  <c r="N19" i="75"/>
  <c r="I19" i="75"/>
  <c r="H19" i="75"/>
  <c r="G19" i="75"/>
  <c r="F19" i="75"/>
  <c r="E19" i="75"/>
  <c r="D19" i="75"/>
  <c r="C19" i="75"/>
  <c r="B19" i="75"/>
  <c r="A19" i="75"/>
  <c r="AM18" i="75"/>
  <c r="AL18" i="75"/>
  <c r="AK18" i="75"/>
  <c r="AJ18" i="75"/>
  <c r="AI18" i="75"/>
  <c r="AH18" i="75"/>
  <c r="AG18" i="75"/>
  <c r="AF18" i="75"/>
  <c r="AE18" i="75"/>
  <c r="AD18" i="75"/>
  <c r="AC18" i="75"/>
  <c r="AB18" i="75"/>
  <c r="AA18" i="75"/>
  <c r="Z18" i="75"/>
  <c r="Y18" i="75"/>
  <c r="X18" i="75"/>
  <c r="W18" i="75"/>
  <c r="U18" i="75"/>
  <c r="T18" i="75"/>
  <c r="S18" i="75"/>
  <c r="R18" i="75"/>
  <c r="Q18" i="75"/>
  <c r="P18" i="75"/>
  <c r="O18" i="75"/>
  <c r="N18" i="75"/>
  <c r="I18" i="75"/>
  <c r="H18" i="75"/>
  <c r="G18" i="75"/>
  <c r="F18" i="75"/>
  <c r="E18" i="75"/>
  <c r="D18" i="75"/>
  <c r="C18" i="75"/>
  <c r="B18" i="75"/>
  <c r="A18" i="75"/>
  <c r="AM17" i="75"/>
  <c r="AL17" i="75"/>
  <c r="AK17" i="75"/>
  <c r="AJ17" i="75"/>
  <c r="AI17" i="75"/>
  <c r="AH17" i="75"/>
  <c r="AG17" i="75"/>
  <c r="AF17" i="75"/>
  <c r="AE17" i="75"/>
  <c r="AD17" i="75"/>
  <c r="AC17" i="75"/>
  <c r="AB17" i="75"/>
  <c r="AA17" i="75"/>
  <c r="Z17" i="75"/>
  <c r="Y17" i="75"/>
  <c r="X17" i="75"/>
  <c r="W17" i="75"/>
  <c r="U17" i="75"/>
  <c r="T17" i="75"/>
  <c r="S17" i="75"/>
  <c r="R17" i="75"/>
  <c r="Q17" i="75"/>
  <c r="P17" i="75"/>
  <c r="O17" i="75"/>
  <c r="N17" i="75"/>
  <c r="I17" i="75"/>
  <c r="H17" i="75"/>
  <c r="G17" i="75"/>
  <c r="F17" i="75"/>
  <c r="E17" i="75"/>
  <c r="D17" i="75"/>
  <c r="C17" i="75"/>
  <c r="B17" i="75"/>
  <c r="A17" i="75"/>
  <c r="AM16" i="75"/>
  <c r="AL16" i="75"/>
  <c r="AK16" i="75"/>
  <c r="AJ16" i="75"/>
  <c r="AI16" i="75"/>
  <c r="AH16" i="75"/>
  <c r="AG16" i="75"/>
  <c r="AF16" i="75"/>
  <c r="AE16" i="75"/>
  <c r="AD16" i="75"/>
  <c r="AC16" i="75"/>
  <c r="AB16" i="75"/>
  <c r="AA16" i="75"/>
  <c r="Z16" i="75"/>
  <c r="Y16" i="75"/>
  <c r="X16" i="75"/>
  <c r="W16" i="75"/>
  <c r="U16" i="75"/>
  <c r="T16" i="75"/>
  <c r="S16" i="75"/>
  <c r="R16" i="75"/>
  <c r="Q16" i="75"/>
  <c r="P16" i="75"/>
  <c r="O16" i="75"/>
  <c r="N16" i="75"/>
  <c r="I16" i="75"/>
  <c r="H16" i="75"/>
  <c r="G16" i="75"/>
  <c r="F16" i="75"/>
  <c r="E16" i="75"/>
  <c r="D16" i="75"/>
  <c r="C16" i="75"/>
  <c r="B16" i="75"/>
  <c r="A16" i="75"/>
  <c r="AM15" i="75"/>
  <c r="AL15" i="75"/>
  <c r="AK15" i="75"/>
  <c r="AJ15" i="75"/>
  <c r="AI15" i="75"/>
  <c r="AH15" i="75"/>
  <c r="AG15" i="75"/>
  <c r="AF15" i="75"/>
  <c r="AE15" i="75"/>
  <c r="AD15" i="75"/>
  <c r="AC15" i="75"/>
  <c r="AB15" i="75"/>
  <c r="AA15" i="75"/>
  <c r="X15" i="75"/>
  <c r="W15" i="75"/>
  <c r="Q15" i="75"/>
  <c r="P15" i="75"/>
  <c r="O15" i="75"/>
  <c r="N15" i="75"/>
  <c r="M15" i="75"/>
  <c r="I15" i="75"/>
  <c r="H15" i="75"/>
  <c r="G15" i="75"/>
  <c r="F15" i="75"/>
  <c r="E15" i="75"/>
  <c r="D15" i="75"/>
  <c r="C15" i="75"/>
  <c r="B15" i="75"/>
  <c r="A15" i="75"/>
  <c r="AM14" i="75"/>
  <c r="AL14" i="75"/>
  <c r="AK14" i="75"/>
  <c r="AJ14" i="75"/>
  <c r="AI14" i="75"/>
  <c r="AH14" i="75"/>
  <c r="AG14" i="75"/>
  <c r="AF14" i="75"/>
  <c r="AE14" i="75"/>
  <c r="AD14" i="75"/>
  <c r="AC14" i="75"/>
  <c r="AB14" i="75"/>
  <c r="AA14" i="75"/>
  <c r="Z14" i="75"/>
  <c r="Y14" i="75"/>
  <c r="X14" i="75"/>
  <c r="W14" i="75"/>
  <c r="U14" i="75"/>
  <c r="T14" i="75"/>
  <c r="S14" i="75"/>
  <c r="R14" i="75"/>
  <c r="Q14" i="75"/>
  <c r="P14" i="75"/>
  <c r="O14" i="75"/>
  <c r="N14" i="75"/>
  <c r="I14" i="75"/>
  <c r="H14" i="75"/>
  <c r="G14" i="75"/>
  <c r="F14" i="75"/>
  <c r="E14" i="75"/>
  <c r="D14" i="75"/>
  <c r="C14" i="75"/>
  <c r="B14" i="75"/>
  <c r="A14" i="75"/>
  <c r="AM13" i="75"/>
  <c r="AL13" i="75"/>
  <c r="AK13" i="75"/>
  <c r="AJ13" i="75"/>
  <c r="AI13" i="75"/>
  <c r="AH13" i="75"/>
  <c r="AG13" i="75"/>
  <c r="AF13" i="75"/>
  <c r="AE13" i="75"/>
  <c r="AD13" i="75"/>
  <c r="AC13" i="75"/>
  <c r="AB13" i="75"/>
  <c r="AA13" i="75"/>
  <c r="Z13" i="75"/>
  <c r="Y13" i="75"/>
  <c r="X13" i="75"/>
  <c r="W13" i="75"/>
  <c r="U13" i="75"/>
  <c r="T13" i="75"/>
  <c r="S13" i="75"/>
  <c r="R13" i="75"/>
  <c r="Q13" i="75"/>
  <c r="P13" i="75"/>
  <c r="O13" i="75"/>
  <c r="N13" i="75"/>
  <c r="I13" i="75"/>
  <c r="H13" i="75"/>
  <c r="G13" i="75"/>
  <c r="F13" i="75"/>
  <c r="E13" i="75"/>
  <c r="D13" i="75"/>
  <c r="C13" i="75"/>
  <c r="B13" i="75"/>
  <c r="A13" i="75"/>
  <c r="AM12" i="75"/>
  <c r="AL12" i="75"/>
  <c r="AK12" i="75"/>
  <c r="AJ12" i="75"/>
  <c r="AI12" i="75"/>
  <c r="AH12" i="75"/>
  <c r="AG12" i="75"/>
  <c r="AF12" i="75"/>
  <c r="AE12" i="75"/>
  <c r="AD12" i="75"/>
  <c r="AC12" i="75"/>
  <c r="AB12" i="75"/>
  <c r="AA12" i="75"/>
  <c r="X12" i="75"/>
  <c r="W12" i="75"/>
  <c r="U12" i="75"/>
  <c r="T12" i="75"/>
  <c r="R12" i="75"/>
  <c r="Q12" i="75"/>
  <c r="P12" i="75"/>
  <c r="O12" i="75"/>
  <c r="N12" i="75"/>
  <c r="M12" i="75"/>
  <c r="I12" i="75"/>
  <c r="H12" i="75"/>
  <c r="G12" i="75"/>
  <c r="F12" i="75"/>
  <c r="E12" i="75"/>
  <c r="D12" i="75"/>
  <c r="C12" i="75"/>
  <c r="B12" i="75"/>
  <c r="A12" i="75"/>
  <c r="M11" i="75"/>
  <c r="L11" i="75"/>
  <c r="L10" i="75"/>
  <c r="K10" i="75"/>
  <c r="K9" i="75"/>
  <c r="J9" i="75"/>
  <c r="X8" i="75"/>
  <c r="AZ207" i="81"/>
  <c r="AY207" i="81"/>
  <c r="AX207" i="81"/>
  <c r="AW207" i="81"/>
  <c r="AV207" i="81"/>
  <c r="AU207" i="81"/>
  <c r="AT207" i="81"/>
  <c r="AS207" i="81"/>
  <c r="AR207" i="81"/>
  <c r="AQ205" i="81"/>
  <c r="AP205" i="81"/>
  <c r="AO205" i="81"/>
  <c r="AN205" i="81"/>
  <c r="AM205" i="81"/>
  <c r="AL205" i="81"/>
  <c r="AK205" i="81"/>
  <c r="AJ205" i="81"/>
  <c r="AI205" i="81"/>
  <c r="AH205" i="81"/>
  <c r="AG205" i="81"/>
  <c r="AF205" i="81"/>
  <c r="AE205" i="81"/>
  <c r="AD205" i="81"/>
  <c r="AC205" i="81"/>
  <c r="AB205" i="81"/>
  <c r="AA205" i="81"/>
  <c r="Z205" i="81"/>
  <c r="Z204" i="81" s="1"/>
  <c r="Z203" i="81" s="1"/>
  <c r="Y205" i="81"/>
  <c r="Y204" i="81" s="1"/>
  <c r="Y203" i="81" s="1"/>
  <c r="X205" i="81"/>
  <c r="X204" i="81" s="1"/>
  <c r="W205" i="81"/>
  <c r="U205" i="81"/>
  <c r="U204" i="81" s="1"/>
  <c r="U203" i="81" s="1"/>
  <c r="T205" i="81"/>
  <c r="R205" i="81"/>
  <c r="R204" i="81" s="1"/>
  <c r="R203" i="81" s="1"/>
  <c r="Q205" i="81"/>
  <c r="P205" i="81"/>
  <c r="O205" i="81"/>
  <c r="N205" i="81"/>
  <c r="M205" i="81"/>
  <c r="I205" i="81"/>
  <c r="H205" i="81"/>
  <c r="G205" i="81"/>
  <c r="F205" i="81"/>
  <c r="E205" i="81"/>
  <c r="D205" i="81"/>
  <c r="C205" i="81"/>
  <c r="B205" i="81"/>
  <c r="A205" i="81"/>
  <c r="T204" i="81"/>
  <c r="T203" i="81" s="1"/>
  <c r="M204" i="81"/>
  <c r="L204" i="81"/>
  <c r="L203" i="81"/>
  <c r="K203" i="81"/>
  <c r="AQ202" i="81"/>
  <c r="AP202" i="81"/>
  <c r="AO202" i="81"/>
  <c r="AN202" i="81"/>
  <c r="AM202" i="81"/>
  <c r="AL202" i="81"/>
  <c r="AK202" i="81"/>
  <c r="AJ202" i="81"/>
  <c r="AI202" i="81"/>
  <c r="AH202" i="81"/>
  <c r="AG202" i="81"/>
  <c r="AF202" i="81"/>
  <c r="AE202" i="81"/>
  <c r="AD202" i="81"/>
  <c r="AC202" i="81"/>
  <c r="AB202" i="81"/>
  <c r="AA202" i="81"/>
  <c r="X202" i="81"/>
  <c r="W202" i="81"/>
  <c r="U202" i="81"/>
  <c r="U201" i="81" s="1"/>
  <c r="U200" i="81" s="1"/>
  <c r="T202" i="81"/>
  <c r="R202" i="81"/>
  <c r="Q202" i="81"/>
  <c r="P202" i="81"/>
  <c r="O202" i="81"/>
  <c r="N202" i="81"/>
  <c r="M202" i="81"/>
  <c r="I202" i="81"/>
  <c r="H202" i="81"/>
  <c r="G202" i="81"/>
  <c r="F202" i="81"/>
  <c r="E202" i="81"/>
  <c r="D202" i="81"/>
  <c r="C202" i="81"/>
  <c r="B202" i="81"/>
  <c r="A202" i="81"/>
  <c r="T201" i="81"/>
  <c r="T200" i="81" s="1"/>
  <c r="R201" i="81"/>
  <c r="M201" i="81"/>
  <c r="L201" i="81"/>
  <c r="X200" i="81"/>
  <c r="W200" i="81"/>
  <c r="R200" i="81"/>
  <c r="L200" i="81"/>
  <c r="K200" i="81"/>
  <c r="AQ199" i="81"/>
  <c r="AP199" i="81"/>
  <c r="AO199" i="81"/>
  <c r="AN199" i="81"/>
  <c r="AM199" i="81"/>
  <c r="AL199" i="81"/>
  <c r="AK199" i="81"/>
  <c r="AJ199" i="81"/>
  <c r="AI199" i="81"/>
  <c r="AH199" i="81"/>
  <c r="AG199" i="81"/>
  <c r="AF199" i="81"/>
  <c r="AE199" i="81"/>
  <c r="AD199" i="81"/>
  <c r="AC199" i="81"/>
  <c r="AB199" i="81"/>
  <c r="AA199" i="81"/>
  <c r="Y199" i="81"/>
  <c r="X199" i="81"/>
  <c r="W199" i="81"/>
  <c r="U199" i="81"/>
  <c r="T199" i="81"/>
  <c r="T198" i="81" s="1"/>
  <c r="T197" i="81" s="1"/>
  <c r="R199" i="81"/>
  <c r="R198" i="81" s="1"/>
  <c r="R197" i="81" s="1"/>
  <c r="Q199" i="81"/>
  <c r="P199" i="81"/>
  <c r="O199" i="81"/>
  <c r="N199" i="81"/>
  <c r="M199" i="81"/>
  <c r="I199" i="81"/>
  <c r="H199" i="81"/>
  <c r="G199" i="81"/>
  <c r="F199" i="81"/>
  <c r="E199" i="81"/>
  <c r="D199" i="81"/>
  <c r="C199" i="81"/>
  <c r="B199" i="81"/>
  <c r="A199" i="81"/>
  <c r="Y198" i="81"/>
  <c r="X198" i="81"/>
  <c r="X197" i="81" s="1"/>
  <c r="U198" i="81"/>
  <c r="U197" i="81" s="1"/>
  <c r="M198" i="81"/>
  <c r="L198" i="81"/>
  <c r="Y197" i="81"/>
  <c r="L197" i="81"/>
  <c r="K197" i="81"/>
  <c r="AQ196" i="81"/>
  <c r="AP196" i="81"/>
  <c r="AO196" i="81"/>
  <c r="AN196" i="81"/>
  <c r="AM196" i="81"/>
  <c r="AL196" i="81"/>
  <c r="AK196" i="81"/>
  <c r="AJ196" i="81"/>
  <c r="AI196" i="81"/>
  <c r="AH196" i="81"/>
  <c r="AG196" i="81"/>
  <c r="AF196" i="81"/>
  <c r="AE196" i="81"/>
  <c r="AD196" i="81"/>
  <c r="AC196" i="81"/>
  <c r="AB196" i="81"/>
  <c r="AA196" i="81"/>
  <c r="X196" i="81"/>
  <c r="X195" i="81" s="1"/>
  <c r="X194" i="81" s="1"/>
  <c r="W196" i="81"/>
  <c r="U196" i="81"/>
  <c r="U195" i="81" s="1"/>
  <c r="U194" i="81" s="1"/>
  <c r="T196" i="81"/>
  <c r="R196" i="81"/>
  <c r="R195" i="81" s="1"/>
  <c r="R194" i="81" s="1"/>
  <c r="Q196" i="81"/>
  <c r="P196" i="81"/>
  <c r="O196" i="81"/>
  <c r="N196" i="81"/>
  <c r="M196" i="81"/>
  <c r="I196" i="81"/>
  <c r="H196" i="81"/>
  <c r="G196" i="81"/>
  <c r="F196" i="81"/>
  <c r="E196" i="81"/>
  <c r="D196" i="81"/>
  <c r="C196" i="81"/>
  <c r="B196" i="81"/>
  <c r="A196" i="81"/>
  <c r="T195" i="81"/>
  <c r="T194" i="81" s="1"/>
  <c r="M195" i="81"/>
  <c r="L195" i="81"/>
  <c r="W194" i="81"/>
  <c r="L194" i="81"/>
  <c r="K194" i="81"/>
  <c r="AQ193" i="81"/>
  <c r="AP193" i="81"/>
  <c r="AO193" i="81"/>
  <c r="AN193" i="81"/>
  <c r="AM193" i="81"/>
  <c r="AL193" i="81"/>
  <c r="AK193" i="81"/>
  <c r="AJ193" i="81"/>
  <c r="AI193" i="81"/>
  <c r="AH193" i="81"/>
  <c r="AG193" i="81"/>
  <c r="AF193" i="81"/>
  <c r="AE193" i="81"/>
  <c r="AD193" i="81"/>
  <c r="AC193" i="81"/>
  <c r="AB193" i="81"/>
  <c r="AA193" i="81"/>
  <c r="Z193" i="81"/>
  <c r="Y193" i="81"/>
  <c r="X193" i="81"/>
  <c r="W193" i="81"/>
  <c r="U193" i="81"/>
  <c r="T193" i="81"/>
  <c r="R193" i="81"/>
  <c r="Q193" i="81"/>
  <c r="P193" i="81"/>
  <c r="O193" i="81"/>
  <c r="N193" i="81"/>
  <c r="M193" i="81"/>
  <c r="I193" i="81"/>
  <c r="H193" i="81"/>
  <c r="G193" i="81"/>
  <c r="F193" i="81"/>
  <c r="E193" i="81"/>
  <c r="D193" i="81"/>
  <c r="C193" i="81"/>
  <c r="B193" i="81"/>
  <c r="A193" i="81"/>
  <c r="AQ192" i="81"/>
  <c r="AP192" i="81"/>
  <c r="AO192" i="81"/>
  <c r="AN192" i="81"/>
  <c r="AM192" i="81"/>
  <c r="AL192" i="81"/>
  <c r="AK192" i="81"/>
  <c r="AJ192" i="81"/>
  <c r="AI192" i="81"/>
  <c r="AH192" i="81"/>
  <c r="AG192" i="81"/>
  <c r="AF192" i="81"/>
  <c r="AE192" i="81"/>
  <c r="AD192" i="81"/>
  <c r="AC192" i="81"/>
  <c r="AB192" i="81"/>
  <c r="AA192" i="81"/>
  <c r="Z192" i="81"/>
  <c r="Z191" i="81" s="1"/>
  <c r="X192" i="81"/>
  <c r="X191" i="81" s="1"/>
  <c r="W192" i="81"/>
  <c r="U192" i="81"/>
  <c r="T192" i="81"/>
  <c r="R192" i="81"/>
  <c r="Q192" i="81"/>
  <c r="P192" i="81"/>
  <c r="O192" i="81"/>
  <c r="N192" i="81"/>
  <c r="M192" i="81"/>
  <c r="I192" i="81"/>
  <c r="H192" i="81"/>
  <c r="G192" i="81"/>
  <c r="F192" i="81"/>
  <c r="E192" i="81"/>
  <c r="D192" i="81"/>
  <c r="C192" i="81"/>
  <c r="B192" i="81"/>
  <c r="A192" i="81"/>
  <c r="AG191" i="81"/>
  <c r="T191" i="81"/>
  <c r="M191" i="81"/>
  <c r="L191" i="81"/>
  <c r="AQ190" i="81"/>
  <c r="AP190" i="81"/>
  <c r="AO190" i="81"/>
  <c r="AN190" i="81"/>
  <c r="AM190" i="81"/>
  <c r="AL190" i="81"/>
  <c r="AK190" i="81"/>
  <c r="AJ190" i="81"/>
  <c r="AI190" i="81"/>
  <c r="AH190" i="81"/>
  <c r="AG190" i="81"/>
  <c r="AF190" i="81"/>
  <c r="AE190" i="81"/>
  <c r="AD190" i="81"/>
  <c r="AC190" i="81"/>
  <c r="AB190" i="81"/>
  <c r="AA190" i="81"/>
  <c r="X190" i="81"/>
  <c r="W190" i="81"/>
  <c r="U190" i="81"/>
  <c r="T190" i="81"/>
  <c r="R190" i="81"/>
  <c r="Q190" i="81"/>
  <c r="P190" i="81"/>
  <c r="N190" i="81"/>
  <c r="I190" i="81"/>
  <c r="H190" i="81"/>
  <c r="G190" i="81"/>
  <c r="F190" i="81"/>
  <c r="E190" i="81"/>
  <c r="D190" i="81"/>
  <c r="C190" i="81"/>
  <c r="B190" i="81"/>
  <c r="A190" i="81"/>
  <c r="AQ189" i="81"/>
  <c r="AP189" i="81"/>
  <c r="AO189" i="81"/>
  <c r="AN189" i="81"/>
  <c r="AM189" i="81"/>
  <c r="AL189" i="81"/>
  <c r="AK189" i="81"/>
  <c r="AJ189" i="81"/>
  <c r="AI189" i="81"/>
  <c r="AH189" i="81"/>
  <c r="AG189" i="81"/>
  <c r="AF189" i="81"/>
  <c r="AE189" i="81"/>
  <c r="AD189" i="81"/>
  <c r="AC189" i="81"/>
  <c r="AB189" i="81"/>
  <c r="AA189" i="81"/>
  <c r="Z189" i="81"/>
  <c r="Y189" i="81"/>
  <c r="X189" i="81"/>
  <c r="W189" i="81"/>
  <c r="U189" i="81"/>
  <c r="T189" i="81"/>
  <c r="R189" i="81"/>
  <c r="Q189" i="81"/>
  <c r="P189" i="81"/>
  <c r="N189" i="81"/>
  <c r="I189" i="81"/>
  <c r="H189" i="81"/>
  <c r="G189" i="81"/>
  <c r="F189" i="81"/>
  <c r="E189" i="81"/>
  <c r="D189" i="81"/>
  <c r="C189" i="81"/>
  <c r="B189" i="81"/>
  <c r="A189" i="81"/>
  <c r="AQ188" i="81"/>
  <c r="AP188" i="81"/>
  <c r="AO188" i="81"/>
  <c r="AN188" i="81"/>
  <c r="AM188" i="81"/>
  <c r="AL188" i="81"/>
  <c r="AK188" i="81"/>
  <c r="AJ188" i="81"/>
  <c r="AI188" i="81"/>
  <c r="AH188" i="81"/>
  <c r="AG188" i="81"/>
  <c r="AF188" i="81"/>
  <c r="AE188" i="81"/>
  <c r="AD188" i="81"/>
  <c r="AC188" i="81"/>
  <c r="AB188" i="81"/>
  <c r="AA188" i="81"/>
  <c r="Z188" i="81"/>
  <c r="Y188" i="81"/>
  <c r="X188" i="81"/>
  <c r="W188" i="81"/>
  <c r="U188" i="81"/>
  <c r="T188" i="81"/>
  <c r="R188" i="81"/>
  <c r="Q188" i="81"/>
  <c r="P188" i="81"/>
  <c r="N188" i="81"/>
  <c r="I188" i="81"/>
  <c r="H188" i="81"/>
  <c r="G188" i="81"/>
  <c r="F188" i="81"/>
  <c r="E188" i="81"/>
  <c r="D188" i="81"/>
  <c r="C188" i="81"/>
  <c r="B188" i="81"/>
  <c r="A188" i="81"/>
  <c r="AQ187" i="81"/>
  <c r="AP187" i="81"/>
  <c r="AO187" i="81"/>
  <c r="AN187" i="81"/>
  <c r="AM187" i="81"/>
  <c r="AL187" i="81"/>
  <c r="AK187" i="81"/>
  <c r="AJ187" i="81"/>
  <c r="AI187" i="81"/>
  <c r="AH187" i="81"/>
  <c r="AG187" i="81"/>
  <c r="AF187" i="81"/>
  <c r="AE187" i="81"/>
  <c r="AD187" i="81"/>
  <c r="AC187" i="81"/>
  <c r="AB187" i="81"/>
  <c r="AA187" i="81"/>
  <c r="X187" i="81"/>
  <c r="W187" i="81"/>
  <c r="U187" i="81"/>
  <c r="T187" i="81"/>
  <c r="R187" i="81"/>
  <c r="Q187" i="81"/>
  <c r="P187" i="81"/>
  <c r="O187" i="81"/>
  <c r="N187" i="81"/>
  <c r="M187" i="81"/>
  <c r="I187" i="81"/>
  <c r="H187" i="81"/>
  <c r="G187" i="81"/>
  <c r="F187" i="81"/>
  <c r="E187" i="81"/>
  <c r="D187" i="81"/>
  <c r="C187" i="81"/>
  <c r="B187" i="81"/>
  <c r="A187" i="81"/>
  <c r="AQ186" i="81"/>
  <c r="AP186" i="81"/>
  <c r="AO186" i="81"/>
  <c r="AN186" i="81"/>
  <c r="AM186" i="81"/>
  <c r="AL186" i="81"/>
  <c r="AK186" i="81"/>
  <c r="AJ186" i="81"/>
  <c r="AI186" i="81"/>
  <c r="AH186" i="81"/>
  <c r="AG186" i="81"/>
  <c r="AF186" i="81"/>
  <c r="AE186" i="81"/>
  <c r="AD186" i="81"/>
  <c r="AC186" i="81"/>
  <c r="AB186" i="81"/>
  <c r="AA186" i="81"/>
  <c r="X186" i="81"/>
  <c r="W186" i="81"/>
  <c r="U186" i="81"/>
  <c r="T186" i="81"/>
  <c r="R186" i="81"/>
  <c r="Q186" i="81"/>
  <c r="P186" i="81"/>
  <c r="N186" i="81"/>
  <c r="I186" i="81"/>
  <c r="H186" i="81"/>
  <c r="G186" i="81"/>
  <c r="F186" i="81"/>
  <c r="E186" i="81"/>
  <c r="D186" i="81"/>
  <c r="C186" i="81"/>
  <c r="B186" i="81"/>
  <c r="A186" i="81"/>
  <c r="AQ185" i="81"/>
  <c r="AP185" i="81"/>
  <c r="AO185" i="81"/>
  <c r="AN185" i="81"/>
  <c r="AM185" i="81"/>
  <c r="AL185" i="81"/>
  <c r="AK185" i="81"/>
  <c r="AJ185" i="81"/>
  <c r="AI185" i="81"/>
  <c r="AH185" i="81"/>
  <c r="AG185" i="81"/>
  <c r="AF185" i="81"/>
  <c r="AE185" i="81"/>
  <c r="AD185" i="81"/>
  <c r="AC185" i="81"/>
  <c r="AB185" i="81"/>
  <c r="AA185" i="81"/>
  <c r="Z185" i="81"/>
  <c r="Y185" i="81"/>
  <c r="X185" i="81"/>
  <c r="W185" i="81"/>
  <c r="U185" i="81"/>
  <c r="T185" i="81"/>
  <c r="R185" i="81"/>
  <c r="Q185" i="81"/>
  <c r="P185" i="81"/>
  <c r="N185" i="81"/>
  <c r="I185" i="81"/>
  <c r="H185" i="81"/>
  <c r="G185" i="81"/>
  <c r="F185" i="81"/>
  <c r="E185" i="81"/>
  <c r="D185" i="81"/>
  <c r="C185" i="81"/>
  <c r="B185" i="81"/>
  <c r="A185" i="81"/>
  <c r="AQ184" i="81"/>
  <c r="AP184" i="81"/>
  <c r="AO184" i="81"/>
  <c r="AN184" i="81"/>
  <c r="AM184" i="81"/>
  <c r="AL184" i="81"/>
  <c r="AK184" i="81"/>
  <c r="AJ184" i="81"/>
  <c r="AI184" i="81"/>
  <c r="AH184" i="81"/>
  <c r="AG184" i="81"/>
  <c r="AF184" i="81"/>
  <c r="AE184" i="81"/>
  <c r="AD184" i="81"/>
  <c r="AC184" i="81"/>
  <c r="AB184" i="81"/>
  <c r="AA184" i="81"/>
  <c r="Z184" i="81"/>
  <c r="Y184" i="81"/>
  <c r="X184" i="81"/>
  <c r="W184" i="81"/>
  <c r="U184" i="81"/>
  <c r="T184" i="81"/>
  <c r="R184" i="81"/>
  <c r="Q184" i="81"/>
  <c r="P184" i="81"/>
  <c r="N184" i="81"/>
  <c r="I184" i="81"/>
  <c r="H184" i="81"/>
  <c r="G184" i="81"/>
  <c r="F184" i="81"/>
  <c r="E184" i="81"/>
  <c r="D184" i="81"/>
  <c r="C184" i="81"/>
  <c r="B184" i="81"/>
  <c r="A184" i="81"/>
  <c r="AQ183" i="81"/>
  <c r="AP183" i="81"/>
  <c r="AO183" i="81"/>
  <c r="AN183" i="81"/>
  <c r="AM183" i="81"/>
  <c r="AL183" i="81"/>
  <c r="AK183" i="81"/>
  <c r="AJ183" i="81"/>
  <c r="AI183" i="81"/>
  <c r="AH183" i="81"/>
  <c r="AG183" i="81"/>
  <c r="AF183" i="81"/>
  <c r="AE183" i="81"/>
  <c r="AD183" i="81"/>
  <c r="AC183" i="81"/>
  <c r="AB183" i="81"/>
  <c r="AA183" i="81"/>
  <c r="X183" i="81"/>
  <c r="X182" i="81" s="1"/>
  <c r="X181" i="81" s="1"/>
  <c r="W183" i="81"/>
  <c r="U183" i="81"/>
  <c r="T183" i="81"/>
  <c r="T182" i="81" s="1"/>
  <c r="T181" i="81" s="1"/>
  <c r="R183" i="81"/>
  <c r="R182" i="81" s="1"/>
  <c r="Q183" i="81"/>
  <c r="P183" i="81"/>
  <c r="O183" i="81"/>
  <c r="N183" i="81"/>
  <c r="M183" i="81"/>
  <c r="I183" i="81"/>
  <c r="H183" i="81"/>
  <c r="G183" i="81"/>
  <c r="F183" i="81"/>
  <c r="E183" i="81"/>
  <c r="D183" i="81"/>
  <c r="C183" i="81"/>
  <c r="B183" i="81"/>
  <c r="A183" i="81"/>
  <c r="U182" i="81"/>
  <c r="M182" i="81"/>
  <c r="L182" i="81"/>
  <c r="L181" i="81"/>
  <c r="K181" i="81"/>
  <c r="AQ180" i="81"/>
  <c r="AP180" i="81"/>
  <c r="AO180" i="81"/>
  <c r="AN180" i="81"/>
  <c r="AM180" i="81"/>
  <c r="AL180" i="81"/>
  <c r="AK180" i="81"/>
  <c r="AJ180" i="81"/>
  <c r="AI180" i="81"/>
  <c r="AH180" i="81"/>
  <c r="AG180" i="81"/>
  <c r="AF180" i="81"/>
  <c r="AE180" i="81"/>
  <c r="AD180" i="81"/>
  <c r="AC180" i="81"/>
  <c r="AB180" i="81"/>
  <c r="AA180" i="81"/>
  <c r="Z180" i="81"/>
  <c r="X180" i="81"/>
  <c r="W180" i="81"/>
  <c r="U180" i="81"/>
  <c r="U179" i="81" s="1"/>
  <c r="U178" i="81" s="1"/>
  <c r="T180" i="81"/>
  <c r="T179" i="81" s="1"/>
  <c r="T178" i="81" s="1"/>
  <c r="R180" i="81"/>
  <c r="R179" i="81" s="1"/>
  <c r="R178" i="81" s="1"/>
  <c r="Q180" i="81"/>
  <c r="P180" i="81"/>
  <c r="O180" i="81"/>
  <c r="N180" i="81"/>
  <c r="M180" i="81"/>
  <c r="I180" i="81"/>
  <c r="H180" i="81"/>
  <c r="G180" i="81"/>
  <c r="F180" i="81"/>
  <c r="E180" i="81"/>
  <c r="D180" i="81"/>
  <c r="C180" i="81"/>
  <c r="B180" i="81"/>
  <c r="A180" i="81"/>
  <c r="Z179" i="81"/>
  <c r="X179" i="81"/>
  <c r="X178" i="81" s="1"/>
  <c r="M179" i="81"/>
  <c r="L179" i="81"/>
  <c r="Z178" i="81"/>
  <c r="L178" i="81"/>
  <c r="K178" i="81"/>
  <c r="AQ177" i="81"/>
  <c r="AP177" i="81"/>
  <c r="AO177" i="81"/>
  <c r="AN177" i="81"/>
  <c r="AM177" i="81"/>
  <c r="AL177" i="81"/>
  <c r="AK177" i="81"/>
  <c r="AJ177" i="81"/>
  <c r="AI177" i="81"/>
  <c r="AH177" i="81"/>
  <c r="AG177" i="81"/>
  <c r="AF177" i="81"/>
  <c r="AE177" i="81"/>
  <c r="AD177" i="81"/>
  <c r="AC177" i="81"/>
  <c r="AB177" i="81"/>
  <c r="AA177" i="81"/>
  <c r="X177" i="81"/>
  <c r="W177" i="81"/>
  <c r="V177" i="81"/>
  <c r="U177" i="81"/>
  <c r="T177" i="81"/>
  <c r="R177" i="81"/>
  <c r="Q177" i="81"/>
  <c r="P177" i="81"/>
  <c r="N177" i="81"/>
  <c r="I177" i="81"/>
  <c r="H177" i="81"/>
  <c r="G177" i="81"/>
  <c r="F177" i="81"/>
  <c r="E177" i="81"/>
  <c r="D177" i="81"/>
  <c r="C177" i="81"/>
  <c r="B177" i="81"/>
  <c r="A177" i="81"/>
  <c r="AQ176" i="81"/>
  <c r="AP176" i="81"/>
  <c r="AO176" i="81"/>
  <c r="AN176" i="81"/>
  <c r="AM176" i="81"/>
  <c r="AL176" i="81"/>
  <c r="AK176" i="81"/>
  <c r="AJ176" i="81"/>
  <c r="AI176" i="81"/>
  <c r="AH176" i="81"/>
  <c r="AG176" i="81"/>
  <c r="AF176" i="81"/>
  <c r="AE176" i="81"/>
  <c r="AD176" i="81"/>
  <c r="AC176" i="81"/>
  <c r="AB176" i="81"/>
  <c r="AA176" i="81"/>
  <c r="Z176" i="81"/>
  <c r="Y176" i="81"/>
  <c r="X176" i="81"/>
  <c r="W176" i="81"/>
  <c r="V176" i="81"/>
  <c r="U176" i="81"/>
  <c r="T176" i="81"/>
  <c r="R176" i="81"/>
  <c r="Q176" i="81"/>
  <c r="P176" i="81"/>
  <c r="N176" i="81"/>
  <c r="I176" i="81"/>
  <c r="H176" i="81"/>
  <c r="G176" i="81"/>
  <c r="F176" i="81"/>
  <c r="E176" i="81"/>
  <c r="D176" i="81"/>
  <c r="C176" i="81"/>
  <c r="B176" i="81"/>
  <c r="A176" i="81"/>
  <c r="AQ175" i="81"/>
  <c r="AP175" i="81"/>
  <c r="AO175" i="81"/>
  <c r="AN175" i="81"/>
  <c r="AM175" i="81"/>
  <c r="AL175" i="81"/>
  <c r="AK175" i="81"/>
  <c r="AJ175" i="81"/>
  <c r="AI175" i="81"/>
  <c r="AH175" i="81"/>
  <c r="AG175" i="81"/>
  <c r="AF175" i="81"/>
  <c r="AE175" i="81"/>
  <c r="AD175" i="81"/>
  <c r="AC175" i="81"/>
  <c r="AB175" i="81"/>
  <c r="AA175" i="81"/>
  <c r="Z175" i="81"/>
  <c r="Y175" i="81"/>
  <c r="X175" i="81"/>
  <c r="W175" i="81"/>
  <c r="U175" i="81"/>
  <c r="R175" i="81"/>
  <c r="Q175" i="81"/>
  <c r="P175" i="81"/>
  <c r="N175" i="81"/>
  <c r="I175" i="81"/>
  <c r="H175" i="81"/>
  <c r="G175" i="81"/>
  <c r="F175" i="81"/>
  <c r="E175" i="81"/>
  <c r="D175" i="81"/>
  <c r="C175" i="81"/>
  <c r="B175" i="81"/>
  <c r="A175" i="81"/>
  <c r="AQ174" i="81"/>
  <c r="AP174" i="81"/>
  <c r="AO174" i="81"/>
  <c r="AN174" i="81"/>
  <c r="AM174" i="81"/>
  <c r="AL174" i="81"/>
  <c r="AK174" i="81"/>
  <c r="AJ174" i="81"/>
  <c r="AI174" i="81"/>
  <c r="AH174" i="81"/>
  <c r="AG174" i="81"/>
  <c r="AF174" i="81"/>
  <c r="AE174" i="81"/>
  <c r="AD174" i="81"/>
  <c r="AC174" i="81"/>
  <c r="AB174" i="81"/>
  <c r="AA174" i="81"/>
  <c r="X174" i="81"/>
  <c r="X173" i="81" s="1"/>
  <c r="W174" i="81"/>
  <c r="U174" i="81"/>
  <c r="R174" i="81"/>
  <c r="Q174" i="81"/>
  <c r="P174" i="81"/>
  <c r="O174" i="81"/>
  <c r="N174" i="81"/>
  <c r="M174" i="81"/>
  <c r="I174" i="81"/>
  <c r="H174" i="81"/>
  <c r="G174" i="81"/>
  <c r="F174" i="81"/>
  <c r="E174" i="81"/>
  <c r="D174" i="81"/>
  <c r="C174" i="81"/>
  <c r="B174" i="81"/>
  <c r="A174" i="81"/>
  <c r="U173" i="81"/>
  <c r="R173" i="81"/>
  <c r="M173" i="81"/>
  <c r="L173" i="81"/>
  <c r="AQ172" i="81"/>
  <c r="AP172" i="81"/>
  <c r="AO172" i="81"/>
  <c r="AN172" i="81"/>
  <c r="AM172" i="81"/>
  <c r="AL172" i="81"/>
  <c r="AK172" i="81"/>
  <c r="AJ172" i="81"/>
  <c r="AI172" i="81"/>
  <c r="AH172" i="81"/>
  <c r="AG172" i="81"/>
  <c r="AF172" i="81"/>
  <c r="AE172" i="81"/>
  <c r="AD172" i="81"/>
  <c r="AC172" i="81"/>
  <c r="AB172" i="81"/>
  <c r="AA172" i="81"/>
  <c r="Z172" i="81"/>
  <c r="Z171" i="81" s="1"/>
  <c r="X172" i="81"/>
  <c r="W172" i="81"/>
  <c r="U172" i="81"/>
  <c r="U171" i="81" s="1"/>
  <c r="R172" i="81"/>
  <c r="R171" i="81" s="1"/>
  <c r="Q172" i="81"/>
  <c r="P172" i="81"/>
  <c r="O172" i="81"/>
  <c r="N172" i="81"/>
  <c r="M172" i="81"/>
  <c r="I172" i="81"/>
  <c r="H172" i="81"/>
  <c r="G172" i="81"/>
  <c r="F172" i="81"/>
  <c r="E172" i="81"/>
  <c r="D172" i="81"/>
  <c r="C172" i="81"/>
  <c r="B172" i="81"/>
  <c r="A172" i="81"/>
  <c r="X171" i="81"/>
  <c r="M171" i="81"/>
  <c r="L171" i="81"/>
  <c r="AQ170" i="81"/>
  <c r="AP170" i="81"/>
  <c r="AO170" i="81"/>
  <c r="AN170" i="81"/>
  <c r="AM170" i="81"/>
  <c r="AL170" i="81"/>
  <c r="AK170" i="81"/>
  <c r="AJ170" i="81"/>
  <c r="AI170" i="81"/>
  <c r="AH170" i="81"/>
  <c r="AG170" i="81"/>
  <c r="AF170" i="81"/>
  <c r="AE170" i="81"/>
  <c r="AD170" i="81"/>
  <c r="AC170" i="81"/>
  <c r="AB170" i="81"/>
  <c r="AA170" i="81"/>
  <c r="Z170" i="81"/>
  <c r="Y170" i="81"/>
  <c r="X170" i="81"/>
  <c r="W170" i="81"/>
  <c r="U170" i="81"/>
  <c r="U169" i="81" s="1"/>
  <c r="R170" i="81"/>
  <c r="R169" i="81" s="1"/>
  <c r="Q170" i="81"/>
  <c r="P170" i="81"/>
  <c r="O170" i="81"/>
  <c r="N170" i="81"/>
  <c r="M170" i="81"/>
  <c r="I170" i="81"/>
  <c r="H170" i="81"/>
  <c r="G170" i="81"/>
  <c r="F170" i="81"/>
  <c r="E170" i="81"/>
  <c r="D170" i="81"/>
  <c r="C170" i="81"/>
  <c r="B170" i="81"/>
  <c r="A170" i="81"/>
  <c r="Z169" i="81"/>
  <c r="Y169" i="81"/>
  <c r="X169" i="81"/>
  <c r="M169" i="81"/>
  <c r="L169" i="81"/>
  <c r="AQ168" i="81"/>
  <c r="AP168" i="81"/>
  <c r="AO168" i="81"/>
  <c r="AN168" i="81"/>
  <c r="AM168" i="81"/>
  <c r="AL168" i="81"/>
  <c r="AK168" i="81"/>
  <c r="AJ168" i="81"/>
  <c r="AI168" i="81"/>
  <c r="AH168" i="81"/>
  <c r="AG168" i="81"/>
  <c r="AF168" i="81"/>
  <c r="AE168" i="81"/>
  <c r="AD168" i="81"/>
  <c r="AC168" i="81"/>
  <c r="AB168" i="81"/>
  <c r="AA168" i="81"/>
  <c r="Z168" i="81"/>
  <c r="Y168" i="81"/>
  <c r="X168" i="81"/>
  <c r="W168" i="81"/>
  <c r="U168" i="81"/>
  <c r="U167" i="81" s="1"/>
  <c r="R168" i="81"/>
  <c r="R167" i="81" s="1"/>
  <c r="Q168" i="81"/>
  <c r="P168" i="81"/>
  <c r="O168" i="81"/>
  <c r="N168" i="81"/>
  <c r="M168" i="81"/>
  <c r="I168" i="81"/>
  <c r="H168" i="81"/>
  <c r="G168" i="81"/>
  <c r="F168" i="81"/>
  <c r="E168" i="81"/>
  <c r="D168" i="81"/>
  <c r="C168" i="81"/>
  <c r="B168" i="81"/>
  <c r="A168" i="81"/>
  <c r="Z167" i="81"/>
  <c r="Y167" i="81"/>
  <c r="X167" i="81"/>
  <c r="M167" i="81"/>
  <c r="L167" i="81"/>
  <c r="L166" i="81"/>
  <c r="K166" i="81"/>
  <c r="AQ165" i="81"/>
  <c r="AP165" i="81"/>
  <c r="AO165" i="81"/>
  <c r="AN165" i="81"/>
  <c r="AM165" i="81"/>
  <c r="AL165" i="81"/>
  <c r="AK165" i="81"/>
  <c r="AJ165" i="81"/>
  <c r="AI165" i="81"/>
  <c r="AH165" i="81"/>
  <c r="AG165" i="81"/>
  <c r="AF165" i="81"/>
  <c r="AE165" i="81"/>
  <c r="AD165" i="81"/>
  <c r="AC165" i="81"/>
  <c r="AB165" i="81"/>
  <c r="AA165" i="81"/>
  <c r="Z165" i="81"/>
  <c r="Z164" i="81" s="1"/>
  <c r="Z163" i="81" s="1"/>
  <c r="Y165" i="81"/>
  <c r="X165" i="81"/>
  <c r="W165" i="81"/>
  <c r="V165" i="81"/>
  <c r="V164" i="81" s="1"/>
  <c r="V163" i="81" s="1"/>
  <c r="U165" i="81"/>
  <c r="U164" i="81" s="1"/>
  <c r="U163" i="81" s="1"/>
  <c r="T165" i="81"/>
  <c r="R165" i="81"/>
  <c r="R164" i="81" s="1"/>
  <c r="R163" i="81" s="1"/>
  <c r="Q165" i="81"/>
  <c r="P165" i="81"/>
  <c r="O165" i="81"/>
  <c r="N165" i="81"/>
  <c r="M165" i="81"/>
  <c r="I165" i="81"/>
  <c r="H165" i="81"/>
  <c r="G165" i="81"/>
  <c r="F165" i="81"/>
  <c r="E165" i="81"/>
  <c r="D165" i="81"/>
  <c r="C165" i="81"/>
  <c r="B165" i="81"/>
  <c r="A165" i="81"/>
  <c r="Y164" i="81"/>
  <c r="Y163" i="81" s="1"/>
  <c r="X164" i="81"/>
  <c r="X163" i="81" s="1"/>
  <c r="T164" i="81"/>
  <c r="T163" i="81" s="1"/>
  <c r="M164" i="81"/>
  <c r="L164" i="81"/>
  <c r="L163" i="81"/>
  <c r="K163" i="81"/>
  <c r="AQ162" i="81"/>
  <c r="AP162" i="81"/>
  <c r="AO162" i="81"/>
  <c r="AN162" i="81"/>
  <c r="AM162" i="81"/>
  <c r="AL162" i="81"/>
  <c r="AK162" i="81"/>
  <c r="AJ162" i="81"/>
  <c r="AI162" i="81"/>
  <c r="AH162" i="81"/>
  <c r="AG162" i="81"/>
  <c r="AF162" i="81"/>
  <c r="AE162" i="81"/>
  <c r="AD162" i="81"/>
  <c r="AC162" i="81"/>
  <c r="AB162" i="81"/>
  <c r="AA162" i="81"/>
  <c r="Z162" i="81"/>
  <c r="Y162" i="81"/>
  <c r="X162" i="81"/>
  <c r="W162" i="81"/>
  <c r="U162" i="81"/>
  <c r="T162" i="81"/>
  <c r="R162" i="81"/>
  <c r="Q162" i="81"/>
  <c r="P162" i="81"/>
  <c r="N162" i="81"/>
  <c r="I162" i="81"/>
  <c r="H162" i="81"/>
  <c r="G162" i="81"/>
  <c r="F162" i="81"/>
  <c r="E162" i="81"/>
  <c r="D162" i="81"/>
  <c r="C162" i="81"/>
  <c r="B162" i="81"/>
  <c r="A162" i="81"/>
  <c r="AQ161" i="81"/>
  <c r="AP161" i="81"/>
  <c r="AO161" i="81"/>
  <c r="AN161" i="81"/>
  <c r="AM161" i="81"/>
  <c r="AL161" i="81"/>
  <c r="AK161" i="81"/>
  <c r="AJ161" i="81"/>
  <c r="AI161" i="81"/>
  <c r="AH161" i="81"/>
  <c r="AG161" i="81"/>
  <c r="AF161" i="81"/>
  <c r="AE161" i="81"/>
  <c r="AD161" i="81"/>
  <c r="AC161" i="81"/>
  <c r="AB161" i="81"/>
  <c r="AA161" i="81"/>
  <c r="Z161" i="81"/>
  <c r="Y161" i="81"/>
  <c r="X161" i="81"/>
  <c r="W161" i="81"/>
  <c r="U161" i="81"/>
  <c r="T161" i="81"/>
  <c r="R161" i="81"/>
  <c r="Q161" i="81"/>
  <c r="P161" i="81"/>
  <c r="N161" i="81"/>
  <c r="I161" i="81"/>
  <c r="H161" i="81"/>
  <c r="G161" i="81"/>
  <c r="F161" i="81"/>
  <c r="E161" i="81"/>
  <c r="D161" i="81"/>
  <c r="C161" i="81"/>
  <c r="B161" i="81"/>
  <c r="A161" i="81"/>
  <c r="AQ160" i="81"/>
  <c r="AP160" i="81"/>
  <c r="AO160" i="81"/>
  <c r="AN160" i="81"/>
  <c r="AM160" i="81"/>
  <c r="AL160" i="81"/>
  <c r="AK160" i="81"/>
  <c r="AJ160" i="81"/>
  <c r="AI160" i="81"/>
  <c r="AH160" i="81"/>
  <c r="AG160" i="81"/>
  <c r="AF160" i="81"/>
  <c r="AE160" i="81"/>
  <c r="AD160" i="81"/>
  <c r="AC160" i="81"/>
  <c r="AB160" i="81"/>
  <c r="AA160" i="81"/>
  <c r="Z160" i="81"/>
  <c r="Y160" i="81"/>
  <c r="X160" i="81"/>
  <c r="W160" i="81"/>
  <c r="U160" i="81"/>
  <c r="T160" i="81"/>
  <c r="R160" i="81"/>
  <c r="Q160" i="81"/>
  <c r="P160" i="81"/>
  <c r="N160" i="81"/>
  <c r="I160" i="81"/>
  <c r="H160" i="81"/>
  <c r="G160" i="81"/>
  <c r="F160" i="81"/>
  <c r="E160" i="81"/>
  <c r="D160" i="81"/>
  <c r="C160" i="81"/>
  <c r="B160" i="81"/>
  <c r="A160" i="81"/>
  <c r="AQ159" i="81"/>
  <c r="AP159" i="81"/>
  <c r="AO159" i="81"/>
  <c r="AN159" i="81"/>
  <c r="AM159" i="81"/>
  <c r="AL159" i="81"/>
  <c r="AK159" i="81"/>
  <c r="AJ159" i="81"/>
  <c r="AI159" i="81"/>
  <c r="AH159" i="81"/>
  <c r="AG159" i="81"/>
  <c r="AF159" i="81"/>
  <c r="AE159" i="81"/>
  <c r="AD159" i="81"/>
  <c r="AC159" i="81"/>
  <c r="AB159" i="81"/>
  <c r="AA159" i="81"/>
  <c r="Z159" i="81"/>
  <c r="Y159" i="81"/>
  <c r="X159" i="81"/>
  <c r="W159" i="81"/>
  <c r="U159" i="81"/>
  <c r="T159" i="81"/>
  <c r="R159" i="81"/>
  <c r="Q159" i="81"/>
  <c r="P159" i="81"/>
  <c r="N159" i="81"/>
  <c r="I159" i="81"/>
  <c r="H159" i="81"/>
  <c r="G159" i="81"/>
  <c r="F159" i="81"/>
  <c r="E159" i="81"/>
  <c r="D159" i="81"/>
  <c r="C159" i="81"/>
  <c r="B159" i="81"/>
  <c r="A159" i="81"/>
  <c r="AQ158" i="81"/>
  <c r="AP158" i="81"/>
  <c r="AO158" i="81"/>
  <c r="AN158" i="81"/>
  <c r="AM158" i="81"/>
  <c r="AL158" i="81"/>
  <c r="AK158" i="81"/>
  <c r="AJ158" i="81"/>
  <c r="AI158" i="81"/>
  <c r="AH158" i="81"/>
  <c r="AG158" i="81"/>
  <c r="AF158" i="81"/>
  <c r="AE158" i="81"/>
  <c r="AD158" i="81"/>
  <c r="AC158" i="81"/>
  <c r="AB158" i="81"/>
  <c r="AA158" i="81"/>
  <c r="Z158" i="81"/>
  <c r="Y158" i="81"/>
  <c r="X158" i="81"/>
  <c r="W158" i="81"/>
  <c r="U158" i="81"/>
  <c r="T158" i="81"/>
  <c r="R158" i="81"/>
  <c r="Q158" i="81"/>
  <c r="P158" i="81"/>
  <c r="N158" i="81"/>
  <c r="I158" i="81"/>
  <c r="H158" i="81"/>
  <c r="G158" i="81"/>
  <c r="F158" i="81"/>
  <c r="E158" i="81"/>
  <c r="D158" i="81"/>
  <c r="C158" i="81"/>
  <c r="B158" i="81"/>
  <c r="A158" i="81"/>
  <c r="AQ157" i="81"/>
  <c r="AP157" i="81"/>
  <c r="AO157" i="81"/>
  <c r="AN157" i="81"/>
  <c r="AM157" i="81"/>
  <c r="AL157" i="81"/>
  <c r="AK157" i="81"/>
  <c r="AJ157" i="81"/>
  <c r="AI157" i="81"/>
  <c r="AH157" i="81"/>
  <c r="AG157" i="81"/>
  <c r="AF157" i="81"/>
  <c r="AE157" i="81"/>
  <c r="AD157" i="81"/>
  <c r="AC157" i="81"/>
  <c r="AB157" i="81"/>
  <c r="AA157" i="81"/>
  <c r="Z157" i="81"/>
  <c r="Y157" i="81"/>
  <c r="X157" i="81"/>
  <c r="W157" i="81"/>
  <c r="U157" i="81"/>
  <c r="T157" i="81"/>
  <c r="R157" i="81"/>
  <c r="Q157" i="81"/>
  <c r="P157" i="81"/>
  <c r="N157" i="81"/>
  <c r="I157" i="81"/>
  <c r="H157" i="81"/>
  <c r="G157" i="81"/>
  <c r="F157" i="81"/>
  <c r="E157" i="81"/>
  <c r="D157" i="81"/>
  <c r="C157" i="81"/>
  <c r="B157" i="81"/>
  <c r="A157" i="81"/>
  <c r="AQ156" i="81"/>
  <c r="AP156" i="81"/>
  <c r="AO156" i="81"/>
  <c r="AN156" i="81"/>
  <c r="AM156" i="81"/>
  <c r="AL156" i="81"/>
  <c r="AK156" i="81"/>
  <c r="AJ156" i="81"/>
  <c r="AI156" i="81"/>
  <c r="AH156" i="81"/>
  <c r="AG156" i="81"/>
  <c r="AF156" i="81"/>
  <c r="AE156" i="81"/>
  <c r="AD156" i="81"/>
  <c r="AC156" i="81"/>
  <c r="AB156" i="81"/>
  <c r="AA156" i="81"/>
  <c r="X156" i="81"/>
  <c r="W156" i="81"/>
  <c r="Q156" i="81"/>
  <c r="P156" i="81"/>
  <c r="O156" i="81"/>
  <c r="N156" i="81"/>
  <c r="M156" i="81"/>
  <c r="I156" i="81"/>
  <c r="H156" i="81"/>
  <c r="G156" i="81"/>
  <c r="F156" i="81"/>
  <c r="E156" i="81"/>
  <c r="D156" i="81"/>
  <c r="C156" i="81"/>
  <c r="B156" i="81"/>
  <c r="A156" i="81"/>
  <c r="X155" i="81"/>
  <c r="X154" i="81" s="1"/>
  <c r="M155" i="81"/>
  <c r="L155" i="81"/>
  <c r="L154" i="81"/>
  <c r="K154" i="81"/>
  <c r="AQ153" i="81"/>
  <c r="AP153" i="81"/>
  <c r="AO153" i="81"/>
  <c r="AN153" i="81"/>
  <c r="AM153" i="81"/>
  <c r="AL153" i="81"/>
  <c r="AK153" i="81"/>
  <c r="AJ153" i="81"/>
  <c r="AI153" i="81"/>
  <c r="AH153" i="81"/>
  <c r="AG153" i="81"/>
  <c r="AF153" i="81"/>
  <c r="AE153" i="81"/>
  <c r="AD153" i="81"/>
  <c r="AC153" i="81"/>
  <c r="AB153" i="81"/>
  <c r="AA153" i="81"/>
  <c r="Z153" i="81"/>
  <c r="Y153" i="81"/>
  <c r="X153" i="81"/>
  <c r="W153" i="81"/>
  <c r="U153" i="81"/>
  <c r="T153" i="81"/>
  <c r="R153" i="81"/>
  <c r="Q153" i="81"/>
  <c r="P153" i="81"/>
  <c r="N153" i="81"/>
  <c r="I153" i="81"/>
  <c r="H153" i="81"/>
  <c r="G153" i="81"/>
  <c r="F153" i="81"/>
  <c r="E153" i="81"/>
  <c r="D153" i="81"/>
  <c r="C153" i="81"/>
  <c r="B153" i="81"/>
  <c r="A153" i="81"/>
  <c r="AQ152" i="81"/>
  <c r="AP152" i="81"/>
  <c r="AO152" i="81"/>
  <c r="AN152" i="81"/>
  <c r="AM152" i="81"/>
  <c r="AL152" i="81"/>
  <c r="AK152" i="81"/>
  <c r="AJ152" i="81"/>
  <c r="AI152" i="81"/>
  <c r="AH152" i="81"/>
  <c r="AG152" i="81"/>
  <c r="AF152" i="81"/>
  <c r="AE152" i="81"/>
  <c r="AD152" i="81"/>
  <c r="AC152" i="81"/>
  <c r="AB152" i="81"/>
  <c r="AA152" i="81"/>
  <c r="Z152" i="81"/>
  <c r="Y152" i="81"/>
  <c r="X152" i="81"/>
  <c r="W152" i="81"/>
  <c r="U152" i="81"/>
  <c r="T152" i="81"/>
  <c r="R152" i="81"/>
  <c r="Q152" i="81"/>
  <c r="P152" i="81"/>
  <c r="N152" i="81"/>
  <c r="I152" i="81"/>
  <c r="H152" i="81"/>
  <c r="G152" i="81"/>
  <c r="F152" i="81"/>
  <c r="E152" i="81"/>
  <c r="D152" i="81"/>
  <c r="C152" i="81"/>
  <c r="B152" i="81"/>
  <c r="A152" i="81"/>
  <c r="AQ151" i="81"/>
  <c r="AP151" i="81"/>
  <c r="AO151" i="81"/>
  <c r="AN151" i="81"/>
  <c r="AM151" i="81"/>
  <c r="AL151" i="81"/>
  <c r="AK151" i="81"/>
  <c r="AJ151" i="81"/>
  <c r="AI151" i="81"/>
  <c r="AH151" i="81"/>
  <c r="AG151" i="81"/>
  <c r="AF151" i="81"/>
  <c r="AE151" i="81"/>
  <c r="AD151" i="81"/>
  <c r="AC151" i="81"/>
  <c r="AB151" i="81"/>
  <c r="AA151" i="81"/>
  <c r="Z151" i="81"/>
  <c r="Y151" i="81"/>
  <c r="X151" i="81"/>
  <c r="W151" i="81"/>
  <c r="U151" i="81"/>
  <c r="T151" i="81"/>
  <c r="R151" i="81"/>
  <c r="Q151" i="81"/>
  <c r="P151" i="81"/>
  <c r="N151" i="81"/>
  <c r="I151" i="81"/>
  <c r="H151" i="81"/>
  <c r="G151" i="81"/>
  <c r="F151" i="81"/>
  <c r="E151" i="81"/>
  <c r="D151" i="81"/>
  <c r="C151" i="81"/>
  <c r="B151" i="81"/>
  <c r="A151" i="81"/>
  <c r="AQ150" i="81"/>
  <c r="AP150" i="81"/>
  <c r="AO150" i="81"/>
  <c r="AN150" i="81"/>
  <c r="AM150" i="81"/>
  <c r="AL150" i="81"/>
  <c r="AK150" i="81"/>
  <c r="AJ150" i="81"/>
  <c r="AI150" i="81"/>
  <c r="AH150" i="81"/>
  <c r="AG150" i="81"/>
  <c r="AF150" i="81"/>
  <c r="AE150" i="81"/>
  <c r="AD150" i="81"/>
  <c r="AC150" i="81"/>
  <c r="AB150" i="81"/>
  <c r="AA150" i="81"/>
  <c r="Z150" i="81"/>
  <c r="Y150" i="81"/>
  <c r="X150" i="81"/>
  <c r="W150" i="81"/>
  <c r="U150" i="81"/>
  <c r="T150" i="81"/>
  <c r="R150" i="81"/>
  <c r="Q150" i="81"/>
  <c r="P150" i="81"/>
  <c r="N150" i="81"/>
  <c r="I150" i="81"/>
  <c r="H150" i="81"/>
  <c r="G150" i="81"/>
  <c r="F150" i="81"/>
  <c r="E150" i="81"/>
  <c r="D150" i="81"/>
  <c r="C150" i="81"/>
  <c r="B150" i="81"/>
  <c r="A150" i="81"/>
  <c r="AQ149" i="81"/>
  <c r="AP149" i="81"/>
  <c r="AO149" i="81"/>
  <c r="AN149" i="81"/>
  <c r="AM149" i="81"/>
  <c r="AL149" i="81"/>
  <c r="AK149" i="81"/>
  <c r="AJ149" i="81"/>
  <c r="AI149" i="81"/>
  <c r="AH149" i="81"/>
  <c r="AG149" i="81"/>
  <c r="AF149" i="81"/>
  <c r="AE149" i="81"/>
  <c r="AD149" i="81"/>
  <c r="AC149" i="81"/>
  <c r="AB149" i="81"/>
  <c r="AA149" i="81"/>
  <c r="Z149" i="81"/>
  <c r="Y149" i="81"/>
  <c r="X149" i="81"/>
  <c r="W149" i="81"/>
  <c r="U149" i="81"/>
  <c r="T149" i="81"/>
  <c r="R149" i="81"/>
  <c r="Q149" i="81"/>
  <c r="P149" i="81"/>
  <c r="N149" i="81"/>
  <c r="I149" i="81"/>
  <c r="H149" i="81"/>
  <c r="G149" i="81"/>
  <c r="F149" i="81"/>
  <c r="E149" i="81"/>
  <c r="D149" i="81"/>
  <c r="C149" i="81"/>
  <c r="B149" i="81"/>
  <c r="A149" i="81"/>
  <c r="AQ148" i="81"/>
  <c r="AP148" i="81"/>
  <c r="AO148" i="81"/>
  <c r="AN148" i="81"/>
  <c r="AM148" i="81"/>
  <c r="AL148" i="81"/>
  <c r="AK148" i="81"/>
  <c r="AJ148" i="81"/>
  <c r="AI148" i="81"/>
  <c r="AH148" i="81"/>
  <c r="AG148" i="81"/>
  <c r="AF148" i="81"/>
  <c r="AE148" i="81"/>
  <c r="AD148" i="81"/>
  <c r="AC148" i="81"/>
  <c r="AB148" i="81"/>
  <c r="AA148" i="81"/>
  <c r="Z148" i="81"/>
  <c r="Y148" i="81"/>
  <c r="X148" i="81"/>
  <c r="W148" i="81"/>
  <c r="U148" i="81"/>
  <c r="T148" i="81"/>
  <c r="R148" i="81"/>
  <c r="Q148" i="81"/>
  <c r="P148" i="81"/>
  <c r="N148" i="81"/>
  <c r="I148" i="81"/>
  <c r="H148" i="81"/>
  <c r="G148" i="81"/>
  <c r="F148" i="81"/>
  <c r="E148" i="81"/>
  <c r="D148" i="81"/>
  <c r="C148" i="81"/>
  <c r="B148" i="81"/>
  <c r="A148" i="81"/>
  <c r="AQ147" i="81"/>
  <c r="AP147" i="81"/>
  <c r="AO147" i="81"/>
  <c r="AN147" i="81"/>
  <c r="AM147" i="81"/>
  <c r="AL147" i="81"/>
  <c r="AK147" i="81"/>
  <c r="AJ147" i="81"/>
  <c r="AI147" i="81"/>
  <c r="AH147" i="81"/>
  <c r="AG147" i="81"/>
  <c r="AF147" i="81"/>
  <c r="AE147" i="81"/>
  <c r="AD147" i="81"/>
  <c r="AC147" i="81"/>
  <c r="AB147" i="81"/>
  <c r="AA147" i="81"/>
  <c r="Z147" i="81"/>
  <c r="Y147" i="81"/>
  <c r="X147" i="81"/>
  <c r="W147" i="81"/>
  <c r="U147" i="81"/>
  <c r="T147" i="81"/>
  <c r="R147" i="81"/>
  <c r="Q147" i="81"/>
  <c r="P147" i="81"/>
  <c r="N147" i="81"/>
  <c r="I147" i="81"/>
  <c r="H147" i="81"/>
  <c r="G147" i="81"/>
  <c r="F147" i="81"/>
  <c r="E147" i="81"/>
  <c r="D147" i="81"/>
  <c r="C147" i="81"/>
  <c r="B147" i="81"/>
  <c r="A147" i="81"/>
  <c r="AQ146" i="81"/>
  <c r="AP146" i="81"/>
  <c r="AO146" i="81"/>
  <c r="AN146" i="81"/>
  <c r="AM146" i="81"/>
  <c r="AL146" i="81"/>
  <c r="AK146" i="81"/>
  <c r="AJ146" i="81"/>
  <c r="AI146" i="81"/>
  <c r="AH146" i="81"/>
  <c r="AG146" i="81"/>
  <c r="AF146" i="81"/>
  <c r="AE146" i="81"/>
  <c r="AD146" i="81"/>
  <c r="AC146" i="81"/>
  <c r="AB146" i="81"/>
  <c r="AA146" i="81"/>
  <c r="X146" i="81"/>
  <c r="W146" i="81"/>
  <c r="Q146" i="81"/>
  <c r="P146" i="81"/>
  <c r="O146" i="81"/>
  <c r="N146" i="81"/>
  <c r="M146" i="81"/>
  <c r="I146" i="81"/>
  <c r="H146" i="81"/>
  <c r="G146" i="81"/>
  <c r="F146" i="81"/>
  <c r="E146" i="81"/>
  <c r="D146" i="81"/>
  <c r="C146" i="81"/>
  <c r="B146" i="81"/>
  <c r="A146" i="81"/>
  <c r="X145" i="81"/>
  <c r="X144" i="81" s="1"/>
  <c r="M145" i="81"/>
  <c r="L145" i="81"/>
  <c r="L144" i="81"/>
  <c r="K144" i="81"/>
  <c r="K143" i="81"/>
  <c r="J143" i="81"/>
  <c r="AQ142" i="81"/>
  <c r="AP142" i="81"/>
  <c r="AO142" i="81"/>
  <c r="AN142" i="81"/>
  <c r="AM142" i="81"/>
  <c r="AL142" i="81"/>
  <c r="AK142" i="81"/>
  <c r="AJ142" i="81"/>
  <c r="AI142" i="81"/>
  <c r="AH142" i="81"/>
  <c r="AG142" i="81"/>
  <c r="AF142" i="81"/>
  <c r="AE142" i="81"/>
  <c r="AD142" i="81"/>
  <c r="AC142" i="81"/>
  <c r="AB142" i="81"/>
  <c r="AA142" i="81"/>
  <c r="Z142" i="81"/>
  <c r="Y142" i="81"/>
  <c r="X142" i="81"/>
  <c r="W142" i="81"/>
  <c r="U142" i="81"/>
  <c r="T142" i="81"/>
  <c r="R142" i="81"/>
  <c r="Q142" i="81"/>
  <c r="P142" i="81"/>
  <c r="O142" i="81"/>
  <c r="N142" i="81"/>
  <c r="M142" i="81"/>
  <c r="I142" i="81"/>
  <c r="H142" i="81"/>
  <c r="G142" i="81"/>
  <c r="F142" i="81"/>
  <c r="E142" i="81"/>
  <c r="D142" i="81"/>
  <c r="C142" i="81"/>
  <c r="B142" i="81"/>
  <c r="A142" i="81"/>
  <c r="AQ141" i="81"/>
  <c r="AP141" i="81"/>
  <c r="AO141" i="81"/>
  <c r="AN141" i="81"/>
  <c r="AM141" i="81"/>
  <c r="AL141" i="81"/>
  <c r="AK141" i="81"/>
  <c r="AJ141" i="81"/>
  <c r="AI141" i="81"/>
  <c r="AH141" i="81"/>
  <c r="AG141" i="81"/>
  <c r="AF141" i="81"/>
  <c r="AE141" i="81"/>
  <c r="AD141" i="81"/>
  <c r="AC141" i="81"/>
  <c r="AB141" i="81"/>
  <c r="AA141" i="81"/>
  <c r="Y141" i="81"/>
  <c r="X141" i="81"/>
  <c r="W141" i="81"/>
  <c r="U141" i="81"/>
  <c r="T141" i="81"/>
  <c r="R141" i="81"/>
  <c r="Q141" i="81"/>
  <c r="P141" i="81"/>
  <c r="O141" i="81"/>
  <c r="N141" i="81"/>
  <c r="M141" i="81"/>
  <c r="I141" i="81"/>
  <c r="H141" i="81"/>
  <c r="G141" i="81"/>
  <c r="F141" i="81"/>
  <c r="E141" i="81"/>
  <c r="D141" i="81"/>
  <c r="C141" i="81"/>
  <c r="B141" i="81"/>
  <c r="A141" i="81"/>
  <c r="AQ140" i="81"/>
  <c r="AP140" i="81"/>
  <c r="AO140" i="81"/>
  <c r="AN140" i="81"/>
  <c r="AM140" i="81"/>
  <c r="AL140" i="81"/>
  <c r="AK140" i="81"/>
  <c r="AJ140" i="81"/>
  <c r="AI140" i="81"/>
  <c r="AH140" i="81"/>
  <c r="AG140" i="81"/>
  <c r="AF140" i="81"/>
  <c r="AE140" i="81"/>
  <c r="AD140" i="81"/>
  <c r="AC140" i="81"/>
  <c r="AB140" i="81"/>
  <c r="AA140" i="81"/>
  <c r="Z140" i="81"/>
  <c r="Y140" i="81"/>
  <c r="X140" i="81"/>
  <c r="W140" i="81"/>
  <c r="U140" i="81"/>
  <c r="T140" i="81"/>
  <c r="R140" i="81"/>
  <c r="Q140" i="81"/>
  <c r="P140" i="81"/>
  <c r="O140" i="81"/>
  <c r="N140" i="81"/>
  <c r="M140" i="81"/>
  <c r="I140" i="81"/>
  <c r="H140" i="81"/>
  <c r="G140" i="81"/>
  <c r="F140" i="81"/>
  <c r="E140" i="81"/>
  <c r="D140" i="81"/>
  <c r="C140" i="81"/>
  <c r="B140" i="81"/>
  <c r="A140" i="81"/>
  <c r="AQ139" i="81"/>
  <c r="AP139" i="81"/>
  <c r="AO139" i="81"/>
  <c r="AN139" i="81"/>
  <c r="AM139" i="81"/>
  <c r="AL139" i="81"/>
  <c r="AK139" i="81"/>
  <c r="AJ139" i="81"/>
  <c r="AI139" i="81"/>
  <c r="AH139" i="81"/>
  <c r="AG139" i="81"/>
  <c r="AF139" i="81"/>
  <c r="AE139" i="81"/>
  <c r="AD139" i="81"/>
  <c r="AC139" i="81"/>
  <c r="AB139" i="81"/>
  <c r="AA139" i="81"/>
  <c r="Z139" i="81"/>
  <c r="X139" i="81"/>
  <c r="W139" i="81"/>
  <c r="U139" i="81"/>
  <c r="T139" i="81"/>
  <c r="R139" i="81"/>
  <c r="Q139" i="81"/>
  <c r="P139" i="81"/>
  <c r="O139" i="81"/>
  <c r="N139" i="81"/>
  <c r="M139" i="81"/>
  <c r="I139" i="81"/>
  <c r="H139" i="81"/>
  <c r="G139" i="81"/>
  <c r="F139" i="81"/>
  <c r="E139" i="81"/>
  <c r="D139" i="81"/>
  <c r="C139" i="81"/>
  <c r="B139" i="81"/>
  <c r="A139" i="81"/>
  <c r="AQ138" i="81"/>
  <c r="AP138" i="81"/>
  <c r="AO138" i="81"/>
  <c r="AN138" i="81"/>
  <c r="AM138" i="81"/>
  <c r="AL138" i="81"/>
  <c r="AK138" i="81"/>
  <c r="AJ138" i="81"/>
  <c r="AI138" i="81"/>
  <c r="AH138" i="81"/>
  <c r="AG138" i="81"/>
  <c r="AF138" i="81"/>
  <c r="AE138" i="81"/>
  <c r="AD138" i="81"/>
  <c r="AC138" i="81"/>
  <c r="AB138" i="81"/>
  <c r="AA138" i="81"/>
  <c r="Z138" i="81"/>
  <c r="X138" i="81"/>
  <c r="W138" i="81"/>
  <c r="U138" i="81"/>
  <c r="T138" i="81"/>
  <c r="R138" i="81"/>
  <c r="Q138" i="81"/>
  <c r="P138" i="81"/>
  <c r="O138" i="81"/>
  <c r="N138" i="81"/>
  <c r="M138" i="81"/>
  <c r="I138" i="81"/>
  <c r="H138" i="81"/>
  <c r="G138" i="81"/>
  <c r="F138" i="81"/>
  <c r="E138" i="81"/>
  <c r="D138" i="81"/>
  <c r="C138" i="81"/>
  <c r="B138" i="81"/>
  <c r="A138" i="81"/>
  <c r="AQ137" i="81"/>
  <c r="AP137" i="81"/>
  <c r="AO137" i="81"/>
  <c r="AN137" i="81"/>
  <c r="AM137" i="81"/>
  <c r="AL137" i="81"/>
  <c r="AK137" i="81"/>
  <c r="AJ137" i="81"/>
  <c r="AI137" i="81"/>
  <c r="AH137" i="81"/>
  <c r="AG137" i="81"/>
  <c r="AF137" i="81"/>
  <c r="AE137" i="81"/>
  <c r="AD137" i="81"/>
  <c r="AC137" i="81"/>
  <c r="AB137" i="81"/>
  <c r="AA137" i="81"/>
  <c r="Z137" i="81"/>
  <c r="X137" i="81"/>
  <c r="W137" i="81"/>
  <c r="U137" i="81"/>
  <c r="T137" i="81"/>
  <c r="R137" i="81"/>
  <c r="Q137" i="81"/>
  <c r="P137" i="81"/>
  <c r="O137" i="81"/>
  <c r="N137" i="81"/>
  <c r="M137" i="81"/>
  <c r="I137" i="81"/>
  <c r="H137" i="81"/>
  <c r="G137" i="81"/>
  <c r="F137" i="81"/>
  <c r="E137" i="81"/>
  <c r="D137" i="81"/>
  <c r="C137" i="81"/>
  <c r="B137" i="81"/>
  <c r="A137" i="81"/>
  <c r="AQ136" i="81"/>
  <c r="AP136" i="81"/>
  <c r="AO136" i="81"/>
  <c r="AN136" i="81"/>
  <c r="AM136" i="81"/>
  <c r="AL136" i="81"/>
  <c r="AK136" i="81"/>
  <c r="AJ136" i="81"/>
  <c r="AI136" i="81"/>
  <c r="AH136" i="81"/>
  <c r="AG136" i="81"/>
  <c r="AF136" i="81"/>
  <c r="AE136" i="81"/>
  <c r="AD136" i="81"/>
  <c r="AC136" i="81"/>
  <c r="AB136" i="81"/>
  <c r="AA136" i="81"/>
  <c r="Z136" i="81"/>
  <c r="Y136" i="81"/>
  <c r="X136" i="81"/>
  <c r="W136" i="81"/>
  <c r="U136" i="81"/>
  <c r="T136" i="81"/>
  <c r="R136" i="81"/>
  <c r="Q136" i="81"/>
  <c r="P136" i="81"/>
  <c r="O136" i="81"/>
  <c r="N136" i="81"/>
  <c r="I136" i="81"/>
  <c r="H136" i="81"/>
  <c r="G136" i="81"/>
  <c r="F136" i="81"/>
  <c r="E136" i="81"/>
  <c r="D136" i="81"/>
  <c r="C136" i="81"/>
  <c r="B136" i="81"/>
  <c r="A136" i="81"/>
  <c r="AQ135" i="81"/>
  <c r="AP135" i="81"/>
  <c r="AO135" i="81"/>
  <c r="AN135" i="81"/>
  <c r="AM135" i="81"/>
  <c r="AL135" i="81"/>
  <c r="AK135" i="81"/>
  <c r="AJ135" i="81"/>
  <c r="AI135" i="81"/>
  <c r="AH135" i="81"/>
  <c r="AG135" i="81"/>
  <c r="AF135" i="81"/>
  <c r="AE135" i="81"/>
  <c r="AD135" i="81"/>
  <c r="AC135" i="81"/>
  <c r="AB135" i="81"/>
  <c r="AA135" i="81"/>
  <c r="Z135" i="81"/>
  <c r="Y135" i="81"/>
  <c r="X135" i="81"/>
  <c r="W135" i="81"/>
  <c r="U135" i="81"/>
  <c r="T135" i="81"/>
  <c r="R135" i="81"/>
  <c r="Q135" i="81"/>
  <c r="P135" i="81"/>
  <c r="O135" i="81"/>
  <c r="N135" i="81"/>
  <c r="I135" i="81"/>
  <c r="H135" i="81"/>
  <c r="G135" i="81"/>
  <c r="F135" i="81"/>
  <c r="E135" i="81"/>
  <c r="D135" i="81"/>
  <c r="C135" i="81"/>
  <c r="B135" i="81"/>
  <c r="A135" i="81"/>
  <c r="AQ134" i="81"/>
  <c r="AP134" i="81"/>
  <c r="AO134" i="81"/>
  <c r="AN134" i="81"/>
  <c r="AM134" i="81"/>
  <c r="AL134" i="81"/>
  <c r="AK134" i="81"/>
  <c r="AJ134" i="81"/>
  <c r="AI134" i="81"/>
  <c r="AH134" i="81"/>
  <c r="AG134" i="81"/>
  <c r="AF134" i="81"/>
  <c r="AE134" i="81"/>
  <c r="AD134" i="81"/>
  <c r="AC134" i="81"/>
  <c r="AB134" i="81"/>
  <c r="AA134" i="81"/>
  <c r="X134" i="81"/>
  <c r="X130" i="81" s="1"/>
  <c r="X129" i="81" s="1"/>
  <c r="W134" i="81"/>
  <c r="Q134" i="81"/>
  <c r="P134" i="81"/>
  <c r="O134" i="81"/>
  <c r="N134" i="81"/>
  <c r="M134" i="81"/>
  <c r="I134" i="81"/>
  <c r="H134" i="81"/>
  <c r="G134" i="81"/>
  <c r="F134" i="81"/>
  <c r="E134" i="81"/>
  <c r="D134" i="81"/>
  <c r="C134" i="81"/>
  <c r="B134" i="81"/>
  <c r="A134" i="81"/>
  <c r="AQ133" i="81"/>
  <c r="AP133" i="81"/>
  <c r="AO133" i="81"/>
  <c r="AN133" i="81"/>
  <c r="AM133" i="81"/>
  <c r="AL133" i="81"/>
  <c r="AK133" i="81"/>
  <c r="AJ133" i="81"/>
  <c r="AI133" i="81"/>
  <c r="AH133" i="81"/>
  <c r="AG133" i="81"/>
  <c r="AF133" i="81"/>
  <c r="AE133" i="81"/>
  <c r="AD133" i="81"/>
  <c r="AC133" i="81"/>
  <c r="AB133" i="81"/>
  <c r="AA133" i="81"/>
  <c r="Z133" i="81"/>
  <c r="Y133" i="81"/>
  <c r="X133" i="81"/>
  <c r="W133" i="81"/>
  <c r="U133" i="81"/>
  <c r="T133" i="81"/>
  <c r="R133" i="81"/>
  <c r="Q133" i="81"/>
  <c r="P133" i="81"/>
  <c r="O133" i="81"/>
  <c r="N133" i="81"/>
  <c r="I133" i="81"/>
  <c r="H133" i="81"/>
  <c r="G133" i="81"/>
  <c r="F133" i="81"/>
  <c r="E133" i="81"/>
  <c r="D133" i="81"/>
  <c r="C133" i="81"/>
  <c r="B133" i="81"/>
  <c r="A133" i="81"/>
  <c r="AQ132" i="81"/>
  <c r="AP132" i="81"/>
  <c r="AO132" i="81"/>
  <c r="AN132" i="81"/>
  <c r="AM132" i="81"/>
  <c r="AL132" i="81"/>
  <c r="AK132" i="81"/>
  <c r="AJ132" i="81"/>
  <c r="AI132" i="81"/>
  <c r="AH132" i="81"/>
  <c r="AG132" i="81"/>
  <c r="AF132" i="81"/>
  <c r="AE132" i="81"/>
  <c r="AD132" i="81"/>
  <c r="AC132" i="81"/>
  <c r="AB132" i="81"/>
  <c r="AA132" i="81"/>
  <c r="Z132" i="81"/>
  <c r="Y132" i="81"/>
  <c r="X132" i="81"/>
  <c r="W132" i="81"/>
  <c r="U132" i="81"/>
  <c r="T132" i="81"/>
  <c r="R132" i="81"/>
  <c r="Q132" i="81"/>
  <c r="P132" i="81"/>
  <c r="O132" i="81"/>
  <c r="N132" i="81"/>
  <c r="I132" i="81"/>
  <c r="H132" i="81"/>
  <c r="G132" i="81"/>
  <c r="F132" i="81"/>
  <c r="E132" i="81"/>
  <c r="D132" i="81"/>
  <c r="C132" i="81"/>
  <c r="B132" i="81"/>
  <c r="A132" i="81"/>
  <c r="AQ131" i="81"/>
  <c r="AP131" i="81"/>
  <c r="AO131" i="81"/>
  <c r="AN131" i="81"/>
  <c r="AM131" i="81"/>
  <c r="AL131" i="81"/>
  <c r="AK131" i="81"/>
  <c r="AJ131" i="81"/>
  <c r="AI131" i="81"/>
  <c r="AH131" i="81"/>
  <c r="AG131" i="81"/>
  <c r="AF131" i="81"/>
  <c r="AE131" i="81"/>
  <c r="AD131" i="81"/>
  <c r="AC131" i="81"/>
  <c r="AB131" i="81"/>
  <c r="AA131" i="81"/>
  <c r="X131" i="81"/>
  <c r="W131" i="81"/>
  <c r="Q131" i="81"/>
  <c r="P131" i="81"/>
  <c r="O131" i="81"/>
  <c r="N131" i="81"/>
  <c r="M131" i="81"/>
  <c r="I131" i="81"/>
  <c r="H131" i="81"/>
  <c r="G131" i="81"/>
  <c r="F131" i="81"/>
  <c r="E131" i="81"/>
  <c r="D131" i="81"/>
  <c r="C131" i="81"/>
  <c r="B131" i="81"/>
  <c r="A131" i="81"/>
  <c r="M130" i="81"/>
  <c r="L130" i="81"/>
  <c r="L129" i="81"/>
  <c r="K129" i="81"/>
  <c r="AQ128" i="81"/>
  <c r="AP128" i="81"/>
  <c r="AO128" i="81"/>
  <c r="AN128" i="81"/>
  <c r="AM128" i="81"/>
  <c r="AL128" i="81"/>
  <c r="AK128" i="81"/>
  <c r="AJ128" i="81"/>
  <c r="AI128" i="81"/>
  <c r="AH128" i="81"/>
  <c r="AG128" i="81"/>
  <c r="AF128" i="81"/>
  <c r="AE128" i="81"/>
  <c r="AD128" i="81"/>
  <c r="AC128" i="81"/>
  <c r="AB128" i="81"/>
  <c r="AA128" i="81"/>
  <c r="X128" i="81"/>
  <c r="X127" i="81" s="1"/>
  <c r="X126" i="81" s="1"/>
  <c r="W128" i="81"/>
  <c r="U128" i="81"/>
  <c r="U127" i="81" s="1"/>
  <c r="U126" i="81" s="1"/>
  <c r="T128" i="81"/>
  <c r="R128" i="81"/>
  <c r="R127" i="81" s="1"/>
  <c r="R126" i="81" s="1"/>
  <c r="Q128" i="81"/>
  <c r="P128" i="81"/>
  <c r="O128" i="81"/>
  <c r="N128" i="81"/>
  <c r="M128" i="81"/>
  <c r="I128" i="81"/>
  <c r="H128" i="81"/>
  <c r="G128" i="81"/>
  <c r="F128" i="81"/>
  <c r="E128" i="81"/>
  <c r="D128" i="81"/>
  <c r="C128" i="81"/>
  <c r="B128" i="81"/>
  <c r="A128" i="81"/>
  <c r="T127" i="81"/>
  <c r="T126" i="81" s="1"/>
  <c r="M127" i="81"/>
  <c r="L127" i="81"/>
  <c r="L126" i="81"/>
  <c r="K126" i="81"/>
  <c r="AQ125" i="81"/>
  <c r="AP125" i="81"/>
  <c r="AO125" i="81"/>
  <c r="AN125" i="81"/>
  <c r="AM125" i="81"/>
  <c r="AL125" i="81"/>
  <c r="AK125" i="81"/>
  <c r="AJ125" i="81"/>
  <c r="AI125" i="81"/>
  <c r="AH125" i="81"/>
  <c r="AG125" i="81"/>
  <c r="AF125" i="81"/>
  <c r="AE125" i="81"/>
  <c r="AD125" i="81"/>
  <c r="AC125" i="81"/>
  <c r="AB125" i="81"/>
  <c r="AA125" i="81"/>
  <c r="Y125" i="81"/>
  <c r="X125" i="81"/>
  <c r="X122" i="81" s="1"/>
  <c r="X121" i="81" s="1"/>
  <c r="W125" i="81"/>
  <c r="U125" i="81"/>
  <c r="T125" i="81"/>
  <c r="R125" i="81"/>
  <c r="R122" i="81" s="1"/>
  <c r="R121" i="81" s="1"/>
  <c r="Q125" i="81"/>
  <c r="P125" i="81"/>
  <c r="O125" i="81"/>
  <c r="N125" i="81"/>
  <c r="M125" i="81"/>
  <c r="I125" i="81"/>
  <c r="H125" i="81"/>
  <c r="G125" i="81"/>
  <c r="F125" i="81"/>
  <c r="E125" i="81"/>
  <c r="D125" i="81"/>
  <c r="C125" i="81"/>
  <c r="B125" i="81"/>
  <c r="A125" i="81"/>
  <c r="AQ124" i="81"/>
  <c r="AP124" i="81"/>
  <c r="AO124" i="81"/>
  <c r="AN124" i="81"/>
  <c r="AM124" i="81"/>
  <c r="AL124" i="81"/>
  <c r="AK124" i="81"/>
  <c r="AJ124" i="81"/>
  <c r="AI124" i="81"/>
  <c r="AH124" i="81"/>
  <c r="AG124" i="81"/>
  <c r="AF124" i="81"/>
  <c r="AE124" i="81"/>
  <c r="AD124" i="81"/>
  <c r="AC124" i="81"/>
  <c r="AB124" i="81"/>
  <c r="AA124" i="81"/>
  <c r="Z124" i="81"/>
  <c r="X124" i="81"/>
  <c r="W124" i="81"/>
  <c r="U124" i="81"/>
  <c r="T124" i="81"/>
  <c r="R124" i="81"/>
  <c r="Q124" i="81"/>
  <c r="P124" i="81"/>
  <c r="O124" i="81"/>
  <c r="N124" i="81"/>
  <c r="M124" i="81"/>
  <c r="I124" i="81"/>
  <c r="H124" i="81"/>
  <c r="G124" i="81"/>
  <c r="F124" i="81"/>
  <c r="E124" i="81"/>
  <c r="D124" i="81"/>
  <c r="C124" i="81"/>
  <c r="B124" i="81"/>
  <c r="A124" i="81"/>
  <c r="AQ123" i="81"/>
  <c r="AP123" i="81"/>
  <c r="AO123" i="81"/>
  <c r="AN123" i="81"/>
  <c r="AM123" i="81"/>
  <c r="AL123" i="81"/>
  <c r="AK123" i="81"/>
  <c r="AJ123" i="81"/>
  <c r="AI123" i="81"/>
  <c r="AH123" i="81"/>
  <c r="AG123" i="81"/>
  <c r="AF123" i="81"/>
  <c r="AE123" i="81"/>
  <c r="AD123" i="81"/>
  <c r="AC123" i="81"/>
  <c r="AB123" i="81"/>
  <c r="AA123" i="81"/>
  <c r="Y123" i="81"/>
  <c r="X123" i="81"/>
  <c r="W123" i="81"/>
  <c r="U123" i="81"/>
  <c r="U122" i="81" s="1"/>
  <c r="U121" i="81" s="1"/>
  <c r="T123" i="81"/>
  <c r="R123" i="81"/>
  <c r="Q123" i="81"/>
  <c r="P123" i="81"/>
  <c r="O123" i="81"/>
  <c r="N123" i="81"/>
  <c r="M123" i="81"/>
  <c r="I123" i="81"/>
  <c r="H123" i="81"/>
  <c r="G123" i="81"/>
  <c r="F123" i="81"/>
  <c r="E123" i="81"/>
  <c r="D123" i="81"/>
  <c r="C123" i="81"/>
  <c r="B123" i="81"/>
  <c r="A123" i="81"/>
  <c r="M122" i="81"/>
  <c r="L122" i="81"/>
  <c r="L121" i="81"/>
  <c r="K121" i="81"/>
  <c r="AQ120" i="81"/>
  <c r="AP120" i="81"/>
  <c r="AO120" i="81"/>
  <c r="AN120" i="81"/>
  <c r="AM120" i="81"/>
  <c r="AL120" i="81"/>
  <c r="AK120" i="81"/>
  <c r="AJ120" i="81"/>
  <c r="AI120" i="81"/>
  <c r="AH120" i="81"/>
  <c r="AG120" i="81"/>
  <c r="AF120" i="81"/>
  <c r="AE120" i="81"/>
  <c r="AD120" i="81"/>
  <c r="AC120" i="81"/>
  <c r="AB120" i="81"/>
  <c r="AA120" i="81"/>
  <c r="Z120" i="81"/>
  <c r="X120" i="81"/>
  <c r="W120" i="81"/>
  <c r="U120" i="81"/>
  <c r="U119" i="81" s="1"/>
  <c r="U118" i="81" s="1"/>
  <c r="T120" i="81"/>
  <c r="R120" i="81"/>
  <c r="R119" i="81" s="1"/>
  <c r="R118" i="81" s="1"/>
  <c r="Q120" i="81"/>
  <c r="P120" i="81"/>
  <c r="O120" i="81"/>
  <c r="N120" i="81"/>
  <c r="M120" i="81"/>
  <c r="I120" i="81"/>
  <c r="H120" i="81"/>
  <c r="G120" i="81"/>
  <c r="F120" i="81"/>
  <c r="E120" i="81"/>
  <c r="D120" i="81"/>
  <c r="C120" i="81"/>
  <c r="B120" i="81"/>
  <c r="A120" i="81"/>
  <c r="Z119" i="81"/>
  <c r="X119" i="81"/>
  <c r="T119" i="81"/>
  <c r="T118" i="81" s="1"/>
  <c r="M119" i="81"/>
  <c r="L119" i="81"/>
  <c r="Z118" i="81"/>
  <c r="X118" i="81"/>
  <c r="L118" i="81"/>
  <c r="K118" i="81"/>
  <c r="AQ117" i="81"/>
  <c r="AP117" i="81"/>
  <c r="AO117" i="81"/>
  <c r="AN117" i="81"/>
  <c r="AM117" i="81"/>
  <c r="AL117" i="81"/>
  <c r="AK117" i="81"/>
  <c r="AJ117" i="81"/>
  <c r="AI117" i="81"/>
  <c r="AH117" i="81"/>
  <c r="AG117" i="81"/>
  <c r="AF117" i="81"/>
  <c r="AE117" i="81"/>
  <c r="AD117" i="81"/>
  <c r="AC117" i="81"/>
  <c r="AB117" i="81"/>
  <c r="AA117" i="81"/>
  <c r="Z117" i="81"/>
  <c r="X117" i="81"/>
  <c r="X111" i="81" s="1"/>
  <c r="X110" i="81" s="1"/>
  <c r="W117" i="81"/>
  <c r="U117" i="81"/>
  <c r="T117" i="81"/>
  <c r="R117" i="81"/>
  <c r="Q117" i="81"/>
  <c r="P117" i="81"/>
  <c r="O117" i="81"/>
  <c r="N117" i="81"/>
  <c r="M117" i="81"/>
  <c r="I117" i="81"/>
  <c r="H117" i="81"/>
  <c r="G117" i="81"/>
  <c r="F117" i="81"/>
  <c r="E117" i="81"/>
  <c r="D117" i="81"/>
  <c r="C117" i="81"/>
  <c r="B117" i="81"/>
  <c r="A117" i="81"/>
  <c r="AQ116" i="81"/>
  <c r="AP116" i="81"/>
  <c r="AO116" i="81"/>
  <c r="AN116" i="81"/>
  <c r="AM116" i="81"/>
  <c r="AL116" i="81"/>
  <c r="AK116" i="81"/>
  <c r="AJ116" i="81"/>
  <c r="AI116" i="81"/>
  <c r="AH116" i="81"/>
  <c r="AG116" i="81"/>
  <c r="AF116" i="81"/>
  <c r="AE116" i="81"/>
  <c r="AD116" i="81"/>
  <c r="AC116" i="81"/>
  <c r="AB116" i="81"/>
  <c r="AA116" i="81"/>
  <c r="Z116" i="81"/>
  <c r="X116" i="81"/>
  <c r="W116" i="81"/>
  <c r="U116" i="81"/>
  <c r="R116" i="81"/>
  <c r="Q116" i="81"/>
  <c r="P116" i="81"/>
  <c r="O116" i="81"/>
  <c r="N116" i="81"/>
  <c r="M116" i="81"/>
  <c r="I116" i="81"/>
  <c r="H116" i="81"/>
  <c r="G116" i="81"/>
  <c r="F116" i="81"/>
  <c r="E116" i="81"/>
  <c r="D116" i="81"/>
  <c r="C116" i="81"/>
  <c r="B116" i="81"/>
  <c r="A116" i="81"/>
  <c r="AQ115" i="81"/>
  <c r="AP115" i="81"/>
  <c r="AO115" i="81"/>
  <c r="AN115" i="81"/>
  <c r="AM115" i="81"/>
  <c r="AL115" i="81"/>
  <c r="AK115" i="81"/>
  <c r="AJ115" i="81"/>
  <c r="AI115" i="81"/>
  <c r="AH115" i="81"/>
  <c r="AG115" i="81"/>
  <c r="AF115" i="81"/>
  <c r="AE115" i="81"/>
  <c r="AD115" i="81"/>
  <c r="AC115" i="81"/>
  <c r="AB115" i="81"/>
  <c r="AA115" i="81"/>
  <c r="Z115" i="81"/>
  <c r="X115" i="81"/>
  <c r="W115" i="81"/>
  <c r="U115" i="81"/>
  <c r="R115" i="81"/>
  <c r="Q115" i="81"/>
  <c r="P115" i="81"/>
  <c r="O115" i="81"/>
  <c r="N115" i="81"/>
  <c r="M115" i="81"/>
  <c r="I115" i="81"/>
  <c r="H115" i="81"/>
  <c r="G115" i="81"/>
  <c r="F115" i="81"/>
  <c r="E115" i="81"/>
  <c r="D115" i="81"/>
  <c r="C115" i="81"/>
  <c r="B115" i="81"/>
  <c r="A115" i="81"/>
  <c r="AQ114" i="81"/>
  <c r="AP114" i="81"/>
  <c r="AO114" i="81"/>
  <c r="AN114" i="81"/>
  <c r="AM114" i="81"/>
  <c r="AL114" i="81"/>
  <c r="AK114" i="81"/>
  <c r="AJ114" i="81"/>
  <c r="AI114" i="81"/>
  <c r="AH114" i="81"/>
  <c r="AG114" i="81"/>
  <c r="AF114" i="81"/>
  <c r="AE114" i="81"/>
  <c r="AD114" i="81"/>
  <c r="AC114" i="81"/>
  <c r="AB114" i="81"/>
  <c r="AA114" i="81"/>
  <c r="Z114" i="81"/>
  <c r="X114" i="81"/>
  <c r="W114" i="81"/>
  <c r="U114" i="81"/>
  <c r="T114" i="81"/>
  <c r="R114" i="81"/>
  <c r="Q114" i="81"/>
  <c r="P114" i="81"/>
  <c r="O114" i="81"/>
  <c r="N114" i="81"/>
  <c r="I114" i="81"/>
  <c r="H114" i="81"/>
  <c r="G114" i="81"/>
  <c r="F114" i="81"/>
  <c r="E114" i="81"/>
  <c r="D114" i="81"/>
  <c r="C114" i="81"/>
  <c r="B114" i="81"/>
  <c r="A114" i="81"/>
  <c r="AQ113" i="81"/>
  <c r="AP113" i="81"/>
  <c r="AO113" i="81"/>
  <c r="AN113" i="81"/>
  <c r="AM113" i="81"/>
  <c r="AL113" i="81"/>
  <c r="AK113" i="81"/>
  <c r="AJ113" i="81"/>
  <c r="AI113" i="81"/>
  <c r="AH113" i="81"/>
  <c r="AG113" i="81"/>
  <c r="AF113" i="81"/>
  <c r="AE113" i="81"/>
  <c r="AD113" i="81"/>
  <c r="AC113" i="81"/>
  <c r="AB113" i="81"/>
  <c r="AA113" i="81"/>
  <c r="Z113" i="81"/>
  <c r="Y113" i="81"/>
  <c r="X113" i="81"/>
  <c r="W113" i="81"/>
  <c r="U113" i="81"/>
  <c r="T113" i="81"/>
  <c r="R113" i="81"/>
  <c r="Q113" i="81"/>
  <c r="P113" i="81"/>
  <c r="O113" i="81"/>
  <c r="N113" i="81"/>
  <c r="I113" i="81"/>
  <c r="H113" i="81"/>
  <c r="G113" i="81"/>
  <c r="F113" i="81"/>
  <c r="E113" i="81"/>
  <c r="D113" i="81"/>
  <c r="C113" i="81"/>
  <c r="B113" i="81"/>
  <c r="A113" i="81"/>
  <c r="AQ112" i="81"/>
  <c r="AP112" i="81"/>
  <c r="AO112" i="81"/>
  <c r="AN112" i="81"/>
  <c r="AM112" i="81"/>
  <c r="AL112" i="81"/>
  <c r="AK112" i="81"/>
  <c r="AJ112" i="81"/>
  <c r="AI112" i="81"/>
  <c r="AH112" i="81"/>
  <c r="AG112" i="81"/>
  <c r="AF112" i="81"/>
  <c r="AE112" i="81"/>
  <c r="AD112" i="81"/>
  <c r="AC112" i="81"/>
  <c r="AB112" i="81"/>
  <c r="AA112" i="81"/>
  <c r="X112" i="81"/>
  <c r="W112" i="81"/>
  <c r="Q112" i="81"/>
  <c r="P112" i="81"/>
  <c r="O112" i="81"/>
  <c r="N112" i="81"/>
  <c r="M112" i="81"/>
  <c r="I112" i="81"/>
  <c r="H112" i="81"/>
  <c r="G112" i="81"/>
  <c r="F112" i="81"/>
  <c r="E112" i="81"/>
  <c r="D112" i="81"/>
  <c r="C112" i="81"/>
  <c r="B112" i="81"/>
  <c r="A112" i="81"/>
  <c r="M111" i="81"/>
  <c r="L111" i="81"/>
  <c r="L110" i="81"/>
  <c r="K110" i="81"/>
  <c r="AQ109" i="81"/>
  <c r="AP109" i="81"/>
  <c r="AO109" i="81"/>
  <c r="AN109" i="81"/>
  <c r="AM109" i="81"/>
  <c r="AL109" i="81"/>
  <c r="AK109" i="81"/>
  <c r="AJ109" i="81"/>
  <c r="AI109" i="81"/>
  <c r="AH109" i="81"/>
  <c r="AG109" i="81"/>
  <c r="AF109" i="81"/>
  <c r="AE109" i="81"/>
  <c r="AD109" i="81"/>
  <c r="AC109" i="81"/>
  <c r="AB109" i="81"/>
  <c r="AA109" i="81"/>
  <c r="Z109" i="81"/>
  <c r="Y109" i="81"/>
  <c r="X109" i="81"/>
  <c r="W109" i="81"/>
  <c r="U109" i="81"/>
  <c r="U108" i="81" s="1"/>
  <c r="U107" i="81" s="1"/>
  <c r="R109" i="81"/>
  <c r="Q109" i="81"/>
  <c r="P109" i="81"/>
  <c r="O109" i="81"/>
  <c r="N109" i="81"/>
  <c r="M109" i="81"/>
  <c r="I109" i="81"/>
  <c r="H109" i="81"/>
  <c r="G109" i="81"/>
  <c r="F109" i="81"/>
  <c r="E109" i="81"/>
  <c r="D109" i="81"/>
  <c r="C109" i="81"/>
  <c r="B109" i="81"/>
  <c r="A109" i="81"/>
  <c r="Z108" i="81"/>
  <c r="Z107" i="81" s="1"/>
  <c r="Y108" i="81"/>
  <c r="X108" i="81"/>
  <c r="X107" i="81" s="1"/>
  <c r="R108" i="81"/>
  <c r="R107" i="81" s="1"/>
  <c r="M108" i="81"/>
  <c r="L108" i="81"/>
  <c r="Y107" i="81"/>
  <c r="L107" i="81"/>
  <c r="K107" i="81"/>
  <c r="AQ106" i="81"/>
  <c r="AP106" i="81"/>
  <c r="AO106" i="81"/>
  <c r="AN106" i="81"/>
  <c r="AM106" i="81"/>
  <c r="AL106" i="81"/>
  <c r="AK106" i="81"/>
  <c r="AJ106" i="81"/>
  <c r="AI106" i="81"/>
  <c r="AH106" i="81"/>
  <c r="AG106" i="81"/>
  <c r="AF106" i="81"/>
  <c r="AE106" i="81"/>
  <c r="AD106" i="81"/>
  <c r="AC106" i="81"/>
  <c r="AB106" i="81"/>
  <c r="AA106" i="81"/>
  <c r="Y106" i="81"/>
  <c r="X106" i="81"/>
  <c r="W106" i="81"/>
  <c r="U106" i="81"/>
  <c r="U105" i="81" s="1"/>
  <c r="T106" i="81"/>
  <c r="T105" i="81" s="1"/>
  <c r="R106" i="81"/>
  <c r="R105" i="81" s="1"/>
  <c r="Q106" i="81"/>
  <c r="P106" i="81"/>
  <c r="O106" i="81"/>
  <c r="N106" i="81"/>
  <c r="M106" i="81"/>
  <c r="I106" i="81"/>
  <c r="H106" i="81"/>
  <c r="G106" i="81"/>
  <c r="F106" i="81"/>
  <c r="E106" i="81"/>
  <c r="D106" i="81"/>
  <c r="C106" i="81"/>
  <c r="B106" i="81"/>
  <c r="A106" i="81"/>
  <c r="Y105" i="81"/>
  <c r="X105" i="81"/>
  <c r="M105" i="81"/>
  <c r="L105" i="81"/>
  <c r="AQ104" i="81"/>
  <c r="AP104" i="81"/>
  <c r="AO104" i="81"/>
  <c r="AN104" i="81"/>
  <c r="AM104" i="81"/>
  <c r="AL104" i="81"/>
  <c r="AK104" i="81"/>
  <c r="AJ104" i="81"/>
  <c r="AI104" i="81"/>
  <c r="AH104" i="81"/>
  <c r="AG104" i="81"/>
  <c r="AF104" i="81"/>
  <c r="AE104" i="81"/>
  <c r="AD104" i="81"/>
  <c r="AC104" i="81"/>
  <c r="AB104" i="81"/>
  <c r="AA104" i="81"/>
  <c r="Y104" i="81"/>
  <c r="X104" i="81"/>
  <c r="X101" i="81" s="1"/>
  <c r="W104" i="81"/>
  <c r="U104" i="81"/>
  <c r="T104" i="81"/>
  <c r="R104" i="81"/>
  <c r="Q104" i="81"/>
  <c r="P104" i="81"/>
  <c r="O104" i="81"/>
  <c r="N104" i="81"/>
  <c r="M104" i="81"/>
  <c r="I104" i="81"/>
  <c r="H104" i="81"/>
  <c r="G104" i="81"/>
  <c r="F104" i="81"/>
  <c r="E104" i="81"/>
  <c r="D104" i="81"/>
  <c r="C104" i="81"/>
  <c r="B104" i="81"/>
  <c r="A104" i="81"/>
  <c r="AQ103" i="81"/>
  <c r="AP103" i="81"/>
  <c r="AO103" i="81"/>
  <c r="AN103" i="81"/>
  <c r="AM103" i="81"/>
  <c r="AL103" i="81"/>
  <c r="AK103" i="81"/>
  <c r="AJ103" i="81"/>
  <c r="AI103" i="81"/>
  <c r="AH103" i="81"/>
  <c r="AG103" i="81"/>
  <c r="AF103" i="81"/>
  <c r="AE103" i="81"/>
  <c r="AD103" i="81"/>
  <c r="AC103" i="81"/>
  <c r="AB103" i="81"/>
  <c r="AA103" i="81"/>
  <c r="Z103" i="81"/>
  <c r="X103" i="81"/>
  <c r="W103" i="81"/>
  <c r="U103" i="81"/>
  <c r="T103" i="81"/>
  <c r="T101" i="81" s="1"/>
  <c r="R103" i="81"/>
  <c r="Q103" i="81"/>
  <c r="P103" i="81"/>
  <c r="O103" i="81"/>
  <c r="N103" i="81"/>
  <c r="M103" i="81"/>
  <c r="I103" i="81"/>
  <c r="H103" i="81"/>
  <c r="G103" i="81"/>
  <c r="F103" i="81"/>
  <c r="E103" i="81"/>
  <c r="D103" i="81"/>
  <c r="C103" i="81"/>
  <c r="B103" i="81"/>
  <c r="A103" i="81"/>
  <c r="AQ102" i="81"/>
  <c r="AP102" i="81"/>
  <c r="AO102" i="81"/>
  <c r="AN102" i="81"/>
  <c r="AM102" i="81"/>
  <c r="AL102" i="81"/>
  <c r="AK102" i="81"/>
  <c r="AJ102" i="81"/>
  <c r="AI102" i="81"/>
  <c r="AH102" i="81"/>
  <c r="AG102" i="81"/>
  <c r="AF102" i="81"/>
  <c r="AE102" i="81"/>
  <c r="AD102" i="81"/>
  <c r="AC102" i="81"/>
  <c r="AB102" i="81"/>
  <c r="AA102" i="81"/>
  <c r="Y102" i="81"/>
  <c r="X102" i="81"/>
  <c r="W102" i="81"/>
  <c r="U102" i="81"/>
  <c r="U101" i="81" s="1"/>
  <c r="T102" i="81"/>
  <c r="R102" i="81"/>
  <c r="Q102" i="81"/>
  <c r="P102" i="81"/>
  <c r="O102" i="81"/>
  <c r="N102" i="81"/>
  <c r="M102" i="81"/>
  <c r="I102" i="81"/>
  <c r="H102" i="81"/>
  <c r="G102" i="81"/>
  <c r="F102" i="81"/>
  <c r="E102" i="81"/>
  <c r="D102" i="81"/>
  <c r="C102" i="81"/>
  <c r="B102" i="81"/>
  <c r="A102" i="81"/>
  <c r="R101" i="81"/>
  <c r="M101" i="81"/>
  <c r="L101" i="81"/>
  <c r="AQ100" i="81"/>
  <c r="AP100" i="81"/>
  <c r="AO100" i="81"/>
  <c r="AN100" i="81"/>
  <c r="AM100" i="81"/>
  <c r="AL100" i="81"/>
  <c r="AK100" i="81"/>
  <c r="AJ100" i="81"/>
  <c r="AI100" i="81"/>
  <c r="AH100" i="81"/>
  <c r="AG100" i="81"/>
  <c r="AF100" i="81"/>
  <c r="AE100" i="81"/>
  <c r="AD100" i="81"/>
  <c r="AC100" i="81"/>
  <c r="AB100" i="81"/>
  <c r="AA100" i="81"/>
  <c r="Z100" i="81"/>
  <c r="Y100" i="81"/>
  <c r="X100" i="81"/>
  <c r="W100" i="81"/>
  <c r="U100" i="81"/>
  <c r="T100" i="81"/>
  <c r="R100" i="81"/>
  <c r="Q100" i="81"/>
  <c r="P100" i="81"/>
  <c r="O100" i="81"/>
  <c r="N100" i="81"/>
  <c r="I100" i="81"/>
  <c r="H100" i="81"/>
  <c r="G100" i="81"/>
  <c r="F100" i="81"/>
  <c r="E100" i="81"/>
  <c r="D100" i="81"/>
  <c r="C100" i="81"/>
  <c r="B100" i="81"/>
  <c r="A100" i="81"/>
  <c r="AQ99" i="81"/>
  <c r="AP99" i="81"/>
  <c r="AO99" i="81"/>
  <c r="AN99" i="81"/>
  <c r="AM99" i="81"/>
  <c r="AL99" i="81"/>
  <c r="AK99" i="81"/>
  <c r="AJ99" i="81"/>
  <c r="AI99" i="81"/>
  <c r="AH99" i="81"/>
  <c r="AG99" i="81"/>
  <c r="AF99" i="81"/>
  <c r="AE99" i="81"/>
  <c r="AD99" i="81"/>
  <c r="AC99" i="81"/>
  <c r="AB99" i="81"/>
  <c r="AA99" i="81"/>
  <c r="X99" i="81"/>
  <c r="W99" i="81"/>
  <c r="U99" i="81"/>
  <c r="T99" i="81"/>
  <c r="R99" i="81"/>
  <c r="Q99" i="81"/>
  <c r="P99" i="81"/>
  <c r="O99" i="81"/>
  <c r="N99" i="81"/>
  <c r="I99" i="81"/>
  <c r="H99" i="81"/>
  <c r="G99" i="81"/>
  <c r="F99" i="81"/>
  <c r="E99" i="81"/>
  <c r="D99" i="81"/>
  <c r="C99" i="81"/>
  <c r="B99" i="81"/>
  <c r="A99" i="81"/>
  <c r="AQ98" i="81"/>
  <c r="AP98" i="81"/>
  <c r="AO98" i="81"/>
  <c r="AN98" i="81"/>
  <c r="AM98" i="81"/>
  <c r="AL98" i="81"/>
  <c r="AK98" i="81"/>
  <c r="AJ98" i="81"/>
  <c r="AI98" i="81"/>
  <c r="AH98" i="81"/>
  <c r="AG98" i="81"/>
  <c r="AF98" i="81"/>
  <c r="AE98" i="81"/>
  <c r="AD98" i="81"/>
  <c r="AC98" i="81"/>
  <c r="AB98" i="81"/>
  <c r="AA98" i="81"/>
  <c r="X98" i="81"/>
  <c r="W98" i="81"/>
  <c r="Q98" i="81"/>
  <c r="P98" i="81"/>
  <c r="O98" i="81"/>
  <c r="N98" i="81"/>
  <c r="M98" i="81"/>
  <c r="I98" i="81"/>
  <c r="H98" i="81"/>
  <c r="G98" i="81"/>
  <c r="F98" i="81"/>
  <c r="E98" i="81"/>
  <c r="D98" i="81"/>
  <c r="C98" i="81"/>
  <c r="B98" i="81"/>
  <c r="A98" i="81"/>
  <c r="AQ97" i="81"/>
  <c r="AP97" i="81"/>
  <c r="AO97" i="81"/>
  <c r="AN97" i="81"/>
  <c r="AM97" i="81"/>
  <c r="AL97" i="81"/>
  <c r="AK97" i="81"/>
  <c r="AJ97" i="81"/>
  <c r="AI97" i="81"/>
  <c r="AH97" i="81"/>
  <c r="AG97" i="81"/>
  <c r="AF97" i="81"/>
  <c r="AE97" i="81"/>
  <c r="AD97" i="81"/>
  <c r="AC97" i="81"/>
  <c r="AB97" i="81"/>
  <c r="AA97" i="81"/>
  <c r="Z97" i="81"/>
  <c r="Y97" i="81"/>
  <c r="X97" i="81"/>
  <c r="W97" i="81"/>
  <c r="U97" i="81"/>
  <c r="T97" i="81"/>
  <c r="R97" i="81"/>
  <c r="Q97" i="81"/>
  <c r="P97" i="81"/>
  <c r="O97" i="81"/>
  <c r="N97" i="81"/>
  <c r="M97" i="81"/>
  <c r="I97" i="81"/>
  <c r="H97" i="81"/>
  <c r="G97" i="81"/>
  <c r="F97" i="81"/>
  <c r="E97" i="81"/>
  <c r="D97" i="81"/>
  <c r="C97" i="81"/>
  <c r="B97" i="81"/>
  <c r="A97" i="81"/>
  <c r="AQ96" i="81"/>
  <c r="AP96" i="81"/>
  <c r="AO96" i="81"/>
  <c r="AN96" i="81"/>
  <c r="AM96" i="81"/>
  <c r="AL96" i="81"/>
  <c r="AK96" i="81"/>
  <c r="AJ96" i="81"/>
  <c r="AI96" i="81"/>
  <c r="AH96" i="81"/>
  <c r="AG96" i="81"/>
  <c r="AF96" i="81"/>
  <c r="AE96" i="81"/>
  <c r="AD96" i="81"/>
  <c r="AC96" i="81"/>
  <c r="AB96" i="81"/>
  <c r="AA96" i="81"/>
  <c r="Z96" i="81"/>
  <c r="X96" i="81"/>
  <c r="X91" i="81" s="1"/>
  <c r="W96" i="81"/>
  <c r="U96" i="81"/>
  <c r="T96" i="81"/>
  <c r="R96" i="81"/>
  <c r="Q96" i="81"/>
  <c r="P96" i="81"/>
  <c r="O96" i="81"/>
  <c r="N96" i="81"/>
  <c r="M96" i="81"/>
  <c r="I96" i="81"/>
  <c r="H96" i="81"/>
  <c r="G96" i="81"/>
  <c r="F96" i="81"/>
  <c r="E96" i="81"/>
  <c r="D96" i="81"/>
  <c r="C96" i="81"/>
  <c r="B96" i="81"/>
  <c r="A96" i="81"/>
  <c r="AQ95" i="81"/>
  <c r="AP95" i="81"/>
  <c r="AO95" i="81"/>
  <c r="AN95" i="81"/>
  <c r="AM95" i="81"/>
  <c r="AL95" i="81"/>
  <c r="AK95" i="81"/>
  <c r="AJ95" i="81"/>
  <c r="AI95" i="81"/>
  <c r="AH95" i="81"/>
  <c r="AG95" i="81"/>
  <c r="AF95" i="81"/>
  <c r="AE95" i="81"/>
  <c r="AD95" i="81"/>
  <c r="AC95" i="81"/>
  <c r="AB95" i="81"/>
  <c r="AA95" i="81"/>
  <c r="Z95" i="81"/>
  <c r="X95" i="81"/>
  <c r="W95" i="81"/>
  <c r="U95" i="81"/>
  <c r="T95" i="81"/>
  <c r="R95" i="81"/>
  <c r="Q95" i="81"/>
  <c r="P95" i="81"/>
  <c r="O95" i="81"/>
  <c r="N95" i="81"/>
  <c r="M95" i="81"/>
  <c r="I95" i="81"/>
  <c r="H95" i="81"/>
  <c r="G95" i="81"/>
  <c r="F95" i="81"/>
  <c r="E95" i="81"/>
  <c r="D95" i="81"/>
  <c r="C95" i="81"/>
  <c r="B95" i="81"/>
  <c r="A95" i="81"/>
  <c r="AQ94" i="81"/>
  <c r="AP94" i="81"/>
  <c r="AO94" i="81"/>
  <c r="AN94" i="81"/>
  <c r="AM94" i="81"/>
  <c r="AL94" i="81"/>
  <c r="AK94" i="81"/>
  <c r="AJ94" i="81"/>
  <c r="AI94" i="81"/>
  <c r="AH94" i="81"/>
  <c r="AG94" i="81"/>
  <c r="AF94" i="81"/>
  <c r="AE94" i="81"/>
  <c r="AD94" i="81"/>
  <c r="AC94" i="81"/>
  <c r="AB94" i="81"/>
  <c r="AA94" i="81"/>
  <c r="Z94" i="81"/>
  <c r="X94" i="81"/>
  <c r="W94" i="81"/>
  <c r="U94" i="81"/>
  <c r="T94" i="81"/>
  <c r="R94" i="81"/>
  <c r="Q94" i="81"/>
  <c r="P94" i="81"/>
  <c r="O94" i="81"/>
  <c r="N94" i="81"/>
  <c r="M94" i="81"/>
  <c r="I94" i="81"/>
  <c r="H94" i="81"/>
  <c r="G94" i="81"/>
  <c r="F94" i="81"/>
  <c r="E94" i="81"/>
  <c r="D94" i="81"/>
  <c r="C94" i="81"/>
  <c r="B94" i="81"/>
  <c r="A94" i="81"/>
  <c r="AQ93" i="81"/>
  <c r="AP93" i="81"/>
  <c r="AO93" i="81"/>
  <c r="AN93" i="81"/>
  <c r="AM93" i="81"/>
  <c r="AL93" i="81"/>
  <c r="AK93" i="81"/>
  <c r="AJ93" i="81"/>
  <c r="AI93" i="81"/>
  <c r="AH93" i="81"/>
  <c r="AG93" i="81"/>
  <c r="AF93" i="81"/>
  <c r="AE93" i="81"/>
  <c r="AD93" i="81"/>
  <c r="AC93" i="81"/>
  <c r="AB93" i="81"/>
  <c r="AA93" i="81"/>
  <c r="X93" i="81"/>
  <c r="W93" i="81"/>
  <c r="U93" i="81"/>
  <c r="T93" i="81"/>
  <c r="R93" i="81"/>
  <c r="Q93" i="81"/>
  <c r="P93" i="81"/>
  <c r="O93" i="81"/>
  <c r="N93" i="81"/>
  <c r="M93" i="81"/>
  <c r="I93" i="81"/>
  <c r="H93" i="81"/>
  <c r="G93" i="81"/>
  <c r="F93" i="81"/>
  <c r="E93" i="81"/>
  <c r="D93" i="81"/>
  <c r="C93" i="81"/>
  <c r="B93" i="81"/>
  <c r="A93" i="81"/>
  <c r="AQ92" i="81"/>
  <c r="AP92" i="81"/>
  <c r="AO92" i="81"/>
  <c r="AN92" i="81"/>
  <c r="AM92" i="81"/>
  <c r="AL92" i="81"/>
  <c r="AK92" i="81"/>
  <c r="AJ92" i="81"/>
  <c r="AI92" i="81"/>
  <c r="AH92" i="81"/>
  <c r="AG92" i="81"/>
  <c r="AF92" i="81"/>
  <c r="AE92" i="81"/>
  <c r="AD92" i="81"/>
  <c r="AC92" i="81"/>
  <c r="AB92" i="81"/>
  <c r="AA92" i="81"/>
  <c r="X92" i="81"/>
  <c r="W92" i="81"/>
  <c r="U92" i="81"/>
  <c r="T92" i="81"/>
  <c r="R92" i="81"/>
  <c r="Q92" i="81"/>
  <c r="P92" i="81"/>
  <c r="O92" i="81"/>
  <c r="N92" i="81"/>
  <c r="M92" i="81"/>
  <c r="I92" i="81"/>
  <c r="H92" i="81"/>
  <c r="G92" i="81"/>
  <c r="F92" i="81"/>
  <c r="E92" i="81"/>
  <c r="D92" i="81"/>
  <c r="C92" i="81"/>
  <c r="B92" i="81"/>
  <c r="A92" i="81"/>
  <c r="M91" i="81"/>
  <c r="L91" i="81"/>
  <c r="AQ90" i="81"/>
  <c r="AP90" i="81"/>
  <c r="AO90" i="81"/>
  <c r="AN90" i="81"/>
  <c r="AM90" i="81"/>
  <c r="AL90" i="81"/>
  <c r="AK90" i="81"/>
  <c r="AJ90" i="81"/>
  <c r="AI90" i="81"/>
  <c r="AH90" i="81"/>
  <c r="AG90" i="81"/>
  <c r="AF90" i="81"/>
  <c r="AE90" i="81"/>
  <c r="AD90" i="81"/>
  <c r="AC90" i="81"/>
  <c r="AB90" i="81"/>
  <c r="AA90" i="81"/>
  <c r="X90" i="81"/>
  <c r="W90" i="81"/>
  <c r="U90" i="81"/>
  <c r="T90" i="81"/>
  <c r="R90" i="81"/>
  <c r="Q90" i="81"/>
  <c r="P90" i="81"/>
  <c r="O90" i="81"/>
  <c r="N90" i="81"/>
  <c r="M90" i="81"/>
  <c r="I90" i="81"/>
  <c r="H90" i="81"/>
  <c r="G90" i="81"/>
  <c r="F90" i="81"/>
  <c r="E90" i="81"/>
  <c r="D90" i="81"/>
  <c r="C90" i="81"/>
  <c r="B90" i="81"/>
  <c r="A90" i="81"/>
  <c r="AP89" i="81"/>
  <c r="AH89" i="81"/>
  <c r="AG89" i="81"/>
  <c r="AF89" i="81"/>
  <c r="AE89" i="81"/>
  <c r="AD89" i="81"/>
  <c r="AC89" i="81"/>
  <c r="AB89" i="81"/>
  <c r="AA89" i="81"/>
  <c r="X89" i="81"/>
  <c r="W89" i="81"/>
  <c r="U89" i="81"/>
  <c r="T89" i="81"/>
  <c r="R89" i="81"/>
  <c r="Q89" i="81"/>
  <c r="P89" i="81"/>
  <c r="O89" i="81"/>
  <c r="N89" i="81"/>
  <c r="AQ88" i="81"/>
  <c r="AP88" i="81"/>
  <c r="AO88" i="81"/>
  <c r="AN88" i="81"/>
  <c r="AM88" i="81"/>
  <c r="AL88" i="81"/>
  <c r="AK88" i="81"/>
  <c r="AJ88" i="81"/>
  <c r="AI88" i="81"/>
  <c r="AH88" i="81"/>
  <c r="AG88" i="81"/>
  <c r="AF88" i="81"/>
  <c r="AE88" i="81"/>
  <c r="AD88" i="81"/>
  <c r="AC88" i="81"/>
  <c r="AB88" i="81"/>
  <c r="AA88" i="81"/>
  <c r="Z88" i="81"/>
  <c r="Y88" i="81"/>
  <c r="X88" i="81"/>
  <c r="W88" i="81"/>
  <c r="U88" i="81"/>
  <c r="T88" i="81"/>
  <c r="R88" i="81"/>
  <c r="Q88" i="81"/>
  <c r="P88" i="81"/>
  <c r="O88" i="81"/>
  <c r="N88" i="81"/>
  <c r="AQ87" i="81"/>
  <c r="AP87" i="81"/>
  <c r="AO87" i="81"/>
  <c r="AN87" i="81"/>
  <c r="AM87" i="81"/>
  <c r="AL87" i="81"/>
  <c r="AK87" i="81"/>
  <c r="AJ87" i="81"/>
  <c r="AI87" i="81"/>
  <c r="AH87" i="81"/>
  <c r="AG87" i="81"/>
  <c r="AF87" i="81"/>
  <c r="AE87" i="81"/>
  <c r="AD87" i="81"/>
  <c r="AC87" i="81"/>
  <c r="AB87" i="81"/>
  <c r="AA87" i="81"/>
  <c r="Z87" i="81"/>
  <c r="Y87" i="81"/>
  <c r="X87" i="81"/>
  <c r="W87" i="81"/>
  <c r="U87" i="81"/>
  <c r="T87" i="81"/>
  <c r="R87" i="81"/>
  <c r="Q87" i="81"/>
  <c r="P87" i="81"/>
  <c r="O87" i="81"/>
  <c r="N87" i="81"/>
  <c r="AQ86" i="81"/>
  <c r="AP86" i="81"/>
  <c r="AO86" i="81"/>
  <c r="AN86" i="81"/>
  <c r="AM86" i="81"/>
  <c r="AL86" i="81"/>
  <c r="AK86" i="81"/>
  <c r="AJ86" i="81"/>
  <c r="AI86" i="81"/>
  <c r="AH86" i="81"/>
  <c r="AG86" i="81"/>
  <c r="AF86" i="81"/>
  <c r="AE86" i="81"/>
  <c r="AD86" i="81"/>
  <c r="AC86" i="81"/>
  <c r="AB86" i="81"/>
  <c r="AA86" i="81"/>
  <c r="X86" i="81"/>
  <c r="W86" i="81"/>
  <c r="U86" i="81"/>
  <c r="T86" i="81"/>
  <c r="R86" i="81"/>
  <c r="Q86" i="81"/>
  <c r="P86" i="81"/>
  <c r="O86" i="81"/>
  <c r="N86" i="81"/>
  <c r="M86" i="81"/>
  <c r="I86" i="81"/>
  <c r="H86" i="81"/>
  <c r="G86" i="81"/>
  <c r="F86" i="81"/>
  <c r="E86" i="81"/>
  <c r="D86" i="81"/>
  <c r="C86" i="81"/>
  <c r="B86" i="81"/>
  <c r="A86" i="81"/>
  <c r="AQ85" i="81"/>
  <c r="AP85" i="81"/>
  <c r="AO85" i="81"/>
  <c r="AN85" i="81"/>
  <c r="AM85" i="81"/>
  <c r="AL85" i="81"/>
  <c r="AK85" i="81"/>
  <c r="AJ85" i="81"/>
  <c r="AI85" i="81"/>
  <c r="AH85" i="81"/>
  <c r="AG85" i="81"/>
  <c r="AF85" i="81"/>
  <c r="AE85" i="81"/>
  <c r="AD85" i="81"/>
  <c r="AC85" i="81"/>
  <c r="AB85" i="81"/>
  <c r="AA85" i="81"/>
  <c r="Z85" i="81"/>
  <c r="X85" i="81"/>
  <c r="W85" i="81"/>
  <c r="U85" i="81"/>
  <c r="T85" i="81"/>
  <c r="R85" i="81"/>
  <c r="Q85" i="81"/>
  <c r="P85" i="81"/>
  <c r="O85" i="81"/>
  <c r="N85" i="81"/>
  <c r="M85" i="81"/>
  <c r="I85" i="81"/>
  <c r="H85" i="81"/>
  <c r="G85" i="81"/>
  <c r="F85" i="81"/>
  <c r="E85" i="81"/>
  <c r="D85" i="81"/>
  <c r="C85" i="81"/>
  <c r="B85" i="81"/>
  <c r="A85" i="81"/>
  <c r="AQ84" i="81"/>
  <c r="AP84" i="81"/>
  <c r="AO84" i="81"/>
  <c r="AN84" i="81"/>
  <c r="AM84" i="81"/>
  <c r="AL84" i="81"/>
  <c r="AK84" i="81"/>
  <c r="AJ84" i="81"/>
  <c r="AI84" i="81"/>
  <c r="AH84" i="81"/>
  <c r="AG84" i="81"/>
  <c r="AF84" i="81"/>
  <c r="AE84" i="81"/>
  <c r="AD84" i="81"/>
  <c r="AC84" i="81"/>
  <c r="AB84" i="81"/>
  <c r="AA84" i="81"/>
  <c r="X84" i="81"/>
  <c r="W84" i="81"/>
  <c r="U84" i="81"/>
  <c r="T84" i="81"/>
  <c r="R84" i="81"/>
  <c r="Q84" i="81"/>
  <c r="P84" i="81"/>
  <c r="O84" i="81"/>
  <c r="N84" i="81"/>
  <c r="M84" i="81"/>
  <c r="I84" i="81"/>
  <c r="H84" i="81"/>
  <c r="G84" i="81"/>
  <c r="F84" i="81"/>
  <c r="E84" i="81"/>
  <c r="D84" i="81"/>
  <c r="C84" i="81"/>
  <c r="B84" i="81"/>
  <c r="A84" i="81"/>
  <c r="AQ83" i="81"/>
  <c r="AP83" i="81"/>
  <c r="AO83" i="81"/>
  <c r="AN83" i="81"/>
  <c r="AM83" i="81"/>
  <c r="AL83" i="81"/>
  <c r="AK83" i="81"/>
  <c r="AJ83" i="81"/>
  <c r="AI83" i="81"/>
  <c r="AH83" i="81"/>
  <c r="AG83" i="81"/>
  <c r="AF83" i="81"/>
  <c r="AE83" i="81"/>
  <c r="AD83" i="81"/>
  <c r="AC83" i="81"/>
  <c r="AB83" i="81"/>
  <c r="AA83" i="81"/>
  <c r="X83" i="81"/>
  <c r="W83" i="81"/>
  <c r="U83" i="81"/>
  <c r="T83" i="81"/>
  <c r="R83" i="81"/>
  <c r="Q83" i="81"/>
  <c r="P83" i="81"/>
  <c r="O83" i="81"/>
  <c r="N83" i="81"/>
  <c r="M83" i="81"/>
  <c r="I83" i="81"/>
  <c r="H83" i="81"/>
  <c r="G83" i="81"/>
  <c r="F83" i="81"/>
  <c r="E83" i="81"/>
  <c r="D83" i="81"/>
  <c r="C83" i="81"/>
  <c r="B83" i="81"/>
  <c r="A83" i="81"/>
  <c r="AQ82" i="81"/>
  <c r="AP82" i="81"/>
  <c r="AO82" i="81"/>
  <c r="AN82" i="81"/>
  <c r="AM82" i="81"/>
  <c r="AL82" i="81"/>
  <c r="AK82" i="81"/>
  <c r="AJ82" i="81"/>
  <c r="AI82" i="81"/>
  <c r="AH82" i="81"/>
  <c r="AG82" i="81"/>
  <c r="AF82" i="81"/>
  <c r="AE82" i="81"/>
  <c r="AD82" i="81"/>
  <c r="AC82" i="81"/>
  <c r="AB82" i="81"/>
  <c r="AA82" i="81"/>
  <c r="X82" i="81"/>
  <c r="W82" i="81"/>
  <c r="U82" i="81"/>
  <c r="T82" i="81"/>
  <c r="R82" i="81"/>
  <c r="Q82" i="81"/>
  <c r="P82" i="81"/>
  <c r="O82" i="81"/>
  <c r="N82" i="81"/>
  <c r="M82" i="81"/>
  <c r="I82" i="81"/>
  <c r="H82" i="81"/>
  <c r="G82" i="81"/>
  <c r="F82" i="81"/>
  <c r="E82" i="81"/>
  <c r="D82" i="81"/>
  <c r="C82" i="81"/>
  <c r="B82" i="81"/>
  <c r="A82" i="81"/>
  <c r="AQ81" i="81"/>
  <c r="AP81" i="81"/>
  <c r="AO81" i="81"/>
  <c r="AN81" i="81"/>
  <c r="AM81" i="81"/>
  <c r="AL81" i="81"/>
  <c r="AK81" i="81"/>
  <c r="AJ81" i="81"/>
  <c r="AI81" i="81"/>
  <c r="AH81" i="81"/>
  <c r="AG81" i="81"/>
  <c r="AF81" i="81"/>
  <c r="AE81" i="81"/>
  <c r="AD81" i="81"/>
  <c r="AC81" i="81"/>
  <c r="AB81" i="81"/>
  <c r="AA81" i="81"/>
  <c r="X81" i="81"/>
  <c r="W81" i="81"/>
  <c r="U81" i="81"/>
  <c r="T81" i="81"/>
  <c r="R81" i="81"/>
  <c r="Q81" i="81"/>
  <c r="P81" i="81"/>
  <c r="O81" i="81"/>
  <c r="N81" i="81"/>
  <c r="M81" i="81"/>
  <c r="I81" i="81"/>
  <c r="H81" i="81"/>
  <c r="G81" i="81"/>
  <c r="F81" i="81"/>
  <c r="E81" i="81"/>
  <c r="D81" i="81"/>
  <c r="C81" i="81"/>
  <c r="B81" i="81"/>
  <c r="A81" i="81"/>
  <c r="AQ80" i="81"/>
  <c r="AP80" i="81"/>
  <c r="AO80" i="81"/>
  <c r="AN80" i="81"/>
  <c r="AM80" i="81"/>
  <c r="AL80" i="81"/>
  <c r="AK80" i="81"/>
  <c r="AJ80" i="81"/>
  <c r="AI80" i="81"/>
  <c r="AH80" i="81"/>
  <c r="AG80" i="81"/>
  <c r="AF80" i="81"/>
  <c r="AE80" i="81"/>
  <c r="AD80" i="81"/>
  <c r="AC80" i="81"/>
  <c r="AB80" i="81"/>
  <c r="AA80" i="81"/>
  <c r="X80" i="81"/>
  <c r="W80" i="81"/>
  <c r="U80" i="81"/>
  <c r="T80" i="81"/>
  <c r="R80" i="81"/>
  <c r="Q80" i="81"/>
  <c r="P80" i="81"/>
  <c r="O80" i="81"/>
  <c r="N80" i="81"/>
  <c r="M80" i="81"/>
  <c r="I80" i="81"/>
  <c r="H80" i="81"/>
  <c r="G80" i="81"/>
  <c r="F80" i="81"/>
  <c r="E80" i="81"/>
  <c r="D80" i="81"/>
  <c r="C80" i="81"/>
  <c r="B80" i="81"/>
  <c r="A80" i="81"/>
  <c r="AQ79" i="81"/>
  <c r="AP79" i="81"/>
  <c r="AO79" i="81"/>
  <c r="AN79" i="81"/>
  <c r="AM79" i="81"/>
  <c r="AL79" i="81"/>
  <c r="AK79" i="81"/>
  <c r="AJ79" i="81"/>
  <c r="AI79" i="81"/>
  <c r="AH79" i="81"/>
  <c r="AG79" i="81"/>
  <c r="AF79" i="81"/>
  <c r="AE79" i="81"/>
  <c r="AD79" i="81"/>
  <c r="AC79" i="81"/>
  <c r="AB79" i="81"/>
  <c r="AA79" i="81"/>
  <c r="X79" i="81"/>
  <c r="W79" i="81"/>
  <c r="U79" i="81"/>
  <c r="T79" i="81"/>
  <c r="R79" i="81"/>
  <c r="Q79" i="81"/>
  <c r="P79" i="81"/>
  <c r="O79" i="81"/>
  <c r="N79" i="81"/>
  <c r="M79" i="81"/>
  <c r="I79" i="81"/>
  <c r="H79" i="81"/>
  <c r="G79" i="81"/>
  <c r="F79" i="81"/>
  <c r="E79" i="81"/>
  <c r="D79" i="81"/>
  <c r="C79" i="81"/>
  <c r="B79" i="81"/>
  <c r="A79" i="81"/>
  <c r="AQ78" i="81"/>
  <c r="AP78" i="81"/>
  <c r="AO78" i="81"/>
  <c r="AN78" i="81"/>
  <c r="AM78" i="81"/>
  <c r="AL78" i="81"/>
  <c r="AK78" i="81"/>
  <c r="AJ78" i="81"/>
  <c r="AI78" i="81"/>
  <c r="AH78" i="81"/>
  <c r="AG78" i="81"/>
  <c r="AF78" i="81"/>
  <c r="AE78" i="81"/>
  <c r="AD78" i="81"/>
  <c r="AC78" i="81"/>
  <c r="AB78" i="81"/>
  <c r="AA78" i="81"/>
  <c r="Z78" i="81"/>
  <c r="X78" i="81"/>
  <c r="W78" i="81"/>
  <c r="U78" i="81"/>
  <c r="T78" i="81"/>
  <c r="R78" i="81"/>
  <c r="Q78" i="81"/>
  <c r="P78" i="81"/>
  <c r="O78" i="81"/>
  <c r="N78" i="81"/>
  <c r="M78" i="81"/>
  <c r="I78" i="81"/>
  <c r="H78" i="81"/>
  <c r="G78" i="81"/>
  <c r="F78" i="81"/>
  <c r="E78" i="81"/>
  <c r="D78" i="81"/>
  <c r="C78" i="81"/>
  <c r="B78" i="81"/>
  <c r="A78" i="81"/>
  <c r="AQ77" i="81"/>
  <c r="AP77" i="81"/>
  <c r="AO77" i="81"/>
  <c r="AN77" i="81"/>
  <c r="AM77" i="81"/>
  <c r="AL77" i="81"/>
  <c r="AK77" i="81"/>
  <c r="AJ77" i="81"/>
  <c r="AI77" i="81"/>
  <c r="AH77" i="81"/>
  <c r="AG77" i="81"/>
  <c r="AF77" i="81"/>
  <c r="AE77" i="81"/>
  <c r="AD77" i="81"/>
  <c r="AC77" i="81"/>
  <c r="AB77" i="81"/>
  <c r="AA77" i="81"/>
  <c r="X77" i="81"/>
  <c r="W77" i="81"/>
  <c r="U77" i="81"/>
  <c r="U76" i="81" s="1"/>
  <c r="T77" i="81"/>
  <c r="T76" i="81" s="1"/>
  <c r="R77" i="81"/>
  <c r="R76" i="81" s="1"/>
  <c r="Q77" i="81"/>
  <c r="P77" i="81"/>
  <c r="O77" i="81"/>
  <c r="N77" i="81"/>
  <c r="M77" i="81"/>
  <c r="I77" i="81"/>
  <c r="H77" i="81"/>
  <c r="G77" i="81"/>
  <c r="F77" i="81"/>
  <c r="E77" i="81"/>
  <c r="D77" i="81"/>
  <c r="C77" i="81"/>
  <c r="B77" i="81"/>
  <c r="A77" i="81"/>
  <c r="X76" i="81"/>
  <c r="M76" i="81"/>
  <c r="L76" i="81"/>
  <c r="AQ75" i="81"/>
  <c r="AP75" i="81"/>
  <c r="AO75" i="81"/>
  <c r="AN75" i="81"/>
  <c r="AM75" i="81"/>
  <c r="AL75" i="81"/>
  <c r="AK75" i="81"/>
  <c r="AJ75" i="81"/>
  <c r="AI75" i="81"/>
  <c r="AH75" i="81"/>
  <c r="AG75" i="81"/>
  <c r="AF75" i="81"/>
  <c r="AE75" i="81"/>
  <c r="AD75" i="81"/>
  <c r="AC75" i="81"/>
  <c r="AB75" i="81"/>
  <c r="AA75" i="81"/>
  <c r="X75" i="81"/>
  <c r="W75" i="81"/>
  <c r="U75" i="81"/>
  <c r="T75" i="81"/>
  <c r="R75" i="81"/>
  <c r="Q75" i="81"/>
  <c r="P75" i="81"/>
  <c r="O75" i="81"/>
  <c r="N75" i="81"/>
  <c r="M75" i="81"/>
  <c r="I75" i="81"/>
  <c r="H75" i="81"/>
  <c r="G75" i="81"/>
  <c r="F75" i="81"/>
  <c r="E75" i="81"/>
  <c r="D75" i="81"/>
  <c r="C75" i="81"/>
  <c r="B75" i="81"/>
  <c r="A75" i="81"/>
  <c r="AQ74" i="81"/>
  <c r="AP74" i="81"/>
  <c r="AO74" i="81"/>
  <c r="AN74" i="81"/>
  <c r="AM74" i="81"/>
  <c r="AL74" i="81"/>
  <c r="AK74" i="81"/>
  <c r="AJ74" i="81"/>
  <c r="AI74" i="81"/>
  <c r="AH74" i="81"/>
  <c r="AG74" i="81"/>
  <c r="AF74" i="81"/>
  <c r="AE74" i="81"/>
  <c r="AD74" i="81"/>
  <c r="AC74" i="81"/>
  <c r="AB74" i="81"/>
  <c r="AA74" i="81"/>
  <c r="X74" i="81"/>
  <c r="W74" i="81"/>
  <c r="U74" i="81"/>
  <c r="U72" i="81" s="1"/>
  <c r="T74" i="81"/>
  <c r="R74" i="81"/>
  <c r="Q74" i="81"/>
  <c r="P74" i="81"/>
  <c r="O74" i="81"/>
  <c r="N74" i="81"/>
  <c r="M74" i="81"/>
  <c r="I74" i="81"/>
  <c r="H74" i="81"/>
  <c r="G74" i="81"/>
  <c r="F74" i="81"/>
  <c r="E74" i="81"/>
  <c r="D74" i="81"/>
  <c r="C74" i="81"/>
  <c r="B74" i="81"/>
  <c r="A74" i="81"/>
  <c r="AQ73" i="81"/>
  <c r="AP73" i="81"/>
  <c r="AO73" i="81"/>
  <c r="AN73" i="81"/>
  <c r="AM73" i="81"/>
  <c r="AL73" i="81"/>
  <c r="AK73" i="81"/>
  <c r="AJ73" i="81"/>
  <c r="AI73" i="81"/>
  <c r="AH73" i="81"/>
  <c r="AG73" i="81"/>
  <c r="AF73" i="81"/>
  <c r="AE73" i="81"/>
  <c r="AD73" i="81"/>
  <c r="AC73" i="81"/>
  <c r="AB73" i="81"/>
  <c r="AA73" i="81"/>
  <c r="Y73" i="81"/>
  <c r="X73" i="81"/>
  <c r="X72" i="81" s="1"/>
  <c r="W73" i="81"/>
  <c r="U73" i="81"/>
  <c r="T73" i="81"/>
  <c r="R73" i="81"/>
  <c r="R72" i="81" s="1"/>
  <c r="Q73" i="81"/>
  <c r="P73" i="81"/>
  <c r="O73" i="81"/>
  <c r="N73" i="81"/>
  <c r="M73" i="81"/>
  <c r="I73" i="81"/>
  <c r="H73" i="81"/>
  <c r="G73" i="81"/>
  <c r="F73" i="81"/>
  <c r="E73" i="81"/>
  <c r="D73" i="81"/>
  <c r="C73" i="81"/>
  <c r="B73" i="81"/>
  <c r="A73" i="81"/>
  <c r="T72" i="81"/>
  <c r="M72" i="81"/>
  <c r="L72" i="81"/>
  <c r="AQ71" i="81"/>
  <c r="AP71" i="81"/>
  <c r="AO71" i="81"/>
  <c r="AN71" i="81"/>
  <c r="AM71" i="81"/>
  <c r="AL71" i="81"/>
  <c r="AK71" i="81"/>
  <c r="AJ71" i="81"/>
  <c r="AI71" i="81"/>
  <c r="AH71" i="81"/>
  <c r="AG71" i="81"/>
  <c r="AF71" i="81"/>
  <c r="AE71" i="81"/>
  <c r="AD71" i="81"/>
  <c r="AC71" i="81"/>
  <c r="AB71" i="81"/>
  <c r="AA71" i="81"/>
  <c r="Z71" i="81"/>
  <c r="X71" i="81"/>
  <c r="W71" i="81"/>
  <c r="U71" i="81"/>
  <c r="T71" i="81"/>
  <c r="R71" i="81"/>
  <c r="Q71" i="81"/>
  <c r="P71" i="81"/>
  <c r="O71" i="81"/>
  <c r="N71" i="81"/>
  <c r="M71" i="81"/>
  <c r="I71" i="81"/>
  <c r="H71" i="81"/>
  <c r="G71" i="81"/>
  <c r="F71" i="81"/>
  <c r="E71" i="81"/>
  <c r="D71" i="81"/>
  <c r="C71" i="81"/>
  <c r="B71" i="81"/>
  <c r="A71" i="81"/>
  <c r="AQ70" i="81"/>
  <c r="AP70" i="81"/>
  <c r="AO70" i="81"/>
  <c r="AN70" i="81"/>
  <c r="AM70" i="81"/>
  <c r="AL70" i="81"/>
  <c r="AK70" i="81"/>
  <c r="AJ70" i="81"/>
  <c r="AI70" i="81"/>
  <c r="AH70" i="81"/>
  <c r="AG70" i="81"/>
  <c r="AF70" i="81"/>
  <c r="AE70" i="81"/>
  <c r="AD70" i="81"/>
  <c r="AC70" i="81"/>
  <c r="AB70" i="81"/>
  <c r="AA70" i="81"/>
  <c r="Z70" i="81"/>
  <c r="X70" i="81"/>
  <c r="W70" i="81"/>
  <c r="U70" i="81"/>
  <c r="T70" i="81"/>
  <c r="R70" i="81"/>
  <c r="Q70" i="81"/>
  <c r="P70" i="81"/>
  <c r="O70" i="81"/>
  <c r="N70" i="81"/>
  <c r="M70" i="81"/>
  <c r="I70" i="81"/>
  <c r="H70" i="81"/>
  <c r="G70" i="81"/>
  <c r="F70" i="81"/>
  <c r="E70" i="81"/>
  <c r="D70" i="81"/>
  <c r="C70" i="81"/>
  <c r="B70" i="81"/>
  <c r="A70" i="81"/>
  <c r="AQ69" i="81"/>
  <c r="AP69" i="81"/>
  <c r="AO69" i="81"/>
  <c r="AN69" i="81"/>
  <c r="AM69" i="81"/>
  <c r="AL69" i="81"/>
  <c r="AK69" i="81"/>
  <c r="AJ69" i="81"/>
  <c r="AI69" i="81"/>
  <c r="AH69" i="81"/>
  <c r="AG69" i="81"/>
  <c r="AF69" i="81"/>
  <c r="AE69" i="81"/>
  <c r="AD69" i="81"/>
  <c r="AC69" i="81"/>
  <c r="AB69" i="81"/>
  <c r="AA69" i="81"/>
  <c r="Y69" i="81"/>
  <c r="X69" i="81"/>
  <c r="W69" i="81"/>
  <c r="U69" i="81"/>
  <c r="T69" i="81"/>
  <c r="R69" i="81"/>
  <c r="Q69" i="81"/>
  <c r="P69" i="81"/>
  <c r="O69" i="81"/>
  <c r="N69" i="81"/>
  <c r="M69" i="81"/>
  <c r="I69" i="81"/>
  <c r="H69" i="81"/>
  <c r="G69" i="81"/>
  <c r="F69" i="81"/>
  <c r="E69" i="81"/>
  <c r="D69" i="81"/>
  <c r="C69" i="81"/>
  <c r="B69" i="81"/>
  <c r="A69" i="81"/>
  <c r="AQ68" i="81"/>
  <c r="AP68" i="81"/>
  <c r="AO68" i="81"/>
  <c r="AN68" i="81"/>
  <c r="AM68" i="81"/>
  <c r="AL68" i="81"/>
  <c r="AK68" i="81"/>
  <c r="AJ68" i="81"/>
  <c r="AI68" i="81"/>
  <c r="AH68" i="81"/>
  <c r="AG68" i="81"/>
  <c r="AF68" i="81"/>
  <c r="AE68" i="81"/>
  <c r="AD68" i="81"/>
  <c r="AC68" i="81"/>
  <c r="AB68" i="81"/>
  <c r="AA68" i="81"/>
  <c r="Z68" i="81"/>
  <c r="X68" i="81"/>
  <c r="W68" i="81"/>
  <c r="U68" i="81"/>
  <c r="T68" i="81"/>
  <c r="R68" i="81"/>
  <c r="Q68" i="81"/>
  <c r="P68" i="81"/>
  <c r="O68" i="81"/>
  <c r="N68" i="81"/>
  <c r="M68" i="81"/>
  <c r="I68" i="81"/>
  <c r="H68" i="81"/>
  <c r="G68" i="81"/>
  <c r="F68" i="81"/>
  <c r="E68" i="81"/>
  <c r="D68" i="81"/>
  <c r="C68" i="81"/>
  <c r="B68" i="81"/>
  <c r="A68" i="81"/>
  <c r="AQ67" i="81"/>
  <c r="AP67" i="81"/>
  <c r="AO67" i="81"/>
  <c r="AN67" i="81"/>
  <c r="AM67" i="81"/>
  <c r="AL67" i="81"/>
  <c r="AK67" i="81"/>
  <c r="AJ67" i="81"/>
  <c r="AI67" i="81"/>
  <c r="AH67" i="81"/>
  <c r="AG67" i="81"/>
  <c r="AF67" i="81"/>
  <c r="AE67" i="81"/>
  <c r="AD67" i="81"/>
  <c r="AC67" i="81"/>
  <c r="AB67" i="81"/>
  <c r="AA67" i="81"/>
  <c r="Z67" i="81"/>
  <c r="X67" i="81"/>
  <c r="W67" i="81"/>
  <c r="U67" i="81"/>
  <c r="T67" i="81"/>
  <c r="R67" i="81"/>
  <c r="Q67" i="81"/>
  <c r="P67" i="81"/>
  <c r="O67" i="81"/>
  <c r="N67" i="81"/>
  <c r="M67" i="81"/>
  <c r="I67" i="81"/>
  <c r="H67" i="81"/>
  <c r="G67" i="81"/>
  <c r="F67" i="81"/>
  <c r="E67" i="81"/>
  <c r="D67" i="81"/>
  <c r="C67" i="81"/>
  <c r="B67" i="81"/>
  <c r="A67" i="81"/>
  <c r="AQ66" i="81"/>
  <c r="AP66" i="81"/>
  <c r="AO66" i="81"/>
  <c r="AN66" i="81"/>
  <c r="AM66" i="81"/>
  <c r="AL66" i="81"/>
  <c r="AK66" i="81"/>
  <c r="AJ66" i="81"/>
  <c r="AI66" i="81"/>
  <c r="AH66" i="81"/>
  <c r="AG66" i="81"/>
  <c r="AF66" i="81"/>
  <c r="AE66" i="81"/>
  <c r="AD66" i="81"/>
  <c r="AC66" i="81"/>
  <c r="AB66" i="81"/>
  <c r="AA66" i="81"/>
  <c r="Z66" i="81"/>
  <c r="X66" i="81"/>
  <c r="W66" i="81"/>
  <c r="U66" i="81"/>
  <c r="T66" i="81"/>
  <c r="R66" i="81"/>
  <c r="Q66" i="81"/>
  <c r="P66" i="81"/>
  <c r="O66" i="81"/>
  <c r="N66" i="81"/>
  <c r="M66" i="81"/>
  <c r="I66" i="81"/>
  <c r="H66" i="81"/>
  <c r="G66" i="81"/>
  <c r="F66" i="81"/>
  <c r="E66" i="81"/>
  <c r="D66" i="81"/>
  <c r="C66" i="81"/>
  <c r="B66" i="81"/>
  <c r="A66" i="81"/>
  <c r="AQ65" i="81"/>
  <c r="AP65" i="81"/>
  <c r="AO65" i="81"/>
  <c r="AN65" i="81"/>
  <c r="AM65" i="81"/>
  <c r="AL65" i="81"/>
  <c r="AK65" i="81"/>
  <c r="AJ65" i="81"/>
  <c r="AI65" i="81"/>
  <c r="AH65" i="81"/>
  <c r="AG65" i="81"/>
  <c r="AF65" i="81"/>
  <c r="AE65" i="81"/>
  <c r="AD65" i="81"/>
  <c r="AC65" i="81"/>
  <c r="AB65" i="81"/>
  <c r="AA65" i="81"/>
  <c r="Z65" i="81"/>
  <c r="X65" i="81"/>
  <c r="X58" i="81" s="1"/>
  <c r="W65" i="81"/>
  <c r="U65" i="81"/>
  <c r="T65" i="81"/>
  <c r="R65" i="81"/>
  <c r="Q65" i="81"/>
  <c r="P65" i="81"/>
  <c r="O65" i="81"/>
  <c r="N65" i="81"/>
  <c r="M65" i="81"/>
  <c r="I65" i="81"/>
  <c r="H65" i="81"/>
  <c r="G65" i="81"/>
  <c r="F65" i="81"/>
  <c r="E65" i="81"/>
  <c r="D65" i="81"/>
  <c r="C65" i="81"/>
  <c r="B65" i="81"/>
  <c r="A65" i="81"/>
  <c r="AQ64" i="81"/>
  <c r="AP64" i="81"/>
  <c r="AO64" i="81"/>
  <c r="AN64" i="81"/>
  <c r="AM64" i="81"/>
  <c r="AL64" i="81"/>
  <c r="AK64" i="81"/>
  <c r="AJ64" i="81"/>
  <c r="AI64" i="81"/>
  <c r="AH64" i="81"/>
  <c r="AG64" i="81"/>
  <c r="AF64" i="81"/>
  <c r="AE64" i="81"/>
  <c r="AD64" i="81"/>
  <c r="AC64" i="81"/>
  <c r="AB64" i="81"/>
  <c r="AA64" i="81"/>
  <c r="Z64" i="81"/>
  <c r="X64" i="81"/>
  <c r="W64" i="81"/>
  <c r="U64" i="81"/>
  <c r="T64" i="81"/>
  <c r="R64" i="81"/>
  <c r="Q64" i="81"/>
  <c r="P64" i="81"/>
  <c r="O64" i="81"/>
  <c r="N64" i="81"/>
  <c r="M64" i="81"/>
  <c r="I64" i="81"/>
  <c r="H64" i="81"/>
  <c r="G64" i="81"/>
  <c r="F64" i="81"/>
  <c r="E64" i="81"/>
  <c r="D64" i="81"/>
  <c r="C64" i="81"/>
  <c r="B64" i="81"/>
  <c r="A64" i="81"/>
  <c r="AQ63" i="81"/>
  <c r="AP63" i="81"/>
  <c r="AO63" i="81"/>
  <c r="AN63" i="81"/>
  <c r="AM63" i="81"/>
  <c r="AL63" i="81"/>
  <c r="AK63" i="81"/>
  <c r="AJ63" i="81"/>
  <c r="AI63" i="81"/>
  <c r="AH63" i="81"/>
  <c r="AG63" i="81"/>
  <c r="AF63" i="81"/>
  <c r="AE63" i="81"/>
  <c r="AD63" i="81"/>
  <c r="AC63" i="81"/>
  <c r="AB63" i="81"/>
  <c r="AA63" i="81"/>
  <c r="Z63" i="81"/>
  <c r="X63" i="81"/>
  <c r="W63" i="81"/>
  <c r="U63" i="81"/>
  <c r="T63" i="81"/>
  <c r="R63" i="81"/>
  <c r="Q63" i="81"/>
  <c r="P63" i="81"/>
  <c r="O63" i="81"/>
  <c r="N63" i="81"/>
  <c r="M63" i="81"/>
  <c r="I63" i="81"/>
  <c r="H63" i="81"/>
  <c r="G63" i="81"/>
  <c r="F63" i="81"/>
  <c r="E63" i="81"/>
  <c r="D63" i="81"/>
  <c r="C63" i="81"/>
  <c r="B63" i="81"/>
  <c r="A63" i="81"/>
  <c r="AQ62" i="81"/>
  <c r="AP62" i="81"/>
  <c r="AO62" i="81"/>
  <c r="AN62" i="81"/>
  <c r="AM62" i="81"/>
  <c r="AL62" i="81"/>
  <c r="AK62" i="81"/>
  <c r="AJ62" i="81"/>
  <c r="AI62" i="81"/>
  <c r="AH62" i="81"/>
  <c r="AG62" i="81"/>
  <c r="AF62" i="81"/>
  <c r="AE62" i="81"/>
  <c r="AD62" i="81"/>
  <c r="AC62" i="81"/>
  <c r="AB62" i="81"/>
  <c r="AA62" i="81"/>
  <c r="Z62" i="81"/>
  <c r="Y62" i="81"/>
  <c r="X62" i="81"/>
  <c r="W62" i="81"/>
  <c r="U62" i="81"/>
  <c r="T62" i="81"/>
  <c r="R62" i="81"/>
  <c r="Q62" i="81"/>
  <c r="P62" i="81"/>
  <c r="O62" i="81"/>
  <c r="N62" i="81"/>
  <c r="I62" i="81"/>
  <c r="H62" i="81"/>
  <c r="G62" i="81"/>
  <c r="F62" i="81"/>
  <c r="E62" i="81"/>
  <c r="D62" i="81"/>
  <c r="C62" i="81"/>
  <c r="B62" i="81"/>
  <c r="A62" i="81"/>
  <c r="AQ61" i="81"/>
  <c r="AP61" i="81"/>
  <c r="AO61" i="81"/>
  <c r="AN61" i="81"/>
  <c r="AM61" i="81"/>
  <c r="AL61" i="81"/>
  <c r="AK61" i="81"/>
  <c r="AJ61" i="81"/>
  <c r="AI61" i="81"/>
  <c r="AH61" i="81"/>
  <c r="AG61" i="81"/>
  <c r="AF61" i="81"/>
  <c r="AE61" i="81"/>
  <c r="AD61" i="81"/>
  <c r="AC61" i="81"/>
  <c r="AB61" i="81"/>
  <c r="AA61" i="81"/>
  <c r="Z61" i="81"/>
  <c r="Y61" i="81"/>
  <c r="X61" i="81"/>
  <c r="W61" i="81"/>
  <c r="U61" i="81"/>
  <c r="T61" i="81"/>
  <c r="R61" i="81"/>
  <c r="Q61" i="81"/>
  <c r="P61" i="81"/>
  <c r="O61" i="81"/>
  <c r="N61" i="81"/>
  <c r="I61" i="81"/>
  <c r="H61" i="81"/>
  <c r="G61" i="81"/>
  <c r="F61" i="81"/>
  <c r="E61" i="81"/>
  <c r="D61" i="81"/>
  <c r="C61" i="81"/>
  <c r="B61" i="81"/>
  <c r="A61" i="81"/>
  <c r="AQ60" i="81"/>
  <c r="AP60" i="81"/>
  <c r="AO60" i="81"/>
  <c r="AN60" i="81"/>
  <c r="AM60" i="81"/>
  <c r="AL60" i="81"/>
  <c r="AK60" i="81"/>
  <c r="AJ60" i="81"/>
  <c r="AI60" i="81"/>
  <c r="AH60" i="81"/>
  <c r="AG60" i="81"/>
  <c r="AF60" i="81"/>
  <c r="AE60" i="81"/>
  <c r="AD60" i="81"/>
  <c r="AC60" i="81"/>
  <c r="AB60" i="81"/>
  <c r="AA60" i="81"/>
  <c r="Z60" i="81"/>
  <c r="Y60" i="81"/>
  <c r="X60" i="81"/>
  <c r="W60" i="81"/>
  <c r="U60" i="81"/>
  <c r="T60" i="81"/>
  <c r="R60" i="81"/>
  <c r="Q60" i="81"/>
  <c r="P60" i="81"/>
  <c r="O60" i="81"/>
  <c r="N60" i="81"/>
  <c r="I60" i="81"/>
  <c r="H60" i="81"/>
  <c r="G60" i="81"/>
  <c r="F60" i="81"/>
  <c r="E60" i="81"/>
  <c r="D60" i="81"/>
  <c r="C60" i="81"/>
  <c r="B60" i="81"/>
  <c r="A60" i="81"/>
  <c r="AQ59" i="81"/>
  <c r="AP59" i="81"/>
  <c r="AO59" i="81"/>
  <c r="AN59" i="81"/>
  <c r="AM59" i="81"/>
  <c r="AL59" i="81"/>
  <c r="AK59" i="81"/>
  <c r="AJ59" i="81"/>
  <c r="AI59" i="81"/>
  <c r="AH59" i="81"/>
  <c r="AG59" i="81"/>
  <c r="AF59" i="81"/>
  <c r="AE59" i="81"/>
  <c r="AD59" i="81"/>
  <c r="AC59" i="81"/>
  <c r="AB59" i="81"/>
  <c r="AA59" i="81"/>
  <c r="X59" i="81"/>
  <c r="W59" i="81"/>
  <c r="Q59" i="81"/>
  <c r="P59" i="81"/>
  <c r="O59" i="81"/>
  <c r="N59" i="81"/>
  <c r="M59" i="81"/>
  <c r="I59" i="81"/>
  <c r="H59" i="81"/>
  <c r="G59" i="81"/>
  <c r="F59" i="81"/>
  <c r="E59" i="81"/>
  <c r="D59" i="81"/>
  <c r="C59" i="81"/>
  <c r="B59" i="81"/>
  <c r="A59" i="81"/>
  <c r="M58" i="81"/>
  <c r="L58" i="81"/>
  <c r="AQ57" i="81"/>
  <c r="AP57" i="81"/>
  <c r="AO57" i="81"/>
  <c r="AN57" i="81"/>
  <c r="AM57" i="81"/>
  <c r="AL57" i="81"/>
  <c r="AK57" i="81"/>
  <c r="AJ57" i="81"/>
  <c r="AI57" i="81"/>
  <c r="AH57" i="81"/>
  <c r="AG57" i="81"/>
  <c r="AF57" i="81"/>
  <c r="AE57" i="81"/>
  <c r="AD57" i="81"/>
  <c r="AC57" i="81"/>
  <c r="AB57" i="81"/>
  <c r="AA57" i="81"/>
  <c r="Z57" i="81"/>
  <c r="X57" i="81"/>
  <c r="W57" i="81"/>
  <c r="U57" i="81"/>
  <c r="R57" i="81"/>
  <c r="Q57" i="81"/>
  <c r="P57" i="81"/>
  <c r="O57" i="81"/>
  <c r="N57" i="81"/>
  <c r="M57" i="81"/>
  <c r="I57" i="81"/>
  <c r="H57" i="81"/>
  <c r="G57" i="81"/>
  <c r="F57" i="81"/>
  <c r="E57" i="81"/>
  <c r="D57" i="81"/>
  <c r="C57" i="81"/>
  <c r="B57" i="81"/>
  <c r="A57" i="81"/>
  <c r="AQ56" i="81"/>
  <c r="AP56" i="81"/>
  <c r="AO56" i="81"/>
  <c r="AN56" i="81"/>
  <c r="AM56" i="81"/>
  <c r="AL56" i="81"/>
  <c r="AK56" i="81"/>
  <c r="AJ56" i="81"/>
  <c r="AI56" i="81"/>
  <c r="AH56" i="81"/>
  <c r="AG56" i="81"/>
  <c r="AF56" i="81"/>
  <c r="AE56" i="81"/>
  <c r="AD56" i="81"/>
  <c r="AC56" i="81"/>
  <c r="AB56" i="81"/>
  <c r="AA56" i="81"/>
  <c r="Z56" i="81"/>
  <c r="X56" i="81"/>
  <c r="W56" i="81"/>
  <c r="U56" i="81"/>
  <c r="R56" i="81"/>
  <c r="Q56" i="81"/>
  <c r="P56" i="81"/>
  <c r="O56" i="81"/>
  <c r="N56" i="81"/>
  <c r="M56" i="81"/>
  <c r="I56" i="81"/>
  <c r="H56" i="81"/>
  <c r="G56" i="81"/>
  <c r="F56" i="81"/>
  <c r="E56" i="81"/>
  <c r="D56" i="81"/>
  <c r="C56" i="81"/>
  <c r="B56" i="81"/>
  <c r="A56" i="81"/>
  <c r="AQ55" i="81"/>
  <c r="AP55" i="81"/>
  <c r="AO55" i="81"/>
  <c r="AN55" i="81"/>
  <c r="AM55" i="81"/>
  <c r="AL55" i="81"/>
  <c r="AK55" i="81"/>
  <c r="AJ55" i="81"/>
  <c r="AI55" i="81"/>
  <c r="AH55" i="81"/>
  <c r="AG55" i="81"/>
  <c r="AF55" i="81"/>
  <c r="AE55" i="81"/>
  <c r="AD55" i="81"/>
  <c r="AC55" i="81"/>
  <c r="AB55" i="81"/>
  <c r="AA55" i="81"/>
  <c r="Z55" i="81"/>
  <c r="Y55" i="81"/>
  <c r="X55" i="81"/>
  <c r="W55" i="81"/>
  <c r="U55" i="81"/>
  <c r="R55" i="81"/>
  <c r="Q55" i="81"/>
  <c r="P55" i="81"/>
  <c r="N55" i="81"/>
  <c r="I55" i="81"/>
  <c r="H55" i="81"/>
  <c r="G55" i="81"/>
  <c r="F55" i="81"/>
  <c r="E55" i="81"/>
  <c r="D55" i="81"/>
  <c r="C55" i="81"/>
  <c r="B55" i="81"/>
  <c r="A55" i="81"/>
  <c r="AQ54" i="81"/>
  <c r="AP54" i="81"/>
  <c r="AO54" i="81"/>
  <c r="AN54" i="81"/>
  <c r="AM54" i="81"/>
  <c r="AL54" i="81"/>
  <c r="AK54" i="81"/>
  <c r="AJ54" i="81"/>
  <c r="AI54" i="81"/>
  <c r="AH54" i="81"/>
  <c r="AG54" i="81"/>
  <c r="AF54" i="81"/>
  <c r="AE54" i="81"/>
  <c r="AD54" i="81"/>
  <c r="AC54" i="81"/>
  <c r="AB54" i="81"/>
  <c r="AA54" i="81"/>
  <c r="Z54" i="81"/>
  <c r="Y54" i="81"/>
  <c r="X54" i="81"/>
  <c r="W54" i="81"/>
  <c r="U54" i="81"/>
  <c r="R54" i="81"/>
  <c r="Q54" i="81"/>
  <c r="P54" i="81"/>
  <c r="N54" i="81"/>
  <c r="I54" i="81"/>
  <c r="H54" i="81"/>
  <c r="G54" i="81"/>
  <c r="F54" i="81"/>
  <c r="E54" i="81"/>
  <c r="D54" i="81"/>
  <c r="C54" i="81"/>
  <c r="B54" i="81"/>
  <c r="A54" i="81"/>
  <c r="AQ53" i="81"/>
  <c r="AP53" i="81"/>
  <c r="AO53" i="81"/>
  <c r="AN53" i="81"/>
  <c r="AM53" i="81"/>
  <c r="AL53" i="81"/>
  <c r="AK53" i="81"/>
  <c r="AJ53" i="81"/>
  <c r="AI53" i="81"/>
  <c r="AH53" i="81"/>
  <c r="AG53" i="81"/>
  <c r="AF53" i="81"/>
  <c r="AE53" i="81"/>
  <c r="AD53" i="81"/>
  <c r="AC53" i="81"/>
  <c r="AB53" i="81"/>
  <c r="AA53" i="81"/>
  <c r="X53" i="81"/>
  <c r="W53" i="81"/>
  <c r="U53" i="81"/>
  <c r="R53" i="81"/>
  <c r="Q53" i="81"/>
  <c r="P53" i="81"/>
  <c r="O53" i="81"/>
  <c r="N53" i="81"/>
  <c r="M53" i="81"/>
  <c r="I53" i="81"/>
  <c r="H53" i="81"/>
  <c r="G53" i="81"/>
  <c r="F53" i="81"/>
  <c r="E53" i="81"/>
  <c r="D53" i="81"/>
  <c r="C53" i="81"/>
  <c r="B53" i="81"/>
  <c r="A53" i="81"/>
  <c r="AQ52" i="81"/>
  <c r="AP52" i="81"/>
  <c r="AO52" i="81"/>
  <c r="AN52" i="81"/>
  <c r="AM52" i="81"/>
  <c r="AL52" i="81"/>
  <c r="AK52" i="81"/>
  <c r="AJ52" i="81"/>
  <c r="AI52" i="81"/>
  <c r="AH52" i="81"/>
  <c r="AG52" i="81"/>
  <c r="AF52" i="81"/>
  <c r="AE52" i="81"/>
  <c r="AD52" i="81"/>
  <c r="AC52" i="81"/>
  <c r="AB52" i="81"/>
  <c r="AA52" i="81"/>
  <c r="Y52" i="81"/>
  <c r="X52" i="81"/>
  <c r="X51" i="81" s="1"/>
  <c r="W52" i="81"/>
  <c r="U52" i="81"/>
  <c r="U51" i="81" s="1"/>
  <c r="R52" i="81"/>
  <c r="Q52" i="81"/>
  <c r="P52" i="81"/>
  <c r="O52" i="81"/>
  <c r="N52" i="81"/>
  <c r="M52" i="81"/>
  <c r="I52" i="81"/>
  <c r="H52" i="81"/>
  <c r="G52" i="81"/>
  <c r="F52" i="81"/>
  <c r="E52" i="81"/>
  <c r="D52" i="81"/>
  <c r="C52" i="81"/>
  <c r="B52" i="81"/>
  <c r="A52" i="81"/>
  <c r="R51" i="81"/>
  <c r="M51" i="81"/>
  <c r="L51" i="81"/>
  <c r="AQ50" i="81"/>
  <c r="AP50" i="81"/>
  <c r="AO50" i="81"/>
  <c r="AN50" i="81"/>
  <c r="AM50" i="81"/>
  <c r="AL50" i="81"/>
  <c r="AK50" i="81"/>
  <c r="AJ50" i="81"/>
  <c r="AI50" i="81"/>
  <c r="AH50" i="81"/>
  <c r="AG50" i="81"/>
  <c r="AF50" i="81"/>
  <c r="AE50" i="81"/>
  <c r="AD50" i="81"/>
  <c r="AC50" i="81"/>
  <c r="AB50" i="81"/>
  <c r="AA50" i="81"/>
  <c r="Y50" i="81"/>
  <c r="X50" i="81"/>
  <c r="W50" i="81"/>
  <c r="U50" i="81"/>
  <c r="R50" i="81"/>
  <c r="R48" i="81" s="1"/>
  <c r="Q50" i="81"/>
  <c r="P50" i="81"/>
  <c r="O50" i="81"/>
  <c r="N50" i="81"/>
  <c r="M50" i="81"/>
  <c r="I50" i="81"/>
  <c r="H50" i="81"/>
  <c r="G50" i="81"/>
  <c r="F50" i="81"/>
  <c r="E50" i="81"/>
  <c r="D50" i="81"/>
  <c r="C50" i="81"/>
  <c r="B50" i="81"/>
  <c r="A50" i="81"/>
  <c r="AQ49" i="81"/>
  <c r="AP49" i="81"/>
  <c r="AO49" i="81"/>
  <c r="AN49" i="81"/>
  <c r="AM49" i="81"/>
  <c r="AL49" i="81"/>
  <c r="AK49" i="81"/>
  <c r="AJ49" i="81"/>
  <c r="AI49" i="81"/>
  <c r="AH49" i="81"/>
  <c r="AG49" i="81"/>
  <c r="AF49" i="81"/>
  <c r="AE49" i="81"/>
  <c r="AD49" i="81"/>
  <c r="AC49" i="81"/>
  <c r="AB49" i="81"/>
  <c r="AA49" i="81"/>
  <c r="X49" i="81"/>
  <c r="X48" i="81" s="1"/>
  <c r="W49" i="81"/>
  <c r="U49" i="81"/>
  <c r="U48" i="81" s="1"/>
  <c r="R49" i="81"/>
  <c r="Q49" i="81"/>
  <c r="P49" i="81"/>
  <c r="O49" i="81"/>
  <c r="N49" i="81"/>
  <c r="M49" i="81"/>
  <c r="I49" i="81"/>
  <c r="H49" i="81"/>
  <c r="G49" i="81"/>
  <c r="F49" i="81"/>
  <c r="E49" i="81"/>
  <c r="D49" i="81"/>
  <c r="C49" i="81"/>
  <c r="B49" i="81"/>
  <c r="A49" i="81"/>
  <c r="M48" i="81"/>
  <c r="L48" i="81"/>
  <c r="AP47" i="81"/>
  <c r="AH47" i="81"/>
  <c r="AG47" i="81"/>
  <c r="AF47" i="81"/>
  <c r="AE47" i="81"/>
  <c r="AD47" i="81"/>
  <c r="AC47" i="81"/>
  <c r="AB47" i="81"/>
  <c r="AA47" i="81"/>
  <c r="Z47" i="81"/>
  <c r="Y47" i="81"/>
  <c r="X47" i="81"/>
  <c r="W47" i="81"/>
  <c r="U47" i="81"/>
  <c r="T47" i="81"/>
  <c r="S47" i="81"/>
  <c r="R47" i="81"/>
  <c r="Q47" i="81"/>
  <c r="P47" i="81"/>
  <c r="O47" i="81"/>
  <c r="N47" i="81"/>
  <c r="M47" i="81"/>
  <c r="AQ46" i="81"/>
  <c r="AP46" i="81"/>
  <c r="AO46" i="81"/>
  <c r="AN46" i="81"/>
  <c r="AM46" i="81"/>
  <c r="AL46" i="81"/>
  <c r="AK46" i="81"/>
  <c r="AJ46" i="81"/>
  <c r="AI46" i="81"/>
  <c r="AH46" i="81"/>
  <c r="AG46" i="81"/>
  <c r="AF46" i="81"/>
  <c r="AE46" i="81"/>
  <c r="AD46" i="81"/>
  <c r="AC46" i="81"/>
  <c r="AB46" i="81"/>
  <c r="AA46" i="81"/>
  <c r="X46" i="81"/>
  <c r="W46" i="81"/>
  <c r="U46" i="81"/>
  <c r="R46" i="81"/>
  <c r="Q46" i="81"/>
  <c r="P46" i="81"/>
  <c r="O46" i="81"/>
  <c r="N46" i="81"/>
  <c r="M46" i="81"/>
  <c r="I46" i="81"/>
  <c r="H46" i="81"/>
  <c r="G46" i="81"/>
  <c r="F46" i="81"/>
  <c r="E46" i="81"/>
  <c r="D46" i="81"/>
  <c r="C46" i="81"/>
  <c r="B46" i="81"/>
  <c r="A46" i="81"/>
  <c r="AQ45" i="81"/>
  <c r="AP45" i="81"/>
  <c r="AO45" i="81"/>
  <c r="AN45" i="81"/>
  <c r="AM45" i="81"/>
  <c r="AL45" i="81"/>
  <c r="AK45" i="81"/>
  <c r="AJ45" i="81"/>
  <c r="AI45" i="81"/>
  <c r="AH45" i="81"/>
  <c r="AG45" i="81"/>
  <c r="AF45" i="81"/>
  <c r="AE45" i="81"/>
  <c r="AD45" i="81"/>
  <c r="AC45" i="81"/>
  <c r="AB45" i="81"/>
  <c r="AA45" i="81"/>
  <c r="X45" i="81"/>
  <c r="W45" i="81"/>
  <c r="U45" i="81"/>
  <c r="R45" i="81"/>
  <c r="Q45" i="81"/>
  <c r="P45" i="81"/>
  <c r="O45" i="81"/>
  <c r="N45" i="81"/>
  <c r="M45" i="81"/>
  <c r="I45" i="81"/>
  <c r="H45" i="81"/>
  <c r="G45" i="81"/>
  <c r="F45" i="81"/>
  <c r="E45" i="81"/>
  <c r="D45" i="81"/>
  <c r="C45" i="81"/>
  <c r="B45" i="81"/>
  <c r="A45" i="81"/>
  <c r="AQ44" i="81"/>
  <c r="AP44" i="81"/>
  <c r="AO44" i="81"/>
  <c r="AN44" i="81"/>
  <c r="AM44" i="81"/>
  <c r="AL44" i="81"/>
  <c r="AK44" i="81"/>
  <c r="AJ44" i="81"/>
  <c r="AI44" i="81"/>
  <c r="AH44" i="81"/>
  <c r="AG44" i="81"/>
  <c r="AF44" i="81"/>
  <c r="AE44" i="81"/>
  <c r="AD44" i="81"/>
  <c r="AC44" i="81"/>
  <c r="AB44" i="81"/>
  <c r="AA44" i="81"/>
  <c r="Z44" i="81"/>
  <c r="Y44" i="81"/>
  <c r="X44" i="81"/>
  <c r="W44" i="81"/>
  <c r="U44" i="81"/>
  <c r="T44" i="81"/>
  <c r="R44" i="81"/>
  <c r="Q44" i="81"/>
  <c r="P44" i="81"/>
  <c r="N44" i="81"/>
  <c r="I44" i="81"/>
  <c r="H44" i="81"/>
  <c r="G44" i="81"/>
  <c r="F44" i="81"/>
  <c r="E44" i="81"/>
  <c r="D44" i="81"/>
  <c r="C44" i="81"/>
  <c r="B44" i="81"/>
  <c r="A44" i="81"/>
  <c r="AQ43" i="81"/>
  <c r="AP43" i="81"/>
  <c r="AO43" i="81"/>
  <c r="AN43" i="81"/>
  <c r="AM43" i="81"/>
  <c r="AL43" i="81"/>
  <c r="AK43" i="81"/>
  <c r="AJ43" i="81"/>
  <c r="AI43" i="81"/>
  <c r="AH43" i="81"/>
  <c r="AG43" i="81"/>
  <c r="AF43" i="81"/>
  <c r="AE43" i="81"/>
  <c r="AD43" i="81"/>
  <c r="AC43" i="81"/>
  <c r="AB43" i="81"/>
  <c r="AA43" i="81"/>
  <c r="Z43" i="81"/>
  <c r="Y43" i="81"/>
  <c r="X43" i="81"/>
  <c r="W43" i="81"/>
  <c r="U43" i="81"/>
  <c r="T43" i="81"/>
  <c r="R43" i="81"/>
  <c r="Q43" i="81"/>
  <c r="P43" i="81"/>
  <c r="N43" i="81"/>
  <c r="I43" i="81"/>
  <c r="H43" i="81"/>
  <c r="G43" i="81"/>
  <c r="F43" i="81"/>
  <c r="E43" i="81"/>
  <c r="D43" i="81"/>
  <c r="C43" i="81"/>
  <c r="B43" i="81"/>
  <c r="A43" i="81"/>
  <c r="AQ42" i="81"/>
  <c r="AP42" i="81"/>
  <c r="AO42" i="81"/>
  <c r="AN42" i="81"/>
  <c r="AM42" i="81"/>
  <c r="AL42" i="81"/>
  <c r="AK42" i="81"/>
  <c r="AJ42" i="81"/>
  <c r="AI42" i="81"/>
  <c r="AH42" i="81"/>
  <c r="AG42" i="81"/>
  <c r="AF42" i="81"/>
  <c r="AE42" i="81"/>
  <c r="AD42" i="81"/>
  <c r="AC42" i="81"/>
  <c r="AB42" i="81"/>
  <c r="AA42" i="81"/>
  <c r="Z42" i="81"/>
  <c r="Y42" i="81"/>
  <c r="X42" i="81"/>
  <c r="W42" i="81"/>
  <c r="U42" i="81"/>
  <c r="R42" i="81"/>
  <c r="Q42" i="81"/>
  <c r="P42" i="81"/>
  <c r="N42" i="81"/>
  <c r="I42" i="81"/>
  <c r="H42" i="81"/>
  <c r="G42" i="81"/>
  <c r="F42" i="81"/>
  <c r="E42" i="81"/>
  <c r="D42" i="81"/>
  <c r="C42" i="81"/>
  <c r="B42" i="81"/>
  <c r="A42" i="81"/>
  <c r="AQ41" i="81"/>
  <c r="AP41" i="81"/>
  <c r="AO41" i="81"/>
  <c r="AN41" i="81"/>
  <c r="AM41" i="81"/>
  <c r="AL41" i="81"/>
  <c r="AK41" i="81"/>
  <c r="AJ41" i="81"/>
  <c r="AI41" i="81"/>
  <c r="AH41" i="81"/>
  <c r="AG41" i="81"/>
  <c r="AF41" i="81"/>
  <c r="AE41" i="81"/>
  <c r="AD41" i="81"/>
  <c r="AC41" i="81"/>
  <c r="AB41" i="81"/>
  <c r="X41" i="81"/>
  <c r="W41" i="81"/>
  <c r="U41" i="81"/>
  <c r="R41" i="81"/>
  <c r="Q41" i="81"/>
  <c r="P41" i="81"/>
  <c r="O41" i="81"/>
  <c r="N41" i="81"/>
  <c r="M41" i="81"/>
  <c r="I41" i="81"/>
  <c r="H41" i="81"/>
  <c r="G41" i="81"/>
  <c r="F41" i="81"/>
  <c r="E41" i="81"/>
  <c r="D41" i="81"/>
  <c r="C41" i="81"/>
  <c r="B41" i="81"/>
  <c r="A41" i="81"/>
  <c r="AQ40" i="81"/>
  <c r="AP40" i="81"/>
  <c r="AO40" i="81"/>
  <c r="AN40" i="81"/>
  <c r="AM40" i="81"/>
  <c r="AL40" i="81"/>
  <c r="AK40" i="81"/>
  <c r="AJ40" i="81"/>
  <c r="AI40" i="81"/>
  <c r="AH40" i="81"/>
  <c r="AG40" i="81"/>
  <c r="AF40" i="81"/>
  <c r="AE40" i="81"/>
  <c r="AD40" i="81"/>
  <c r="AC40" i="81"/>
  <c r="AB40" i="81"/>
  <c r="AA40" i="81"/>
  <c r="Y40" i="81"/>
  <c r="X40" i="81"/>
  <c r="W40" i="81"/>
  <c r="U40" i="81"/>
  <c r="R40" i="81"/>
  <c r="Q40" i="81"/>
  <c r="P40" i="81"/>
  <c r="O40" i="81"/>
  <c r="N40" i="81"/>
  <c r="M40" i="81"/>
  <c r="I40" i="81"/>
  <c r="H40" i="81"/>
  <c r="G40" i="81"/>
  <c r="F40" i="81"/>
  <c r="E40" i="81"/>
  <c r="D40" i="81"/>
  <c r="C40" i="81"/>
  <c r="B40" i="81"/>
  <c r="A40" i="81"/>
  <c r="AQ39" i="81"/>
  <c r="AP39" i="81"/>
  <c r="AO39" i="81"/>
  <c r="AN39" i="81"/>
  <c r="AM39" i="81"/>
  <c r="AL39" i="81"/>
  <c r="AK39" i="81"/>
  <c r="AJ39" i="81"/>
  <c r="AI39" i="81"/>
  <c r="AH39" i="81"/>
  <c r="AG39" i="81"/>
  <c r="AF39" i="81"/>
  <c r="AE39" i="81"/>
  <c r="AD39" i="81"/>
  <c r="AC39" i="81"/>
  <c r="AB39" i="81"/>
  <c r="AA39" i="81"/>
  <c r="X39" i="81"/>
  <c r="W39" i="81"/>
  <c r="U39" i="81"/>
  <c r="R39" i="81"/>
  <c r="Q39" i="81"/>
  <c r="P39" i="81"/>
  <c r="O39" i="81"/>
  <c r="N39" i="81"/>
  <c r="M39" i="81"/>
  <c r="I39" i="81"/>
  <c r="H39" i="81"/>
  <c r="G39" i="81"/>
  <c r="F39" i="81"/>
  <c r="E39" i="81"/>
  <c r="D39" i="81"/>
  <c r="C39" i="81"/>
  <c r="B39" i="81"/>
  <c r="A39" i="81"/>
  <c r="AQ38" i="81"/>
  <c r="AP38" i="81"/>
  <c r="AO38" i="81"/>
  <c r="AN38" i="81"/>
  <c r="AM38" i="81"/>
  <c r="AL38" i="81"/>
  <c r="AK38" i="81"/>
  <c r="AJ38" i="81"/>
  <c r="AI38" i="81"/>
  <c r="AH38" i="81"/>
  <c r="AG38" i="81"/>
  <c r="AF38" i="81"/>
  <c r="AE38" i="81"/>
  <c r="AD38" i="81"/>
  <c r="AC38" i="81"/>
  <c r="AB38" i="81"/>
  <c r="AA38" i="81"/>
  <c r="Z38" i="81"/>
  <c r="Y38" i="81"/>
  <c r="X38" i="81"/>
  <c r="W38" i="81"/>
  <c r="U38" i="81"/>
  <c r="R38" i="81"/>
  <c r="Q38" i="81"/>
  <c r="P38" i="81"/>
  <c r="O38" i="81"/>
  <c r="N38" i="81"/>
  <c r="AQ37" i="81"/>
  <c r="AP37" i="81"/>
  <c r="AO37" i="81"/>
  <c r="AN37" i="81"/>
  <c r="AM37" i="81"/>
  <c r="AL37" i="81"/>
  <c r="AK37" i="81"/>
  <c r="AJ37" i="81"/>
  <c r="AI37" i="81"/>
  <c r="AH37" i="81"/>
  <c r="AG37" i="81"/>
  <c r="AF37" i="81"/>
  <c r="AE37" i="81"/>
  <c r="AD37" i="81"/>
  <c r="AC37" i="81"/>
  <c r="AB37" i="81"/>
  <c r="AA37" i="81"/>
  <c r="Z37" i="81"/>
  <c r="Y37" i="81"/>
  <c r="X37" i="81"/>
  <c r="W37" i="81"/>
  <c r="U37" i="81"/>
  <c r="R37" i="81"/>
  <c r="Q37" i="81"/>
  <c r="P37" i="81"/>
  <c r="O37" i="81"/>
  <c r="N37" i="81"/>
  <c r="AQ36" i="81"/>
  <c r="AP36" i="81"/>
  <c r="AO36" i="81"/>
  <c r="AN36" i="81"/>
  <c r="AM36" i="81"/>
  <c r="AL36" i="81"/>
  <c r="AK36" i="81"/>
  <c r="AJ36" i="81"/>
  <c r="AI36" i="81"/>
  <c r="AH36" i="81"/>
  <c r="AG36" i="81"/>
  <c r="AF36" i="81"/>
  <c r="AE36" i="81"/>
  <c r="AD36" i="81"/>
  <c r="AC36" i="81"/>
  <c r="AB36" i="81"/>
  <c r="AA36" i="81"/>
  <c r="Z36" i="81"/>
  <c r="X36" i="81"/>
  <c r="W36" i="81"/>
  <c r="U36" i="81"/>
  <c r="R36" i="81"/>
  <c r="R35" i="81" s="1"/>
  <c r="Q36" i="81"/>
  <c r="P36" i="81"/>
  <c r="O36" i="81"/>
  <c r="N36" i="81"/>
  <c r="M36" i="81"/>
  <c r="I36" i="81"/>
  <c r="H36" i="81"/>
  <c r="G36" i="81"/>
  <c r="F36" i="81"/>
  <c r="E36" i="81"/>
  <c r="D36" i="81"/>
  <c r="C36" i="81"/>
  <c r="B36" i="81"/>
  <c r="A36" i="81"/>
  <c r="X35" i="81"/>
  <c r="U35" i="81"/>
  <c r="M35" i="81"/>
  <c r="L35" i="81"/>
  <c r="AP34" i="81"/>
  <c r="AH34" i="81"/>
  <c r="AG34" i="81"/>
  <c r="AF34" i="81"/>
  <c r="AE34" i="81"/>
  <c r="AD34" i="81"/>
  <c r="AC34" i="81"/>
  <c r="AB34" i="81"/>
  <c r="AA34" i="81"/>
  <c r="Z34" i="81"/>
  <c r="Y34" i="81"/>
  <c r="X34" i="81"/>
  <c r="W34" i="81"/>
  <c r="V34" i="81"/>
  <c r="U34" i="81"/>
  <c r="T34" i="81"/>
  <c r="R34" i="81"/>
  <c r="Q34" i="81"/>
  <c r="P34" i="81"/>
  <c r="O34" i="81"/>
  <c r="N34" i="81"/>
  <c r="M34" i="81"/>
  <c r="AQ33" i="81"/>
  <c r="AP33" i="81"/>
  <c r="AO33" i="81"/>
  <c r="AN33" i="81"/>
  <c r="AM33" i="81"/>
  <c r="AL33" i="81"/>
  <c r="AK33" i="81"/>
  <c r="AJ33" i="81"/>
  <c r="AI33" i="81"/>
  <c r="AH33" i="81"/>
  <c r="AG33" i="81"/>
  <c r="AF33" i="81"/>
  <c r="AE33" i="81"/>
  <c r="AD33" i="81"/>
  <c r="AC33" i="81"/>
  <c r="AB33" i="81"/>
  <c r="AA33" i="81"/>
  <c r="Y33" i="81"/>
  <c r="X33" i="81"/>
  <c r="W33" i="81"/>
  <c r="U33" i="81"/>
  <c r="T33" i="81"/>
  <c r="R33" i="81"/>
  <c r="Q33" i="81"/>
  <c r="P33" i="81"/>
  <c r="O33" i="81"/>
  <c r="N33" i="81"/>
  <c r="AQ32" i="81"/>
  <c r="AP32" i="81"/>
  <c r="AO32" i="81"/>
  <c r="AN32" i="81"/>
  <c r="AM32" i="81"/>
  <c r="AL32" i="81"/>
  <c r="AK32" i="81"/>
  <c r="AJ32" i="81"/>
  <c r="AI32" i="81"/>
  <c r="AH32" i="81"/>
  <c r="AG32" i="81"/>
  <c r="AF32" i="81"/>
  <c r="AE32" i="81"/>
  <c r="AD32" i="81"/>
  <c r="AC32" i="81"/>
  <c r="AB32" i="81"/>
  <c r="AA32" i="81"/>
  <c r="Y32" i="81"/>
  <c r="X32" i="81"/>
  <c r="W32" i="81"/>
  <c r="U32" i="81"/>
  <c r="T32" i="81"/>
  <c r="R32" i="81"/>
  <c r="Q32" i="81"/>
  <c r="P32" i="81"/>
  <c r="O32" i="81"/>
  <c r="N32" i="81"/>
  <c r="I32" i="81"/>
  <c r="H32" i="81"/>
  <c r="G32" i="81"/>
  <c r="F32" i="81"/>
  <c r="E32" i="81"/>
  <c r="D32" i="81"/>
  <c r="C32" i="81"/>
  <c r="B32" i="81"/>
  <c r="A32" i="81"/>
  <c r="AQ31" i="81"/>
  <c r="AP31" i="81"/>
  <c r="AO31" i="81"/>
  <c r="AN31" i="81"/>
  <c r="AM31" i="81"/>
  <c r="AL31" i="81"/>
  <c r="AK31" i="81"/>
  <c r="AJ31" i="81"/>
  <c r="AI31" i="81"/>
  <c r="AH31" i="81"/>
  <c r="AG31" i="81"/>
  <c r="AF31" i="81"/>
  <c r="AE31" i="81"/>
  <c r="AD31" i="81"/>
  <c r="AC31" i="81"/>
  <c r="AB31" i="81"/>
  <c r="AA31" i="81"/>
  <c r="X31" i="81"/>
  <c r="W31" i="81"/>
  <c r="U31" i="81"/>
  <c r="T31" i="81"/>
  <c r="R31" i="81"/>
  <c r="Q31" i="81"/>
  <c r="P31" i="81"/>
  <c r="O31" i="81"/>
  <c r="N31" i="81"/>
  <c r="AQ30" i="81"/>
  <c r="AP30" i="81"/>
  <c r="AO30" i="81"/>
  <c r="AN30" i="81"/>
  <c r="AM30" i="81"/>
  <c r="AL30" i="81"/>
  <c r="AK30" i="81"/>
  <c r="AJ30" i="81"/>
  <c r="AI30" i="81"/>
  <c r="AH30" i="81"/>
  <c r="AG30" i="81"/>
  <c r="AF30" i="81"/>
  <c r="AE30" i="81"/>
  <c r="AD30" i="81"/>
  <c r="AC30" i="81"/>
  <c r="AB30" i="81"/>
  <c r="AA30" i="81"/>
  <c r="Y30" i="81"/>
  <c r="X30" i="81"/>
  <c r="W30" i="81"/>
  <c r="U30" i="81"/>
  <c r="T30" i="81"/>
  <c r="R30" i="81"/>
  <c r="Q30" i="81"/>
  <c r="P30" i="81"/>
  <c r="O30" i="81"/>
  <c r="N30" i="81"/>
  <c r="I30" i="81"/>
  <c r="H30" i="81"/>
  <c r="G30" i="81"/>
  <c r="F30" i="81"/>
  <c r="E30" i="81"/>
  <c r="D30" i="81"/>
  <c r="C30" i="81"/>
  <c r="B30" i="81"/>
  <c r="A30" i="81"/>
  <c r="AQ29" i="81"/>
  <c r="AP29" i="81"/>
  <c r="AO29" i="81"/>
  <c r="AN29" i="81"/>
  <c r="AM29" i="81"/>
  <c r="AL29" i="81"/>
  <c r="AK29" i="81"/>
  <c r="AJ29" i="81"/>
  <c r="AI29" i="81"/>
  <c r="AH29" i="81"/>
  <c r="AG29" i="81"/>
  <c r="AF29" i="81"/>
  <c r="AE29" i="81"/>
  <c r="AD29" i="81"/>
  <c r="AC29" i="81"/>
  <c r="AB29" i="81"/>
  <c r="AA29" i="81"/>
  <c r="X29" i="81"/>
  <c r="W29" i="81"/>
  <c r="Q29" i="81"/>
  <c r="P29" i="81"/>
  <c r="O29" i="81"/>
  <c r="N29" i="81"/>
  <c r="M29" i="81"/>
  <c r="I29" i="81"/>
  <c r="H29" i="81"/>
  <c r="G29" i="81"/>
  <c r="F29" i="81"/>
  <c r="E29" i="81"/>
  <c r="D29" i="81"/>
  <c r="C29" i="81"/>
  <c r="B29" i="81"/>
  <c r="A29" i="81"/>
  <c r="AQ28" i="81"/>
  <c r="AP28" i="81"/>
  <c r="AO28" i="81"/>
  <c r="AN28" i="81"/>
  <c r="AM28" i="81"/>
  <c r="AL28" i="81"/>
  <c r="AK28" i="81"/>
  <c r="AJ28" i="81"/>
  <c r="AI28" i="81"/>
  <c r="AH28" i="81"/>
  <c r="AG28" i="81"/>
  <c r="AF28" i="81"/>
  <c r="AE28" i="81"/>
  <c r="AD28" i="81"/>
  <c r="AC28" i="81"/>
  <c r="AB28" i="81"/>
  <c r="AA28" i="81"/>
  <c r="Y28" i="81"/>
  <c r="X28" i="81"/>
  <c r="W28" i="81"/>
  <c r="U28" i="81"/>
  <c r="T28" i="81"/>
  <c r="R28" i="81"/>
  <c r="Q28" i="81"/>
  <c r="P28" i="81"/>
  <c r="O28" i="81"/>
  <c r="N28" i="81"/>
  <c r="I28" i="81"/>
  <c r="H28" i="81"/>
  <c r="G28" i="81"/>
  <c r="F28" i="81"/>
  <c r="E28" i="81"/>
  <c r="D28" i="81"/>
  <c r="C28" i="81"/>
  <c r="B28" i="81"/>
  <c r="A28" i="81"/>
  <c r="AQ27" i="81"/>
  <c r="AP27" i="81"/>
  <c r="AO27" i="81"/>
  <c r="AN27" i="81"/>
  <c r="AM27" i="81"/>
  <c r="AL27" i="81"/>
  <c r="AK27" i="81"/>
  <c r="AJ27" i="81"/>
  <c r="AI27" i="81"/>
  <c r="AH27" i="81"/>
  <c r="AG27" i="81"/>
  <c r="AF27" i="81"/>
  <c r="AE27" i="81"/>
  <c r="AD27" i="81"/>
  <c r="AC27" i="81"/>
  <c r="AB27" i="81"/>
  <c r="AA27" i="81"/>
  <c r="Y27" i="81"/>
  <c r="X27" i="81"/>
  <c r="W27" i="81"/>
  <c r="U27" i="81"/>
  <c r="T27" i="81"/>
  <c r="R27" i="81"/>
  <c r="Q27" i="81"/>
  <c r="P27" i="81"/>
  <c r="O27" i="81"/>
  <c r="N27" i="81"/>
  <c r="I27" i="81"/>
  <c r="H27" i="81"/>
  <c r="G27" i="81"/>
  <c r="F27" i="81"/>
  <c r="E27" i="81"/>
  <c r="D27" i="81"/>
  <c r="C27" i="81"/>
  <c r="B27" i="81"/>
  <c r="A27" i="81"/>
  <c r="AQ26" i="81"/>
  <c r="AP26" i="81"/>
  <c r="AO26" i="81"/>
  <c r="AN26" i="81"/>
  <c r="AM26" i="81"/>
  <c r="AL26" i="81"/>
  <c r="AK26" i="81"/>
  <c r="AJ26" i="81"/>
  <c r="AI26" i="81"/>
  <c r="AH26" i="81"/>
  <c r="AG26" i="81"/>
  <c r="AF26" i="81"/>
  <c r="AE26" i="81"/>
  <c r="AD26" i="81"/>
  <c r="AC26" i="81"/>
  <c r="AB26" i="81"/>
  <c r="AA26" i="81"/>
  <c r="Y26" i="81"/>
  <c r="X26" i="81"/>
  <c r="W26" i="81"/>
  <c r="U26" i="81"/>
  <c r="T26" i="81"/>
  <c r="R26" i="81"/>
  <c r="Q26" i="81"/>
  <c r="P26" i="81"/>
  <c r="O26" i="81"/>
  <c r="N26" i="81"/>
  <c r="I26" i="81"/>
  <c r="H26" i="81"/>
  <c r="G26" i="81"/>
  <c r="F26" i="81"/>
  <c r="E26" i="81"/>
  <c r="D26" i="81"/>
  <c r="C26" i="81"/>
  <c r="B26" i="81"/>
  <c r="A26" i="81"/>
  <c r="AQ25" i="81"/>
  <c r="AP25" i="81"/>
  <c r="AO25" i="81"/>
  <c r="AN25" i="81"/>
  <c r="AM25" i="81"/>
  <c r="AL25" i="81"/>
  <c r="AK25" i="81"/>
  <c r="AJ25" i="81"/>
  <c r="AI25" i="81"/>
  <c r="AH25" i="81"/>
  <c r="AG25" i="81"/>
  <c r="AF25" i="81"/>
  <c r="AE25" i="81"/>
  <c r="AD25" i="81"/>
  <c r="AC25" i="81"/>
  <c r="AB25" i="81"/>
  <c r="AA25" i="81"/>
  <c r="X25" i="81"/>
  <c r="W25" i="81"/>
  <c r="U25" i="81"/>
  <c r="T25" i="81"/>
  <c r="R25" i="81"/>
  <c r="Q25" i="81"/>
  <c r="P25" i="81"/>
  <c r="O25" i="81"/>
  <c r="N25" i="81"/>
  <c r="I25" i="81"/>
  <c r="H25" i="81"/>
  <c r="G25" i="81"/>
  <c r="F25" i="81"/>
  <c r="E25" i="81"/>
  <c r="D25" i="81"/>
  <c r="C25" i="81"/>
  <c r="B25" i="81"/>
  <c r="A25" i="81"/>
  <c r="AQ24" i="81"/>
  <c r="AP24" i="81"/>
  <c r="AO24" i="81"/>
  <c r="AN24" i="81"/>
  <c r="AM24" i="81"/>
  <c r="AL24" i="81"/>
  <c r="AK24" i="81"/>
  <c r="AJ24" i="81"/>
  <c r="AI24" i="81"/>
  <c r="AH24" i="81"/>
  <c r="AG24" i="81"/>
  <c r="AF24" i="81"/>
  <c r="AE24" i="81"/>
  <c r="AD24" i="81"/>
  <c r="AC24" i="81"/>
  <c r="AB24" i="81"/>
  <c r="AA24" i="81"/>
  <c r="Z24" i="81"/>
  <c r="Y24" i="81"/>
  <c r="X24" i="81"/>
  <c r="W24" i="81"/>
  <c r="U24" i="81"/>
  <c r="T24" i="81"/>
  <c r="R24" i="81"/>
  <c r="Q24" i="81"/>
  <c r="P24" i="81"/>
  <c r="O24" i="81"/>
  <c r="N24" i="81"/>
  <c r="I24" i="81"/>
  <c r="H24" i="81"/>
  <c r="G24" i="81"/>
  <c r="F24" i="81"/>
  <c r="E24" i="81"/>
  <c r="D24" i="81"/>
  <c r="C24" i="81"/>
  <c r="B24" i="81"/>
  <c r="A24" i="81"/>
  <c r="AQ23" i="81"/>
  <c r="AP23" i="81"/>
  <c r="AO23" i="81"/>
  <c r="AN23" i="81"/>
  <c r="AM23" i="81"/>
  <c r="AL23" i="81"/>
  <c r="AK23" i="81"/>
  <c r="AJ23" i="81"/>
  <c r="AI23" i="81"/>
  <c r="AH23" i="81"/>
  <c r="AG23" i="81"/>
  <c r="AF23" i="81"/>
  <c r="AE23" i="81"/>
  <c r="AD23" i="81"/>
  <c r="AC23" i="81"/>
  <c r="AB23" i="81"/>
  <c r="AA23" i="81"/>
  <c r="Y23" i="81"/>
  <c r="X23" i="81"/>
  <c r="W23" i="81"/>
  <c r="U23" i="81"/>
  <c r="T23" i="81"/>
  <c r="R23" i="81"/>
  <c r="Q23" i="81"/>
  <c r="P23" i="81"/>
  <c r="O23" i="81"/>
  <c r="N23" i="81"/>
  <c r="I23" i="81"/>
  <c r="H23" i="81"/>
  <c r="G23" i="81"/>
  <c r="F23" i="81"/>
  <c r="E23" i="81"/>
  <c r="D23" i="81"/>
  <c r="C23" i="81"/>
  <c r="B23" i="81"/>
  <c r="A23" i="81"/>
  <c r="AQ22" i="81"/>
  <c r="AP22" i="81"/>
  <c r="AO22" i="81"/>
  <c r="AN22" i="81"/>
  <c r="AM22" i="81"/>
  <c r="AL22" i="81"/>
  <c r="AK22" i="81"/>
  <c r="AJ22" i="81"/>
  <c r="AI22" i="81"/>
  <c r="AH22" i="81"/>
  <c r="AG22" i="81"/>
  <c r="AF22" i="81"/>
  <c r="AE22" i="81"/>
  <c r="AD22" i="81"/>
  <c r="AC22" i="81"/>
  <c r="AB22" i="81"/>
  <c r="AA22" i="81"/>
  <c r="Y22" i="81"/>
  <c r="X22" i="81"/>
  <c r="W22" i="81"/>
  <c r="U22" i="81"/>
  <c r="T22" i="81"/>
  <c r="R22" i="81"/>
  <c r="Q22" i="81"/>
  <c r="P22" i="81"/>
  <c r="O22" i="81"/>
  <c r="N22" i="81"/>
  <c r="I22" i="81"/>
  <c r="H22" i="81"/>
  <c r="G22" i="81"/>
  <c r="F22" i="81"/>
  <c r="E22" i="81"/>
  <c r="D22" i="81"/>
  <c r="C22" i="81"/>
  <c r="B22" i="81"/>
  <c r="A22" i="81"/>
  <c r="X21" i="81"/>
  <c r="M21" i="81"/>
  <c r="L21" i="81"/>
  <c r="AP20" i="81"/>
  <c r="AH20" i="81"/>
  <c r="AG20" i="81"/>
  <c r="AF20" i="81"/>
  <c r="AE20" i="81"/>
  <c r="AD20" i="81"/>
  <c r="AC20" i="81"/>
  <c r="AB20" i="81"/>
  <c r="AA20" i="81"/>
  <c r="Z20" i="81"/>
  <c r="Y20" i="81"/>
  <c r="X20" i="81"/>
  <c r="W20" i="81"/>
  <c r="V20" i="81"/>
  <c r="U20" i="81"/>
  <c r="T20" i="81"/>
  <c r="S20" i="81"/>
  <c r="R20" i="81"/>
  <c r="Q20" i="81"/>
  <c r="P20" i="81"/>
  <c r="O20" i="81"/>
  <c r="N20" i="81"/>
  <c r="M20" i="81"/>
  <c r="AQ19" i="81"/>
  <c r="AP19" i="81"/>
  <c r="AO19" i="81"/>
  <c r="AN19" i="81"/>
  <c r="AM19" i="81"/>
  <c r="AL19" i="81"/>
  <c r="AK19" i="81"/>
  <c r="AJ19" i="81"/>
  <c r="AI19" i="81"/>
  <c r="AH19" i="81"/>
  <c r="AG19" i="81"/>
  <c r="AF19" i="81"/>
  <c r="AE19" i="81"/>
  <c r="AD19" i="81"/>
  <c r="AC19" i="81"/>
  <c r="AB19" i="81"/>
  <c r="AA19" i="81"/>
  <c r="X19" i="81"/>
  <c r="W19" i="81"/>
  <c r="U19" i="81"/>
  <c r="T19" i="81"/>
  <c r="S19" i="81"/>
  <c r="R19" i="81"/>
  <c r="Q19" i="81"/>
  <c r="P19" i="81"/>
  <c r="O19" i="81"/>
  <c r="N19" i="81"/>
  <c r="M19" i="81"/>
  <c r="I19" i="81"/>
  <c r="H19" i="81"/>
  <c r="G19" i="81"/>
  <c r="F19" i="81"/>
  <c r="E19" i="81"/>
  <c r="D19" i="81"/>
  <c r="C19" i="81"/>
  <c r="B19" i="81"/>
  <c r="A19" i="81"/>
  <c r="AQ18" i="81"/>
  <c r="AP18" i="81"/>
  <c r="AO18" i="81"/>
  <c r="AN18" i="81"/>
  <c r="AM18" i="81"/>
  <c r="AL18" i="81"/>
  <c r="AK18" i="81"/>
  <c r="AJ18" i="81"/>
  <c r="AI18" i="81"/>
  <c r="AH18" i="81"/>
  <c r="AG18" i="81"/>
  <c r="AF18" i="81"/>
  <c r="AE18" i="81"/>
  <c r="AD18" i="81"/>
  <c r="AC18" i="81"/>
  <c r="AB18" i="81"/>
  <c r="AA18" i="81"/>
  <c r="Y18" i="81"/>
  <c r="X18" i="81"/>
  <c r="W18" i="81"/>
  <c r="U18" i="81"/>
  <c r="T18" i="81"/>
  <c r="S18" i="81"/>
  <c r="R18" i="81"/>
  <c r="Q18" i="81"/>
  <c r="P18" i="81"/>
  <c r="O18" i="81"/>
  <c r="N18" i="81"/>
  <c r="M18" i="81"/>
  <c r="I18" i="81"/>
  <c r="H18" i="81"/>
  <c r="G18" i="81"/>
  <c r="F18" i="81"/>
  <c r="E18" i="81"/>
  <c r="D18" i="81"/>
  <c r="C18" i="81"/>
  <c r="B18" i="81"/>
  <c r="A18" i="81"/>
  <c r="AQ17" i="81"/>
  <c r="AP17" i="81"/>
  <c r="AO17" i="81"/>
  <c r="AN17" i="81"/>
  <c r="AM17" i="81"/>
  <c r="AL17" i="81"/>
  <c r="AK17" i="81"/>
  <c r="AJ17" i="81"/>
  <c r="AI17" i="81"/>
  <c r="AH17" i="81"/>
  <c r="AG17" i="81"/>
  <c r="AF17" i="81"/>
  <c r="AE17" i="81"/>
  <c r="AD17" i="81"/>
  <c r="AC17" i="81"/>
  <c r="AB17" i="81"/>
  <c r="AA17" i="81"/>
  <c r="Y17" i="81"/>
  <c r="X17" i="81"/>
  <c r="W17" i="81"/>
  <c r="U17" i="81"/>
  <c r="T17" i="81"/>
  <c r="S17" i="81"/>
  <c r="R17" i="81"/>
  <c r="R15" i="81" s="1"/>
  <c r="Q17" i="81"/>
  <c r="P17" i="81"/>
  <c r="O17" i="81"/>
  <c r="N17" i="81"/>
  <c r="M17" i="81"/>
  <c r="I17" i="81"/>
  <c r="H17" i="81"/>
  <c r="G17" i="81"/>
  <c r="F17" i="81"/>
  <c r="E17" i="81"/>
  <c r="D17" i="81"/>
  <c r="C17" i="81"/>
  <c r="B17" i="81"/>
  <c r="A17" i="81"/>
  <c r="AP16" i="81"/>
  <c r="AH16" i="81"/>
  <c r="AG16" i="81"/>
  <c r="AF16" i="81"/>
  <c r="AE16" i="81"/>
  <c r="AD16" i="81"/>
  <c r="AC16" i="81"/>
  <c r="AB16" i="81"/>
  <c r="AA16" i="81"/>
  <c r="X16" i="81"/>
  <c r="W16" i="81"/>
  <c r="U16" i="81"/>
  <c r="T16" i="81"/>
  <c r="S16" i="81"/>
  <c r="R16" i="81"/>
  <c r="Q16" i="81"/>
  <c r="P16" i="81"/>
  <c r="O16" i="81"/>
  <c r="N16" i="81"/>
  <c r="M16" i="81"/>
  <c r="X15" i="81"/>
  <c r="T15" i="81"/>
  <c r="M15" i="81"/>
  <c r="L15" i="81"/>
  <c r="AQ14" i="81"/>
  <c r="AP14" i="81"/>
  <c r="AO14" i="81"/>
  <c r="AN14" i="81"/>
  <c r="AM14" i="81"/>
  <c r="AL14" i="81"/>
  <c r="AK14" i="81"/>
  <c r="AJ14" i="81"/>
  <c r="AI14" i="81"/>
  <c r="AH14" i="81"/>
  <c r="AG14" i="81"/>
  <c r="AF14" i="81"/>
  <c r="AE14" i="81"/>
  <c r="AD14" i="81"/>
  <c r="AC14" i="81"/>
  <c r="AB14" i="81"/>
  <c r="AA14" i="81"/>
  <c r="Y14" i="81"/>
  <c r="X14" i="81"/>
  <c r="W14" i="81"/>
  <c r="U14" i="81"/>
  <c r="U11" i="81" s="1"/>
  <c r="S14" i="81"/>
  <c r="R14" i="81"/>
  <c r="Q14" i="81"/>
  <c r="P14" i="81"/>
  <c r="O14" i="81"/>
  <c r="N14" i="81"/>
  <c r="M14" i="81"/>
  <c r="I14" i="81"/>
  <c r="H14" i="81"/>
  <c r="G14" i="81"/>
  <c r="F14" i="81"/>
  <c r="E14" i="81"/>
  <c r="D14" i="81"/>
  <c r="C14" i="81"/>
  <c r="B14" i="81"/>
  <c r="A14" i="81"/>
  <c r="AQ13" i="81"/>
  <c r="AP13" i="81"/>
  <c r="AO13" i="81"/>
  <c r="AN13" i="81"/>
  <c r="AM13" i="81"/>
  <c r="AL13" i="81"/>
  <c r="AK13" i="81"/>
  <c r="AJ13" i="81"/>
  <c r="AI13" i="81"/>
  <c r="AH13" i="81"/>
  <c r="AG13" i="81"/>
  <c r="AF13" i="81"/>
  <c r="AE13" i="81"/>
  <c r="AD13" i="81"/>
  <c r="AC13" i="81"/>
  <c r="AB13" i="81"/>
  <c r="AA13" i="81"/>
  <c r="Y13" i="81"/>
  <c r="X13" i="81"/>
  <c r="W13" i="81"/>
  <c r="U13" i="81"/>
  <c r="S13" i="81"/>
  <c r="R13" i="81"/>
  <c r="R11" i="81" s="1"/>
  <c r="Q13" i="81"/>
  <c r="P13" i="81"/>
  <c r="O13" i="81"/>
  <c r="N13" i="81"/>
  <c r="M13" i="81"/>
  <c r="I13" i="81"/>
  <c r="H13" i="81"/>
  <c r="G13" i="81"/>
  <c r="F13" i="81"/>
  <c r="E13" i="81"/>
  <c r="D13" i="81"/>
  <c r="C13" i="81"/>
  <c r="B13" i="81"/>
  <c r="A13" i="81"/>
  <c r="AQ12" i="81"/>
  <c r="AP12" i="81"/>
  <c r="AO12" i="81"/>
  <c r="AN12" i="81"/>
  <c r="AM12" i="81"/>
  <c r="AL12" i="81"/>
  <c r="AK12" i="81"/>
  <c r="AJ12" i="81"/>
  <c r="AI12" i="81"/>
  <c r="AH12" i="81"/>
  <c r="AG12" i="81"/>
  <c r="AF12" i="81"/>
  <c r="AE12" i="81"/>
  <c r="AD12" i="81"/>
  <c r="AC12" i="81"/>
  <c r="AB12" i="81"/>
  <c r="AA12" i="81"/>
  <c r="Y12" i="81"/>
  <c r="Y11" i="81" s="1"/>
  <c r="X12" i="81"/>
  <c r="W12" i="81"/>
  <c r="U12" i="81"/>
  <c r="T12" i="81"/>
  <c r="S12" i="81"/>
  <c r="R12" i="81"/>
  <c r="Q12" i="81"/>
  <c r="P12" i="81"/>
  <c r="O12" i="81"/>
  <c r="N12" i="81"/>
  <c r="M12" i="81"/>
  <c r="I12" i="81"/>
  <c r="H12" i="81"/>
  <c r="G12" i="81"/>
  <c r="F12" i="81"/>
  <c r="E12" i="81"/>
  <c r="D12" i="81"/>
  <c r="C12" i="81"/>
  <c r="B12" i="81"/>
  <c r="A12" i="81"/>
  <c r="X11" i="81"/>
  <c r="M11" i="81"/>
  <c r="L11" i="81"/>
  <c r="L10" i="81"/>
  <c r="K10" i="81"/>
  <c r="K9" i="81"/>
  <c r="J9" i="81"/>
  <c r="X8" i="81"/>
  <c r="AQ223" i="40"/>
  <c r="AP223" i="40"/>
  <c r="AO223" i="40"/>
  <c r="AN223" i="40"/>
  <c r="AM223" i="40"/>
  <c r="AL223" i="40"/>
  <c r="AK223" i="40"/>
  <c r="AJ223" i="40"/>
  <c r="AI223" i="40"/>
  <c r="AH223" i="40"/>
  <c r="AG223" i="40"/>
  <c r="AF223" i="40"/>
  <c r="AE223" i="40"/>
  <c r="AD223" i="40"/>
  <c r="AC223" i="40"/>
  <c r="AB223" i="40"/>
  <c r="AA223" i="40"/>
  <c r="Z223" i="40"/>
  <c r="Z222" i="40" s="1"/>
  <c r="Z221" i="40" s="1"/>
  <c r="Y223" i="40"/>
  <c r="Y222" i="40" s="1"/>
  <c r="Y221" i="40" s="1"/>
  <c r="X223" i="40"/>
  <c r="W223" i="40"/>
  <c r="U223" i="40"/>
  <c r="T223" i="40"/>
  <c r="S223" i="40"/>
  <c r="R223" i="40"/>
  <c r="Q223" i="40"/>
  <c r="P223" i="40"/>
  <c r="O223" i="40"/>
  <c r="N223" i="40"/>
  <c r="M223" i="40"/>
  <c r="I223" i="40"/>
  <c r="H223" i="40"/>
  <c r="G223" i="40"/>
  <c r="F223" i="40"/>
  <c r="E223" i="40"/>
  <c r="D223" i="40"/>
  <c r="C223" i="40"/>
  <c r="B223" i="40"/>
  <c r="A223" i="40"/>
  <c r="X222" i="40"/>
  <c r="U222" i="40"/>
  <c r="U221" i="40" s="1"/>
  <c r="T222" i="40"/>
  <c r="T221" i="40" s="1"/>
  <c r="S222" i="40"/>
  <c r="S221" i="40" s="1"/>
  <c r="R222" i="40"/>
  <c r="M222" i="40"/>
  <c r="L222" i="40"/>
  <c r="R221" i="40"/>
  <c r="L221" i="40"/>
  <c r="K221" i="40"/>
  <c r="AQ220" i="40"/>
  <c r="AP220" i="40"/>
  <c r="AO220" i="40"/>
  <c r="AN220" i="40"/>
  <c r="AM220" i="40"/>
  <c r="AL220" i="40"/>
  <c r="AK220" i="40"/>
  <c r="AJ220" i="40"/>
  <c r="AI220" i="40"/>
  <c r="AH220" i="40"/>
  <c r="AG220" i="40"/>
  <c r="AF220" i="40"/>
  <c r="AE220" i="40"/>
  <c r="AD220" i="40"/>
  <c r="AC220" i="40"/>
  <c r="AB220" i="40"/>
  <c r="AA220" i="40"/>
  <c r="X220" i="40"/>
  <c r="W220" i="40"/>
  <c r="U220" i="40"/>
  <c r="T220" i="40"/>
  <c r="S220" i="40"/>
  <c r="S219" i="40" s="1"/>
  <c r="S218" i="40" s="1"/>
  <c r="R220" i="40"/>
  <c r="R219" i="40" s="1"/>
  <c r="R218" i="40" s="1"/>
  <c r="Q220" i="40"/>
  <c r="P220" i="40"/>
  <c r="O220" i="40"/>
  <c r="N220" i="40"/>
  <c r="M220" i="40"/>
  <c r="I220" i="40"/>
  <c r="H220" i="40"/>
  <c r="G220" i="40"/>
  <c r="F220" i="40"/>
  <c r="E220" i="40"/>
  <c r="D220" i="40"/>
  <c r="C220" i="40"/>
  <c r="B220" i="40"/>
  <c r="A220" i="40"/>
  <c r="U219" i="40"/>
  <c r="U218" i="40" s="1"/>
  <c r="T219" i="40"/>
  <c r="T218" i="40" s="1"/>
  <c r="M219" i="40"/>
  <c r="L219" i="40"/>
  <c r="X218" i="40"/>
  <c r="W218" i="40"/>
  <c r="L218" i="40"/>
  <c r="K218" i="40"/>
  <c r="AQ217" i="40"/>
  <c r="AP217" i="40"/>
  <c r="AO217" i="40"/>
  <c r="AN217" i="40"/>
  <c r="AM217" i="40"/>
  <c r="AL217" i="40"/>
  <c r="AK217" i="40"/>
  <c r="AJ217" i="40"/>
  <c r="AI217" i="40"/>
  <c r="AH217" i="40"/>
  <c r="AG217" i="40"/>
  <c r="AF217" i="40"/>
  <c r="AE217" i="40"/>
  <c r="AD217" i="40"/>
  <c r="AC217" i="40"/>
  <c r="AB217" i="40"/>
  <c r="AA217" i="40"/>
  <c r="Y217" i="40"/>
  <c r="Y216" i="40" s="1"/>
  <c r="Y215" i="40" s="1"/>
  <c r="X217" i="40"/>
  <c r="W217" i="40"/>
  <c r="U217" i="40"/>
  <c r="T217" i="40"/>
  <c r="S217" i="40"/>
  <c r="R217" i="40"/>
  <c r="Q217" i="40"/>
  <c r="P217" i="40"/>
  <c r="O217" i="40"/>
  <c r="N217" i="40"/>
  <c r="M217" i="40"/>
  <c r="I217" i="40"/>
  <c r="H217" i="40"/>
  <c r="G217" i="40"/>
  <c r="F217" i="40"/>
  <c r="E217" i="40"/>
  <c r="D217" i="40"/>
  <c r="C217" i="40"/>
  <c r="B217" i="40"/>
  <c r="A217" i="40"/>
  <c r="X216" i="40"/>
  <c r="U216" i="40"/>
  <c r="T216" i="40"/>
  <c r="S216" i="40"/>
  <c r="R216" i="40"/>
  <c r="M216" i="40"/>
  <c r="L216" i="40"/>
  <c r="X215" i="40"/>
  <c r="U215" i="40"/>
  <c r="T215" i="40"/>
  <c r="S215" i="40"/>
  <c r="R215" i="40"/>
  <c r="L215" i="40"/>
  <c r="K215" i="40"/>
  <c r="AQ214" i="40"/>
  <c r="AP214" i="40"/>
  <c r="AO214" i="40"/>
  <c r="AN214" i="40"/>
  <c r="AM214" i="40"/>
  <c r="AL214" i="40"/>
  <c r="AK214" i="40"/>
  <c r="AJ214" i="40"/>
  <c r="AI214" i="40"/>
  <c r="AH214" i="40"/>
  <c r="AG214" i="40"/>
  <c r="AF214" i="40"/>
  <c r="AE214" i="40"/>
  <c r="AD214" i="40"/>
  <c r="AC214" i="40"/>
  <c r="AB214" i="40"/>
  <c r="AA214" i="40"/>
  <c r="X214" i="40"/>
  <c r="W214" i="40"/>
  <c r="U214" i="40"/>
  <c r="U213" i="40" s="1"/>
  <c r="U212" i="40" s="1"/>
  <c r="T214" i="40"/>
  <c r="S214" i="40"/>
  <c r="R214" i="40"/>
  <c r="R213" i="40" s="1"/>
  <c r="R212" i="40" s="1"/>
  <c r="Q214" i="40"/>
  <c r="P214" i="40"/>
  <c r="O214" i="40"/>
  <c r="N214" i="40"/>
  <c r="M214" i="40"/>
  <c r="I214" i="40"/>
  <c r="H214" i="40"/>
  <c r="G214" i="40"/>
  <c r="F214" i="40"/>
  <c r="E214" i="40"/>
  <c r="D214" i="40"/>
  <c r="C214" i="40"/>
  <c r="B214" i="40"/>
  <c r="A214" i="40"/>
  <c r="X213" i="40"/>
  <c r="X212" i="40" s="1"/>
  <c r="T213" i="40"/>
  <c r="S213" i="40"/>
  <c r="M213" i="40"/>
  <c r="L213" i="40"/>
  <c r="W212" i="40"/>
  <c r="T212" i="40"/>
  <c r="S212" i="40"/>
  <c r="L212" i="40"/>
  <c r="K212" i="40"/>
  <c r="AQ211" i="40"/>
  <c r="AP211" i="40"/>
  <c r="AO211" i="40"/>
  <c r="AN211" i="40"/>
  <c r="AM211" i="40"/>
  <c r="AL211" i="40"/>
  <c r="AK211" i="40"/>
  <c r="AJ211" i="40"/>
  <c r="AI211" i="40"/>
  <c r="AH211" i="40"/>
  <c r="AG211" i="40"/>
  <c r="AF211" i="40"/>
  <c r="AE211" i="40"/>
  <c r="AD211" i="40"/>
  <c r="AC211" i="40"/>
  <c r="AB211" i="40"/>
  <c r="AA211" i="40"/>
  <c r="Z211" i="40"/>
  <c r="Y211" i="40"/>
  <c r="X211" i="40"/>
  <c r="W211" i="40"/>
  <c r="U211" i="40"/>
  <c r="T211" i="40"/>
  <c r="T209" i="40" s="1"/>
  <c r="S211" i="40"/>
  <c r="S209" i="40" s="1"/>
  <c r="R211" i="40"/>
  <c r="Q211" i="40"/>
  <c r="P211" i="40"/>
  <c r="O211" i="40"/>
  <c r="N211" i="40"/>
  <c r="M211" i="40"/>
  <c r="I211" i="40"/>
  <c r="H211" i="40"/>
  <c r="G211" i="40"/>
  <c r="F211" i="40"/>
  <c r="E211" i="40"/>
  <c r="D211" i="40"/>
  <c r="C211" i="40"/>
  <c r="B211" i="40"/>
  <c r="A211" i="40"/>
  <c r="AQ210" i="40"/>
  <c r="AP210" i="40"/>
  <c r="AO210" i="40"/>
  <c r="AN210" i="40"/>
  <c r="AM210" i="40"/>
  <c r="AL210" i="40"/>
  <c r="AK210" i="40"/>
  <c r="AJ210" i="40"/>
  <c r="AI210" i="40"/>
  <c r="AH210" i="40"/>
  <c r="AG210" i="40"/>
  <c r="AF210" i="40"/>
  <c r="AE210" i="40"/>
  <c r="AD210" i="40"/>
  <c r="AC210" i="40"/>
  <c r="AB210" i="40"/>
  <c r="AA210" i="40"/>
  <c r="Z210" i="40"/>
  <c r="X210" i="40"/>
  <c r="W210" i="40"/>
  <c r="U210" i="40"/>
  <c r="U209" i="40" s="1"/>
  <c r="T210" i="40"/>
  <c r="S210" i="40"/>
  <c r="R210" i="40"/>
  <c r="Q210" i="40"/>
  <c r="P210" i="40"/>
  <c r="O210" i="40"/>
  <c r="N210" i="40"/>
  <c r="M210" i="40"/>
  <c r="I210" i="40"/>
  <c r="H210" i="40"/>
  <c r="G210" i="40"/>
  <c r="F210" i="40"/>
  <c r="E210" i="40"/>
  <c r="D210" i="40"/>
  <c r="C210" i="40"/>
  <c r="B210" i="40"/>
  <c r="A210" i="40"/>
  <c r="AG209" i="40"/>
  <c r="Z209" i="40"/>
  <c r="X209" i="40"/>
  <c r="R209" i="40"/>
  <c r="M209" i="40"/>
  <c r="L209" i="40"/>
  <c r="AQ208" i="40"/>
  <c r="AP208" i="40"/>
  <c r="AO208" i="40"/>
  <c r="AN208" i="40"/>
  <c r="AM208" i="40"/>
  <c r="AL208" i="40"/>
  <c r="AK208" i="40"/>
  <c r="AJ208" i="40"/>
  <c r="AI208" i="40"/>
  <c r="AH208" i="40"/>
  <c r="AG208" i="40"/>
  <c r="AF208" i="40"/>
  <c r="AE208" i="40"/>
  <c r="AD208" i="40"/>
  <c r="AC208" i="40"/>
  <c r="AB208" i="40"/>
  <c r="AA208" i="40"/>
  <c r="X208" i="40"/>
  <c r="W208" i="40"/>
  <c r="U208" i="40"/>
  <c r="T208" i="40"/>
  <c r="S208" i="40"/>
  <c r="R208" i="40"/>
  <c r="Q208" i="40"/>
  <c r="P208" i="40"/>
  <c r="N208" i="40"/>
  <c r="I208" i="40"/>
  <c r="H208" i="40"/>
  <c r="G208" i="40"/>
  <c r="F208" i="40"/>
  <c r="E208" i="40"/>
  <c r="D208" i="40"/>
  <c r="C208" i="40"/>
  <c r="B208" i="40"/>
  <c r="A208" i="40"/>
  <c r="AQ207" i="40"/>
  <c r="AP207" i="40"/>
  <c r="AO207" i="40"/>
  <c r="AN207" i="40"/>
  <c r="AM207" i="40"/>
  <c r="AL207" i="40"/>
  <c r="AK207" i="40"/>
  <c r="AJ207" i="40"/>
  <c r="AI207" i="40"/>
  <c r="AH207" i="40"/>
  <c r="AG207" i="40"/>
  <c r="AF207" i="40"/>
  <c r="AE207" i="40"/>
  <c r="AD207" i="40"/>
  <c r="AC207" i="40"/>
  <c r="AB207" i="40"/>
  <c r="AA207" i="40"/>
  <c r="Z207" i="40"/>
  <c r="Y207" i="40"/>
  <c r="X207" i="40"/>
  <c r="W207" i="40"/>
  <c r="U207" i="40"/>
  <c r="T207" i="40"/>
  <c r="S207" i="40"/>
  <c r="R207" i="40"/>
  <c r="Q207" i="40"/>
  <c r="P207" i="40"/>
  <c r="N207" i="40"/>
  <c r="I207" i="40"/>
  <c r="H207" i="40"/>
  <c r="G207" i="40"/>
  <c r="F207" i="40"/>
  <c r="E207" i="40"/>
  <c r="D207" i="40"/>
  <c r="C207" i="40"/>
  <c r="B207" i="40"/>
  <c r="A207" i="40"/>
  <c r="AQ206" i="40"/>
  <c r="AP206" i="40"/>
  <c r="AO206" i="40"/>
  <c r="AN206" i="40"/>
  <c r="AM206" i="40"/>
  <c r="AL206" i="40"/>
  <c r="AK206" i="40"/>
  <c r="AJ206" i="40"/>
  <c r="AI206" i="40"/>
  <c r="AH206" i="40"/>
  <c r="AG206" i="40"/>
  <c r="AF206" i="40"/>
  <c r="AE206" i="40"/>
  <c r="AD206" i="40"/>
  <c r="AC206" i="40"/>
  <c r="AB206" i="40"/>
  <c r="AA206" i="40"/>
  <c r="Z206" i="40"/>
  <c r="Y206" i="40"/>
  <c r="X206" i="40"/>
  <c r="W206" i="40"/>
  <c r="U206" i="40"/>
  <c r="T206" i="40"/>
  <c r="S206" i="40"/>
  <c r="R206" i="40"/>
  <c r="Q206" i="40"/>
  <c r="P206" i="40"/>
  <c r="N206" i="40"/>
  <c r="I206" i="40"/>
  <c r="H206" i="40"/>
  <c r="G206" i="40"/>
  <c r="F206" i="40"/>
  <c r="E206" i="40"/>
  <c r="D206" i="40"/>
  <c r="C206" i="40"/>
  <c r="B206" i="40"/>
  <c r="A206" i="40"/>
  <c r="AQ205" i="40"/>
  <c r="AP205" i="40"/>
  <c r="AO205" i="40"/>
  <c r="AN205" i="40"/>
  <c r="AM205" i="40"/>
  <c r="AL205" i="40"/>
  <c r="AK205" i="40"/>
  <c r="AJ205" i="40"/>
  <c r="AI205" i="40"/>
  <c r="AH205" i="40"/>
  <c r="AG205" i="40"/>
  <c r="AF205" i="40"/>
  <c r="AE205" i="40"/>
  <c r="AD205" i="40"/>
  <c r="AC205" i="40"/>
  <c r="AB205" i="40"/>
  <c r="AA205" i="40"/>
  <c r="X205" i="40"/>
  <c r="W205" i="40"/>
  <c r="U205" i="40"/>
  <c r="T205" i="40"/>
  <c r="T200" i="40" s="1"/>
  <c r="S205" i="40"/>
  <c r="R205" i="40"/>
  <c r="Q205" i="40"/>
  <c r="P205" i="40"/>
  <c r="O205" i="40"/>
  <c r="N205" i="40"/>
  <c r="M205" i="40"/>
  <c r="I205" i="40"/>
  <c r="H205" i="40"/>
  <c r="G205" i="40"/>
  <c r="F205" i="40"/>
  <c r="E205" i="40"/>
  <c r="D205" i="40"/>
  <c r="C205" i="40"/>
  <c r="B205" i="40"/>
  <c r="A205" i="40"/>
  <c r="AQ204" i="40"/>
  <c r="AP204" i="40"/>
  <c r="AO204" i="40"/>
  <c r="AN204" i="40"/>
  <c r="AM204" i="40"/>
  <c r="AL204" i="40"/>
  <c r="AK204" i="40"/>
  <c r="AJ204" i="40"/>
  <c r="AI204" i="40"/>
  <c r="AH204" i="40"/>
  <c r="AG204" i="40"/>
  <c r="AF204" i="40"/>
  <c r="AE204" i="40"/>
  <c r="AD204" i="40"/>
  <c r="AC204" i="40"/>
  <c r="AB204" i="40"/>
  <c r="AA204" i="40"/>
  <c r="X204" i="40"/>
  <c r="W204" i="40"/>
  <c r="U204" i="40"/>
  <c r="T204" i="40"/>
  <c r="S204" i="40"/>
  <c r="R204" i="40"/>
  <c r="Q204" i="40"/>
  <c r="P204" i="40"/>
  <c r="N204" i="40"/>
  <c r="I204" i="40"/>
  <c r="H204" i="40"/>
  <c r="G204" i="40"/>
  <c r="F204" i="40"/>
  <c r="E204" i="40"/>
  <c r="D204" i="40"/>
  <c r="C204" i="40"/>
  <c r="B204" i="40"/>
  <c r="A204" i="40"/>
  <c r="AQ203" i="40"/>
  <c r="AP203" i="40"/>
  <c r="AO203" i="40"/>
  <c r="AN203" i="40"/>
  <c r="AM203" i="40"/>
  <c r="AL203" i="40"/>
  <c r="AK203" i="40"/>
  <c r="AJ203" i="40"/>
  <c r="AI203" i="40"/>
  <c r="AH203" i="40"/>
  <c r="AG203" i="40"/>
  <c r="AF203" i="40"/>
  <c r="AE203" i="40"/>
  <c r="AD203" i="40"/>
  <c r="AC203" i="40"/>
  <c r="AB203" i="40"/>
  <c r="AA203" i="40"/>
  <c r="Z203" i="40"/>
  <c r="Y203" i="40"/>
  <c r="X203" i="40"/>
  <c r="W203" i="40"/>
  <c r="U203" i="40"/>
  <c r="T203" i="40"/>
  <c r="S203" i="40"/>
  <c r="R203" i="40"/>
  <c r="Q203" i="40"/>
  <c r="P203" i="40"/>
  <c r="N203" i="40"/>
  <c r="I203" i="40"/>
  <c r="H203" i="40"/>
  <c r="G203" i="40"/>
  <c r="F203" i="40"/>
  <c r="E203" i="40"/>
  <c r="D203" i="40"/>
  <c r="C203" i="40"/>
  <c r="B203" i="40"/>
  <c r="A203" i="40"/>
  <c r="AQ202" i="40"/>
  <c r="AP202" i="40"/>
  <c r="AO202" i="40"/>
  <c r="AN202" i="40"/>
  <c r="AM202" i="40"/>
  <c r="AL202" i="40"/>
  <c r="AK202" i="40"/>
  <c r="AJ202" i="40"/>
  <c r="AI202" i="40"/>
  <c r="AH202" i="40"/>
  <c r="AG202" i="40"/>
  <c r="AF202" i="40"/>
  <c r="AE202" i="40"/>
  <c r="AD202" i="40"/>
  <c r="AC202" i="40"/>
  <c r="AB202" i="40"/>
  <c r="AA202" i="40"/>
  <c r="Z202" i="40"/>
  <c r="Y202" i="40"/>
  <c r="X202" i="40"/>
  <c r="W202" i="40"/>
  <c r="U202" i="40"/>
  <c r="T202" i="40"/>
  <c r="S202" i="40"/>
  <c r="R202" i="40"/>
  <c r="Q202" i="40"/>
  <c r="P202" i="40"/>
  <c r="N202" i="40"/>
  <c r="I202" i="40"/>
  <c r="H202" i="40"/>
  <c r="G202" i="40"/>
  <c r="F202" i="40"/>
  <c r="E202" i="40"/>
  <c r="D202" i="40"/>
  <c r="C202" i="40"/>
  <c r="B202" i="40"/>
  <c r="A202" i="40"/>
  <c r="AQ201" i="40"/>
  <c r="AP201" i="40"/>
  <c r="AO201" i="40"/>
  <c r="AN201" i="40"/>
  <c r="AM201" i="40"/>
  <c r="AL201" i="40"/>
  <c r="AK201" i="40"/>
  <c r="AJ201" i="40"/>
  <c r="AI201" i="40"/>
  <c r="AH201" i="40"/>
  <c r="AG201" i="40"/>
  <c r="AF201" i="40"/>
  <c r="AE201" i="40"/>
  <c r="AD201" i="40"/>
  <c r="AC201" i="40"/>
  <c r="AB201" i="40"/>
  <c r="AA201" i="40"/>
  <c r="X201" i="40"/>
  <c r="W201" i="40"/>
  <c r="U201" i="40"/>
  <c r="T201" i="40"/>
  <c r="S201" i="40"/>
  <c r="S200" i="40" s="1"/>
  <c r="S199" i="40" s="1"/>
  <c r="R201" i="40"/>
  <c r="R200" i="40" s="1"/>
  <c r="R199" i="40" s="1"/>
  <c r="Q201" i="40"/>
  <c r="P201" i="40"/>
  <c r="O201" i="40"/>
  <c r="N201" i="40"/>
  <c r="M201" i="40"/>
  <c r="I201" i="40"/>
  <c r="H201" i="40"/>
  <c r="G201" i="40"/>
  <c r="F201" i="40"/>
  <c r="E201" i="40"/>
  <c r="D201" i="40"/>
  <c r="C201" i="40"/>
  <c r="B201" i="40"/>
  <c r="A201" i="40"/>
  <c r="X200" i="40"/>
  <c r="X199" i="40" s="1"/>
  <c r="U200" i="40"/>
  <c r="U199" i="40" s="1"/>
  <c r="M200" i="40"/>
  <c r="L200" i="40"/>
  <c r="L199" i="40"/>
  <c r="K199" i="40"/>
  <c r="AQ198" i="40"/>
  <c r="AP198" i="40"/>
  <c r="AO198" i="40"/>
  <c r="AN198" i="40"/>
  <c r="AM198" i="40"/>
  <c r="AL198" i="40"/>
  <c r="AK198" i="40"/>
  <c r="AJ198" i="40"/>
  <c r="AI198" i="40"/>
  <c r="AH198" i="40"/>
  <c r="AG198" i="40"/>
  <c r="AF198" i="40"/>
  <c r="AE198" i="40"/>
  <c r="AD198" i="40"/>
  <c r="AC198" i="40"/>
  <c r="AB198" i="40"/>
  <c r="AA198" i="40"/>
  <c r="Z198" i="40"/>
  <c r="X198" i="40"/>
  <c r="W198" i="40"/>
  <c r="U198" i="40"/>
  <c r="T198" i="40"/>
  <c r="S198" i="40"/>
  <c r="R198" i="40"/>
  <c r="Q198" i="40"/>
  <c r="P198" i="40"/>
  <c r="O198" i="40"/>
  <c r="N198" i="40"/>
  <c r="M198" i="40"/>
  <c r="I198" i="40"/>
  <c r="H198" i="40"/>
  <c r="G198" i="40"/>
  <c r="F198" i="40"/>
  <c r="E198" i="40"/>
  <c r="D198" i="40"/>
  <c r="C198" i="40"/>
  <c r="B198" i="40"/>
  <c r="A198" i="40"/>
  <c r="Z197" i="40"/>
  <c r="X197" i="40"/>
  <c r="U197" i="40"/>
  <c r="T197" i="40"/>
  <c r="S197" i="40"/>
  <c r="R197" i="40"/>
  <c r="M197" i="40"/>
  <c r="L197" i="40"/>
  <c r="Z196" i="40"/>
  <c r="X196" i="40"/>
  <c r="U196" i="40"/>
  <c r="T196" i="40"/>
  <c r="S196" i="40"/>
  <c r="R196" i="40"/>
  <c r="L196" i="40"/>
  <c r="K196" i="40"/>
  <c r="AQ195" i="40"/>
  <c r="AP195" i="40"/>
  <c r="AO195" i="40"/>
  <c r="AN195" i="40"/>
  <c r="AM195" i="40"/>
  <c r="AL195" i="40"/>
  <c r="AK195" i="40"/>
  <c r="AJ195" i="40"/>
  <c r="AI195" i="40"/>
  <c r="AH195" i="40"/>
  <c r="AG195" i="40"/>
  <c r="AF195" i="40"/>
  <c r="AE195" i="40"/>
  <c r="AD195" i="40"/>
  <c r="AC195" i="40"/>
  <c r="AB195" i="40"/>
  <c r="AA195" i="40"/>
  <c r="X195" i="40"/>
  <c r="W195" i="40"/>
  <c r="V195" i="40"/>
  <c r="U195" i="40"/>
  <c r="T195" i="40"/>
  <c r="S195" i="40"/>
  <c r="R195" i="40"/>
  <c r="Q195" i="40"/>
  <c r="P195" i="40"/>
  <c r="N195" i="40"/>
  <c r="I195" i="40"/>
  <c r="H195" i="40"/>
  <c r="G195" i="40"/>
  <c r="F195" i="40"/>
  <c r="E195" i="40"/>
  <c r="D195" i="40"/>
  <c r="C195" i="40"/>
  <c r="B195" i="40"/>
  <c r="A195" i="40"/>
  <c r="AQ194" i="40"/>
  <c r="AP194" i="40"/>
  <c r="AO194" i="40"/>
  <c r="AN194" i="40"/>
  <c r="AM194" i="40"/>
  <c r="AL194" i="40"/>
  <c r="AK194" i="40"/>
  <c r="AJ194" i="40"/>
  <c r="AI194" i="40"/>
  <c r="AH194" i="40"/>
  <c r="AG194" i="40"/>
  <c r="AF194" i="40"/>
  <c r="AE194" i="40"/>
  <c r="AD194" i="40"/>
  <c r="AC194" i="40"/>
  <c r="AB194" i="40"/>
  <c r="AA194" i="40"/>
  <c r="Z194" i="40"/>
  <c r="Y194" i="40"/>
  <c r="X194" i="40"/>
  <c r="W194" i="40"/>
  <c r="V194" i="40"/>
  <c r="U194" i="40"/>
  <c r="T194" i="40"/>
  <c r="S194" i="40"/>
  <c r="R194" i="40"/>
  <c r="Q194" i="40"/>
  <c r="P194" i="40"/>
  <c r="N194" i="40"/>
  <c r="I194" i="40"/>
  <c r="H194" i="40"/>
  <c r="G194" i="40"/>
  <c r="F194" i="40"/>
  <c r="E194" i="40"/>
  <c r="D194" i="40"/>
  <c r="C194" i="40"/>
  <c r="B194" i="40"/>
  <c r="A194" i="40"/>
  <c r="AQ193" i="40"/>
  <c r="AP193" i="40"/>
  <c r="AO193" i="40"/>
  <c r="AN193" i="40"/>
  <c r="AM193" i="40"/>
  <c r="AL193" i="40"/>
  <c r="AK193" i="40"/>
  <c r="AJ193" i="40"/>
  <c r="AI193" i="40"/>
  <c r="AH193" i="40"/>
  <c r="AG193" i="40"/>
  <c r="AF193" i="40"/>
  <c r="AE193" i="40"/>
  <c r="AD193" i="40"/>
  <c r="AC193" i="40"/>
  <c r="AB193" i="40"/>
  <c r="AA193" i="40"/>
  <c r="Z193" i="40"/>
  <c r="Y193" i="40"/>
  <c r="X193" i="40"/>
  <c r="W193" i="40"/>
  <c r="U193" i="40"/>
  <c r="S193" i="40"/>
  <c r="R193" i="40"/>
  <c r="Q193" i="40"/>
  <c r="P193" i="40"/>
  <c r="N193" i="40"/>
  <c r="I193" i="40"/>
  <c r="H193" i="40"/>
  <c r="G193" i="40"/>
  <c r="F193" i="40"/>
  <c r="E193" i="40"/>
  <c r="D193" i="40"/>
  <c r="C193" i="40"/>
  <c r="B193" i="40"/>
  <c r="A193" i="40"/>
  <c r="AQ192" i="40"/>
  <c r="AP192" i="40"/>
  <c r="AO192" i="40"/>
  <c r="AN192" i="40"/>
  <c r="AM192" i="40"/>
  <c r="AL192" i="40"/>
  <c r="AK192" i="40"/>
  <c r="AJ192" i="40"/>
  <c r="AI192" i="40"/>
  <c r="AH192" i="40"/>
  <c r="AG192" i="40"/>
  <c r="AF192" i="40"/>
  <c r="AE192" i="40"/>
  <c r="AD192" i="40"/>
  <c r="AC192" i="40"/>
  <c r="AB192" i="40"/>
  <c r="AA192" i="40"/>
  <c r="X192" i="40"/>
  <c r="W192" i="40"/>
  <c r="U192" i="40"/>
  <c r="U191" i="40" s="1"/>
  <c r="S192" i="40"/>
  <c r="R192" i="40"/>
  <c r="Q192" i="40"/>
  <c r="P192" i="40"/>
  <c r="O192" i="40"/>
  <c r="N192" i="40"/>
  <c r="M192" i="40"/>
  <c r="I192" i="40"/>
  <c r="H192" i="40"/>
  <c r="G192" i="40"/>
  <c r="F192" i="40"/>
  <c r="E192" i="40"/>
  <c r="D192" i="40"/>
  <c r="C192" i="40"/>
  <c r="B192" i="40"/>
  <c r="A192" i="40"/>
  <c r="X191" i="40"/>
  <c r="S191" i="40"/>
  <c r="R191" i="40"/>
  <c r="M191" i="40"/>
  <c r="L191" i="40"/>
  <c r="AQ190" i="40"/>
  <c r="AP190" i="40"/>
  <c r="AO190" i="40"/>
  <c r="AN190" i="40"/>
  <c r="AM190" i="40"/>
  <c r="AL190" i="40"/>
  <c r="AK190" i="40"/>
  <c r="AJ190" i="40"/>
  <c r="AI190" i="40"/>
  <c r="AH190" i="40"/>
  <c r="AG190" i="40"/>
  <c r="AF190" i="40"/>
  <c r="AE190" i="40"/>
  <c r="AD190" i="40"/>
  <c r="AC190" i="40"/>
  <c r="AB190" i="40"/>
  <c r="AA190" i="40"/>
  <c r="Z190" i="40"/>
  <c r="X190" i="40"/>
  <c r="W190" i="40"/>
  <c r="U190" i="40"/>
  <c r="U189" i="40" s="1"/>
  <c r="S190" i="40"/>
  <c r="S189" i="40" s="1"/>
  <c r="R190" i="40"/>
  <c r="Q190" i="40"/>
  <c r="P190" i="40"/>
  <c r="O190" i="40"/>
  <c r="N190" i="40"/>
  <c r="M190" i="40"/>
  <c r="I190" i="40"/>
  <c r="H190" i="40"/>
  <c r="G190" i="40"/>
  <c r="F190" i="40"/>
  <c r="E190" i="40"/>
  <c r="D190" i="40"/>
  <c r="C190" i="40"/>
  <c r="B190" i="40"/>
  <c r="A190" i="40"/>
  <c r="Z189" i="40"/>
  <c r="X189" i="40"/>
  <c r="R189" i="40"/>
  <c r="M189" i="40"/>
  <c r="L189" i="40"/>
  <c r="AQ188" i="40"/>
  <c r="AP188" i="40"/>
  <c r="AO188" i="40"/>
  <c r="AN188" i="40"/>
  <c r="AM188" i="40"/>
  <c r="AL188" i="40"/>
  <c r="AK188" i="40"/>
  <c r="AJ188" i="40"/>
  <c r="AI188" i="40"/>
  <c r="AH188" i="40"/>
  <c r="AG188" i="40"/>
  <c r="AF188" i="40"/>
  <c r="AE188" i="40"/>
  <c r="AD188" i="40"/>
  <c r="AC188" i="40"/>
  <c r="AB188" i="40"/>
  <c r="AA188" i="40"/>
  <c r="Z188" i="40"/>
  <c r="Z187" i="40" s="1"/>
  <c r="Y188" i="40"/>
  <c r="Y187" i="40" s="1"/>
  <c r="X188" i="40"/>
  <c r="W188" i="40"/>
  <c r="U188" i="40"/>
  <c r="S188" i="40"/>
  <c r="R188" i="40"/>
  <c r="Q188" i="40"/>
  <c r="P188" i="40"/>
  <c r="O188" i="40"/>
  <c r="N188" i="40"/>
  <c r="M188" i="40"/>
  <c r="I188" i="40"/>
  <c r="H188" i="40"/>
  <c r="G188" i="40"/>
  <c r="F188" i="40"/>
  <c r="E188" i="40"/>
  <c r="D188" i="40"/>
  <c r="C188" i="40"/>
  <c r="B188" i="40"/>
  <c r="A188" i="40"/>
  <c r="X187" i="40"/>
  <c r="U187" i="40"/>
  <c r="S187" i="40"/>
  <c r="R187" i="40"/>
  <c r="M187" i="40"/>
  <c r="L187" i="40"/>
  <c r="AQ186" i="40"/>
  <c r="AP186" i="40"/>
  <c r="AO186" i="40"/>
  <c r="AN186" i="40"/>
  <c r="AM186" i="40"/>
  <c r="AL186" i="40"/>
  <c r="AK186" i="40"/>
  <c r="AJ186" i="40"/>
  <c r="AI186" i="40"/>
  <c r="AH186" i="40"/>
  <c r="AG186" i="40"/>
  <c r="AF186" i="40"/>
  <c r="AE186" i="40"/>
  <c r="AD186" i="40"/>
  <c r="AC186" i="40"/>
  <c r="AB186" i="40"/>
  <c r="AA186" i="40"/>
  <c r="Z186" i="40"/>
  <c r="Y186" i="40"/>
  <c r="Y185" i="40" s="1"/>
  <c r="X186" i="40"/>
  <c r="W186" i="40"/>
  <c r="U186" i="40"/>
  <c r="S186" i="40"/>
  <c r="S185" i="40" s="1"/>
  <c r="S184" i="40" s="1"/>
  <c r="R186" i="40"/>
  <c r="R185" i="40" s="1"/>
  <c r="R184" i="40" s="1"/>
  <c r="Q186" i="40"/>
  <c r="P186" i="40"/>
  <c r="O186" i="40"/>
  <c r="N186" i="40"/>
  <c r="M186" i="40"/>
  <c r="I186" i="40"/>
  <c r="H186" i="40"/>
  <c r="G186" i="40"/>
  <c r="F186" i="40"/>
  <c r="E186" i="40"/>
  <c r="D186" i="40"/>
  <c r="C186" i="40"/>
  <c r="B186" i="40"/>
  <c r="A186" i="40"/>
  <c r="Z185" i="40"/>
  <c r="X185" i="40"/>
  <c r="X184" i="40" s="1"/>
  <c r="U185" i="40"/>
  <c r="M185" i="40"/>
  <c r="L185" i="40"/>
  <c r="L184" i="40"/>
  <c r="K184" i="40"/>
  <c r="AQ183" i="40"/>
  <c r="AP183" i="40"/>
  <c r="AO183" i="40"/>
  <c r="AN183" i="40"/>
  <c r="AM183" i="40"/>
  <c r="AL183" i="40"/>
  <c r="AK183" i="40"/>
  <c r="AJ183" i="40"/>
  <c r="AI183" i="40"/>
  <c r="AH183" i="40"/>
  <c r="AG183" i="40"/>
  <c r="AF183" i="40"/>
  <c r="AE183" i="40"/>
  <c r="AD183" i="40"/>
  <c r="AC183" i="40"/>
  <c r="AB183" i="40"/>
  <c r="AA183" i="40"/>
  <c r="Z183" i="40"/>
  <c r="Y183" i="40"/>
  <c r="Y182" i="40" s="1"/>
  <c r="Y181" i="40" s="1"/>
  <c r="X183" i="40"/>
  <c r="X182" i="40" s="1"/>
  <c r="X181" i="40" s="1"/>
  <c r="W183" i="40"/>
  <c r="V183" i="40"/>
  <c r="V182" i="40" s="1"/>
  <c r="V181" i="40" s="1"/>
  <c r="U183" i="40"/>
  <c r="T183" i="40"/>
  <c r="S183" i="40"/>
  <c r="S182" i="40" s="1"/>
  <c r="S181" i="40" s="1"/>
  <c r="R183" i="40"/>
  <c r="R182" i="40" s="1"/>
  <c r="R181" i="40" s="1"/>
  <c r="Q183" i="40"/>
  <c r="P183" i="40"/>
  <c r="O183" i="40"/>
  <c r="N183" i="40"/>
  <c r="M183" i="40"/>
  <c r="I183" i="40"/>
  <c r="H183" i="40"/>
  <c r="G183" i="40"/>
  <c r="F183" i="40"/>
  <c r="E183" i="40"/>
  <c r="D183" i="40"/>
  <c r="C183" i="40"/>
  <c r="B183" i="40"/>
  <c r="A183" i="40"/>
  <c r="Z182" i="40"/>
  <c r="Z181" i="40" s="1"/>
  <c r="U182" i="40"/>
  <c r="T182" i="40"/>
  <c r="T181" i="40" s="1"/>
  <c r="M182" i="40"/>
  <c r="L182" i="40"/>
  <c r="U181" i="40"/>
  <c r="L181" i="40"/>
  <c r="K181" i="40"/>
  <c r="AQ180" i="40"/>
  <c r="AP180" i="40"/>
  <c r="AO180" i="40"/>
  <c r="AN180" i="40"/>
  <c r="AM180" i="40"/>
  <c r="AL180" i="40"/>
  <c r="AK180" i="40"/>
  <c r="AJ180" i="40"/>
  <c r="AI180" i="40"/>
  <c r="AH180" i="40"/>
  <c r="AG180" i="40"/>
  <c r="AF180" i="40"/>
  <c r="AE180" i="40"/>
  <c r="AD180" i="40"/>
  <c r="AC180" i="40"/>
  <c r="AB180" i="40"/>
  <c r="AA180" i="40"/>
  <c r="Z180" i="40"/>
  <c r="Y180" i="40"/>
  <c r="X180" i="40"/>
  <c r="W180" i="40"/>
  <c r="U180" i="40"/>
  <c r="T180" i="40"/>
  <c r="S180" i="40"/>
  <c r="R180" i="40"/>
  <c r="Q180" i="40"/>
  <c r="P180" i="40"/>
  <c r="N180" i="40"/>
  <c r="I180" i="40"/>
  <c r="H180" i="40"/>
  <c r="G180" i="40"/>
  <c r="F180" i="40"/>
  <c r="E180" i="40"/>
  <c r="D180" i="40"/>
  <c r="C180" i="40"/>
  <c r="B180" i="40"/>
  <c r="A180" i="40"/>
  <c r="AQ179" i="40"/>
  <c r="AP179" i="40"/>
  <c r="AO179" i="40"/>
  <c r="AN179" i="40"/>
  <c r="AM179" i="40"/>
  <c r="AL179" i="40"/>
  <c r="AK179" i="40"/>
  <c r="AJ179" i="40"/>
  <c r="AI179" i="40"/>
  <c r="AH179" i="40"/>
  <c r="AG179" i="40"/>
  <c r="AF179" i="40"/>
  <c r="AE179" i="40"/>
  <c r="AD179" i="40"/>
  <c r="AC179" i="40"/>
  <c r="AB179" i="40"/>
  <c r="AA179" i="40"/>
  <c r="Z179" i="40"/>
  <c r="Y179" i="40"/>
  <c r="X179" i="40"/>
  <c r="W179" i="40"/>
  <c r="U179" i="40"/>
  <c r="T179" i="40"/>
  <c r="S179" i="40"/>
  <c r="R179" i="40"/>
  <c r="Q179" i="40"/>
  <c r="P179" i="40"/>
  <c r="N179" i="40"/>
  <c r="I179" i="40"/>
  <c r="H179" i="40"/>
  <c r="G179" i="40"/>
  <c r="F179" i="40"/>
  <c r="E179" i="40"/>
  <c r="D179" i="40"/>
  <c r="C179" i="40"/>
  <c r="B179" i="40"/>
  <c r="A179" i="40"/>
  <c r="AQ178" i="40"/>
  <c r="AP178" i="40"/>
  <c r="AO178" i="40"/>
  <c r="AN178" i="40"/>
  <c r="AM178" i="40"/>
  <c r="AL178" i="40"/>
  <c r="AK178" i="40"/>
  <c r="AJ178" i="40"/>
  <c r="AI178" i="40"/>
  <c r="AH178" i="40"/>
  <c r="AG178" i="40"/>
  <c r="AF178" i="40"/>
  <c r="AE178" i="40"/>
  <c r="AD178" i="40"/>
  <c r="AC178" i="40"/>
  <c r="AB178" i="40"/>
  <c r="AA178" i="40"/>
  <c r="Z178" i="40"/>
  <c r="Y178" i="40"/>
  <c r="X178" i="40"/>
  <c r="W178" i="40"/>
  <c r="U178" i="40"/>
  <c r="T178" i="40"/>
  <c r="S178" i="40"/>
  <c r="R178" i="40"/>
  <c r="Q178" i="40"/>
  <c r="P178" i="40"/>
  <c r="N178" i="40"/>
  <c r="I178" i="40"/>
  <c r="H178" i="40"/>
  <c r="G178" i="40"/>
  <c r="F178" i="40"/>
  <c r="E178" i="40"/>
  <c r="D178" i="40"/>
  <c r="C178" i="40"/>
  <c r="B178" i="40"/>
  <c r="A178" i="40"/>
  <c r="AQ177" i="40"/>
  <c r="AP177" i="40"/>
  <c r="AO177" i="40"/>
  <c r="AN177" i="40"/>
  <c r="AM177" i="40"/>
  <c r="AL177" i="40"/>
  <c r="AK177" i="40"/>
  <c r="AJ177" i="40"/>
  <c r="AI177" i="40"/>
  <c r="AH177" i="40"/>
  <c r="AG177" i="40"/>
  <c r="AF177" i="40"/>
  <c r="AE177" i="40"/>
  <c r="AD177" i="40"/>
  <c r="AC177" i="40"/>
  <c r="AB177" i="40"/>
  <c r="AA177" i="40"/>
  <c r="Z177" i="40"/>
  <c r="Y177" i="40"/>
  <c r="X177" i="40"/>
  <c r="W177" i="40"/>
  <c r="U177" i="40"/>
  <c r="T177" i="40"/>
  <c r="S177" i="40"/>
  <c r="R177" i="40"/>
  <c r="Q177" i="40"/>
  <c r="P177" i="40"/>
  <c r="N177" i="40"/>
  <c r="I177" i="40"/>
  <c r="H177" i="40"/>
  <c r="G177" i="40"/>
  <c r="F177" i="40"/>
  <c r="E177" i="40"/>
  <c r="D177" i="40"/>
  <c r="C177" i="40"/>
  <c r="B177" i="40"/>
  <c r="A177" i="40"/>
  <c r="AQ176" i="40"/>
  <c r="AP176" i="40"/>
  <c r="AO176" i="40"/>
  <c r="AN176" i="40"/>
  <c r="AM176" i="40"/>
  <c r="AL176" i="40"/>
  <c r="AK176" i="40"/>
  <c r="AJ176" i="40"/>
  <c r="AI176" i="40"/>
  <c r="AH176" i="40"/>
  <c r="AG176" i="40"/>
  <c r="AF176" i="40"/>
  <c r="AE176" i="40"/>
  <c r="AD176" i="40"/>
  <c r="AC176" i="40"/>
  <c r="AB176" i="40"/>
  <c r="AA176" i="40"/>
  <c r="Z176" i="40"/>
  <c r="Y176" i="40"/>
  <c r="X176" i="40"/>
  <c r="W176" i="40"/>
  <c r="U176" i="40"/>
  <c r="T176" i="40"/>
  <c r="S176" i="40"/>
  <c r="R176" i="40"/>
  <c r="Q176" i="40"/>
  <c r="P176" i="40"/>
  <c r="N176" i="40"/>
  <c r="I176" i="40"/>
  <c r="H176" i="40"/>
  <c r="G176" i="40"/>
  <c r="F176" i="40"/>
  <c r="E176" i="40"/>
  <c r="D176" i="40"/>
  <c r="C176" i="40"/>
  <c r="B176" i="40"/>
  <c r="A176" i="40"/>
  <c r="AQ175" i="40"/>
  <c r="AP175" i="40"/>
  <c r="AO175" i="40"/>
  <c r="AN175" i="40"/>
  <c r="AM175" i="40"/>
  <c r="AL175" i="40"/>
  <c r="AK175" i="40"/>
  <c r="AJ175" i="40"/>
  <c r="AI175" i="40"/>
  <c r="AH175" i="40"/>
  <c r="AG175" i="40"/>
  <c r="AF175" i="40"/>
  <c r="AE175" i="40"/>
  <c r="AD175" i="40"/>
  <c r="AC175" i="40"/>
  <c r="AB175" i="40"/>
  <c r="AA175" i="40"/>
  <c r="Z175" i="40"/>
  <c r="Y175" i="40"/>
  <c r="X175" i="40"/>
  <c r="W175" i="40"/>
  <c r="U175" i="40"/>
  <c r="T175" i="40"/>
  <c r="S175" i="40"/>
  <c r="R175" i="40"/>
  <c r="Q175" i="40"/>
  <c r="P175" i="40"/>
  <c r="N175" i="40"/>
  <c r="I175" i="40"/>
  <c r="H175" i="40"/>
  <c r="G175" i="40"/>
  <c r="F175" i="40"/>
  <c r="E175" i="40"/>
  <c r="D175" i="40"/>
  <c r="C175" i="40"/>
  <c r="B175" i="40"/>
  <c r="A175" i="40"/>
  <c r="AQ174" i="40"/>
  <c r="AP174" i="40"/>
  <c r="AO174" i="40"/>
  <c r="AN174" i="40"/>
  <c r="AM174" i="40"/>
  <c r="AL174" i="40"/>
  <c r="AK174" i="40"/>
  <c r="AJ174" i="40"/>
  <c r="AI174" i="40"/>
  <c r="AH174" i="40"/>
  <c r="AG174" i="40"/>
  <c r="AF174" i="40"/>
  <c r="AE174" i="40"/>
  <c r="AD174" i="40"/>
  <c r="AC174" i="40"/>
  <c r="AB174" i="40"/>
  <c r="AA174" i="40"/>
  <c r="X174" i="40"/>
  <c r="W174" i="40"/>
  <c r="Q174" i="40"/>
  <c r="P174" i="40"/>
  <c r="O174" i="40"/>
  <c r="N174" i="40"/>
  <c r="M174" i="40"/>
  <c r="I174" i="40"/>
  <c r="H174" i="40"/>
  <c r="G174" i="40"/>
  <c r="F174" i="40"/>
  <c r="E174" i="40"/>
  <c r="D174" i="40"/>
  <c r="C174" i="40"/>
  <c r="B174" i="40"/>
  <c r="A174" i="40"/>
  <c r="X173" i="40"/>
  <c r="M173" i="40"/>
  <c r="L173" i="40"/>
  <c r="X172" i="40"/>
  <c r="L172" i="40"/>
  <c r="K172" i="40"/>
  <c r="AQ171" i="40"/>
  <c r="AP171" i="40"/>
  <c r="AO171" i="40"/>
  <c r="AN171" i="40"/>
  <c r="AM171" i="40"/>
  <c r="AL171" i="40"/>
  <c r="AK171" i="40"/>
  <c r="AJ171" i="40"/>
  <c r="AI171" i="40"/>
  <c r="AH171" i="40"/>
  <c r="AG171" i="40"/>
  <c r="AF171" i="40"/>
  <c r="AE171" i="40"/>
  <c r="AD171" i="40"/>
  <c r="AC171" i="40"/>
  <c r="AB171" i="40"/>
  <c r="AA171" i="40"/>
  <c r="Z171" i="40"/>
  <c r="Y171" i="40"/>
  <c r="X171" i="40"/>
  <c r="W171" i="40"/>
  <c r="U171" i="40"/>
  <c r="T171" i="40"/>
  <c r="S171" i="40"/>
  <c r="R171" i="40"/>
  <c r="Q171" i="40"/>
  <c r="P171" i="40"/>
  <c r="N171" i="40"/>
  <c r="I171" i="40"/>
  <c r="H171" i="40"/>
  <c r="G171" i="40"/>
  <c r="F171" i="40"/>
  <c r="E171" i="40"/>
  <c r="D171" i="40"/>
  <c r="C171" i="40"/>
  <c r="B171" i="40"/>
  <c r="A171" i="40"/>
  <c r="AQ170" i="40"/>
  <c r="AP170" i="40"/>
  <c r="AO170" i="40"/>
  <c r="AN170" i="40"/>
  <c r="AM170" i="40"/>
  <c r="AL170" i="40"/>
  <c r="AK170" i="40"/>
  <c r="AJ170" i="40"/>
  <c r="AI170" i="40"/>
  <c r="AH170" i="40"/>
  <c r="AG170" i="40"/>
  <c r="AF170" i="40"/>
  <c r="AE170" i="40"/>
  <c r="AD170" i="40"/>
  <c r="AC170" i="40"/>
  <c r="AB170" i="40"/>
  <c r="AA170" i="40"/>
  <c r="Z170" i="40"/>
  <c r="Y170" i="40"/>
  <c r="X170" i="40"/>
  <c r="W170" i="40"/>
  <c r="U170" i="40"/>
  <c r="T170" i="40"/>
  <c r="S170" i="40"/>
  <c r="R170" i="40"/>
  <c r="Q170" i="40"/>
  <c r="P170" i="40"/>
  <c r="N170" i="40"/>
  <c r="I170" i="40"/>
  <c r="H170" i="40"/>
  <c r="G170" i="40"/>
  <c r="F170" i="40"/>
  <c r="E170" i="40"/>
  <c r="D170" i="40"/>
  <c r="C170" i="40"/>
  <c r="B170" i="40"/>
  <c r="A170" i="40"/>
  <c r="AQ169" i="40"/>
  <c r="AP169" i="40"/>
  <c r="AO169" i="40"/>
  <c r="AN169" i="40"/>
  <c r="AM169" i="40"/>
  <c r="AL169" i="40"/>
  <c r="AK169" i="40"/>
  <c r="AJ169" i="40"/>
  <c r="AI169" i="40"/>
  <c r="AH169" i="40"/>
  <c r="AG169" i="40"/>
  <c r="AF169" i="40"/>
  <c r="AE169" i="40"/>
  <c r="AD169" i="40"/>
  <c r="AC169" i="40"/>
  <c r="AB169" i="40"/>
  <c r="AA169" i="40"/>
  <c r="Z169" i="40"/>
  <c r="Y169" i="40"/>
  <c r="X169" i="40"/>
  <c r="W169" i="40"/>
  <c r="U169" i="40"/>
  <c r="T169" i="40"/>
  <c r="S169" i="40"/>
  <c r="R169" i="40"/>
  <c r="Q169" i="40"/>
  <c r="P169" i="40"/>
  <c r="N169" i="40"/>
  <c r="I169" i="40"/>
  <c r="H169" i="40"/>
  <c r="G169" i="40"/>
  <c r="F169" i="40"/>
  <c r="E169" i="40"/>
  <c r="D169" i="40"/>
  <c r="C169" i="40"/>
  <c r="B169" i="40"/>
  <c r="A169" i="40"/>
  <c r="AQ168" i="40"/>
  <c r="AP168" i="40"/>
  <c r="AO168" i="40"/>
  <c r="AN168" i="40"/>
  <c r="AM168" i="40"/>
  <c r="AL168" i="40"/>
  <c r="AK168" i="40"/>
  <c r="AJ168" i="40"/>
  <c r="AI168" i="40"/>
  <c r="AH168" i="40"/>
  <c r="AG168" i="40"/>
  <c r="AF168" i="40"/>
  <c r="AE168" i="40"/>
  <c r="AD168" i="40"/>
  <c r="AC168" i="40"/>
  <c r="AB168" i="40"/>
  <c r="AA168" i="40"/>
  <c r="Z168" i="40"/>
  <c r="Y168" i="40"/>
  <c r="X168" i="40"/>
  <c r="W168" i="40"/>
  <c r="U168" i="40"/>
  <c r="T168" i="40"/>
  <c r="S168" i="40"/>
  <c r="R168" i="40"/>
  <c r="Q168" i="40"/>
  <c r="P168" i="40"/>
  <c r="N168" i="40"/>
  <c r="I168" i="40"/>
  <c r="H168" i="40"/>
  <c r="G168" i="40"/>
  <c r="F168" i="40"/>
  <c r="E168" i="40"/>
  <c r="D168" i="40"/>
  <c r="C168" i="40"/>
  <c r="B168" i="40"/>
  <c r="A168" i="40"/>
  <c r="AQ167" i="40"/>
  <c r="AP167" i="40"/>
  <c r="AO167" i="40"/>
  <c r="AN167" i="40"/>
  <c r="AM167" i="40"/>
  <c r="AL167" i="40"/>
  <c r="AK167" i="40"/>
  <c r="AJ167" i="40"/>
  <c r="AI167" i="40"/>
  <c r="AH167" i="40"/>
  <c r="AG167" i="40"/>
  <c r="AF167" i="40"/>
  <c r="AE167" i="40"/>
  <c r="AD167" i="40"/>
  <c r="AC167" i="40"/>
  <c r="AB167" i="40"/>
  <c r="AA167" i="40"/>
  <c r="Z167" i="40"/>
  <c r="Y167" i="40"/>
  <c r="X167" i="40"/>
  <c r="W167" i="40"/>
  <c r="U167" i="40"/>
  <c r="T167" i="40"/>
  <c r="S167" i="40"/>
  <c r="R167" i="40"/>
  <c r="Q167" i="40"/>
  <c r="P167" i="40"/>
  <c r="N167" i="40"/>
  <c r="I167" i="40"/>
  <c r="H167" i="40"/>
  <c r="G167" i="40"/>
  <c r="F167" i="40"/>
  <c r="E167" i="40"/>
  <c r="D167" i="40"/>
  <c r="C167" i="40"/>
  <c r="B167" i="40"/>
  <c r="A167" i="40"/>
  <c r="AQ166" i="40"/>
  <c r="AP166" i="40"/>
  <c r="AO166" i="40"/>
  <c r="AN166" i="40"/>
  <c r="AM166" i="40"/>
  <c r="AL166" i="40"/>
  <c r="AK166" i="40"/>
  <c r="AJ166" i="40"/>
  <c r="AI166" i="40"/>
  <c r="AH166" i="40"/>
  <c r="AG166" i="40"/>
  <c r="AF166" i="40"/>
  <c r="AE166" i="40"/>
  <c r="AD166" i="40"/>
  <c r="AC166" i="40"/>
  <c r="AB166" i="40"/>
  <c r="AA166" i="40"/>
  <c r="Z166" i="40"/>
  <c r="Y166" i="40"/>
  <c r="X166" i="40"/>
  <c r="W166" i="40"/>
  <c r="U166" i="40"/>
  <c r="T166" i="40"/>
  <c r="S166" i="40"/>
  <c r="R166" i="40"/>
  <c r="Q166" i="40"/>
  <c r="P166" i="40"/>
  <c r="N166" i="40"/>
  <c r="I166" i="40"/>
  <c r="H166" i="40"/>
  <c r="G166" i="40"/>
  <c r="F166" i="40"/>
  <c r="E166" i="40"/>
  <c r="D166" i="40"/>
  <c r="C166" i="40"/>
  <c r="B166" i="40"/>
  <c r="A166" i="40"/>
  <c r="AQ165" i="40"/>
  <c r="AP165" i="40"/>
  <c r="AO165" i="40"/>
  <c r="AN165" i="40"/>
  <c r="AM165" i="40"/>
  <c r="AL165" i="40"/>
  <c r="AK165" i="40"/>
  <c r="AJ165" i="40"/>
  <c r="AI165" i="40"/>
  <c r="AH165" i="40"/>
  <c r="AG165" i="40"/>
  <c r="AF165" i="40"/>
  <c r="AE165" i="40"/>
  <c r="AD165" i="40"/>
  <c r="AC165" i="40"/>
  <c r="AB165" i="40"/>
  <c r="AA165" i="40"/>
  <c r="Z165" i="40"/>
  <c r="Y165" i="40"/>
  <c r="X165" i="40"/>
  <c r="W165" i="40"/>
  <c r="U165" i="40"/>
  <c r="T165" i="40"/>
  <c r="S165" i="40"/>
  <c r="R165" i="40"/>
  <c r="Q165" i="40"/>
  <c r="P165" i="40"/>
  <c r="N165" i="40"/>
  <c r="I165" i="40"/>
  <c r="H165" i="40"/>
  <c r="G165" i="40"/>
  <c r="F165" i="40"/>
  <c r="E165" i="40"/>
  <c r="D165" i="40"/>
  <c r="C165" i="40"/>
  <c r="B165" i="40"/>
  <c r="A165" i="40"/>
  <c r="AQ164" i="40"/>
  <c r="AP164" i="40"/>
  <c r="AO164" i="40"/>
  <c r="AN164" i="40"/>
  <c r="AM164" i="40"/>
  <c r="AL164" i="40"/>
  <c r="AK164" i="40"/>
  <c r="AJ164" i="40"/>
  <c r="AI164" i="40"/>
  <c r="AH164" i="40"/>
  <c r="AG164" i="40"/>
  <c r="AF164" i="40"/>
  <c r="AE164" i="40"/>
  <c r="AD164" i="40"/>
  <c r="AC164" i="40"/>
  <c r="AB164" i="40"/>
  <c r="AA164" i="40"/>
  <c r="X164" i="40"/>
  <c r="W164" i="40"/>
  <c r="Q164" i="40"/>
  <c r="P164" i="40"/>
  <c r="O164" i="40"/>
  <c r="N164" i="40"/>
  <c r="M164" i="40"/>
  <c r="I164" i="40"/>
  <c r="H164" i="40"/>
  <c r="G164" i="40"/>
  <c r="F164" i="40"/>
  <c r="E164" i="40"/>
  <c r="D164" i="40"/>
  <c r="C164" i="40"/>
  <c r="B164" i="40"/>
  <c r="A164" i="40"/>
  <c r="X163" i="40"/>
  <c r="X162" i="40" s="1"/>
  <c r="X161" i="40" s="1"/>
  <c r="M163" i="40"/>
  <c r="L163" i="40"/>
  <c r="L162" i="40"/>
  <c r="K162" i="40"/>
  <c r="K161" i="40"/>
  <c r="J161" i="40"/>
  <c r="AQ160" i="40"/>
  <c r="AP160" i="40"/>
  <c r="AO160" i="40"/>
  <c r="AN160" i="40"/>
  <c r="AM160" i="40"/>
  <c r="AL160" i="40"/>
  <c r="AK160" i="40"/>
  <c r="AJ160" i="40"/>
  <c r="AI160" i="40"/>
  <c r="AH160" i="40"/>
  <c r="AG160" i="40"/>
  <c r="AF160" i="40"/>
  <c r="AE160" i="40"/>
  <c r="AD160" i="40"/>
  <c r="AC160" i="40"/>
  <c r="AB160" i="40"/>
  <c r="AA160" i="40"/>
  <c r="Z160" i="40"/>
  <c r="Y160" i="40"/>
  <c r="X160" i="40"/>
  <c r="W160" i="40"/>
  <c r="U160" i="40"/>
  <c r="T160" i="40"/>
  <c r="S160" i="40"/>
  <c r="R160" i="40"/>
  <c r="Q160" i="40"/>
  <c r="P160" i="40"/>
  <c r="O160" i="40"/>
  <c r="N160" i="40"/>
  <c r="M160" i="40"/>
  <c r="I160" i="40"/>
  <c r="H160" i="40"/>
  <c r="G160" i="40"/>
  <c r="F160" i="40"/>
  <c r="E160" i="40"/>
  <c r="D160" i="40"/>
  <c r="C160" i="40"/>
  <c r="B160" i="40"/>
  <c r="A160" i="40"/>
  <c r="AQ159" i="40"/>
  <c r="AP159" i="40"/>
  <c r="AO159" i="40"/>
  <c r="AN159" i="40"/>
  <c r="AM159" i="40"/>
  <c r="AL159" i="40"/>
  <c r="AK159" i="40"/>
  <c r="AJ159" i="40"/>
  <c r="AI159" i="40"/>
  <c r="AH159" i="40"/>
  <c r="AG159" i="40"/>
  <c r="AF159" i="40"/>
  <c r="AE159" i="40"/>
  <c r="AD159" i="40"/>
  <c r="AC159" i="40"/>
  <c r="AB159" i="40"/>
  <c r="AA159" i="40"/>
  <c r="Y159" i="40"/>
  <c r="X159" i="40"/>
  <c r="W159" i="40"/>
  <c r="U159" i="40"/>
  <c r="T159" i="40"/>
  <c r="S159" i="40"/>
  <c r="R159" i="40"/>
  <c r="Q159" i="40"/>
  <c r="P159" i="40"/>
  <c r="O159" i="40"/>
  <c r="N159" i="40"/>
  <c r="M159" i="40"/>
  <c r="I159" i="40"/>
  <c r="H159" i="40"/>
  <c r="G159" i="40"/>
  <c r="F159" i="40"/>
  <c r="E159" i="40"/>
  <c r="D159" i="40"/>
  <c r="C159" i="40"/>
  <c r="B159" i="40"/>
  <c r="A159" i="40"/>
  <c r="AQ158" i="40"/>
  <c r="AP158" i="40"/>
  <c r="AO158" i="40"/>
  <c r="AN158" i="40"/>
  <c r="AM158" i="40"/>
  <c r="AL158" i="40"/>
  <c r="AK158" i="40"/>
  <c r="AJ158" i="40"/>
  <c r="AI158" i="40"/>
  <c r="AH158" i="40"/>
  <c r="AG158" i="40"/>
  <c r="AF158" i="40"/>
  <c r="AE158" i="40"/>
  <c r="AD158" i="40"/>
  <c r="AC158" i="40"/>
  <c r="AB158" i="40"/>
  <c r="AA158" i="40"/>
  <c r="Z158" i="40"/>
  <c r="Y158" i="40"/>
  <c r="X158" i="40"/>
  <c r="W158" i="40"/>
  <c r="U158" i="40"/>
  <c r="T158" i="40"/>
  <c r="S158" i="40"/>
  <c r="R158" i="40"/>
  <c r="Q158" i="40"/>
  <c r="P158" i="40"/>
  <c r="O158" i="40"/>
  <c r="N158" i="40"/>
  <c r="M158" i="40"/>
  <c r="I158" i="40"/>
  <c r="H158" i="40"/>
  <c r="G158" i="40"/>
  <c r="F158" i="40"/>
  <c r="E158" i="40"/>
  <c r="D158" i="40"/>
  <c r="C158" i="40"/>
  <c r="B158" i="40"/>
  <c r="A158" i="40"/>
  <c r="AQ157" i="40"/>
  <c r="AP157" i="40"/>
  <c r="AO157" i="40"/>
  <c r="AN157" i="40"/>
  <c r="AM157" i="40"/>
  <c r="AL157" i="40"/>
  <c r="AK157" i="40"/>
  <c r="AJ157" i="40"/>
  <c r="AI157" i="40"/>
  <c r="AH157" i="40"/>
  <c r="AG157" i="40"/>
  <c r="AF157" i="40"/>
  <c r="AE157" i="40"/>
  <c r="AD157" i="40"/>
  <c r="AC157" i="40"/>
  <c r="AB157" i="40"/>
  <c r="AA157" i="40"/>
  <c r="Z157" i="40"/>
  <c r="X157" i="40"/>
  <c r="W157" i="40"/>
  <c r="U157" i="40"/>
  <c r="T157" i="40"/>
  <c r="S157" i="40"/>
  <c r="R157" i="40"/>
  <c r="Q157" i="40"/>
  <c r="P157" i="40"/>
  <c r="O157" i="40"/>
  <c r="N157" i="40"/>
  <c r="M157" i="40"/>
  <c r="I157" i="40"/>
  <c r="H157" i="40"/>
  <c r="G157" i="40"/>
  <c r="F157" i="40"/>
  <c r="E157" i="40"/>
  <c r="D157" i="40"/>
  <c r="C157" i="40"/>
  <c r="B157" i="40"/>
  <c r="A157" i="40"/>
  <c r="AQ156" i="40"/>
  <c r="AP156" i="40"/>
  <c r="AO156" i="40"/>
  <c r="AN156" i="40"/>
  <c r="AM156" i="40"/>
  <c r="AL156" i="40"/>
  <c r="AK156" i="40"/>
  <c r="AJ156" i="40"/>
  <c r="AI156" i="40"/>
  <c r="AH156" i="40"/>
  <c r="AG156" i="40"/>
  <c r="AF156" i="40"/>
  <c r="AE156" i="40"/>
  <c r="AD156" i="40"/>
  <c r="AC156" i="40"/>
  <c r="AB156" i="40"/>
  <c r="AA156" i="40"/>
  <c r="Z156" i="40"/>
  <c r="X156" i="40"/>
  <c r="W156" i="40"/>
  <c r="U156" i="40"/>
  <c r="T156" i="40"/>
  <c r="S156" i="40"/>
  <c r="R156" i="40"/>
  <c r="Q156" i="40"/>
  <c r="P156" i="40"/>
  <c r="O156" i="40"/>
  <c r="N156" i="40"/>
  <c r="M156" i="40"/>
  <c r="I156" i="40"/>
  <c r="H156" i="40"/>
  <c r="G156" i="40"/>
  <c r="F156" i="40"/>
  <c r="E156" i="40"/>
  <c r="D156" i="40"/>
  <c r="C156" i="40"/>
  <c r="B156" i="40"/>
  <c r="A156" i="40"/>
  <c r="AQ155" i="40"/>
  <c r="AP155" i="40"/>
  <c r="AO155" i="40"/>
  <c r="AN155" i="40"/>
  <c r="AM155" i="40"/>
  <c r="AL155" i="40"/>
  <c r="AK155" i="40"/>
  <c r="AJ155" i="40"/>
  <c r="AI155" i="40"/>
  <c r="AH155" i="40"/>
  <c r="AG155" i="40"/>
  <c r="AF155" i="40"/>
  <c r="AE155" i="40"/>
  <c r="AD155" i="40"/>
  <c r="AC155" i="40"/>
  <c r="AB155" i="40"/>
  <c r="AA155" i="40"/>
  <c r="Z155" i="40"/>
  <c r="X155" i="40"/>
  <c r="W155" i="40"/>
  <c r="U155" i="40"/>
  <c r="T155" i="40"/>
  <c r="S155" i="40"/>
  <c r="R155" i="40"/>
  <c r="Q155" i="40"/>
  <c r="P155" i="40"/>
  <c r="O155" i="40"/>
  <c r="N155" i="40"/>
  <c r="M155" i="40"/>
  <c r="I155" i="40"/>
  <c r="H155" i="40"/>
  <c r="G155" i="40"/>
  <c r="F155" i="40"/>
  <c r="E155" i="40"/>
  <c r="D155" i="40"/>
  <c r="C155" i="40"/>
  <c r="B155" i="40"/>
  <c r="A155" i="40"/>
  <c r="AQ154" i="40"/>
  <c r="AP154" i="40"/>
  <c r="AO154" i="40"/>
  <c r="AN154" i="40"/>
  <c r="AM154" i="40"/>
  <c r="AL154" i="40"/>
  <c r="AK154" i="40"/>
  <c r="AJ154" i="40"/>
  <c r="AI154" i="40"/>
  <c r="AH154" i="40"/>
  <c r="AG154" i="40"/>
  <c r="AF154" i="40"/>
  <c r="AE154" i="40"/>
  <c r="AD154" i="40"/>
  <c r="AC154" i="40"/>
  <c r="AB154" i="40"/>
  <c r="AA154" i="40"/>
  <c r="Z154" i="40"/>
  <c r="Y154" i="40"/>
  <c r="X154" i="40"/>
  <c r="W154" i="40"/>
  <c r="U154" i="40"/>
  <c r="T154" i="40"/>
  <c r="S154" i="40"/>
  <c r="R154" i="40"/>
  <c r="Q154" i="40"/>
  <c r="P154" i="40"/>
  <c r="O154" i="40"/>
  <c r="N154" i="40"/>
  <c r="I154" i="40"/>
  <c r="H154" i="40"/>
  <c r="G154" i="40"/>
  <c r="F154" i="40"/>
  <c r="E154" i="40"/>
  <c r="D154" i="40"/>
  <c r="C154" i="40"/>
  <c r="B154" i="40"/>
  <c r="A154" i="40"/>
  <c r="AQ153" i="40"/>
  <c r="AP153" i="40"/>
  <c r="AO153" i="40"/>
  <c r="AN153" i="40"/>
  <c r="AM153" i="40"/>
  <c r="AL153" i="40"/>
  <c r="AK153" i="40"/>
  <c r="AJ153" i="40"/>
  <c r="AI153" i="40"/>
  <c r="AH153" i="40"/>
  <c r="AG153" i="40"/>
  <c r="AF153" i="40"/>
  <c r="AE153" i="40"/>
  <c r="AD153" i="40"/>
  <c r="AC153" i="40"/>
  <c r="AB153" i="40"/>
  <c r="AA153" i="40"/>
  <c r="Z153" i="40"/>
  <c r="Y153" i="40"/>
  <c r="X153" i="40"/>
  <c r="W153" i="40"/>
  <c r="U153" i="40"/>
  <c r="T153" i="40"/>
  <c r="S153" i="40"/>
  <c r="R153" i="40"/>
  <c r="Q153" i="40"/>
  <c r="P153" i="40"/>
  <c r="O153" i="40"/>
  <c r="N153" i="40"/>
  <c r="I153" i="40"/>
  <c r="H153" i="40"/>
  <c r="G153" i="40"/>
  <c r="F153" i="40"/>
  <c r="E153" i="40"/>
  <c r="D153" i="40"/>
  <c r="C153" i="40"/>
  <c r="B153" i="40"/>
  <c r="A153" i="40"/>
  <c r="AQ152" i="40"/>
  <c r="AP152" i="40"/>
  <c r="AO152" i="40"/>
  <c r="AN152" i="40"/>
  <c r="AM152" i="40"/>
  <c r="AL152" i="40"/>
  <c r="AK152" i="40"/>
  <c r="AJ152" i="40"/>
  <c r="AI152" i="40"/>
  <c r="AH152" i="40"/>
  <c r="AG152" i="40"/>
  <c r="AF152" i="40"/>
  <c r="AE152" i="40"/>
  <c r="AD152" i="40"/>
  <c r="AC152" i="40"/>
  <c r="AB152" i="40"/>
  <c r="AA152" i="40"/>
  <c r="X152" i="40"/>
  <c r="W152" i="40"/>
  <c r="Q152" i="40"/>
  <c r="P152" i="40"/>
  <c r="O152" i="40"/>
  <c r="N152" i="40"/>
  <c r="M152" i="40"/>
  <c r="I152" i="40"/>
  <c r="H152" i="40"/>
  <c r="G152" i="40"/>
  <c r="F152" i="40"/>
  <c r="E152" i="40"/>
  <c r="D152" i="40"/>
  <c r="C152" i="40"/>
  <c r="B152" i="40"/>
  <c r="A152" i="40"/>
  <c r="AQ151" i="40"/>
  <c r="AP151" i="40"/>
  <c r="AO151" i="40"/>
  <c r="AN151" i="40"/>
  <c r="AM151" i="40"/>
  <c r="AL151" i="40"/>
  <c r="AK151" i="40"/>
  <c r="AJ151" i="40"/>
  <c r="AI151" i="40"/>
  <c r="AH151" i="40"/>
  <c r="AG151" i="40"/>
  <c r="AF151" i="40"/>
  <c r="AE151" i="40"/>
  <c r="AD151" i="40"/>
  <c r="AC151" i="40"/>
  <c r="AB151" i="40"/>
  <c r="AA151" i="40"/>
  <c r="Z151" i="40"/>
  <c r="Y151" i="40"/>
  <c r="X151" i="40"/>
  <c r="W151" i="40"/>
  <c r="U151" i="40"/>
  <c r="T151" i="40"/>
  <c r="S151" i="40"/>
  <c r="R151" i="40"/>
  <c r="Q151" i="40"/>
  <c r="P151" i="40"/>
  <c r="O151" i="40"/>
  <c r="N151" i="40"/>
  <c r="I151" i="40"/>
  <c r="H151" i="40"/>
  <c r="G151" i="40"/>
  <c r="F151" i="40"/>
  <c r="E151" i="40"/>
  <c r="D151" i="40"/>
  <c r="C151" i="40"/>
  <c r="B151" i="40"/>
  <c r="A151" i="40"/>
  <c r="AQ150" i="40"/>
  <c r="AP150" i="40"/>
  <c r="AO150" i="40"/>
  <c r="AN150" i="40"/>
  <c r="AM150" i="40"/>
  <c r="AL150" i="40"/>
  <c r="AK150" i="40"/>
  <c r="AJ150" i="40"/>
  <c r="AI150" i="40"/>
  <c r="AH150" i="40"/>
  <c r="AG150" i="40"/>
  <c r="AF150" i="40"/>
  <c r="AE150" i="40"/>
  <c r="AD150" i="40"/>
  <c r="AC150" i="40"/>
  <c r="AB150" i="40"/>
  <c r="AA150" i="40"/>
  <c r="Z150" i="40"/>
  <c r="Y150" i="40"/>
  <c r="X150" i="40"/>
  <c r="W150" i="40"/>
  <c r="U150" i="40"/>
  <c r="T150" i="40"/>
  <c r="S150" i="40"/>
  <c r="R150" i="40"/>
  <c r="Q150" i="40"/>
  <c r="P150" i="40"/>
  <c r="O150" i="40"/>
  <c r="N150" i="40"/>
  <c r="I150" i="40"/>
  <c r="H150" i="40"/>
  <c r="G150" i="40"/>
  <c r="F150" i="40"/>
  <c r="E150" i="40"/>
  <c r="D150" i="40"/>
  <c r="C150" i="40"/>
  <c r="B150" i="40"/>
  <c r="A150" i="40"/>
  <c r="AQ149" i="40"/>
  <c r="AP149" i="40"/>
  <c r="AO149" i="40"/>
  <c r="AN149" i="40"/>
  <c r="AM149" i="40"/>
  <c r="AL149" i="40"/>
  <c r="AK149" i="40"/>
  <c r="AJ149" i="40"/>
  <c r="AI149" i="40"/>
  <c r="AH149" i="40"/>
  <c r="AG149" i="40"/>
  <c r="AF149" i="40"/>
  <c r="AE149" i="40"/>
  <c r="AD149" i="40"/>
  <c r="AC149" i="40"/>
  <c r="AB149" i="40"/>
  <c r="AA149" i="40"/>
  <c r="X149" i="40"/>
  <c r="W149" i="40"/>
  <c r="Q149" i="40"/>
  <c r="P149" i="40"/>
  <c r="O149" i="40"/>
  <c r="N149" i="40"/>
  <c r="M149" i="40"/>
  <c r="I149" i="40"/>
  <c r="H149" i="40"/>
  <c r="G149" i="40"/>
  <c r="F149" i="40"/>
  <c r="E149" i="40"/>
  <c r="D149" i="40"/>
  <c r="C149" i="40"/>
  <c r="B149" i="40"/>
  <c r="A149" i="40"/>
  <c r="X148" i="40"/>
  <c r="X147" i="40" s="1"/>
  <c r="M148" i="40"/>
  <c r="L148" i="40"/>
  <c r="L147" i="40"/>
  <c r="K147" i="40"/>
  <c r="AQ146" i="40"/>
  <c r="AP146" i="40"/>
  <c r="AO146" i="40"/>
  <c r="AN146" i="40"/>
  <c r="AM146" i="40"/>
  <c r="AL146" i="40"/>
  <c r="AK146" i="40"/>
  <c r="AJ146" i="40"/>
  <c r="AI146" i="40"/>
  <c r="AH146" i="40"/>
  <c r="AG146" i="40"/>
  <c r="AF146" i="40"/>
  <c r="AE146" i="40"/>
  <c r="AD146" i="40"/>
  <c r="AC146" i="40"/>
  <c r="AB146" i="40"/>
  <c r="AA146" i="40"/>
  <c r="X146" i="40"/>
  <c r="W146" i="40"/>
  <c r="U146" i="40"/>
  <c r="T146" i="40"/>
  <c r="S146" i="40"/>
  <c r="S145" i="40" s="1"/>
  <c r="S144" i="40" s="1"/>
  <c r="R146" i="40"/>
  <c r="R145" i="40" s="1"/>
  <c r="R144" i="40" s="1"/>
  <c r="Q146" i="40"/>
  <c r="P146" i="40"/>
  <c r="O146" i="40"/>
  <c r="N146" i="40"/>
  <c r="M146" i="40"/>
  <c r="I146" i="40"/>
  <c r="H146" i="40"/>
  <c r="G146" i="40"/>
  <c r="F146" i="40"/>
  <c r="E146" i="40"/>
  <c r="D146" i="40"/>
  <c r="C146" i="40"/>
  <c r="B146" i="40"/>
  <c r="A146" i="40"/>
  <c r="X145" i="40"/>
  <c r="X144" i="40" s="1"/>
  <c r="U145" i="40"/>
  <c r="U144" i="40" s="1"/>
  <c r="T145" i="40"/>
  <c r="M145" i="40"/>
  <c r="L145" i="40"/>
  <c r="T144" i="40"/>
  <c r="L144" i="40"/>
  <c r="K144" i="40"/>
  <c r="AQ143" i="40"/>
  <c r="AP143" i="40"/>
  <c r="AO143" i="40"/>
  <c r="AN143" i="40"/>
  <c r="AM143" i="40"/>
  <c r="AL143" i="40"/>
  <c r="AK143" i="40"/>
  <c r="AJ143" i="40"/>
  <c r="AI143" i="40"/>
  <c r="AH143" i="40"/>
  <c r="AG143" i="40"/>
  <c r="AF143" i="40"/>
  <c r="AE143" i="40"/>
  <c r="AD143" i="40"/>
  <c r="AC143" i="40"/>
  <c r="AB143" i="40"/>
  <c r="AA143" i="40"/>
  <c r="Y143" i="40"/>
  <c r="X143" i="40"/>
  <c r="W143" i="40"/>
  <c r="U143" i="40"/>
  <c r="T143" i="40"/>
  <c r="S143" i="40"/>
  <c r="R143" i="40"/>
  <c r="Q143" i="40"/>
  <c r="P143" i="40"/>
  <c r="O143" i="40"/>
  <c r="N143" i="40"/>
  <c r="M143" i="40"/>
  <c r="I143" i="40"/>
  <c r="H143" i="40"/>
  <c r="G143" i="40"/>
  <c r="F143" i="40"/>
  <c r="E143" i="40"/>
  <c r="D143" i="40"/>
  <c r="C143" i="40"/>
  <c r="B143" i="40"/>
  <c r="A143" i="40"/>
  <c r="AQ142" i="40"/>
  <c r="AP142" i="40"/>
  <c r="AO142" i="40"/>
  <c r="AN142" i="40"/>
  <c r="AM142" i="40"/>
  <c r="AL142" i="40"/>
  <c r="AK142" i="40"/>
  <c r="AJ142" i="40"/>
  <c r="AI142" i="40"/>
  <c r="AH142" i="40"/>
  <c r="AG142" i="40"/>
  <c r="AF142" i="40"/>
  <c r="AE142" i="40"/>
  <c r="AD142" i="40"/>
  <c r="AC142" i="40"/>
  <c r="AB142" i="40"/>
  <c r="AA142" i="40"/>
  <c r="Z142" i="40"/>
  <c r="X142" i="40"/>
  <c r="W142" i="40"/>
  <c r="U142" i="40"/>
  <c r="T142" i="40"/>
  <c r="T140" i="40" s="1"/>
  <c r="T139" i="40" s="1"/>
  <c r="S142" i="40"/>
  <c r="R142" i="40"/>
  <c r="Q142" i="40"/>
  <c r="P142" i="40"/>
  <c r="O142" i="40"/>
  <c r="N142" i="40"/>
  <c r="M142" i="40"/>
  <c r="I142" i="40"/>
  <c r="H142" i="40"/>
  <c r="G142" i="40"/>
  <c r="F142" i="40"/>
  <c r="E142" i="40"/>
  <c r="D142" i="40"/>
  <c r="C142" i="40"/>
  <c r="B142" i="40"/>
  <c r="A142" i="40"/>
  <c r="AQ141" i="40"/>
  <c r="AP141" i="40"/>
  <c r="AO141" i="40"/>
  <c r="AN141" i="40"/>
  <c r="AM141" i="40"/>
  <c r="AL141" i="40"/>
  <c r="AK141" i="40"/>
  <c r="AJ141" i="40"/>
  <c r="AI141" i="40"/>
  <c r="AH141" i="40"/>
  <c r="AG141" i="40"/>
  <c r="AF141" i="40"/>
  <c r="AE141" i="40"/>
  <c r="AD141" i="40"/>
  <c r="AC141" i="40"/>
  <c r="AB141" i="40"/>
  <c r="AA141" i="40"/>
  <c r="Y141" i="40"/>
  <c r="X141" i="40"/>
  <c r="W141" i="40"/>
  <c r="U141" i="40"/>
  <c r="T141" i="40"/>
  <c r="S141" i="40"/>
  <c r="S140" i="40" s="1"/>
  <c r="S139" i="40" s="1"/>
  <c r="R141" i="40"/>
  <c r="R140" i="40" s="1"/>
  <c r="R139" i="40" s="1"/>
  <c r="Q141" i="40"/>
  <c r="P141" i="40"/>
  <c r="O141" i="40"/>
  <c r="N141" i="40"/>
  <c r="M141" i="40"/>
  <c r="I141" i="40"/>
  <c r="H141" i="40"/>
  <c r="G141" i="40"/>
  <c r="F141" i="40"/>
  <c r="E141" i="40"/>
  <c r="D141" i="40"/>
  <c r="C141" i="40"/>
  <c r="B141" i="40"/>
  <c r="A141" i="40"/>
  <c r="X140" i="40"/>
  <c r="X139" i="40" s="1"/>
  <c r="U140" i="40"/>
  <c r="U139" i="40" s="1"/>
  <c r="M140" i="40"/>
  <c r="L140" i="40"/>
  <c r="L139" i="40"/>
  <c r="K139" i="40"/>
  <c r="AQ138" i="40"/>
  <c r="AP138" i="40"/>
  <c r="AO138" i="40"/>
  <c r="AN138" i="40"/>
  <c r="AM138" i="40"/>
  <c r="AL138" i="40"/>
  <c r="AK138" i="40"/>
  <c r="AJ138" i="40"/>
  <c r="AI138" i="40"/>
  <c r="AH138" i="40"/>
  <c r="AG138" i="40"/>
  <c r="AF138" i="40"/>
  <c r="AE138" i="40"/>
  <c r="AD138" i="40"/>
  <c r="AC138" i="40"/>
  <c r="AB138" i="40"/>
  <c r="AA138" i="40"/>
  <c r="Z138" i="40"/>
  <c r="X138" i="40"/>
  <c r="W138" i="40"/>
  <c r="U138" i="40"/>
  <c r="T138" i="40"/>
  <c r="S138" i="40"/>
  <c r="R138" i="40"/>
  <c r="Q138" i="40"/>
  <c r="P138" i="40"/>
  <c r="O138" i="40"/>
  <c r="N138" i="40"/>
  <c r="M138" i="40"/>
  <c r="I138" i="40"/>
  <c r="H138" i="40"/>
  <c r="G138" i="40"/>
  <c r="F138" i="40"/>
  <c r="E138" i="40"/>
  <c r="D138" i="40"/>
  <c r="C138" i="40"/>
  <c r="B138" i="40"/>
  <c r="A138" i="40"/>
  <c r="Z137" i="40"/>
  <c r="X137" i="40"/>
  <c r="U137" i="40"/>
  <c r="T137" i="40"/>
  <c r="S137" i="40"/>
  <c r="R137" i="40"/>
  <c r="M137" i="40"/>
  <c r="L137" i="40"/>
  <c r="Z136" i="40"/>
  <c r="X136" i="40"/>
  <c r="U136" i="40"/>
  <c r="T136" i="40"/>
  <c r="S136" i="40"/>
  <c r="R136" i="40"/>
  <c r="L136" i="40"/>
  <c r="K136" i="40"/>
  <c r="AQ135" i="40"/>
  <c r="AP135" i="40"/>
  <c r="AO135" i="40"/>
  <c r="AN135" i="40"/>
  <c r="AM135" i="40"/>
  <c r="AL135" i="40"/>
  <c r="AK135" i="40"/>
  <c r="AJ135" i="40"/>
  <c r="AI135" i="40"/>
  <c r="AH135" i="40"/>
  <c r="AG135" i="40"/>
  <c r="AF135" i="40"/>
  <c r="AE135" i="40"/>
  <c r="AD135" i="40"/>
  <c r="AC135" i="40"/>
  <c r="AB135" i="40"/>
  <c r="AA135" i="40"/>
  <c r="Z135" i="40"/>
  <c r="X135" i="40"/>
  <c r="W135" i="40"/>
  <c r="U135" i="40"/>
  <c r="T135" i="40"/>
  <c r="S135" i="40"/>
  <c r="R135" i="40"/>
  <c r="Q135" i="40"/>
  <c r="P135" i="40"/>
  <c r="O135" i="40"/>
  <c r="N135" i="40"/>
  <c r="M135" i="40"/>
  <c r="I135" i="40"/>
  <c r="H135" i="40"/>
  <c r="G135" i="40"/>
  <c r="F135" i="40"/>
  <c r="E135" i="40"/>
  <c r="D135" i="40"/>
  <c r="C135" i="40"/>
  <c r="B135" i="40"/>
  <c r="A135" i="40"/>
  <c r="AQ134" i="40"/>
  <c r="AP134" i="40"/>
  <c r="AO134" i="40"/>
  <c r="AN134" i="40"/>
  <c r="AM134" i="40"/>
  <c r="AL134" i="40"/>
  <c r="AK134" i="40"/>
  <c r="AJ134" i="40"/>
  <c r="AI134" i="40"/>
  <c r="AH134" i="40"/>
  <c r="AG134" i="40"/>
  <c r="AF134" i="40"/>
  <c r="AE134" i="40"/>
  <c r="AD134" i="40"/>
  <c r="AC134" i="40"/>
  <c r="AB134" i="40"/>
  <c r="AA134" i="40"/>
  <c r="Z134" i="40"/>
  <c r="X134" i="40"/>
  <c r="W134" i="40"/>
  <c r="U134" i="40"/>
  <c r="S134" i="40"/>
  <c r="R134" i="40"/>
  <c r="Q134" i="40"/>
  <c r="P134" i="40"/>
  <c r="O134" i="40"/>
  <c r="N134" i="40"/>
  <c r="M134" i="40"/>
  <c r="I134" i="40"/>
  <c r="H134" i="40"/>
  <c r="G134" i="40"/>
  <c r="F134" i="40"/>
  <c r="E134" i="40"/>
  <c r="D134" i="40"/>
  <c r="C134" i="40"/>
  <c r="B134" i="40"/>
  <c r="A134" i="40"/>
  <c r="AQ133" i="40"/>
  <c r="AP133" i="40"/>
  <c r="AO133" i="40"/>
  <c r="AN133" i="40"/>
  <c r="AM133" i="40"/>
  <c r="AL133" i="40"/>
  <c r="AK133" i="40"/>
  <c r="AJ133" i="40"/>
  <c r="AI133" i="40"/>
  <c r="AH133" i="40"/>
  <c r="AG133" i="40"/>
  <c r="AF133" i="40"/>
  <c r="AE133" i="40"/>
  <c r="AD133" i="40"/>
  <c r="AC133" i="40"/>
  <c r="AB133" i="40"/>
  <c r="AA133" i="40"/>
  <c r="Z133" i="40"/>
  <c r="X133" i="40"/>
  <c r="W133" i="40"/>
  <c r="U133" i="40"/>
  <c r="S133" i="40"/>
  <c r="R133" i="40"/>
  <c r="Q133" i="40"/>
  <c r="P133" i="40"/>
  <c r="O133" i="40"/>
  <c r="N133" i="40"/>
  <c r="M133" i="40"/>
  <c r="I133" i="40"/>
  <c r="H133" i="40"/>
  <c r="G133" i="40"/>
  <c r="F133" i="40"/>
  <c r="E133" i="40"/>
  <c r="D133" i="40"/>
  <c r="C133" i="40"/>
  <c r="B133" i="40"/>
  <c r="A133" i="40"/>
  <c r="AQ132" i="40"/>
  <c r="AP132" i="40"/>
  <c r="AO132" i="40"/>
  <c r="AN132" i="40"/>
  <c r="AM132" i="40"/>
  <c r="AL132" i="40"/>
  <c r="AK132" i="40"/>
  <c r="AJ132" i="40"/>
  <c r="AI132" i="40"/>
  <c r="AH132" i="40"/>
  <c r="AG132" i="40"/>
  <c r="AF132" i="40"/>
  <c r="AE132" i="40"/>
  <c r="AD132" i="40"/>
  <c r="AC132" i="40"/>
  <c r="AB132" i="40"/>
  <c r="AA132" i="40"/>
  <c r="Z132" i="40"/>
  <c r="X132" i="40"/>
  <c r="W132" i="40"/>
  <c r="U132" i="40"/>
  <c r="T132" i="40"/>
  <c r="S132" i="40"/>
  <c r="R132" i="40"/>
  <c r="Q132" i="40"/>
  <c r="P132" i="40"/>
  <c r="O132" i="40"/>
  <c r="N132" i="40"/>
  <c r="I132" i="40"/>
  <c r="H132" i="40"/>
  <c r="G132" i="40"/>
  <c r="F132" i="40"/>
  <c r="E132" i="40"/>
  <c r="D132" i="40"/>
  <c r="C132" i="40"/>
  <c r="B132" i="40"/>
  <c r="A132" i="40"/>
  <c r="AQ131" i="40"/>
  <c r="AP131" i="40"/>
  <c r="AO131" i="40"/>
  <c r="AN131" i="40"/>
  <c r="AM131" i="40"/>
  <c r="AL131" i="40"/>
  <c r="AK131" i="40"/>
  <c r="AJ131" i="40"/>
  <c r="AI131" i="40"/>
  <c r="AH131" i="40"/>
  <c r="AG131" i="40"/>
  <c r="AF131" i="40"/>
  <c r="AE131" i="40"/>
  <c r="AD131" i="40"/>
  <c r="AC131" i="40"/>
  <c r="AB131" i="40"/>
  <c r="AA131" i="40"/>
  <c r="Z131" i="40"/>
  <c r="Y131" i="40"/>
  <c r="X131" i="40"/>
  <c r="W131" i="40"/>
  <c r="U131" i="40"/>
  <c r="T131" i="40"/>
  <c r="S131" i="40"/>
  <c r="R131" i="40"/>
  <c r="Q131" i="40"/>
  <c r="P131" i="40"/>
  <c r="O131" i="40"/>
  <c r="N131" i="40"/>
  <c r="I131" i="40"/>
  <c r="H131" i="40"/>
  <c r="G131" i="40"/>
  <c r="F131" i="40"/>
  <c r="E131" i="40"/>
  <c r="D131" i="40"/>
  <c r="C131" i="40"/>
  <c r="B131" i="40"/>
  <c r="A131" i="40"/>
  <c r="AQ130" i="40"/>
  <c r="AP130" i="40"/>
  <c r="AO130" i="40"/>
  <c r="AN130" i="40"/>
  <c r="AM130" i="40"/>
  <c r="AL130" i="40"/>
  <c r="AK130" i="40"/>
  <c r="AJ130" i="40"/>
  <c r="AI130" i="40"/>
  <c r="AH130" i="40"/>
  <c r="AG130" i="40"/>
  <c r="AF130" i="40"/>
  <c r="AE130" i="40"/>
  <c r="AD130" i="40"/>
  <c r="AC130" i="40"/>
  <c r="AB130" i="40"/>
  <c r="AA130" i="40"/>
  <c r="X130" i="40"/>
  <c r="W130" i="40"/>
  <c r="Q130" i="40"/>
  <c r="P130" i="40"/>
  <c r="O130" i="40"/>
  <c r="N130" i="40"/>
  <c r="M130" i="40"/>
  <c r="I130" i="40"/>
  <c r="H130" i="40"/>
  <c r="G130" i="40"/>
  <c r="F130" i="40"/>
  <c r="E130" i="40"/>
  <c r="D130" i="40"/>
  <c r="C130" i="40"/>
  <c r="B130" i="40"/>
  <c r="A130" i="40"/>
  <c r="X129" i="40"/>
  <c r="X128" i="40" s="1"/>
  <c r="M129" i="40"/>
  <c r="L129" i="40"/>
  <c r="L128" i="40"/>
  <c r="K128" i="40"/>
  <c r="AQ127" i="40"/>
  <c r="AP127" i="40"/>
  <c r="AO127" i="40"/>
  <c r="AN127" i="40"/>
  <c r="AM127" i="40"/>
  <c r="AL127" i="40"/>
  <c r="AK127" i="40"/>
  <c r="AJ127" i="40"/>
  <c r="AI127" i="40"/>
  <c r="AH127" i="40"/>
  <c r="AG127" i="40"/>
  <c r="AF127" i="40"/>
  <c r="AE127" i="40"/>
  <c r="AD127" i="40"/>
  <c r="AC127" i="40"/>
  <c r="AB127" i="40"/>
  <c r="AA127" i="40"/>
  <c r="Z127" i="40"/>
  <c r="Y127" i="40"/>
  <c r="Y126" i="40" s="1"/>
  <c r="Y125" i="40" s="1"/>
  <c r="X127" i="40"/>
  <c r="W127" i="40"/>
  <c r="U127" i="40"/>
  <c r="S127" i="40"/>
  <c r="S126" i="40" s="1"/>
  <c r="S125" i="40" s="1"/>
  <c r="R127" i="40"/>
  <c r="R126" i="40" s="1"/>
  <c r="R125" i="40" s="1"/>
  <c r="Q127" i="40"/>
  <c r="P127" i="40"/>
  <c r="O127" i="40"/>
  <c r="N127" i="40"/>
  <c r="M127" i="40"/>
  <c r="I127" i="40"/>
  <c r="H127" i="40"/>
  <c r="G127" i="40"/>
  <c r="F127" i="40"/>
  <c r="E127" i="40"/>
  <c r="D127" i="40"/>
  <c r="C127" i="40"/>
  <c r="B127" i="40"/>
  <c r="A127" i="40"/>
  <c r="Z126" i="40"/>
  <c r="Z125" i="40" s="1"/>
  <c r="X126" i="40"/>
  <c r="X125" i="40" s="1"/>
  <c r="U126" i="40"/>
  <c r="M126" i="40"/>
  <c r="L126" i="40"/>
  <c r="U125" i="40"/>
  <c r="L125" i="40"/>
  <c r="K125" i="40"/>
  <c r="AQ124" i="40"/>
  <c r="AP124" i="40"/>
  <c r="AO124" i="40"/>
  <c r="AN124" i="40"/>
  <c r="AM124" i="40"/>
  <c r="AL124" i="40"/>
  <c r="AK124" i="40"/>
  <c r="AJ124" i="40"/>
  <c r="AI124" i="40"/>
  <c r="AH124" i="40"/>
  <c r="AG124" i="40"/>
  <c r="AF124" i="40"/>
  <c r="AE124" i="40"/>
  <c r="AD124" i="40"/>
  <c r="AC124" i="40"/>
  <c r="AB124" i="40"/>
  <c r="AA124" i="40"/>
  <c r="Y124" i="40"/>
  <c r="Y123" i="40" s="1"/>
  <c r="X124" i="40"/>
  <c r="W124" i="40"/>
  <c r="U124" i="40"/>
  <c r="T124" i="40"/>
  <c r="S124" i="40"/>
  <c r="S123" i="40" s="1"/>
  <c r="R124" i="40"/>
  <c r="R123" i="40" s="1"/>
  <c r="Q124" i="40"/>
  <c r="P124" i="40"/>
  <c r="O124" i="40"/>
  <c r="N124" i="40"/>
  <c r="M124" i="40"/>
  <c r="I124" i="40"/>
  <c r="H124" i="40"/>
  <c r="G124" i="40"/>
  <c r="F124" i="40"/>
  <c r="E124" i="40"/>
  <c r="D124" i="40"/>
  <c r="C124" i="40"/>
  <c r="B124" i="40"/>
  <c r="A124" i="40"/>
  <c r="X123" i="40"/>
  <c r="U123" i="40"/>
  <c r="T123" i="40"/>
  <c r="M123" i="40"/>
  <c r="L123" i="40"/>
  <c r="AQ122" i="40"/>
  <c r="AP122" i="40"/>
  <c r="AO122" i="40"/>
  <c r="AN122" i="40"/>
  <c r="AM122" i="40"/>
  <c r="AL122" i="40"/>
  <c r="AK122" i="40"/>
  <c r="AJ122" i="40"/>
  <c r="AI122" i="40"/>
  <c r="AH122" i="40"/>
  <c r="AG122" i="40"/>
  <c r="AF122" i="40"/>
  <c r="AE122" i="40"/>
  <c r="AD122" i="40"/>
  <c r="AC122" i="40"/>
  <c r="AB122" i="40"/>
  <c r="AA122" i="40"/>
  <c r="Y122" i="40"/>
  <c r="X122" i="40"/>
  <c r="W122" i="40"/>
  <c r="U122" i="40"/>
  <c r="T122" i="40"/>
  <c r="S122" i="40"/>
  <c r="R122" i="40"/>
  <c r="Q122" i="40"/>
  <c r="P122" i="40"/>
  <c r="O122" i="40"/>
  <c r="N122" i="40"/>
  <c r="M122" i="40"/>
  <c r="I122" i="40"/>
  <c r="H122" i="40"/>
  <c r="G122" i="40"/>
  <c r="F122" i="40"/>
  <c r="E122" i="40"/>
  <c r="D122" i="40"/>
  <c r="C122" i="40"/>
  <c r="B122" i="40"/>
  <c r="A122" i="40"/>
  <c r="AQ121" i="40"/>
  <c r="AP121" i="40"/>
  <c r="AO121" i="40"/>
  <c r="AN121" i="40"/>
  <c r="AM121" i="40"/>
  <c r="AL121" i="40"/>
  <c r="AK121" i="40"/>
  <c r="AJ121" i="40"/>
  <c r="AI121" i="40"/>
  <c r="AH121" i="40"/>
  <c r="AG121" i="40"/>
  <c r="AF121" i="40"/>
  <c r="AE121" i="40"/>
  <c r="AD121" i="40"/>
  <c r="AC121" i="40"/>
  <c r="AB121" i="40"/>
  <c r="AA121" i="40"/>
  <c r="Z121" i="40"/>
  <c r="X121" i="40"/>
  <c r="W121" i="40"/>
  <c r="U121" i="40"/>
  <c r="U119" i="40" s="1"/>
  <c r="T121" i="40"/>
  <c r="S121" i="40"/>
  <c r="R121" i="40"/>
  <c r="Q121" i="40"/>
  <c r="P121" i="40"/>
  <c r="O121" i="40"/>
  <c r="N121" i="40"/>
  <c r="M121" i="40"/>
  <c r="I121" i="40"/>
  <c r="H121" i="40"/>
  <c r="G121" i="40"/>
  <c r="F121" i="40"/>
  <c r="E121" i="40"/>
  <c r="D121" i="40"/>
  <c r="C121" i="40"/>
  <c r="B121" i="40"/>
  <c r="A121" i="40"/>
  <c r="AQ120" i="40"/>
  <c r="AP120" i="40"/>
  <c r="AO120" i="40"/>
  <c r="AN120" i="40"/>
  <c r="AM120" i="40"/>
  <c r="AL120" i="40"/>
  <c r="AK120" i="40"/>
  <c r="AJ120" i="40"/>
  <c r="AI120" i="40"/>
  <c r="AH120" i="40"/>
  <c r="AG120" i="40"/>
  <c r="AF120" i="40"/>
  <c r="AE120" i="40"/>
  <c r="AD120" i="40"/>
  <c r="AC120" i="40"/>
  <c r="AB120" i="40"/>
  <c r="AA120" i="40"/>
  <c r="Y120" i="40"/>
  <c r="X120" i="40"/>
  <c r="W120" i="40"/>
  <c r="U120" i="40"/>
  <c r="T120" i="40"/>
  <c r="T119" i="40" s="1"/>
  <c r="S120" i="40"/>
  <c r="S119" i="40" s="1"/>
  <c r="R120" i="40"/>
  <c r="Q120" i="40"/>
  <c r="P120" i="40"/>
  <c r="O120" i="40"/>
  <c r="N120" i="40"/>
  <c r="M120" i="40"/>
  <c r="I120" i="40"/>
  <c r="H120" i="40"/>
  <c r="G120" i="40"/>
  <c r="F120" i="40"/>
  <c r="E120" i="40"/>
  <c r="D120" i="40"/>
  <c r="C120" i="40"/>
  <c r="B120" i="40"/>
  <c r="A120" i="40"/>
  <c r="X119" i="40"/>
  <c r="R119" i="40"/>
  <c r="M119" i="40"/>
  <c r="L119" i="40"/>
  <c r="AQ118" i="40"/>
  <c r="AP118" i="40"/>
  <c r="AO118" i="40"/>
  <c r="AN118" i="40"/>
  <c r="AM118" i="40"/>
  <c r="AL118" i="40"/>
  <c r="AK118" i="40"/>
  <c r="AJ118" i="40"/>
  <c r="AI118" i="40"/>
  <c r="AH118" i="40"/>
  <c r="AG118" i="40"/>
  <c r="AF118" i="40"/>
  <c r="AE118" i="40"/>
  <c r="AD118" i="40"/>
  <c r="AC118" i="40"/>
  <c r="AB118" i="40"/>
  <c r="AA118" i="40"/>
  <c r="Z118" i="40"/>
  <c r="Y118" i="40"/>
  <c r="X118" i="40"/>
  <c r="W118" i="40"/>
  <c r="U118" i="40"/>
  <c r="T118" i="40"/>
  <c r="S118" i="40"/>
  <c r="R118" i="40"/>
  <c r="Q118" i="40"/>
  <c r="P118" i="40"/>
  <c r="O118" i="40"/>
  <c r="N118" i="40"/>
  <c r="I118" i="40"/>
  <c r="H118" i="40"/>
  <c r="G118" i="40"/>
  <c r="F118" i="40"/>
  <c r="E118" i="40"/>
  <c r="D118" i="40"/>
  <c r="C118" i="40"/>
  <c r="B118" i="40"/>
  <c r="A118" i="40"/>
  <c r="AQ117" i="40"/>
  <c r="AP117" i="40"/>
  <c r="AO117" i="40"/>
  <c r="AN117" i="40"/>
  <c r="AM117" i="40"/>
  <c r="AL117" i="40"/>
  <c r="AK117" i="40"/>
  <c r="AJ117" i="40"/>
  <c r="AI117" i="40"/>
  <c r="AH117" i="40"/>
  <c r="AG117" i="40"/>
  <c r="AF117" i="40"/>
  <c r="AE117" i="40"/>
  <c r="AD117" i="40"/>
  <c r="AC117" i="40"/>
  <c r="AB117" i="40"/>
  <c r="AA117" i="40"/>
  <c r="X117" i="40"/>
  <c r="W117" i="40"/>
  <c r="U117" i="40"/>
  <c r="T117" i="40"/>
  <c r="S117" i="40"/>
  <c r="R117" i="40"/>
  <c r="Q117" i="40"/>
  <c r="P117" i="40"/>
  <c r="O117" i="40"/>
  <c r="N117" i="40"/>
  <c r="I117" i="40"/>
  <c r="H117" i="40"/>
  <c r="G117" i="40"/>
  <c r="F117" i="40"/>
  <c r="E117" i="40"/>
  <c r="D117" i="40"/>
  <c r="C117" i="40"/>
  <c r="B117" i="40"/>
  <c r="A117" i="40"/>
  <c r="AQ116" i="40"/>
  <c r="AP116" i="40"/>
  <c r="AO116" i="40"/>
  <c r="AN116" i="40"/>
  <c r="AM116" i="40"/>
  <c r="AL116" i="40"/>
  <c r="AK116" i="40"/>
  <c r="AJ116" i="40"/>
  <c r="AI116" i="40"/>
  <c r="AH116" i="40"/>
  <c r="AG116" i="40"/>
  <c r="AF116" i="40"/>
  <c r="AE116" i="40"/>
  <c r="AD116" i="40"/>
  <c r="AC116" i="40"/>
  <c r="AB116" i="40"/>
  <c r="AA116" i="40"/>
  <c r="X116" i="40"/>
  <c r="W116" i="40"/>
  <c r="Q116" i="40"/>
  <c r="P116" i="40"/>
  <c r="O116" i="40"/>
  <c r="N116" i="40"/>
  <c r="M116" i="40"/>
  <c r="I116" i="40"/>
  <c r="H116" i="40"/>
  <c r="G116" i="40"/>
  <c r="F116" i="40"/>
  <c r="E116" i="40"/>
  <c r="D116" i="40"/>
  <c r="C116" i="40"/>
  <c r="B116" i="40"/>
  <c r="A116" i="40"/>
  <c r="AQ115" i="40"/>
  <c r="AP115" i="40"/>
  <c r="AO115" i="40"/>
  <c r="AN115" i="40"/>
  <c r="AM115" i="40"/>
  <c r="AL115" i="40"/>
  <c r="AK115" i="40"/>
  <c r="AJ115" i="40"/>
  <c r="AI115" i="40"/>
  <c r="AH115" i="40"/>
  <c r="AG115" i="40"/>
  <c r="AF115" i="40"/>
  <c r="AE115" i="40"/>
  <c r="AD115" i="40"/>
  <c r="AC115" i="40"/>
  <c r="AB115" i="40"/>
  <c r="AA115" i="40"/>
  <c r="Z115" i="40"/>
  <c r="Y115" i="40"/>
  <c r="X115" i="40"/>
  <c r="W115" i="40"/>
  <c r="U115" i="40"/>
  <c r="T115" i="40"/>
  <c r="S115" i="40"/>
  <c r="R115" i="40"/>
  <c r="Q115" i="40"/>
  <c r="P115" i="40"/>
  <c r="O115" i="40"/>
  <c r="N115" i="40"/>
  <c r="M115" i="40"/>
  <c r="I115" i="40"/>
  <c r="H115" i="40"/>
  <c r="G115" i="40"/>
  <c r="F115" i="40"/>
  <c r="E115" i="40"/>
  <c r="D115" i="40"/>
  <c r="C115" i="40"/>
  <c r="B115" i="40"/>
  <c r="A115" i="40"/>
  <c r="AQ114" i="40"/>
  <c r="AP114" i="40"/>
  <c r="AO114" i="40"/>
  <c r="AN114" i="40"/>
  <c r="AM114" i="40"/>
  <c r="AL114" i="40"/>
  <c r="AK114" i="40"/>
  <c r="AJ114" i="40"/>
  <c r="AI114" i="40"/>
  <c r="AH114" i="40"/>
  <c r="AG114" i="40"/>
  <c r="AF114" i="40"/>
  <c r="AE114" i="40"/>
  <c r="AD114" i="40"/>
  <c r="AC114" i="40"/>
  <c r="AB114" i="40"/>
  <c r="AA114" i="40"/>
  <c r="Z114" i="40"/>
  <c r="X114" i="40"/>
  <c r="W114" i="40"/>
  <c r="U114" i="40"/>
  <c r="T114" i="40"/>
  <c r="S114" i="40"/>
  <c r="R114" i="40"/>
  <c r="Q114" i="40"/>
  <c r="P114" i="40"/>
  <c r="O114" i="40"/>
  <c r="N114" i="40"/>
  <c r="M114" i="40"/>
  <c r="I114" i="40"/>
  <c r="H114" i="40"/>
  <c r="G114" i="40"/>
  <c r="F114" i="40"/>
  <c r="E114" i="40"/>
  <c r="D114" i="40"/>
  <c r="C114" i="40"/>
  <c r="B114" i="40"/>
  <c r="A114" i="40"/>
  <c r="AQ113" i="40"/>
  <c r="AP113" i="40"/>
  <c r="AO113" i="40"/>
  <c r="AN113" i="40"/>
  <c r="AM113" i="40"/>
  <c r="AL113" i="40"/>
  <c r="AK113" i="40"/>
  <c r="AJ113" i="40"/>
  <c r="AI113" i="40"/>
  <c r="AH113" i="40"/>
  <c r="AG113" i="40"/>
  <c r="AF113" i="40"/>
  <c r="AE113" i="40"/>
  <c r="AD113" i="40"/>
  <c r="AC113" i="40"/>
  <c r="AB113" i="40"/>
  <c r="AA113" i="40"/>
  <c r="Z113" i="40"/>
  <c r="X113" i="40"/>
  <c r="W113" i="40"/>
  <c r="U113" i="40"/>
  <c r="T113" i="40"/>
  <c r="S113" i="40"/>
  <c r="R113" i="40"/>
  <c r="Q113" i="40"/>
  <c r="P113" i="40"/>
  <c r="O113" i="40"/>
  <c r="N113" i="40"/>
  <c r="M113" i="40"/>
  <c r="I113" i="40"/>
  <c r="H113" i="40"/>
  <c r="G113" i="40"/>
  <c r="F113" i="40"/>
  <c r="E113" i="40"/>
  <c r="D113" i="40"/>
  <c r="C113" i="40"/>
  <c r="B113" i="40"/>
  <c r="A113" i="40"/>
  <c r="AQ112" i="40"/>
  <c r="AP112" i="40"/>
  <c r="AO112" i="40"/>
  <c r="AN112" i="40"/>
  <c r="AM112" i="40"/>
  <c r="AL112" i="40"/>
  <c r="AK112" i="40"/>
  <c r="AJ112" i="40"/>
  <c r="AI112" i="40"/>
  <c r="AH112" i="40"/>
  <c r="AG112" i="40"/>
  <c r="AF112" i="40"/>
  <c r="AE112" i="40"/>
  <c r="AD112" i="40"/>
  <c r="AC112" i="40"/>
  <c r="AB112" i="40"/>
  <c r="AA112" i="40"/>
  <c r="Z112" i="40"/>
  <c r="X112" i="40"/>
  <c r="W112" i="40"/>
  <c r="U112" i="40"/>
  <c r="T112" i="40"/>
  <c r="S112" i="40"/>
  <c r="R112" i="40"/>
  <c r="Q112" i="40"/>
  <c r="P112" i="40"/>
  <c r="O112" i="40"/>
  <c r="N112" i="40"/>
  <c r="M112" i="40"/>
  <c r="I112" i="40"/>
  <c r="H112" i="40"/>
  <c r="G112" i="40"/>
  <c r="F112" i="40"/>
  <c r="E112" i="40"/>
  <c r="D112" i="40"/>
  <c r="C112" i="40"/>
  <c r="B112" i="40"/>
  <c r="A112" i="40"/>
  <c r="AQ111" i="40"/>
  <c r="AP111" i="40"/>
  <c r="AO111" i="40"/>
  <c r="AN111" i="40"/>
  <c r="AM111" i="40"/>
  <c r="AL111" i="40"/>
  <c r="AK111" i="40"/>
  <c r="AJ111" i="40"/>
  <c r="AI111" i="40"/>
  <c r="AH111" i="40"/>
  <c r="AG111" i="40"/>
  <c r="AF111" i="40"/>
  <c r="AE111" i="40"/>
  <c r="AD111" i="40"/>
  <c r="AC111" i="40"/>
  <c r="AB111" i="40"/>
  <c r="AA111" i="40"/>
  <c r="X111" i="40"/>
  <c r="X109" i="40" s="1"/>
  <c r="W111" i="40"/>
  <c r="U111" i="40"/>
  <c r="T111" i="40"/>
  <c r="S111" i="40"/>
  <c r="R111" i="40"/>
  <c r="Q111" i="40"/>
  <c r="P111" i="40"/>
  <c r="O111" i="40"/>
  <c r="N111" i="40"/>
  <c r="M111" i="40"/>
  <c r="I111" i="40"/>
  <c r="H111" i="40"/>
  <c r="G111" i="40"/>
  <c r="F111" i="40"/>
  <c r="E111" i="40"/>
  <c r="D111" i="40"/>
  <c r="C111" i="40"/>
  <c r="B111" i="40"/>
  <c r="A111" i="40"/>
  <c r="AQ110" i="40"/>
  <c r="AP110" i="40"/>
  <c r="AO110" i="40"/>
  <c r="AN110" i="40"/>
  <c r="AM110" i="40"/>
  <c r="AL110" i="40"/>
  <c r="AK110" i="40"/>
  <c r="AJ110" i="40"/>
  <c r="AI110" i="40"/>
  <c r="AH110" i="40"/>
  <c r="AG110" i="40"/>
  <c r="AF110" i="40"/>
  <c r="AE110" i="40"/>
  <c r="AD110" i="40"/>
  <c r="AC110" i="40"/>
  <c r="AB110" i="40"/>
  <c r="AA110" i="40"/>
  <c r="X110" i="40"/>
  <c r="W110" i="40"/>
  <c r="U110" i="40"/>
  <c r="T110" i="40"/>
  <c r="S110" i="40"/>
  <c r="R110" i="40"/>
  <c r="Q110" i="40"/>
  <c r="P110" i="40"/>
  <c r="O110" i="40"/>
  <c r="N110" i="40"/>
  <c r="M110" i="40"/>
  <c r="I110" i="40"/>
  <c r="H110" i="40"/>
  <c r="G110" i="40"/>
  <c r="F110" i="40"/>
  <c r="E110" i="40"/>
  <c r="D110" i="40"/>
  <c r="C110" i="40"/>
  <c r="B110" i="40"/>
  <c r="A110" i="40"/>
  <c r="M109" i="40"/>
  <c r="L109" i="40"/>
  <c r="AQ108" i="40"/>
  <c r="AP108" i="40"/>
  <c r="AO108" i="40"/>
  <c r="AN108" i="40"/>
  <c r="AM108" i="40"/>
  <c r="AL108" i="40"/>
  <c r="AK108" i="40"/>
  <c r="AJ108" i="40"/>
  <c r="AI108" i="40"/>
  <c r="AH108" i="40"/>
  <c r="AG108" i="40"/>
  <c r="AF108" i="40"/>
  <c r="AE108" i="40"/>
  <c r="AD108" i="40"/>
  <c r="AC108" i="40"/>
  <c r="AB108" i="40"/>
  <c r="AA108" i="40"/>
  <c r="X108" i="40"/>
  <c r="W108" i="40"/>
  <c r="U108" i="40"/>
  <c r="T108" i="40"/>
  <c r="S108" i="40"/>
  <c r="R108" i="40"/>
  <c r="Q108" i="40"/>
  <c r="P108" i="40"/>
  <c r="O108" i="40"/>
  <c r="N108" i="40"/>
  <c r="M108" i="40"/>
  <c r="I108" i="40"/>
  <c r="H108" i="40"/>
  <c r="G108" i="40"/>
  <c r="F108" i="40"/>
  <c r="E108" i="40"/>
  <c r="D108" i="40"/>
  <c r="C108" i="40"/>
  <c r="B108" i="40"/>
  <c r="A108" i="40"/>
  <c r="AP107" i="40"/>
  <c r="AH107" i="40"/>
  <c r="AG107" i="40"/>
  <c r="AF107" i="40"/>
  <c r="AE107" i="40"/>
  <c r="AD107" i="40"/>
  <c r="AC107" i="40"/>
  <c r="AB107" i="40"/>
  <c r="AA107" i="40"/>
  <c r="X107" i="40"/>
  <c r="W107" i="40"/>
  <c r="U107" i="40"/>
  <c r="T107" i="40"/>
  <c r="S107" i="40"/>
  <c r="R107" i="40"/>
  <c r="Q107" i="40"/>
  <c r="P107" i="40"/>
  <c r="O107" i="40"/>
  <c r="N107" i="40"/>
  <c r="AQ106" i="40"/>
  <c r="AP106" i="40"/>
  <c r="AO106" i="40"/>
  <c r="AN106" i="40"/>
  <c r="AM106" i="40"/>
  <c r="AL106" i="40"/>
  <c r="AK106" i="40"/>
  <c r="AJ106" i="40"/>
  <c r="AI106" i="40"/>
  <c r="AH106" i="40"/>
  <c r="AG106" i="40"/>
  <c r="AF106" i="40"/>
  <c r="AE106" i="40"/>
  <c r="AD106" i="40"/>
  <c r="AC106" i="40"/>
  <c r="AB106" i="40"/>
  <c r="AA106" i="40"/>
  <c r="Z106" i="40"/>
  <c r="Y106" i="40"/>
  <c r="X106" i="40"/>
  <c r="W106" i="40"/>
  <c r="U106" i="40"/>
  <c r="T106" i="40"/>
  <c r="S106" i="40"/>
  <c r="R106" i="40"/>
  <c r="Q106" i="40"/>
  <c r="P106" i="40"/>
  <c r="O106" i="40"/>
  <c r="N106" i="40"/>
  <c r="AQ105" i="40"/>
  <c r="AP105" i="40"/>
  <c r="AO105" i="40"/>
  <c r="AN105" i="40"/>
  <c r="AM105" i="40"/>
  <c r="AL105" i="40"/>
  <c r="AK105" i="40"/>
  <c r="AJ105" i="40"/>
  <c r="AI105" i="40"/>
  <c r="AH105" i="40"/>
  <c r="AG105" i="40"/>
  <c r="AF105" i="40"/>
  <c r="AE105" i="40"/>
  <c r="AD105" i="40"/>
  <c r="AC105" i="40"/>
  <c r="AB105" i="40"/>
  <c r="AA105" i="40"/>
  <c r="Z105" i="40"/>
  <c r="Y105" i="40"/>
  <c r="X105" i="40"/>
  <c r="W105" i="40"/>
  <c r="U105" i="40"/>
  <c r="T105" i="40"/>
  <c r="S105" i="40"/>
  <c r="R105" i="40"/>
  <c r="Q105" i="40"/>
  <c r="P105" i="40"/>
  <c r="O105" i="40"/>
  <c r="N105" i="40"/>
  <c r="AQ104" i="40"/>
  <c r="AP104" i="40"/>
  <c r="AO104" i="40"/>
  <c r="AN104" i="40"/>
  <c r="AM104" i="40"/>
  <c r="AL104" i="40"/>
  <c r="AK104" i="40"/>
  <c r="AJ104" i="40"/>
  <c r="AI104" i="40"/>
  <c r="AH104" i="40"/>
  <c r="AG104" i="40"/>
  <c r="AF104" i="40"/>
  <c r="AE104" i="40"/>
  <c r="AD104" i="40"/>
  <c r="AC104" i="40"/>
  <c r="AB104" i="40"/>
  <c r="AA104" i="40"/>
  <c r="X104" i="40"/>
  <c r="W104" i="40"/>
  <c r="U104" i="40"/>
  <c r="T104" i="40"/>
  <c r="S104" i="40"/>
  <c r="R104" i="40"/>
  <c r="Q104" i="40"/>
  <c r="P104" i="40"/>
  <c r="O104" i="40"/>
  <c r="N104" i="40"/>
  <c r="M104" i="40"/>
  <c r="I104" i="40"/>
  <c r="H104" i="40"/>
  <c r="G104" i="40"/>
  <c r="F104" i="40"/>
  <c r="E104" i="40"/>
  <c r="D104" i="40"/>
  <c r="C104" i="40"/>
  <c r="B104" i="40"/>
  <c r="A104" i="40"/>
  <c r="AQ103" i="40"/>
  <c r="AP103" i="40"/>
  <c r="AO103" i="40"/>
  <c r="AN103" i="40"/>
  <c r="AM103" i="40"/>
  <c r="AL103" i="40"/>
  <c r="AK103" i="40"/>
  <c r="AJ103" i="40"/>
  <c r="AI103" i="40"/>
  <c r="AH103" i="40"/>
  <c r="AG103" i="40"/>
  <c r="AF103" i="40"/>
  <c r="AE103" i="40"/>
  <c r="AD103" i="40"/>
  <c r="AC103" i="40"/>
  <c r="AB103" i="40"/>
  <c r="AA103" i="40"/>
  <c r="Z103" i="40"/>
  <c r="X103" i="40"/>
  <c r="W103" i="40"/>
  <c r="U103" i="40"/>
  <c r="T103" i="40"/>
  <c r="S103" i="40"/>
  <c r="R103" i="40"/>
  <c r="Q103" i="40"/>
  <c r="P103" i="40"/>
  <c r="O103" i="40"/>
  <c r="N103" i="40"/>
  <c r="M103" i="40"/>
  <c r="I103" i="40"/>
  <c r="H103" i="40"/>
  <c r="G103" i="40"/>
  <c r="F103" i="40"/>
  <c r="E103" i="40"/>
  <c r="D103" i="40"/>
  <c r="C103" i="40"/>
  <c r="B103" i="40"/>
  <c r="A103" i="40"/>
  <c r="AQ102" i="40"/>
  <c r="AP102" i="40"/>
  <c r="AO102" i="40"/>
  <c r="AN102" i="40"/>
  <c r="AM102" i="40"/>
  <c r="AL102" i="40"/>
  <c r="AK102" i="40"/>
  <c r="AJ102" i="40"/>
  <c r="AI102" i="40"/>
  <c r="AH102" i="40"/>
  <c r="AG102" i="40"/>
  <c r="AF102" i="40"/>
  <c r="AE102" i="40"/>
  <c r="AD102" i="40"/>
  <c r="AC102" i="40"/>
  <c r="AB102" i="40"/>
  <c r="AA102" i="40"/>
  <c r="X102" i="40"/>
  <c r="W102" i="40"/>
  <c r="U102" i="40"/>
  <c r="T102" i="40"/>
  <c r="S102" i="40"/>
  <c r="R102" i="40"/>
  <c r="Q102" i="40"/>
  <c r="P102" i="40"/>
  <c r="O102" i="40"/>
  <c r="N102" i="40"/>
  <c r="M102" i="40"/>
  <c r="I102" i="40"/>
  <c r="H102" i="40"/>
  <c r="G102" i="40"/>
  <c r="F102" i="40"/>
  <c r="E102" i="40"/>
  <c r="D102" i="40"/>
  <c r="C102" i="40"/>
  <c r="B102" i="40"/>
  <c r="A102" i="40"/>
  <c r="AQ101" i="40"/>
  <c r="AP101" i="40"/>
  <c r="AO101" i="40"/>
  <c r="AN101" i="40"/>
  <c r="AM101" i="40"/>
  <c r="AL101" i="40"/>
  <c r="AK101" i="40"/>
  <c r="AJ101" i="40"/>
  <c r="AI101" i="40"/>
  <c r="AH101" i="40"/>
  <c r="AG101" i="40"/>
  <c r="AF101" i="40"/>
  <c r="AE101" i="40"/>
  <c r="AD101" i="40"/>
  <c r="AC101" i="40"/>
  <c r="AB101" i="40"/>
  <c r="AA101" i="40"/>
  <c r="X101" i="40"/>
  <c r="W101" i="40"/>
  <c r="U101" i="40"/>
  <c r="T101" i="40"/>
  <c r="S101" i="40"/>
  <c r="R101" i="40"/>
  <c r="Q101" i="40"/>
  <c r="P101" i="40"/>
  <c r="O101" i="40"/>
  <c r="N101" i="40"/>
  <c r="M101" i="40"/>
  <c r="I101" i="40"/>
  <c r="H101" i="40"/>
  <c r="G101" i="40"/>
  <c r="F101" i="40"/>
  <c r="E101" i="40"/>
  <c r="D101" i="40"/>
  <c r="C101" i="40"/>
  <c r="B101" i="40"/>
  <c r="A101" i="40"/>
  <c r="AQ100" i="40"/>
  <c r="AP100" i="40"/>
  <c r="AO100" i="40"/>
  <c r="AN100" i="40"/>
  <c r="AM100" i="40"/>
  <c r="AL100" i="40"/>
  <c r="AK100" i="40"/>
  <c r="AJ100" i="40"/>
  <c r="AI100" i="40"/>
  <c r="AH100" i="40"/>
  <c r="AG100" i="40"/>
  <c r="AF100" i="40"/>
  <c r="AE100" i="40"/>
  <c r="AD100" i="40"/>
  <c r="AC100" i="40"/>
  <c r="AB100" i="40"/>
  <c r="AA100" i="40"/>
  <c r="X100" i="40"/>
  <c r="W100" i="40"/>
  <c r="U100" i="40"/>
  <c r="T100" i="40"/>
  <c r="S100" i="40"/>
  <c r="R100" i="40"/>
  <c r="Q100" i="40"/>
  <c r="P100" i="40"/>
  <c r="O100" i="40"/>
  <c r="N100" i="40"/>
  <c r="M100" i="40"/>
  <c r="I100" i="40"/>
  <c r="H100" i="40"/>
  <c r="G100" i="40"/>
  <c r="F100" i="40"/>
  <c r="E100" i="40"/>
  <c r="D100" i="40"/>
  <c r="C100" i="40"/>
  <c r="B100" i="40"/>
  <c r="A100" i="40"/>
  <c r="AQ99" i="40"/>
  <c r="AP99" i="40"/>
  <c r="AO99" i="40"/>
  <c r="AN99" i="40"/>
  <c r="AM99" i="40"/>
  <c r="AL99" i="40"/>
  <c r="AK99" i="40"/>
  <c r="AJ99" i="40"/>
  <c r="AI99" i="40"/>
  <c r="AH99" i="40"/>
  <c r="AG99" i="40"/>
  <c r="AF99" i="40"/>
  <c r="AE99" i="40"/>
  <c r="AD99" i="40"/>
  <c r="AC99" i="40"/>
  <c r="AB99" i="40"/>
  <c r="AA99" i="40"/>
  <c r="X99" i="40"/>
  <c r="W99" i="40"/>
  <c r="U99" i="40"/>
  <c r="T99" i="40"/>
  <c r="S99" i="40"/>
  <c r="R99" i="40"/>
  <c r="Q99" i="40"/>
  <c r="P99" i="40"/>
  <c r="O99" i="40"/>
  <c r="N99" i="40"/>
  <c r="M99" i="40"/>
  <c r="I99" i="40"/>
  <c r="H99" i="40"/>
  <c r="G99" i="40"/>
  <c r="F99" i="40"/>
  <c r="E99" i="40"/>
  <c r="D99" i="40"/>
  <c r="C99" i="40"/>
  <c r="B99" i="40"/>
  <c r="A99" i="40"/>
  <c r="AQ98" i="40"/>
  <c r="AP98" i="40"/>
  <c r="AO98" i="40"/>
  <c r="AN98" i="40"/>
  <c r="AM98" i="40"/>
  <c r="AL98" i="40"/>
  <c r="AK98" i="40"/>
  <c r="AJ98" i="40"/>
  <c r="AI98" i="40"/>
  <c r="AH98" i="40"/>
  <c r="AG98" i="40"/>
  <c r="AF98" i="40"/>
  <c r="AE98" i="40"/>
  <c r="AD98" i="40"/>
  <c r="AC98" i="40"/>
  <c r="AB98" i="40"/>
  <c r="AA98" i="40"/>
  <c r="X98" i="40"/>
  <c r="W98" i="40"/>
  <c r="U98" i="40"/>
  <c r="T98" i="40"/>
  <c r="S98" i="40"/>
  <c r="R98" i="40"/>
  <c r="Q98" i="40"/>
  <c r="P98" i="40"/>
  <c r="O98" i="40"/>
  <c r="N98" i="40"/>
  <c r="M98" i="40"/>
  <c r="I98" i="40"/>
  <c r="H98" i="40"/>
  <c r="G98" i="40"/>
  <c r="F98" i="40"/>
  <c r="E98" i="40"/>
  <c r="D98" i="40"/>
  <c r="C98" i="40"/>
  <c r="B98" i="40"/>
  <c r="A98" i="40"/>
  <c r="AQ97" i="40"/>
  <c r="AP97" i="40"/>
  <c r="AO97" i="40"/>
  <c r="AN97" i="40"/>
  <c r="AM97" i="40"/>
  <c r="AL97" i="40"/>
  <c r="AK97" i="40"/>
  <c r="AJ97" i="40"/>
  <c r="AI97" i="40"/>
  <c r="AH97" i="40"/>
  <c r="AG97" i="40"/>
  <c r="AF97" i="40"/>
  <c r="AE97" i="40"/>
  <c r="AD97" i="40"/>
  <c r="AC97" i="40"/>
  <c r="AB97" i="40"/>
  <c r="AA97" i="40"/>
  <c r="X97" i="40"/>
  <c r="X94" i="40" s="1"/>
  <c r="W97" i="40"/>
  <c r="U97" i="40"/>
  <c r="T97" i="40"/>
  <c r="S97" i="40"/>
  <c r="S94" i="40" s="1"/>
  <c r="R97" i="40"/>
  <c r="Q97" i="40"/>
  <c r="P97" i="40"/>
  <c r="O97" i="40"/>
  <c r="N97" i="40"/>
  <c r="M97" i="40"/>
  <c r="I97" i="40"/>
  <c r="H97" i="40"/>
  <c r="G97" i="40"/>
  <c r="F97" i="40"/>
  <c r="E97" i="40"/>
  <c r="D97" i="40"/>
  <c r="C97" i="40"/>
  <c r="B97" i="40"/>
  <c r="A97" i="40"/>
  <c r="AQ96" i="40"/>
  <c r="AP96" i="40"/>
  <c r="AO96" i="40"/>
  <c r="AN96" i="40"/>
  <c r="AM96" i="40"/>
  <c r="AL96" i="40"/>
  <c r="AK96" i="40"/>
  <c r="AJ96" i="40"/>
  <c r="AI96" i="40"/>
  <c r="AH96" i="40"/>
  <c r="AG96" i="40"/>
  <c r="AF96" i="40"/>
  <c r="AE96" i="40"/>
  <c r="AD96" i="40"/>
  <c r="AC96" i="40"/>
  <c r="AB96" i="40"/>
  <c r="AA96" i="40"/>
  <c r="Z96" i="40"/>
  <c r="X96" i="40"/>
  <c r="W96" i="40"/>
  <c r="U96" i="40"/>
  <c r="T96" i="40"/>
  <c r="S96" i="40"/>
  <c r="R96" i="40"/>
  <c r="Q96" i="40"/>
  <c r="P96" i="40"/>
  <c r="O96" i="40"/>
  <c r="N96" i="40"/>
  <c r="M96" i="40"/>
  <c r="I96" i="40"/>
  <c r="H96" i="40"/>
  <c r="G96" i="40"/>
  <c r="F96" i="40"/>
  <c r="E96" i="40"/>
  <c r="D96" i="40"/>
  <c r="C96" i="40"/>
  <c r="B96" i="40"/>
  <c r="A96" i="40"/>
  <c r="AQ95" i="40"/>
  <c r="AP95" i="40"/>
  <c r="AO95" i="40"/>
  <c r="AN95" i="40"/>
  <c r="AM95" i="40"/>
  <c r="AL95" i="40"/>
  <c r="AK95" i="40"/>
  <c r="AJ95" i="40"/>
  <c r="AI95" i="40"/>
  <c r="AH95" i="40"/>
  <c r="AG95" i="40"/>
  <c r="AF95" i="40"/>
  <c r="AE95" i="40"/>
  <c r="AD95" i="40"/>
  <c r="AC95" i="40"/>
  <c r="AB95" i="40"/>
  <c r="AA95" i="40"/>
  <c r="X95" i="40"/>
  <c r="W95" i="40"/>
  <c r="U95" i="40"/>
  <c r="U94" i="40" s="1"/>
  <c r="T95" i="40"/>
  <c r="S95" i="40"/>
  <c r="R95" i="40"/>
  <c r="R94" i="40" s="1"/>
  <c r="Q95" i="40"/>
  <c r="P95" i="40"/>
  <c r="O95" i="40"/>
  <c r="N95" i="40"/>
  <c r="M95" i="40"/>
  <c r="I95" i="40"/>
  <c r="H95" i="40"/>
  <c r="G95" i="40"/>
  <c r="F95" i="40"/>
  <c r="E95" i="40"/>
  <c r="D95" i="40"/>
  <c r="C95" i="40"/>
  <c r="B95" i="40"/>
  <c r="A95" i="40"/>
  <c r="T94" i="40"/>
  <c r="M94" i="40"/>
  <c r="L94" i="40"/>
  <c r="AQ93" i="40"/>
  <c r="AP93" i="40"/>
  <c r="AO93" i="40"/>
  <c r="AN93" i="40"/>
  <c r="AM93" i="40"/>
  <c r="AL93" i="40"/>
  <c r="AK93" i="40"/>
  <c r="AJ93" i="40"/>
  <c r="AI93" i="40"/>
  <c r="AH93" i="40"/>
  <c r="AG93" i="40"/>
  <c r="AF93" i="40"/>
  <c r="AE93" i="40"/>
  <c r="AD93" i="40"/>
  <c r="AC93" i="40"/>
  <c r="AB93" i="40"/>
  <c r="AA93" i="40"/>
  <c r="X93" i="40"/>
  <c r="W93" i="40"/>
  <c r="U93" i="40"/>
  <c r="T93" i="40"/>
  <c r="S93" i="40"/>
  <c r="R93" i="40"/>
  <c r="Q93" i="40"/>
  <c r="P93" i="40"/>
  <c r="O93" i="40"/>
  <c r="N93" i="40"/>
  <c r="M93" i="40"/>
  <c r="I93" i="40"/>
  <c r="H93" i="40"/>
  <c r="G93" i="40"/>
  <c r="F93" i="40"/>
  <c r="E93" i="40"/>
  <c r="D93" i="40"/>
  <c r="C93" i="40"/>
  <c r="B93" i="40"/>
  <c r="A93" i="40"/>
  <c r="AQ92" i="40"/>
  <c r="AP92" i="40"/>
  <c r="AO92" i="40"/>
  <c r="AN92" i="40"/>
  <c r="AM92" i="40"/>
  <c r="AL92" i="40"/>
  <c r="AK92" i="40"/>
  <c r="AJ92" i="40"/>
  <c r="AI92" i="40"/>
  <c r="AH92" i="40"/>
  <c r="AG92" i="40"/>
  <c r="AF92" i="40"/>
  <c r="AE92" i="40"/>
  <c r="AD92" i="40"/>
  <c r="AC92" i="40"/>
  <c r="AB92" i="40"/>
  <c r="AA92" i="40"/>
  <c r="X92" i="40"/>
  <c r="X90" i="40" s="1"/>
  <c r="W92" i="40"/>
  <c r="U92" i="40"/>
  <c r="T92" i="40"/>
  <c r="S92" i="40"/>
  <c r="R92" i="40"/>
  <c r="R90" i="40" s="1"/>
  <c r="Q92" i="40"/>
  <c r="P92" i="40"/>
  <c r="O92" i="40"/>
  <c r="N92" i="40"/>
  <c r="M92" i="40"/>
  <c r="I92" i="40"/>
  <c r="H92" i="40"/>
  <c r="G92" i="40"/>
  <c r="F92" i="40"/>
  <c r="E92" i="40"/>
  <c r="D92" i="40"/>
  <c r="C92" i="40"/>
  <c r="B92" i="40"/>
  <c r="A92" i="40"/>
  <c r="AQ91" i="40"/>
  <c r="AP91" i="40"/>
  <c r="AO91" i="40"/>
  <c r="AN91" i="40"/>
  <c r="AM91" i="40"/>
  <c r="AL91" i="40"/>
  <c r="AK91" i="40"/>
  <c r="AJ91" i="40"/>
  <c r="AI91" i="40"/>
  <c r="AH91" i="40"/>
  <c r="AG91" i="40"/>
  <c r="AF91" i="40"/>
  <c r="AE91" i="40"/>
  <c r="AD91" i="40"/>
  <c r="AC91" i="40"/>
  <c r="AB91" i="40"/>
  <c r="AA91" i="40"/>
  <c r="Y91" i="40"/>
  <c r="X91" i="40"/>
  <c r="W91" i="40"/>
  <c r="U91" i="40"/>
  <c r="U90" i="40" s="1"/>
  <c r="T91" i="40"/>
  <c r="T90" i="40" s="1"/>
  <c r="S91" i="40"/>
  <c r="R91" i="40"/>
  <c r="Q91" i="40"/>
  <c r="P91" i="40"/>
  <c r="O91" i="40"/>
  <c r="N91" i="40"/>
  <c r="M91" i="40"/>
  <c r="I91" i="40"/>
  <c r="H91" i="40"/>
  <c r="G91" i="40"/>
  <c r="F91" i="40"/>
  <c r="E91" i="40"/>
  <c r="D91" i="40"/>
  <c r="C91" i="40"/>
  <c r="B91" i="40"/>
  <c r="A91" i="40"/>
  <c r="S90" i="40"/>
  <c r="M90" i="40"/>
  <c r="L90" i="40"/>
  <c r="AQ89" i="40"/>
  <c r="AP89" i="40"/>
  <c r="AO89" i="40"/>
  <c r="AN89" i="40"/>
  <c r="AM89" i="40"/>
  <c r="AL89" i="40"/>
  <c r="AK89" i="40"/>
  <c r="AJ89" i="40"/>
  <c r="AI89" i="40"/>
  <c r="AH89" i="40"/>
  <c r="AG89" i="40"/>
  <c r="AF89" i="40"/>
  <c r="AE89" i="40"/>
  <c r="AD89" i="40"/>
  <c r="AC89" i="40"/>
  <c r="AB89" i="40"/>
  <c r="AA89" i="40"/>
  <c r="Z89" i="40"/>
  <c r="X89" i="40"/>
  <c r="W89" i="40"/>
  <c r="U89" i="40"/>
  <c r="T89" i="40"/>
  <c r="S89" i="40"/>
  <c r="R89" i="40"/>
  <c r="Q89" i="40"/>
  <c r="P89" i="40"/>
  <c r="O89" i="40"/>
  <c r="N89" i="40"/>
  <c r="M89" i="40"/>
  <c r="I89" i="40"/>
  <c r="H89" i="40"/>
  <c r="G89" i="40"/>
  <c r="F89" i="40"/>
  <c r="E89" i="40"/>
  <c r="D89" i="40"/>
  <c r="C89" i="40"/>
  <c r="B89" i="40"/>
  <c r="A89" i="40"/>
  <c r="AQ88" i="40"/>
  <c r="AP88" i="40"/>
  <c r="AO88" i="40"/>
  <c r="AN88" i="40"/>
  <c r="AM88" i="40"/>
  <c r="AL88" i="40"/>
  <c r="AK88" i="40"/>
  <c r="AJ88" i="40"/>
  <c r="AI88" i="40"/>
  <c r="AH88" i="40"/>
  <c r="AG88" i="40"/>
  <c r="AF88" i="40"/>
  <c r="AE88" i="40"/>
  <c r="AD88" i="40"/>
  <c r="AC88" i="40"/>
  <c r="AB88" i="40"/>
  <c r="AA88" i="40"/>
  <c r="Z88" i="40"/>
  <c r="X88" i="40"/>
  <c r="W88" i="40"/>
  <c r="U88" i="40"/>
  <c r="T88" i="40"/>
  <c r="S88" i="40"/>
  <c r="R88" i="40"/>
  <c r="Q88" i="40"/>
  <c r="P88" i="40"/>
  <c r="O88" i="40"/>
  <c r="N88" i="40"/>
  <c r="M88" i="40"/>
  <c r="I88" i="40"/>
  <c r="H88" i="40"/>
  <c r="G88" i="40"/>
  <c r="F88" i="40"/>
  <c r="E88" i="40"/>
  <c r="D88" i="40"/>
  <c r="C88" i="40"/>
  <c r="B88" i="40"/>
  <c r="A88" i="40"/>
  <c r="AQ87" i="40"/>
  <c r="AP87" i="40"/>
  <c r="AO87" i="40"/>
  <c r="AN87" i="40"/>
  <c r="AM87" i="40"/>
  <c r="AL87" i="40"/>
  <c r="AK87" i="40"/>
  <c r="AJ87" i="40"/>
  <c r="AI87" i="40"/>
  <c r="AH87" i="40"/>
  <c r="AG87" i="40"/>
  <c r="AF87" i="40"/>
  <c r="AE87" i="40"/>
  <c r="AD87" i="40"/>
  <c r="AC87" i="40"/>
  <c r="AB87" i="40"/>
  <c r="AA87" i="40"/>
  <c r="Y87" i="40"/>
  <c r="X87" i="40"/>
  <c r="W87" i="40"/>
  <c r="U87" i="40"/>
  <c r="T87" i="40"/>
  <c r="S87" i="40"/>
  <c r="R87" i="40"/>
  <c r="Q87" i="40"/>
  <c r="P87" i="40"/>
  <c r="O87" i="40"/>
  <c r="N87" i="40"/>
  <c r="M87" i="40"/>
  <c r="I87" i="40"/>
  <c r="H87" i="40"/>
  <c r="G87" i="40"/>
  <c r="F87" i="40"/>
  <c r="E87" i="40"/>
  <c r="D87" i="40"/>
  <c r="C87" i="40"/>
  <c r="B87" i="40"/>
  <c r="A87" i="40"/>
  <c r="AQ86" i="40"/>
  <c r="AP86" i="40"/>
  <c r="AO86" i="40"/>
  <c r="AN86" i="40"/>
  <c r="AM86" i="40"/>
  <c r="AL86" i="40"/>
  <c r="AK86" i="40"/>
  <c r="AJ86" i="40"/>
  <c r="AI86" i="40"/>
  <c r="AH86" i="40"/>
  <c r="AG86" i="40"/>
  <c r="AF86" i="40"/>
  <c r="AE86" i="40"/>
  <c r="AD86" i="40"/>
  <c r="AC86" i="40"/>
  <c r="AB86" i="40"/>
  <c r="AA86" i="40"/>
  <c r="Z86" i="40"/>
  <c r="X86" i="40"/>
  <c r="W86" i="40"/>
  <c r="U86" i="40"/>
  <c r="T86" i="40"/>
  <c r="S86" i="40"/>
  <c r="R86" i="40"/>
  <c r="Q86" i="40"/>
  <c r="P86" i="40"/>
  <c r="O86" i="40"/>
  <c r="N86" i="40"/>
  <c r="M86" i="40"/>
  <c r="I86" i="40"/>
  <c r="H86" i="40"/>
  <c r="G86" i="40"/>
  <c r="F86" i="40"/>
  <c r="E86" i="40"/>
  <c r="D86" i="40"/>
  <c r="C86" i="40"/>
  <c r="B86" i="40"/>
  <c r="A86" i="40"/>
  <c r="AQ85" i="40"/>
  <c r="AP85" i="40"/>
  <c r="AO85" i="40"/>
  <c r="AN85" i="40"/>
  <c r="AM85" i="40"/>
  <c r="AL85" i="40"/>
  <c r="AK85" i="40"/>
  <c r="AJ85" i="40"/>
  <c r="AI85" i="40"/>
  <c r="AH85" i="40"/>
  <c r="AG85" i="40"/>
  <c r="AF85" i="40"/>
  <c r="AE85" i="40"/>
  <c r="AD85" i="40"/>
  <c r="AC85" i="40"/>
  <c r="AB85" i="40"/>
  <c r="AA85" i="40"/>
  <c r="Z85" i="40"/>
  <c r="X85" i="40"/>
  <c r="W85" i="40"/>
  <c r="U85" i="40"/>
  <c r="T85" i="40"/>
  <c r="S85" i="40"/>
  <c r="R85" i="40"/>
  <c r="Q85" i="40"/>
  <c r="P85" i="40"/>
  <c r="O85" i="40"/>
  <c r="N85" i="40"/>
  <c r="M85" i="40"/>
  <c r="I85" i="40"/>
  <c r="H85" i="40"/>
  <c r="G85" i="40"/>
  <c r="F85" i="40"/>
  <c r="E85" i="40"/>
  <c r="D85" i="40"/>
  <c r="C85" i="40"/>
  <c r="B85" i="40"/>
  <c r="A85" i="40"/>
  <c r="AQ84" i="40"/>
  <c r="AP84" i="40"/>
  <c r="AO84" i="40"/>
  <c r="AN84" i="40"/>
  <c r="AM84" i="40"/>
  <c r="AL84" i="40"/>
  <c r="AK84" i="40"/>
  <c r="AJ84" i="40"/>
  <c r="AI84" i="40"/>
  <c r="AH84" i="40"/>
  <c r="AG84" i="40"/>
  <c r="AF84" i="40"/>
  <c r="AE84" i="40"/>
  <c r="AD84" i="40"/>
  <c r="AC84" i="40"/>
  <c r="AB84" i="40"/>
  <c r="AA84" i="40"/>
  <c r="Z84" i="40"/>
  <c r="X84" i="40"/>
  <c r="W84" i="40"/>
  <c r="U84" i="40"/>
  <c r="T84" i="40"/>
  <c r="S84" i="40"/>
  <c r="R84" i="40"/>
  <c r="Q84" i="40"/>
  <c r="P84" i="40"/>
  <c r="O84" i="40"/>
  <c r="N84" i="40"/>
  <c r="M84" i="40"/>
  <c r="I84" i="40"/>
  <c r="H84" i="40"/>
  <c r="G84" i="40"/>
  <c r="F84" i="40"/>
  <c r="E84" i="40"/>
  <c r="D84" i="40"/>
  <c r="C84" i="40"/>
  <c r="B84" i="40"/>
  <c r="A84" i="40"/>
  <c r="AQ83" i="40"/>
  <c r="AP83" i="40"/>
  <c r="AO83" i="40"/>
  <c r="AN83" i="40"/>
  <c r="AM83" i="40"/>
  <c r="AL83" i="40"/>
  <c r="AK83" i="40"/>
  <c r="AJ83" i="40"/>
  <c r="AI83" i="40"/>
  <c r="AH83" i="40"/>
  <c r="AG83" i="40"/>
  <c r="AF83" i="40"/>
  <c r="AE83" i="40"/>
  <c r="AD83" i="40"/>
  <c r="AC83" i="40"/>
  <c r="AB83" i="40"/>
  <c r="AA83" i="40"/>
  <c r="Z83" i="40"/>
  <c r="X83" i="40"/>
  <c r="W83" i="40"/>
  <c r="U83" i="40"/>
  <c r="T83" i="40"/>
  <c r="S83" i="40"/>
  <c r="R83" i="40"/>
  <c r="Q83" i="40"/>
  <c r="P83" i="40"/>
  <c r="O83" i="40"/>
  <c r="N83" i="40"/>
  <c r="M83" i="40"/>
  <c r="I83" i="40"/>
  <c r="H83" i="40"/>
  <c r="G83" i="40"/>
  <c r="F83" i="40"/>
  <c r="E83" i="40"/>
  <c r="D83" i="40"/>
  <c r="C83" i="40"/>
  <c r="B83" i="40"/>
  <c r="A83" i="40"/>
  <c r="AQ82" i="40"/>
  <c r="AP82" i="40"/>
  <c r="AO82" i="40"/>
  <c r="AN82" i="40"/>
  <c r="AM82" i="40"/>
  <c r="AL82" i="40"/>
  <c r="AK82" i="40"/>
  <c r="AJ82" i="40"/>
  <c r="AI82" i="40"/>
  <c r="AH82" i="40"/>
  <c r="AG82" i="40"/>
  <c r="AF82" i="40"/>
  <c r="AE82" i="40"/>
  <c r="AD82" i="40"/>
  <c r="AC82" i="40"/>
  <c r="AB82" i="40"/>
  <c r="AA82" i="40"/>
  <c r="Z82" i="40"/>
  <c r="X82" i="40"/>
  <c r="W82" i="40"/>
  <c r="U82" i="40"/>
  <c r="T82" i="40"/>
  <c r="S82" i="40"/>
  <c r="R82" i="40"/>
  <c r="Q82" i="40"/>
  <c r="P82" i="40"/>
  <c r="O82" i="40"/>
  <c r="N82" i="40"/>
  <c r="M82" i="40"/>
  <c r="I82" i="40"/>
  <c r="H82" i="40"/>
  <c r="G82" i="40"/>
  <c r="F82" i="40"/>
  <c r="E82" i="40"/>
  <c r="D82" i="40"/>
  <c r="C82" i="40"/>
  <c r="B82" i="40"/>
  <c r="A82" i="40"/>
  <c r="AQ81" i="40"/>
  <c r="AP81" i="40"/>
  <c r="AO81" i="40"/>
  <c r="AN81" i="40"/>
  <c r="AM81" i="40"/>
  <c r="AL81" i="40"/>
  <c r="AK81" i="40"/>
  <c r="AJ81" i="40"/>
  <c r="AI81" i="40"/>
  <c r="AH81" i="40"/>
  <c r="AG81" i="40"/>
  <c r="AF81" i="40"/>
  <c r="AE81" i="40"/>
  <c r="AD81" i="40"/>
  <c r="AC81" i="40"/>
  <c r="AB81" i="40"/>
  <c r="AA81" i="40"/>
  <c r="Z81" i="40"/>
  <c r="X81" i="40"/>
  <c r="W81" i="40"/>
  <c r="U81" i="40"/>
  <c r="T81" i="40"/>
  <c r="S81" i="40"/>
  <c r="R81" i="40"/>
  <c r="Q81" i="40"/>
  <c r="P81" i="40"/>
  <c r="O81" i="40"/>
  <c r="N81" i="40"/>
  <c r="M81" i="40"/>
  <c r="I81" i="40"/>
  <c r="H81" i="40"/>
  <c r="G81" i="40"/>
  <c r="F81" i="40"/>
  <c r="E81" i="40"/>
  <c r="D81" i="40"/>
  <c r="C81" i="40"/>
  <c r="B81" i="40"/>
  <c r="A81" i="40"/>
  <c r="AQ80" i="40"/>
  <c r="AP80" i="40"/>
  <c r="AO80" i="40"/>
  <c r="AN80" i="40"/>
  <c r="AM80" i="40"/>
  <c r="AL80" i="40"/>
  <c r="AK80" i="40"/>
  <c r="AJ80" i="40"/>
  <c r="AI80" i="40"/>
  <c r="AH80" i="40"/>
  <c r="AG80" i="40"/>
  <c r="AF80" i="40"/>
  <c r="AE80" i="40"/>
  <c r="AD80" i="40"/>
  <c r="AC80" i="40"/>
  <c r="AB80" i="40"/>
  <c r="AA80" i="40"/>
  <c r="Z80" i="40"/>
  <c r="Y80" i="40"/>
  <c r="X80" i="40"/>
  <c r="W80" i="40"/>
  <c r="U80" i="40"/>
  <c r="T80" i="40"/>
  <c r="S80" i="40"/>
  <c r="R80" i="40"/>
  <c r="Q80" i="40"/>
  <c r="P80" i="40"/>
  <c r="O80" i="40"/>
  <c r="N80" i="40"/>
  <c r="I80" i="40"/>
  <c r="H80" i="40"/>
  <c r="G80" i="40"/>
  <c r="F80" i="40"/>
  <c r="E80" i="40"/>
  <c r="D80" i="40"/>
  <c r="C80" i="40"/>
  <c r="B80" i="40"/>
  <c r="A80" i="40"/>
  <c r="AQ79" i="40"/>
  <c r="AP79" i="40"/>
  <c r="AO79" i="40"/>
  <c r="AN79" i="40"/>
  <c r="AM79" i="40"/>
  <c r="AL79" i="40"/>
  <c r="AK79" i="40"/>
  <c r="AJ79" i="40"/>
  <c r="AI79" i="40"/>
  <c r="AH79" i="40"/>
  <c r="AG79" i="40"/>
  <c r="AF79" i="40"/>
  <c r="AE79" i="40"/>
  <c r="AD79" i="40"/>
  <c r="AC79" i="40"/>
  <c r="AB79" i="40"/>
  <c r="AA79" i="40"/>
  <c r="Z79" i="40"/>
  <c r="Y79" i="40"/>
  <c r="X79" i="40"/>
  <c r="W79" i="40"/>
  <c r="U79" i="40"/>
  <c r="T79" i="40"/>
  <c r="S79" i="40"/>
  <c r="R79" i="40"/>
  <c r="Q79" i="40"/>
  <c r="P79" i="40"/>
  <c r="O79" i="40"/>
  <c r="N79" i="40"/>
  <c r="I79" i="40"/>
  <c r="H79" i="40"/>
  <c r="G79" i="40"/>
  <c r="F79" i="40"/>
  <c r="E79" i="40"/>
  <c r="D79" i="40"/>
  <c r="C79" i="40"/>
  <c r="B79" i="40"/>
  <c r="A79" i="40"/>
  <c r="AQ78" i="40"/>
  <c r="AP78" i="40"/>
  <c r="AO78" i="40"/>
  <c r="AN78" i="40"/>
  <c r="AM78" i="40"/>
  <c r="AL78" i="40"/>
  <c r="AK78" i="40"/>
  <c r="AJ78" i="40"/>
  <c r="AI78" i="40"/>
  <c r="AH78" i="40"/>
  <c r="AG78" i="40"/>
  <c r="AF78" i="40"/>
  <c r="AE78" i="40"/>
  <c r="AD78" i="40"/>
  <c r="AC78" i="40"/>
  <c r="AB78" i="40"/>
  <c r="AA78" i="40"/>
  <c r="Z78" i="40"/>
  <c r="Y78" i="40"/>
  <c r="X78" i="40"/>
  <c r="W78" i="40"/>
  <c r="U78" i="40"/>
  <c r="T78" i="40"/>
  <c r="S78" i="40"/>
  <c r="R78" i="40"/>
  <c r="Q78" i="40"/>
  <c r="P78" i="40"/>
  <c r="O78" i="40"/>
  <c r="N78" i="40"/>
  <c r="I78" i="40"/>
  <c r="H78" i="40"/>
  <c r="G78" i="40"/>
  <c r="F78" i="40"/>
  <c r="E78" i="40"/>
  <c r="D78" i="40"/>
  <c r="C78" i="40"/>
  <c r="B78" i="40"/>
  <c r="A78" i="40"/>
  <c r="AQ77" i="40"/>
  <c r="AP77" i="40"/>
  <c r="AO77" i="40"/>
  <c r="AN77" i="40"/>
  <c r="AM77" i="40"/>
  <c r="AL77" i="40"/>
  <c r="AK77" i="40"/>
  <c r="AJ77" i="40"/>
  <c r="AI77" i="40"/>
  <c r="AH77" i="40"/>
  <c r="AG77" i="40"/>
  <c r="AF77" i="40"/>
  <c r="AE77" i="40"/>
  <c r="AD77" i="40"/>
  <c r="AC77" i="40"/>
  <c r="AB77" i="40"/>
  <c r="AA77" i="40"/>
  <c r="X77" i="40"/>
  <c r="W77" i="40"/>
  <c r="Q77" i="40"/>
  <c r="P77" i="40"/>
  <c r="O77" i="40"/>
  <c r="N77" i="40"/>
  <c r="M77" i="40"/>
  <c r="I77" i="40"/>
  <c r="H77" i="40"/>
  <c r="G77" i="40"/>
  <c r="F77" i="40"/>
  <c r="E77" i="40"/>
  <c r="D77" i="40"/>
  <c r="C77" i="40"/>
  <c r="B77" i="40"/>
  <c r="A77" i="40"/>
  <c r="M76" i="40"/>
  <c r="L76" i="40"/>
  <c r="AQ75" i="40"/>
  <c r="AP75" i="40"/>
  <c r="AO75" i="40"/>
  <c r="AN75" i="40"/>
  <c r="AM75" i="40"/>
  <c r="AL75" i="40"/>
  <c r="AK75" i="40"/>
  <c r="AJ75" i="40"/>
  <c r="AI75" i="40"/>
  <c r="AH75" i="40"/>
  <c r="AG75" i="40"/>
  <c r="AF75" i="40"/>
  <c r="AE75" i="40"/>
  <c r="AD75" i="40"/>
  <c r="AC75" i="40"/>
  <c r="AB75" i="40"/>
  <c r="AA75" i="40"/>
  <c r="Z75" i="40"/>
  <c r="X75" i="40"/>
  <c r="W75" i="40"/>
  <c r="U75" i="40"/>
  <c r="S75" i="40"/>
  <c r="S69" i="40" s="1"/>
  <c r="R75" i="40"/>
  <c r="Q75" i="40"/>
  <c r="P75" i="40"/>
  <c r="O75" i="40"/>
  <c r="N75" i="40"/>
  <c r="M75" i="40"/>
  <c r="I75" i="40"/>
  <c r="H75" i="40"/>
  <c r="G75" i="40"/>
  <c r="F75" i="40"/>
  <c r="E75" i="40"/>
  <c r="D75" i="40"/>
  <c r="C75" i="40"/>
  <c r="B75" i="40"/>
  <c r="A75" i="40"/>
  <c r="AQ74" i="40"/>
  <c r="AP74" i="40"/>
  <c r="AO74" i="40"/>
  <c r="AN74" i="40"/>
  <c r="AM74" i="40"/>
  <c r="AL74" i="40"/>
  <c r="AK74" i="40"/>
  <c r="AJ74" i="40"/>
  <c r="AI74" i="40"/>
  <c r="AH74" i="40"/>
  <c r="AG74" i="40"/>
  <c r="AF74" i="40"/>
  <c r="AE74" i="40"/>
  <c r="AD74" i="40"/>
  <c r="AC74" i="40"/>
  <c r="AB74" i="40"/>
  <c r="AA74" i="40"/>
  <c r="Z74" i="40"/>
  <c r="X74" i="40"/>
  <c r="W74" i="40"/>
  <c r="U74" i="40"/>
  <c r="S74" i="40"/>
  <c r="R74" i="40"/>
  <c r="Q74" i="40"/>
  <c r="P74" i="40"/>
  <c r="O74" i="40"/>
  <c r="N74" i="40"/>
  <c r="M74" i="40"/>
  <c r="I74" i="40"/>
  <c r="H74" i="40"/>
  <c r="G74" i="40"/>
  <c r="F74" i="40"/>
  <c r="E74" i="40"/>
  <c r="D74" i="40"/>
  <c r="C74" i="40"/>
  <c r="B74" i="40"/>
  <c r="A74" i="40"/>
  <c r="AQ73" i="40"/>
  <c r="AP73" i="40"/>
  <c r="AO73" i="40"/>
  <c r="AN73" i="40"/>
  <c r="AM73" i="40"/>
  <c r="AL73" i="40"/>
  <c r="AK73" i="40"/>
  <c r="AJ73" i="40"/>
  <c r="AI73" i="40"/>
  <c r="AH73" i="40"/>
  <c r="AG73" i="40"/>
  <c r="AF73" i="40"/>
  <c r="AE73" i="40"/>
  <c r="AD73" i="40"/>
  <c r="AC73" i="40"/>
  <c r="AB73" i="40"/>
  <c r="AA73" i="40"/>
  <c r="Z73" i="40"/>
  <c r="Y73" i="40"/>
  <c r="X73" i="40"/>
  <c r="W73" i="40"/>
  <c r="U73" i="40"/>
  <c r="S73" i="40"/>
  <c r="R73" i="40"/>
  <c r="Q73" i="40"/>
  <c r="P73" i="40"/>
  <c r="N73" i="40"/>
  <c r="I73" i="40"/>
  <c r="H73" i="40"/>
  <c r="G73" i="40"/>
  <c r="F73" i="40"/>
  <c r="E73" i="40"/>
  <c r="D73" i="40"/>
  <c r="C73" i="40"/>
  <c r="B73" i="40"/>
  <c r="A73" i="40"/>
  <c r="AQ72" i="40"/>
  <c r="AP72" i="40"/>
  <c r="AO72" i="40"/>
  <c r="AN72" i="40"/>
  <c r="AM72" i="40"/>
  <c r="AL72" i="40"/>
  <c r="AK72" i="40"/>
  <c r="AJ72" i="40"/>
  <c r="AI72" i="40"/>
  <c r="AH72" i="40"/>
  <c r="AG72" i="40"/>
  <c r="AF72" i="40"/>
  <c r="AE72" i="40"/>
  <c r="AD72" i="40"/>
  <c r="AC72" i="40"/>
  <c r="AB72" i="40"/>
  <c r="AA72" i="40"/>
  <c r="Z72" i="40"/>
  <c r="Y72" i="40"/>
  <c r="X72" i="40"/>
  <c r="W72" i="40"/>
  <c r="U72" i="40"/>
  <c r="S72" i="40"/>
  <c r="R72" i="40"/>
  <c r="Q72" i="40"/>
  <c r="P72" i="40"/>
  <c r="N72" i="40"/>
  <c r="I72" i="40"/>
  <c r="H72" i="40"/>
  <c r="G72" i="40"/>
  <c r="F72" i="40"/>
  <c r="E72" i="40"/>
  <c r="D72" i="40"/>
  <c r="C72" i="40"/>
  <c r="B72" i="40"/>
  <c r="A72" i="40"/>
  <c r="AQ71" i="40"/>
  <c r="AP71" i="40"/>
  <c r="AO71" i="40"/>
  <c r="AN71" i="40"/>
  <c r="AM71" i="40"/>
  <c r="AL71" i="40"/>
  <c r="AK71" i="40"/>
  <c r="AJ71" i="40"/>
  <c r="AI71" i="40"/>
  <c r="AH71" i="40"/>
  <c r="AG71" i="40"/>
  <c r="AF71" i="40"/>
  <c r="AE71" i="40"/>
  <c r="AD71" i="40"/>
  <c r="AC71" i="40"/>
  <c r="AB71" i="40"/>
  <c r="AA71" i="40"/>
  <c r="X71" i="40"/>
  <c r="W71" i="40"/>
  <c r="U71" i="40"/>
  <c r="S71" i="40"/>
  <c r="R71" i="40"/>
  <c r="Q71" i="40"/>
  <c r="P71" i="40"/>
  <c r="O71" i="40"/>
  <c r="N71" i="40"/>
  <c r="M71" i="40"/>
  <c r="I71" i="40"/>
  <c r="H71" i="40"/>
  <c r="G71" i="40"/>
  <c r="F71" i="40"/>
  <c r="E71" i="40"/>
  <c r="D71" i="40"/>
  <c r="C71" i="40"/>
  <c r="B71" i="40"/>
  <c r="A71" i="40"/>
  <c r="AQ70" i="40"/>
  <c r="AP70" i="40"/>
  <c r="AO70" i="40"/>
  <c r="AN70" i="40"/>
  <c r="AM70" i="40"/>
  <c r="AL70" i="40"/>
  <c r="AK70" i="40"/>
  <c r="AJ70" i="40"/>
  <c r="AI70" i="40"/>
  <c r="AH70" i="40"/>
  <c r="AG70" i="40"/>
  <c r="AF70" i="40"/>
  <c r="AE70" i="40"/>
  <c r="AD70" i="40"/>
  <c r="AC70" i="40"/>
  <c r="AB70" i="40"/>
  <c r="AA70" i="40"/>
  <c r="Y70" i="40"/>
  <c r="X70" i="40"/>
  <c r="X69" i="40" s="1"/>
  <c r="W70" i="40"/>
  <c r="U70" i="40"/>
  <c r="U69" i="40" s="1"/>
  <c r="S70" i="40"/>
  <c r="R70" i="40"/>
  <c r="Q70" i="40"/>
  <c r="P70" i="40"/>
  <c r="O70" i="40"/>
  <c r="N70" i="40"/>
  <c r="M70" i="40"/>
  <c r="I70" i="40"/>
  <c r="H70" i="40"/>
  <c r="G70" i="40"/>
  <c r="F70" i="40"/>
  <c r="E70" i="40"/>
  <c r="D70" i="40"/>
  <c r="C70" i="40"/>
  <c r="B70" i="40"/>
  <c r="A70" i="40"/>
  <c r="R69" i="40"/>
  <c r="M69" i="40"/>
  <c r="L69" i="40"/>
  <c r="AQ68" i="40"/>
  <c r="AP68" i="40"/>
  <c r="AO68" i="40"/>
  <c r="AN68" i="40"/>
  <c r="AM68" i="40"/>
  <c r="AL68" i="40"/>
  <c r="AK68" i="40"/>
  <c r="AJ68" i="40"/>
  <c r="AI68" i="40"/>
  <c r="AH68" i="40"/>
  <c r="AG68" i="40"/>
  <c r="AF68" i="40"/>
  <c r="AE68" i="40"/>
  <c r="AD68" i="40"/>
  <c r="AC68" i="40"/>
  <c r="AB68" i="40"/>
  <c r="AA68" i="40"/>
  <c r="Y68" i="40"/>
  <c r="X68" i="40"/>
  <c r="W68" i="40"/>
  <c r="U68" i="40"/>
  <c r="S68" i="40"/>
  <c r="R68" i="40"/>
  <c r="Q68" i="40"/>
  <c r="P68" i="40"/>
  <c r="O68" i="40"/>
  <c r="N68" i="40"/>
  <c r="M68" i="40"/>
  <c r="I68" i="40"/>
  <c r="H68" i="40"/>
  <c r="G68" i="40"/>
  <c r="F68" i="40"/>
  <c r="E68" i="40"/>
  <c r="D68" i="40"/>
  <c r="C68" i="40"/>
  <c r="B68" i="40"/>
  <c r="A68" i="40"/>
  <c r="AQ67" i="40"/>
  <c r="AP67" i="40"/>
  <c r="AO67" i="40"/>
  <c r="AN67" i="40"/>
  <c r="AM67" i="40"/>
  <c r="AL67" i="40"/>
  <c r="AK67" i="40"/>
  <c r="AJ67" i="40"/>
  <c r="AI67" i="40"/>
  <c r="AH67" i="40"/>
  <c r="AG67" i="40"/>
  <c r="AF67" i="40"/>
  <c r="AE67" i="40"/>
  <c r="AD67" i="40"/>
  <c r="AC67" i="40"/>
  <c r="AB67" i="40"/>
  <c r="AA67" i="40"/>
  <c r="X67" i="40"/>
  <c r="X66" i="40" s="1"/>
  <c r="W67" i="40"/>
  <c r="U67" i="40"/>
  <c r="S67" i="40"/>
  <c r="S66" i="40" s="1"/>
  <c r="R67" i="40"/>
  <c r="R66" i="40" s="1"/>
  <c r="Q67" i="40"/>
  <c r="P67" i="40"/>
  <c r="O67" i="40"/>
  <c r="N67" i="40"/>
  <c r="M67" i="40"/>
  <c r="I67" i="40"/>
  <c r="H67" i="40"/>
  <c r="G67" i="40"/>
  <c r="F67" i="40"/>
  <c r="E67" i="40"/>
  <c r="D67" i="40"/>
  <c r="C67" i="40"/>
  <c r="B67" i="40"/>
  <c r="A67" i="40"/>
  <c r="U66" i="40"/>
  <c r="M66" i="40"/>
  <c r="L66" i="40"/>
  <c r="AP65" i="40"/>
  <c r="AH65" i="40"/>
  <c r="AG65" i="40"/>
  <c r="AF65" i="40"/>
  <c r="AE65" i="40"/>
  <c r="AD65" i="40"/>
  <c r="AC65" i="40"/>
  <c r="AB65" i="40"/>
  <c r="AA65" i="40"/>
  <c r="Z65" i="40"/>
  <c r="Y65" i="40"/>
  <c r="X65" i="40"/>
  <c r="W65" i="40"/>
  <c r="U65" i="40"/>
  <c r="T65" i="40"/>
  <c r="S65" i="40"/>
  <c r="R65" i="40"/>
  <c r="Q65" i="40"/>
  <c r="P65" i="40"/>
  <c r="O65" i="40"/>
  <c r="N65" i="40"/>
  <c r="M65" i="40"/>
  <c r="AQ64" i="40"/>
  <c r="AP64" i="40"/>
  <c r="AO64" i="40"/>
  <c r="AN64" i="40"/>
  <c r="AM64" i="40"/>
  <c r="AL64" i="40"/>
  <c r="AK64" i="40"/>
  <c r="AJ64" i="40"/>
  <c r="AI64" i="40"/>
  <c r="AH64" i="40"/>
  <c r="AG64" i="40"/>
  <c r="AF64" i="40"/>
  <c r="AE64" i="40"/>
  <c r="AD64" i="40"/>
  <c r="AC64" i="40"/>
  <c r="AB64" i="40"/>
  <c r="AA64" i="40"/>
  <c r="X64" i="40"/>
  <c r="W64" i="40"/>
  <c r="U64" i="40"/>
  <c r="S64" i="40"/>
  <c r="R64" i="40"/>
  <c r="Q64" i="40"/>
  <c r="P64" i="40"/>
  <c r="O64" i="40"/>
  <c r="N64" i="40"/>
  <c r="M64" i="40"/>
  <c r="I64" i="40"/>
  <c r="H64" i="40"/>
  <c r="G64" i="40"/>
  <c r="F64" i="40"/>
  <c r="E64" i="40"/>
  <c r="D64" i="40"/>
  <c r="C64" i="40"/>
  <c r="B64" i="40"/>
  <c r="A64" i="40"/>
  <c r="AQ63" i="40"/>
  <c r="AP63" i="40"/>
  <c r="AO63" i="40"/>
  <c r="AN63" i="40"/>
  <c r="AM63" i="40"/>
  <c r="AL63" i="40"/>
  <c r="AK63" i="40"/>
  <c r="AJ63" i="40"/>
  <c r="AI63" i="40"/>
  <c r="AH63" i="40"/>
  <c r="AG63" i="40"/>
  <c r="AF63" i="40"/>
  <c r="AE63" i="40"/>
  <c r="AD63" i="40"/>
  <c r="AC63" i="40"/>
  <c r="AB63" i="40"/>
  <c r="AA63" i="40"/>
  <c r="X63" i="40"/>
  <c r="W63" i="40"/>
  <c r="U63" i="40"/>
  <c r="S63" i="40"/>
  <c r="R63" i="40"/>
  <c r="Q63" i="40"/>
  <c r="P63" i="40"/>
  <c r="O63" i="40"/>
  <c r="N63" i="40"/>
  <c r="M63" i="40"/>
  <c r="I63" i="40"/>
  <c r="H63" i="40"/>
  <c r="G63" i="40"/>
  <c r="F63" i="40"/>
  <c r="E63" i="40"/>
  <c r="D63" i="40"/>
  <c r="C63" i="40"/>
  <c r="B63" i="40"/>
  <c r="A63" i="40"/>
  <c r="AQ62" i="40"/>
  <c r="AP62" i="40"/>
  <c r="AO62" i="40"/>
  <c r="AN62" i="40"/>
  <c r="AM62" i="40"/>
  <c r="AL62" i="40"/>
  <c r="AK62" i="40"/>
  <c r="AJ62" i="40"/>
  <c r="AI62" i="40"/>
  <c r="AH62" i="40"/>
  <c r="AG62" i="40"/>
  <c r="AF62" i="40"/>
  <c r="AE62" i="40"/>
  <c r="AD62" i="40"/>
  <c r="AC62" i="40"/>
  <c r="AB62" i="40"/>
  <c r="AA62" i="40"/>
  <c r="Z62" i="40"/>
  <c r="Y62" i="40"/>
  <c r="X62" i="40"/>
  <c r="W62" i="40"/>
  <c r="U62" i="40"/>
  <c r="T62" i="40"/>
  <c r="S62" i="40"/>
  <c r="R62" i="40"/>
  <c r="Q62" i="40"/>
  <c r="P62" i="40"/>
  <c r="N62" i="40"/>
  <c r="I62" i="40"/>
  <c r="H62" i="40"/>
  <c r="G62" i="40"/>
  <c r="F62" i="40"/>
  <c r="E62" i="40"/>
  <c r="D62" i="40"/>
  <c r="C62" i="40"/>
  <c r="B62" i="40"/>
  <c r="A62" i="40"/>
  <c r="AQ61" i="40"/>
  <c r="AP61" i="40"/>
  <c r="AO61" i="40"/>
  <c r="AN61" i="40"/>
  <c r="AM61" i="40"/>
  <c r="AL61" i="40"/>
  <c r="AK61" i="40"/>
  <c r="AJ61" i="40"/>
  <c r="AI61" i="40"/>
  <c r="AH61" i="40"/>
  <c r="AG61" i="40"/>
  <c r="AF61" i="40"/>
  <c r="AE61" i="40"/>
  <c r="AD61" i="40"/>
  <c r="AC61" i="40"/>
  <c r="AB61" i="40"/>
  <c r="AA61" i="40"/>
  <c r="Z61" i="40"/>
  <c r="Y61" i="40"/>
  <c r="X61" i="40"/>
  <c r="W61" i="40"/>
  <c r="U61" i="40"/>
  <c r="T61" i="40"/>
  <c r="S61" i="40"/>
  <c r="R61" i="40"/>
  <c r="Q61" i="40"/>
  <c r="P61" i="40"/>
  <c r="N61" i="40"/>
  <c r="I61" i="40"/>
  <c r="H61" i="40"/>
  <c r="G61" i="40"/>
  <c r="F61" i="40"/>
  <c r="E61" i="40"/>
  <c r="D61" i="40"/>
  <c r="C61" i="40"/>
  <c r="B61" i="40"/>
  <c r="A61" i="40"/>
  <c r="AQ60" i="40"/>
  <c r="AP60" i="40"/>
  <c r="AO60" i="40"/>
  <c r="AN60" i="40"/>
  <c r="AM60" i="40"/>
  <c r="AL60" i="40"/>
  <c r="AK60" i="40"/>
  <c r="AJ60" i="40"/>
  <c r="AI60" i="40"/>
  <c r="AH60" i="40"/>
  <c r="AG60" i="40"/>
  <c r="AF60" i="40"/>
  <c r="AE60" i="40"/>
  <c r="AD60" i="40"/>
  <c r="AC60" i="40"/>
  <c r="AB60" i="40"/>
  <c r="AA60" i="40"/>
  <c r="Z60" i="40"/>
  <c r="Y60" i="40"/>
  <c r="X60" i="40"/>
  <c r="W60" i="40"/>
  <c r="U60" i="40"/>
  <c r="S60" i="40"/>
  <c r="R60" i="40"/>
  <c r="Q60" i="40"/>
  <c r="P60" i="40"/>
  <c r="N60" i="40"/>
  <c r="I60" i="40"/>
  <c r="H60" i="40"/>
  <c r="G60" i="40"/>
  <c r="F60" i="40"/>
  <c r="E60" i="40"/>
  <c r="D60" i="40"/>
  <c r="C60" i="40"/>
  <c r="B60" i="40"/>
  <c r="A60" i="40"/>
  <c r="AQ59" i="40"/>
  <c r="AP59" i="40"/>
  <c r="AO59" i="40"/>
  <c r="AN59" i="40"/>
  <c r="AM59" i="40"/>
  <c r="AL59" i="40"/>
  <c r="AK59" i="40"/>
  <c r="AJ59" i="40"/>
  <c r="AI59" i="40"/>
  <c r="AH59" i="40"/>
  <c r="AG59" i="40"/>
  <c r="AF59" i="40"/>
  <c r="AE59" i="40"/>
  <c r="AD59" i="40"/>
  <c r="AC59" i="40"/>
  <c r="AB59" i="40"/>
  <c r="X59" i="40"/>
  <c r="W59" i="40"/>
  <c r="U59" i="40"/>
  <c r="S59" i="40"/>
  <c r="R59" i="40"/>
  <c r="Q59" i="40"/>
  <c r="P59" i="40"/>
  <c r="O59" i="40"/>
  <c r="N59" i="40"/>
  <c r="M59" i="40"/>
  <c r="I59" i="40"/>
  <c r="H59" i="40"/>
  <c r="G59" i="40"/>
  <c r="F59" i="40"/>
  <c r="E59" i="40"/>
  <c r="D59" i="40"/>
  <c r="C59" i="40"/>
  <c r="B59" i="40"/>
  <c r="A59" i="40"/>
  <c r="AQ58" i="40"/>
  <c r="AP58" i="40"/>
  <c r="AO58" i="40"/>
  <c r="AN58" i="40"/>
  <c r="AM58" i="40"/>
  <c r="AL58" i="40"/>
  <c r="AK58" i="40"/>
  <c r="AJ58" i="40"/>
  <c r="AI58" i="40"/>
  <c r="AH58" i="40"/>
  <c r="AG58" i="40"/>
  <c r="AF58" i="40"/>
  <c r="AE58" i="40"/>
  <c r="AD58" i="40"/>
  <c r="AC58" i="40"/>
  <c r="AB58" i="40"/>
  <c r="AA58" i="40"/>
  <c r="Y58" i="40"/>
  <c r="X58" i="40"/>
  <c r="W58" i="40"/>
  <c r="U58" i="40"/>
  <c r="S58" i="40"/>
  <c r="R58" i="40"/>
  <c r="Q58" i="40"/>
  <c r="P58" i="40"/>
  <c r="O58" i="40"/>
  <c r="N58" i="40"/>
  <c r="M58" i="40"/>
  <c r="I58" i="40"/>
  <c r="H58" i="40"/>
  <c r="G58" i="40"/>
  <c r="F58" i="40"/>
  <c r="E58" i="40"/>
  <c r="D58" i="40"/>
  <c r="C58" i="40"/>
  <c r="B58" i="40"/>
  <c r="A58" i="40"/>
  <c r="AQ57" i="40"/>
  <c r="AP57" i="40"/>
  <c r="AO57" i="40"/>
  <c r="AN57" i="40"/>
  <c r="AM57" i="40"/>
  <c r="AL57" i="40"/>
  <c r="AK57" i="40"/>
  <c r="AJ57" i="40"/>
  <c r="AI57" i="40"/>
  <c r="AH57" i="40"/>
  <c r="AG57" i="40"/>
  <c r="AF57" i="40"/>
  <c r="AE57" i="40"/>
  <c r="AD57" i="40"/>
  <c r="AC57" i="40"/>
  <c r="AB57" i="40"/>
  <c r="AA57" i="40"/>
  <c r="X57" i="40"/>
  <c r="W57" i="40"/>
  <c r="U57" i="40"/>
  <c r="U53" i="40" s="1"/>
  <c r="S57" i="40"/>
  <c r="R57" i="40"/>
  <c r="Q57" i="40"/>
  <c r="P57" i="40"/>
  <c r="O57" i="40"/>
  <c r="N57" i="40"/>
  <c r="M57" i="40"/>
  <c r="I57" i="40"/>
  <c r="H57" i="40"/>
  <c r="G57" i="40"/>
  <c r="F57" i="40"/>
  <c r="E57" i="40"/>
  <c r="D57" i="40"/>
  <c r="C57" i="40"/>
  <c r="B57" i="40"/>
  <c r="A57" i="40"/>
  <c r="AQ56" i="40"/>
  <c r="AP56" i="40"/>
  <c r="AO56" i="40"/>
  <c r="AN56" i="40"/>
  <c r="AM56" i="40"/>
  <c r="AL56" i="40"/>
  <c r="AK56" i="40"/>
  <c r="AJ56" i="40"/>
  <c r="AI56" i="40"/>
  <c r="AH56" i="40"/>
  <c r="AG56" i="40"/>
  <c r="AF56" i="40"/>
  <c r="AE56" i="40"/>
  <c r="AD56" i="40"/>
  <c r="AC56" i="40"/>
  <c r="AB56" i="40"/>
  <c r="AA56" i="40"/>
  <c r="Z56" i="40"/>
  <c r="Y56" i="40"/>
  <c r="X56" i="40"/>
  <c r="W56" i="40"/>
  <c r="U56" i="40"/>
  <c r="S56" i="40"/>
  <c r="R56" i="40"/>
  <c r="Q56" i="40"/>
  <c r="P56" i="40"/>
  <c r="O56" i="40"/>
  <c r="N56" i="40"/>
  <c r="AQ55" i="40"/>
  <c r="AP55" i="40"/>
  <c r="AO55" i="40"/>
  <c r="AN55" i="40"/>
  <c r="AM55" i="40"/>
  <c r="AL55" i="40"/>
  <c r="AK55" i="40"/>
  <c r="AJ55" i="40"/>
  <c r="AI55" i="40"/>
  <c r="AH55" i="40"/>
  <c r="AG55" i="40"/>
  <c r="AF55" i="40"/>
  <c r="AE55" i="40"/>
  <c r="AD55" i="40"/>
  <c r="AC55" i="40"/>
  <c r="AB55" i="40"/>
  <c r="AA55" i="40"/>
  <c r="Z55" i="40"/>
  <c r="Y55" i="40"/>
  <c r="X55" i="40"/>
  <c r="W55" i="40"/>
  <c r="U55" i="40"/>
  <c r="S55" i="40"/>
  <c r="R55" i="40"/>
  <c r="Q55" i="40"/>
  <c r="P55" i="40"/>
  <c r="O55" i="40"/>
  <c r="N55" i="40"/>
  <c r="AQ54" i="40"/>
  <c r="AP54" i="40"/>
  <c r="AO54" i="40"/>
  <c r="AN54" i="40"/>
  <c r="AM54" i="40"/>
  <c r="AL54" i="40"/>
  <c r="AK54" i="40"/>
  <c r="AJ54" i="40"/>
  <c r="AI54" i="40"/>
  <c r="AH54" i="40"/>
  <c r="AG54" i="40"/>
  <c r="AF54" i="40"/>
  <c r="AE54" i="40"/>
  <c r="AD54" i="40"/>
  <c r="AC54" i="40"/>
  <c r="AB54" i="40"/>
  <c r="AA54" i="40"/>
  <c r="Z54" i="40"/>
  <c r="X54" i="40"/>
  <c r="X53" i="40" s="1"/>
  <c r="W54" i="40"/>
  <c r="U54" i="40"/>
  <c r="S54" i="40"/>
  <c r="R54" i="40"/>
  <c r="R53" i="40" s="1"/>
  <c r="Q54" i="40"/>
  <c r="P54" i="40"/>
  <c r="O54" i="40"/>
  <c r="N54" i="40"/>
  <c r="M54" i="40"/>
  <c r="I54" i="40"/>
  <c r="H54" i="40"/>
  <c r="G54" i="40"/>
  <c r="F54" i="40"/>
  <c r="E54" i="40"/>
  <c r="D54" i="40"/>
  <c r="C54" i="40"/>
  <c r="B54" i="40"/>
  <c r="A54" i="40"/>
  <c r="S53" i="40"/>
  <c r="M53" i="40"/>
  <c r="L53" i="40"/>
  <c r="AP52" i="40"/>
  <c r="AH52" i="40"/>
  <c r="AG52" i="40"/>
  <c r="AF52" i="40"/>
  <c r="AE52" i="40"/>
  <c r="AD52" i="40"/>
  <c r="AC52" i="40"/>
  <c r="AB52" i="40"/>
  <c r="AA52" i="40"/>
  <c r="Z52" i="40"/>
  <c r="Y52" i="40"/>
  <c r="X52" i="40"/>
  <c r="W52" i="40"/>
  <c r="V52" i="40"/>
  <c r="U52" i="40"/>
  <c r="T52" i="40"/>
  <c r="S52" i="40"/>
  <c r="R52" i="40"/>
  <c r="Q52" i="40"/>
  <c r="P52" i="40"/>
  <c r="O52" i="40"/>
  <c r="N52" i="40"/>
  <c r="M52" i="40"/>
  <c r="AQ51" i="40"/>
  <c r="AP51" i="40"/>
  <c r="AO51" i="40"/>
  <c r="AN51" i="40"/>
  <c r="AM51" i="40"/>
  <c r="AL51" i="40"/>
  <c r="AK51" i="40"/>
  <c r="AJ51" i="40"/>
  <c r="AI51" i="40"/>
  <c r="AH51" i="40"/>
  <c r="AG51" i="40"/>
  <c r="AF51" i="40"/>
  <c r="AE51" i="40"/>
  <c r="AD51" i="40"/>
  <c r="AC51" i="40"/>
  <c r="AB51" i="40"/>
  <c r="AA51" i="40"/>
  <c r="Y51" i="40"/>
  <c r="X51" i="40"/>
  <c r="W51" i="40"/>
  <c r="U51" i="40"/>
  <c r="T51" i="40"/>
  <c r="S51" i="40"/>
  <c r="R51" i="40"/>
  <c r="Q51" i="40"/>
  <c r="P51" i="40"/>
  <c r="O51" i="40"/>
  <c r="N51" i="40"/>
  <c r="AQ50" i="40"/>
  <c r="AP50" i="40"/>
  <c r="AO50" i="40"/>
  <c r="AN50" i="40"/>
  <c r="AM50" i="40"/>
  <c r="AL50" i="40"/>
  <c r="AK50" i="40"/>
  <c r="AJ50" i="40"/>
  <c r="AI50" i="40"/>
  <c r="AH50" i="40"/>
  <c r="AG50" i="40"/>
  <c r="AF50" i="40"/>
  <c r="AE50" i="40"/>
  <c r="AD50" i="40"/>
  <c r="AC50" i="40"/>
  <c r="AB50" i="40"/>
  <c r="AA50" i="40"/>
  <c r="Y50" i="40"/>
  <c r="X50" i="40"/>
  <c r="W50" i="40"/>
  <c r="U50" i="40"/>
  <c r="T50" i="40"/>
  <c r="S50" i="40"/>
  <c r="R50" i="40"/>
  <c r="Q50" i="40"/>
  <c r="P50" i="40"/>
  <c r="O50" i="40"/>
  <c r="N50" i="40"/>
  <c r="I50" i="40"/>
  <c r="H50" i="40"/>
  <c r="G50" i="40"/>
  <c r="F50" i="40"/>
  <c r="E50" i="40"/>
  <c r="D50" i="40"/>
  <c r="C50" i="40"/>
  <c r="B50" i="40"/>
  <c r="A50" i="40"/>
  <c r="AQ49" i="40"/>
  <c r="AP49" i="40"/>
  <c r="AO49" i="40"/>
  <c r="AN49" i="40"/>
  <c r="AM49" i="40"/>
  <c r="AL49" i="40"/>
  <c r="AK49" i="40"/>
  <c r="AJ49" i="40"/>
  <c r="AI49" i="40"/>
  <c r="AH49" i="40"/>
  <c r="AG49" i="40"/>
  <c r="AF49" i="40"/>
  <c r="AE49" i="40"/>
  <c r="AD49" i="40"/>
  <c r="AC49" i="40"/>
  <c r="AB49" i="40"/>
  <c r="AA49" i="40"/>
  <c r="X49" i="40"/>
  <c r="W49" i="40"/>
  <c r="U49" i="40"/>
  <c r="T49" i="40"/>
  <c r="S49" i="40"/>
  <c r="R49" i="40"/>
  <c r="Q49" i="40"/>
  <c r="P49" i="40"/>
  <c r="O49" i="40"/>
  <c r="N49" i="40"/>
  <c r="AQ48" i="40"/>
  <c r="AP48" i="40"/>
  <c r="AO48" i="40"/>
  <c r="AN48" i="40"/>
  <c r="AM48" i="40"/>
  <c r="AL48" i="40"/>
  <c r="AK48" i="40"/>
  <c r="AJ48" i="40"/>
  <c r="AI48" i="40"/>
  <c r="AH48" i="40"/>
  <c r="AG48" i="40"/>
  <c r="AF48" i="40"/>
  <c r="AE48" i="40"/>
  <c r="AD48" i="40"/>
  <c r="AC48" i="40"/>
  <c r="AB48" i="40"/>
  <c r="AA48" i="40"/>
  <c r="Y48" i="40"/>
  <c r="X48" i="40"/>
  <c r="W48" i="40"/>
  <c r="U48" i="40"/>
  <c r="T48" i="40"/>
  <c r="S48" i="40"/>
  <c r="R48" i="40"/>
  <c r="Q48" i="40"/>
  <c r="P48" i="40"/>
  <c r="O48" i="40"/>
  <c r="N48" i="40"/>
  <c r="I48" i="40"/>
  <c r="H48" i="40"/>
  <c r="G48" i="40"/>
  <c r="F48" i="40"/>
  <c r="E48" i="40"/>
  <c r="D48" i="40"/>
  <c r="C48" i="40"/>
  <c r="B48" i="40"/>
  <c r="A48" i="40"/>
  <c r="AQ47" i="40"/>
  <c r="AP47" i="40"/>
  <c r="AO47" i="40"/>
  <c r="AN47" i="40"/>
  <c r="AM47" i="40"/>
  <c r="AL47" i="40"/>
  <c r="AK47" i="40"/>
  <c r="AJ47" i="40"/>
  <c r="AI47" i="40"/>
  <c r="AH47" i="40"/>
  <c r="AG47" i="40"/>
  <c r="AF47" i="40"/>
  <c r="AE47" i="40"/>
  <c r="AD47" i="40"/>
  <c r="AC47" i="40"/>
  <c r="AB47" i="40"/>
  <c r="AA47" i="40"/>
  <c r="X47" i="40"/>
  <c r="W47" i="40"/>
  <c r="Q47" i="40"/>
  <c r="P47" i="40"/>
  <c r="O47" i="40"/>
  <c r="N47" i="40"/>
  <c r="M47" i="40"/>
  <c r="I47" i="40"/>
  <c r="H47" i="40"/>
  <c r="G47" i="40"/>
  <c r="F47" i="40"/>
  <c r="E47" i="40"/>
  <c r="D47" i="40"/>
  <c r="C47" i="40"/>
  <c r="B47" i="40"/>
  <c r="A47" i="40"/>
  <c r="AQ46" i="40"/>
  <c r="AP46" i="40"/>
  <c r="AO46" i="40"/>
  <c r="AN46" i="40"/>
  <c r="AM46" i="40"/>
  <c r="AL46" i="40"/>
  <c r="AK46" i="40"/>
  <c r="AJ46" i="40"/>
  <c r="AI46" i="40"/>
  <c r="AH46" i="40"/>
  <c r="AG46" i="40"/>
  <c r="AF46" i="40"/>
  <c r="AE46" i="40"/>
  <c r="AD46" i="40"/>
  <c r="AC46" i="40"/>
  <c r="AB46" i="40"/>
  <c r="AA46" i="40"/>
  <c r="Y46" i="40"/>
  <c r="X46" i="40"/>
  <c r="W46" i="40"/>
  <c r="U46" i="40"/>
  <c r="T46" i="40"/>
  <c r="S46" i="40"/>
  <c r="R46" i="40"/>
  <c r="Q46" i="40"/>
  <c r="P46" i="40"/>
  <c r="O46" i="40"/>
  <c r="N46" i="40"/>
  <c r="I46" i="40"/>
  <c r="H46" i="40"/>
  <c r="G46" i="40"/>
  <c r="F46" i="40"/>
  <c r="E46" i="40"/>
  <c r="D46" i="40"/>
  <c r="C46" i="40"/>
  <c r="B46" i="40"/>
  <c r="A46" i="40"/>
  <c r="AQ45" i="40"/>
  <c r="AP45" i="40"/>
  <c r="AO45" i="40"/>
  <c r="AN45" i="40"/>
  <c r="AM45" i="40"/>
  <c r="AL45" i="40"/>
  <c r="AK45" i="40"/>
  <c r="AJ45" i="40"/>
  <c r="AI45" i="40"/>
  <c r="AH45" i="40"/>
  <c r="AG45" i="40"/>
  <c r="AF45" i="40"/>
  <c r="AE45" i="40"/>
  <c r="AD45" i="40"/>
  <c r="AC45" i="40"/>
  <c r="AB45" i="40"/>
  <c r="AA45" i="40"/>
  <c r="Y45" i="40"/>
  <c r="X45" i="40"/>
  <c r="W45" i="40"/>
  <c r="U45" i="40"/>
  <c r="T45" i="40"/>
  <c r="S45" i="40"/>
  <c r="R45" i="40"/>
  <c r="Q45" i="40"/>
  <c r="P45" i="40"/>
  <c r="O45" i="40"/>
  <c r="N45" i="40"/>
  <c r="I45" i="40"/>
  <c r="H45" i="40"/>
  <c r="G45" i="40"/>
  <c r="F45" i="40"/>
  <c r="E45" i="40"/>
  <c r="D45" i="40"/>
  <c r="C45" i="40"/>
  <c r="B45" i="40"/>
  <c r="A45" i="40"/>
  <c r="AQ44" i="40"/>
  <c r="AP44" i="40"/>
  <c r="AO44" i="40"/>
  <c r="AN44" i="40"/>
  <c r="AM44" i="40"/>
  <c r="AL44" i="40"/>
  <c r="AK44" i="40"/>
  <c r="AJ44" i="40"/>
  <c r="AI44" i="40"/>
  <c r="AH44" i="40"/>
  <c r="AG44" i="40"/>
  <c r="AF44" i="40"/>
  <c r="AE44" i="40"/>
  <c r="AD44" i="40"/>
  <c r="AC44" i="40"/>
  <c r="AB44" i="40"/>
  <c r="AA44" i="40"/>
  <c r="Y44" i="40"/>
  <c r="X44" i="40"/>
  <c r="W44" i="40"/>
  <c r="U44" i="40"/>
  <c r="T44" i="40"/>
  <c r="S44" i="40"/>
  <c r="R44" i="40"/>
  <c r="Q44" i="40"/>
  <c r="P44" i="40"/>
  <c r="O44" i="40"/>
  <c r="N44" i="40"/>
  <c r="I44" i="40"/>
  <c r="H44" i="40"/>
  <c r="G44" i="40"/>
  <c r="F44" i="40"/>
  <c r="E44" i="40"/>
  <c r="D44" i="40"/>
  <c r="C44" i="40"/>
  <c r="B44" i="40"/>
  <c r="A44" i="40"/>
  <c r="AQ43" i="40"/>
  <c r="AP43" i="40"/>
  <c r="AO43" i="40"/>
  <c r="AN43" i="40"/>
  <c r="AM43" i="40"/>
  <c r="AL43" i="40"/>
  <c r="AK43" i="40"/>
  <c r="AJ43" i="40"/>
  <c r="AI43" i="40"/>
  <c r="AH43" i="40"/>
  <c r="AG43" i="40"/>
  <c r="AF43" i="40"/>
  <c r="AE43" i="40"/>
  <c r="AD43" i="40"/>
  <c r="AC43" i="40"/>
  <c r="AB43" i="40"/>
  <c r="AA43" i="40"/>
  <c r="X43" i="40"/>
  <c r="W43" i="40"/>
  <c r="U43" i="40"/>
  <c r="T43" i="40"/>
  <c r="S43" i="40"/>
  <c r="R43" i="40"/>
  <c r="Q43" i="40"/>
  <c r="P43" i="40"/>
  <c r="O43" i="40"/>
  <c r="N43" i="40"/>
  <c r="I43" i="40"/>
  <c r="H43" i="40"/>
  <c r="G43" i="40"/>
  <c r="F43" i="40"/>
  <c r="E43" i="40"/>
  <c r="D43" i="40"/>
  <c r="C43" i="40"/>
  <c r="B43" i="40"/>
  <c r="A43" i="40"/>
  <c r="AQ42" i="40"/>
  <c r="AP42" i="40"/>
  <c r="AO42" i="40"/>
  <c r="AN42" i="40"/>
  <c r="AM42" i="40"/>
  <c r="AL42" i="40"/>
  <c r="AK42" i="40"/>
  <c r="AJ42" i="40"/>
  <c r="AI42" i="40"/>
  <c r="AH42" i="40"/>
  <c r="AG42" i="40"/>
  <c r="AF42" i="40"/>
  <c r="AE42" i="40"/>
  <c r="AD42" i="40"/>
  <c r="AC42" i="40"/>
  <c r="AB42" i="40"/>
  <c r="AA42" i="40"/>
  <c r="Z42" i="40"/>
  <c r="Y42" i="40"/>
  <c r="X42" i="40"/>
  <c r="W42" i="40"/>
  <c r="U42" i="40"/>
  <c r="T42" i="40"/>
  <c r="S42" i="40"/>
  <c r="R42" i="40"/>
  <c r="Q42" i="40"/>
  <c r="P42" i="40"/>
  <c r="O42" i="40"/>
  <c r="N42" i="40"/>
  <c r="I42" i="40"/>
  <c r="H42" i="40"/>
  <c r="G42" i="40"/>
  <c r="F42" i="40"/>
  <c r="E42" i="40"/>
  <c r="D42" i="40"/>
  <c r="C42" i="40"/>
  <c r="B42" i="40"/>
  <c r="A42" i="40"/>
  <c r="AQ41" i="40"/>
  <c r="AP41" i="40"/>
  <c r="AO41" i="40"/>
  <c r="AN41" i="40"/>
  <c r="AM41" i="40"/>
  <c r="AL41" i="40"/>
  <c r="AK41" i="40"/>
  <c r="AJ41" i="40"/>
  <c r="AI41" i="40"/>
  <c r="AH41" i="40"/>
  <c r="AG41" i="40"/>
  <c r="AF41" i="40"/>
  <c r="AE41" i="40"/>
  <c r="AD41" i="40"/>
  <c r="AC41" i="40"/>
  <c r="AB41" i="40"/>
  <c r="AA41" i="40"/>
  <c r="Y41" i="40"/>
  <c r="X41" i="40"/>
  <c r="W41" i="40"/>
  <c r="U41" i="40"/>
  <c r="T41" i="40"/>
  <c r="S41" i="40"/>
  <c r="R41" i="40"/>
  <c r="Q41" i="40"/>
  <c r="P41" i="40"/>
  <c r="O41" i="40"/>
  <c r="N41" i="40"/>
  <c r="I41" i="40"/>
  <c r="H41" i="40"/>
  <c r="G41" i="40"/>
  <c r="F41" i="40"/>
  <c r="E41" i="40"/>
  <c r="D41" i="40"/>
  <c r="C41" i="40"/>
  <c r="B41" i="40"/>
  <c r="A41" i="40"/>
  <c r="AQ40" i="40"/>
  <c r="AP40" i="40"/>
  <c r="AO40" i="40"/>
  <c r="AN40" i="40"/>
  <c r="AM40" i="40"/>
  <c r="AL40" i="40"/>
  <c r="AK40" i="40"/>
  <c r="AJ40" i="40"/>
  <c r="AI40" i="40"/>
  <c r="AH40" i="40"/>
  <c r="AG40" i="40"/>
  <c r="AF40" i="40"/>
  <c r="AE40" i="40"/>
  <c r="AD40" i="40"/>
  <c r="AC40" i="40"/>
  <c r="AB40" i="40"/>
  <c r="AA40" i="40"/>
  <c r="Y40" i="40"/>
  <c r="X40" i="40"/>
  <c r="W40" i="40"/>
  <c r="U40" i="40"/>
  <c r="T40" i="40"/>
  <c r="S40" i="40"/>
  <c r="R40" i="40"/>
  <c r="Q40" i="40"/>
  <c r="P40" i="40"/>
  <c r="O40" i="40"/>
  <c r="N40" i="40"/>
  <c r="I40" i="40"/>
  <c r="H40" i="40"/>
  <c r="G40" i="40"/>
  <c r="F40" i="40"/>
  <c r="E40" i="40"/>
  <c r="D40" i="40"/>
  <c r="C40" i="40"/>
  <c r="B40" i="40"/>
  <c r="A40" i="40"/>
  <c r="AQ39" i="40"/>
  <c r="AP39" i="40"/>
  <c r="AO39" i="40"/>
  <c r="AN39" i="40"/>
  <c r="AM39" i="40"/>
  <c r="AL39" i="40"/>
  <c r="AK39" i="40"/>
  <c r="AJ39" i="40"/>
  <c r="AI39" i="40"/>
  <c r="AH39" i="40"/>
  <c r="AG39" i="40"/>
  <c r="AF39" i="40"/>
  <c r="AE39" i="40"/>
  <c r="AD39" i="40"/>
  <c r="AC39" i="40"/>
  <c r="AB39" i="40"/>
  <c r="AA39" i="40"/>
  <c r="Y39" i="40"/>
  <c r="X39" i="40"/>
  <c r="W39" i="40"/>
  <c r="U39" i="40"/>
  <c r="T39" i="40"/>
  <c r="S39" i="40"/>
  <c r="R39" i="40"/>
  <c r="Q39" i="40"/>
  <c r="P39" i="40"/>
  <c r="O39" i="40"/>
  <c r="N39" i="40"/>
  <c r="I39" i="40"/>
  <c r="H39" i="40"/>
  <c r="G39" i="40"/>
  <c r="F39" i="40"/>
  <c r="E39" i="40"/>
  <c r="D39" i="40"/>
  <c r="C39" i="40"/>
  <c r="B39" i="40"/>
  <c r="A39" i="40"/>
  <c r="AQ38" i="40"/>
  <c r="AP38" i="40"/>
  <c r="AO38" i="40"/>
  <c r="AN38" i="40"/>
  <c r="AM38" i="40"/>
  <c r="AL38" i="40"/>
  <c r="AK38" i="40"/>
  <c r="AJ38" i="40"/>
  <c r="AI38" i="40"/>
  <c r="AH38" i="40"/>
  <c r="AG38" i="40"/>
  <c r="AF38" i="40"/>
  <c r="AE38" i="40"/>
  <c r="AD38" i="40"/>
  <c r="AC38" i="40"/>
  <c r="AB38" i="40"/>
  <c r="AA38" i="40"/>
  <c r="X38" i="40"/>
  <c r="W38" i="40"/>
  <c r="Q38" i="40"/>
  <c r="P38" i="40"/>
  <c r="O38" i="40"/>
  <c r="N38" i="40"/>
  <c r="M38" i="40"/>
  <c r="I38" i="40"/>
  <c r="H38" i="40"/>
  <c r="G38" i="40"/>
  <c r="F38" i="40"/>
  <c r="E38" i="40"/>
  <c r="D38" i="40"/>
  <c r="C38" i="40"/>
  <c r="B38" i="40"/>
  <c r="A38" i="40"/>
  <c r="AQ37" i="40"/>
  <c r="AP37" i="40"/>
  <c r="AO37" i="40"/>
  <c r="AN37" i="40"/>
  <c r="AM37" i="40"/>
  <c r="AL37" i="40"/>
  <c r="AK37" i="40"/>
  <c r="AJ37" i="40"/>
  <c r="AI37" i="40"/>
  <c r="AH37" i="40"/>
  <c r="AG37" i="40"/>
  <c r="AF37" i="40"/>
  <c r="AE37" i="40"/>
  <c r="AD37" i="40"/>
  <c r="AC37" i="40"/>
  <c r="AB37" i="40"/>
  <c r="AA37" i="40"/>
  <c r="Y37" i="40"/>
  <c r="X37" i="40"/>
  <c r="W37" i="40"/>
  <c r="U37" i="40"/>
  <c r="T37" i="40"/>
  <c r="S37" i="40"/>
  <c r="R37" i="40"/>
  <c r="Q37" i="40"/>
  <c r="P37" i="40"/>
  <c r="O37" i="40"/>
  <c r="N37" i="40"/>
  <c r="M37" i="40"/>
  <c r="I37" i="40"/>
  <c r="H37" i="40"/>
  <c r="G37" i="40"/>
  <c r="F37" i="40"/>
  <c r="E37" i="40"/>
  <c r="D37" i="40"/>
  <c r="C37" i="40"/>
  <c r="B37" i="40"/>
  <c r="A37" i="40"/>
  <c r="AQ36" i="40"/>
  <c r="AP36" i="40"/>
  <c r="AO36" i="40"/>
  <c r="AN36" i="40"/>
  <c r="AM36" i="40"/>
  <c r="AL36" i="40"/>
  <c r="AK36" i="40"/>
  <c r="AJ36" i="40"/>
  <c r="AI36" i="40"/>
  <c r="AH36" i="40"/>
  <c r="AG36" i="40"/>
  <c r="AF36" i="40"/>
  <c r="AE36" i="40"/>
  <c r="AD36" i="40"/>
  <c r="AC36" i="40"/>
  <c r="AB36" i="40"/>
  <c r="AA36" i="40"/>
  <c r="Z36" i="40"/>
  <c r="Y36" i="40"/>
  <c r="X36" i="40"/>
  <c r="W36" i="40"/>
  <c r="U36" i="40"/>
  <c r="T36" i="40"/>
  <c r="S36" i="40"/>
  <c r="R36" i="40"/>
  <c r="Q36" i="40"/>
  <c r="P36" i="40"/>
  <c r="O36" i="40"/>
  <c r="N36" i="40"/>
  <c r="M36" i="40"/>
  <c r="I36" i="40"/>
  <c r="H36" i="40"/>
  <c r="G36" i="40"/>
  <c r="F36" i="40"/>
  <c r="E36" i="40"/>
  <c r="D36" i="40"/>
  <c r="C36" i="40"/>
  <c r="B36" i="40"/>
  <c r="A36" i="40"/>
  <c r="M35" i="40"/>
  <c r="L35" i="40"/>
  <c r="AP34" i="40"/>
  <c r="AH34" i="40"/>
  <c r="AG34" i="40"/>
  <c r="AF34" i="40"/>
  <c r="AE34" i="40"/>
  <c r="AD34" i="40"/>
  <c r="AC34" i="40"/>
  <c r="AB34" i="40"/>
  <c r="AA34" i="40"/>
  <c r="Z34" i="40"/>
  <c r="Y34" i="40"/>
  <c r="X34" i="40"/>
  <c r="W34" i="40"/>
  <c r="V34" i="40"/>
  <c r="U34" i="40"/>
  <c r="T34" i="40"/>
  <c r="S34" i="40"/>
  <c r="R34" i="40"/>
  <c r="Q34" i="40"/>
  <c r="P34" i="40"/>
  <c r="O34" i="40"/>
  <c r="N34" i="40"/>
  <c r="M34" i="40"/>
  <c r="AQ33" i="40"/>
  <c r="AP33" i="40"/>
  <c r="AO33" i="40"/>
  <c r="AN33" i="40"/>
  <c r="AM33" i="40"/>
  <c r="AL33" i="40"/>
  <c r="AK33" i="40"/>
  <c r="AJ33" i="40"/>
  <c r="AI33" i="40"/>
  <c r="AH33" i="40"/>
  <c r="AG33" i="40"/>
  <c r="AF33" i="40"/>
  <c r="AE33" i="40"/>
  <c r="AD33" i="40"/>
  <c r="AC33" i="40"/>
  <c r="AB33" i="40"/>
  <c r="AA33" i="40"/>
  <c r="X33" i="40"/>
  <c r="W33" i="40"/>
  <c r="U33" i="40"/>
  <c r="T33" i="40"/>
  <c r="S33" i="40"/>
  <c r="R33" i="40"/>
  <c r="Q33" i="40"/>
  <c r="P33" i="40"/>
  <c r="O33" i="40"/>
  <c r="N33" i="40"/>
  <c r="M33" i="40"/>
  <c r="I33" i="40"/>
  <c r="H33" i="40"/>
  <c r="G33" i="40"/>
  <c r="F33" i="40"/>
  <c r="E33" i="40"/>
  <c r="D33" i="40"/>
  <c r="C33" i="40"/>
  <c r="B33" i="40"/>
  <c r="A33" i="40"/>
  <c r="AQ32" i="40"/>
  <c r="AP32" i="40"/>
  <c r="AO32" i="40"/>
  <c r="AN32" i="40"/>
  <c r="AM32" i="40"/>
  <c r="AL32" i="40"/>
  <c r="AK32" i="40"/>
  <c r="AJ32" i="40"/>
  <c r="AI32" i="40"/>
  <c r="AH32" i="40"/>
  <c r="AG32" i="40"/>
  <c r="AF32" i="40"/>
  <c r="AE32" i="40"/>
  <c r="AD32" i="40"/>
  <c r="AC32" i="40"/>
  <c r="AB32" i="40"/>
  <c r="AA32" i="40"/>
  <c r="Y32" i="40"/>
  <c r="X32" i="40"/>
  <c r="W32" i="40"/>
  <c r="U32" i="40"/>
  <c r="T32" i="40"/>
  <c r="S32" i="40"/>
  <c r="R32" i="40"/>
  <c r="Q32" i="40"/>
  <c r="P32" i="40"/>
  <c r="O32" i="40"/>
  <c r="N32" i="40"/>
  <c r="M32" i="40"/>
  <c r="I32" i="40"/>
  <c r="H32" i="40"/>
  <c r="G32" i="40"/>
  <c r="F32" i="40"/>
  <c r="E32" i="40"/>
  <c r="D32" i="40"/>
  <c r="C32" i="40"/>
  <c r="B32" i="40"/>
  <c r="A32" i="40"/>
  <c r="AQ31" i="40"/>
  <c r="AP31" i="40"/>
  <c r="AO31" i="40"/>
  <c r="AN31" i="40"/>
  <c r="AM31" i="40"/>
  <c r="AL31" i="40"/>
  <c r="AK31" i="40"/>
  <c r="AJ31" i="40"/>
  <c r="AI31" i="40"/>
  <c r="AH31" i="40"/>
  <c r="AG31" i="40"/>
  <c r="AF31" i="40"/>
  <c r="AE31" i="40"/>
  <c r="AD31" i="40"/>
  <c r="AC31" i="40"/>
  <c r="AB31" i="40"/>
  <c r="AA31" i="40"/>
  <c r="Y31" i="40"/>
  <c r="X31" i="40"/>
  <c r="W31" i="40"/>
  <c r="U31" i="40"/>
  <c r="T31" i="40"/>
  <c r="S31" i="40"/>
  <c r="R31" i="40"/>
  <c r="Q31" i="40"/>
  <c r="P31" i="40"/>
  <c r="O31" i="40"/>
  <c r="N31" i="40"/>
  <c r="M31" i="40"/>
  <c r="I31" i="40"/>
  <c r="H31" i="40"/>
  <c r="G31" i="40"/>
  <c r="F31" i="40"/>
  <c r="E31" i="40"/>
  <c r="D31" i="40"/>
  <c r="C31" i="40"/>
  <c r="B31" i="40"/>
  <c r="A31" i="40"/>
  <c r="AQ30" i="40"/>
  <c r="AP30" i="40"/>
  <c r="AO30" i="40"/>
  <c r="AN30" i="40"/>
  <c r="AM30" i="40"/>
  <c r="AL30" i="40"/>
  <c r="AK30" i="40"/>
  <c r="AJ30" i="40"/>
  <c r="AI30" i="40"/>
  <c r="AH30" i="40"/>
  <c r="AG30" i="40"/>
  <c r="AF30" i="40"/>
  <c r="AE30" i="40"/>
  <c r="AD30" i="40"/>
  <c r="AC30" i="40"/>
  <c r="AB30" i="40"/>
  <c r="AA30" i="40"/>
  <c r="Y30" i="40"/>
  <c r="X30" i="40"/>
  <c r="W30" i="40"/>
  <c r="U30" i="40"/>
  <c r="T30" i="40"/>
  <c r="S30" i="40"/>
  <c r="R30" i="40"/>
  <c r="Q30" i="40"/>
  <c r="P30" i="40"/>
  <c r="O30" i="40"/>
  <c r="N30" i="40"/>
  <c r="M30" i="40"/>
  <c r="I30" i="40"/>
  <c r="H30" i="40"/>
  <c r="G30" i="40"/>
  <c r="F30" i="40"/>
  <c r="E30" i="40"/>
  <c r="D30" i="40"/>
  <c r="C30" i="40"/>
  <c r="B30" i="40"/>
  <c r="A30" i="40"/>
  <c r="AQ29" i="40"/>
  <c r="AP29" i="40"/>
  <c r="AO29" i="40"/>
  <c r="AN29" i="40"/>
  <c r="AM29" i="40"/>
  <c r="AL29" i="40"/>
  <c r="AK29" i="40"/>
  <c r="AJ29" i="40"/>
  <c r="AI29" i="40"/>
  <c r="AH29" i="40"/>
  <c r="AG29" i="40"/>
  <c r="AF29" i="40"/>
  <c r="AE29" i="40"/>
  <c r="AD29" i="40"/>
  <c r="AC29" i="40"/>
  <c r="AB29" i="40"/>
  <c r="AA29" i="40"/>
  <c r="Y29" i="40"/>
  <c r="X29" i="40"/>
  <c r="W29" i="40"/>
  <c r="U29" i="40"/>
  <c r="T29" i="40"/>
  <c r="S29" i="40"/>
  <c r="R29" i="40"/>
  <c r="Q29" i="40"/>
  <c r="P29" i="40"/>
  <c r="O29" i="40"/>
  <c r="N29" i="40"/>
  <c r="M29" i="40"/>
  <c r="I29" i="40"/>
  <c r="H29" i="40"/>
  <c r="G29" i="40"/>
  <c r="F29" i="40"/>
  <c r="E29" i="40"/>
  <c r="D29" i="40"/>
  <c r="C29" i="40"/>
  <c r="B29" i="40"/>
  <c r="A29" i="40"/>
  <c r="AQ28" i="40"/>
  <c r="AP28" i="40"/>
  <c r="AO28" i="40"/>
  <c r="AN28" i="40"/>
  <c r="AM28" i="40"/>
  <c r="AL28" i="40"/>
  <c r="AK28" i="40"/>
  <c r="AJ28" i="40"/>
  <c r="AI28" i="40"/>
  <c r="AH28" i="40"/>
  <c r="AG28" i="40"/>
  <c r="AF28" i="40"/>
  <c r="AE28" i="40"/>
  <c r="AD28" i="40"/>
  <c r="AC28" i="40"/>
  <c r="AB28" i="40"/>
  <c r="AA28" i="40"/>
  <c r="Y28" i="40"/>
  <c r="X28" i="40"/>
  <c r="W28" i="40"/>
  <c r="U28" i="40"/>
  <c r="T28" i="40"/>
  <c r="S28" i="40"/>
  <c r="R28" i="40"/>
  <c r="Q28" i="40"/>
  <c r="P28" i="40"/>
  <c r="O28" i="40"/>
  <c r="N28" i="40"/>
  <c r="M28" i="40"/>
  <c r="I28" i="40"/>
  <c r="H28" i="40"/>
  <c r="G28" i="40"/>
  <c r="F28" i="40"/>
  <c r="E28" i="40"/>
  <c r="D28" i="40"/>
  <c r="C28" i="40"/>
  <c r="B28" i="40"/>
  <c r="A28" i="40"/>
  <c r="AQ27" i="40"/>
  <c r="AP27" i="40"/>
  <c r="AO27" i="40"/>
  <c r="AN27" i="40"/>
  <c r="AM27" i="40"/>
  <c r="AL27" i="40"/>
  <c r="AK27" i="40"/>
  <c r="AJ27" i="40"/>
  <c r="AI27" i="40"/>
  <c r="AH27" i="40"/>
  <c r="AG27" i="40"/>
  <c r="AF27" i="40"/>
  <c r="AE27" i="40"/>
  <c r="AD27" i="40"/>
  <c r="AC27" i="40"/>
  <c r="AB27" i="40"/>
  <c r="AA27" i="40"/>
  <c r="X27" i="40"/>
  <c r="W27" i="40"/>
  <c r="U27" i="40"/>
  <c r="T27" i="40"/>
  <c r="T25" i="40" s="1"/>
  <c r="S27" i="40"/>
  <c r="R27" i="40"/>
  <c r="R25" i="40" s="1"/>
  <c r="Q27" i="40"/>
  <c r="P27" i="40"/>
  <c r="O27" i="40"/>
  <c r="N27" i="40"/>
  <c r="M27" i="40"/>
  <c r="I27" i="40"/>
  <c r="H27" i="40"/>
  <c r="G27" i="40"/>
  <c r="F27" i="40"/>
  <c r="E27" i="40"/>
  <c r="D27" i="40"/>
  <c r="C27" i="40"/>
  <c r="B27" i="40"/>
  <c r="A27" i="40"/>
  <c r="AP26" i="40"/>
  <c r="AH26" i="40"/>
  <c r="AG26" i="40"/>
  <c r="AF26" i="40"/>
  <c r="AE26" i="40"/>
  <c r="AD26" i="40"/>
  <c r="AC26" i="40"/>
  <c r="AB26" i="40"/>
  <c r="AA26" i="40"/>
  <c r="X26" i="40"/>
  <c r="W26" i="40"/>
  <c r="U26" i="40"/>
  <c r="T26" i="40"/>
  <c r="S26" i="40"/>
  <c r="R26" i="40"/>
  <c r="Q26" i="40"/>
  <c r="P26" i="40"/>
  <c r="O26" i="40"/>
  <c r="N26" i="40"/>
  <c r="M26" i="40"/>
  <c r="X25" i="40"/>
  <c r="M25" i="40"/>
  <c r="L25" i="40"/>
  <c r="AQ24" i="40"/>
  <c r="AP24" i="40"/>
  <c r="AO24" i="40"/>
  <c r="AN24" i="40"/>
  <c r="AM24" i="40"/>
  <c r="AL24" i="40"/>
  <c r="AK24" i="40"/>
  <c r="AJ24" i="40"/>
  <c r="AI24" i="40"/>
  <c r="AH24" i="40"/>
  <c r="AG24" i="40"/>
  <c r="AF24" i="40"/>
  <c r="AE24" i="40"/>
  <c r="AD24" i="40"/>
  <c r="AC24" i="40"/>
  <c r="AB24" i="40"/>
  <c r="AA24" i="40"/>
  <c r="Y24" i="40"/>
  <c r="X24" i="40"/>
  <c r="W24" i="40"/>
  <c r="U24" i="40"/>
  <c r="S24" i="40"/>
  <c r="R24" i="40"/>
  <c r="Q24" i="40"/>
  <c r="P24" i="40"/>
  <c r="O24" i="40"/>
  <c r="N24" i="40"/>
  <c r="M24" i="40"/>
  <c r="I24" i="40"/>
  <c r="H24" i="40"/>
  <c r="G24" i="40"/>
  <c r="F24" i="40"/>
  <c r="E24" i="40"/>
  <c r="D24" i="40"/>
  <c r="C24" i="40"/>
  <c r="B24" i="40"/>
  <c r="A24" i="40"/>
  <c r="AQ23" i="40"/>
  <c r="AP23" i="40"/>
  <c r="AO23" i="40"/>
  <c r="AN23" i="40"/>
  <c r="AM23" i="40"/>
  <c r="AL23" i="40"/>
  <c r="AK23" i="40"/>
  <c r="AJ23" i="40"/>
  <c r="AI23" i="40"/>
  <c r="AH23" i="40"/>
  <c r="AG23" i="40"/>
  <c r="AF23" i="40"/>
  <c r="AE23" i="40"/>
  <c r="AD23" i="40"/>
  <c r="AC23" i="40"/>
  <c r="AB23" i="40"/>
  <c r="AA23" i="40"/>
  <c r="Y23" i="40"/>
  <c r="X23" i="40"/>
  <c r="W23" i="40"/>
  <c r="U23" i="40"/>
  <c r="S23" i="40"/>
  <c r="R23" i="40"/>
  <c r="Q23" i="40"/>
  <c r="P23" i="40"/>
  <c r="O23" i="40"/>
  <c r="N23" i="40"/>
  <c r="M23" i="40"/>
  <c r="I23" i="40"/>
  <c r="H23" i="40"/>
  <c r="G23" i="40"/>
  <c r="F23" i="40"/>
  <c r="E23" i="40"/>
  <c r="D23" i="40"/>
  <c r="C23" i="40"/>
  <c r="B23" i="40"/>
  <c r="A23" i="40"/>
  <c r="AQ22" i="40"/>
  <c r="AP22" i="40"/>
  <c r="AO22" i="40"/>
  <c r="AN22" i="40"/>
  <c r="AM22" i="40"/>
  <c r="AL22" i="40"/>
  <c r="AK22" i="40"/>
  <c r="AJ22" i="40"/>
  <c r="AI22" i="40"/>
  <c r="AH22" i="40"/>
  <c r="AG22" i="40"/>
  <c r="AF22" i="40"/>
  <c r="AE22" i="40"/>
  <c r="AD22" i="40"/>
  <c r="AC22" i="40"/>
  <c r="AB22" i="40"/>
  <c r="AA22" i="40"/>
  <c r="Y22" i="40"/>
  <c r="X22" i="40"/>
  <c r="W22" i="40"/>
  <c r="U22" i="40"/>
  <c r="T22" i="40"/>
  <c r="S22" i="40"/>
  <c r="R22" i="40"/>
  <c r="Q22" i="40"/>
  <c r="P22" i="40"/>
  <c r="O22" i="40"/>
  <c r="N22" i="40"/>
  <c r="M22" i="40"/>
  <c r="I22" i="40"/>
  <c r="H22" i="40"/>
  <c r="G22" i="40"/>
  <c r="F22" i="40"/>
  <c r="E22" i="40"/>
  <c r="D22" i="40"/>
  <c r="C22" i="40"/>
  <c r="B22" i="40"/>
  <c r="A22" i="40"/>
  <c r="AQ21" i="40"/>
  <c r="AP21" i="40"/>
  <c r="AO21" i="40"/>
  <c r="AN21" i="40"/>
  <c r="AM21" i="40"/>
  <c r="AL21" i="40"/>
  <c r="AK21" i="40"/>
  <c r="AJ21" i="40"/>
  <c r="AI21" i="40"/>
  <c r="AH21" i="40"/>
  <c r="AG21" i="40"/>
  <c r="AF21" i="40"/>
  <c r="AE21" i="40"/>
  <c r="AD21" i="40"/>
  <c r="AC21" i="40"/>
  <c r="AB21" i="40"/>
  <c r="AA21" i="40"/>
  <c r="Y21" i="40"/>
  <c r="X21" i="40"/>
  <c r="W21" i="40"/>
  <c r="U21" i="40"/>
  <c r="T21" i="40"/>
  <c r="S21" i="40"/>
  <c r="R21" i="40"/>
  <c r="Q21" i="40"/>
  <c r="P21" i="40"/>
  <c r="O21" i="40"/>
  <c r="N21" i="40"/>
  <c r="M21" i="40"/>
  <c r="I21" i="40"/>
  <c r="H21" i="40"/>
  <c r="G21" i="40"/>
  <c r="F21" i="40"/>
  <c r="E21" i="40"/>
  <c r="D21" i="40"/>
  <c r="C21" i="40"/>
  <c r="B21" i="40"/>
  <c r="A21" i="40"/>
  <c r="AQ20" i="40"/>
  <c r="AP20" i="40"/>
  <c r="AO20" i="40"/>
  <c r="AN20" i="40"/>
  <c r="AM20" i="40"/>
  <c r="AL20" i="40"/>
  <c r="AK20" i="40"/>
  <c r="AJ20" i="40"/>
  <c r="AI20" i="40"/>
  <c r="AH20" i="40"/>
  <c r="AG20" i="40"/>
  <c r="AF20" i="40"/>
  <c r="AE20" i="40"/>
  <c r="AD20" i="40"/>
  <c r="AC20" i="40"/>
  <c r="AB20" i="40"/>
  <c r="AA20" i="40"/>
  <c r="Y20" i="40"/>
  <c r="Y19" i="40" s="1"/>
  <c r="X20" i="40"/>
  <c r="W20" i="40"/>
  <c r="U20" i="40"/>
  <c r="U19" i="40" s="1"/>
  <c r="T20" i="40"/>
  <c r="S20" i="40"/>
  <c r="R20" i="40"/>
  <c r="Q20" i="40"/>
  <c r="P20" i="40"/>
  <c r="O20" i="40"/>
  <c r="N20" i="40"/>
  <c r="M20" i="40"/>
  <c r="I20" i="40"/>
  <c r="H20" i="40"/>
  <c r="G20" i="40"/>
  <c r="F20" i="40"/>
  <c r="E20" i="40"/>
  <c r="D20" i="40"/>
  <c r="C20" i="40"/>
  <c r="B20" i="40"/>
  <c r="A20" i="40"/>
  <c r="S19" i="40"/>
  <c r="R19" i="40"/>
  <c r="M19" i="40"/>
  <c r="L19" i="40"/>
  <c r="AQ18" i="40"/>
  <c r="AP18" i="40"/>
  <c r="AO18" i="40"/>
  <c r="AN18" i="40"/>
  <c r="AM18" i="40"/>
  <c r="AL18" i="40"/>
  <c r="AK18" i="40"/>
  <c r="AJ18" i="40"/>
  <c r="AI18" i="40"/>
  <c r="AH18" i="40"/>
  <c r="AG18" i="40"/>
  <c r="AF18" i="40"/>
  <c r="AE18" i="40"/>
  <c r="AD18" i="40"/>
  <c r="AC18" i="40"/>
  <c r="AB18" i="40"/>
  <c r="AA18" i="40"/>
  <c r="Z18" i="40"/>
  <c r="Y18" i="40"/>
  <c r="X18" i="40"/>
  <c r="W18" i="40"/>
  <c r="U18" i="40"/>
  <c r="T18" i="40"/>
  <c r="S18" i="40"/>
  <c r="R18" i="40"/>
  <c r="Q18" i="40"/>
  <c r="P18" i="40"/>
  <c r="O18" i="40"/>
  <c r="N18" i="40"/>
  <c r="I18" i="40"/>
  <c r="H18" i="40"/>
  <c r="G18" i="40"/>
  <c r="F18" i="40"/>
  <c r="E18" i="40"/>
  <c r="D18" i="40"/>
  <c r="C18" i="40"/>
  <c r="B18" i="40"/>
  <c r="A18" i="40"/>
  <c r="AQ17" i="40"/>
  <c r="AP17" i="40"/>
  <c r="AO17" i="40"/>
  <c r="AN17" i="40"/>
  <c r="AM17" i="40"/>
  <c r="AL17" i="40"/>
  <c r="AK17" i="40"/>
  <c r="AJ17" i="40"/>
  <c r="AI17" i="40"/>
  <c r="AH17" i="40"/>
  <c r="AG17" i="40"/>
  <c r="AF17" i="40"/>
  <c r="AE17" i="40"/>
  <c r="AD17" i="40"/>
  <c r="AC17" i="40"/>
  <c r="AB17" i="40"/>
  <c r="AA17" i="40"/>
  <c r="Z17" i="40"/>
  <c r="Y17" i="40"/>
  <c r="X17" i="40"/>
  <c r="W17" i="40"/>
  <c r="U17" i="40"/>
  <c r="T17" i="40"/>
  <c r="S17" i="40"/>
  <c r="R17" i="40"/>
  <c r="Q17" i="40"/>
  <c r="P17" i="40"/>
  <c r="O17" i="40"/>
  <c r="N17" i="40"/>
  <c r="I17" i="40"/>
  <c r="H17" i="40"/>
  <c r="G17" i="40"/>
  <c r="F17" i="40"/>
  <c r="E17" i="40"/>
  <c r="D17" i="40"/>
  <c r="C17" i="40"/>
  <c r="B17" i="40"/>
  <c r="A17" i="40"/>
  <c r="AQ16" i="40"/>
  <c r="AP16" i="40"/>
  <c r="AO16" i="40"/>
  <c r="AN16" i="40"/>
  <c r="AM16" i="40"/>
  <c r="AL16" i="40"/>
  <c r="AK16" i="40"/>
  <c r="AJ16" i="40"/>
  <c r="AI16" i="40"/>
  <c r="AH16" i="40"/>
  <c r="AG16" i="40"/>
  <c r="AF16" i="40"/>
  <c r="AE16" i="40"/>
  <c r="AD16" i="40"/>
  <c r="AC16" i="40"/>
  <c r="AB16" i="40"/>
  <c r="AA16" i="40"/>
  <c r="Z16" i="40"/>
  <c r="Y16" i="40"/>
  <c r="X16" i="40"/>
  <c r="W16" i="40"/>
  <c r="U16" i="40"/>
  <c r="T16" i="40"/>
  <c r="S16" i="40"/>
  <c r="R16" i="40"/>
  <c r="Q16" i="40"/>
  <c r="P16" i="40"/>
  <c r="O16" i="40"/>
  <c r="N16" i="40"/>
  <c r="I16" i="40"/>
  <c r="H16" i="40"/>
  <c r="G16" i="40"/>
  <c r="F16" i="40"/>
  <c r="E16" i="40"/>
  <c r="D16" i="40"/>
  <c r="C16" i="40"/>
  <c r="B16" i="40"/>
  <c r="A16" i="40"/>
  <c r="AQ15" i="40"/>
  <c r="AP15" i="40"/>
  <c r="AO15" i="40"/>
  <c r="AN15" i="40"/>
  <c r="AM15" i="40"/>
  <c r="AL15" i="40"/>
  <c r="AK15" i="40"/>
  <c r="AJ15" i="40"/>
  <c r="AI15" i="40"/>
  <c r="AH15" i="40"/>
  <c r="AG15" i="40"/>
  <c r="AF15" i="40"/>
  <c r="AE15" i="40"/>
  <c r="AD15" i="40"/>
  <c r="AC15" i="40"/>
  <c r="AB15" i="40"/>
  <c r="AA15" i="40"/>
  <c r="Z15" i="40"/>
  <c r="Y15" i="40"/>
  <c r="X15" i="40"/>
  <c r="W15" i="40"/>
  <c r="U15" i="40"/>
  <c r="T15" i="40"/>
  <c r="S15" i="40"/>
  <c r="R15" i="40"/>
  <c r="Q15" i="40"/>
  <c r="P15" i="40"/>
  <c r="O15" i="40"/>
  <c r="N15" i="40"/>
  <c r="I15" i="40"/>
  <c r="H15" i="40"/>
  <c r="G15" i="40"/>
  <c r="F15" i="40"/>
  <c r="E15" i="40"/>
  <c r="D15" i="40"/>
  <c r="C15" i="40"/>
  <c r="B15" i="40"/>
  <c r="A15" i="40"/>
  <c r="AQ14" i="40"/>
  <c r="AP14" i="40"/>
  <c r="AO14" i="40"/>
  <c r="AN14" i="40"/>
  <c r="AM14" i="40"/>
  <c r="AL14" i="40"/>
  <c r="AK14" i="40"/>
  <c r="AJ14" i="40"/>
  <c r="AI14" i="40"/>
  <c r="AH14" i="40"/>
  <c r="AG14" i="40"/>
  <c r="AF14" i="40"/>
  <c r="AE14" i="40"/>
  <c r="AD14" i="40"/>
  <c r="AC14" i="40"/>
  <c r="AB14" i="40"/>
  <c r="AA14" i="40"/>
  <c r="X14" i="40"/>
  <c r="W14" i="40"/>
  <c r="Q14" i="40"/>
  <c r="P14" i="40"/>
  <c r="O14" i="40"/>
  <c r="N14" i="40"/>
  <c r="M14" i="40"/>
  <c r="I14" i="40"/>
  <c r="H14" i="40"/>
  <c r="G14" i="40"/>
  <c r="F14" i="40"/>
  <c r="E14" i="40"/>
  <c r="D14" i="40"/>
  <c r="C14" i="40"/>
  <c r="B14" i="40"/>
  <c r="A14" i="40"/>
  <c r="AQ13" i="40"/>
  <c r="AP13" i="40"/>
  <c r="AO13" i="40"/>
  <c r="AN13" i="40"/>
  <c r="AM13" i="40"/>
  <c r="AL13" i="40"/>
  <c r="AK13" i="40"/>
  <c r="AJ13" i="40"/>
  <c r="AI13" i="40"/>
  <c r="AH13" i="40"/>
  <c r="AG13" i="40"/>
  <c r="AF13" i="40"/>
  <c r="AE13" i="40"/>
  <c r="AD13" i="40"/>
  <c r="AC13" i="40"/>
  <c r="AB13" i="40"/>
  <c r="AA13" i="40"/>
  <c r="Z13" i="40"/>
  <c r="Y13" i="40"/>
  <c r="X13" i="40"/>
  <c r="W13" i="40"/>
  <c r="U13" i="40"/>
  <c r="T13" i="40"/>
  <c r="S13" i="40"/>
  <c r="R13" i="40"/>
  <c r="Q13" i="40"/>
  <c r="P13" i="40"/>
  <c r="O13" i="40"/>
  <c r="N13" i="40"/>
  <c r="I13" i="40"/>
  <c r="H13" i="40"/>
  <c r="G13" i="40"/>
  <c r="F13" i="40"/>
  <c r="E13" i="40"/>
  <c r="D13" i="40"/>
  <c r="C13" i="40"/>
  <c r="B13" i="40"/>
  <c r="A13" i="40"/>
  <c r="AQ12" i="40"/>
  <c r="AP12" i="40"/>
  <c r="AO12" i="40"/>
  <c r="AN12" i="40"/>
  <c r="AM12" i="40"/>
  <c r="AL12" i="40"/>
  <c r="AK12" i="40"/>
  <c r="AJ12" i="40"/>
  <c r="AI12" i="40"/>
  <c r="AH12" i="40"/>
  <c r="AG12" i="40"/>
  <c r="AF12" i="40"/>
  <c r="AE12" i="40"/>
  <c r="AD12" i="40"/>
  <c r="AC12" i="40"/>
  <c r="AB12" i="40"/>
  <c r="AA12" i="40"/>
  <c r="Z12" i="40"/>
  <c r="Y12" i="40"/>
  <c r="X12" i="40"/>
  <c r="W12" i="40"/>
  <c r="U12" i="40"/>
  <c r="T12" i="40"/>
  <c r="S12" i="40"/>
  <c r="R12" i="40"/>
  <c r="Q12" i="40"/>
  <c r="P12" i="40"/>
  <c r="O12" i="40"/>
  <c r="N12" i="40"/>
  <c r="I12" i="40"/>
  <c r="H12" i="40"/>
  <c r="G12" i="40"/>
  <c r="F12" i="40"/>
  <c r="E12" i="40"/>
  <c r="D12" i="40"/>
  <c r="C12" i="40"/>
  <c r="B12" i="40"/>
  <c r="A12" i="40"/>
  <c r="AQ11" i="40"/>
  <c r="AP11" i="40"/>
  <c r="AO11" i="40"/>
  <c r="AN11" i="40"/>
  <c r="AM11" i="40"/>
  <c r="AL11" i="40"/>
  <c r="AK11" i="40"/>
  <c r="AJ11" i="40"/>
  <c r="AI11" i="40"/>
  <c r="AH11" i="40"/>
  <c r="AG11" i="40"/>
  <c r="AF11" i="40"/>
  <c r="AE11" i="40"/>
  <c r="AD11" i="40"/>
  <c r="AC11" i="40"/>
  <c r="AB11" i="40"/>
  <c r="AA11" i="40"/>
  <c r="X11" i="40"/>
  <c r="W11" i="40"/>
  <c r="U11" i="40"/>
  <c r="T11" i="40"/>
  <c r="S11" i="40"/>
  <c r="R11" i="40"/>
  <c r="Q11" i="40"/>
  <c r="P11" i="40"/>
  <c r="O11" i="40"/>
  <c r="N11" i="40"/>
  <c r="M11" i="40"/>
  <c r="I11" i="40"/>
  <c r="H11" i="40"/>
  <c r="G11" i="40"/>
  <c r="F11" i="40"/>
  <c r="E11" i="40"/>
  <c r="D11" i="40"/>
  <c r="C11" i="40"/>
  <c r="B11" i="40"/>
  <c r="A11" i="40"/>
  <c r="M10" i="40"/>
  <c r="L10" i="40"/>
  <c r="L9" i="40"/>
  <c r="K9" i="40"/>
  <c r="K8" i="40"/>
  <c r="J8" i="40"/>
  <c r="X7" i="40"/>
  <c r="U192" i="92"/>
  <c r="U191" i="92" s="1"/>
  <c r="U190" i="92" s="1"/>
  <c r="T192" i="92"/>
  <c r="T191" i="92" s="1"/>
  <c r="T190" i="92" s="1"/>
  <c r="S192" i="92"/>
  <c r="R192" i="92"/>
  <c r="R191" i="92" s="1"/>
  <c r="R190" i="92" s="1"/>
  <c r="Q192" i="92"/>
  <c r="P192" i="92"/>
  <c r="O192" i="92"/>
  <c r="N192" i="92"/>
  <c r="M192" i="92"/>
  <c r="I192" i="92"/>
  <c r="H192" i="92"/>
  <c r="G192" i="92"/>
  <c r="F192" i="92"/>
  <c r="E192" i="92"/>
  <c r="D192" i="92"/>
  <c r="C192" i="92"/>
  <c r="B192" i="92"/>
  <c r="A192" i="92"/>
  <c r="S191" i="92"/>
  <c r="S190" i="92" s="1"/>
  <c r="M191" i="92"/>
  <c r="L191" i="92"/>
  <c r="L190" i="92"/>
  <c r="K190" i="92"/>
  <c r="U189" i="92"/>
  <c r="U188" i="92" s="1"/>
  <c r="U187" i="92" s="1"/>
  <c r="T189" i="92"/>
  <c r="S189" i="92"/>
  <c r="S188" i="92" s="1"/>
  <c r="S187" i="92" s="1"/>
  <c r="R189" i="92"/>
  <c r="Q189" i="92"/>
  <c r="P189" i="92"/>
  <c r="O189" i="92"/>
  <c r="N189" i="92"/>
  <c r="M189" i="92"/>
  <c r="I189" i="92"/>
  <c r="H189" i="92"/>
  <c r="G189" i="92"/>
  <c r="F189" i="92"/>
  <c r="E189" i="92"/>
  <c r="D189" i="92"/>
  <c r="C189" i="92"/>
  <c r="B189" i="92"/>
  <c r="A189" i="92"/>
  <c r="T188" i="92"/>
  <c r="T187" i="92" s="1"/>
  <c r="R188" i="92"/>
  <c r="R187" i="92" s="1"/>
  <c r="M188" i="92"/>
  <c r="L188" i="92"/>
  <c r="L187" i="92"/>
  <c r="K187" i="92"/>
  <c r="U186" i="92"/>
  <c r="U185" i="92" s="1"/>
  <c r="U184" i="92" s="1"/>
  <c r="T186" i="92"/>
  <c r="T185" i="92" s="1"/>
  <c r="T184" i="92" s="1"/>
  <c r="S186" i="92"/>
  <c r="R186" i="92"/>
  <c r="R185" i="92" s="1"/>
  <c r="R184" i="92" s="1"/>
  <c r="Q186" i="92"/>
  <c r="P186" i="92"/>
  <c r="O186" i="92"/>
  <c r="N186" i="92"/>
  <c r="M186" i="92"/>
  <c r="I186" i="92"/>
  <c r="H186" i="92"/>
  <c r="G186" i="92"/>
  <c r="F186" i="92"/>
  <c r="E186" i="92"/>
  <c r="D186" i="92"/>
  <c r="C186" i="92"/>
  <c r="B186" i="92"/>
  <c r="A186" i="92"/>
  <c r="S185" i="92"/>
  <c r="S184" i="92" s="1"/>
  <c r="M185" i="92"/>
  <c r="L185" i="92"/>
  <c r="L184" i="92"/>
  <c r="K184" i="92"/>
  <c r="U183" i="92"/>
  <c r="U182" i="92" s="1"/>
  <c r="U181" i="92" s="1"/>
  <c r="T183" i="92"/>
  <c r="S183" i="92"/>
  <c r="S182" i="92" s="1"/>
  <c r="S181" i="92" s="1"/>
  <c r="R183" i="92"/>
  <c r="Q183" i="92"/>
  <c r="P183" i="92"/>
  <c r="O183" i="92"/>
  <c r="N183" i="92"/>
  <c r="M183" i="92"/>
  <c r="I183" i="92"/>
  <c r="H183" i="92"/>
  <c r="G183" i="92"/>
  <c r="F183" i="92"/>
  <c r="E183" i="92"/>
  <c r="D183" i="92"/>
  <c r="C183" i="92"/>
  <c r="B183" i="92"/>
  <c r="A183" i="92"/>
  <c r="T182" i="92"/>
  <c r="T181" i="92" s="1"/>
  <c r="R182" i="92"/>
  <c r="R181" i="92" s="1"/>
  <c r="M182" i="92"/>
  <c r="L182" i="92"/>
  <c r="L181" i="92"/>
  <c r="K181" i="92"/>
  <c r="U180" i="92"/>
  <c r="U178" i="92" s="1"/>
  <c r="T180" i="92"/>
  <c r="S180" i="92"/>
  <c r="R180" i="92"/>
  <c r="Q180" i="92"/>
  <c r="P180" i="92"/>
  <c r="O180" i="92"/>
  <c r="N180" i="92"/>
  <c r="I180" i="92"/>
  <c r="H180" i="92"/>
  <c r="G180" i="92"/>
  <c r="F180" i="92"/>
  <c r="E180" i="92"/>
  <c r="D180" i="92"/>
  <c r="C180" i="92"/>
  <c r="B180" i="92"/>
  <c r="A180" i="92"/>
  <c r="U179" i="92"/>
  <c r="T179" i="92"/>
  <c r="S179" i="92"/>
  <c r="R179" i="92"/>
  <c r="R178" i="92" s="1"/>
  <c r="Q179" i="92"/>
  <c r="P179" i="92"/>
  <c r="O179" i="92"/>
  <c r="N179" i="92"/>
  <c r="I179" i="92"/>
  <c r="H179" i="92"/>
  <c r="G179" i="92"/>
  <c r="F179" i="92"/>
  <c r="E179" i="92"/>
  <c r="D179" i="92"/>
  <c r="C179" i="92"/>
  <c r="B179" i="92"/>
  <c r="A179" i="92"/>
  <c r="T178" i="92"/>
  <c r="S178" i="92"/>
  <c r="M178" i="92"/>
  <c r="L178" i="92"/>
  <c r="U177" i="92"/>
  <c r="T177" i="92"/>
  <c r="S177" i="92"/>
  <c r="R177" i="92"/>
  <c r="Q177" i="92"/>
  <c r="P177" i="92"/>
  <c r="O177" i="92"/>
  <c r="N177" i="92"/>
  <c r="M177" i="92"/>
  <c r="I177" i="92"/>
  <c r="H177" i="92"/>
  <c r="G177" i="92"/>
  <c r="F177" i="92"/>
  <c r="E177" i="92"/>
  <c r="D177" i="92"/>
  <c r="C177" i="92"/>
  <c r="B177" i="92"/>
  <c r="A177" i="92"/>
  <c r="U176" i="92"/>
  <c r="T176" i="92"/>
  <c r="T175" i="92" s="1"/>
  <c r="T174" i="92" s="1"/>
  <c r="S176" i="92"/>
  <c r="S175" i="92" s="1"/>
  <c r="S174" i="92" s="1"/>
  <c r="R176" i="92"/>
  <c r="Q176" i="92"/>
  <c r="P176" i="92"/>
  <c r="O176" i="92"/>
  <c r="N176" i="92"/>
  <c r="M176" i="92"/>
  <c r="I176" i="92"/>
  <c r="H176" i="92"/>
  <c r="G176" i="92"/>
  <c r="F176" i="92"/>
  <c r="E176" i="92"/>
  <c r="D176" i="92"/>
  <c r="C176" i="92"/>
  <c r="B176" i="92"/>
  <c r="A176" i="92"/>
  <c r="U175" i="92"/>
  <c r="M175" i="92"/>
  <c r="L175" i="92"/>
  <c r="L174" i="92"/>
  <c r="K174" i="92"/>
  <c r="U173" i="92"/>
  <c r="U172" i="92" s="1"/>
  <c r="U171" i="92" s="1"/>
  <c r="T173" i="92"/>
  <c r="S173" i="92"/>
  <c r="S172" i="92" s="1"/>
  <c r="S171" i="92" s="1"/>
  <c r="R173" i="92"/>
  <c r="Q173" i="92"/>
  <c r="P173" i="92"/>
  <c r="O173" i="92"/>
  <c r="N173" i="92"/>
  <c r="M173" i="92"/>
  <c r="I173" i="92"/>
  <c r="H173" i="92"/>
  <c r="G173" i="92"/>
  <c r="F173" i="92"/>
  <c r="E173" i="92"/>
  <c r="D173" i="92"/>
  <c r="C173" i="92"/>
  <c r="B173" i="92"/>
  <c r="A173" i="92"/>
  <c r="T172" i="92"/>
  <c r="T171" i="92" s="1"/>
  <c r="R172" i="92"/>
  <c r="R171" i="92" s="1"/>
  <c r="M172" i="92"/>
  <c r="L172" i="92"/>
  <c r="L171" i="92"/>
  <c r="K171" i="92"/>
  <c r="U170" i="92"/>
  <c r="S170" i="92"/>
  <c r="R170" i="92"/>
  <c r="Q170" i="92"/>
  <c r="P170" i="92"/>
  <c r="O170" i="92"/>
  <c r="N170" i="92"/>
  <c r="I170" i="92"/>
  <c r="H170" i="92"/>
  <c r="G170" i="92"/>
  <c r="F170" i="92"/>
  <c r="E170" i="92"/>
  <c r="D170" i="92"/>
  <c r="C170" i="92"/>
  <c r="B170" i="92"/>
  <c r="A170" i="92"/>
  <c r="U169" i="92"/>
  <c r="S169" i="92"/>
  <c r="R169" i="92"/>
  <c r="M169" i="92"/>
  <c r="L169" i="92"/>
  <c r="U168" i="92"/>
  <c r="S168" i="92"/>
  <c r="R168" i="92"/>
  <c r="Q168" i="92"/>
  <c r="P168" i="92"/>
  <c r="O168" i="92"/>
  <c r="N168" i="92"/>
  <c r="I168" i="92"/>
  <c r="H168" i="92"/>
  <c r="G168" i="92"/>
  <c r="F168" i="92"/>
  <c r="E168" i="92"/>
  <c r="D168" i="92"/>
  <c r="C168" i="92"/>
  <c r="B168" i="92"/>
  <c r="A168" i="92"/>
  <c r="U167" i="92"/>
  <c r="S167" i="92"/>
  <c r="R167" i="92"/>
  <c r="M167" i="92"/>
  <c r="L167" i="92"/>
  <c r="U166" i="92"/>
  <c r="S166" i="92"/>
  <c r="R166" i="92"/>
  <c r="Q166" i="92"/>
  <c r="P166" i="92"/>
  <c r="O166" i="92"/>
  <c r="N166" i="92"/>
  <c r="I166" i="92"/>
  <c r="H166" i="92"/>
  <c r="G166" i="92"/>
  <c r="F166" i="92"/>
  <c r="E166" i="92"/>
  <c r="D166" i="92"/>
  <c r="C166" i="92"/>
  <c r="B166" i="92"/>
  <c r="A166" i="92"/>
  <c r="U165" i="92"/>
  <c r="S165" i="92"/>
  <c r="R165" i="92"/>
  <c r="M165" i="92"/>
  <c r="L165" i="92"/>
  <c r="U164" i="92"/>
  <c r="U163" i="92" s="1"/>
  <c r="S164" i="92"/>
  <c r="S163" i="92" s="1"/>
  <c r="R164" i="92"/>
  <c r="R163" i="92" s="1"/>
  <c r="R162" i="92" s="1"/>
  <c r="Q164" i="92"/>
  <c r="P164" i="92"/>
  <c r="O164" i="92"/>
  <c r="N164" i="92"/>
  <c r="M164" i="92"/>
  <c r="I164" i="92"/>
  <c r="H164" i="92"/>
  <c r="G164" i="92"/>
  <c r="F164" i="92"/>
  <c r="E164" i="92"/>
  <c r="D164" i="92"/>
  <c r="C164" i="92"/>
  <c r="B164" i="92"/>
  <c r="A164" i="92"/>
  <c r="M163" i="92"/>
  <c r="L163" i="92"/>
  <c r="L162" i="92"/>
  <c r="K162" i="92"/>
  <c r="V161" i="92"/>
  <c r="V160" i="92" s="1"/>
  <c r="V159" i="92" s="1"/>
  <c r="U161" i="92"/>
  <c r="U160" i="92" s="1"/>
  <c r="U159" i="92" s="1"/>
  <c r="T161" i="92"/>
  <c r="T160" i="92" s="1"/>
  <c r="T159" i="92" s="1"/>
  <c r="S161" i="92"/>
  <c r="R161" i="92"/>
  <c r="R160" i="92" s="1"/>
  <c r="R159" i="92" s="1"/>
  <c r="Q161" i="92"/>
  <c r="P161" i="92"/>
  <c r="O161" i="92"/>
  <c r="N161" i="92"/>
  <c r="M161" i="92"/>
  <c r="I161" i="92"/>
  <c r="H161" i="92"/>
  <c r="G161" i="92"/>
  <c r="F161" i="92"/>
  <c r="E161" i="92"/>
  <c r="D161" i="92"/>
  <c r="C161" i="92"/>
  <c r="B161" i="92"/>
  <c r="A161" i="92"/>
  <c r="S160" i="92"/>
  <c r="S159" i="92" s="1"/>
  <c r="M160" i="92"/>
  <c r="L160" i="92"/>
  <c r="L159" i="92"/>
  <c r="K159" i="92"/>
  <c r="U158" i="92"/>
  <c r="T158" i="92"/>
  <c r="S158" i="92"/>
  <c r="R158" i="92"/>
  <c r="Q158" i="92"/>
  <c r="P158" i="92"/>
  <c r="N158" i="92"/>
  <c r="I158" i="92"/>
  <c r="H158" i="92"/>
  <c r="G158" i="92"/>
  <c r="F158" i="92"/>
  <c r="E158" i="92"/>
  <c r="D158" i="92"/>
  <c r="C158" i="92"/>
  <c r="B158" i="92"/>
  <c r="A158" i="92"/>
  <c r="U157" i="92"/>
  <c r="T157" i="92"/>
  <c r="S157" i="92"/>
  <c r="R157" i="92"/>
  <c r="Q157" i="92"/>
  <c r="P157" i="92"/>
  <c r="N157" i="92"/>
  <c r="I157" i="92"/>
  <c r="H157" i="92"/>
  <c r="G157" i="92"/>
  <c r="F157" i="92"/>
  <c r="E157" i="92"/>
  <c r="D157" i="92"/>
  <c r="C157" i="92"/>
  <c r="B157" i="92"/>
  <c r="A157" i="92"/>
  <c r="U156" i="92"/>
  <c r="T156" i="92"/>
  <c r="S156" i="92"/>
  <c r="R156" i="92"/>
  <c r="Q156" i="92"/>
  <c r="P156" i="92"/>
  <c r="N156" i="92"/>
  <c r="I156" i="92"/>
  <c r="H156" i="92"/>
  <c r="G156" i="92"/>
  <c r="F156" i="92"/>
  <c r="E156" i="92"/>
  <c r="D156" i="92"/>
  <c r="C156" i="92"/>
  <c r="B156" i="92"/>
  <c r="A156" i="92"/>
  <c r="U155" i="92"/>
  <c r="T155" i="92"/>
  <c r="S155" i="92"/>
  <c r="R155" i="92"/>
  <c r="Q155" i="92"/>
  <c r="P155" i="92"/>
  <c r="N155" i="92"/>
  <c r="I155" i="92"/>
  <c r="H155" i="92"/>
  <c r="G155" i="92"/>
  <c r="F155" i="92"/>
  <c r="E155" i="92"/>
  <c r="D155" i="92"/>
  <c r="C155" i="92"/>
  <c r="B155" i="92"/>
  <c r="A155" i="92"/>
  <c r="U154" i="92"/>
  <c r="T154" i="92"/>
  <c r="S154" i="92"/>
  <c r="R154" i="92"/>
  <c r="Q154" i="92"/>
  <c r="P154" i="92"/>
  <c r="N154" i="92"/>
  <c r="I154" i="92"/>
  <c r="H154" i="92"/>
  <c r="G154" i="92"/>
  <c r="F154" i="92"/>
  <c r="E154" i="92"/>
  <c r="D154" i="92"/>
  <c r="C154" i="92"/>
  <c r="B154" i="92"/>
  <c r="A154" i="92"/>
  <c r="U153" i="92"/>
  <c r="T153" i="92"/>
  <c r="S153" i="92"/>
  <c r="R153" i="92"/>
  <c r="Q153" i="92"/>
  <c r="P153" i="92"/>
  <c r="N153" i="92"/>
  <c r="I153" i="92"/>
  <c r="H153" i="92"/>
  <c r="G153" i="92"/>
  <c r="F153" i="92"/>
  <c r="E153" i="92"/>
  <c r="D153" i="92"/>
  <c r="C153" i="92"/>
  <c r="B153" i="92"/>
  <c r="A153" i="92"/>
  <c r="U152" i="92"/>
  <c r="U151" i="92" s="1"/>
  <c r="T152" i="92"/>
  <c r="T151" i="92" s="1"/>
  <c r="S152" i="92"/>
  <c r="S151" i="92" s="1"/>
  <c r="R152" i="92"/>
  <c r="M152" i="92"/>
  <c r="L152" i="92"/>
  <c r="R151" i="92"/>
  <c r="L151" i="92"/>
  <c r="K151" i="92"/>
  <c r="U150" i="92"/>
  <c r="T150" i="92"/>
  <c r="S150" i="92"/>
  <c r="R150" i="92"/>
  <c r="Q150" i="92"/>
  <c r="P150" i="92"/>
  <c r="N150" i="92"/>
  <c r="I150" i="92"/>
  <c r="H150" i="92"/>
  <c r="G150" i="92"/>
  <c r="F150" i="92"/>
  <c r="E150" i="92"/>
  <c r="D150" i="92"/>
  <c r="C150" i="92"/>
  <c r="B150" i="92"/>
  <c r="A150" i="92"/>
  <c r="U149" i="92"/>
  <c r="T149" i="92"/>
  <c r="S149" i="92"/>
  <c r="R149" i="92"/>
  <c r="Q149" i="92"/>
  <c r="P149" i="92"/>
  <c r="N149" i="92"/>
  <c r="I149" i="92"/>
  <c r="H149" i="92"/>
  <c r="G149" i="92"/>
  <c r="F149" i="92"/>
  <c r="E149" i="92"/>
  <c r="D149" i="92"/>
  <c r="C149" i="92"/>
  <c r="B149" i="92"/>
  <c r="A149" i="92"/>
  <c r="U148" i="92"/>
  <c r="T148" i="92"/>
  <c r="S148" i="92"/>
  <c r="R148" i="92"/>
  <c r="Q148" i="92"/>
  <c r="P148" i="92"/>
  <c r="N148" i="92"/>
  <c r="I148" i="92"/>
  <c r="H148" i="92"/>
  <c r="G148" i="92"/>
  <c r="F148" i="92"/>
  <c r="E148" i="92"/>
  <c r="D148" i="92"/>
  <c r="C148" i="92"/>
  <c r="B148" i="92"/>
  <c r="A148" i="92"/>
  <c r="U147" i="92"/>
  <c r="T147" i="92"/>
  <c r="S147" i="92"/>
  <c r="R147" i="92"/>
  <c r="Q147" i="92"/>
  <c r="P147" i="92"/>
  <c r="N147" i="92"/>
  <c r="I147" i="92"/>
  <c r="H147" i="92"/>
  <c r="G147" i="92"/>
  <c r="F147" i="92"/>
  <c r="E147" i="92"/>
  <c r="D147" i="92"/>
  <c r="C147" i="92"/>
  <c r="B147" i="92"/>
  <c r="A147" i="92"/>
  <c r="U146" i="92"/>
  <c r="T146" i="92"/>
  <c r="S146" i="92"/>
  <c r="R146" i="92"/>
  <c r="Q146" i="92"/>
  <c r="P146" i="92"/>
  <c r="N146" i="92"/>
  <c r="I146" i="92"/>
  <c r="H146" i="92"/>
  <c r="G146" i="92"/>
  <c r="F146" i="92"/>
  <c r="E146" i="92"/>
  <c r="D146" i="92"/>
  <c r="C146" i="92"/>
  <c r="B146" i="92"/>
  <c r="A146" i="92"/>
  <c r="U145" i="92"/>
  <c r="T145" i="92"/>
  <c r="S145" i="92"/>
  <c r="R145" i="92"/>
  <c r="Q145" i="92"/>
  <c r="P145" i="92"/>
  <c r="N145" i="92"/>
  <c r="I145" i="92"/>
  <c r="H145" i="92"/>
  <c r="G145" i="92"/>
  <c r="F145" i="92"/>
  <c r="E145" i="92"/>
  <c r="D145" i="92"/>
  <c r="C145" i="92"/>
  <c r="B145" i="92"/>
  <c r="A145" i="92"/>
  <c r="U144" i="92"/>
  <c r="T144" i="92"/>
  <c r="S144" i="92"/>
  <c r="R144" i="92"/>
  <c r="Q144" i="92"/>
  <c r="P144" i="92"/>
  <c r="N144" i="92"/>
  <c r="I144" i="92"/>
  <c r="H144" i="92"/>
  <c r="G144" i="92"/>
  <c r="F144" i="92"/>
  <c r="E144" i="92"/>
  <c r="D144" i="92"/>
  <c r="C144" i="92"/>
  <c r="B144" i="92"/>
  <c r="A144" i="92"/>
  <c r="U143" i="92"/>
  <c r="U142" i="92" s="1"/>
  <c r="T143" i="92"/>
  <c r="S143" i="92"/>
  <c r="S142" i="92" s="1"/>
  <c r="R143" i="92"/>
  <c r="M143" i="92"/>
  <c r="L143" i="92"/>
  <c r="T142" i="92"/>
  <c r="R142" i="92"/>
  <c r="L142" i="92"/>
  <c r="K142" i="92"/>
  <c r="K141" i="92"/>
  <c r="J141" i="92"/>
  <c r="U140" i="92"/>
  <c r="T140" i="92"/>
  <c r="S140" i="92"/>
  <c r="R140" i="92"/>
  <c r="Q140" i="92"/>
  <c r="P140" i="92"/>
  <c r="O140" i="92"/>
  <c r="N140" i="92"/>
  <c r="I140" i="92"/>
  <c r="H140" i="92"/>
  <c r="G140" i="92"/>
  <c r="F140" i="92"/>
  <c r="E140" i="92"/>
  <c r="D140" i="92"/>
  <c r="C140" i="92"/>
  <c r="B140" i="92"/>
  <c r="A140" i="92"/>
  <c r="U139" i="92"/>
  <c r="T139" i="92"/>
  <c r="S139" i="92"/>
  <c r="R139" i="92"/>
  <c r="Q139" i="92"/>
  <c r="P139" i="92"/>
  <c r="O139" i="92"/>
  <c r="N139" i="92"/>
  <c r="I139" i="92"/>
  <c r="H139" i="92"/>
  <c r="G139" i="92"/>
  <c r="F139" i="92"/>
  <c r="E139" i="92"/>
  <c r="D139" i="92"/>
  <c r="C139" i="92"/>
  <c r="B139" i="92"/>
  <c r="A139" i="92"/>
  <c r="U138" i="92"/>
  <c r="T138" i="92"/>
  <c r="S138" i="92"/>
  <c r="R138" i="92"/>
  <c r="Q138" i="92"/>
  <c r="P138" i="92"/>
  <c r="O138" i="92"/>
  <c r="N138" i="92"/>
  <c r="I138" i="92"/>
  <c r="H138" i="92"/>
  <c r="G138" i="92"/>
  <c r="F138" i="92"/>
  <c r="E138" i="92"/>
  <c r="D138" i="92"/>
  <c r="C138" i="92"/>
  <c r="B138" i="92"/>
  <c r="A138" i="92"/>
  <c r="U137" i="92"/>
  <c r="T137" i="92"/>
  <c r="S137" i="92"/>
  <c r="R137" i="92"/>
  <c r="Q137" i="92"/>
  <c r="P137" i="92"/>
  <c r="O137" i="92"/>
  <c r="N137" i="92"/>
  <c r="I137" i="92"/>
  <c r="H137" i="92"/>
  <c r="G137" i="92"/>
  <c r="F137" i="92"/>
  <c r="E137" i="92"/>
  <c r="D137" i="92"/>
  <c r="C137" i="92"/>
  <c r="B137" i="92"/>
  <c r="A137" i="92"/>
  <c r="U136" i="92"/>
  <c r="T136" i="92"/>
  <c r="S136" i="92"/>
  <c r="R136" i="92"/>
  <c r="Q136" i="92"/>
  <c r="P136" i="92"/>
  <c r="O136" i="92"/>
  <c r="N136" i="92"/>
  <c r="I136" i="92"/>
  <c r="H136" i="92"/>
  <c r="G136" i="92"/>
  <c r="F136" i="92"/>
  <c r="E136" i="92"/>
  <c r="D136" i="92"/>
  <c r="C136" i="92"/>
  <c r="B136" i="92"/>
  <c r="A136" i="92"/>
  <c r="U135" i="92"/>
  <c r="T135" i="92"/>
  <c r="S135" i="92"/>
  <c r="R135" i="92"/>
  <c r="Q135" i="92"/>
  <c r="P135" i="92"/>
  <c r="O135" i="92"/>
  <c r="N135" i="92"/>
  <c r="I135" i="92"/>
  <c r="H135" i="92"/>
  <c r="G135" i="92"/>
  <c r="F135" i="92"/>
  <c r="E135" i="92"/>
  <c r="D135" i="92"/>
  <c r="C135" i="92"/>
  <c r="B135" i="92"/>
  <c r="A135" i="92"/>
  <c r="U134" i="92"/>
  <c r="T134" i="92"/>
  <c r="S134" i="92"/>
  <c r="R134" i="92"/>
  <c r="Q134" i="92"/>
  <c r="P134" i="92"/>
  <c r="O134" i="92"/>
  <c r="N134" i="92"/>
  <c r="I134" i="92"/>
  <c r="H134" i="92"/>
  <c r="G134" i="92"/>
  <c r="F134" i="92"/>
  <c r="E134" i="92"/>
  <c r="D134" i="92"/>
  <c r="C134" i="92"/>
  <c r="B134" i="92"/>
  <c r="A134" i="92"/>
  <c r="U133" i="92"/>
  <c r="T133" i="92"/>
  <c r="S133" i="92"/>
  <c r="R133" i="92"/>
  <c r="R130" i="92" s="1"/>
  <c r="R129" i="92" s="1"/>
  <c r="Q133" i="92"/>
  <c r="P133" i="92"/>
  <c r="O133" i="92"/>
  <c r="N133" i="92"/>
  <c r="I133" i="92"/>
  <c r="H133" i="92"/>
  <c r="G133" i="92"/>
  <c r="F133" i="92"/>
  <c r="E133" i="92"/>
  <c r="D133" i="92"/>
  <c r="C133" i="92"/>
  <c r="B133" i="92"/>
  <c r="A133" i="92"/>
  <c r="U132" i="92"/>
  <c r="T132" i="92"/>
  <c r="S132" i="92"/>
  <c r="S130" i="92" s="1"/>
  <c r="S129" i="92" s="1"/>
  <c r="R132" i="92"/>
  <c r="Q132" i="92"/>
  <c r="P132" i="92"/>
  <c r="O132" i="92"/>
  <c r="N132" i="92"/>
  <c r="I132" i="92"/>
  <c r="H132" i="92"/>
  <c r="G132" i="92"/>
  <c r="F132" i="92"/>
  <c r="E132" i="92"/>
  <c r="D132" i="92"/>
  <c r="C132" i="92"/>
  <c r="B132" i="92"/>
  <c r="A132" i="92"/>
  <c r="U131" i="92"/>
  <c r="T131" i="92"/>
  <c r="T130" i="92" s="1"/>
  <c r="T129" i="92" s="1"/>
  <c r="S131" i="92"/>
  <c r="R131" i="92"/>
  <c r="Q131" i="92"/>
  <c r="P131" i="92"/>
  <c r="O131" i="92"/>
  <c r="N131" i="92"/>
  <c r="I131" i="92"/>
  <c r="H131" i="92"/>
  <c r="G131" i="92"/>
  <c r="F131" i="92"/>
  <c r="E131" i="92"/>
  <c r="D131" i="92"/>
  <c r="C131" i="92"/>
  <c r="B131" i="92"/>
  <c r="A131" i="92"/>
  <c r="U130" i="92"/>
  <c r="U129" i="92" s="1"/>
  <c r="M130" i="92"/>
  <c r="L130" i="92"/>
  <c r="L129" i="92"/>
  <c r="K129" i="92"/>
  <c r="U128" i="92"/>
  <c r="T128" i="92"/>
  <c r="T127" i="92" s="1"/>
  <c r="T126" i="92" s="1"/>
  <c r="S128" i="92"/>
  <c r="S127" i="92" s="1"/>
  <c r="S126" i="92" s="1"/>
  <c r="R128" i="92"/>
  <c r="R127" i="92" s="1"/>
  <c r="R126" i="92" s="1"/>
  <c r="Q128" i="92"/>
  <c r="P128" i="92"/>
  <c r="O128" i="92"/>
  <c r="N128" i="92"/>
  <c r="M128" i="92"/>
  <c r="I128" i="92"/>
  <c r="H128" i="92"/>
  <c r="G128" i="92"/>
  <c r="F128" i="92"/>
  <c r="E128" i="92"/>
  <c r="D128" i="92"/>
  <c r="C128" i="92"/>
  <c r="B128" i="92"/>
  <c r="A128" i="92"/>
  <c r="U127" i="92"/>
  <c r="U126" i="92" s="1"/>
  <c r="M127" i="92"/>
  <c r="L127" i="92"/>
  <c r="L126" i="92"/>
  <c r="K126" i="92"/>
  <c r="U125" i="92"/>
  <c r="T125" i="92"/>
  <c r="S125" i="92"/>
  <c r="R125" i="92"/>
  <c r="Q125" i="92"/>
  <c r="P125" i="92"/>
  <c r="O125" i="92"/>
  <c r="N125" i="92"/>
  <c r="M125" i="92"/>
  <c r="I125" i="92"/>
  <c r="H125" i="92"/>
  <c r="G125" i="92"/>
  <c r="F125" i="92"/>
  <c r="E125" i="92"/>
  <c r="D125" i="92"/>
  <c r="C125" i="92"/>
  <c r="B125" i="92"/>
  <c r="A125" i="92"/>
  <c r="U124" i="92"/>
  <c r="T124" i="92"/>
  <c r="S124" i="92"/>
  <c r="R124" i="92"/>
  <c r="R122" i="92" s="1"/>
  <c r="R121" i="92" s="1"/>
  <c r="Q124" i="92"/>
  <c r="P124" i="92"/>
  <c r="O124" i="92"/>
  <c r="N124" i="92"/>
  <c r="M124" i="92"/>
  <c r="I124" i="92"/>
  <c r="H124" i="92"/>
  <c r="G124" i="92"/>
  <c r="F124" i="92"/>
  <c r="E124" i="92"/>
  <c r="D124" i="92"/>
  <c r="C124" i="92"/>
  <c r="B124" i="92"/>
  <c r="A124" i="92"/>
  <c r="U123" i="92"/>
  <c r="T123" i="92"/>
  <c r="S123" i="92"/>
  <c r="S122" i="92" s="1"/>
  <c r="S121" i="92" s="1"/>
  <c r="R123" i="92"/>
  <c r="Q123" i="92"/>
  <c r="P123" i="92"/>
  <c r="O123" i="92"/>
  <c r="N123" i="92"/>
  <c r="M123" i="92"/>
  <c r="I123" i="92"/>
  <c r="H123" i="92"/>
  <c r="G123" i="92"/>
  <c r="F123" i="92"/>
  <c r="E123" i="92"/>
  <c r="D123" i="92"/>
  <c r="C123" i="92"/>
  <c r="B123" i="92"/>
  <c r="A123" i="92"/>
  <c r="T122" i="92"/>
  <c r="T121" i="92" s="1"/>
  <c r="M122" i="92"/>
  <c r="L122" i="92"/>
  <c r="L121" i="92"/>
  <c r="K121" i="92"/>
  <c r="U120" i="92"/>
  <c r="T120" i="92"/>
  <c r="T119" i="92" s="1"/>
  <c r="T118" i="92" s="1"/>
  <c r="S120" i="92"/>
  <c r="S119" i="92" s="1"/>
  <c r="S118" i="92" s="1"/>
  <c r="R120" i="92"/>
  <c r="R119" i="92" s="1"/>
  <c r="R118" i="92" s="1"/>
  <c r="Q120" i="92"/>
  <c r="P120" i="92"/>
  <c r="O120" i="92"/>
  <c r="N120" i="92"/>
  <c r="M120" i="92"/>
  <c r="I120" i="92"/>
  <c r="H120" i="92"/>
  <c r="G120" i="92"/>
  <c r="F120" i="92"/>
  <c r="E120" i="92"/>
  <c r="D120" i="92"/>
  <c r="C120" i="92"/>
  <c r="B120" i="92"/>
  <c r="A120" i="92"/>
  <c r="U119" i="92"/>
  <c r="U118" i="92" s="1"/>
  <c r="M119" i="92"/>
  <c r="L119" i="92"/>
  <c r="L118" i="92"/>
  <c r="K118" i="92"/>
  <c r="U117" i="92"/>
  <c r="T117" i="92"/>
  <c r="S117" i="92"/>
  <c r="R117" i="92"/>
  <c r="Q117" i="92"/>
  <c r="P117" i="92"/>
  <c r="O117" i="92"/>
  <c r="N117" i="92"/>
  <c r="I117" i="92"/>
  <c r="H117" i="92"/>
  <c r="G117" i="92"/>
  <c r="F117" i="92"/>
  <c r="E117" i="92"/>
  <c r="D117" i="92"/>
  <c r="C117" i="92"/>
  <c r="B117" i="92"/>
  <c r="A117" i="92"/>
  <c r="U116" i="92"/>
  <c r="S116" i="92"/>
  <c r="R116" i="92"/>
  <c r="Q116" i="92"/>
  <c r="P116" i="92"/>
  <c r="O116" i="92"/>
  <c r="N116" i="92"/>
  <c r="I116" i="92"/>
  <c r="H116" i="92"/>
  <c r="G116" i="92"/>
  <c r="F116" i="92"/>
  <c r="E116" i="92"/>
  <c r="D116" i="92"/>
  <c r="C116" i="92"/>
  <c r="B116" i="92"/>
  <c r="A116" i="92"/>
  <c r="U115" i="92"/>
  <c r="S115" i="92"/>
  <c r="S112" i="92" s="1"/>
  <c r="S111" i="92" s="1"/>
  <c r="R115" i="92"/>
  <c r="Q115" i="92"/>
  <c r="P115" i="92"/>
  <c r="O115" i="92"/>
  <c r="N115" i="92"/>
  <c r="I115" i="92"/>
  <c r="H115" i="92"/>
  <c r="G115" i="92"/>
  <c r="F115" i="92"/>
  <c r="E115" i="92"/>
  <c r="D115" i="92"/>
  <c r="C115" i="92"/>
  <c r="B115" i="92"/>
  <c r="A115" i="92"/>
  <c r="U114" i="92"/>
  <c r="T114" i="92"/>
  <c r="S114" i="92"/>
  <c r="R114" i="92"/>
  <c r="Q114" i="92"/>
  <c r="P114" i="92"/>
  <c r="O114" i="92"/>
  <c r="N114" i="92"/>
  <c r="I114" i="92"/>
  <c r="H114" i="92"/>
  <c r="G114" i="92"/>
  <c r="F114" i="92"/>
  <c r="E114" i="92"/>
  <c r="D114" i="92"/>
  <c r="C114" i="92"/>
  <c r="B114" i="92"/>
  <c r="A114" i="92"/>
  <c r="U113" i="92"/>
  <c r="U112" i="92" s="1"/>
  <c r="U111" i="92" s="1"/>
  <c r="T113" i="92"/>
  <c r="S113" i="92"/>
  <c r="R113" i="92"/>
  <c r="Q113" i="92"/>
  <c r="P113" i="92"/>
  <c r="O113" i="92"/>
  <c r="N113" i="92"/>
  <c r="I113" i="92"/>
  <c r="H113" i="92"/>
  <c r="G113" i="92"/>
  <c r="F113" i="92"/>
  <c r="E113" i="92"/>
  <c r="D113" i="92"/>
  <c r="C113" i="92"/>
  <c r="B113" i="92"/>
  <c r="A113" i="92"/>
  <c r="R112" i="92"/>
  <c r="R111" i="92" s="1"/>
  <c r="M112" i="92"/>
  <c r="L112" i="92"/>
  <c r="L111" i="92"/>
  <c r="K111" i="92"/>
  <c r="U110" i="92"/>
  <c r="U109" i="92" s="1"/>
  <c r="U108" i="92" s="1"/>
  <c r="S110" i="92"/>
  <c r="R110" i="92"/>
  <c r="Q110" i="92"/>
  <c r="P110" i="92"/>
  <c r="O110" i="92"/>
  <c r="N110" i="92"/>
  <c r="M110" i="92"/>
  <c r="I110" i="92"/>
  <c r="H110" i="92"/>
  <c r="G110" i="92"/>
  <c r="F110" i="92"/>
  <c r="E110" i="92"/>
  <c r="D110" i="92"/>
  <c r="C110" i="92"/>
  <c r="B110" i="92"/>
  <c r="A110" i="92"/>
  <c r="S109" i="92"/>
  <c r="R109" i="92"/>
  <c r="R108" i="92" s="1"/>
  <c r="M109" i="92"/>
  <c r="L109" i="92"/>
  <c r="S108" i="92"/>
  <c r="L108" i="92"/>
  <c r="K108" i="92"/>
  <c r="U107" i="92"/>
  <c r="U106" i="92" s="1"/>
  <c r="T107" i="92"/>
  <c r="S107" i="92"/>
  <c r="R107" i="92"/>
  <c r="R106" i="92" s="1"/>
  <c r="Q107" i="92"/>
  <c r="P107" i="92"/>
  <c r="O107" i="92"/>
  <c r="N107" i="92"/>
  <c r="I107" i="92"/>
  <c r="H107" i="92"/>
  <c r="G107" i="92"/>
  <c r="F107" i="92"/>
  <c r="E107" i="92"/>
  <c r="D107" i="92"/>
  <c r="C107" i="92"/>
  <c r="B107" i="92"/>
  <c r="A107" i="92"/>
  <c r="T106" i="92"/>
  <c r="S106" i="92"/>
  <c r="M106" i="92"/>
  <c r="L106" i="92"/>
  <c r="U105" i="92"/>
  <c r="T105" i="92"/>
  <c r="S105" i="92"/>
  <c r="R105" i="92"/>
  <c r="Q105" i="92"/>
  <c r="P105" i="92"/>
  <c r="O105" i="92"/>
  <c r="N105" i="92"/>
  <c r="I105" i="92"/>
  <c r="H105" i="92"/>
  <c r="G105" i="92"/>
  <c r="F105" i="92"/>
  <c r="E105" i="92"/>
  <c r="D105" i="92"/>
  <c r="C105" i="92"/>
  <c r="B105" i="92"/>
  <c r="A105" i="92"/>
  <c r="U104" i="92"/>
  <c r="T104" i="92"/>
  <c r="S104" i="92"/>
  <c r="S102" i="92" s="1"/>
  <c r="R104" i="92"/>
  <c r="R102" i="92" s="1"/>
  <c r="Q104" i="92"/>
  <c r="P104" i="92"/>
  <c r="O104" i="92"/>
  <c r="N104" i="92"/>
  <c r="I104" i="92"/>
  <c r="H104" i="92"/>
  <c r="G104" i="92"/>
  <c r="F104" i="92"/>
  <c r="E104" i="92"/>
  <c r="D104" i="92"/>
  <c r="C104" i="92"/>
  <c r="B104" i="92"/>
  <c r="A104" i="92"/>
  <c r="AC103" i="92"/>
  <c r="U103" i="92"/>
  <c r="T103" i="92"/>
  <c r="T102" i="92" s="1"/>
  <c r="S103" i="92"/>
  <c r="R103" i="92"/>
  <c r="Q103" i="92"/>
  <c r="P103" i="92"/>
  <c r="O103" i="92"/>
  <c r="N103" i="92"/>
  <c r="I103" i="92"/>
  <c r="H103" i="92"/>
  <c r="G103" i="92"/>
  <c r="F103" i="92"/>
  <c r="E103" i="92"/>
  <c r="D103" i="92"/>
  <c r="C103" i="92"/>
  <c r="B103" i="92"/>
  <c r="A103" i="92"/>
  <c r="U102" i="92"/>
  <c r="M102" i="92"/>
  <c r="L102" i="92"/>
  <c r="U101" i="92"/>
  <c r="T101" i="92"/>
  <c r="S101" i="92"/>
  <c r="R101" i="92"/>
  <c r="Q101" i="92"/>
  <c r="P101" i="92"/>
  <c r="O101" i="92"/>
  <c r="N101" i="92"/>
  <c r="I101" i="92"/>
  <c r="H101" i="92"/>
  <c r="G101" i="92"/>
  <c r="F101" i="92"/>
  <c r="E101" i="92"/>
  <c r="D101" i="92"/>
  <c r="C101" i="92"/>
  <c r="B101" i="92"/>
  <c r="A101" i="92"/>
  <c r="U100" i="92"/>
  <c r="T100" i="92"/>
  <c r="S100" i="92"/>
  <c r="R100" i="92"/>
  <c r="Q100" i="92"/>
  <c r="P100" i="92"/>
  <c r="O100" i="92"/>
  <c r="N100" i="92"/>
  <c r="I100" i="92"/>
  <c r="H100" i="92"/>
  <c r="G100" i="92"/>
  <c r="F100" i="92"/>
  <c r="E100" i="92"/>
  <c r="D100" i="92"/>
  <c r="C100" i="92"/>
  <c r="B100" i="92"/>
  <c r="A100" i="92"/>
  <c r="U99" i="92"/>
  <c r="T99" i="92"/>
  <c r="S99" i="92"/>
  <c r="R99" i="92"/>
  <c r="Q99" i="92"/>
  <c r="P99" i="92"/>
  <c r="O99" i="92"/>
  <c r="N99" i="92"/>
  <c r="I99" i="92"/>
  <c r="H99" i="92"/>
  <c r="G99" i="92"/>
  <c r="F99" i="92"/>
  <c r="E99" i="92"/>
  <c r="D99" i="92"/>
  <c r="C99" i="92"/>
  <c r="B99" i="92"/>
  <c r="A99" i="92"/>
  <c r="U98" i="92"/>
  <c r="T98" i="92"/>
  <c r="S98" i="92"/>
  <c r="R98" i="92"/>
  <c r="Q98" i="92"/>
  <c r="P98" i="92"/>
  <c r="O98" i="92"/>
  <c r="N98" i="92"/>
  <c r="I98" i="92"/>
  <c r="H98" i="92"/>
  <c r="G98" i="92"/>
  <c r="F98" i="92"/>
  <c r="E98" i="92"/>
  <c r="D98" i="92"/>
  <c r="C98" i="92"/>
  <c r="B98" i="92"/>
  <c r="A98" i="92"/>
  <c r="U97" i="92"/>
  <c r="T97" i="92"/>
  <c r="S97" i="92"/>
  <c r="S93" i="92" s="1"/>
  <c r="R97" i="92"/>
  <c r="Q97" i="92"/>
  <c r="P97" i="92"/>
  <c r="O97" i="92"/>
  <c r="N97" i="92"/>
  <c r="I97" i="92"/>
  <c r="H97" i="92"/>
  <c r="G97" i="92"/>
  <c r="F97" i="92"/>
  <c r="E97" i="92"/>
  <c r="D97" i="92"/>
  <c r="C97" i="92"/>
  <c r="B97" i="92"/>
  <c r="A97" i="92"/>
  <c r="U96" i="92"/>
  <c r="T96" i="92"/>
  <c r="T93" i="92" s="1"/>
  <c r="S96" i="92"/>
  <c r="R96" i="92"/>
  <c r="Q96" i="92"/>
  <c r="P96" i="92"/>
  <c r="O96" i="92"/>
  <c r="N96" i="92"/>
  <c r="I96" i="92"/>
  <c r="H96" i="92"/>
  <c r="G96" i="92"/>
  <c r="F96" i="92"/>
  <c r="E96" i="92"/>
  <c r="D96" i="92"/>
  <c r="C96" i="92"/>
  <c r="B96" i="92"/>
  <c r="A96" i="92"/>
  <c r="U95" i="92"/>
  <c r="U93" i="92" s="1"/>
  <c r="T95" i="92"/>
  <c r="S95" i="92"/>
  <c r="R95" i="92"/>
  <c r="Q95" i="92"/>
  <c r="P95" i="92"/>
  <c r="O95" i="92"/>
  <c r="N95" i="92"/>
  <c r="I95" i="92"/>
  <c r="H95" i="92"/>
  <c r="G95" i="92"/>
  <c r="F95" i="92"/>
  <c r="E95" i="92"/>
  <c r="D95" i="92"/>
  <c r="C95" i="92"/>
  <c r="B95" i="92"/>
  <c r="A95" i="92"/>
  <c r="U94" i="92"/>
  <c r="T94" i="92"/>
  <c r="S94" i="92"/>
  <c r="R94" i="92"/>
  <c r="R93" i="92" s="1"/>
  <c r="Q94" i="92"/>
  <c r="P94" i="92"/>
  <c r="O94" i="92"/>
  <c r="N94" i="92"/>
  <c r="I94" i="92"/>
  <c r="H94" i="92"/>
  <c r="G94" i="92"/>
  <c r="F94" i="92"/>
  <c r="E94" i="92"/>
  <c r="D94" i="92"/>
  <c r="C94" i="92"/>
  <c r="B94" i="92"/>
  <c r="A94" i="92"/>
  <c r="M93" i="92"/>
  <c r="L93" i="92"/>
  <c r="U92" i="92"/>
  <c r="T92" i="92"/>
  <c r="S92" i="92"/>
  <c r="R92" i="92"/>
  <c r="Q92" i="92"/>
  <c r="P92" i="92"/>
  <c r="O92" i="92"/>
  <c r="N92" i="92"/>
  <c r="I92" i="92"/>
  <c r="H92" i="92"/>
  <c r="G92" i="92"/>
  <c r="F92" i="92"/>
  <c r="E92" i="92"/>
  <c r="D92" i="92"/>
  <c r="C92" i="92"/>
  <c r="B92" i="92"/>
  <c r="A92" i="92"/>
  <c r="U91" i="92"/>
  <c r="T91" i="92"/>
  <c r="S91" i="92"/>
  <c r="R91" i="92"/>
  <c r="Q91" i="92"/>
  <c r="P91" i="92"/>
  <c r="O91" i="92"/>
  <c r="N91" i="92"/>
  <c r="I91" i="92"/>
  <c r="H91" i="92"/>
  <c r="G91" i="92"/>
  <c r="F91" i="92"/>
  <c r="E91" i="92"/>
  <c r="D91" i="92"/>
  <c r="C91" i="92"/>
  <c r="B91" i="92"/>
  <c r="A91" i="92"/>
  <c r="U90" i="92"/>
  <c r="T90" i="92"/>
  <c r="S90" i="92"/>
  <c r="R90" i="92"/>
  <c r="Q90" i="92"/>
  <c r="P90" i="92"/>
  <c r="O90" i="92"/>
  <c r="N90" i="92"/>
  <c r="I90" i="92"/>
  <c r="H90" i="92"/>
  <c r="G90" i="92"/>
  <c r="F90" i="92"/>
  <c r="E90" i="92"/>
  <c r="D90" i="92"/>
  <c r="C90" i="92"/>
  <c r="B90" i="92"/>
  <c r="A90" i="92"/>
  <c r="U89" i="92"/>
  <c r="T89" i="92"/>
  <c r="S89" i="92"/>
  <c r="R89" i="92"/>
  <c r="Q89" i="92"/>
  <c r="P89" i="92"/>
  <c r="O89" i="92"/>
  <c r="N89" i="92"/>
  <c r="I89" i="92"/>
  <c r="H89" i="92"/>
  <c r="G89" i="92"/>
  <c r="F89" i="92"/>
  <c r="E89" i="92"/>
  <c r="D89" i="92"/>
  <c r="C89" i="92"/>
  <c r="B89" i="92"/>
  <c r="A89" i="92"/>
  <c r="U88" i="92"/>
  <c r="T88" i="92"/>
  <c r="S88" i="92"/>
  <c r="R88" i="92"/>
  <c r="Q88" i="92"/>
  <c r="P88" i="92"/>
  <c r="O88" i="92"/>
  <c r="N88" i="92"/>
  <c r="I88" i="92"/>
  <c r="H88" i="92"/>
  <c r="G88" i="92"/>
  <c r="F88" i="92"/>
  <c r="E88" i="92"/>
  <c r="D88" i="92"/>
  <c r="C88" i="92"/>
  <c r="B88" i="92"/>
  <c r="A88" i="92"/>
  <c r="U87" i="92"/>
  <c r="T87" i="92"/>
  <c r="S87" i="92"/>
  <c r="R87" i="92"/>
  <c r="Q87" i="92"/>
  <c r="P87" i="92"/>
  <c r="O87" i="92"/>
  <c r="N87" i="92"/>
  <c r="I87" i="92"/>
  <c r="H87" i="92"/>
  <c r="G87" i="92"/>
  <c r="F87" i="92"/>
  <c r="E87" i="92"/>
  <c r="D87" i="92"/>
  <c r="C87" i="92"/>
  <c r="B87" i="92"/>
  <c r="A87" i="92"/>
  <c r="U86" i="92"/>
  <c r="T86" i="92"/>
  <c r="S86" i="92"/>
  <c r="R86" i="92"/>
  <c r="Q86" i="92"/>
  <c r="P86" i="92"/>
  <c r="O86" i="92"/>
  <c r="N86" i="92"/>
  <c r="I86" i="92"/>
  <c r="H86" i="92"/>
  <c r="G86" i="92"/>
  <c r="F86" i="92"/>
  <c r="E86" i="92"/>
  <c r="D86" i="92"/>
  <c r="C86" i="92"/>
  <c r="B86" i="92"/>
  <c r="A86" i="92"/>
  <c r="U85" i="92"/>
  <c r="T85" i="92"/>
  <c r="S85" i="92"/>
  <c r="R85" i="92"/>
  <c r="Q85" i="92"/>
  <c r="P85" i="92"/>
  <c r="O85" i="92"/>
  <c r="N85" i="92"/>
  <c r="I85" i="92"/>
  <c r="H85" i="92"/>
  <c r="G85" i="92"/>
  <c r="F85" i="92"/>
  <c r="E85" i="92"/>
  <c r="D85" i="92"/>
  <c r="C85" i="92"/>
  <c r="B85" i="92"/>
  <c r="A85" i="92"/>
  <c r="U84" i="92"/>
  <c r="T84" i="92"/>
  <c r="S84" i="92"/>
  <c r="R84" i="92"/>
  <c r="Q84" i="92"/>
  <c r="P84" i="92"/>
  <c r="O84" i="92"/>
  <c r="N84" i="92"/>
  <c r="I84" i="92"/>
  <c r="H84" i="92"/>
  <c r="G84" i="92"/>
  <c r="F84" i="92"/>
  <c r="E84" i="92"/>
  <c r="D84" i="92"/>
  <c r="C84" i="92"/>
  <c r="B84" i="92"/>
  <c r="A84" i="92"/>
  <c r="U83" i="92"/>
  <c r="T83" i="92"/>
  <c r="T81" i="92" s="1"/>
  <c r="S83" i="92"/>
  <c r="R83" i="92"/>
  <c r="R81" i="92" s="1"/>
  <c r="Q83" i="92"/>
  <c r="P83" i="92"/>
  <c r="O83" i="92"/>
  <c r="N83" i="92"/>
  <c r="I83" i="92"/>
  <c r="H83" i="92"/>
  <c r="G83" i="92"/>
  <c r="F83" i="92"/>
  <c r="E83" i="92"/>
  <c r="D83" i="92"/>
  <c r="C83" i="92"/>
  <c r="B83" i="92"/>
  <c r="A83" i="92"/>
  <c r="U82" i="92"/>
  <c r="U81" i="92" s="1"/>
  <c r="T82" i="92"/>
  <c r="S82" i="92"/>
  <c r="R82" i="92"/>
  <c r="Q82" i="92"/>
  <c r="P82" i="92"/>
  <c r="O82" i="92"/>
  <c r="N82" i="92"/>
  <c r="I82" i="92"/>
  <c r="H82" i="92"/>
  <c r="G82" i="92"/>
  <c r="F82" i="92"/>
  <c r="E82" i="92"/>
  <c r="D82" i="92"/>
  <c r="C82" i="92"/>
  <c r="B82" i="92"/>
  <c r="A82" i="92"/>
  <c r="M81" i="92"/>
  <c r="L81" i="92"/>
  <c r="U80" i="92"/>
  <c r="T80" i="92"/>
  <c r="S80" i="92"/>
  <c r="S77" i="92" s="1"/>
  <c r="R80" i="92"/>
  <c r="Q80" i="92"/>
  <c r="P80" i="92"/>
  <c r="O80" i="92"/>
  <c r="N80" i="92"/>
  <c r="I80" i="92"/>
  <c r="H80" i="92"/>
  <c r="G80" i="92"/>
  <c r="F80" i="92"/>
  <c r="E80" i="92"/>
  <c r="D80" i="92"/>
  <c r="C80" i="92"/>
  <c r="B80" i="92"/>
  <c r="A80" i="92"/>
  <c r="U79" i="92"/>
  <c r="T79" i="92"/>
  <c r="S79" i="92"/>
  <c r="R79" i="92"/>
  <c r="Q79" i="92"/>
  <c r="P79" i="92"/>
  <c r="O79" i="92"/>
  <c r="N79" i="92"/>
  <c r="I79" i="92"/>
  <c r="H79" i="92"/>
  <c r="G79" i="92"/>
  <c r="F79" i="92"/>
  <c r="E79" i="92"/>
  <c r="D79" i="92"/>
  <c r="C79" i="92"/>
  <c r="B79" i="92"/>
  <c r="A79" i="92"/>
  <c r="U78" i="92"/>
  <c r="U77" i="92" s="1"/>
  <c r="T78" i="92"/>
  <c r="S78" i="92"/>
  <c r="R78" i="92"/>
  <c r="Q78" i="92"/>
  <c r="P78" i="92"/>
  <c r="O78" i="92"/>
  <c r="N78" i="92"/>
  <c r="I78" i="92"/>
  <c r="H78" i="92"/>
  <c r="G78" i="92"/>
  <c r="F78" i="92"/>
  <c r="E78" i="92"/>
  <c r="D78" i="92"/>
  <c r="C78" i="92"/>
  <c r="B78" i="92"/>
  <c r="A78" i="92"/>
  <c r="R77" i="92"/>
  <c r="M77" i="92"/>
  <c r="L77" i="92"/>
  <c r="U76" i="92"/>
  <c r="T76" i="92"/>
  <c r="S76" i="92"/>
  <c r="R76" i="92"/>
  <c r="Q76" i="92"/>
  <c r="P76" i="92"/>
  <c r="O76" i="92"/>
  <c r="N76" i="92"/>
  <c r="I76" i="92"/>
  <c r="H76" i="92"/>
  <c r="G76" i="92"/>
  <c r="F76" i="92"/>
  <c r="E76" i="92"/>
  <c r="D76" i="92"/>
  <c r="C76" i="92"/>
  <c r="B76" i="92"/>
  <c r="A76" i="92"/>
  <c r="U75" i="92"/>
  <c r="T75" i="92"/>
  <c r="S75" i="92"/>
  <c r="R75" i="92"/>
  <c r="Q75" i="92"/>
  <c r="P75" i="92"/>
  <c r="O75" i="92"/>
  <c r="N75" i="92"/>
  <c r="I75" i="92"/>
  <c r="H75" i="92"/>
  <c r="G75" i="92"/>
  <c r="F75" i="92"/>
  <c r="E75" i="92"/>
  <c r="D75" i="92"/>
  <c r="C75" i="92"/>
  <c r="B75" i="92"/>
  <c r="A75" i="92"/>
  <c r="U74" i="92"/>
  <c r="T74" i="92"/>
  <c r="S74" i="92"/>
  <c r="R74" i="92"/>
  <c r="Q74" i="92"/>
  <c r="P74" i="92"/>
  <c r="O74" i="92"/>
  <c r="N74" i="92"/>
  <c r="I74" i="92"/>
  <c r="H74" i="92"/>
  <c r="G74" i="92"/>
  <c r="F74" i="92"/>
  <c r="E74" i="92"/>
  <c r="D74" i="92"/>
  <c r="C74" i="92"/>
  <c r="B74" i="92"/>
  <c r="A74" i="92"/>
  <c r="U73" i="92"/>
  <c r="T73" i="92"/>
  <c r="S73" i="92"/>
  <c r="R73" i="92"/>
  <c r="Q73" i="92"/>
  <c r="P73" i="92"/>
  <c r="O73" i="92"/>
  <c r="N73" i="92"/>
  <c r="I73" i="92"/>
  <c r="H73" i="92"/>
  <c r="G73" i="92"/>
  <c r="F73" i="92"/>
  <c r="E73" i="92"/>
  <c r="D73" i="92"/>
  <c r="C73" i="92"/>
  <c r="B73" i="92"/>
  <c r="A73" i="92"/>
  <c r="U72" i="92"/>
  <c r="T72" i="92"/>
  <c r="S72" i="92"/>
  <c r="R72" i="92"/>
  <c r="Q72" i="92"/>
  <c r="P72" i="92"/>
  <c r="O72" i="92"/>
  <c r="N72" i="92"/>
  <c r="I72" i="92"/>
  <c r="H72" i="92"/>
  <c r="G72" i="92"/>
  <c r="F72" i="92"/>
  <c r="E72" i="92"/>
  <c r="D72" i="92"/>
  <c r="C72" i="92"/>
  <c r="B72" i="92"/>
  <c r="A72" i="92"/>
  <c r="U71" i="92"/>
  <c r="T71" i="92"/>
  <c r="S71" i="92"/>
  <c r="R71" i="92"/>
  <c r="Q71" i="92"/>
  <c r="P71" i="92"/>
  <c r="O71" i="92"/>
  <c r="N71" i="92"/>
  <c r="I71" i="92"/>
  <c r="H71" i="92"/>
  <c r="G71" i="92"/>
  <c r="F71" i="92"/>
  <c r="E71" i="92"/>
  <c r="D71" i="92"/>
  <c r="C71" i="92"/>
  <c r="B71" i="92"/>
  <c r="A71" i="92"/>
  <c r="U70" i="92"/>
  <c r="T70" i="92"/>
  <c r="S70" i="92"/>
  <c r="R70" i="92"/>
  <c r="Q70" i="92"/>
  <c r="P70" i="92"/>
  <c r="O70" i="92"/>
  <c r="N70" i="92"/>
  <c r="I70" i="92"/>
  <c r="H70" i="92"/>
  <c r="G70" i="92"/>
  <c r="F70" i="92"/>
  <c r="E70" i="92"/>
  <c r="D70" i="92"/>
  <c r="C70" i="92"/>
  <c r="B70" i="92"/>
  <c r="A70" i="92"/>
  <c r="U69" i="92"/>
  <c r="T69" i="92"/>
  <c r="S69" i="92"/>
  <c r="R69" i="92"/>
  <c r="Q69" i="92"/>
  <c r="P69" i="92"/>
  <c r="O69" i="92"/>
  <c r="N69" i="92"/>
  <c r="I69" i="92"/>
  <c r="H69" i="92"/>
  <c r="G69" i="92"/>
  <c r="F69" i="92"/>
  <c r="E69" i="92"/>
  <c r="D69" i="92"/>
  <c r="C69" i="92"/>
  <c r="B69" i="92"/>
  <c r="A69" i="92"/>
  <c r="U68" i="92"/>
  <c r="T68" i="92"/>
  <c r="S68" i="92"/>
  <c r="S65" i="92" s="1"/>
  <c r="R68" i="92"/>
  <c r="Q68" i="92"/>
  <c r="P68" i="92"/>
  <c r="O68" i="92"/>
  <c r="N68" i="92"/>
  <c r="I68" i="92"/>
  <c r="H68" i="92"/>
  <c r="G68" i="92"/>
  <c r="F68" i="92"/>
  <c r="E68" i="92"/>
  <c r="D68" i="92"/>
  <c r="C68" i="92"/>
  <c r="B68" i="92"/>
  <c r="A68" i="92"/>
  <c r="U67" i="92"/>
  <c r="T67" i="92"/>
  <c r="T65" i="92" s="1"/>
  <c r="S67" i="92"/>
  <c r="R67" i="92"/>
  <c r="N67" i="92"/>
  <c r="U66" i="92"/>
  <c r="U65" i="92" s="1"/>
  <c r="T66" i="92"/>
  <c r="S66" i="92"/>
  <c r="R66" i="92"/>
  <c r="N66" i="92"/>
  <c r="M65" i="92"/>
  <c r="L65" i="92"/>
  <c r="U64" i="92"/>
  <c r="S64" i="92"/>
  <c r="R64" i="92"/>
  <c r="Q64" i="92"/>
  <c r="P64" i="92"/>
  <c r="O64" i="92"/>
  <c r="N64" i="92"/>
  <c r="I64" i="92"/>
  <c r="H64" i="92"/>
  <c r="G64" i="92"/>
  <c r="F64" i="92"/>
  <c r="E64" i="92"/>
  <c r="D64" i="92"/>
  <c r="C64" i="92"/>
  <c r="B64" i="92"/>
  <c r="A64" i="92"/>
  <c r="U63" i="92"/>
  <c r="S63" i="92"/>
  <c r="R63" i="92"/>
  <c r="Q63" i="92"/>
  <c r="P63" i="92"/>
  <c r="O63" i="92"/>
  <c r="N63" i="92"/>
  <c r="I63" i="92"/>
  <c r="H63" i="92"/>
  <c r="G63" i="92"/>
  <c r="F63" i="92"/>
  <c r="E63" i="92"/>
  <c r="D63" i="92"/>
  <c r="C63" i="92"/>
  <c r="B63" i="92"/>
  <c r="A63" i="92"/>
  <c r="U62" i="92"/>
  <c r="S62" i="92"/>
  <c r="R62" i="92"/>
  <c r="Q62" i="92"/>
  <c r="P62" i="92"/>
  <c r="O62" i="92"/>
  <c r="N62" i="92"/>
  <c r="I62" i="92"/>
  <c r="H62" i="92"/>
  <c r="G62" i="92"/>
  <c r="F62" i="92"/>
  <c r="E62" i="92"/>
  <c r="D62" i="92"/>
  <c r="C62" i="92"/>
  <c r="B62" i="92"/>
  <c r="A62" i="92"/>
  <c r="U61" i="92"/>
  <c r="S61" i="92"/>
  <c r="R61" i="92"/>
  <c r="Q61" i="92"/>
  <c r="P61" i="92"/>
  <c r="O61" i="92"/>
  <c r="N61" i="92"/>
  <c r="I61" i="92"/>
  <c r="H61" i="92"/>
  <c r="G61" i="92"/>
  <c r="F61" i="92"/>
  <c r="E61" i="92"/>
  <c r="D61" i="92"/>
  <c r="C61" i="92"/>
  <c r="B61" i="92"/>
  <c r="A61" i="92"/>
  <c r="U60" i="92"/>
  <c r="S60" i="92"/>
  <c r="R60" i="92"/>
  <c r="M60" i="92"/>
  <c r="L60" i="92"/>
  <c r="U59" i="92"/>
  <c r="S59" i="92"/>
  <c r="R59" i="92"/>
  <c r="Q59" i="92"/>
  <c r="P59" i="92"/>
  <c r="O59" i="92"/>
  <c r="N59" i="92"/>
  <c r="I59" i="92"/>
  <c r="H59" i="92"/>
  <c r="G59" i="92"/>
  <c r="F59" i="92"/>
  <c r="E59" i="92"/>
  <c r="D59" i="92"/>
  <c r="C59" i="92"/>
  <c r="B59" i="92"/>
  <c r="A59" i="92"/>
  <c r="U58" i="92"/>
  <c r="S58" i="92"/>
  <c r="R58" i="92"/>
  <c r="Q58" i="92"/>
  <c r="P58" i="92"/>
  <c r="O58" i="92"/>
  <c r="N58" i="92"/>
  <c r="I58" i="92"/>
  <c r="H58" i="92"/>
  <c r="G58" i="92"/>
  <c r="F58" i="92"/>
  <c r="E58" i="92"/>
  <c r="D58" i="92"/>
  <c r="C58" i="92"/>
  <c r="B58" i="92"/>
  <c r="A58" i="92"/>
  <c r="U57" i="92"/>
  <c r="S57" i="92"/>
  <c r="R57" i="92"/>
  <c r="M57" i="92"/>
  <c r="L57" i="92"/>
  <c r="U56" i="92"/>
  <c r="T56" i="92"/>
  <c r="S56" i="92"/>
  <c r="S49" i="92" s="1"/>
  <c r="R56" i="92"/>
  <c r="Q56" i="92"/>
  <c r="P56" i="92"/>
  <c r="O56" i="92"/>
  <c r="N56" i="92"/>
  <c r="U55" i="92"/>
  <c r="S55" i="92"/>
  <c r="R55" i="92"/>
  <c r="Q55" i="92"/>
  <c r="P55" i="92"/>
  <c r="O55" i="92"/>
  <c r="N55" i="92"/>
  <c r="I55" i="92"/>
  <c r="H55" i="92"/>
  <c r="G55" i="92"/>
  <c r="F55" i="92"/>
  <c r="E55" i="92"/>
  <c r="D55" i="92"/>
  <c r="C55" i="92"/>
  <c r="B55" i="92"/>
  <c r="A55" i="92"/>
  <c r="U54" i="92"/>
  <c r="S54" i="92"/>
  <c r="R54" i="92"/>
  <c r="Q54" i="92"/>
  <c r="P54" i="92"/>
  <c r="O54" i="92"/>
  <c r="N54" i="92"/>
  <c r="I54" i="92"/>
  <c r="H54" i="92"/>
  <c r="G54" i="92"/>
  <c r="F54" i="92"/>
  <c r="E54" i="92"/>
  <c r="D54" i="92"/>
  <c r="C54" i="92"/>
  <c r="B54" i="92"/>
  <c r="A54" i="92"/>
  <c r="X53" i="92"/>
  <c r="U53" i="92"/>
  <c r="R53" i="92"/>
  <c r="Q53" i="92"/>
  <c r="P53" i="92"/>
  <c r="O53" i="92"/>
  <c r="N53" i="92"/>
  <c r="I53" i="92"/>
  <c r="H53" i="92"/>
  <c r="G53" i="92"/>
  <c r="F53" i="92"/>
  <c r="E53" i="92"/>
  <c r="D53" i="92"/>
  <c r="C53" i="92"/>
  <c r="B53" i="92"/>
  <c r="A53" i="92"/>
  <c r="U52" i="92"/>
  <c r="S52" i="92"/>
  <c r="R52" i="92"/>
  <c r="Q52" i="92"/>
  <c r="P52" i="92"/>
  <c r="O52" i="92"/>
  <c r="N52" i="92"/>
  <c r="I52" i="92"/>
  <c r="H52" i="92"/>
  <c r="G52" i="92"/>
  <c r="F52" i="92"/>
  <c r="E52" i="92"/>
  <c r="D52" i="92"/>
  <c r="C52" i="92"/>
  <c r="B52" i="92"/>
  <c r="A52" i="92"/>
  <c r="U51" i="92"/>
  <c r="S51" i="92"/>
  <c r="R51" i="92"/>
  <c r="Q51" i="92"/>
  <c r="P51" i="92"/>
  <c r="O51" i="92"/>
  <c r="N51" i="92"/>
  <c r="I51" i="92"/>
  <c r="H51" i="92"/>
  <c r="G51" i="92"/>
  <c r="F51" i="92"/>
  <c r="E51" i="92"/>
  <c r="D51" i="92"/>
  <c r="C51" i="92"/>
  <c r="B51" i="92"/>
  <c r="A51" i="92"/>
  <c r="U50" i="92"/>
  <c r="S50" i="92"/>
  <c r="R50" i="92"/>
  <c r="Q50" i="92"/>
  <c r="P50" i="92"/>
  <c r="O50" i="92"/>
  <c r="N50" i="92"/>
  <c r="I50" i="92"/>
  <c r="H50" i="92"/>
  <c r="G50" i="92"/>
  <c r="F50" i="92"/>
  <c r="E50" i="92"/>
  <c r="D50" i="92"/>
  <c r="C50" i="92"/>
  <c r="B50" i="92"/>
  <c r="A50" i="92"/>
  <c r="U49" i="92"/>
  <c r="R49" i="92"/>
  <c r="M49" i="92"/>
  <c r="L49" i="92"/>
  <c r="V48" i="92"/>
  <c r="U48" i="92"/>
  <c r="T48" i="92"/>
  <c r="S48" i="92"/>
  <c r="R48" i="92"/>
  <c r="Q48" i="92"/>
  <c r="P48" i="92"/>
  <c r="O48" i="92"/>
  <c r="N48" i="92"/>
  <c r="U47" i="92"/>
  <c r="T47" i="92"/>
  <c r="S47" i="92"/>
  <c r="R47" i="92"/>
  <c r="Q47" i="92"/>
  <c r="P47" i="92"/>
  <c r="O47" i="92"/>
  <c r="N47" i="92"/>
  <c r="U46" i="92"/>
  <c r="T46" i="92"/>
  <c r="S46" i="92"/>
  <c r="R46" i="92"/>
  <c r="Q46" i="92"/>
  <c r="P46" i="92"/>
  <c r="O46" i="92"/>
  <c r="N46" i="92"/>
  <c r="I46" i="92"/>
  <c r="H46" i="92"/>
  <c r="G46" i="92"/>
  <c r="F46" i="92"/>
  <c r="E46" i="92"/>
  <c r="D46" i="92"/>
  <c r="C46" i="92"/>
  <c r="B46" i="92"/>
  <c r="A46" i="92"/>
  <c r="U45" i="92"/>
  <c r="T45" i="92"/>
  <c r="S45" i="92"/>
  <c r="R45" i="92"/>
  <c r="Q45" i="92"/>
  <c r="P45" i="92"/>
  <c r="O45" i="92"/>
  <c r="N45" i="92"/>
  <c r="I45" i="92"/>
  <c r="H45" i="92"/>
  <c r="G45" i="92"/>
  <c r="F45" i="92"/>
  <c r="E45" i="92"/>
  <c r="D45" i="92"/>
  <c r="C45" i="92"/>
  <c r="B45" i="92"/>
  <c r="A45" i="92"/>
  <c r="U44" i="92"/>
  <c r="T44" i="92"/>
  <c r="S44" i="92"/>
  <c r="R44" i="92"/>
  <c r="Q44" i="92"/>
  <c r="P44" i="92"/>
  <c r="O44" i="92"/>
  <c r="N44" i="92"/>
  <c r="I44" i="92"/>
  <c r="H44" i="92"/>
  <c r="G44" i="92"/>
  <c r="F44" i="92"/>
  <c r="E44" i="92"/>
  <c r="D44" i="92"/>
  <c r="C44" i="92"/>
  <c r="B44" i="92"/>
  <c r="A44" i="92"/>
  <c r="U43" i="92"/>
  <c r="T43" i="92"/>
  <c r="S43" i="92"/>
  <c r="R43" i="92"/>
  <c r="Q43" i="92"/>
  <c r="P43" i="92"/>
  <c r="O43" i="92"/>
  <c r="N43" i="92"/>
  <c r="I43" i="92"/>
  <c r="H43" i="92"/>
  <c r="G43" i="92"/>
  <c r="F43" i="92"/>
  <c r="E43" i="92"/>
  <c r="D43" i="92"/>
  <c r="C43" i="92"/>
  <c r="B43" i="92"/>
  <c r="A43" i="92"/>
  <c r="U42" i="92"/>
  <c r="T42" i="92"/>
  <c r="S42" i="92"/>
  <c r="R42" i="92"/>
  <c r="Q42" i="92"/>
  <c r="P42" i="92"/>
  <c r="O42" i="92"/>
  <c r="N42" i="92"/>
  <c r="I42" i="92"/>
  <c r="H42" i="92"/>
  <c r="G42" i="92"/>
  <c r="F42" i="92"/>
  <c r="E42" i="92"/>
  <c r="D42" i="92"/>
  <c r="C42" i="92"/>
  <c r="B42" i="92"/>
  <c r="A42" i="92"/>
  <c r="U41" i="92"/>
  <c r="T41" i="92"/>
  <c r="S41" i="92"/>
  <c r="R41" i="92"/>
  <c r="Q41" i="92"/>
  <c r="P41" i="92"/>
  <c r="O41" i="92"/>
  <c r="N41" i="92"/>
  <c r="I41" i="92"/>
  <c r="H41" i="92"/>
  <c r="G41" i="92"/>
  <c r="F41" i="92"/>
  <c r="E41" i="92"/>
  <c r="D41" i="92"/>
  <c r="C41" i="92"/>
  <c r="B41" i="92"/>
  <c r="A41" i="92"/>
  <c r="U40" i="92"/>
  <c r="T40" i="92"/>
  <c r="S40" i="92"/>
  <c r="R40" i="92"/>
  <c r="Q40" i="92"/>
  <c r="P40" i="92"/>
  <c r="O40" i="92"/>
  <c r="N40" i="92"/>
  <c r="I40" i="92"/>
  <c r="H40" i="92"/>
  <c r="G40" i="92"/>
  <c r="F40" i="92"/>
  <c r="E40" i="92"/>
  <c r="D40" i="92"/>
  <c r="C40" i="92"/>
  <c r="B40" i="92"/>
  <c r="A40" i="92"/>
  <c r="U39" i="92"/>
  <c r="T39" i="92"/>
  <c r="S39" i="92"/>
  <c r="R39" i="92"/>
  <c r="Q39" i="92"/>
  <c r="P39" i="92"/>
  <c r="O39" i="92"/>
  <c r="N39" i="92"/>
  <c r="I39" i="92"/>
  <c r="H39" i="92"/>
  <c r="G39" i="92"/>
  <c r="F39" i="92"/>
  <c r="E39" i="92"/>
  <c r="D39" i="92"/>
  <c r="C39" i="92"/>
  <c r="B39" i="92"/>
  <c r="A39" i="92"/>
  <c r="U38" i="92"/>
  <c r="T38" i="92"/>
  <c r="S38" i="92"/>
  <c r="R38" i="92"/>
  <c r="Q38" i="92"/>
  <c r="P38" i="92"/>
  <c r="O38" i="92"/>
  <c r="N38" i="92"/>
  <c r="I38" i="92"/>
  <c r="H38" i="92"/>
  <c r="G38" i="92"/>
  <c r="F38" i="92"/>
  <c r="E38" i="92"/>
  <c r="D38" i="92"/>
  <c r="C38" i="92"/>
  <c r="B38" i="92"/>
  <c r="A38" i="92"/>
  <c r="U37" i="92"/>
  <c r="T37" i="92"/>
  <c r="T35" i="92" s="1"/>
  <c r="S37" i="92"/>
  <c r="R37" i="92"/>
  <c r="Q37" i="92"/>
  <c r="P37" i="92"/>
  <c r="O37" i="92"/>
  <c r="N37" i="92"/>
  <c r="I37" i="92"/>
  <c r="H37" i="92"/>
  <c r="G37" i="92"/>
  <c r="F37" i="92"/>
  <c r="E37" i="92"/>
  <c r="D37" i="92"/>
  <c r="C37" i="92"/>
  <c r="B37" i="92"/>
  <c r="A37" i="92"/>
  <c r="U36" i="92"/>
  <c r="U35" i="92" s="1"/>
  <c r="T36" i="92"/>
  <c r="S36" i="92"/>
  <c r="R36" i="92"/>
  <c r="Q36" i="92"/>
  <c r="P36" i="92"/>
  <c r="O36" i="92"/>
  <c r="N36" i="92"/>
  <c r="I36" i="92"/>
  <c r="H36" i="92"/>
  <c r="G36" i="92"/>
  <c r="F36" i="92"/>
  <c r="E36" i="92"/>
  <c r="D36" i="92"/>
  <c r="C36" i="92"/>
  <c r="B36" i="92"/>
  <c r="A36" i="92"/>
  <c r="R35" i="92"/>
  <c r="M35" i="92"/>
  <c r="L35" i="92"/>
  <c r="V34" i="92"/>
  <c r="U34" i="92"/>
  <c r="T34" i="92"/>
  <c r="S34" i="92"/>
  <c r="R34" i="92"/>
  <c r="Q34" i="92"/>
  <c r="P34" i="92"/>
  <c r="O34" i="92"/>
  <c r="N34" i="92"/>
  <c r="U33" i="92"/>
  <c r="T33" i="92"/>
  <c r="S33" i="92"/>
  <c r="R33" i="92"/>
  <c r="Q33" i="92"/>
  <c r="P33" i="92"/>
  <c r="O33" i="92"/>
  <c r="N33" i="92"/>
  <c r="I33" i="92"/>
  <c r="H33" i="92"/>
  <c r="G33" i="92"/>
  <c r="F33" i="92"/>
  <c r="E33" i="92"/>
  <c r="D33" i="92"/>
  <c r="C33" i="92"/>
  <c r="B33" i="92"/>
  <c r="A33" i="92"/>
  <c r="U32" i="92"/>
  <c r="T32" i="92"/>
  <c r="S32" i="92"/>
  <c r="R32" i="92"/>
  <c r="Q32" i="92"/>
  <c r="P32" i="92"/>
  <c r="O32" i="92"/>
  <c r="N32" i="92"/>
  <c r="I32" i="92"/>
  <c r="H32" i="92"/>
  <c r="G32" i="92"/>
  <c r="F32" i="92"/>
  <c r="E32" i="92"/>
  <c r="D32" i="92"/>
  <c r="C32" i="92"/>
  <c r="B32" i="92"/>
  <c r="A32" i="92"/>
  <c r="U31" i="92"/>
  <c r="T31" i="92"/>
  <c r="S31" i="92"/>
  <c r="R31" i="92"/>
  <c r="Q31" i="92"/>
  <c r="P31" i="92"/>
  <c r="O31" i="92"/>
  <c r="N31" i="92"/>
  <c r="I31" i="92"/>
  <c r="H31" i="92"/>
  <c r="G31" i="92"/>
  <c r="F31" i="92"/>
  <c r="E31" i="92"/>
  <c r="D31" i="92"/>
  <c r="C31" i="92"/>
  <c r="B31" i="92"/>
  <c r="A31" i="92"/>
  <c r="U30" i="92"/>
  <c r="T30" i="92"/>
  <c r="T25" i="92" s="1"/>
  <c r="S30" i="92"/>
  <c r="R30" i="92"/>
  <c r="Q30" i="92"/>
  <c r="P30" i="92"/>
  <c r="O30" i="92"/>
  <c r="N30" i="92"/>
  <c r="I30" i="92"/>
  <c r="H30" i="92"/>
  <c r="G30" i="92"/>
  <c r="F30" i="92"/>
  <c r="E30" i="92"/>
  <c r="D30" i="92"/>
  <c r="C30" i="92"/>
  <c r="B30" i="92"/>
  <c r="A30" i="92"/>
  <c r="U29" i="92"/>
  <c r="T29" i="92"/>
  <c r="S29" i="92"/>
  <c r="R29" i="92"/>
  <c r="Q29" i="92"/>
  <c r="P29" i="92"/>
  <c r="O29" i="92"/>
  <c r="N29" i="92"/>
  <c r="I29" i="92"/>
  <c r="H29" i="92"/>
  <c r="G29" i="92"/>
  <c r="F29" i="92"/>
  <c r="E29" i="92"/>
  <c r="D29" i="92"/>
  <c r="C29" i="92"/>
  <c r="B29" i="92"/>
  <c r="A29" i="92"/>
  <c r="U28" i="92"/>
  <c r="T28" i="92"/>
  <c r="S28" i="92"/>
  <c r="R28" i="92"/>
  <c r="Q28" i="92"/>
  <c r="P28" i="92"/>
  <c r="O28" i="92"/>
  <c r="N28" i="92"/>
  <c r="I28" i="92"/>
  <c r="H28" i="92"/>
  <c r="G28" i="92"/>
  <c r="F28" i="92"/>
  <c r="E28" i="92"/>
  <c r="D28" i="92"/>
  <c r="C28" i="92"/>
  <c r="B28" i="92"/>
  <c r="A28" i="92"/>
  <c r="U27" i="92"/>
  <c r="U25" i="92" s="1"/>
  <c r="T27" i="92"/>
  <c r="S27" i="92"/>
  <c r="S25" i="92" s="1"/>
  <c r="R27" i="92"/>
  <c r="Q27" i="92"/>
  <c r="P27" i="92"/>
  <c r="O27" i="92"/>
  <c r="N27" i="92"/>
  <c r="I27" i="92"/>
  <c r="H27" i="92"/>
  <c r="G27" i="92"/>
  <c r="F27" i="92"/>
  <c r="E27" i="92"/>
  <c r="D27" i="92"/>
  <c r="C27" i="92"/>
  <c r="B27" i="92"/>
  <c r="A27" i="92"/>
  <c r="U26" i="92"/>
  <c r="T26" i="92"/>
  <c r="S26" i="92"/>
  <c r="R26" i="92"/>
  <c r="Q26" i="92"/>
  <c r="P26" i="92"/>
  <c r="O26" i="92"/>
  <c r="N26" i="92"/>
  <c r="M25" i="92"/>
  <c r="L25" i="92"/>
  <c r="U24" i="92"/>
  <c r="S24" i="92"/>
  <c r="R24" i="92"/>
  <c r="Q24" i="92"/>
  <c r="P24" i="92"/>
  <c r="O24" i="92"/>
  <c r="N24" i="92"/>
  <c r="I24" i="92"/>
  <c r="H24" i="92"/>
  <c r="G24" i="92"/>
  <c r="F24" i="92"/>
  <c r="E24" i="92"/>
  <c r="D24" i="92"/>
  <c r="C24" i="92"/>
  <c r="B24" i="92"/>
  <c r="A24" i="92"/>
  <c r="U23" i="92"/>
  <c r="S23" i="92"/>
  <c r="R23" i="92"/>
  <c r="Q23" i="92"/>
  <c r="P23" i="92"/>
  <c r="O23" i="92"/>
  <c r="N23" i="92"/>
  <c r="I23" i="92"/>
  <c r="H23" i="92"/>
  <c r="G23" i="92"/>
  <c r="F23" i="92"/>
  <c r="E23" i="92"/>
  <c r="D23" i="92"/>
  <c r="C23" i="92"/>
  <c r="B23" i="92"/>
  <c r="A23" i="92"/>
  <c r="U22" i="92"/>
  <c r="T22" i="92"/>
  <c r="S22" i="92"/>
  <c r="R22" i="92"/>
  <c r="Q22" i="92"/>
  <c r="P22" i="92"/>
  <c r="O22" i="92"/>
  <c r="N22" i="92"/>
  <c r="I22" i="92"/>
  <c r="H22" i="92"/>
  <c r="G22" i="92"/>
  <c r="F22" i="92"/>
  <c r="E22" i="92"/>
  <c r="D22" i="92"/>
  <c r="C22" i="92"/>
  <c r="B22" i="92"/>
  <c r="A22" i="92"/>
  <c r="U21" i="92"/>
  <c r="T21" i="92"/>
  <c r="S21" i="92"/>
  <c r="R21" i="92"/>
  <c r="R19" i="92" s="1"/>
  <c r="Q21" i="92"/>
  <c r="P21" i="92"/>
  <c r="O21" i="92"/>
  <c r="N21" i="92"/>
  <c r="I21" i="92"/>
  <c r="H21" i="92"/>
  <c r="G21" i="92"/>
  <c r="F21" i="92"/>
  <c r="E21" i="92"/>
  <c r="D21" i="92"/>
  <c r="C21" i="92"/>
  <c r="B21" i="92"/>
  <c r="A21" i="92"/>
  <c r="U20" i="92"/>
  <c r="T20" i="92"/>
  <c r="S20" i="92"/>
  <c r="S19" i="92" s="1"/>
  <c r="R20" i="92"/>
  <c r="Q20" i="92"/>
  <c r="P20" i="92"/>
  <c r="O20" i="92"/>
  <c r="N20" i="92"/>
  <c r="I20" i="92"/>
  <c r="H20" i="92"/>
  <c r="G20" i="92"/>
  <c r="F20" i="92"/>
  <c r="E20" i="92"/>
  <c r="D20" i="92"/>
  <c r="C20" i="92"/>
  <c r="B20" i="92"/>
  <c r="A20" i="92"/>
  <c r="M19" i="92"/>
  <c r="L19" i="92"/>
  <c r="U18" i="92"/>
  <c r="T18" i="92"/>
  <c r="S18" i="92"/>
  <c r="R18" i="92"/>
  <c r="Q18" i="92"/>
  <c r="P18" i="92"/>
  <c r="O18" i="92"/>
  <c r="N18" i="92"/>
  <c r="I18" i="92"/>
  <c r="H18" i="92"/>
  <c r="G18" i="92"/>
  <c r="F18" i="92"/>
  <c r="E18" i="92"/>
  <c r="D18" i="92"/>
  <c r="C18" i="92"/>
  <c r="B18" i="92"/>
  <c r="A18" i="92"/>
  <c r="U17" i="92"/>
  <c r="T17" i="92"/>
  <c r="S17" i="92"/>
  <c r="R17" i="92"/>
  <c r="R10" i="92" s="1"/>
  <c r="Q17" i="92"/>
  <c r="P17" i="92"/>
  <c r="O17" i="92"/>
  <c r="N17" i="92"/>
  <c r="I17" i="92"/>
  <c r="H17" i="92"/>
  <c r="G17" i="92"/>
  <c r="F17" i="92"/>
  <c r="E17" i="92"/>
  <c r="D17" i="92"/>
  <c r="C17" i="92"/>
  <c r="B17" i="92"/>
  <c r="A17" i="92"/>
  <c r="U16" i="92"/>
  <c r="U10" i="92" s="1"/>
  <c r="T16" i="92"/>
  <c r="S16" i="92"/>
  <c r="S10" i="92" s="1"/>
  <c r="R16" i="92"/>
  <c r="Q16" i="92"/>
  <c r="P16" i="92"/>
  <c r="O16" i="92"/>
  <c r="N16" i="92"/>
  <c r="I16" i="92"/>
  <c r="H16" i="92"/>
  <c r="G16" i="92"/>
  <c r="F16" i="92"/>
  <c r="E16" i="92"/>
  <c r="D16" i="92"/>
  <c r="C16" i="92"/>
  <c r="B16" i="92"/>
  <c r="A16" i="92"/>
  <c r="U15" i="92"/>
  <c r="T15" i="92"/>
  <c r="S15" i="92"/>
  <c r="R15" i="92"/>
  <c r="Q15" i="92"/>
  <c r="P15" i="92"/>
  <c r="O15" i="92"/>
  <c r="N15" i="92"/>
  <c r="I15" i="92"/>
  <c r="H15" i="92"/>
  <c r="G15" i="92"/>
  <c r="F15" i="92"/>
  <c r="E15" i="92"/>
  <c r="D15" i="92"/>
  <c r="C15" i="92"/>
  <c r="B15" i="92"/>
  <c r="A15" i="92"/>
  <c r="Q14" i="92"/>
  <c r="P14" i="92"/>
  <c r="O14" i="92"/>
  <c r="N14" i="92"/>
  <c r="I14" i="92"/>
  <c r="H14" i="92"/>
  <c r="G14" i="92"/>
  <c r="F14" i="92"/>
  <c r="E14" i="92"/>
  <c r="D14" i="92"/>
  <c r="C14" i="92"/>
  <c r="B14" i="92"/>
  <c r="A14" i="92"/>
  <c r="U13" i="92"/>
  <c r="T13" i="92"/>
  <c r="S13" i="92"/>
  <c r="R13" i="92"/>
  <c r="Q13" i="92"/>
  <c r="P13" i="92"/>
  <c r="O13" i="92"/>
  <c r="N13" i="92"/>
  <c r="I13" i="92"/>
  <c r="H13" i="92"/>
  <c r="G13" i="92"/>
  <c r="F13" i="92"/>
  <c r="E13" i="92"/>
  <c r="D13" i="92"/>
  <c r="C13" i="92"/>
  <c r="B13" i="92"/>
  <c r="A13" i="92"/>
  <c r="U12" i="92"/>
  <c r="T12" i="92"/>
  <c r="S12" i="92"/>
  <c r="R12" i="92"/>
  <c r="Q12" i="92"/>
  <c r="P12" i="92"/>
  <c r="O12" i="92"/>
  <c r="N12" i="92"/>
  <c r="I12" i="92"/>
  <c r="H12" i="92"/>
  <c r="G12" i="92"/>
  <c r="F12" i="92"/>
  <c r="E12" i="92"/>
  <c r="D12" i="92"/>
  <c r="C12" i="92"/>
  <c r="B12" i="92"/>
  <c r="A12" i="92"/>
  <c r="U11" i="92"/>
  <c r="T11" i="92"/>
  <c r="T10" i="92" s="1"/>
  <c r="S11" i="92"/>
  <c r="R11" i="92"/>
  <c r="Q11" i="92"/>
  <c r="P11" i="92"/>
  <c r="O11" i="92"/>
  <c r="N11" i="92"/>
  <c r="M11" i="92"/>
  <c r="I11" i="92"/>
  <c r="H11" i="92"/>
  <c r="G11" i="92"/>
  <c r="F11" i="92"/>
  <c r="E11" i="92"/>
  <c r="D11" i="92"/>
  <c r="C11" i="92"/>
  <c r="B11" i="92"/>
  <c r="A11" i="92"/>
  <c r="M10" i="92"/>
  <c r="L10" i="92"/>
  <c r="L9" i="92"/>
  <c r="K9" i="92"/>
  <c r="K8" i="92"/>
  <c r="J8" i="92"/>
  <c r="AV209" i="100"/>
  <c r="AI209" i="100"/>
  <c r="AH209" i="100"/>
  <c r="AV208" i="100"/>
  <c r="AU208" i="100"/>
  <c r="AT208" i="100"/>
  <c r="AT207" i="100" s="1"/>
  <c r="AT206" i="100" s="1"/>
  <c r="AS208" i="100"/>
  <c r="AR208" i="100"/>
  <c r="AR207" i="100" s="1"/>
  <c r="AR206" i="100" s="1"/>
  <c r="AQ208" i="100"/>
  <c r="AP208" i="100"/>
  <c r="AP207" i="100" s="1"/>
  <c r="AP206" i="100" s="1"/>
  <c r="AO208" i="100"/>
  <c r="AN208" i="100"/>
  <c r="AN207" i="100" s="1"/>
  <c r="AN206" i="100" s="1"/>
  <c r="AM208" i="100"/>
  <c r="AL208" i="100"/>
  <c r="AL207" i="100" s="1"/>
  <c r="AL206" i="100" s="1"/>
  <c r="AK208" i="100"/>
  <c r="AJ208" i="100"/>
  <c r="AJ207" i="100" s="1"/>
  <c r="AJ206" i="100" s="1"/>
  <c r="AI208" i="100"/>
  <c r="AH208" i="100"/>
  <c r="AG208" i="100"/>
  <c r="AF208" i="100"/>
  <c r="AF207" i="100" s="1"/>
  <c r="AF206" i="100" s="1"/>
  <c r="AE208" i="100"/>
  <c r="AD208" i="100"/>
  <c r="AD207" i="100" s="1"/>
  <c r="AD206" i="100" s="1"/>
  <c r="AC208" i="100"/>
  <c r="AB208" i="100"/>
  <c r="AB207" i="100" s="1"/>
  <c r="AB206" i="100" s="1"/>
  <c r="AA208" i="100"/>
  <c r="Z208" i="100"/>
  <c r="Y208" i="100"/>
  <c r="X208" i="100"/>
  <c r="X207" i="100" s="1"/>
  <c r="W208" i="100"/>
  <c r="U208" i="100"/>
  <c r="U207" i="100" s="1"/>
  <c r="T208" i="100"/>
  <c r="S208" i="100"/>
  <c r="S207" i="100" s="1"/>
  <c r="S206" i="100" s="1"/>
  <c r="R208" i="100"/>
  <c r="Q208" i="100"/>
  <c r="P208" i="100"/>
  <c r="O208" i="100"/>
  <c r="N208" i="100"/>
  <c r="I208" i="100"/>
  <c r="H208" i="100"/>
  <c r="G208" i="100"/>
  <c r="F208" i="100"/>
  <c r="E208" i="100"/>
  <c r="D208" i="100"/>
  <c r="C208" i="100"/>
  <c r="B208" i="100"/>
  <c r="A208" i="100"/>
  <c r="AS207" i="100"/>
  <c r="AS206" i="100" s="1"/>
  <c r="AQ207" i="100"/>
  <c r="AO207" i="100"/>
  <c r="AO206" i="100" s="1"/>
  <c r="AM207" i="100"/>
  <c r="AK207" i="100"/>
  <c r="AK206" i="100" s="1"/>
  <c r="AG207" i="100"/>
  <c r="AE207" i="100"/>
  <c r="AE206" i="100" s="1"/>
  <c r="AC207" i="100"/>
  <c r="Z207" i="100"/>
  <c r="Z206" i="100" s="1"/>
  <c r="Y207" i="100"/>
  <c r="T207" i="100"/>
  <c r="T206" i="100" s="1"/>
  <c r="R207" i="100"/>
  <c r="R206" i="100" s="1"/>
  <c r="M207" i="100"/>
  <c r="L207" i="100"/>
  <c r="AQ206" i="100"/>
  <c r="AM206" i="100"/>
  <c r="AG206" i="100"/>
  <c r="AC206" i="100"/>
  <c r="Y206" i="100"/>
  <c r="U206" i="100"/>
  <c r="L206" i="100"/>
  <c r="K206" i="100"/>
  <c r="AV205" i="100"/>
  <c r="AU205" i="100"/>
  <c r="AT205" i="100"/>
  <c r="AT204" i="100" s="1"/>
  <c r="AS205" i="100"/>
  <c r="AR205" i="100"/>
  <c r="AQ205" i="100"/>
  <c r="AP205" i="100"/>
  <c r="AP204" i="100" s="1"/>
  <c r="AP203" i="100" s="1"/>
  <c r="AO205" i="100"/>
  <c r="AN205" i="100"/>
  <c r="AM205" i="100"/>
  <c r="AL205" i="100"/>
  <c r="AL204" i="100" s="1"/>
  <c r="AK205" i="100"/>
  <c r="AJ205" i="100"/>
  <c r="AI205" i="100"/>
  <c r="AH205" i="100"/>
  <c r="AG205" i="100"/>
  <c r="AF205" i="100"/>
  <c r="AE205" i="100"/>
  <c r="AD205" i="100"/>
  <c r="AC205" i="100"/>
  <c r="AA205" i="100"/>
  <c r="X205" i="100"/>
  <c r="W205" i="100"/>
  <c r="U205" i="100"/>
  <c r="T205" i="100"/>
  <c r="T204" i="100" s="1"/>
  <c r="T203" i="100" s="1"/>
  <c r="S205" i="100"/>
  <c r="R205" i="100"/>
  <c r="R204" i="100" s="1"/>
  <c r="R203" i="100" s="1"/>
  <c r="Q205" i="100"/>
  <c r="P205" i="100"/>
  <c r="O205" i="100"/>
  <c r="N205" i="100"/>
  <c r="I205" i="100"/>
  <c r="H205" i="100"/>
  <c r="G205" i="100"/>
  <c r="F205" i="100"/>
  <c r="E205" i="100"/>
  <c r="D205" i="100"/>
  <c r="C205" i="100"/>
  <c r="B205" i="100"/>
  <c r="A205" i="100"/>
  <c r="AS204" i="100"/>
  <c r="AR204" i="100"/>
  <c r="AR203" i="100" s="1"/>
  <c r="AQ204" i="100"/>
  <c r="AO204" i="100"/>
  <c r="AN204" i="100"/>
  <c r="AN203" i="100" s="1"/>
  <c r="AM204" i="100"/>
  <c r="AK204" i="100"/>
  <c r="AJ204" i="100"/>
  <c r="AJ203" i="100" s="1"/>
  <c r="AG204" i="100"/>
  <c r="AF204" i="100"/>
  <c r="AE204" i="100"/>
  <c r="AD204" i="100"/>
  <c r="AD203" i="100" s="1"/>
  <c r="AC204" i="100"/>
  <c r="U204" i="100"/>
  <c r="S204" i="100"/>
  <c r="S203" i="100" s="1"/>
  <c r="M204" i="100"/>
  <c r="L204" i="100"/>
  <c r="AT203" i="100"/>
  <c r="AS203" i="100"/>
  <c r="AQ203" i="100"/>
  <c r="AO203" i="100"/>
  <c r="AM203" i="100"/>
  <c r="AL203" i="100"/>
  <c r="AK203" i="100"/>
  <c r="AG203" i="100"/>
  <c r="AF203" i="100"/>
  <c r="AE203" i="100"/>
  <c r="AC203" i="100"/>
  <c r="X203" i="100"/>
  <c r="W203" i="100"/>
  <c r="U203" i="100"/>
  <c r="L203" i="100"/>
  <c r="K203" i="100"/>
  <c r="AV202" i="100"/>
  <c r="AU202" i="100"/>
  <c r="AT202" i="100"/>
  <c r="AA202" i="100"/>
  <c r="X202" i="100"/>
  <c r="X201" i="100" s="1"/>
  <c r="X200" i="100" s="1"/>
  <c r="W202" i="100"/>
  <c r="U202" i="100"/>
  <c r="T202" i="100"/>
  <c r="S202" i="100"/>
  <c r="S201" i="100" s="1"/>
  <c r="S200" i="100" s="1"/>
  <c r="R202" i="100"/>
  <c r="Q202" i="100"/>
  <c r="P202" i="100"/>
  <c r="O202" i="100"/>
  <c r="I202" i="100"/>
  <c r="H202" i="100"/>
  <c r="G202" i="100"/>
  <c r="F202" i="100"/>
  <c r="E202" i="100"/>
  <c r="D202" i="100"/>
  <c r="C202" i="100"/>
  <c r="B202" i="100"/>
  <c r="A202" i="100"/>
  <c r="AT201" i="100"/>
  <c r="AS201" i="100"/>
  <c r="AR201" i="100"/>
  <c r="AQ201" i="100"/>
  <c r="AP201" i="100"/>
  <c r="AO201" i="100"/>
  <c r="AN201" i="100"/>
  <c r="AM201" i="100"/>
  <c r="AL201" i="100"/>
  <c r="AK201" i="100"/>
  <c r="AJ201" i="100"/>
  <c r="AI201" i="100"/>
  <c r="AH201" i="100"/>
  <c r="AG201" i="100"/>
  <c r="AF201" i="100"/>
  <c r="AE201" i="100"/>
  <c r="AD201" i="100"/>
  <c r="AC201" i="100"/>
  <c r="AB201" i="100"/>
  <c r="Z201" i="100"/>
  <c r="W201" i="100"/>
  <c r="U201" i="100"/>
  <c r="U200" i="100" s="1"/>
  <c r="T201" i="100"/>
  <c r="R201" i="100"/>
  <c r="Y201" i="100" s="1"/>
  <c r="Y200" i="100" s="1"/>
  <c r="M201" i="100"/>
  <c r="L201" i="100"/>
  <c r="AT200" i="100"/>
  <c r="AS200" i="100"/>
  <c r="AR200" i="100"/>
  <c r="AQ200" i="100"/>
  <c r="AP200" i="100"/>
  <c r="AO200" i="100"/>
  <c r="AN200" i="100"/>
  <c r="AM200" i="100"/>
  <c r="AL200" i="100"/>
  <c r="AK200" i="100"/>
  <c r="AJ200" i="100"/>
  <c r="AI200" i="100"/>
  <c r="AH200" i="100"/>
  <c r="AG200" i="100"/>
  <c r="AF200" i="100"/>
  <c r="AE200" i="100"/>
  <c r="AD200" i="100"/>
  <c r="AC200" i="100"/>
  <c r="AB200" i="100"/>
  <c r="Z200" i="100"/>
  <c r="W200" i="100"/>
  <c r="T200" i="100"/>
  <c r="R200" i="100"/>
  <c r="L200" i="100"/>
  <c r="K200" i="100"/>
  <c r="AV199" i="100"/>
  <c r="AU199" i="100"/>
  <c r="AT199" i="100"/>
  <c r="AT198" i="100" s="1"/>
  <c r="AT197" i="100" s="1"/>
  <c r="AS199" i="100"/>
  <c r="AR199" i="100"/>
  <c r="AQ199" i="100"/>
  <c r="AP199" i="100"/>
  <c r="AP198" i="100" s="1"/>
  <c r="AP197" i="100" s="1"/>
  <c r="AO199" i="100"/>
  <c r="AN199" i="100"/>
  <c r="AM199" i="100"/>
  <c r="AL199" i="100"/>
  <c r="AL198" i="100" s="1"/>
  <c r="AL197" i="100" s="1"/>
  <c r="AK199" i="100"/>
  <c r="AJ199" i="100"/>
  <c r="AI199" i="100"/>
  <c r="AH199" i="100"/>
  <c r="AH198" i="100" s="1"/>
  <c r="AH197" i="100" s="1"/>
  <c r="AG199" i="100"/>
  <c r="AF199" i="100"/>
  <c r="AE199" i="100"/>
  <c r="AD199" i="100"/>
  <c r="AD198" i="100" s="1"/>
  <c r="AD197" i="100" s="1"/>
  <c r="AC199" i="100"/>
  <c r="AA199" i="100"/>
  <c r="X199" i="100"/>
  <c r="W199" i="100"/>
  <c r="U199" i="100"/>
  <c r="T199" i="100"/>
  <c r="S199" i="100"/>
  <c r="R199" i="100"/>
  <c r="R198" i="100" s="1"/>
  <c r="R197" i="100" s="1"/>
  <c r="Q199" i="100"/>
  <c r="P199" i="100"/>
  <c r="O199" i="100"/>
  <c r="N199" i="100"/>
  <c r="I199" i="100"/>
  <c r="H199" i="100"/>
  <c r="G199" i="100"/>
  <c r="F199" i="100"/>
  <c r="E199" i="100"/>
  <c r="D199" i="100"/>
  <c r="C199" i="100"/>
  <c r="B199" i="100"/>
  <c r="A199" i="100"/>
  <c r="AS198" i="100"/>
  <c r="AR198" i="100"/>
  <c r="AR197" i="100" s="1"/>
  <c r="AQ198" i="100"/>
  <c r="AO198" i="100"/>
  <c r="AN198" i="100"/>
  <c r="AN197" i="100" s="1"/>
  <c r="AM198" i="100"/>
  <c r="AK198" i="100"/>
  <c r="AJ198" i="100"/>
  <c r="AJ197" i="100" s="1"/>
  <c r="AI198" i="100"/>
  <c r="AG198" i="100"/>
  <c r="AF198" i="100"/>
  <c r="AF197" i="100" s="1"/>
  <c r="AE198" i="100"/>
  <c r="AC198" i="100"/>
  <c r="X198" i="100"/>
  <c r="X197" i="100" s="1"/>
  <c r="U198" i="100"/>
  <c r="T198" i="100"/>
  <c r="S198" i="100"/>
  <c r="M198" i="100"/>
  <c r="L198" i="100"/>
  <c r="AS197" i="100"/>
  <c r="AQ197" i="100"/>
  <c r="AO197" i="100"/>
  <c r="AM197" i="100"/>
  <c r="AK197" i="100"/>
  <c r="AI197" i="100"/>
  <c r="AG197" i="100"/>
  <c r="AE197" i="100"/>
  <c r="AC197" i="100"/>
  <c r="W197" i="100"/>
  <c r="U197" i="100"/>
  <c r="T197" i="100"/>
  <c r="S197" i="100"/>
  <c r="L197" i="100"/>
  <c r="K197" i="100"/>
  <c r="AV196" i="100"/>
  <c r="AU196" i="100"/>
  <c r="AT196" i="100"/>
  <c r="AS196" i="100"/>
  <c r="AR196" i="100"/>
  <c r="AQ196" i="100"/>
  <c r="AP196" i="100"/>
  <c r="AO196" i="100"/>
  <c r="AN196" i="100"/>
  <c r="AM196" i="100"/>
  <c r="AL196" i="100"/>
  <c r="AK196" i="100"/>
  <c r="AJ196" i="100"/>
  <c r="AI196" i="100"/>
  <c r="AH196" i="100"/>
  <c r="AG196" i="100"/>
  <c r="AF196" i="100"/>
  <c r="AE196" i="100"/>
  <c r="AD196" i="100"/>
  <c r="AC196" i="100"/>
  <c r="AB196" i="100"/>
  <c r="AA196" i="100"/>
  <c r="Y196" i="100"/>
  <c r="X196" i="100"/>
  <c r="X194" i="100" s="1"/>
  <c r="W196" i="100"/>
  <c r="U196" i="100"/>
  <c r="U194" i="100" s="1"/>
  <c r="U186" i="100" s="1"/>
  <c r="T196" i="100"/>
  <c r="S196" i="100"/>
  <c r="S194" i="100" s="1"/>
  <c r="R196" i="100"/>
  <c r="Q196" i="100"/>
  <c r="P196" i="100"/>
  <c r="O196" i="100"/>
  <c r="N196" i="100"/>
  <c r="I196" i="100"/>
  <c r="H196" i="100"/>
  <c r="G196" i="100"/>
  <c r="F196" i="100"/>
  <c r="E196" i="100"/>
  <c r="D196" i="100"/>
  <c r="C196" i="100"/>
  <c r="B196" i="100"/>
  <c r="A196" i="100"/>
  <c r="AV195" i="100"/>
  <c r="AU195" i="100"/>
  <c r="AT195" i="100"/>
  <c r="AS195" i="100"/>
  <c r="AS194" i="100" s="1"/>
  <c r="AR195" i="100"/>
  <c r="AQ195" i="100"/>
  <c r="AQ194" i="100" s="1"/>
  <c r="AP195" i="100"/>
  <c r="AO195" i="100"/>
  <c r="AO194" i="100" s="1"/>
  <c r="AN195" i="100"/>
  <c r="AM195" i="100"/>
  <c r="AM194" i="100" s="1"/>
  <c r="AL195" i="100"/>
  <c r="AK195" i="100"/>
  <c r="AK194" i="100" s="1"/>
  <c r="AJ195" i="100"/>
  <c r="AI195" i="100"/>
  <c r="AH195" i="100"/>
  <c r="AG195" i="100"/>
  <c r="AG194" i="100" s="1"/>
  <c r="AF195" i="100"/>
  <c r="AE195" i="100"/>
  <c r="AE194" i="100" s="1"/>
  <c r="AD195" i="100"/>
  <c r="AC195" i="100"/>
  <c r="AC194" i="100" s="1"/>
  <c r="AB195" i="100"/>
  <c r="AA195" i="100"/>
  <c r="X195" i="100"/>
  <c r="W195" i="100"/>
  <c r="U195" i="100"/>
  <c r="T195" i="100"/>
  <c r="S195" i="100"/>
  <c r="R195" i="100"/>
  <c r="Q195" i="100"/>
  <c r="P195" i="100"/>
  <c r="O195" i="100"/>
  <c r="N195" i="100"/>
  <c r="I195" i="100"/>
  <c r="H195" i="100"/>
  <c r="G195" i="100"/>
  <c r="F195" i="100"/>
  <c r="E195" i="100"/>
  <c r="D195" i="100"/>
  <c r="C195" i="100"/>
  <c r="B195" i="100"/>
  <c r="A195" i="100"/>
  <c r="AT194" i="100"/>
  <c r="AT186" i="100" s="1"/>
  <c r="AR194" i="100"/>
  <c r="AP194" i="100"/>
  <c r="AP186" i="100" s="1"/>
  <c r="AN194" i="100"/>
  <c r="AL194" i="100"/>
  <c r="AJ194" i="100"/>
  <c r="AF194" i="100"/>
  <c r="AF186" i="100" s="1"/>
  <c r="AD194" i="100"/>
  <c r="AB194" i="100"/>
  <c r="Z194" i="100"/>
  <c r="T194" i="100"/>
  <c r="T186" i="100" s="1"/>
  <c r="R194" i="100"/>
  <c r="M194" i="100"/>
  <c r="L194" i="100"/>
  <c r="AV193" i="100"/>
  <c r="AU193" i="100"/>
  <c r="AT193" i="100"/>
  <c r="AS193" i="100"/>
  <c r="AR193" i="100"/>
  <c r="AQ193" i="100"/>
  <c r="AP193" i="100"/>
  <c r="AO193" i="100"/>
  <c r="AN193" i="100"/>
  <c r="AM193" i="100"/>
  <c r="AL193" i="100"/>
  <c r="AK193" i="100"/>
  <c r="AJ193" i="100"/>
  <c r="AI193" i="100"/>
  <c r="AH193" i="100"/>
  <c r="AG193" i="100"/>
  <c r="AF193" i="100"/>
  <c r="AE193" i="100"/>
  <c r="AD193" i="100"/>
  <c r="AC193" i="100"/>
  <c r="AA193" i="100"/>
  <c r="X193" i="100"/>
  <c r="W193" i="100"/>
  <c r="U193" i="100"/>
  <c r="T193" i="100"/>
  <c r="S193" i="100"/>
  <c r="I193" i="100"/>
  <c r="H193" i="100"/>
  <c r="G193" i="100"/>
  <c r="F193" i="100"/>
  <c r="E193" i="100"/>
  <c r="D193" i="100"/>
  <c r="C193" i="100"/>
  <c r="B193" i="100"/>
  <c r="A193" i="100"/>
  <c r="AV192" i="100"/>
  <c r="AU192" i="100"/>
  <c r="AT192" i="100"/>
  <c r="AS192" i="100"/>
  <c r="AR192" i="100"/>
  <c r="AQ192" i="100"/>
  <c r="AP192" i="100"/>
  <c r="AO192" i="100"/>
  <c r="AN192" i="100"/>
  <c r="AM192" i="100"/>
  <c r="AL192" i="100"/>
  <c r="AK192" i="100"/>
  <c r="AJ192" i="100"/>
  <c r="AI192" i="100"/>
  <c r="AH192" i="100"/>
  <c r="AG192" i="100"/>
  <c r="AF192" i="100"/>
  <c r="AE192" i="100"/>
  <c r="AD192" i="100"/>
  <c r="AC192" i="100"/>
  <c r="AB192" i="100"/>
  <c r="AA192" i="100"/>
  <c r="Y192" i="100"/>
  <c r="X192" i="100"/>
  <c r="W192" i="100"/>
  <c r="U192" i="100"/>
  <c r="T192" i="100"/>
  <c r="S192" i="100"/>
  <c r="I192" i="100"/>
  <c r="H192" i="100"/>
  <c r="G192" i="100"/>
  <c r="F192" i="100"/>
  <c r="E192" i="100"/>
  <c r="D192" i="100"/>
  <c r="C192" i="100"/>
  <c r="B192" i="100"/>
  <c r="A192" i="100"/>
  <c r="AV191" i="100"/>
  <c r="AU191" i="100"/>
  <c r="AT191" i="100"/>
  <c r="AS191" i="100"/>
  <c r="AR191" i="100"/>
  <c r="AQ191" i="100"/>
  <c r="AP191" i="100"/>
  <c r="AO191" i="100"/>
  <c r="AN191" i="100"/>
  <c r="AM191" i="100"/>
  <c r="AL191" i="100"/>
  <c r="AK191" i="100"/>
  <c r="AJ191" i="100"/>
  <c r="AI191" i="100"/>
  <c r="AH191" i="100"/>
  <c r="AG191" i="100"/>
  <c r="AF191" i="100"/>
  <c r="AE191" i="100"/>
  <c r="AD191" i="100"/>
  <c r="AC191" i="100"/>
  <c r="AB191" i="100"/>
  <c r="AA191" i="100"/>
  <c r="Y191" i="100"/>
  <c r="X191" i="100"/>
  <c r="W191" i="100"/>
  <c r="U191" i="100"/>
  <c r="T191" i="100"/>
  <c r="S191" i="100"/>
  <c r="R191" i="100"/>
  <c r="Q191" i="100"/>
  <c r="P191" i="100"/>
  <c r="N191" i="100"/>
  <c r="I191" i="100"/>
  <c r="H191" i="100"/>
  <c r="G191" i="100"/>
  <c r="F191" i="100"/>
  <c r="E191" i="100"/>
  <c r="D191" i="100"/>
  <c r="C191" i="100"/>
  <c r="B191" i="100"/>
  <c r="A191" i="100"/>
  <c r="AV190" i="100"/>
  <c r="AU190" i="100"/>
  <c r="AT190" i="100"/>
  <c r="AS190" i="100"/>
  <c r="AR190" i="100"/>
  <c r="AQ190" i="100"/>
  <c r="AP190" i="100"/>
  <c r="AO190" i="100"/>
  <c r="AN190" i="100"/>
  <c r="AM190" i="100"/>
  <c r="AL190" i="100"/>
  <c r="AK190" i="100"/>
  <c r="AJ190" i="100"/>
  <c r="AI190" i="100"/>
  <c r="AH190" i="100"/>
  <c r="AG190" i="100"/>
  <c r="AF190" i="100"/>
  <c r="AE190" i="100"/>
  <c r="AD190" i="100"/>
  <c r="AC190" i="100"/>
  <c r="AA190" i="100"/>
  <c r="X190" i="100"/>
  <c r="W190" i="100"/>
  <c r="U190" i="100"/>
  <c r="T190" i="100"/>
  <c r="S190" i="100"/>
  <c r="I190" i="100"/>
  <c r="H190" i="100"/>
  <c r="G190" i="100"/>
  <c r="F190" i="100"/>
  <c r="E190" i="100"/>
  <c r="D190" i="100"/>
  <c r="C190" i="100"/>
  <c r="B190" i="100"/>
  <c r="A190" i="100"/>
  <c r="AV189" i="100"/>
  <c r="AU189" i="100"/>
  <c r="AT189" i="100"/>
  <c r="AS189" i="100"/>
  <c r="AR189" i="100"/>
  <c r="AQ189" i="100"/>
  <c r="AP189" i="100"/>
  <c r="AO189" i="100"/>
  <c r="AN189" i="100"/>
  <c r="AM189" i="100"/>
  <c r="AL189" i="100"/>
  <c r="AK189" i="100"/>
  <c r="AJ189" i="100"/>
  <c r="AI189" i="100"/>
  <c r="AH189" i="100"/>
  <c r="AG189" i="100"/>
  <c r="AG187" i="100" s="1"/>
  <c r="AF189" i="100"/>
  <c r="AE189" i="100"/>
  <c r="AD189" i="100"/>
  <c r="AC189" i="100"/>
  <c r="AC187" i="100" s="1"/>
  <c r="AB189" i="100"/>
  <c r="AA189" i="100"/>
  <c r="Y189" i="100"/>
  <c r="X189" i="100"/>
  <c r="W189" i="100"/>
  <c r="U189" i="100"/>
  <c r="T189" i="100"/>
  <c r="S189" i="100"/>
  <c r="I189" i="100"/>
  <c r="H189" i="100"/>
  <c r="G189" i="100"/>
  <c r="F189" i="100"/>
  <c r="E189" i="100"/>
  <c r="D189" i="100"/>
  <c r="C189" i="100"/>
  <c r="B189" i="100"/>
  <c r="A189" i="100"/>
  <c r="AV188" i="100"/>
  <c r="AU188" i="100"/>
  <c r="AT188" i="100"/>
  <c r="AT187" i="100" s="1"/>
  <c r="AS188" i="100"/>
  <c r="AR188" i="100"/>
  <c r="AR187" i="100" s="1"/>
  <c r="AR186" i="100" s="1"/>
  <c r="AQ188" i="100"/>
  <c r="AP188" i="100"/>
  <c r="AP187" i="100" s="1"/>
  <c r="AO188" i="100"/>
  <c r="AN188" i="100"/>
  <c r="AN187" i="100" s="1"/>
  <c r="AN186" i="100" s="1"/>
  <c r="AM188" i="100"/>
  <c r="AL188" i="100"/>
  <c r="AL187" i="100" s="1"/>
  <c r="AL186" i="100" s="1"/>
  <c r="AK188" i="100"/>
  <c r="AJ188" i="100"/>
  <c r="AJ187" i="100" s="1"/>
  <c r="AJ186" i="100" s="1"/>
  <c r="AI188" i="100"/>
  <c r="AH188" i="100"/>
  <c r="AG188" i="100"/>
  <c r="AF188" i="100"/>
  <c r="AF187" i="100" s="1"/>
  <c r="AE188" i="100"/>
  <c r="AD188" i="100"/>
  <c r="AD187" i="100" s="1"/>
  <c r="AD186" i="100" s="1"/>
  <c r="AC188" i="100"/>
  <c r="AB188" i="100"/>
  <c r="AA188" i="100"/>
  <c r="Y188" i="100"/>
  <c r="Y187" i="100" s="1"/>
  <c r="X188" i="100"/>
  <c r="W188" i="100"/>
  <c r="U188" i="100"/>
  <c r="T188" i="100"/>
  <c r="S188" i="100"/>
  <c r="R188" i="100"/>
  <c r="R187" i="100" s="1"/>
  <c r="R186" i="100" s="1"/>
  <c r="Q188" i="100"/>
  <c r="P188" i="100"/>
  <c r="N188" i="100"/>
  <c r="I188" i="100"/>
  <c r="H188" i="100"/>
  <c r="G188" i="100"/>
  <c r="F188" i="100"/>
  <c r="E188" i="100"/>
  <c r="D188" i="100"/>
  <c r="C188" i="100"/>
  <c r="B188" i="100"/>
  <c r="A188" i="100"/>
  <c r="AS187" i="100"/>
  <c r="AQ187" i="100"/>
  <c r="AO187" i="100"/>
  <c r="AO186" i="100" s="1"/>
  <c r="AM187" i="100"/>
  <c r="AK187" i="100"/>
  <c r="AE187" i="100"/>
  <c r="X187" i="100"/>
  <c r="X186" i="100" s="1"/>
  <c r="X151" i="100" s="1"/>
  <c r="V187" i="100"/>
  <c r="U187" i="100"/>
  <c r="T187" i="100"/>
  <c r="S187" i="100"/>
  <c r="S186" i="100" s="1"/>
  <c r="M187" i="100"/>
  <c r="L187" i="100"/>
  <c r="W186" i="100"/>
  <c r="L186" i="100"/>
  <c r="K186" i="100"/>
  <c r="AV185" i="100"/>
  <c r="AU185" i="100"/>
  <c r="AT185" i="100"/>
  <c r="AT184" i="100" s="1"/>
  <c r="AT183" i="100" s="1"/>
  <c r="AS185" i="100"/>
  <c r="AR185" i="100"/>
  <c r="AR184" i="100" s="1"/>
  <c r="AR183" i="100" s="1"/>
  <c r="AQ185" i="100"/>
  <c r="AP185" i="100"/>
  <c r="AP184" i="100" s="1"/>
  <c r="AP183" i="100" s="1"/>
  <c r="AO185" i="100"/>
  <c r="AN185" i="100"/>
  <c r="AN184" i="100" s="1"/>
  <c r="AN183" i="100" s="1"/>
  <c r="AM185" i="100"/>
  <c r="AL185" i="100"/>
  <c r="AL184" i="100" s="1"/>
  <c r="AL183" i="100" s="1"/>
  <c r="AK185" i="100"/>
  <c r="AJ185" i="100"/>
  <c r="AJ184" i="100" s="1"/>
  <c r="AJ183" i="100" s="1"/>
  <c r="AI185" i="100"/>
  <c r="AH185" i="100"/>
  <c r="AG185" i="100"/>
  <c r="AF185" i="100"/>
  <c r="AF184" i="100" s="1"/>
  <c r="AF183" i="100" s="1"/>
  <c r="AE185" i="100"/>
  <c r="AD185" i="100"/>
  <c r="AD184" i="100" s="1"/>
  <c r="AD183" i="100" s="1"/>
  <c r="AC185" i="100"/>
  <c r="AB185" i="100"/>
  <c r="AB184" i="100" s="1"/>
  <c r="AB183" i="100" s="1"/>
  <c r="AA185" i="100"/>
  <c r="X185" i="100"/>
  <c r="X184" i="100" s="1"/>
  <c r="X183" i="100" s="1"/>
  <c r="W185" i="100"/>
  <c r="U185" i="100"/>
  <c r="U184" i="100" s="1"/>
  <c r="U183" i="100" s="1"/>
  <c r="T185" i="100"/>
  <c r="S185" i="100"/>
  <c r="R185" i="100"/>
  <c r="Q185" i="100"/>
  <c r="P185" i="100"/>
  <c r="O185" i="100"/>
  <c r="N185" i="100"/>
  <c r="I185" i="100"/>
  <c r="H185" i="100"/>
  <c r="G185" i="100"/>
  <c r="F185" i="100"/>
  <c r="E185" i="100"/>
  <c r="D185" i="100"/>
  <c r="C185" i="100"/>
  <c r="B185" i="100"/>
  <c r="A185" i="100"/>
  <c r="AS184" i="100"/>
  <c r="AQ184" i="100"/>
  <c r="AQ183" i="100" s="1"/>
  <c r="AO184" i="100"/>
  <c r="AM184" i="100"/>
  <c r="AM183" i="100" s="1"/>
  <c r="AK184" i="100"/>
  <c r="AG184" i="100"/>
  <c r="AG183" i="100" s="1"/>
  <c r="AE184" i="100"/>
  <c r="AC184" i="100"/>
  <c r="AC183" i="100" s="1"/>
  <c r="Z184" i="100"/>
  <c r="Z183" i="100" s="1"/>
  <c r="T184" i="100"/>
  <c r="S184" i="100"/>
  <c r="S183" i="100" s="1"/>
  <c r="R184" i="100"/>
  <c r="M184" i="100"/>
  <c r="L184" i="100"/>
  <c r="AU183" i="100"/>
  <c r="AS183" i="100"/>
  <c r="AO183" i="100"/>
  <c r="AK183" i="100"/>
  <c r="AE183" i="100"/>
  <c r="AA183" i="100"/>
  <c r="T183" i="100"/>
  <c r="R183" i="100"/>
  <c r="L183" i="100"/>
  <c r="K183" i="100"/>
  <c r="AV182" i="100"/>
  <c r="AU182" i="100"/>
  <c r="AT182" i="100"/>
  <c r="AS182" i="100"/>
  <c r="AR182" i="100"/>
  <c r="AQ182" i="100"/>
  <c r="AP182" i="100"/>
  <c r="AO182" i="100"/>
  <c r="AN182" i="100"/>
  <c r="AM182" i="100"/>
  <c r="AL182" i="100"/>
  <c r="AK182" i="100"/>
  <c r="AJ182" i="100"/>
  <c r="AI182" i="100"/>
  <c r="AH182" i="100"/>
  <c r="AG182" i="100"/>
  <c r="AF182" i="100"/>
  <c r="AE182" i="100"/>
  <c r="AD182" i="100"/>
  <c r="AC182" i="100"/>
  <c r="AA182" i="100"/>
  <c r="X182" i="100"/>
  <c r="W182" i="100"/>
  <c r="V182" i="100"/>
  <c r="U182" i="100"/>
  <c r="T182" i="100"/>
  <c r="S182" i="100"/>
  <c r="I182" i="100"/>
  <c r="H182" i="100"/>
  <c r="G182" i="100"/>
  <c r="F182" i="100"/>
  <c r="E182" i="100"/>
  <c r="D182" i="100"/>
  <c r="C182" i="100"/>
  <c r="B182" i="100"/>
  <c r="A182" i="100"/>
  <c r="AV181" i="100"/>
  <c r="AU181" i="100"/>
  <c r="AT181" i="100"/>
  <c r="AS181" i="100"/>
  <c r="AR181" i="100"/>
  <c r="AQ181" i="100"/>
  <c r="AP181" i="100"/>
  <c r="AO181" i="100"/>
  <c r="AN181" i="100"/>
  <c r="AM181" i="100"/>
  <c r="AL181" i="100"/>
  <c r="AK181" i="100"/>
  <c r="AJ181" i="100"/>
  <c r="AI181" i="100"/>
  <c r="AH181" i="100"/>
  <c r="AG181" i="100"/>
  <c r="AG179" i="100" s="1"/>
  <c r="AF181" i="100"/>
  <c r="AE181" i="100"/>
  <c r="AD181" i="100"/>
  <c r="AC181" i="100"/>
  <c r="AC179" i="100" s="1"/>
  <c r="AB181" i="100"/>
  <c r="AA181" i="100"/>
  <c r="Y181" i="100"/>
  <c r="X181" i="100"/>
  <c r="W181" i="100"/>
  <c r="V181" i="100"/>
  <c r="U181" i="100"/>
  <c r="T181" i="100"/>
  <c r="S181" i="100"/>
  <c r="I181" i="100"/>
  <c r="H181" i="100"/>
  <c r="G181" i="100"/>
  <c r="F181" i="100"/>
  <c r="E181" i="100"/>
  <c r="D181" i="100"/>
  <c r="C181" i="100"/>
  <c r="B181" i="100"/>
  <c r="A181" i="100"/>
  <c r="AV180" i="100"/>
  <c r="AU180" i="100"/>
  <c r="AT180" i="100"/>
  <c r="AS180" i="100"/>
  <c r="AR180" i="100"/>
  <c r="AQ180" i="100"/>
  <c r="AQ179" i="100" s="1"/>
  <c r="AP180" i="100"/>
  <c r="AO180" i="100"/>
  <c r="AN180" i="100"/>
  <c r="AM180" i="100"/>
  <c r="AM179" i="100" s="1"/>
  <c r="AL180" i="100"/>
  <c r="AK180" i="100"/>
  <c r="AJ180" i="100"/>
  <c r="AI180" i="100"/>
  <c r="AH180" i="100"/>
  <c r="AG180" i="100"/>
  <c r="AF180" i="100"/>
  <c r="AE180" i="100"/>
  <c r="AD180" i="100"/>
  <c r="AC180" i="100"/>
  <c r="AB180" i="100"/>
  <c r="AA180" i="100"/>
  <c r="Y180" i="100"/>
  <c r="X180" i="100"/>
  <c r="W180" i="100"/>
  <c r="U180" i="100"/>
  <c r="S180" i="100"/>
  <c r="R180" i="100"/>
  <c r="R179" i="100" s="1"/>
  <c r="Q180" i="100"/>
  <c r="P180" i="100"/>
  <c r="N180" i="100"/>
  <c r="I180" i="100"/>
  <c r="H180" i="100"/>
  <c r="G180" i="100"/>
  <c r="F180" i="100"/>
  <c r="E180" i="100"/>
  <c r="D180" i="100"/>
  <c r="C180" i="100"/>
  <c r="B180" i="100"/>
  <c r="A180" i="100"/>
  <c r="AT179" i="100"/>
  <c r="AS179" i="100"/>
  <c r="AR179" i="100"/>
  <c r="AP179" i="100"/>
  <c r="AO179" i="100"/>
  <c r="AN179" i="100"/>
  <c r="AL179" i="100"/>
  <c r="AK179" i="100"/>
  <c r="AJ179" i="100"/>
  <c r="AF179" i="100"/>
  <c r="AE179" i="100"/>
  <c r="AD179" i="100"/>
  <c r="Y179" i="100"/>
  <c r="X179" i="100"/>
  <c r="V179" i="100"/>
  <c r="U179" i="100"/>
  <c r="T179" i="100"/>
  <c r="S179" i="100"/>
  <c r="M179" i="100"/>
  <c r="L179" i="100"/>
  <c r="AV178" i="100"/>
  <c r="AU178" i="100"/>
  <c r="AT178" i="100"/>
  <c r="AT177" i="100" s="1"/>
  <c r="AS178" i="100"/>
  <c r="AR178" i="100"/>
  <c r="AR177" i="100" s="1"/>
  <c r="AQ178" i="100"/>
  <c r="AP178" i="100"/>
  <c r="AP177" i="100" s="1"/>
  <c r="AO178" i="100"/>
  <c r="AN178" i="100"/>
  <c r="AN177" i="100" s="1"/>
  <c r="AM178" i="100"/>
  <c r="AL178" i="100"/>
  <c r="AL177" i="100" s="1"/>
  <c r="AK178" i="100"/>
  <c r="AJ178" i="100"/>
  <c r="AJ177" i="100" s="1"/>
  <c r="AI178" i="100"/>
  <c r="AH178" i="100"/>
  <c r="AG178" i="100"/>
  <c r="AF178" i="100"/>
  <c r="AF177" i="100" s="1"/>
  <c r="AE178" i="100"/>
  <c r="AD178" i="100"/>
  <c r="AD177" i="100" s="1"/>
  <c r="AC178" i="100"/>
  <c r="AB178" i="100"/>
  <c r="AB177" i="100" s="1"/>
  <c r="AA178" i="100"/>
  <c r="Z178" i="100"/>
  <c r="X178" i="100"/>
  <c r="W178" i="100"/>
  <c r="W177" i="100" s="1"/>
  <c r="U178" i="100"/>
  <c r="S178" i="100"/>
  <c r="R178" i="100"/>
  <c r="Q178" i="100"/>
  <c r="P178" i="100"/>
  <c r="O178" i="100"/>
  <c r="N178" i="100"/>
  <c r="I178" i="100"/>
  <c r="H178" i="100"/>
  <c r="G178" i="100"/>
  <c r="F178" i="100"/>
  <c r="E178" i="100"/>
  <c r="D178" i="100"/>
  <c r="C178" i="100"/>
  <c r="B178" i="100"/>
  <c r="A178" i="100"/>
  <c r="AS177" i="100"/>
  <c r="AQ177" i="100"/>
  <c r="AQ172" i="100" s="1"/>
  <c r="AO177" i="100"/>
  <c r="AM177" i="100"/>
  <c r="AK177" i="100"/>
  <c r="AG177" i="100"/>
  <c r="AG172" i="100" s="1"/>
  <c r="AE177" i="100"/>
  <c r="AC177" i="100"/>
  <c r="AC172" i="100" s="1"/>
  <c r="Z177" i="100"/>
  <c r="X177" i="100"/>
  <c r="U177" i="100"/>
  <c r="S177" i="100"/>
  <c r="R177" i="100"/>
  <c r="M177" i="100"/>
  <c r="L177" i="100"/>
  <c r="AV176" i="100"/>
  <c r="AU176" i="100"/>
  <c r="AT176" i="100"/>
  <c r="AS176" i="100"/>
  <c r="AR176" i="100"/>
  <c r="AQ176" i="100"/>
  <c r="AP176" i="100"/>
  <c r="AO176" i="100"/>
  <c r="AN176" i="100"/>
  <c r="AM176" i="100"/>
  <c r="AL176" i="100"/>
  <c r="AK176" i="100"/>
  <c r="AJ176" i="100"/>
  <c r="AI176" i="100"/>
  <c r="AH176" i="100"/>
  <c r="AG176" i="100"/>
  <c r="AF176" i="100"/>
  <c r="AE176" i="100"/>
  <c r="AD176" i="100"/>
  <c r="AD175" i="100" s="1"/>
  <c r="AC176" i="100"/>
  <c r="AB176" i="100"/>
  <c r="AA176" i="100"/>
  <c r="Z176" i="100"/>
  <c r="Z175" i="100" s="1"/>
  <c r="Y176" i="100"/>
  <c r="X176" i="100"/>
  <c r="X175" i="100" s="1"/>
  <c r="X172" i="100" s="1"/>
  <c r="W176" i="100"/>
  <c r="U176" i="100"/>
  <c r="U175" i="100" s="1"/>
  <c r="S176" i="100"/>
  <c r="R176" i="100"/>
  <c r="R175" i="100" s="1"/>
  <c r="R172" i="100" s="1"/>
  <c r="Q176" i="100"/>
  <c r="P176" i="100"/>
  <c r="O176" i="100"/>
  <c r="N176" i="100"/>
  <c r="I176" i="100"/>
  <c r="H176" i="100"/>
  <c r="G176" i="100"/>
  <c r="F176" i="100"/>
  <c r="E176" i="100"/>
  <c r="D176" i="100"/>
  <c r="C176" i="100"/>
  <c r="B176" i="100"/>
  <c r="A176" i="100"/>
  <c r="AT175" i="100"/>
  <c r="AS175" i="100"/>
  <c r="AR175" i="100"/>
  <c r="AQ175" i="100"/>
  <c r="AP175" i="100"/>
  <c r="AO175" i="100"/>
  <c r="AN175" i="100"/>
  <c r="AM175" i="100"/>
  <c r="AL175" i="100"/>
  <c r="AK175" i="100"/>
  <c r="AJ175" i="100"/>
  <c r="AG175" i="100"/>
  <c r="AF175" i="100"/>
  <c r="AE175" i="100"/>
  <c r="AC175" i="100"/>
  <c r="AB175" i="100"/>
  <c r="Y175" i="100"/>
  <c r="W175" i="100"/>
  <c r="S175" i="100"/>
  <c r="M175" i="100"/>
  <c r="L175" i="100"/>
  <c r="AV174" i="100"/>
  <c r="AU174" i="100"/>
  <c r="AT174" i="100"/>
  <c r="AT173" i="100" s="1"/>
  <c r="AT172" i="100" s="1"/>
  <c r="AS174" i="100"/>
  <c r="AR174" i="100"/>
  <c r="AR173" i="100" s="1"/>
  <c r="AQ174" i="100"/>
  <c r="AP174" i="100"/>
  <c r="AP173" i="100" s="1"/>
  <c r="AP172" i="100" s="1"/>
  <c r="AO174" i="100"/>
  <c r="AN174" i="100"/>
  <c r="AN173" i="100" s="1"/>
  <c r="AM174" i="100"/>
  <c r="AL174" i="100"/>
  <c r="AL173" i="100" s="1"/>
  <c r="AL172" i="100" s="1"/>
  <c r="AK174" i="100"/>
  <c r="AJ174" i="100"/>
  <c r="AJ173" i="100" s="1"/>
  <c r="AI174" i="100"/>
  <c r="AH174" i="100"/>
  <c r="AG174" i="100"/>
  <c r="AF174" i="100"/>
  <c r="AF173" i="100" s="1"/>
  <c r="AE174" i="100"/>
  <c r="AD174" i="100"/>
  <c r="AD173" i="100" s="1"/>
  <c r="AD172" i="100" s="1"/>
  <c r="AC174" i="100"/>
  <c r="AB174" i="100"/>
  <c r="AB173" i="100" s="1"/>
  <c r="AA174" i="100"/>
  <c r="Y174" i="100"/>
  <c r="Y173" i="100" s="1"/>
  <c r="X174" i="100"/>
  <c r="W174" i="100"/>
  <c r="W173" i="100" s="1"/>
  <c r="U174" i="100"/>
  <c r="S174" i="100"/>
  <c r="S173" i="100" s="1"/>
  <c r="S172" i="100" s="1"/>
  <c r="R174" i="100"/>
  <c r="Q174" i="100"/>
  <c r="P174" i="100"/>
  <c r="O174" i="100"/>
  <c r="N174" i="100"/>
  <c r="I174" i="100"/>
  <c r="H174" i="100"/>
  <c r="G174" i="100"/>
  <c r="F174" i="100"/>
  <c r="E174" i="100"/>
  <c r="D174" i="100"/>
  <c r="C174" i="100"/>
  <c r="B174" i="100"/>
  <c r="A174" i="100"/>
  <c r="AS173" i="100"/>
  <c r="AS172" i="100" s="1"/>
  <c r="AQ173" i="100"/>
  <c r="AO173" i="100"/>
  <c r="AM173" i="100"/>
  <c r="AK173" i="100"/>
  <c r="AK172" i="100" s="1"/>
  <c r="AG173" i="100"/>
  <c r="AE173" i="100"/>
  <c r="AC173" i="100"/>
  <c r="Z173" i="100"/>
  <c r="X173" i="100"/>
  <c r="U173" i="100"/>
  <c r="R173" i="100"/>
  <c r="M173" i="100"/>
  <c r="L173" i="100"/>
  <c r="AM172" i="100"/>
  <c r="AA172" i="100"/>
  <c r="U172" i="100"/>
  <c r="L172" i="100"/>
  <c r="K172" i="100"/>
  <c r="AV171" i="100"/>
  <c r="AU171" i="100"/>
  <c r="AT171" i="100"/>
  <c r="AS171" i="100"/>
  <c r="AS170" i="100" s="1"/>
  <c r="AS169" i="100" s="1"/>
  <c r="AR171" i="100"/>
  <c r="AQ171" i="100"/>
  <c r="AQ170" i="100" s="1"/>
  <c r="AQ169" i="100" s="1"/>
  <c r="AP171" i="100"/>
  <c r="AO171" i="100"/>
  <c r="AO170" i="100" s="1"/>
  <c r="AO169" i="100" s="1"/>
  <c r="AN171" i="100"/>
  <c r="AM171" i="100"/>
  <c r="AM170" i="100" s="1"/>
  <c r="AM169" i="100" s="1"/>
  <c r="AL171" i="100"/>
  <c r="AK171" i="100"/>
  <c r="AK170" i="100" s="1"/>
  <c r="AK169" i="100" s="1"/>
  <c r="AJ171" i="100"/>
  <c r="AI171" i="100"/>
  <c r="AH171" i="100"/>
  <c r="AG171" i="100"/>
  <c r="AG170" i="100" s="1"/>
  <c r="AG169" i="100" s="1"/>
  <c r="AF171" i="100"/>
  <c r="AE171" i="100"/>
  <c r="AE170" i="100" s="1"/>
  <c r="AE169" i="100" s="1"/>
  <c r="AD171" i="100"/>
  <c r="AC171" i="100"/>
  <c r="AC170" i="100" s="1"/>
  <c r="AC169" i="100" s="1"/>
  <c r="AB171" i="100"/>
  <c r="AA171" i="100"/>
  <c r="Y171" i="100"/>
  <c r="X171" i="100"/>
  <c r="X170" i="100" s="1"/>
  <c r="X169" i="100" s="1"/>
  <c r="W171" i="100"/>
  <c r="V171" i="100"/>
  <c r="V170" i="100" s="1"/>
  <c r="V169" i="100" s="1"/>
  <c r="U171" i="100"/>
  <c r="T171" i="100"/>
  <c r="T170" i="100" s="1"/>
  <c r="T169" i="100" s="1"/>
  <c r="S171" i="100"/>
  <c r="R171" i="100"/>
  <c r="R170" i="100" s="1"/>
  <c r="R169" i="100" s="1"/>
  <c r="Q171" i="100"/>
  <c r="P171" i="100"/>
  <c r="O171" i="100"/>
  <c r="N171" i="100"/>
  <c r="I171" i="100"/>
  <c r="H171" i="100"/>
  <c r="G171" i="100"/>
  <c r="F171" i="100"/>
  <c r="E171" i="100"/>
  <c r="D171" i="100"/>
  <c r="C171" i="100"/>
  <c r="B171" i="100"/>
  <c r="A171" i="100"/>
  <c r="AT170" i="100"/>
  <c r="AR170" i="100"/>
  <c r="AP170" i="100"/>
  <c r="AN170" i="100"/>
  <c r="AL170" i="100"/>
  <c r="AJ170" i="100"/>
  <c r="AF170" i="100"/>
  <c r="AD170" i="100"/>
  <c r="AB170" i="100"/>
  <c r="Z170" i="100"/>
  <c r="Y170" i="100"/>
  <c r="W170" i="100"/>
  <c r="U170" i="100"/>
  <c r="S170" i="100"/>
  <c r="M170" i="100"/>
  <c r="L170" i="100"/>
  <c r="AT169" i="100"/>
  <c r="AR169" i="100"/>
  <c r="AP169" i="100"/>
  <c r="AN169" i="100"/>
  <c r="AL169" i="100"/>
  <c r="AJ169" i="100"/>
  <c r="AF169" i="100"/>
  <c r="AD169" i="100"/>
  <c r="AB169" i="100"/>
  <c r="Z169" i="100"/>
  <c r="Y169" i="100"/>
  <c r="W169" i="100"/>
  <c r="U169" i="100"/>
  <c r="S169" i="100"/>
  <c r="L169" i="100"/>
  <c r="K169" i="100"/>
  <c r="AV168" i="100"/>
  <c r="AU168" i="100"/>
  <c r="AT168" i="100"/>
  <c r="AS168" i="100"/>
  <c r="AR168" i="100"/>
  <c r="AQ168" i="100"/>
  <c r="AP168" i="100"/>
  <c r="AO168" i="100"/>
  <c r="AN168" i="100"/>
  <c r="AM168" i="100"/>
  <c r="AL168" i="100"/>
  <c r="AK168" i="100"/>
  <c r="AJ168" i="100"/>
  <c r="AI168" i="100"/>
  <c r="AH168" i="100"/>
  <c r="AG168" i="100"/>
  <c r="AF168" i="100"/>
  <c r="AE168" i="100"/>
  <c r="AD168" i="100"/>
  <c r="AC168" i="100"/>
  <c r="AB168" i="100"/>
  <c r="AA168" i="100"/>
  <c r="Y168" i="100"/>
  <c r="X168" i="100"/>
  <c r="W168" i="100"/>
  <c r="U168" i="100"/>
  <c r="T168" i="100"/>
  <c r="S168" i="100"/>
  <c r="R168" i="100"/>
  <c r="Q168" i="100"/>
  <c r="P168" i="100"/>
  <c r="N168" i="100"/>
  <c r="I168" i="100"/>
  <c r="H168" i="100"/>
  <c r="G168" i="100"/>
  <c r="F168" i="100"/>
  <c r="E168" i="100"/>
  <c r="D168" i="100"/>
  <c r="C168" i="100"/>
  <c r="B168" i="100"/>
  <c r="A168" i="100"/>
  <c r="AV167" i="100"/>
  <c r="AU167" i="100"/>
  <c r="AT167" i="100"/>
  <c r="AS167" i="100"/>
  <c r="AR167" i="100"/>
  <c r="AQ167" i="100"/>
  <c r="AP167" i="100"/>
  <c r="AO167" i="100"/>
  <c r="AN167" i="100"/>
  <c r="AM167" i="100"/>
  <c r="AL167" i="100"/>
  <c r="AK167" i="100"/>
  <c r="AJ167" i="100"/>
  <c r="AI167" i="100"/>
  <c r="AH167" i="100"/>
  <c r="AG167" i="100"/>
  <c r="AF167" i="100"/>
  <c r="AE167" i="100"/>
  <c r="AD167" i="100"/>
  <c r="AC167" i="100"/>
  <c r="AB167" i="100"/>
  <c r="AA167" i="100"/>
  <c r="Y167" i="100"/>
  <c r="X167" i="100"/>
  <c r="W167" i="100"/>
  <c r="U167" i="100"/>
  <c r="T167" i="100"/>
  <c r="S167" i="100"/>
  <c r="R167" i="100"/>
  <c r="Q167" i="100"/>
  <c r="P167" i="100"/>
  <c r="N167" i="100"/>
  <c r="I167" i="100"/>
  <c r="H167" i="100"/>
  <c r="G167" i="100"/>
  <c r="F167" i="100"/>
  <c r="E167" i="100"/>
  <c r="D167" i="100"/>
  <c r="C167" i="100"/>
  <c r="B167" i="100"/>
  <c r="A167" i="100"/>
  <c r="AV166" i="100"/>
  <c r="AU166" i="100"/>
  <c r="AT166" i="100"/>
  <c r="AT162" i="100" s="1"/>
  <c r="AT161" i="100" s="1"/>
  <c r="AS166" i="100"/>
  <c r="AR166" i="100"/>
  <c r="AQ166" i="100"/>
  <c r="AP166" i="100"/>
  <c r="AP162" i="100" s="1"/>
  <c r="AP161" i="100" s="1"/>
  <c r="AO166" i="100"/>
  <c r="AN166" i="100"/>
  <c r="AM166" i="100"/>
  <c r="AL166" i="100"/>
  <c r="AL162" i="100" s="1"/>
  <c r="AL161" i="100" s="1"/>
  <c r="AK166" i="100"/>
  <c r="AJ166" i="100"/>
  <c r="AI166" i="100"/>
  <c r="AH166" i="100"/>
  <c r="AG166" i="100"/>
  <c r="AF166" i="100"/>
  <c r="AE166" i="100"/>
  <c r="AD166" i="100"/>
  <c r="AD162" i="100" s="1"/>
  <c r="AD161" i="100" s="1"/>
  <c r="AC166" i="100"/>
  <c r="AB166" i="100"/>
  <c r="AA166" i="100"/>
  <c r="Y166" i="100"/>
  <c r="Y162" i="100" s="1"/>
  <c r="Y161" i="100" s="1"/>
  <c r="X166" i="100"/>
  <c r="W166" i="100"/>
  <c r="U166" i="100"/>
  <c r="T166" i="100"/>
  <c r="S166" i="100"/>
  <c r="R166" i="100"/>
  <c r="Q166" i="100"/>
  <c r="P166" i="100"/>
  <c r="N166" i="100"/>
  <c r="I166" i="100"/>
  <c r="H166" i="100"/>
  <c r="G166" i="100"/>
  <c r="F166" i="100"/>
  <c r="E166" i="100"/>
  <c r="D166" i="100"/>
  <c r="C166" i="100"/>
  <c r="B166" i="100"/>
  <c r="A166" i="100"/>
  <c r="AV165" i="100"/>
  <c r="AU165" i="100"/>
  <c r="AT165" i="100"/>
  <c r="AS165" i="100"/>
  <c r="AR165" i="100"/>
  <c r="AQ165" i="100"/>
  <c r="AP165" i="100"/>
  <c r="AO165" i="100"/>
  <c r="AN165" i="100"/>
  <c r="AM165" i="100"/>
  <c r="AL165" i="100"/>
  <c r="AK165" i="100"/>
  <c r="AJ165" i="100"/>
  <c r="AI165" i="100"/>
  <c r="AH165" i="100"/>
  <c r="AG165" i="100"/>
  <c r="AF165" i="100"/>
  <c r="AE165" i="100"/>
  <c r="AD165" i="100"/>
  <c r="AC165" i="100"/>
  <c r="AB165" i="100"/>
  <c r="AA165" i="100"/>
  <c r="Y165" i="100"/>
  <c r="X165" i="100"/>
  <c r="W165" i="100"/>
  <c r="U165" i="100"/>
  <c r="T165" i="100"/>
  <c r="S165" i="100"/>
  <c r="R165" i="100"/>
  <c r="Q165" i="100"/>
  <c r="P165" i="100"/>
  <c r="N165" i="100"/>
  <c r="I165" i="100"/>
  <c r="H165" i="100"/>
  <c r="G165" i="100"/>
  <c r="F165" i="100"/>
  <c r="E165" i="100"/>
  <c r="D165" i="100"/>
  <c r="C165" i="100"/>
  <c r="B165" i="100"/>
  <c r="A165" i="100"/>
  <c r="AV164" i="100"/>
  <c r="AU164" i="100"/>
  <c r="AT164" i="100"/>
  <c r="AS164" i="100"/>
  <c r="AR164" i="100"/>
  <c r="AQ164" i="100"/>
  <c r="AP164" i="100"/>
  <c r="AO164" i="100"/>
  <c r="AN164" i="100"/>
  <c r="AN162" i="100" s="1"/>
  <c r="AN161" i="100" s="1"/>
  <c r="AM164" i="100"/>
  <c r="AL164" i="100"/>
  <c r="AK164" i="100"/>
  <c r="AJ164" i="100"/>
  <c r="AI164" i="100"/>
  <c r="AH164" i="100"/>
  <c r="AG164" i="100"/>
  <c r="AF164" i="100"/>
  <c r="AF162" i="100" s="1"/>
  <c r="AF161" i="100" s="1"/>
  <c r="AE164" i="100"/>
  <c r="AD164" i="100"/>
  <c r="AC164" i="100"/>
  <c r="AB164" i="100"/>
  <c r="AB162" i="100" s="1"/>
  <c r="AB161" i="100" s="1"/>
  <c r="AA164" i="100"/>
  <c r="Y164" i="100"/>
  <c r="X164" i="100"/>
  <c r="W164" i="100"/>
  <c r="W162" i="100" s="1"/>
  <c r="W161" i="100" s="1"/>
  <c r="U164" i="100"/>
  <c r="T164" i="100"/>
  <c r="S164" i="100"/>
  <c r="R164" i="100"/>
  <c r="R162" i="100" s="1"/>
  <c r="R161" i="100" s="1"/>
  <c r="Q164" i="100"/>
  <c r="P164" i="100"/>
  <c r="N164" i="100"/>
  <c r="I164" i="100"/>
  <c r="H164" i="100"/>
  <c r="G164" i="100"/>
  <c r="F164" i="100"/>
  <c r="E164" i="100"/>
  <c r="D164" i="100"/>
  <c r="C164" i="100"/>
  <c r="B164" i="100"/>
  <c r="A164" i="100"/>
  <c r="AV163" i="100"/>
  <c r="AU163" i="100"/>
  <c r="AT163" i="100"/>
  <c r="AS163" i="100"/>
  <c r="AS162" i="100" s="1"/>
  <c r="AS161" i="100" s="1"/>
  <c r="AR163" i="100"/>
  <c r="AQ163" i="100"/>
  <c r="AQ162" i="100" s="1"/>
  <c r="AQ161" i="100" s="1"/>
  <c r="AP163" i="100"/>
  <c r="AO163" i="100"/>
  <c r="AO162" i="100" s="1"/>
  <c r="AO161" i="100" s="1"/>
  <c r="AN163" i="100"/>
  <c r="AM163" i="100"/>
  <c r="AM162" i="100" s="1"/>
  <c r="AM161" i="100" s="1"/>
  <c r="AL163" i="100"/>
  <c r="AK163" i="100"/>
  <c r="AK162" i="100" s="1"/>
  <c r="AK161" i="100" s="1"/>
  <c r="AJ163" i="100"/>
  <c r="AI163" i="100"/>
  <c r="AH163" i="100"/>
  <c r="AG163" i="100"/>
  <c r="AG162" i="100" s="1"/>
  <c r="AG161" i="100" s="1"/>
  <c r="AF163" i="100"/>
  <c r="AE163" i="100"/>
  <c r="AE162" i="100" s="1"/>
  <c r="AE161" i="100" s="1"/>
  <c r="AD163" i="100"/>
  <c r="AC163" i="100"/>
  <c r="AC162" i="100" s="1"/>
  <c r="AB163" i="100"/>
  <c r="AA163" i="100"/>
  <c r="Y163" i="100"/>
  <c r="X163" i="100"/>
  <c r="X162" i="100" s="1"/>
  <c r="W163" i="100"/>
  <c r="U163" i="100"/>
  <c r="U162" i="100" s="1"/>
  <c r="U161" i="100" s="1"/>
  <c r="T163" i="100"/>
  <c r="S163" i="100"/>
  <c r="S162" i="100" s="1"/>
  <c r="S161" i="100" s="1"/>
  <c r="R163" i="100"/>
  <c r="Q163" i="100"/>
  <c r="P163" i="100"/>
  <c r="N163" i="100"/>
  <c r="I163" i="100"/>
  <c r="H163" i="100"/>
  <c r="G163" i="100"/>
  <c r="F163" i="100"/>
  <c r="E163" i="100"/>
  <c r="D163" i="100"/>
  <c r="C163" i="100"/>
  <c r="B163" i="100"/>
  <c r="A163" i="100"/>
  <c r="AR162" i="100"/>
  <c r="AR161" i="100" s="1"/>
  <c r="AJ162" i="100"/>
  <c r="AJ161" i="100" s="1"/>
  <c r="Z162" i="100"/>
  <c r="T162" i="100"/>
  <c r="T161" i="100" s="1"/>
  <c r="M162" i="100"/>
  <c r="L162" i="100"/>
  <c r="AC161" i="100"/>
  <c r="Z161" i="100"/>
  <c r="X161" i="100"/>
  <c r="L161" i="100"/>
  <c r="K161" i="100"/>
  <c r="AV160" i="100"/>
  <c r="AU160" i="100"/>
  <c r="AT160" i="100"/>
  <c r="AS160" i="100"/>
  <c r="AR160" i="100"/>
  <c r="AQ160" i="100"/>
  <c r="AP160" i="100"/>
  <c r="AO160" i="100"/>
  <c r="AN160" i="100"/>
  <c r="AM160" i="100"/>
  <c r="AL160" i="100"/>
  <c r="AK160" i="100"/>
  <c r="AJ160" i="100"/>
  <c r="AI160" i="100"/>
  <c r="AH160" i="100"/>
  <c r="AG160" i="100"/>
  <c r="AF160" i="100"/>
  <c r="AE160" i="100"/>
  <c r="AD160" i="100"/>
  <c r="AC160" i="100"/>
  <c r="AB160" i="100"/>
  <c r="AA160" i="100"/>
  <c r="Y160" i="100"/>
  <c r="X160" i="100"/>
  <c r="W160" i="100"/>
  <c r="U160" i="100"/>
  <c r="T160" i="100"/>
  <c r="S160" i="100"/>
  <c r="R160" i="100"/>
  <c r="Q160" i="100"/>
  <c r="P160" i="100"/>
  <c r="N160" i="100"/>
  <c r="I160" i="100"/>
  <c r="H160" i="100"/>
  <c r="G160" i="100"/>
  <c r="F160" i="100"/>
  <c r="E160" i="100"/>
  <c r="D160" i="100"/>
  <c r="C160" i="100"/>
  <c r="B160" i="100"/>
  <c r="A160" i="100"/>
  <c r="AV159" i="100"/>
  <c r="AU159" i="100"/>
  <c r="AT159" i="100"/>
  <c r="AS159" i="100"/>
  <c r="AR159" i="100"/>
  <c r="AQ159" i="100"/>
  <c r="AP159" i="100"/>
  <c r="AO159" i="100"/>
  <c r="AN159" i="100"/>
  <c r="AM159" i="100"/>
  <c r="AL159" i="100"/>
  <c r="AK159" i="100"/>
  <c r="AJ159" i="100"/>
  <c r="AI159" i="100"/>
  <c r="AH159" i="100"/>
  <c r="AG159" i="100"/>
  <c r="AF159" i="100"/>
  <c r="AE159" i="100"/>
  <c r="AD159" i="100"/>
  <c r="AC159" i="100"/>
  <c r="AB159" i="100"/>
  <c r="AA159" i="100"/>
  <c r="Y159" i="100"/>
  <c r="X159" i="100"/>
  <c r="W159" i="100"/>
  <c r="U159" i="100"/>
  <c r="T159" i="100"/>
  <c r="S159" i="100"/>
  <c r="R159" i="100"/>
  <c r="Q159" i="100"/>
  <c r="P159" i="100"/>
  <c r="N159" i="100"/>
  <c r="I159" i="100"/>
  <c r="H159" i="100"/>
  <c r="G159" i="100"/>
  <c r="F159" i="100"/>
  <c r="E159" i="100"/>
  <c r="D159" i="100"/>
  <c r="C159" i="100"/>
  <c r="B159" i="100"/>
  <c r="A159" i="100"/>
  <c r="AV158" i="100"/>
  <c r="AU158" i="100"/>
  <c r="AT158" i="100"/>
  <c r="AS158" i="100"/>
  <c r="AR158" i="100"/>
  <c r="AQ158" i="100"/>
  <c r="AP158" i="100"/>
  <c r="AO158" i="100"/>
  <c r="AN158" i="100"/>
  <c r="AM158" i="100"/>
  <c r="AL158" i="100"/>
  <c r="AK158" i="100"/>
  <c r="AJ158" i="100"/>
  <c r="AI158" i="100"/>
  <c r="AH158" i="100"/>
  <c r="AG158" i="100"/>
  <c r="AF158" i="100"/>
  <c r="AE158" i="100"/>
  <c r="AD158" i="100"/>
  <c r="AC158" i="100"/>
  <c r="AB158" i="100"/>
  <c r="AA158" i="100"/>
  <c r="Y158" i="100"/>
  <c r="X158" i="100"/>
  <c r="W158" i="100"/>
  <c r="U158" i="100"/>
  <c r="T158" i="100"/>
  <c r="S158" i="100"/>
  <c r="R158" i="100"/>
  <c r="Q158" i="100"/>
  <c r="P158" i="100"/>
  <c r="N158" i="100"/>
  <c r="I158" i="100"/>
  <c r="H158" i="100"/>
  <c r="G158" i="100"/>
  <c r="F158" i="100"/>
  <c r="E158" i="100"/>
  <c r="D158" i="100"/>
  <c r="C158" i="100"/>
  <c r="B158" i="100"/>
  <c r="A158" i="100"/>
  <c r="AV157" i="100"/>
  <c r="AU157" i="100"/>
  <c r="AT157" i="100"/>
  <c r="AS157" i="100"/>
  <c r="AR157" i="100"/>
  <c r="AQ157" i="100"/>
  <c r="AQ153" i="100" s="1"/>
  <c r="AQ152" i="100" s="1"/>
  <c r="AP157" i="100"/>
  <c r="AO157" i="100"/>
  <c r="AN157" i="100"/>
  <c r="AM157" i="100"/>
  <c r="AM153" i="100" s="1"/>
  <c r="AM152" i="100" s="1"/>
  <c r="AL157" i="100"/>
  <c r="AK157" i="100"/>
  <c r="AJ157" i="100"/>
  <c r="AI157" i="100"/>
  <c r="AH157" i="100"/>
  <c r="AG157" i="100"/>
  <c r="AF157" i="100"/>
  <c r="AE157" i="100"/>
  <c r="AD157" i="100"/>
  <c r="AC157" i="100"/>
  <c r="AB157" i="100"/>
  <c r="AA157" i="100"/>
  <c r="Y157" i="100"/>
  <c r="X157" i="100"/>
  <c r="W157" i="100"/>
  <c r="U157" i="100"/>
  <c r="T157" i="100"/>
  <c r="S157" i="100"/>
  <c r="R157" i="100"/>
  <c r="Q157" i="100"/>
  <c r="P157" i="100"/>
  <c r="N157" i="100"/>
  <c r="I157" i="100"/>
  <c r="H157" i="100"/>
  <c r="G157" i="100"/>
  <c r="F157" i="100"/>
  <c r="E157" i="100"/>
  <c r="D157" i="100"/>
  <c r="C157" i="100"/>
  <c r="B157" i="100"/>
  <c r="A157" i="100"/>
  <c r="AV156" i="100"/>
  <c r="AU156" i="100"/>
  <c r="AT156" i="100"/>
  <c r="AS156" i="100"/>
  <c r="AR156" i="100"/>
  <c r="AQ156" i="100"/>
  <c r="AP156" i="100"/>
  <c r="AO156" i="100"/>
  <c r="AN156" i="100"/>
  <c r="AM156" i="100"/>
  <c r="AL156" i="100"/>
  <c r="AK156" i="100"/>
  <c r="AJ156" i="100"/>
  <c r="AI156" i="100"/>
  <c r="AH156" i="100"/>
  <c r="AG156" i="100"/>
  <c r="AF156" i="100"/>
  <c r="AE156" i="100"/>
  <c r="AD156" i="100"/>
  <c r="AC156" i="100"/>
  <c r="AB156" i="100"/>
  <c r="AA156" i="100"/>
  <c r="Y156" i="100"/>
  <c r="X156" i="100"/>
  <c r="W156" i="100"/>
  <c r="U156" i="100"/>
  <c r="T156" i="100"/>
  <c r="S156" i="100"/>
  <c r="R156" i="100"/>
  <c r="Q156" i="100"/>
  <c r="P156" i="100"/>
  <c r="N156" i="100"/>
  <c r="I156" i="100"/>
  <c r="H156" i="100"/>
  <c r="G156" i="100"/>
  <c r="F156" i="100"/>
  <c r="E156" i="100"/>
  <c r="D156" i="100"/>
  <c r="C156" i="100"/>
  <c r="B156" i="100"/>
  <c r="A156" i="100"/>
  <c r="AV155" i="100"/>
  <c r="AU155" i="100"/>
  <c r="AT155" i="100"/>
  <c r="AS155" i="100"/>
  <c r="AS153" i="100" s="1"/>
  <c r="AS152" i="100" s="1"/>
  <c r="AR155" i="100"/>
  <c r="AQ155" i="100"/>
  <c r="AP155" i="100"/>
  <c r="AO155" i="100"/>
  <c r="AN155" i="100"/>
  <c r="AM155" i="100"/>
  <c r="AL155" i="100"/>
  <c r="AK155" i="100"/>
  <c r="AK153" i="100" s="1"/>
  <c r="AK152" i="100" s="1"/>
  <c r="AJ155" i="100"/>
  <c r="AI155" i="100"/>
  <c r="AH155" i="100"/>
  <c r="AG155" i="100"/>
  <c r="AG153" i="100" s="1"/>
  <c r="AG152" i="100" s="1"/>
  <c r="AF155" i="100"/>
  <c r="AE155" i="100"/>
  <c r="AD155" i="100"/>
  <c r="AC155" i="100"/>
  <c r="AC153" i="100" s="1"/>
  <c r="AC152" i="100" s="1"/>
  <c r="AB155" i="100"/>
  <c r="AA155" i="100"/>
  <c r="Y155" i="100"/>
  <c r="X155" i="100"/>
  <c r="X153" i="100" s="1"/>
  <c r="X152" i="100" s="1"/>
  <c r="W155" i="100"/>
  <c r="U155" i="100"/>
  <c r="T155" i="100"/>
  <c r="S155" i="100"/>
  <c r="S153" i="100" s="1"/>
  <c r="R155" i="100"/>
  <c r="Q155" i="100"/>
  <c r="P155" i="100"/>
  <c r="N155" i="100"/>
  <c r="I155" i="100"/>
  <c r="H155" i="100"/>
  <c r="G155" i="100"/>
  <c r="F155" i="100"/>
  <c r="E155" i="100"/>
  <c r="D155" i="100"/>
  <c r="C155" i="100"/>
  <c r="B155" i="100"/>
  <c r="A155" i="100"/>
  <c r="AV154" i="100"/>
  <c r="AU154" i="100"/>
  <c r="AT154" i="100"/>
  <c r="AT153" i="100" s="1"/>
  <c r="AT152" i="100" s="1"/>
  <c r="AT151" i="100" s="1"/>
  <c r="AS154" i="100"/>
  <c r="AR154" i="100"/>
  <c r="AR153" i="100" s="1"/>
  <c r="AR152" i="100" s="1"/>
  <c r="AQ154" i="100"/>
  <c r="AP154" i="100"/>
  <c r="AP153" i="100" s="1"/>
  <c r="AP152" i="100" s="1"/>
  <c r="AO154" i="100"/>
  <c r="AN154" i="100"/>
  <c r="AN153" i="100" s="1"/>
  <c r="AN152" i="100" s="1"/>
  <c r="AM154" i="100"/>
  <c r="AL154" i="100"/>
  <c r="AL153" i="100" s="1"/>
  <c r="AL152" i="100" s="1"/>
  <c r="AK154" i="100"/>
  <c r="AJ154" i="100"/>
  <c r="AJ153" i="100" s="1"/>
  <c r="AJ152" i="100" s="1"/>
  <c r="AI154" i="100"/>
  <c r="AH154" i="100"/>
  <c r="AG154" i="100"/>
  <c r="AF154" i="100"/>
  <c r="AF153" i="100" s="1"/>
  <c r="AF152" i="100" s="1"/>
  <c r="AE154" i="100"/>
  <c r="AD154" i="100"/>
  <c r="AD153" i="100" s="1"/>
  <c r="AC154" i="100"/>
  <c r="AB154" i="100"/>
  <c r="AB153" i="100" s="1"/>
  <c r="AB152" i="100" s="1"/>
  <c r="AA154" i="100"/>
  <c r="Y154" i="100"/>
  <c r="Y153" i="100" s="1"/>
  <c r="Y152" i="100" s="1"/>
  <c r="X154" i="100"/>
  <c r="W154" i="100"/>
  <c r="W153" i="100" s="1"/>
  <c r="U154" i="100"/>
  <c r="T154" i="100"/>
  <c r="T153" i="100" s="1"/>
  <c r="T152" i="100" s="1"/>
  <c r="S154" i="100"/>
  <c r="R154" i="100"/>
  <c r="R153" i="100" s="1"/>
  <c r="R152" i="100" s="1"/>
  <c r="R151" i="100" s="1"/>
  <c r="Q154" i="100"/>
  <c r="P154" i="100"/>
  <c r="N154" i="100"/>
  <c r="I154" i="100"/>
  <c r="H154" i="100"/>
  <c r="G154" i="100"/>
  <c r="F154" i="100"/>
  <c r="E154" i="100"/>
  <c r="D154" i="100"/>
  <c r="C154" i="100"/>
  <c r="B154" i="100"/>
  <c r="A154" i="100"/>
  <c r="AO153" i="100"/>
  <c r="AO152" i="100" s="1"/>
  <c r="AE153" i="100"/>
  <c r="AE152" i="100" s="1"/>
  <c r="Z153" i="100"/>
  <c r="Z152" i="100" s="1"/>
  <c r="U153" i="100"/>
  <c r="U152" i="100" s="1"/>
  <c r="U151" i="100" s="1"/>
  <c r="M153" i="100"/>
  <c r="L153" i="100"/>
  <c r="AD152" i="100"/>
  <c r="S152" i="100"/>
  <c r="L152" i="100"/>
  <c r="K152" i="100"/>
  <c r="AL151" i="100"/>
  <c r="K151" i="100"/>
  <c r="J151" i="100"/>
  <c r="AV150" i="100"/>
  <c r="AU150" i="100"/>
  <c r="AT150" i="100"/>
  <c r="AS150" i="100"/>
  <c r="AR150" i="100"/>
  <c r="AQ150" i="100"/>
  <c r="AP150" i="100"/>
  <c r="AO150" i="100"/>
  <c r="AN150" i="100"/>
  <c r="AM150" i="100"/>
  <c r="AL150" i="100"/>
  <c r="AK150" i="100"/>
  <c r="AJ150" i="100"/>
  <c r="AI150" i="100"/>
  <c r="AH150" i="100"/>
  <c r="AG150" i="100"/>
  <c r="AF150" i="100"/>
  <c r="AE150" i="100"/>
  <c r="AD150" i="100"/>
  <c r="AC150" i="100"/>
  <c r="AB150" i="100"/>
  <c r="AA150" i="100"/>
  <c r="Y150" i="100"/>
  <c r="X150" i="100"/>
  <c r="W150" i="100"/>
  <c r="U150" i="100"/>
  <c r="T150" i="100"/>
  <c r="S150" i="100"/>
  <c r="R150" i="100"/>
  <c r="Q150" i="100"/>
  <c r="P150" i="100"/>
  <c r="O150" i="100"/>
  <c r="N150" i="100"/>
  <c r="I150" i="100"/>
  <c r="H150" i="100"/>
  <c r="G150" i="100"/>
  <c r="F150" i="100"/>
  <c r="E150" i="100"/>
  <c r="D150" i="100"/>
  <c r="C150" i="100"/>
  <c r="B150" i="100"/>
  <c r="A150" i="100"/>
  <c r="AV149" i="100"/>
  <c r="AU149" i="100"/>
  <c r="AT149" i="100"/>
  <c r="AS149" i="100"/>
  <c r="AR149" i="100"/>
  <c r="AQ149" i="100"/>
  <c r="AP149" i="100"/>
  <c r="AO149" i="100"/>
  <c r="AN149" i="100"/>
  <c r="AM149" i="100"/>
  <c r="AL149" i="100"/>
  <c r="AK149" i="100"/>
  <c r="AJ149" i="100"/>
  <c r="AI149" i="100"/>
  <c r="AH149" i="100"/>
  <c r="AG149" i="100"/>
  <c r="AF149" i="100"/>
  <c r="AE149" i="100"/>
  <c r="AD149" i="100"/>
  <c r="AC149" i="100"/>
  <c r="AA149" i="100"/>
  <c r="Y149" i="100"/>
  <c r="X149" i="100"/>
  <c r="W149" i="100"/>
  <c r="U149" i="100"/>
  <c r="T149" i="100"/>
  <c r="S149" i="100"/>
  <c r="R149" i="100"/>
  <c r="Q149" i="100"/>
  <c r="P149" i="100"/>
  <c r="O149" i="100"/>
  <c r="N149" i="100"/>
  <c r="I149" i="100"/>
  <c r="H149" i="100"/>
  <c r="G149" i="100"/>
  <c r="F149" i="100"/>
  <c r="E149" i="100"/>
  <c r="D149" i="100"/>
  <c r="C149" i="100"/>
  <c r="B149" i="100"/>
  <c r="A149" i="100"/>
  <c r="AV148" i="100"/>
  <c r="AU148" i="100"/>
  <c r="AT148" i="100"/>
  <c r="AS148" i="100"/>
  <c r="AR148" i="100"/>
  <c r="AQ148" i="100"/>
  <c r="AP148" i="100"/>
  <c r="AO148" i="100"/>
  <c r="AN148" i="100"/>
  <c r="AM148" i="100"/>
  <c r="AL148" i="100"/>
  <c r="AK148" i="100"/>
  <c r="AJ148" i="100"/>
  <c r="AI148" i="100"/>
  <c r="AH148" i="100"/>
  <c r="AG148" i="100"/>
  <c r="AF148" i="100"/>
  <c r="AE148" i="100"/>
  <c r="AD148" i="100"/>
  <c r="AC148" i="100"/>
  <c r="AB148" i="100"/>
  <c r="AA148" i="100"/>
  <c r="Y148" i="100"/>
  <c r="X148" i="100"/>
  <c r="W148" i="100"/>
  <c r="U148" i="100"/>
  <c r="T148" i="100"/>
  <c r="S148" i="100"/>
  <c r="R148" i="100"/>
  <c r="Q148" i="100"/>
  <c r="P148" i="100"/>
  <c r="O148" i="100"/>
  <c r="N148" i="100"/>
  <c r="I148" i="100"/>
  <c r="H148" i="100"/>
  <c r="G148" i="100"/>
  <c r="F148" i="100"/>
  <c r="E148" i="100"/>
  <c r="D148" i="100"/>
  <c r="C148" i="100"/>
  <c r="B148" i="100"/>
  <c r="A148" i="100"/>
  <c r="AV147" i="100"/>
  <c r="AU147" i="100"/>
  <c r="AT147" i="100"/>
  <c r="AS147" i="100"/>
  <c r="AR147" i="100"/>
  <c r="AQ147" i="100"/>
  <c r="AP147" i="100"/>
  <c r="AO147" i="100"/>
  <c r="AN147" i="100"/>
  <c r="AM147" i="100"/>
  <c r="AL147" i="100"/>
  <c r="AK147" i="100"/>
  <c r="AJ147" i="100"/>
  <c r="AI147" i="100"/>
  <c r="AH147" i="100"/>
  <c r="AG147" i="100"/>
  <c r="AF147" i="100"/>
  <c r="AE147" i="100"/>
  <c r="AD147" i="100"/>
  <c r="AC147" i="100"/>
  <c r="AB147" i="100"/>
  <c r="AA147" i="100"/>
  <c r="X147" i="100"/>
  <c r="W147" i="100"/>
  <c r="U147" i="100"/>
  <c r="T147" i="100"/>
  <c r="S147" i="100"/>
  <c r="R147" i="100"/>
  <c r="Q147" i="100"/>
  <c r="P147" i="100"/>
  <c r="O147" i="100"/>
  <c r="N147" i="100"/>
  <c r="I147" i="100"/>
  <c r="H147" i="100"/>
  <c r="G147" i="100"/>
  <c r="F147" i="100"/>
  <c r="E147" i="100"/>
  <c r="D147" i="100"/>
  <c r="C147" i="100"/>
  <c r="B147" i="100"/>
  <c r="A147" i="100"/>
  <c r="AV146" i="100"/>
  <c r="AU146" i="100"/>
  <c r="AT146" i="100"/>
  <c r="AS146" i="100"/>
  <c r="AR146" i="100"/>
  <c r="AQ146" i="100"/>
  <c r="AP146" i="100"/>
  <c r="AO146" i="100"/>
  <c r="AN146" i="100"/>
  <c r="AM146" i="100"/>
  <c r="AL146" i="100"/>
  <c r="AK146" i="100"/>
  <c r="AJ146" i="100"/>
  <c r="AI146" i="100"/>
  <c r="AH146" i="100"/>
  <c r="AG146" i="100"/>
  <c r="AF146" i="100"/>
  <c r="AE146" i="100"/>
  <c r="AD146" i="100"/>
  <c r="AC146" i="100"/>
  <c r="AB146" i="100"/>
  <c r="AA146" i="100"/>
  <c r="X146" i="100"/>
  <c r="W146" i="100"/>
  <c r="U146" i="100"/>
  <c r="T146" i="100"/>
  <c r="T140" i="100" s="1"/>
  <c r="T139" i="100" s="1"/>
  <c r="S146" i="100"/>
  <c r="R146" i="100"/>
  <c r="Q146" i="100"/>
  <c r="P146" i="100"/>
  <c r="O146" i="100"/>
  <c r="N146" i="100"/>
  <c r="I146" i="100"/>
  <c r="H146" i="100"/>
  <c r="G146" i="100"/>
  <c r="F146" i="100"/>
  <c r="E146" i="100"/>
  <c r="D146" i="100"/>
  <c r="C146" i="100"/>
  <c r="B146" i="100"/>
  <c r="A146" i="100"/>
  <c r="AV145" i="100"/>
  <c r="AU145" i="100"/>
  <c r="AT145" i="100"/>
  <c r="AS145" i="100"/>
  <c r="AR145" i="100"/>
  <c r="AR140" i="100" s="1"/>
  <c r="AQ145" i="100"/>
  <c r="AP145" i="100"/>
  <c r="AO145" i="100"/>
  <c r="AN145" i="100"/>
  <c r="AN140" i="100" s="1"/>
  <c r="AN139" i="100" s="1"/>
  <c r="AM145" i="100"/>
  <c r="AL145" i="100"/>
  <c r="AK145" i="100"/>
  <c r="AJ145" i="100"/>
  <c r="AJ140" i="100" s="1"/>
  <c r="AI145" i="100"/>
  <c r="AH145" i="100"/>
  <c r="AG145" i="100"/>
  <c r="AF145" i="100"/>
  <c r="AF140" i="100" s="1"/>
  <c r="AF139" i="100" s="1"/>
  <c r="AE145" i="100"/>
  <c r="AD145" i="100"/>
  <c r="AC145" i="100"/>
  <c r="AB145" i="100"/>
  <c r="AA145" i="100"/>
  <c r="X145" i="100"/>
  <c r="W145" i="100"/>
  <c r="U145" i="100"/>
  <c r="T145" i="100"/>
  <c r="S145" i="100"/>
  <c r="R145" i="100"/>
  <c r="Q145" i="100"/>
  <c r="P145" i="100"/>
  <c r="O145" i="100"/>
  <c r="N145" i="100"/>
  <c r="I145" i="100"/>
  <c r="H145" i="100"/>
  <c r="G145" i="100"/>
  <c r="F145" i="100"/>
  <c r="E145" i="100"/>
  <c r="D145" i="100"/>
  <c r="C145" i="100"/>
  <c r="B145" i="100"/>
  <c r="A145" i="100"/>
  <c r="AV144" i="100"/>
  <c r="AU144" i="100"/>
  <c r="AT144" i="100"/>
  <c r="AS144" i="100"/>
  <c r="AR144" i="100"/>
  <c r="AQ144" i="100"/>
  <c r="AP144" i="100"/>
  <c r="AO144" i="100"/>
  <c r="AN144" i="100"/>
  <c r="AM144" i="100"/>
  <c r="AL144" i="100"/>
  <c r="AK144" i="100"/>
  <c r="AJ144" i="100"/>
  <c r="AI144" i="100"/>
  <c r="AH144" i="100"/>
  <c r="AG144" i="100"/>
  <c r="AF144" i="100"/>
  <c r="AE144" i="100"/>
  <c r="AD144" i="100"/>
  <c r="AC144" i="100"/>
  <c r="AB144" i="100"/>
  <c r="AA144" i="100"/>
  <c r="Y144" i="100"/>
  <c r="X144" i="100"/>
  <c r="W144" i="100"/>
  <c r="U144" i="100"/>
  <c r="T144" i="100"/>
  <c r="S144" i="100"/>
  <c r="R144" i="100"/>
  <c r="Q144" i="100"/>
  <c r="P144" i="100"/>
  <c r="O144" i="100"/>
  <c r="N144" i="100"/>
  <c r="I144" i="100"/>
  <c r="H144" i="100"/>
  <c r="G144" i="100"/>
  <c r="F144" i="100"/>
  <c r="E144" i="100"/>
  <c r="D144" i="100"/>
  <c r="C144" i="100"/>
  <c r="B144" i="100"/>
  <c r="A144" i="100"/>
  <c r="AV143" i="100"/>
  <c r="AU143" i="100"/>
  <c r="AT143" i="100"/>
  <c r="AS143" i="100"/>
  <c r="AR143" i="100"/>
  <c r="AQ143" i="100"/>
  <c r="AP143" i="100"/>
  <c r="AO143" i="100"/>
  <c r="AN143" i="100"/>
  <c r="AM143" i="100"/>
  <c r="AL143" i="100"/>
  <c r="AK143" i="100"/>
  <c r="AJ143" i="100"/>
  <c r="AI143" i="100"/>
  <c r="AH143" i="100"/>
  <c r="AG143" i="100"/>
  <c r="AF143" i="100"/>
  <c r="AE143" i="100"/>
  <c r="AD143" i="100"/>
  <c r="AC143" i="100"/>
  <c r="AB143" i="100"/>
  <c r="AA143" i="100"/>
  <c r="Y143" i="100"/>
  <c r="X143" i="100"/>
  <c r="W143" i="100"/>
  <c r="U143" i="100"/>
  <c r="T143" i="100"/>
  <c r="S143" i="100"/>
  <c r="R143" i="100"/>
  <c r="Q143" i="100"/>
  <c r="P143" i="100"/>
  <c r="O143" i="100"/>
  <c r="N143" i="100"/>
  <c r="I143" i="100"/>
  <c r="H143" i="100"/>
  <c r="G143" i="100"/>
  <c r="F143" i="100"/>
  <c r="E143" i="100"/>
  <c r="D143" i="100"/>
  <c r="C143" i="100"/>
  <c r="B143" i="100"/>
  <c r="A143" i="100"/>
  <c r="AV142" i="100"/>
  <c r="AU142" i="100"/>
  <c r="AT142" i="100"/>
  <c r="AS142" i="100"/>
  <c r="AR142" i="100"/>
  <c r="AQ142" i="100"/>
  <c r="AP142" i="100"/>
  <c r="AO142" i="100"/>
  <c r="AN142" i="100"/>
  <c r="AM142" i="100"/>
  <c r="AL142" i="100"/>
  <c r="AK142" i="100"/>
  <c r="AJ142" i="100"/>
  <c r="AI142" i="100"/>
  <c r="AH142" i="100"/>
  <c r="AG142" i="100"/>
  <c r="AG140" i="100" s="1"/>
  <c r="AG139" i="100" s="1"/>
  <c r="AF142" i="100"/>
  <c r="AE142" i="100"/>
  <c r="AD142" i="100"/>
  <c r="AC142" i="100"/>
  <c r="AC140" i="100" s="1"/>
  <c r="AC139" i="100" s="1"/>
  <c r="AB142" i="100"/>
  <c r="AA142" i="100"/>
  <c r="Y142" i="100"/>
  <c r="X142" i="100"/>
  <c r="X140" i="100" s="1"/>
  <c r="X139" i="100" s="1"/>
  <c r="W142" i="100"/>
  <c r="U142" i="100"/>
  <c r="T142" i="100"/>
  <c r="S142" i="100"/>
  <c r="R142" i="100"/>
  <c r="Q142" i="100"/>
  <c r="P142" i="100"/>
  <c r="O142" i="100"/>
  <c r="N142" i="100"/>
  <c r="I142" i="100"/>
  <c r="H142" i="100"/>
  <c r="G142" i="100"/>
  <c r="F142" i="100"/>
  <c r="E142" i="100"/>
  <c r="D142" i="100"/>
  <c r="C142" i="100"/>
  <c r="B142" i="100"/>
  <c r="A142" i="100"/>
  <c r="AV141" i="100"/>
  <c r="AU141" i="100"/>
  <c r="AT141" i="100"/>
  <c r="AS141" i="100"/>
  <c r="AR141" i="100"/>
  <c r="AQ141" i="100"/>
  <c r="AQ140" i="100" s="1"/>
  <c r="AQ139" i="100" s="1"/>
  <c r="AP141" i="100"/>
  <c r="AO141" i="100"/>
  <c r="AN141" i="100"/>
  <c r="AM141" i="100"/>
  <c r="AM140" i="100" s="1"/>
  <c r="AM139" i="100" s="1"/>
  <c r="AL141" i="100"/>
  <c r="AK141" i="100"/>
  <c r="AJ141" i="100"/>
  <c r="AI141" i="100"/>
  <c r="AH141" i="100"/>
  <c r="AG141" i="100"/>
  <c r="AF141" i="100"/>
  <c r="AE141" i="100"/>
  <c r="AE140" i="100" s="1"/>
  <c r="AE139" i="100" s="1"/>
  <c r="AD141" i="100"/>
  <c r="AC141" i="100"/>
  <c r="AB141" i="100"/>
  <c r="AA141" i="100"/>
  <c r="Y141" i="100"/>
  <c r="X141" i="100"/>
  <c r="W141" i="100"/>
  <c r="U141" i="100"/>
  <c r="U140" i="100" s="1"/>
  <c r="U139" i="100" s="1"/>
  <c r="T141" i="100"/>
  <c r="S141" i="100"/>
  <c r="R141" i="100"/>
  <c r="Q141" i="100"/>
  <c r="P141" i="100"/>
  <c r="O141" i="100"/>
  <c r="N141" i="100"/>
  <c r="I141" i="100"/>
  <c r="H141" i="100"/>
  <c r="G141" i="100"/>
  <c r="F141" i="100"/>
  <c r="E141" i="100"/>
  <c r="D141" i="100"/>
  <c r="C141" i="100"/>
  <c r="B141" i="100"/>
  <c r="A141" i="100"/>
  <c r="Z140" i="100"/>
  <c r="S140" i="100"/>
  <c r="S139" i="100" s="1"/>
  <c r="M140" i="100"/>
  <c r="L140" i="100"/>
  <c r="AR139" i="100"/>
  <c r="AJ139" i="100"/>
  <c r="Z139" i="100"/>
  <c r="L139" i="100"/>
  <c r="K139" i="100"/>
  <c r="AV138" i="100"/>
  <c r="AU138" i="100"/>
  <c r="AT138" i="100"/>
  <c r="AS138" i="100"/>
  <c r="AS137" i="100" s="1"/>
  <c r="AS136" i="100" s="1"/>
  <c r="AR138" i="100"/>
  <c r="AQ138" i="100"/>
  <c r="AQ137" i="100" s="1"/>
  <c r="AQ136" i="100" s="1"/>
  <c r="AP138" i="100"/>
  <c r="AO138" i="100"/>
  <c r="AO137" i="100" s="1"/>
  <c r="AO136" i="100" s="1"/>
  <c r="AN138" i="100"/>
  <c r="AM138" i="100"/>
  <c r="AM137" i="100" s="1"/>
  <c r="AM136" i="100" s="1"/>
  <c r="AL138" i="100"/>
  <c r="AK138" i="100"/>
  <c r="AK137" i="100" s="1"/>
  <c r="AK136" i="100" s="1"/>
  <c r="AJ138" i="100"/>
  <c r="AI138" i="100"/>
  <c r="AH138" i="100"/>
  <c r="AG138" i="100"/>
  <c r="AG137" i="100" s="1"/>
  <c r="AG136" i="100" s="1"/>
  <c r="AF138" i="100"/>
  <c r="AE138" i="100"/>
  <c r="AE137" i="100" s="1"/>
  <c r="AD138" i="100"/>
  <c r="AC138" i="100"/>
  <c r="AC137" i="100" s="1"/>
  <c r="AC136" i="100" s="1"/>
  <c r="AB138" i="100"/>
  <c r="AA138" i="100"/>
  <c r="X138" i="100"/>
  <c r="W138" i="100"/>
  <c r="W137" i="100" s="1"/>
  <c r="W136" i="100" s="1"/>
  <c r="U138" i="100"/>
  <c r="T138" i="100"/>
  <c r="T137" i="100" s="1"/>
  <c r="S138" i="100"/>
  <c r="R138" i="100"/>
  <c r="R137" i="100" s="1"/>
  <c r="R136" i="100" s="1"/>
  <c r="Q138" i="100"/>
  <c r="P138" i="100"/>
  <c r="O138" i="100"/>
  <c r="I138" i="100"/>
  <c r="H138" i="100"/>
  <c r="G138" i="100"/>
  <c r="F138" i="100"/>
  <c r="E138" i="100"/>
  <c r="D138" i="100"/>
  <c r="C138" i="100"/>
  <c r="B138" i="100"/>
  <c r="A138" i="100"/>
  <c r="AV137" i="100"/>
  <c r="AT137" i="100"/>
  <c r="AT136" i="100" s="1"/>
  <c r="AR137" i="100"/>
  <c r="AR136" i="100" s="1"/>
  <c r="AP137" i="100"/>
  <c r="AP136" i="100" s="1"/>
  <c r="AN137" i="100"/>
  <c r="AN136" i="100" s="1"/>
  <c r="AL137" i="100"/>
  <c r="AL136" i="100" s="1"/>
  <c r="AJ137" i="100"/>
  <c r="AJ136" i="100" s="1"/>
  <c r="AF137" i="100"/>
  <c r="AF136" i="100" s="1"/>
  <c r="AD137" i="100"/>
  <c r="AD136" i="100" s="1"/>
  <c r="AB137" i="100"/>
  <c r="AB136" i="100" s="1"/>
  <c r="Z137" i="100"/>
  <c r="X137" i="100"/>
  <c r="X136" i="100" s="1"/>
  <c r="U137" i="100"/>
  <c r="U136" i="100" s="1"/>
  <c r="S137" i="100"/>
  <c r="S136" i="100" s="1"/>
  <c r="M137" i="100"/>
  <c r="L137" i="100"/>
  <c r="AV136" i="100"/>
  <c r="AE136" i="100"/>
  <c r="Z136" i="100"/>
  <c r="T136" i="100"/>
  <c r="L136" i="100"/>
  <c r="K136" i="100"/>
  <c r="AV135" i="100"/>
  <c r="AU135" i="100"/>
  <c r="AT135" i="100"/>
  <c r="AS135" i="100"/>
  <c r="AR135" i="100"/>
  <c r="AQ135" i="100"/>
  <c r="AP135" i="100"/>
  <c r="AO135" i="100"/>
  <c r="AN135" i="100"/>
  <c r="AM135" i="100"/>
  <c r="AL135" i="100"/>
  <c r="AK135" i="100"/>
  <c r="AJ135" i="100"/>
  <c r="AI135" i="100"/>
  <c r="AH135" i="100"/>
  <c r="AG135" i="100"/>
  <c r="AF135" i="100"/>
  <c r="AE135" i="100"/>
  <c r="AD135" i="100"/>
  <c r="AC135" i="100"/>
  <c r="AA135" i="100"/>
  <c r="Y135" i="100"/>
  <c r="X135" i="100"/>
  <c r="W135" i="100"/>
  <c r="U135" i="100"/>
  <c r="U132" i="100" s="1"/>
  <c r="U131" i="100" s="1"/>
  <c r="T135" i="100"/>
  <c r="S135" i="100"/>
  <c r="R135" i="100"/>
  <c r="Q135" i="100"/>
  <c r="P135" i="100"/>
  <c r="O135" i="100"/>
  <c r="N135" i="100"/>
  <c r="I135" i="100"/>
  <c r="H135" i="100"/>
  <c r="G135" i="100"/>
  <c r="F135" i="100"/>
  <c r="E135" i="100"/>
  <c r="D135" i="100"/>
  <c r="C135" i="100"/>
  <c r="B135" i="100"/>
  <c r="A135" i="100"/>
  <c r="AV134" i="100"/>
  <c r="AU134" i="100"/>
  <c r="AT134" i="100"/>
  <c r="AS134" i="100"/>
  <c r="AS132" i="100" s="1"/>
  <c r="AS131" i="100" s="1"/>
  <c r="AR134" i="100"/>
  <c r="AQ134" i="100"/>
  <c r="AP134" i="100"/>
  <c r="AO134" i="100"/>
  <c r="AO132" i="100" s="1"/>
  <c r="AO131" i="100" s="1"/>
  <c r="AN134" i="100"/>
  <c r="AM134" i="100"/>
  <c r="AL134" i="100"/>
  <c r="AK134" i="100"/>
  <c r="AK132" i="100" s="1"/>
  <c r="AK131" i="100" s="1"/>
  <c r="AJ134" i="100"/>
  <c r="AI134" i="100"/>
  <c r="AH134" i="100"/>
  <c r="AG134" i="100"/>
  <c r="AG132" i="100" s="1"/>
  <c r="AG131" i="100" s="1"/>
  <c r="AF134" i="100"/>
  <c r="AE134" i="100"/>
  <c r="AD134" i="100"/>
  <c r="AC134" i="100"/>
  <c r="AC132" i="100" s="1"/>
  <c r="AC131" i="100" s="1"/>
  <c r="AB134" i="100"/>
  <c r="AA134" i="100"/>
  <c r="X134" i="100"/>
  <c r="W134" i="100"/>
  <c r="W132" i="100" s="1"/>
  <c r="W131" i="100" s="1"/>
  <c r="U134" i="100"/>
  <c r="T134" i="100"/>
  <c r="T132" i="100" s="1"/>
  <c r="S134" i="100"/>
  <c r="R134" i="100"/>
  <c r="R132" i="100" s="1"/>
  <c r="R131" i="100" s="1"/>
  <c r="Q134" i="100"/>
  <c r="P134" i="100"/>
  <c r="O134" i="100"/>
  <c r="N134" i="100"/>
  <c r="I134" i="100"/>
  <c r="H134" i="100"/>
  <c r="G134" i="100"/>
  <c r="F134" i="100"/>
  <c r="E134" i="100"/>
  <c r="D134" i="100"/>
  <c r="C134" i="100"/>
  <c r="B134" i="100"/>
  <c r="A134" i="100"/>
  <c r="AV133" i="100"/>
  <c r="AU133" i="100"/>
  <c r="AT133" i="100"/>
  <c r="AT132" i="100" s="1"/>
  <c r="AT131" i="100" s="1"/>
  <c r="AS133" i="100"/>
  <c r="AR133" i="100"/>
  <c r="AR132" i="100" s="1"/>
  <c r="AR131" i="100" s="1"/>
  <c r="AQ133" i="100"/>
  <c r="AP133" i="100"/>
  <c r="AP132" i="100" s="1"/>
  <c r="AP131" i="100" s="1"/>
  <c r="AO133" i="100"/>
  <c r="AN133" i="100"/>
  <c r="AN132" i="100" s="1"/>
  <c r="AN131" i="100" s="1"/>
  <c r="AM133" i="100"/>
  <c r="AL133" i="100"/>
  <c r="AL132" i="100" s="1"/>
  <c r="AK133" i="100"/>
  <c r="AJ133" i="100"/>
  <c r="AI133" i="100"/>
  <c r="AH133" i="100"/>
  <c r="AG133" i="100"/>
  <c r="AF133" i="100"/>
  <c r="AE133" i="100"/>
  <c r="AD133" i="100"/>
  <c r="AD132" i="100" s="1"/>
  <c r="AD131" i="100" s="1"/>
  <c r="AC133" i="100"/>
  <c r="AA133" i="100"/>
  <c r="Z133" i="100"/>
  <c r="X133" i="100"/>
  <c r="X132" i="100" s="1"/>
  <c r="X131" i="100" s="1"/>
  <c r="W133" i="100"/>
  <c r="U133" i="100"/>
  <c r="T133" i="100"/>
  <c r="S133" i="100"/>
  <c r="S132" i="100" s="1"/>
  <c r="S131" i="100" s="1"/>
  <c r="R133" i="100"/>
  <c r="Q133" i="100"/>
  <c r="P133" i="100"/>
  <c r="O133" i="100"/>
  <c r="N133" i="100"/>
  <c r="I133" i="100"/>
  <c r="H133" i="100"/>
  <c r="G133" i="100"/>
  <c r="F133" i="100"/>
  <c r="E133" i="100"/>
  <c r="D133" i="100"/>
  <c r="C133" i="100"/>
  <c r="B133" i="100"/>
  <c r="A133" i="100"/>
  <c r="AQ132" i="100"/>
  <c r="AQ131" i="100" s="1"/>
  <c r="AM132" i="100"/>
  <c r="AM131" i="100" s="1"/>
  <c r="AE132" i="100"/>
  <c r="AE131" i="100" s="1"/>
  <c r="Z132" i="100"/>
  <c r="M132" i="100"/>
  <c r="L132" i="100"/>
  <c r="AL131" i="100"/>
  <c r="Z131" i="100"/>
  <c r="T131" i="100"/>
  <c r="L131" i="100"/>
  <c r="K131" i="100"/>
  <c r="AV130" i="100"/>
  <c r="AU130" i="100"/>
  <c r="AT130" i="100"/>
  <c r="AS130" i="100"/>
  <c r="AS129" i="100" s="1"/>
  <c r="AS128" i="100" s="1"/>
  <c r="AR130" i="100"/>
  <c r="AQ130" i="100"/>
  <c r="AQ129" i="100" s="1"/>
  <c r="AQ128" i="100" s="1"/>
  <c r="AP130" i="100"/>
  <c r="AO130" i="100"/>
  <c r="AO129" i="100" s="1"/>
  <c r="AO128" i="100" s="1"/>
  <c r="AN130" i="100"/>
  <c r="AM130" i="100"/>
  <c r="AM129" i="100" s="1"/>
  <c r="AM128" i="100" s="1"/>
  <c r="AL130" i="100"/>
  <c r="AK130" i="100"/>
  <c r="AK129" i="100" s="1"/>
  <c r="AK128" i="100" s="1"/>
  <c r="AJ130" i="100"/>
  <c r="AI130" i="100"/>
  <c r="AH130" i="100"/>
  <c r="AG130" i="100"/>
  <c r="AG129" i="100" s="1"/>
  <c r="AG128" i="100" s="1"/>
  <c r="AF130" i="100"/>
  <c r="AE130" i="100"/>
  <c r="AE129" i="100" s="1"/>
  <c r="AE128" i="100" s="1"/>
  <c r="AD130" i="100"/>
  <c r="AC130" i="100"/>
  <c r="AC129" i="100" s="1"/>
  <c r="AC128" i="100" s="1"/>
  <c r="AB130" i="100"/>
  <c r="AA130" i="100"/>
  <c r="X130" i="100"/>
  <c r="W130" i="100"/>
  <c r="W129" i="100" s="1"/>
  <c r="W128" i="100" s="1"/>
  <c r="U130" i="100"/>
  <c r="T130" i="100"/>
  <c r="T129" i="100" s="1"/>
  <c r="T128" i="100" s="1"/>
  <c r="S130" i="100"/>
  <c r="R130" i="100"/>
  <c r="R129" i="100" s="1"/>
  <c r="R128" i="100" s="1"/>
  <c r="Q130" i="100"/>
  <c r="P130" i="100"/>
  <c r="O130" i="100"/>
  <c r="I130" i="100"/>
  <c r="H130" i="100"/>
  <c r="G130" i="100"/>
  <c r="F130" i="100"/>
  <c r="E130" i="100"/>
  <c r="D130" i="100"/>
  <c r="C130" i="100"/>
  <c r="B130" i="100"/>
  <c r="A130" i="100"/>
  <c r="AV129" i="100"/>
  <c r="AT129" i="100"/>
  <c r="AR129" i="100"/>
  <c r="AR128" i="100" s="1"/>
  <c r="AP129" i="100"/>
  <c r="AN129" i="100"/>
  <c r="AL129" i="100"/>
  <c r="AJ129" i="100"/>
  <c r="AJ128" i="100" s="1"/>
  <c r="AF129" i="100"/>
  <c r="AD129" i="100"/>
  <c r="AB129" i="100"/>
  <c r="Z129" i="100"/>
  <c r="X129" i="100"/>
  <c r="X128" i="100" s="1"/>
  <c r="U129" i="100"/>
  <c r="S129" i="100"/>
  <c r="M129" i="100"/>
  <c r="L129" i="100"/>
  <c r="AV128" i="100"/>
  <c r="AU128" i="100"/>
  <c r="AT128" i="100"/>
  <c r="AP128" i="100"/>
  <c r="AN128" i="100"/>
  <c r="AL128" i="100"/>
  <c r="AF128" i="100"/>
  <c r="AD128" i="100"/>
  <c r="AB128" i="100"/>
  <c r="Z128" i="100"/>
  <c r="U128" i="100"/>
  <c r="S128" i="100"/>
  <c r="L128" i="100"/>
  <c r="K128" i="100"/>
  <c r="AV127" i="100"/>
  <c r="AU127" i="100"/>
  <c r="AT127" i="100"/>
  <c r="AS127" i="100"/>
  <c r="AR127" i="100"/>
  <c r="AR122" i="100" s="1"/>
  <c r="AR121" i="100" s="1"/>
  <c r="AQ127" i="100"/>
  <c r="AP127" i="100"/>
  <c r="AO127" i="100"/>
  <c r="AN127" i="100"/>
  <c r="AN122" i="100" s="1"/>
  <c r="AN121" i="100" s="1"/>
  <c r="AM127" i="100"/>
  <c r="AL127" i="100"/>
  <c r="AK127" i="100"/>
  <c r="AJ127" i="100"/>
  <c r="AJ122" i="100" s="1"/>
  <c r="AJ121" i="100" s="1"/>
  <c r="AI127" i="100"/>
  <c r="AH127" i="100"/>
  <c r="AG127" i="100"/>
  <c r="AF127" i="100"/>
  <c r="AF122" i="100" s="1"/>
  <c r="AF121" i="100" s="1"/>
  <c r="AE127" i="100"/>
  <c r="AD127" i="100"/>
  <c r="AC127" i="100"/>
  <c r="AB127" i="100"/>
  <c r="AA127" i="100"/>
  <c r="X127" i="100"/>
  <c r="X122" i="100" s="1"/>
  <c r="X121" i="100" s="1"/>
  <c r="W127" i="100"/>
  <c r="U127" i="100"/>
  <c r="U122" i="100" s="1"/>
  <c r="U121" i="100" s="1"/>
  <c r="T127" i="100"/>
  <c r="S127" i="100"/>
  <c r="R127" i="100"/>
  <c r="Q127" i="100"/>
  <c r="P127" i="100"/>
  <c r="O127" i="100"/>
  <c r="N127" i="100"/>
  <c r="I127" i="100"/>
  <c r="H127" i="100"/>
  <c r="G127" i="100"/>
  <c r="F127" i="100"/>
  <c r="E127" i="100"/>
  <c r="D127" i="100"/>
  <c r="C127" i="100"/>
  <c r="B127" i="100"/>
  <c r="A127" i="100"/>
  <c r="AV126" i="100"/>
  <c r="AU126" i="100"/>
  <c r="AT126" i="100"/>
  <c r="AS126" i="100"/>
  <c r="AR126" i="100"/>
  <c r="AQ126" i="100"/>
  <c r="AP126" i="100"/>
  <c r="AO126" i="100"/>
  <c r="AN126" i="100"/>
  <c r="AM126" i="100"/>
  <c r="AL126" i="100"/>
  <c r="AK126" i="100"/>
  <c r="AJ126" i="100"/>
  <c r="AI126" i="100"/>
  <c r="AH126" i="100"/>
  <c r="AG126" i="100"/>
  <c r="AF126" i="100"/>
  <c r="AE126" i="100"/>
  <c r="AD126" i="100"/>
  <c r="AC126" i="100"/>
  <c r="AB126" i="100"/>
  <c r="AA126" i="100"/>
  <c r="X126" i="100"/>
  <c r="W126" i="100"/>
  <c r="U126" i="100"/>
  <c r="S126" i="100"/>
  <c r="R126" i="100"/>
  <c r="Q126" i="100"/>
  <c r="P126" i="100"/>
  <c r="O126" i="100"/>
  <c r="N126" i="100"/>
  <c r="I126" i="100"/>
  <c r="H126" i="100"/>
  <c r="G126" i="100"/>
  <c r="F126" i="100"/>
  <c r="E126" i="100"/>
  <c r="D126" i="100"/>
  <c r="C126" i="100"/>
  <c r="B126" i="100"/>
  <c r="A126" i="100"/>
  <c r="AV125" i="100"/>
  <c r="AU125" i="100"/>
  <c r="AT125" i="100"/>
  <c r="AS125" i="100"/>
  <c r="AR125" i="100"/>
  <c r="AQ125" i="100"/>
  <c r="AP125" i="100"/>
  <c r="AO125" i="100"/>
  <c r="AN125" i="100"/>
  <c r="AM125" i="100"/>
  <c r="AL125" i="100"/>
  <c r="AK125" i="100"/>
  <c r="AJ125" i="100"/>
  <c r="AI125" i="100"/>
  <c r="AH125" i="100"/>
  <c r="AG125" i="100"/>
  <c r="AF125" i="100"/>
  <c r="AE125" i="100"/>
  <c r="AD125" i="100"/>
  <c r="AC125" i="100"/>
  <c r="AB125" i="100"/>
  <c r="AA125" i="100"/>
  <c r="X125" i="100"/>
  <c r="W125" i="100"/>
  <c r="U125" i="100"/>
  <c r="S125" i="100"/>
  <c r="R125" i="100"/>
  <c r="Q125" i="100"/>
  <c r="P125" i="100"/>
  <c r="O125" i="100"/>
  <c r="N125" i="100"/>
  <c r="I125" i="100"/>
  <c r="H125" i="100"/>
  <c r="G125" i="100"/>
  <c r="F125" i="100"/>
  <c r="E125" i="100"/>
  <c r="D125" i="100"/>
  <c r="C125" i="100"/>
  <c r="B125" i="100"/>
  <c r="A125" i="100"/>
  <c r="AV124" i="100"/>
  <c r="AU124" i="100"/>
  <c r="AT124" i="100"/>
  <c r="AS124" i="100"/>
  <c r="AS122" i="100" s="1"/>
  <c r="AS121" i="100" s="1"/>
  <c r="AR124" i="100"/>
  <c r="AQ124" i="100"/>
  <c r="AQ122" i="100" s="1"/>
  <c r="AQ121" i="100" s="1"/>
  <c r="AP124" i="100"/>
  <c r="AO124" i="100"/>
  <c r="AO122" i="100" s="1"/>
  <c r="AO121" i="100" s="1"/>
  <c r="AN124" i="100"/>
  <c r="AM124" i="100"/>
  <c r="AM122" i="100" s="1"/>
  <c r="AM121" i="100" s="1"/>
  <c r="AL124" i="100"/>
  <c r="AK124" i="100"/>
  <c r="AK122" i="100" s="1"/>
  <c r="AK121" i="100" s="1"/>
  <c r="AJ124" i="100"/>
  <c r="AI124" i="100"/>
  <c r="AH124" i="100"/>
  <c r="AG124" i="100"/>
  <c r="AG122" i="100" s="1"/>
  <c r="AG121" i="100" s="1"/>
  <c r="AF124" i="100"/>
  <c r="AE124" i="100"/>
  <c r="AE122" i="100" s="1"/>
  <c r="AE121" i="100" s="1"/>
  <c r="AD124" i="100"/>
  <c r="AC124" i="100"/>
  <c r="AC122" i="100" s="1"/>
  <c r="AC121" i="100" s="1"/>
  <c r="AB124" i="100"/>
  <c r="AA124" i="100"/>
  <c r="X124" i="100"/>
  <c r="W124" i="100"/>
  <c r="W122" i="100" s="1"/>
  <c r="W121" i="100" s="1"/>
  <c r="U124" i="100"/>
  <c r="T124" i="100"/>
  <c r="S124" i="100"/>
  <c r="R124" i="100"/>
  <c r="Q124" i="100"/>
  <c r="P124" i="100"/>
  <c r="O124" i="100"/>
  <c r="N124" i="100"/>
  <c r="I124" i="100"/>
  <c r="H124" i="100"/>
  <c r="G124" i="100"/>
  <c r="F124" i="100"/>
  <c r="E124" i="100"/>
  <c r="D124" i="100"/>
  <c r="C124" i="100"/>
  <c r="B124" i="100"/>
  <c r="A124" i="100"/>
  <c r="AV123" i="100"/>
  <c r="AU123" i="100"/>
  <c r="AT123" i="100"/>
  <c r="AS123" i="100"/>
  <c r="AR123" i="100"/>
  <c r="AQ123" i="100"/>
  <c r="AP123" i="100"/>
  <c r="AO123" i="100"/>
  <c r="AN123" i="100"/>
  <c r="AM123" i="100"/>
  <c r="AL123" i="100"/>
  <c r="AL122" i="100" s="1"/>
  <c r="AL121" i="100" s="1"/>
  <c r="AK123" i="100"/>
  <c r="AJ123" i="100"/>
  <c r="AI123" i="100"/>
  <c r="AH123" i="100"/>
  <c r="AG123" i="100"/>
  <c r="AF123" i="100"/>
  <c r="AE123" i="100"/>
  <c r="AD123" i="100"/>
  <c r="AD122" i="100" s="1"/>
  <c r="AD121" i="100" s="1"/>
  <c r="AC123" i="100"/>
  <c r="AB123" i="100"/>
  <c r="AA123" i="100"/>
  <c r="Y123" i="100"/>
  <c r="X123" i="100"/>
  <c r="W123" i="100"/>
  <c r="U123" i="100"/>
  <c r="T123" i="100"/>
  <c r="S123" i="100"/>
  <c r="R123" i="100"/>
  <c r="Q123" i="100"/>
  <c r="P123" i="100"/>
  <c r="O123" i="100"/>
  <c r="N123" i="100"/>
  <c r="I123" i="100"/>
  <c r="H123" i="100"/>
  <c r="G123" i="100"/>
  <c r="F123" i="100"/>
  <c r="E123" i="100"/>
  <c r="D123" i="100"/>
  <c r="C123" i="100"/>
  <c r="B123" i="100"/>
  <c r="A123" i="100"/>
  <c r="AT122" i="100"/>
  <c r="AP122" i="100"/>
  <c r="AB122" i="100"/>
  <c r="S122" i="100"/>
  <c r="M122" i="100"/>
  <c r="L122" i="100"/>
  <c r="AT121" i="100"/>
  <c r="AP121" i="100"/>
  <c r="AB121" i="100"/>
  <c r="S121" i="100"/>
  <c r="L121" i="100"/>
  <c r="K121" i="100"/>
  <c r="AV120" i="100"/>
  <c r="AV119" i="100" s="1"/>
  <c r="AU120" i="100"/>
  <c r="AT120" i="100"/>
  <c r="AS120" i="100"/>
  <c r="AR120" i="100"/>
  <c r="AR119" i="100" s="1"/>
  <c r="AR118" i="100" s="1"/>
  <c r="AQ120" i="100"/>
  <c r="AP120" i="100"/>
  <c r="AO120" i="100"/>
  <c r="AN120" i="100"/>
  <c r="AN119" i="100" s="1"/>
  <c r="AN118" i="100" s="1"/>
  <c r="AM120" i="100"/>
  <c r="AL120" i="100"/>
  <c r="AK120" i="100"/>
  <c r="AJ120" i="100"/>
  <c r="AJ119" i="100" s="1"/>
  <c r="AJ118" i="100" s="1"/>
  <c r="AI120" i="100"/>
  <c r="AH120" i="100"/>
  <c r="AG120" i="100"/>
  <c r="AF120" i="100"/>
  <c r="AF119" i="100" s="1"/>
  <c r="AF118" i="100" s="1"/>
  <c r="AE120" i="100"/>
  <c r="AD120" i="100"/>
  <c r="AC120" i="100"/>
  <c r="AB120" i="100"/>
  <c r="AB119" i="100" s="1"/>
  <c r="AB118" i="100" s="1"/>
  <c r="AA120" i="100"/>
  <c r="Y120" i="100"/>
  <c r="X120" i="100"/>
  <c r="W120" i="100"/>
  <c r="W119" i="100" s="1"/>
  <c r="W118" i="100" s="1"/>
  <c r="U120" i="100"/>
  <c r="S120" i="100"/>
  <c r="R120" i="100"/>
  <c r="Q120" i="100"/>
  <c r="P120" i="100"/>
  <c r="O120" i="100"/>
  <c r="N120" i="100"/>
  <c r="I120" i="100"/>
  <c r="H120" i="100"/>
  <c r="G120" i="100"/>
  <c r="F120" i="100"/>
  <c r="E120" i="100"/>
  <c r="D120" i="100"/>
  <c r="C120" i="100"/>
  <c r="B120" i="100"/>
  <c r="A120" i="100"/>
  <c r="AT119" i="100"/>
  <c r="AS119" i="100"/>
  <c r="AQ119" i="100"/>
  <c r="AP119" i="100"/>
  <c r="AO119" i="100"/>
  <c r="AM119" i="100"/>
  <c r="AL119" i="100"/>
  <c r="AK119" i="100"/>
  <c r="AG119" i="100"/>
  <c r="AE119" i="100"/>
  <c r="AD119" i="100"/>
  <c r="AD118" i="100" s="1"/>
  <c r="AC119" i="100"/>
  <c r="Z119" i="100"/>
  <c r="Y119" i="100"/>
  <c r="Y118" i="100" s="1"/>
  <c r="X119" i="100"/>
  <c r="U119" i="100"/>
  <c r="S119" i="100"/>
  <c r="S118" i="100" s="1"/>
  <c r="R119" i="100"/>
  <c r="M119" i="100"/>
  <c r="L119" i="100"/>
  <c r="AV118" i="100"/>
  <c r="AU118" i="100"/>
  <c r="AT118" i="100"/>
  <c r="AS118" i="100"/>
  <c r="AQ118" i="100"/>
  <c r="AP118" i="100"/>
  <c r="AO118" i="100"/>
  <c r="AM118" i="100"/>
  <c r="AL118" i="100"/>
  <c r="AK118" i="100"/>
  <c r="AG118" i="100"/>
  <c r="AE118" i="100"/>
  <c r="AC118" i="100"/>
  <c r="AA118" i="100"/>
  <c r="Z118" i="100"/>
  <c r="X118" i="100"/>
  <c r="U118" i="100"/>
  <c r="R118" i="100"/>
  <c r="L118" i="100"/>
  <c r="K118" i="100"/>
  <c r="AV117" i="100"/>
  <c r="AU117" i="100"/>
  <c r="AT117" i="100"/>
  <c r="AS117" i="100"/>
  <c r="AR117" i="100"/>
  <c r="AQ117" i="100"/>
  <c r="AP117" i="100"/>
  <c r="AO117" i="100"/>
  <c r="AN117" i="100"/>
  <c r="AM117" i="100"/>
  <c r="AL117" i="100"/>
  <c r="AK117" i="100"/>
  <c r="AJ117" i="100"/>
  <c r="AI117" i="100"/>
  <c r="AH117" i="100"/>
  <c r="AG117" i="100"/>
  <c r="AF117" i="100"/>
  <c r="AE117" i="100"/>
  <c r="AD117" i="100"/>
  <c r="AC117" i="100"/>
  <c r="AA117" i="100"/>
  <c r="Y117" i="100"/>
  <c r="X117" i="100"/>
  <c r="W117" i="100"/>
  <c r="U117" i="100"/>
  <c r="T117" i="100"/>
  <c r="S117" i="100"/>
  <c r="R117" i="100"/>
  <c r="Q117" i="100"/>
  <c r="P117" i="100"/>
  <c r="O117" i="100"/>
  <c r="N117" i="100"/>
  <c r="I117" i="100"/>
  <c r="H117" i="100"/>
  <c r="G117" i="100"/>
  <c r="F117" i="100"/>
  <c r="E117" i="100"/>
  <c r="D117" i="100"/>
  <c r="C117" i="100"/>
  <c r="B117" i="100"/>
  <c r="A117" i="100"/>
  <c r="AV116" i="100"/>
  <c r="AT116" i="100"/>
  <c r="AS116" i="100"/>
  <c r="AR116" i="100"/>
  <c r="AQ116" i="100"/>
  <c r="AP116" i="100"/>
  <c r="AO116" i="100"/>
  <c r="AN116" i="100"/>
  <c r="AM116" i="100"/>
  <c r="AL116" i="100"/>
  <c r="AK116" i="100"/>
  <c r="AJ116" i="100"/>
  <c r="AI116" i="100"/>
  <c r="AH116" i="100"/>
  <c r="AG116" i="100"/>
  <c r="AF116" i="100"/>
  <c r="AE116" i="100"/>
  <c r="AD116" i="100"/>
  <c r="AC116" i="100"/>
  <c r="Z116" i="100"/>
  <c r="Y116" i="100"/>
  <c r="X116" i="100"/>
  <c r="W116" i="100"/>
  <c r="U116" i="100"/>
  <c r="T116" i="100"/>
  <c r="S116" i="100"/>
  <c r="R116" i="100"/>
  <c r="M116" i="100"/>
  <c r="L116" i="100"/>
  <c r="AV115" i="100"/>
  <c r="AU115" i="100"/>
  <c r="AT115" i="100"/>
  <c r="AS115" i="100"/>
  <c r="AR115" i="100"/>
  <c r="AQ115" i="100"/>
  <c r="AP115" i="100"/>
  <c r="AO115" i="100"/>
  <c r="AN115" i="100"/>
  <c r="AM115" i="100"/>
  <c r="AL115" i="100"/>
  <c r="AK115" i="100"/>
  <c r="AJ115" i="100"/>
  <c r="AI115" i="100"/>
  <c r="AH115" i="100"/>
  <c r="AG115" i="100"/>
  <c r="AF115" i="100"/>
  <c r="AE115" i="100"/>
  <c r="AD115" i="100"/>
  <c r="AC115" i="100"/>
  <c r="AA115" i="100"/>
  <c r="Z115" i="100"/>
  <c r="Z112" i="100" s="1"/>
  <c r="X115" i="100"/>
  <c r="W115" i="100"/>
  <c r="U115" i="100"/>
  <c r="T115" i="100"/>
  <c r="T112" i="100" s="1"/>
  <c r="S115" i="100"/>
  <c r="R115" i="100"/>
  <c r="Q115" i="100"/>
  <c r="P115" i="100"/>
  <c r="O115" i="100"/>
  <c r="N115" i="100"/>
  <c r="I115" i="100"/>
  <c r="H115" i="100"/>
  <c r="G115" i="100"/>
  <c r="F115" i="100"/>
  <c r="E115" i="100"/>
  <c r="D115" i="100"/>
  <c r="C115" i="100"/>
  <c r="B115" i="100"/>
  <c r="A115" i="100"/>
  <c r="AV114" i="100"/>
  <c r="AU114" i="100"/>
  <c r="AT114" i="100"/>
  <c r="AS114" i="100"/>
  <c r="AR114" i="100"/>
  <c r="AQ114" i="100"/>
  <c r="AP114" i="100"/>
  <c r="AO114" i="100"/>
  <c r="AN114" i="100"/>
  <c r="AM114" i="100"/>
  <c r="AL114" i="100"/>
  <c r="AK114" i="100"/>
  <c r="AJ114" i="100"/>
  <c r="AI114" i="100"/>
  <c r="AH114" i="100"/>
  <c r="AG114" i="100"/>
  <c r="AF114" i="100"/>
  <c r="AF112" i="100" s="1"/>
  <c r="AE114" i="100"/>
  <c r="AD114" i="100"/>
  <c r="AC114" i="100"/>
  <c r="AB114" i="100"/>
  <c r="AA114" i="100"/>
  <c r="X114" i="100"/>
  <c r="X112" i="100" s="1"/>
  <c r="W114" i="100"/>
  <c r="U114" i="100"/>
  <c r="U112" i="100" s="1"/>
  <c r="T114" i="100"/>
  <c r="S114" i="100"/>
  <c r="S112" i="100" s="1"/>
  <c r="R114" i="100"/>
  <c r="Q114" i="100"/>
  <c r="P114" i="100"/>
  <c r="O114" i="100"/>
  <c r="N114" i="100"/>
  <c r="I114" i="100"/>
  <c r="H114" i="100"/>
  <c r="G114" i="100"/>
  <c r="F114" i="100"/>
  <c r="E114" i="100"/>
  <c r="D114" i="100"/>
  <c r="C114" i="100"/>
  <c r="B114" i="100"/>
  <c r="A114" i="100"/>
  <c r="AV113" i="100"/>
  <c r="AU113" i="100"/>
  <c r="AT113" i="100"/>
  <c r="AS113" i="100"/>
  <c r="AS112" i="100" s="1"/>
  <c r="AR113" i="100"/>
  <c r="AQ113" i="100"/>
  <c r="AQ112" i="100" s="1"/>
  <c r="AP113" i="100"/>
  <c r="AO113" i="100"/>
  <c r="AO112" i="100" s="1"/>
  <c r="AN113" i="100"/>
  <c r="AM113" i="100"/>
  <c r="AM112" i="100" s="1"/>
  <c r="AL113" i="100"/>
  <c r="AK113" i="100"/>
  <c r="AK112" i="100" s="1"/>
  <c r="AJ113" i="100"/>
  <c r="AI113" i="100"/>
  <c r="AH113" i="100"/>
  <c r="AG113" i="100"/>
  <c r="AG112" i="100" s="1"/>
  <c r="AF113" i="100"/>
  <c r="AE113" i="100"/>
  <c r="AE112" i="100" s="1"/>
  <c r="AD113" i="100"/>
  <c r="AC113" i="100"/>
  <c r="AC112" i="100" s="1"/>
  <c r="AA113" i="100"/>
  <c r="Y113" i="100"/>
  <c r="X113" i="100"/>
  <c r="W113" i="100"/>
  <c r="U113" i="100"/>
  <c r="T113" i="100"/>
  <c r="S113" i="100"/>
  <c r="R113" i="100"/>
  <c r="Q113" i="100"/>
  <c r="P113" i="100"/>
  <c r="O113" i="100"/>
  <c r="N113" i="100"/>
  <c r="I113" i="100"/>
  <c r="H113" i="100"/>
  <c r="G113" i="100"/>
  <c r="F113" i="100"/>
  <c r="E113" i="100"/>
  <c r="D113" i="100"/>
  <c r="C113" i="100"/>
  <c r="B113" i="100"/>
  <c r="A113" i="100"/>
  <c r="AT112" i="100"/>
  <c r="AR112" i="100"/>
  <c r="AP112" i="100"/>
  <c r="AN112" i="100"/>
  <c r="AL112" i="100"/>
  <c r="AJ112" i="100"/>
  <c r="AD112" i="100"/>
  <c r="W112" i="100"/>
  <c r="R112" i="100"/>
  <c r="M112" i="100"/>
  <c r="L112" i="100"/>
  <c r="AV111" i="100"/>
  <c r="AU111" i="100"/>
  <c r="AT111" i="100"/>
  <c r="AS111" i="100"/>
  <c r="AR111" i="100"/>
  <c r="AQ111" i="100"/>
  <c r="AP111" i="100"/>
  <c r="AO111" i="100"/>
  <c r="AN111" i="100"/>
  <c r="AM111" i="100"/>
  <c r="AL111" i="100"/>
  <c r="AK111" i="100"/>
  <c r="AJ111" i="100"/>
  <c r="AI111" i="100"/>
  <c r="AH111" i="100"/>
  <c r="AG111" i="100"/>
  <c r="AF111" i="100"/>
  <c r="AE111" i="100"/>
  <c r="AD111" i="100"/>
  <c r="AC111" i="100"/>
  <c r="AB111" i="100"/>
  <c r="AA111" i="100"/>
  <c r="Y111" i="100"/>
  <c r="X111" i="100"/>
  <c r="W111" i="100"/>
  <c r="U111" i="100"/>
  <c r="T111" i="100"/>
  <c r="S111" i="100"/>
  <c r="R111" i="100"/>
  <c r="Q111" i="100"/>
  <c r="P111" i="100"/>
  <c r="O111" i="100"/>
  <c r="N111" i="100"/>
  <c r="I111" i="100"/>
  <c r="H111" i="100"/>
  <c r="G111" i="100"/>
  <c r="F111" i="100"/>
  <c r="E111" i="100"/>
  <c r="D111" i="100"/>
  <c r="C111" i="100"/>
  <c r="B111" i="100"/>
  <c r="A111" i="100"/>
  <c r="AV110" i="100"/>
  <c r="AU110" i="100"/>
  <c r="AT110" i="100"/>
  <c r="AS110" i="100"/>
  <c r="AR110" i="100"/>
  <c r="AQ110" i="100"/>
  <c r="AP110" i="100"/>
  <c r="AO110" i="100"/>
  <c r="AN110" i="100"/>
  <c r="AM110" i="100"/>
  <c r="AL110" i="100"/>
  <c r="AK110" i="100"/>
  <c r="AJ110" i="100"/>
  <c r="AI110" i="100"/>
  <c r="AH110" i="100"/>
  <c r="AG110" i="100"/>
  <c r="AF110" i="100"/>
  <c r="AE110" i="100"/>
  <c r="AD110" i="100"/>
  <c r="AC110" i="100"/>
  <c r="AA110" i="100"/>
  <c r="X110" i="100"/>
  <c r="W110" i="100"/>
  <c r="U110" i="100"/>
  <c r="T110" i="100"/>
  <c r="S110" i="100"/>
  <c r="R110" i="100"/>
  <c r="Q110" i="100"/>
  <c r="P110" i="100"/>
  <c r="O110" i="100"/>
  <c r="N110" i="100"/>
  <c r="I110" i="100"/>
  <c r="H110" i="100"/>
  <c r="G110" i="100"/>
  <c r="F110" i="100"/>
  <c r="E110" i="100"/>
  <c r="D110" i="100"/>
  <c r="C110" i="100"/>
  <c r="B110" i="100"/>
  <c r="A110" i="100"/>
  <c r="AV109" i="100"/>
  <c r="AU109" i="100"/>
  <c r="AT109" i="100"/>
  <c r="AS109" i="100"/>
  <c r="AR109" i="100"/>
  <c r="AQ109" i="100"/>
  <c r="AP109" i="100"/>
  <c r="AO109" i="100"/>
  <c r="AN109" i="100"/>
  <c r="AM109" i="100"/>
  <c r="AL109" i="100"/>
  <c r="AK109" i="100"/>
  <c r="AJ109" i="100"/>
  <c r="AI109" i="100"/>
  <c r="AH109" i="100"/>
  <c r="AG109" i="100"/>
  <c r="AF109" i="100"/>
  <c r="AE109" i="100"/>
  <c r="AD109" i="100"/>
  <c r="AC109" i="100"/>
  <c r="AB109" i="100"/>
  <c r="AA109" i="100"/>
  <c r="Y109" i="100"/>
  <c r="X109" i="100"/>
  <c r="X103" i="100" s="1"/>
  <c r="W109" i="100"/>
  <c r="U109" i="100"/>
  <c r="T109" i="100"/>
  <c r="S109" i="100"/>
  <c r="S103" i="100" s="1"/>
  <c r="R109" i="100"/>
  <c r="Q109" i="100"/>
  <c r="P109" i="100"/>
  <c r="O109" i="100"/>
  <c r="N109" i="100"/>
  <c r="I109" i="100"/>
  <c r="H109" i="100"/>
  <c r="G109" i="100"/>
  <c r="F109" i="100"/>
  <c r="E109" i="100"/>
  <c r="D109" i="100"/>
  <c r="C109" i="100"/>
  <c r="B109" i="100"/>
  <c r="A109" i="100"/>
  <c r="AV108" i="100"/>
  <c r="AU108" i="100"/>
  <c r="AT108" i="100"/>
  <c r="AS108" i="100"/>
  <c r="AR108" i="100"/>
  <c r="AQ108" i="100"/>
  <c r="AP108" i="100"/>
  <c r="AO108" i="100"/>
  <c r="AN108" i="100"/>
  <c r="AM108" i="100"/>
  <c r="AL108" i="100"/>
  <c r="AK108" i="100"/>
  <c r="AJ108" i="100"/>
  <c r="AI108" i="100"/>
  <c r="AH108" i="100"/>
  <c r="AG108" i="100"/>
  <c r="AF108" i="100"/>
  <c r="AE108" i="100"/>
  <c r="AD108" i="100"/>
  <c r="AC108" i="100"/>
  <c r="AB108" i="100"/>
  <c r="AA108" i="100"/>
  <c r="X108" i="100"/>
  <c r="W108" i="100"/>
  <c r="U108" i="100"/>
  <c r="T108" i="100"/>
  <c r="S108" i="100"/>
  <c r="R108" i="100"/>
  <c r="Q108" i="100"/>
  <c r="P108" i="100"/>
  <c r="O108" i="100"/>
  <c r="N108" i="100"/>
  <c r="I108" i="100"/>
  <c r="H108" i="100"/>
  <c r="G108" i="100"/>
  <c r="F108" i="100"/>
  <c r="E108" i="100"/>
  <c r="D108" i="100"/>
  <c r="C108" i="100"/>
  <c r="B108" i="100"/>
  <c r="A108" i="100"/>
  <c r="AV107" i="100"/>
  <c r="AU107" i="100"/>
  <c r="AT107" i="100"/>
  <c r="AS107" i="100"/>
  <c r="AR107" i="100"/>
  <c r="AR103" i="100" s="1"/>
  <c r="AQ107" i="100"/>
  <c r="AP107" i="100"/>
  <c r="AO107" i="100"/>
  <c r="AN107" i="100"/>
  <c r="AN103" i="100" s="1"/>
  <c r="AM107" i="100"/>
  <c r="AL107" i="100"/>
  <c r="AK107" i="100"/>
  <c r="AJ107" i="100"/>
  <c r="AI107" i="100"/>
  <c r="AH107" i="100"/>
  <c r="AG107" i="100"/>
  <c r="AF107" i="100"/>
  <c r="AF103" i="100" s="1"/>
  <c r="AE107" i="100"/>
  <c r="AD107" i="100"/>
  <c r="AC107" i="100"/>
  <c r="AB107" i="100"/>
  <c r="AA107" i="100"/>
  <c r="X107" i="100"/>
  <c r="W107" i="100"/>
  <c r="U107" i="100"/>
  <c r="U103" i="100" s="1"/>
  <c r="T107" i="100"/>
  <c r="S107" i="100"/>
  <c r="R107" i="100"/>
  <c r="Q107" i="100"/>
  <c r="P107" i="100"/>
  <c r="O107" i="100"/>
  <c r="N107" i="100"/>
  <c r="I107" i="100"/>
  <c r="H107" i="100"/>
  <c r="G107" i="100"/>
  <c r="F107" i="100"/>
  <c r="E107" i="100"/>
  <c r="D107" i="100"/>
  <c r="C107" i="100"/>
  <c r="B107" i="100"/>
  <c r="A107" i="100"/>
  <c r="AV106" i="100"/>
  <c r="AU106" i="100"/>
  <c r="AT106" i="100"/>
  <c r="AS106" i="100"/>
  <c r="AR106" i="100"/>
  <c r="AQ106" i="100"/>
  <c r="AP106" i="100"/>
  <c r="AO106" i="100"/>
  <c r="AN106" i="100"/>
  <c r="AM106" i="100"/>
  <c r="AL106" i="100"/>
  <c r="AK106" i="100"/>
  <c r="AJ106" i="100"/>
  <c r="AI106" i="100"/>
  <c r="AH106" i="100"/>
  <c r="AG106" i="100"/>
  <c r="AG103" i="100" s="1"/>
  <c r="AF106" i="100"/>
  <c r="AE106" i="100"/>
  <c r="AD106" i="100"/>
  <c r="AC106" i="100"/>
  <c r="AC103" i="100" s="1"/>
  <c r="AB106" i="100"/>
  <c r="AA106" i="100"/>
  <c r="X106" i="100"/>
  <c r="W106" i="100"/>
  <c r="U106" i="100"/>
  <c r="T106" i="100"/>
  <c r="S106" i="100"/>
  <c r="R106" i="100"/>
  <c r="Q106" i="100"/>
  <c r="P106" i="100"/>
  <c r="O106" i="100"/>
  <c r="N106" i="100"/>
  <c r="I106" i="100"/>
  <c r="H106" i="100"/>
  <c r="G106" i="100"/>
  <c r="F106" i="100"/>
  <c r="E106" i="100"/>
  <c r="D106" i="100"/>
  <c r="C106" i="100"/>
  <c r="B106" i="100"/>
  <c r="A106" i="100"/>
  <c r="AV105" i="100"/>
  <c r="AU105" i="100"/>
  <c r="AT105" i="100"/>
  <c r="AS105" i="100"/>
  <c r="AR105" i="100"/>
  <c r="AQ105" i="100"/>
  <c r="AP105" i="100"/>
  <c r="AO105" i="100"/>
  <c r="AN105" i="100"/>
  <c r="AM105" i="100"/>
  <c r="AL105" i="100"/>
  <c r="AK105" i="100"/>
  <c r="AJ105" i="100"/>
  <c r="AI105" i="100"/>
  <c r="AH105" i="100"/>
  <c r="AG105" i="100"/>
  <c r="AF105" i="100"/>
  <c r="AE105" i="100"/>
  <c r="AD105" i="100"/>
  <c r="AC105" i="100"/>
  <c r="AA105" i="100"/>
  <c r="X105" i="100"/>
  <c r="W105" i="100"/>
  <c r="U105" i="100"/>
  <c r="T105" i="100"/>
  <c r="S105" i="100"/>
  <c r="R105" i="100"/>
  <c r="Q105" i="100"/>
  <c r="P105" i="100"/>
  <c r="O105" i="100"/>
  <c r="N105" i="100"/>
  <c r="I105" i="100"/>
  <c r="H105" i="100"/>
  <c r="G105" i="100"/>
  <c r="F105" i="100"/>
  <c r="E105" i="100"/>
  <c r="D105" i="100"/>
  <c r="C105" i="100"/>
  <c r="B105" i="100"/>
  <c r="A105" i="100"/>
  <c r="AV104" i="100"/>
  <c r="AU104" i="100"/>
  <c r="AT104" i="100"/>
  <c r="AT103" i="100" s="1"/>
  <c r="AS104" i="100"/>
  <c r="AR104" i="100"/>
  <c r="AQ104" i="100"/>
  <c r="AP104" i="100"/>
  <c r="AP103" i="100" s="1"/>
  <c r="AO104" i="100"/>
  <c r="AN104" i="100"/>
  <c r="AM104" i="100"/>
  <c r="AL104" i="100"/>
  <c r="AL103" i="100" s="1"/>
  <c r="AK104" i="100"/>
  <c r="AJ104" i="100"/>
  <c r="AI104" i="100"/>
  <c r="AH104" i="100"/>
  <c r="AG104" i="100"/>
  <c r="AF104" i="100"/>
  <c r="AE104" i="100"/>
  <c r="AD104" i="100"/>
  <c r="AD103" i="100" s="1"/>
  <c r="AC104" i="100"/>
  <c r="AA104" i="100"/>
  <c r="X104" i="100"/>
  <c r="W104" i="100"/>
  <c r="W103" i="100" s="1"/>
  <c r="U104" i="100"/>
  <c r="T104" i="100"/>
  <c r="S104" i="100"/>
  <c r="R104" i="100"/>
  <c r="R103" i="100" s="1"/>
  <c r="Q104" i="100"/>
  <c r="P104" i="100"/>
  <c r="O104" i="100"/>
  <c r="N104" i="100"/>
  <c r="I104" i="100"/>
  <c r="H104" i="100"/>
  <c r="G104" i="100"/>
  <c r="F104" i="100"/>
  <c r="E104" i="100"/>
  <c r="D104" i="100"/>
  <c r="C104" i="100"/>
  <c r="B104" i="100"/>
  <c r="A104" i="100"/>
  <c r="AJ103" i="100"/>
  <c r="M103" i="100"/>
  <c r="L103" i="100"/>
  <c r="AV102" i="100"/>
  <c r="AU102" i="100"/>
  <c r="AT102" i="100"/>
  <c r="AS102" i="100"/>
  <c r="AR102" i="100"/>
  <c r="AQ102" i="100"/>
  <c r="AP102" i="100"/>
  <c r="AO102" i="100"/>
  <c r="AN102" i="100"/>
  <c r="AM102" i="100"/>
  <c r="AL102" i="100"/>
  <c r="AK102" i="100"/>
  <c r="AJ102" i="100"/>
  <c r="AI102" i="100"/>
  <c r="AH102" i="100"/>
  <c r="AG102" i="100"/>
  <c r="AF102" i="100"/>
  <c r="AE102" i="100"/>
  <c r="AD102" i="100"/>
  <c r="AC102" i="100"/>
  <c r="AA102" i="100"/>
  <c r="X102" i="100"/>
  <c r="W102" i="100"/>
  <c r="U102" i="100"/>
  <c r="T102" i="100"/>
  <c r="S102" i="100"/>
  <c r="R102" i="100"/>
  <c r="Q102" i="100"/>
  <c r="P102" i="100"/>
  <c r="O102" i="100"/>
  <c r="N102" i="100"/>
  <c r="I102" i="100"/>
  <c r="H102" i="100"/>
  <c r="G102" i="100"/>
  <c r="F102" i="100"/>
  <c r="E102" i="100"/>
  <c r="D102" i="100"/>
  <c r="C102" i="100"/>
  <c r="B102" i="100"/>
  <c r="A102" i="100"/>
  <c r="AV101" i="100"/>
  <c r="AU101" i="100"/>
  <c r="AT101" i="100"/>
  <c r="AR101" i="100"/>
  <c r="AJ101" i="100"/>
  <c r="AI101" i="100"/>
  <c r="AH101" i="100"/>
  <c r="AG101" i="100"/>
  <c r="AF101" i="100"/>
  <c r="AE101" i="100"/>
  <c r="AD101" i="100"/>
  <c r="AC101" i="100"/>
  <c r="AA101" i="100"/>
  <c r="X101" i="100"/>
  <c r="W101" i="100"/>
  <c r="U101" i="100"/>
  <c r="T101" i="100"/>
  <c r="S101" i="100"/>
  <c r="AV100" i="100"/>
  <c r="AU100" i="100"/>
  <c r="AT100" i="100"/>
  <c r="AS100" i="100"/>
  <c r="AR100" i="100"/>
  <c r="AQ100" i="100"/>
  <c r="AP100" i="100"/>
  <c r="AO100" i="100"/>
  <c r="AN100" i="100"/>
  <c r="AM100" i="100"/>
  <c r="AL100" i="100"/>
  <c r="AK100" i="100"/>
  <c r="AJ100" i="100"/>
  <c r="AI100" i="100"/>
  <c r="AH100" i="100"/>
  <c r="AG100" i="100"/>
  <c r="AF100" i="100"/>
  <c r="AE100" i="100"/>
  <c r="AD100" i="100"/>
  <c r="AC100" i="100"/>
  <c r="AB100" i="100"/>
  <c r="AA100" i="100"/>
  <c r="Y100" i="100"/>
  <c r="X100" i="100"/>
  <c r="W100" i="100"/>
  <c r="U100" i="100"/>
  <c r="T100" i="100"/>
  <c r="S100" i="100"/>
  <c r="AV99" i="100"/>
  <c r="AU99" i="100"/>
  <c r="AT99" i="100"/>
  <c r="AS99" i="100"/>
  <c r="AR99" i="100"/>
  <c r="AQ99" i="100"/>
  <c r="AP99" i="100"/>
  <c r="AO99" i="100"/>
  <c r="AN99" i="100"/>
  <c r="AN89" i="100" s="1"/>
  <c r="AM99" i="100"/>
  <c r="AL99" i="100"/>
  <c r="AK99" i="100"/>
  <c r="AJ99" i="100"/>
  <c r="AJ89" i="100" s="1"/>
  <c r="AI99" i="100"/>
  <c r="AH99" i="100"/>
  <c r="AG99" i="100"/>
  <c r="AF99" i="100"/>
  <c r="AF89" i="100" s="1"/>
  <c r="AE99" i="100"/>
  <c r="AD99" i="100"/>
  <c r="AC99" i="100"/>
  <c r="AB99" i="100"/>
  <c r="AA99" i="100"/>
  <c r="Y99" i="100"/>
  <c r="X99" i="100"/>
  <c r="W99" i="100"/>
  <c r="U99" i="100"/>
  <c r="T99" i="100"/>
  <c r="S99" i="100"/>
  <c r="R99" i="100"/>
  <c r="Q99" i="100"/>
  <c r="P99" i="100"/>
  <c r="O99" i="100"/>
  <c r="N99" i="100"/>
  <c r="AV98" i="100"/>
  <c r="AU98" i="100"/>
  <c r="AT98" i="100"/>
  <c r="AS98" i="100"/>
  <c r="AR98" i="100"/>
  <c r="AQ98" i="100"/>
  <c r="AP98" i="100"/>
  <c r="AO98" i="100"/>
  <c r="AN98" i="100"/>
  <c r="AM98" i="100"/>
  <c r="AL98" i="100"/>
  <c r="AK98" i="100"/>
  <c r="AJ98" i="100"/>
  <c r="AI98" i="100"/>
  <c r="AH98" i="100"/>
  <c r="AG98" i="100"/>
  <c r="AF98" i="100"/>
  <c r="AE98" i="100"/>
  <c r="AD98" i="100"/>
  <c r="AC98" i="100"/>
  <c r="AB98" i="100"/>
  <c r="AA98" i="100"/>
  <c r="X98" i="100"/>
  <c r="W98" i="100"/>
  <c r="U98" i="100"/>
  <c r="T98" i="100"/>
  <c r="S98" i="100"/>
  <c r="R98" i="100"/>
  <c r="Q98" i="100"/>
  <c r="P98" i="100"/>
  <c r="O98" i="100"/>
  <c r="N98" i="100"/>
  <c r="I98" i="100"/>
  <c r="H98" i="100"/>
  <c r="G98" i="100"/>
  <c r="F98" i="100"/>
  <c r="E98" i="100"/>
  <c r="D98" i="100"/>
  <c r="C98" i="100"/>
  <c r="B98" i="100"/>
  <c r="A98" i="100"/>
  <c r="AV97" i="100"/>
  <c r="AU97" i="100"/>
  <c r="AT97" i="100"/>
  <c r="AS97" i="100"/>
  <c r="AR97" i="100"/>
  <c r="AQ97" i="100"/>
  <c r="AP97" i="100"/>
  <c r="AO97" i="100"/>
  <c r="AN97" i="100"/>
  <c r="AM97" i="100"/>
  <c r="AL97" i="100"/>
  <c r="AK97" i="100"/>
  <c r="AJ97" i="100"/>
  <c r="AI97" i="100"/>
  <c r="AH97" i="100"/>
  <c r="AG97" i="100"/>
  <c r="AF97" i="100"/>
  <c r="AE97" i="100"/>
  <c r="AD97" i="100"/>
  <c r="AC97" i="100"/>
  <c r="AA97" i="100"/>
  <c r="X97" i="100"/>
  <c r="W97" i="100"/>
  <c r="U97" i="100"/>
  <c r="T97" i="100"/>
  <c r="S97" i="100"/>
  <c r="R97" i="100"/>
  <c r="Q97" i="100"/>
  <c r="P97" i="100"/>
  <c r="O97" i="100"/>
  <c r="N97" i="100"/>
  <c r="I97" i="100"/>
  <c r="H97" i="100"/>
  <c r="G97" i="100"/>
  <c r="F97" i="100"/>
  <c r="E97" i="100"/>
  <c r="D97" i="100"/>
  <c r="C97" i="100"/>
  <c r="B97" i="100"/>
  <c r="A97" i="100"/>
  <c r="AV96" i="100"/>
  <c r="AU96" i="100"/>
  <c r="AT96" i="100"/>
  <c r="AS96" i="100"/>
  <c r="AR96" i="100"/>
  <c r="AQ96" i="100"/>
  <c r="AP96" i="100"/>
  <c r="AO96" i="100"/>
  <c r="AN96" i="100"/>
  <c r="AM96" i="100"/>
  <c r="AL96" i="100"/>
  <c r="AK96" i="100"/>
  <c r="AJ96" i="100"/>
  <c r="AI96" i="100"/>
  <c r="AH96" i="100"/>
  <c r="AG96" i="100"/>
  <c r="AF96" i="100"/>
  <c r="AE96" i="100"/>
  <c r="AD96" i="100"/>
  <c r="AC96" i="100"/>
  <c r="AA96" i="100"/>
  <c r="X96" i="100"/>
  <c r="W96" i="100"/>
  <c r="U96" i="100"/>
  <c r="T96" i="100"/>
  <c r="S96" i="100"/>
  <c r="R96" i="100"/>
  <c r="Q96" i="100"/>
  <c r="P96" i="100"/>
  <c r="O96" i="100"/>
  <c r="N96" i="100"/>
  <c r="I96" i="100"/>
  <c r="H96" i="100"/>
  <c r="G96" i="100"/>
  <c r="F96" i="100"/>
  <c r="E96" i="100"/>
  <c r="D96" i="100"/>
  <c r="C96" i="100"/>
  <c r="B96" i="100"/>
  <c r="A96" i="100"/>
  <c r="AV95" i="100"/>
  <c r="AU95" i="100"/>
  <c r="AT95" i="100"/>
  <c r="AS95" i="100"/>
  <c r="AR95" i="100"/>
  <c r="AQ95" i="100"/>
  <c r="AP95" i="100"/>
  <c r="AO95" i="100"/>
  <c r="AN95" i="100"/>
  <c r="AM95" i="100"/>
  <c r="AL95" i="100"/>
  <c r="AK95" i="100"/>
  <c r="AJ95" i="100"/>
  <c r="AI95" i="100"/>
  <c r="AH95" i="100"/>
  <c r="AG95" i="100"/>
  <c r="AF95" i="100"/>
  <c r="AE95" i="100"/>
  <c r="AD95" i="100"/>
  <c r="AC95" i="100"/>
  <c r="AA95" i="100"/>
  <c r="X95" i="100"/>
  <c r="W95" i="100"/>
  <c r="U95" i="100"/>
  <c r="T95" i="100"/>
  <c r="S95" i="100"/>
  <c r="R95" i="100"/>
  <c r="Q95" i="100"/>
  <c r="P95" i="100"/>
  <c r="O95" i="100"/>
  <c r="N95" i="100"/>
  <c r="I95" i="100"/>
  <c r="H95" i="100"/>
  <c r="G95" i="100"/>
  <c r="F95" i="100"/>
  <c r="E95" i="100"/>
  <c r="D95" i="100"/>
  <c r="C95" i="100"/>
  <c r="B95" i="100"/>
  <c r="A95" i="100"/>
  <c r="AV94" i="100"/>
  <c r="AU94" i="100"/>
  <c r="AT94" i="100"/>
  <c r="AS94" i="100"/>
  <c r="AR94" i="100"/>
  <c r="AQ94" i="100"/>
  <c r="AP94" i="100"/>
  <c r="AO94" i="100"/>
  <c r="AN94" i="100"/>
  <c r="AM94" i="100"/>
  <c r="AL94" i="100"/>
  <c r="AK94" i="100"/>
  <c r="AJ94" i="100"/>
  <c r="AI94" i="100"/>
  <c r="AH94" i="100"/>
  <c r="AG94" i="100"/>
  <c r="AF94" i="100"/>
  <c r="AE94" i="100"/>
  <c r="AD94" i="100"/>
  <c r="AC94" i="100"/>
  <c r="AA94" i="100"/>
  <c r="X94" i="100"/>
  <c r="W94" i="100"/>
  <c r="U94" i="100"/>
  <c r="T94" i="100"/>
  <c r="S94" i="100"/>
  <c r="R94" i="100"/>
  <c r="Q94" i="100"/>
  <c r="P94" i="100"/>
  <c r="O94" i="100"/>
  <c r="N94" i="100"/>
  <c r="I94" i="100"/>
  <c r="H94" i="100"/>
  <c r="G94" i="100"/>
  <c r="F94" i="100"/>
  <c r="E94" i="100"/>
  <c r="D94" i="100"/>
  <c r="C94" i="100"/>
  <c r="B94" i="100"/>
  <c r="A94" i="100"/>
  <c r="AV93" i="100"/>
  <c r="AU93" i="100"/>
  <c r="AT93" i="100"/>
  <c r="AS93" i="100"/>
  <c r="AR93" i="100"/>
  <c r="AQ93" i="100"/>
  <c r="AP93" i="100"/>
  <c r="AO93" i="100"/>
  <c r="AN93" i="100"/>
  <c r="AM93" i="100"/>
  <c r="AL93" i="100"/>
  <c r="AK93" i="100"/>
  <c r="AJ93" i="100"/>
  <c r="AI93" i="100"/>
  <c r="AH93" i="100"/>
  <c r="AG93" i="100"/>
  <c r="AF93" i="100"/>
  <c r="AE93" i="100"/>
  <c r="AD93" i="100"/>
  <c r="AC93" i="100"/>
  <c r="AA93" i="100"/>
  <c r="X93" i="100"/>
  <c r="W93" i="100"/>
  <c r="U93" i="100"/>
  <c r="T93" i="100"/>
  <c r="S93" i="100"/>
  <c r="R93" i="100"/>
  <c r="Q93" i="100"/>
  <c r="P93" i="100"/>
  <c r="O93" i="100"/>
  <c r="N93" i="100"/>
  <c r="I93" i="100"/>
  <c r="H93" i="100"/>
  <c r="G93" i="100"/>
  <c r="F93" i="100"/>
  <c r="E93" i="100"/>
  <c r="D93" i="100"/>
  <c r="C93" i="100"/>
  <c r="B93" i="100"/>
  <c r="A93" i="100"/>
  <c r="AV92" i="100"/>
  <c r="AU92" i="100"/>
  <c r="AT92" i="100"/>
  <c r="AS92" i="100"/>
  <c r="AR92" i="100"/>
  <c r="AQ92" i="100"/>
  <c r="AP92" i="100"/>
  <c r="AO92" i="100"/>
  <c r="AN92" i="100"/>
  <c r="AM92" i="100"/>
  <c r="AL92" i="100"/>
  <c r="AK92" i="100"/>
  <c r="AJ92" i="100"/>
  <c r="AI92" i="100"/>
  <c r="AH92" i="100"/>
  <c r="AG92" i="100"/>
  <c r="AF92" i="100"/>
  <c r="AE92" i="100"/>
  <c r="AD92" i="100"/>
  <c r="AC92" i="100"/>
  <c r="AA92" i="100"/>
  <c r="X92" i="100"/>
  <c r="W92" i="100"/>
  <c r="W89" i="100" s="1"/>
  <c r="U92" i="100"/>
  <c r="T92" i="100"/>
  <c r="S92" i="100"/>
  <c r="R92" i="100"/>
  <c r="R89" i="100" s="1"/>
  <c r="Q92" i="100"/>
  <c r="P92" i="100"/>
  <c r="O92" i="100"/>
  <c r="N92" i="100"/>
  <c r="I92" i="100"/>
  <c r="H92" i="100"/>
  <c r="G92" i="100"/>
  <c r="F92" i="100"/>
  <c r="E92" i="100"/>
  <c r="D92" i="100"/>
  <c r="C92" i="100"/>
  <c r="B92" i="100"/>
  <c r="A92" i="100"/>
  <c r="AV91" i="100"/>
  <c r="AU91" i="100"/>
  <c r="AT91" i="100"/>
  <c r="AT89" i="100" s="1"/>
  <c r="AS91" i="100"/>
  <c r="AR91" i="100"/>
  <c r="AQ91" i="100"/>
  <c r="AP91" i="100"/>
  <c r="AO91" i="100"/>
  <c r="AN91" i="100"/>
  <c r="AM91" i="100"/>
  <c r="AL91" i="100"/>
  <c r="AL89" i="100" s="1"/>
  <c r="AK91" i="100"/>
  <c r="AJ91" i="100"/>
  <c r="AI91" i="100"/>
  <c r="AH91" i="100"/>
  <c r="AG91" i="100"/>
  <c r="AF91" i="100"/>
  <c r="AE91" i="100"/>
  <c r="AD91" i="100"/>
  <c r="AD89" i="100" s="1"/>
  <c r="AC91" i="100"/>
  <c r="AB91" i="100"/>
  <c r="AA91" i="100"/>
  <c r="X91" i="100"/>
  <c r="W91" i="100"/>
  <c r="U91" i="100"/>
  <c r="T91" i="100"/>
  <c r="S91" i="100"/>
  <c r="R91" i="100"/>
  <c r="Q91" i="100"/>
  <c r="P91" i="100"/>
  <c r="O91" i="100"/>
  <c r="N91" i="100"/>
  <c r="I91" i="100"/>
  <c r="H91" i="100"/>
  <c r="G91" i="100"/>
  <c r="F91" i="100"/>
  <c r="E91" i="100"/>
  <c r="D91" i="100"/>
  <c r="C91" i="100"/>
  <c r="B91" i="100"/>
  <c r="A91" i="100"/>
  <c r="AV90" i="100"/>
  <c r="AU90" i="100"/>
  <c r="AU89" i="100" s="1"/>
  <c r="AT90" i="100"/>
  <c r="AS90" i="100"/>
  <c r="AR90" i="100"/>
  <c r="AQ90" i="100"/>
  <c r="AQ89" i="100" s="1"/>
  <c r="AP90" i="100"/>
  <c r="AO90" i="100"/>
  <c r="AN90" i="100"/>
  <c r="AM90" i="100"/>
  <c r="AM89" i="100" s="1"/>
  <c r="AL90" i="100"/>
  <c r="AK90" i="100"/>
  <c r="AJ90" i="100"/>
  <c r="AI90" i="100"/>
  <c r="AH90" i="100"/>
  <c r="AG90" i="100"/>
  <c r="AF90" i="100"/>
  <c r="AE90" i="100"/>
  <c r="AE89" i="100" s="1"/>
  <c r="AD90" i="100"/>
  <c r="AC90" i="100"/>
  <c r="AA90" i="100"/>
  <c r="X90" i="100"/>
  <c r="X89" i="100" s="1"/>
  <c r="W90" i="100"/>
  <c r="U90" i="100"/>
  <c r="U89" i="100" s="1"/>
  <c r="T90" i="100"/>
  <c r="S90" i="100"/>
  <c r="S89" i="100" s="1"/>
  <c r="R90" i="100"/>
  <c r="Q90" i="100"/>
  <c r="P90" i="100"/>
  <c r="O90" i="100"/>
  <c r="N90" i="100"/>
  <c r="I90" i="100"/>
  <c r="H90" i="100"/>
  <c r="G90" i="100"/>
  <c r="F90" i="100"/>
  <c r="E90" i="100"/>
  <c r="D90" i="100"/>
  <c r="C90" i="100"/>
  <c r="B90" i="100"/>
  <c r="A90" i="100"/>
  <c r="AR89" i="100"/>
  <c r="AP89" i="100"/>
  <c r="AA89" i="100"/>
  <c r="T89" i="100"/>
  <c r="M89" i="100"/>
  <c r="L89" i="100"/>
  <c r="AV88" i="100"/>
  <c r="AU88" i="100"/>
  <c r="AT88" i="100"/>
  <c r="AS88" i="100"/>
  <c r="AR88" i="100"/>
  <c r="AQ88" i="100"/>
  <c r="AP88" i="100"/>
  <c r="AO88" i="100"/>
  <c r="AN88" i="100"/>
  <c r="AM88" i="100"/>
  <c r="AL88" i="100"/>
  <c r="AK88" i="100"/>
  <c r="AJ88" i="100"/>
  <c r="AI88" i="100"/>
  <c r="AH88" i="100"/>
  <c r="AG88" i="100"/>
  <c r="AF88" i="100"/>
  <c r="AE88" i="100"/>
  <c r="AD88" i="100"/>
  <c r="AC88" i="100"/>
  <c r="AA88" i="100"/>
  <c r="X88" i="100"/>
  <c r="W88" i="100"/>
  <c r="U88" i="100"/>
  <c r="T88" i="100"/>
  <c r="S88" i="100"/>
  <c r="R88" i="100"/>
  <c r="Q88" i="100"/>
  <c r="P88" i="100"/>
  <c r="O88" i="100"/>
  <c r="N88" i="100"/>
  <c r="I88" i="100"/>
  <c r="H88" i="100"/>
  <c r="G88" i="100"/>
  <c r="F88" i="100"/>
  <c r="E88" i="100"/>
  <c r="D88" i="100"/>
  <c r="C88" i="100"/>
  <c r="B88" i="100"/>
  <c r="A88" i="100"/>
  <c r="AV87" i="100"/>
  <c r="AU87" i="100"/>
  <c r="AT87" i="100"/>
  <c r="AS87" i="100"/>
  <c r="AR87" i="100"/>
  <c r="AQ87" i="100"/>
  <c r="AP87" i="100"/>
  <c r="AO87" i="100"/>
  <c r="AN87" i="100"/>
  <c r="AM87" i="100"/>
  <c r="AL87" i="100"/>
  <c r="AK87" i="100"/>
  <c r="AJ87" i="100"/>
  <c r="AI87" i="100"/>
  <c r="AH87" i="100"/>
  <c r="AG87" i="100"/>
  <c r="AF87" i="100"/>
  <c r="AE87" i="100"/>
  <c r="AD87" i="100"/>
  <c r="AC87" i="100"/>
  <c r="AA87" i="100"/>
  <c r="X87" i="100"/>
  <c r="X85" i="100" s="1"/>
  <c r="W87" i="100"/>
  <c r="U87" i="100"/>
  <c r="T87" i="100"/>
  <c r="S87" i="100"/>
  <c r="S85" i="100" s="1"/>
  <c r="R87" i="100"/>
  <c r="Q87" i="100"/>
  <c r="P87" i="100"/>
  <c r="O87" i="100"/>
  <c r="N87" i="100"/>
  <c r="I87" i="100"/>
  <c r="H87" i="100"/>
  <c r="G87" i="100"/>
  <c r="F87" i="100"/>
  <c r="E87" i="100"/>
  <c r="D87" i="100"/>
  <c r="C87" i="100"/>
  <c r="B87" i="100"/>
  <c r="A87" i="100"/>
  <c r="AV86" i="100"/>
  <c r="AU86" i="100"/>
  <c r="AT86" i="100"/>
  <c r="AS86" i="100"/>
  <c r="AR86" i="100"/>
  <c r="AQ86" i="100"/>
  <c r="AP86" i="100"/>
  <c r="AO86" i="100"/>
  <c r="AN86" i="100"/>
  <c r="AM86" i="100"/>
  <c r="AL86" i="100"/>
  <c r="AK86" i="100"/>
  <c r="AJ86" i="100"/>
  <c r="AI86" i="100"/>
  <c r="AH86" i="100"/>
  <c r="AG86" i="100"/>
  <c r="AG85" i="100" s="1"/>
  <c r="AF86" i="100"/>
  <c r="AF85" i="100" s="1"/>
  <c r="AE86" i="100"/>
  <c r="AD86" i="100"/>
  <c r="AC86" i="100"/>
  <c r="AC85" i="100" s="1"/>
  <c r="AA86" i="100"/>
  <c r="AA85" i="100" s="1"/>
  <c r="Y86" i="100"/>
  <c r="X86" i="100"/>
  <c r="W86" i="100"/>
  <c r="W85" i="100" s="1"/>
  <c r="U86" i="100"/>
  <c r="U85" i="100" s="1"/>
  <c r="T86" i="100"/>
  <c r="S86" i="100"/>
  <c r="R86" i="100"/>
  <c r="R85" i="100" s="1"/>
  <c r="Q86" i="100"/>
  <c r="P86" i="100"/>
  <c r="O86" i="100"/>
  <c r="N86" i="100"/>
  <c r="I86" i="100"/>
  <c r="H86" i="100"/>
  <c r="G86" i="100"/>
  <c r="F86" i="100"/>
  <c r="E86" i="100"/>
  <c r="D86" i="100"/>
  <c r="C86" i="100"/>
  <c r="B86" i="100"/>
  <c r="A86" i="100"/>
  <c r="AU85" i="100"/>
  <c r="AT85" i="100"/>
  <c r="AS85" i="100"/>
  <c r="AR85" i="100"/>
  <c r="AQ85" i="100"/>
  <c r="AP85" i="100"/>
  <c r="AO85" i="100"/>
  <c r="AN85" i="100"/>
  <c r="AM85" i="100"/>
  <c r="AL85" i="100"/>
  <c r="AK85" i="100"/>
  <c r="AJ85" i="100"/>
  <c r="AE85" i="100"/>
  <c r="AD85" i="100"/>
  <c r="Z85" i="100"/>
  <c r="T85" i="100"/>
  <c r="M85" i="100"/>
  <c r="L85" i="100"/>
  <c r="AV84" i="100"/>
  <c r="AU84" i="100"/>
  <c r="AT84" i="100"/>
  <c r="AS84" i="100"/>
  <c r="AR84" i="100"/>
  <c r="AQ84" i="100"/>
  <c r="AP84" i="100"/>
  <c r="AO84" i="100"/>
  <c r="AN84" i="100"/>
  <c r="AM84" i="100"/>
  <c r="AL84" i="100"/>
  <c r="AK84" i="100"/>
  <c r="AJ84" i="100"/>
  <c r="AI84" i="100"/>
  <c r="AH84" i="100"/>
  <c r="AG84" i="100"/>
  <c r="AF84" i="100"/>
  <c r="AE84" i="100"/>
  <c r="AD84" i="100"/>
  <c r="AC84" i="100"/>
  <c r="AB84" i="100"/>
  <c r="AA84" i="100"/>
  <c r="X84" i="100"/>
  <c r="W84" i="100"/>
  <c r="U84" i="100"/>
  <c r="T84" i="100"/>
  <c r="S84" i="100"/>
  <c r="R84" i="100"/>
  <c r="Q84" i="100"/>
  <c r="P84" i="100"/>
  <c r="O84" i="100"/>
  <c r="N84" i="100"/>
  <c r="I84" i="100"/>
  <c r="H84" i="100"/>
  <c r="G84" i="100"/>
  <c r="F84" i="100"/>
  <c r="E84" i="100"/>
  <c r="D84" i="100"/>
  <c r="C84" i="100"/>
  <c r="B84" i="100"/>
  <c r="A84" i="100"/>
  <c r="AV83" i="100"/>
  <c r="AU83" i="100"/>
  <c r="AT83" i="100"/>
  <c r="AS83" i="100"/>
  <c r="AR83" i="100"/>
  <c r="AQ83" i="100"/>
  <c r="AP83" i="100"/>
  <c r="AO83" i="100"/>
  <c r="AN83" i="100"/>
  <c r="AM83" i="100"/>
  <c r="AL83" i="100"/>
  <c r="AK83" i="100"/>
  <c r="AJ83" i="100"/>
  <c r="AI83" i="100"/>
  <c r="AH83" i="100"/>
  <c r="AG83" i="100"/>
  <c r="AF83" i="100"/>
  <c r="AE83" i="100"/>
  <c r="AD83" i="100"/>
  <c r="AC83" i="100"/>
  <c r="AB83" i="100"/>
  <c r="AA83" i="100"/>
  <c r="X83" i="100"/>
  <c r="W83" i="100"/>
  <c r="U83" i="100"/>
  <c r="T83" i="100"/>
  <c r="S83" i="100"/>
  <c r="R83" i="100"/>
  <c r="Q83" i="100"/>
  <c r="P83" i="100"/>
  <c r="O83" i="100"/>
  <c r="N83" i="100"/>
  <c r="I83" i="100"/>
  <c r="H83" i="100"/>
  <c r="G83" i="100"/>
  <c r="F83" i="100"/>
  <c r="E83" i="100"/>
  <c r="D83" i="100"/>
  <c r="C83" i="100"/>
  <c r="B83" i="100"/>
  <c r="A83" i="100"/>
  <c r="AV82" i="100"/>
  <c r="AU82" i="100"/>
  <c r="AT82" i="100"/>
  <c r="AS82" i="100"/>
  <c r="AR82" i="100"/>
  <c r="AQ82" i="100"/>
  <c r="AP82" i="100"/>
  <c r="AO82" i="100"/>
  <c r="AN82" i="100"/>
  <c r="AM82" i="100"/>
  <c r="AL82" i="100"/>
  <c r="AK82" i="100"/>
  <c r="AJ82" i="100"/>
  <c r="AI82" i="100"/>
  <c r="AH82" i="100"/>
  <c r="AG82" i="100"/>
  <c r="AF82" i="100"/>
  <c r="AE82" i="100"/>
  <c r="AD82" i="100"/>
  <c r="AC82" i="100"/>
  <c r="AA82" i="100"/>
  <c r="Y82" i="100"/>
  <c r="X82" i="100"/>
  <c r="W82" i="100"/>
  <c r="U82" i="100"/>
  <c r="T82" i="100"/>
  <c r="S82" i="100"/>
  <c r="R82" i="100"/>
  <c r="Q82" i="100"/>
  <c r="P82" i="100"/>
  <c r="O82" i="100"/>
  <c r="N82" i="100"/>
  <c r="I82" i="100"/>
  <c r="H82" i="100"/>
  <c r="G82" i="100"/>
  <c r="F82" i="100"/>
  <c r="E82" i="100"/>
  <c r="D82" i="100"/>
  <c r="C82" i="100"/>
  <c r="B82" i="100"/>
  <c r="A82" i="100"/>
  <c r="AV81" i="100"/>
  <c r="AU81" i="100"/>
  <c r="AT81" i="100"/>
  <c r="AS81" i="100"/>
  <c r="AR81" i="100"/>
  <c r="AQ81" i="100"/>
  <c r="AP81" i="100"/>
  <c r="AO81" i="100"/>
  <c r="AN81" i="100"/>
  <c r="AM81" i="100"/>
  <c r="AL81" i="100"/>
  <c r="AK81" i="100"/>
  <c r="AJ81" i="100"/>
  <c r="AI81" i="100"/>
  <c r="AH81" i="100"/>
  <c r="AG81" i="100"/>
  <c r="AF81" i="100"/>
  <c r="AE81" i="100"/>
  <c r="AD81" i="100"/>
  <c r="AC81" i="100"/>
  <c r="AB81" i="100"/>
  <c r="AA81" i="100"/>
  <c r="X81" i="100"/>
  <c r="W81" i="100"/>
  <c r="U81" i="100"/>
  <c r="T81" i="100"/>
  <c r="S81" i="100"/>
  <c r="R81" i="100"/>
  <c r="Q81" i="100"/>
  <c r="P81" i="100"/>
  <c r="O81" i="100"/>
  <c r="N81" i="100"/>
  <c r="I81" i="100"/>
  <c r="H81" i="100"/>
  <c r="G81" i="100"/>
  <c r="F81" i="100"/>
  <c r="E81" i="100"/>
  <c r="D81" i="100"/>
  <c r="C81" i="100"/>
  <c r="B81" i="100"/>
  <c r="A81" i="100"/>
  <c r="AV80" i="100"/>
  <c r="AU80" i="100"/>
  <c r="AT80" i="100"/>
  <c r="AS80" i="100"/>
  <c r="AR80" i="100"/>
  <c r="AQ80" i="100"/>
  <c r="AP80" i="100"/>
  <c r="AO80" i="100"/>
  <c r="AN80" i="100"/>
  <c r="AM80" i="100"/>
  <c r="AL80" i="100"/>
  <c r="AK80" i="100"/>
  <c r="AJ80" i="100"/>
  <c r="AI80" i="100"/>
  <c r="AH80" i="100"/>
  <c r="AG80" i="100"/>
  <c r="AF80" i="100"/>
  <c r="AE80" i="100"/>
  <c r="AD80" i="100"/>
  <c r="AC80" i="100"/>
  <c r="AB80" i="100"/>
  <c r="AA80" i="100"/>
  <c r="X80" i="100"/>
  <c r="W80" i="100"/>
  <c r="U80" i="100"/>
  <c r="T80" i="100"/>
  <c r="S80" i="100"/>
  <c r="R80" i="100"/>
  <c r="Q80" i="100"/>
  <c r="P80" i="100"/>
  <c r="O80" i="100"/>
  <c r="N80" i="100"/>
  <c r="I80" i="100"/>
  <c r="H80" i="100"/>
  <c r="G80" i="100"/>
  <c r="F80" i="100"/>
  <c r="E80" i="100"/>
  <c r="D80" i="100"/>
  <c r="C80" i="100"/>
  <c r="B80" i="100"/>
  <c r="A80" i="100"/>
  <c r="AV79" i="100"/>
  <c r="AU79" i="100"/>
  <c r="AT79" i="100"/>
  <c r="AS79" i="100"/>
  <c r="AR79" i="100"/>
  <c r="AQ79" i="100"/>
  <c r="AP79" i="100"/>
  <c r="AO79" i="100"/>
  <c r="AN79" i="100"/>
  <c r="AM79" i="100"/>
  <c r="AL79" i="100"/>
  <c r="AK79" i="100"/>
  <c r="AJ79" i="100"/>
  <c r="AI79" i="100"/>
  <c r="AH79" i="100"/>
  <c r="AG79" i="100"/>
  <c r="AF79" i="100"/>
  <c r="AE79" i="100"/>
  <c r="AD79" i="100"/>
  <c r="AC79" i="100"/>
  <c r="AB79" i="100"/>
  <c r="AA79" i="100"/>
  <c r="X79" i="100"/>
  <c r="W79" i="100"/>
  <c r="U79" i="100"/>
  <c r="T79" i="100"/>
  <c r="S79" i="100"/>
  <c r="R79" i="100"/>
  <c r="Q79" i="100"/>
  <c r="P79" i="100"/>
  <c r="O79" i="100"/>
  <c r="N79" i="100"/>
  <c r="I79" i="100"/>
  <c r="H79" i="100"/>
  <c r="G79" i="100"/>
  <c r="F79" i="100"/>
  <c r="E79" i="100"/>
  <c r="D79" i="100"/>
  <c r="C79" i="100"/>
  <c r="B79" i="100"/>
  <c r="A79" i="100"/>
  <c r="AV78" i="100"/>
  <c r="AU78" i="100"/>
  <c r="AT78" i="100"/>
  <c r="AS78" i="100"/>
  <c r="AR78" i="100"/>
  <c r="AQ78" i="100"/>
  <c r="AP78" i="100"/>
  <c r="AO78" i="100"/>
  <c r="AN78" i="100"/>
  <c r="AM78" i="100"/>
  <c r="AL78" i="100"/>
  <c r="AK78" i="100"/>
  <c r="AJ78" i="100"/>
  <c r="AI78" i="100"/>
  <c r="AH78" i="100"/>
  <c r="AG78" i="100"/>
  <c r="AF78" i="100"/>
  <c r="AE78" i="100"/>
  <c r="AD78" i="100"/>
  <c r="AC78" i="100"/>
  <c r="AB78" i="100"/>
  <c r="AA78" i="100"/>
  <c r="X78" i="100"/>
  <c r="W78" i="100"/>
  <c r="U78" i="100"/>
  <c r="T78" i="100"/>
  <c r="S78" i="100"/>
  <c r="R78" i="100"/>
  <c r="Q78" i="100"/>
  <c r="P78" i="100"/>
  <c r="O78" i="100"/>
  <c r="N78" i="100"/>
  <c r="I78" i="100"/>
  <c r="H78" i="100"/>
  <c r="G78" i="100"/>
  <c r="F78" i="100"/>
  <c r="E78" i="100"/>
  <c r="D78" i="100"/>
  <c r="C78" i="100"/>
  <c r="B78" i="100"/>
  <c r="A78" i="100"/>
  <c r="AV77" i="100"/>
  <c r="AU77" i="100"/>
  <c r="AT77" i="100"/>
  <c r="AS77" i="100"/>
  <c r="AR77" i="100"/>
  <c r="AQ77" i="100"/>
  <c r="AP77" i="100"/>
  <c r="AO77" i="100"/>
  <c r="AN77" i="100"/>
  <c r="AM77" i="100"/>
  <c r="AL77" i="100"/>
  <c r="AK77" i="100"/>
  <c r="AJ77" i="100"/>
  <c r="AI77" i="100"/>
  <c r="AH77" i="100"/>
  <c r="AG77" i="100"/>
  <c r="AF77" i="100"/>
  <c r="AE77" i="100"/>
  <c r="AD77" i="100"/>
  <c r="AC77" i="100"/>
  <c r="AB77" i="100"/>
  <c r="AA77" i="100"/>
  <c r="X77" i="100"/>
  <c r="W77" i="100"/>
  <c r="U77" i="100"/>
  <c r="T77" i="100"/>
  <c r="S77" i="100"/>
  <c r="R77" i="100"/>
  <c r="Q77" i="100"/>
  <c r="P77" i="100"/>
  <c r="O77" i="100"/>
  <c r="N77" i="100"/>
  <c r="I77" i="100"/>
  <c r="H77" i="100"/>
  <c r="G77" i="100"/>
  <c r="F77" i="100"/>
  <c r="E77" i="100"/>
  <c r="D77" i="100"/>
  <c r="C77" i="100"/>
  <c r="B77" i="100"/>
  <c r="A77" i="100"/>
  <c r="AV76" i="100"/>
  <c r="AU76" i="100"/>
  <c r="AT76" i="100"/>
  <c r="AS76" i="100"/>
  <c r="AR76" i="100"/>
  <c r="AQ76" i="100"/>
  <c r="AP76" i="100"/>
  <c r="AO76" i="100"/>
  <c r="AN76" i="100"/>
  <c r="AM76" i="100"/>
  <c r="AL76" i="100"/>
  <c r="AK76" i="100"/>
  <c r="AJ76" i="100"/>
  <c r="AI76" i="100"/>
  <c r="AH76" i="100"/>
  <c r="AG76" i="100"/>
  <c r="AF76" i="100"/>
  <c r="AE76" i="100"/>
  <c r="AD76" i="100"/>
  <c r="AC76" i="100"/>
  <c r="AB76" i="100"/>
  <c r="AA76" i="100"/>
  <c r="X76" i="100"/>
  <c r="W76" i="100"/>
  <c r="U76" i="100"/>
  <c r="T76" i="100"/>
  <c r="S76" i="100"/>
  <c r="R76" i="100"/>
  <c r="Q76" i="100"/>
  <c r="P76" i="100"/>
  <c r="O76" i="100"/>
  <c r="N76" i="100"/>
  <c r="I76" i="100"/>
  <c r="H76" i="100"/>
  <c r="G76" i="100"/>
  <c r="F76" i="100"/>
  <c r="E76" i="100"/>
  <c r="D76" i="100"/>
  <c r="C76" i="100"/>
  <c r="B76" i="100"/>
  <c r="A76" i="100"/>
  <c r="AV75" i="100"/>
  <c r="AU75" i="100"/>
  <c r="AT75" i="100"/>
  <c r="AV74" i="100"/>
  <c r="AU74" i="100"/>
  <c r="AT74" i="100"/>
  <c r="AS74" i="100"/>
  <c r="AR74" i="100"/>
  <c r="AQ74" i="100"/>
  <c r="AP74" i="100"/>
  <c r="AO74" i="100"/>
  <c r="AN74" i="100"/>
  <c r="AM74" i="100"/>
  <c r="AL74" i="100"/>
  <c r="AK74" i="100"/>
  <c r="AJ74" i="100"/>
  <c r="AI74" i="100"/>
  <c r="AH74" i="100"/>
  <c r="AG74" i="100"/>
  <c r="AF74" i="100"/>
  <c r="AE74" i="100"/>
  <c r="AD74" i="100"/>
  <c r="AC74" i="100"/>
  <c r="AB74" i="100"/>
  <c r="AA74" i="100"/>
  <c r="Y74" i="100"/>
  <c r="X74" i="100"/>
  <c r="W74" i="100"/>
  <c r="U74" i="100"/>
  <c r="T74" i="100"/>
  <c r="S74" i="100"/>
  <c r="S71" i="100" s="1"/>
  <c r="R74" i="100"/>
  <c r="Q74" i="100"/>
  <c r="P74" i="100"/>
  <c r="O74" i="100"/>
  <c r="N74" i="100"/>
  <c r="I74" i="100"/>
  <c r="H74" i="100"/>
  <c r="G74" i="100"/>
  <c r="F74" i="100"/>
  <c r="E74" i="100"/>
  <c r="D74" i="100"/>
  <c r="C74" i="100"/>
  <c r="B74" i="100"/>
  <c r="A74" i="100"/>
  <c r="AV73" i="100"/>
  <c r="AU73" i="100"/>
  <c r="AU71" i="100" s="1"/>
  <c r="AT73" i="100"/>
  <c r="AS73" i="100"/>
  <c r="AS71" i="100" s="1"/>
  <c r="AR73" i="100"/>
  <c r="AQ73" i="100"/>
  <c r="AQ71" i="100" s="1"/>
  <c r="AP73" i="100"/>
  <c r="AO73" i="100"/>
  <c r="AO71" i="100" s="1"/>
  <c r="AN73" i="100"/>
  <c r="AM73" i="100"/>
  <c r="AM71" i="100" s="1"/>
  <c r="AL73" i="100"/>
  <c r="AK73" i="100"/>
  <c r="AK71" i="100" s="1"/>
  <c r="AJ73" i="100"/>
  <c r="AI73" i="100"/>
  <c r="AI71" i="100" s="1"/>
  <c r="AH73" i="100"/>
  <c r="AG73" i="100"/>
  <c r="AG71" i="100" s="1"/>
  <c r="AF73" i="100"/>
  <c r="AE73" i="100"/>
  <c r="AE71" i="100" s="1"/>
  <c r="AD73" i="100"/>
  <c r="AC73" i="100"/>
  <c r="AC71" i="100" s="1"/>
  <c r="AB73" i="100"/>
  <c r="AA73" i="100"/>
  <c r="AA71" i="100" s="1"/>
  <c r="Y73" i="100"/>
  <c r="X73" i="100"/>
  <c r="W73" i="100"/>
  <c r="U73" i="100"/>
  <c r="U71" i="100" s="1"/>
  <c r="T73" i="100"/>
  <c r="S73" i="100"/>
  <c r="I73" i="100"/>
  <c r="H73" i="100"/>
  <c r="G73" i="100"/>
  <c r="F73" i="100"/>
  <c r="E73" i="100"/>
  <c r="D73" i="100"/>
  <c r="C73" i="100"/>
  <c r="B73" i="100"/>
  <c r="A73" i="100"/>
  <c r="AV72" i="100"/>
  <c r="AV71" i="100" s="1"/>
  <c r="AU72" i="100"/>
  <c r="AT72" i="100"/>
  <c r="AS72" i="100"/>
  <c r="AR72" i="100"/>
  <c r="AR71" i="100" s="1"/>
  <c r="AQ72" i="100"/>
  <c r="AP72" i="100"/>
  <c r="AO72" i="100"/>
  <c r="AN72" i="100"/>
  <c r="AN71" i="100" s="1"/>
  <c r="AM72" i="100"/>
  <c r="AL72" i="100"/>
  <c r="AK72" i="100"/>
  <c r="AJ72" i="100"/>
  <c r="AJ71" i="100" s="1"/>
  <c r="AI72" i="100"/>
  <c r="AH72" i="100"/>
  <c r="AG72" i="100"/>
  <c r="AF72" i="100"/>
  <c r="AF71" i="100" s="1"/>
  <c r="AE72" i="100"/>
  <c r="AD72" i="100"/>
  <c r="AC72" i="100"/>
  <c r="AB72" i="100"/>
  <c r="AA72" i="100"/>
  <c r="Y72" i="100"/>
  <c r="X72" i="100"/>
  <c r="W72" i="100"/>
  <c r="W71" i="100" s="1"/>
  <c r="U72" i="100"/>
  <c r="T72" i="100"/>
  <c r="T71" i="100" s="1"/>
  <c r="S72" i="100"/>
  <c r="R72" i="100"/>
  <c r="R71" i="100" s="1"/>
  <c r="Q72" i="100"/>
  <c r="P72" i="100"/>
  <c r="O72" i="100"/>
  <c r="N72" i="100"/>
  <c r="I72" i="100"/>
  <c r="H72" i="100"/>
  <c r="G72" i="100"/>
  <c r="F72" i="100"/>
  <c r="E72" i="100"/>
  <c r="D72" i="100"/>
  <c r="C72" i="100"/>
  <c r="B72" i="100"/>
  <c r="A72" i="100"/>
  <c r="AT71" i="100"/>
  <c r="AP71" i="100"/>
  <c r="AL71" i="100"/>
  <c r="AH71" i="100"/>
  <c r="AD71" i="100"/>
  <c r="Z71" i="100"/>
  <c r="X71" i="100"/>
  <c r="M71" i="100"/>
  <c r="L71" i="100"/>
  <c r="AV70" i="100"/>
  <c r="AU70" i="100"/>
  <c r="AT70" i="100"/>
  <c r="AS70" i="100"/>
  <c r="AR70" i="100"/>
  <c r="AQ70" i="100"/>
  <c r="AP70" i="100"/>
  <c r="AO70" i="100"/>
  <c r="AN70" i="100"/>
  <c r="AM70" i="100"/>
  <c r="AL70" i="100"/>
  <c r="AK70" i="100"/>
  <c r="AJ70" i="100"/>
  <c r="AI70" i="100"/>
  <c r="AH70" i="100"/>
  <c r="AG70" i="100"/>
  <c r="AF70" i="100"/>
  <c r="AE70" i="100"/>
  <c r="AD70" i="100"/>
  <c r="AC70" i="100"/>
  <c r="AB70" i="100"/>
  <c r="AA70" i="100"/>
  <c r="X70" i="100"/>
  <c r="W70" i="100"/>
  <c r="U70" i="100"/>
  <c r="S70" i="100"/>
  <c r="R70" i="100"/>
  <c r="Q70" i="100"/>
  <c r="P70" i="100"/>
  <c r="O70" i="100"/>
  <c r="N70" i="100"/>
  <c r="I70" i="100"/>
  <c r="H70" i="100"/>
  <c r="G70" i="100"/>
  <c r="F70" i="100"/>
  <c r="E70" i="100"/>
  <c r="D70" i="100"/>
  <c r="C70" i="100"/>
  <c r="B70" i="100"/>
  <c r="A70" i="100"/>
  <c r="AV69" i="100"/>
  <c r="AU69" i="100"/>
  <c r="AT69" i="100"/>
  <c r="AS69" i="100"/>
  <c r="AR69" i="100"/>
  <c r="AR64" i="100" s="1"/>
  <c r="AQ69" i="100"/>
  <c r="AP69" i="100"/>
  <c r="AP64" i="100" s="1"/>
  <c r="AO69" i="100"/>
  <c r="AN69" i="100"/>
  <c r="AN64" i="100" s="1"/>
  <c r="AM69" i="100"/>
  <c r="AL69" i="100"/>
  <c r="AL64" i="100" s="1"/>
  <c r="AK69" i="100"/>
  <c r="AJ69" i="100"/>
  <c r="AJ64" i="100" s="1"/>
  <c r="AI69" i="100"/>
  <c r="AH69" i="100"/>
  <c r="AG69" i="100"/>
  <c r="AF69" i="100"/>
  <c r="AF64" i="100" s="1"/>
  <c r="AE69" i="100"/>
  <c r="AD69" i="100"/>
  <c r="AD64" i="100" s="1"/>
  <c r="AC69" i="100"/>
  <c r="AB69" i="100"/>
  <c r="AA69" i="100"/>
  <c r="X69" i="100"/>
  <c r="W69" i="100"/>
  <c r="U69" i="100"/>
  <c r="S69" i="100"/>
  <c r="R69" i="100"/>
  <c r="Q69" i="100"/>
  <c r="P69" i="100"/>
  <c r="O69" i="100"/>
  <c r="N69" i="100"/>
  <c r="I69" i="100"/>
  <c r="H69" i="100"/>
  <c r="G69" i="100"/>
  <c r="F69" i="100"/>
  <c r="E69" i="100"/>
  <c r="D69" i="100"/>
  <c r="C69" i="100"/>
  <c r="B69" i="100"/>
  <c r="A69" i="100"/>
  <c r="AV68" i="100"/>
  <c r="AU68" i="100"/>
  <c r="AT68" i="100"/>
  <c r="AT64" i="100" s="1"/>
  <c r="AV67" i="100"/>
  <c r="AU67" i="100"/>
  <c r="AT67" i="100"/>
  <c r="AS67" i="100"/>
  <c r="AR67" i="100"/>
  <c r="AQ67" i="100"/>
  <c r="AP67" i="100"/>
  <c r="AO67" i="100"/>
  <c r="AN67" i="100"/>
  <c r="AM67" i="100"/>
  <c r="AL67" i="100"/>
  <c r="AK67" i="100"/>
  <c r="AJ67" i="100"/>
  <c r="AI67" i="100"/>
  <c r="AH67" i="100"/>
  <c r="AG67" i="100"/>
  <c r="AF67" i="100"/>
  <c r="AE67" i="100"/>
  <c r="AD67" i="100"/>
  <c r="AC67" i="100"/>
  <c r="AB67" i="100"/>
  <c r="AA67" i="100"/>
  <c r="Y67" i="100"/>
  <c r="X67" i="100"/>
  <c r="W67" i="100"/>
  <c r="U67" i="100"/>
  <c r="S67" i="100"/>
  <c r="I67" i="100"/>
  <c r="H67" i="100"/>
  <c r="G67" i="100"/>
  <c r="F67" i="100"/>
  <c r="E67" i="100"/>
  <c r="D67" i="100"/>
  <c r="C67" i="100"/>
  <c r="B67" i="100"/>
  <c r="A67" i="100"/>
  <c r="AV66" i="100"/>
  <c r="AU66" i="100"/>
  <c r="AT66" i="100"/>
  <c r="AS66" i="100"/>
  <c r="AR66" i="100"/>
  <c r="AQ66" i="100"/>
  <c r="AP66" i="100"/>
  <c r="AO66" i="100"/>
  <c r="AN66" i="100"/>
  <c r="AM66" i="100"/>
  <c r="AL66" i="100"/>
  <c r="AK66" i="100"/>
  <c r="AJ66" i="100"/>
  <c r="AI66" i="100"/>
  <c r="AH66" i="100"/>
  <c r="AG66" i="100"/>
  <c r="AF66" i="100"/>
  <c r="AE66" i="100"/>
  <c r="AD66" i="100"/>
  <c r="AC66" i="100"/>
  <c r="AB66" i="100"/>
  <c r="AA66" i="100"/>
  <c r="Y66" i="100"/>
  <c r="X66" i="100"/>
  <c r="W66" i="100"/>
  <c r="U66" i="100"/>
  <c r="U64" i="100" s="1"/>
  <c r="S66" i="100"/>
  <c r="R66" i="100"/>
  <c r="Q66" i="100"/>
  <c r="P66" i="100"/>
  <c r="N66" i="100"/>
  <c r="I66" i="100"/>
  <c r="H66" i="100"/>
  <c r="G66" i="100"/>
  <c r="F66" i="100"/>
  <c r="E66" i="100"/>
  <c r="D66" i="100"/>
  <c r="C66" i="100"/>
  <c r="B66" i="100"/>
  <c r="A66" i="100"/>
  <c r="AV65" i="100"/>
  <c r="AU65" i="100"/>
  <c r="AT65" i="100"/>
  <c r="AS65" i="100"/>
  <c r="AR65" i="100"/>
  <c r="AQ65" i="100"/>
  <c r="AQ64" i="100" s="1"/>
  <c r="AP65" i="100"/>
  <c r="AO65" i="100"/>
  <c r="AN65" i="100"/>
  <c r="AM65" i="100"/>
  <c r="AM64" i="100" s="1"/>
  <c r="AL65" i="100"/>
  <c r="AK65" i="100"/>
  <c r="AJ65" i="100"/>
  <c r="AI65" i="100"/>
  <c r="AH65" i="100"/>
  <c r="AG65" i="100"/>
  <c r="AF65" i="100"/>
  <c r="AE65" i="100"/>
  <c r="AD65" i="100"/>
  <c r="AC65" i="100"/>
  <c r="AA65" i="100"/>
  <c r="Y65" i="100"/>
  <c r="X65" i="100"/>
  <c r="W65" i="100"/>
  <c r="W64" i="100" s="1"/>
  <c r="U65" i="100"/>
  <c r="S65" i="100"/>
  <c r="S64" i="100" s="1"/>
  <c r="R65" i="100"/>
  <c r="Q65" i="100"/>
  <c r="P65" i="100"/>
  <c r="O65" i="100"/>
  <c r="N65" i="100"/>
  <c r="I65" i="100"/>
  <c r="H65" i="100"/>
  <c r="G65" i="100"/>
  <c r="F65" i="100"/>
  <c r="E65" i="100"/>
  <c r="D65" i="100"/>
  <c r="C65" i="100"/>
  <c r="B65" i="100"/>
  <c r="A65" i="100"/>
  <c r="AS64" i="100"/>
  <c r="AO64" i="100"/>
  <c r="AK64" i="100"/>
  <c r="AG64" i="100"/>
  <c r="AE64" i="100"/>
  <c r="AC64" i="100"/>
  <c r="Z64" i="100"/>
  <c r="X64" i="100"/>
  <c r="R64" i="100"/>
  <c r="M64" i="100"/>
  <c r="L64" i="100"/>
  <c r="AV63" i="100"/>
  <c r="AU63" i="100"/>
  <c r="AT63" i="100"/>
  <c r="AS63" i="100"/>
  <c r="AR63" i="100"/>
  <c r="AQ63" i="100"/>
  <c r="AP63" i="100"/>
  <c r="AO63" i="100"/>
  <c r="AN63" i="100"/>
  <c r="AM63" i="100"/>
  <c r="AL63" i="100"/>
  <c r="AK63" i="100"/>
  <c r="AJ63" i="100"/>
  <c r="AI63" i="100"/>
  <c r="AH63" i="100"/>
  <c r="AG63" i="100"/>
  <c r="AF63" i="100"/>
  <c r="AE63" i="100"/>
  <c r="AD63" i="100"/>
  <c r="AC63" i="100"/>
  <c r="AA63" i="100"/>
  <c r="Y63" i="100"/>
  <c r="X63" i="100"/>
  <c r="W63" i="100"/>
  <c r="U63" i="100"/>
  <c r="S63" i="100"/>
  <c r="S61" i="100" s="1"/>
  <c r="R63" i="100"/>
  <c r="Q63" i="100"/>
  <c r="P63" i="100"/>
  <c r="O63" i="100"/>
  <c r="N63" i="100"/>
  <c r="I63" i="100"/>
  <c r="H63" i="100"/>
  <c r="G63" i="100"/>
  <c r="F63" i="100"/>
  <c r="E63" i="100"/>
  <c r="D63" i="100"/>
  <c r="C63" i="100"/>
  <c r="B63" i="100"/>
  <c r="A63" i="100"/>
  <c r="AV62" i="100"/>
  <c r="AU62" i="100"/>
  <c r="AT62" i="100"/>
  <c r="AS62" i="100"/>
  <c r="AS61" i="100" s="1"/>
  <c r="AR62" i="100"/>
  <c r="AQ62" i="100"/>
  <c r="AQ61" i="100" s="1"/>
  <c r="AP62" i="100"/>
  <c r="AO62" i="100"/>
  <c r="AO61" i="100" s="1"/>
  <c r="AN62" i="100"/>
  <c r="AM62" i="100"/>
  <c r="AM61" i="100" s="1"/>
  <c r="AL62" i="100"/>
  <c r="AK62" i="100"/>
  <c r="AK61" i="100" s="1"/>
  <c r="AJ62" i="100"/>
  <c r="AI62" i="100"/>
  <c r="AH62" i="100"/>
  <c r="AG62" i="100"/>
  <c r="AG61" i="100" s="1"/>
  <c r="AF62" i="100"/>
  <c r="AE62" i="100"/>
  <c r="AE61" i="100" s="1"/>
  <c r="AD62" i="100"/>
  <c r="AC62" i="100"/>
  <c r="AC61" i="100" s="1"/>
  <c r="AA62" i="100"/>
  <c r="X62" i="100"/>
  <c r="X61" i="100" s="1"/>
  <c r="W62" i="100"/>
  <c r="U62" i="100"/>
  <c r="U61" i="100" s="1"/>
  <c r="S62" i="100"/>
  <c r="R62" i="100"/>
  <c r="R61" i="100" s="1"/>
  <c r="Q62" i="100"/>
  <c r="P62" i="100"/>
  <c r="O62" i="100"/>
  <c r="N62" i="100"/>
  <c r="I62" i="100"/>
  <c r="H62" i="100"/>
  <c r="G62" i="100"/>
  <c r="F62" i="100"/>
  <c r="E62" i="100"/>
  <c r="D62" i="100"/>
  <c r="C62" i="100"/>
  <c r="B62" i="100"/>
  <c r="A62" i="100"/>
  <c r="AT61" i="100"/>
  <c r="AR61" i="100"/>
  <c r="AP61" i="100"/>
  <c r="AN61" i="100"/>
  <c r="AL61" i="100"/>
  <c r="AJ61" i="100"/>
  <c r="AF61" i="100"/>
  <c r="AD61" i="100"/>
  <c r="Z61" i="100"/>
  <c r="W61" i="100"/>
  <c r="M61" i="100"/>
  <c r="L61" i="100"/>
  <c r="AV60" i="100"/>
  <c r="AU60" i="100"/>
  <c r="AT60" i="100"/>
  <c r="AR60" i="100"/>
  <c r="AJ60" i="100"/>
  <c r="AI60" i="100"/>
  <c r="AH60" i="100"/>
  <c r="AG60" i="100"/>
  <c r="AF60" i="100"/>
  <c r="AE60" i="100"/>
  <c r="AD60" i="100"/>
  <c r="AC60" i="100"/>
  <c r="AB60" i="100"/>
  <c r="AA60" i="100"/>
  <c r="Y60" i="100"/>
  <c r="X60" i="100"/>
  <c r="W60" i="100"/>
  <c r="U60" i="100"/>
  <c r="T60" i="100"/>
  <c r="S60" i="100"/>
  <c r="R60" i="100"/>
  <c r="Q60" i="100"/>
  <c r="P60" i="100"/>
  <c r="O60" i="100"/>
  <c r="N60" i="100"/>
  <c r="AV59" i="100"/>
  <c r="AU59" i="100"/>
  <c r="AT59" i="100"/>
  <c r="AS59" i="100"/>
  <c r="AR59" i="100"/>
  <c r="AQ59" i="100"/>
  <c r="AQ49" i="100" s="1"/>
  <c r="AP59" i="100"/>
  <c r="AO59" i="100"/>
  <c r="AN59" i="100"/>
  <c r="AM59" i="100"/>
  <c r="AM49" i="100" s="1"/>
  <c r="AL59" i="100"/>
  <c r="AK59" i="100"/>
  <c r="AJ59" i="100"/>
  <c r="AI59" i="100"/>
  <c r="AI49" i="100" s="1"/>
  <c r="AH59" i="100"/>
  <c r="AG59" i="100"/>
  <c r="AF59" i="100"/>
  <c r="AE59" i="100"/>
  <c r="AD59" i="100"/>
  <c r="AC59" i="100"/>
  <c r="AA59" i="100"/>
  <c r="X59" i="100"/>
  <c r="W59" i="100"/>
  <c r="U59" i="100"/>
  <c r="S59" i="100"/>
  <c r="R59" i="100"/>
  <c r="Q59" i="100"/>
  <c r="P59" i="100"/>
  <c r="O59" i="100"/>
  <c r="N59" i="100"/>
  <c r="I59" i="100"/>
  <c r="H59" i="100"/>
  <c r="G59" i="100"/>
  <c r="F59" i="100"/>
  <c r="E59" i="100"/>
  <c r="D59" i="100"/>
  <c r="C59" i="100"/>
  <c r="B59" i="100"/>
  <c r="A59" i="100"/>
  <c r="AV58" i="100"/>
  <c r="AU58" i="100"/>
  <c r="AT58" i="100"/>
  <c r="AS58" i="100"/>
  <c r="AR58" i="100"/>
  <c r="AQ58" i="100"/>
  <c r="AP58" i="100"/>
  <c r="AO58" i="100"/>
  <c r="AN58" i="100"/>
  <c r="AM58" i="100"/>
  <c r="AL58" i="100"/>
  <c r="AK58" i="100"/>
  <c r="AJ58" i="100"/>
  <c r="AI58" i="100"/>
  <c r="AH58" i="100"/>
  <c r="AG58" i="100"/>
  <c r="AF58" i="100"/>
  <c r="AE58" i="100"/>
  <c r="AD58" i="100"/>
  <c r="AC58" i="100"/>
  <c r="AA58" i="100"/>
  <c r="X58" i="100"/>
  <c r="W58" i="100"/>
  <c r="U58" i="100"/>
  <c r="S58" i="100"/>
  <c r="R58" i="100"/>
  <c r="Q58" i="100"/>
  <c r="P58" i="100"/>
  <c r="O58" i="100"/>
  <c r="N58" i="100"/>
  <c r="I58" i="100"/>
  <c r="H58" i="100"/>
  <c r="G58" i="100"/>
  <c r="F58" i="100"/>
  <c r="E58" i="100"/>
  <c r="D58" i="100"/>
  <c r="C58" i="100"/>
  <c r="B58" i="100"/>
  <c r="A58" i="100"/>
  <c r="AV57" i="100"/>
  <c r="AU57" i="100"/>
  <c r="AT57" i="100"/>
  <c r="AS57" i="100"/>
  <c r="AR57" i="100"/>
  <c r="AQ57" i="100"/>
  <c r="AP57" i="100"/>
  <c r="AO57" i="100"/>
  <c r="AN57" i="100"/>
  <c r="AM57" i="100"/>
  <c r="AL57" i="100"/>
  <c r="AK57" i="100"/>
  <c r="AJ57" i="100"/>
  <c r="AI57" i="100"/>
  <c r="AH57" i="100"/>
  <c r="AG57" i="100"/>
  <c r="AF57" i="100"/>
  <c r="AE57" i="100"/>
  <c r="AD57" i="100"/>
  <c r="AC57" i="100"/>
  <c r="AB57" i="100"/>
  <c r="AA57" i="100"/>
  <c r="Y57" i="100"/>
  <c r="X57" i="100"/>
  <c r="W57" i="100"/>
  <c r="U57" i="100"/>
  <c r="T57" i="100"/>
  <c r="S57" i="100"/>
  <c r="I57" i="100"/>
  <c r="H57" i="100"/>
  <c r="G57" i="100"/>
  <c r="F57" i="100"/>
  <c r="E57" i="100"/>
  <c r="D57" i="100"/>
  <c r="C57" i="100"/>
  <c r="B57" i="100"/>
  <c r="A57" i="100"/>
  <c r="AV56" i="100"/>
  <c r="AU56" i="100"/>
  <c r="AT56" i="100"/>
  <c r="AS56" i="100"/>
  <c r="AR56" i="100"/>
  <c r="AQ56" i="100"/>
  <c r="AP56" i="100"/>
  <c r="AO56" i="100"/>
  <c r="AN56" i="100"/>
  <c r="AM56" i="100"/>
  <c r="AL56" i="100"/>
  <c r="AK56" i="100"/>
  <c r="AJ56" i="100"/>
  <c r="AI56" i="100"/>
  <c r="AH56" i="100"/>
  <c r="AG56" i="100"/>
  <c r="AF56" i="100"/>
  <c r="AE56" i="100"/>
  <c r="AD56" i="100"/>
  <c r="AC56" i="100"/>
  <c r="AB56" i="100"/>
  <c r="AA56" i="100"/>
  <c r="Y56" i="100"/>
  <c r="X56" i="100"/>
  <c r="W56" i="100"/>
  <c r="U56" i="100"/>
  <c r="T56" i="100"/>
  <c r="S56" i="100"/>
  <c r="I56" i="100"/>
  <c r="H56" i="100"/>
  <c r="G56" i="100"/>
  <c r="F56" i="100"/>
  <c r="E56" i="100"/>
  <c r="D56" i="100"/>
  <c r="C56" i="100"/>
  <c r="B56" i="100"/>
  <c r="A56" i="100"/>
  <c r="AV55" i="100"/>
  <c r="AU55" i="100"/>
  <c r="AT55" i="100"/>
  <c r="AV54" i="100"/>
  <c r="AU54" i="100"/>
  <c r="AT54" i="100"/>
  <c r="AS54" i="100"/>
  <c r="AR54" i="100"/>
  <c r="AQ54" i="100"/>
  <c r="AP54" i="100"/>
  <c r="AO54" i="100"/>
  <c r="AN54" i="100"/>
  <c r="AM54" i="100"/>
  <c r="AL54" i="100"/>
  <c r="AK54" i="100"/>
  <c r="AJ54" i="100"/>
  <c r="AI54" i="100"/>
  <c r="AH54" i="100"/>
  <c r="AG54" i="100"/>
  <c r="AF54" i="100"/>
  <c r="AE54" i="100"/>
  <c r="AD54" i="100"/>
  <c r="AC54" i="100"/>
  <c r="AB54" i="100"/>
  <c r="AA54" i="100"/>
  <c r="Y54" i="100"/>
  <c r="X54" i="100"/>
  <c r="W54" i="100"/>
  <c r="U54" i="100"/>
  <c r="S54" i="100"/>
  <c r="S49" i="100" s="1"/>
  <c r="R54" i="100"/>
  <c r="Q54" i="100"/>
  <c r="P54" i="100"/>
  <c r="N54" i="100"/>
  <c r="I54" i="100"/>
  <c r="H54" i="100"/>
  <c r="G54" i="100"/>
  <c r="F54" i="100"/>
  <c r="E54" i="100"/>
  <c r="D54" i="100"/>
  <c r="C54" i="100"/>
  <c r="B54" i="100"/>
  <c r="A54" i="100"/>
  <c r="AV53" i="100"/>
  <c r="AU53" i="100"/>
  <c r="AT53" i="100"/>
  <c r="AS53" i="100"/>
  <c r="AR53" i="100"/>
  <c r="AQ53" i="100"/>
  <c r="AP53" i="100"/>
  <c r="AO53" i="100"/>
  <c r="AN53" i="100"/>
  <c r="AM53" i="100"/>
  <c r="AL53" i="100"/>
  <c r="AK53" i="100"/>
  <c r="AJ53" i="100"/>
  <c r="AI53" i="100"/>
  <c r="AH53" i="100"/>
  <c r="AG53" i="100"/>
  <c r="AF53" i="100"/>
  <c r="AE53" i="100"/>
  <c r="AD53" i="100"/>
  <c r="AC53" i="100"/>
  <c r="AA53" i="100"/>
  <c r="Y53" i="100"/>
  <c r="X53" i="100"/>
  <c r="W53" i="100"/>
  <c r="U53" i="100"/>
  <c r="U49" i="100" s="1"/>
  <c r="S53" i="100"/>
  <c r="R53" i="100"/>
  <c r="Q53" i="100"/>
  <c r="P53" i="100"/>
  <c r="O53" i="100"/>
  <c r="N53" i="100"/>
  <c r="I53" i="100"/>
  <c r="H53" i="100"/>
  <c r="G53" i="100"/>
  <c r="F53" i="100"/>
  <c r="E53" i="100"/>
  <c r="D53" i="100"/>
  <c r="C53" i="100"/>
  <c r="B53" i="100"/>
  <c r="A53" i="100"/>
  <c r="AV52" i="100"/>
  <c r="AU52" i="100"/>
  <c r="AT52" i="100"/>
  <c r="AS52" i="100"/>
  <c r="AR52" i="100"/>
  <c r="AQ52" i="100"/>
  <c r="AP52" i="100"/>
  <c r="AO52" i="100"/>
  <c r="AN52" i="100"/>
  <c r="AM52" i="100"/>
  <c r="AL52" i="100"/>
  <c r="AK52" i="100"/>
  <c r="AJ52" i="100"/>
  <c r="AI52" i="100"/>
  <c r="AH52" i="100"/>
  <c r="AG52" i="100"/>
  <c r="AF52" i="100"/>
  <c r="AE52" i="100"/>
  <c r="AD52" i="100"/>
  <c r="AC52" i="100"/>
  <c r="AA52" i="100"/>
  <c r="X52" i="100"/>
  <c r="W52" i="100"/>
  <c r="U52" i="100"/>
  <c r="S52" i="100"/>
  <c r="R52" i="100"/>
  <c r="Q52" i="100"/>
  <c r="P52" i="100"/>
  <c r="O52" i="100"/>
  <c r="N52" i="100"/>
  <c r="I52" i="100"/>
  <c r="H52" i="100"/>
  <c r="G52" i="100"/>
  <c r="F52" i="100"/>
  <c r="E52" i="100"/>
  <c r="D52" i="100"/>
  <c r="C52" i="100"/>
  <c r="B52" i="100"/>
  <c r="A52" i="100"/>
  <c r="AV51" i="100"/>
  <c r="AU51" i="100"/>
  <c r="AT51" i="100"/>
  <c r="AS51" i="100"/>
  <c r="AS49" i="100" s="1"/>
  <c r="AR51" i="100"/>
  <c r="AQ51" i="100"/>
  <c r="AP51" i="100"/>
  <c r="AO51" i="100"/>
  <c r="AO49" i="100" s="1"/>
  <c r="AN51" i="100"/>
  <c r="AM51" i="100"/>
  <c r="AL51" i="100"/>
  <c r="AK51" i="100"/>
  <c r="AK49" i="100" s="1"/>
  <c r="AJ51" i="100"/>
  <c r="AI51" i="100"/>
  <c r="AH51" i="100"/>
  <c r="AG51" i="100"/>
  <c r="AG49" i="100" s="1"/>
  <c r="AF51" i="100"/>
  <c r="AE51" i="100"/>
  <c r="AD51" i="100"/>
  <c r="AC51" i="100"/>
  <c r="AC49" i="100" s="1"/>
  <c r="AB51" i="100"/>
  <c r="AA51" i="100"/>
  <c r="AA49" i="100" s="1"/>
  <c r="Y51" i="100"/>
  <c r="X51" i="100"/>
  <c r="W51" i="100"/>
  <c r="U51" i="100"/>
  <c r="S51" i="100"/>
  <c r="AV50" i="100"/>
  <c r="AU50" i="100"/>
  <c r="AT50" i="100"/>
  <c r="AS50" i="100"/>
  <c r="AR50" i="100"/>
  <c r="AR49" i="100" s="1"/>
  <c r="AQ50" i="100"/>
  <c r="AP50" i="100"/>
  <c r="AP49" i="100" s="1"/>
  <c r="AO50" i="100"/>
  <c r="AN50" i="100"/>
  <c r="AN49" i="100" s="1"/>
  <c r="AM50" i="100"/>
  <c r="AL50" i="100"/>
  <c r="AK50" i="100"/>
  <c r="AJ50" i="100"/>
  <c r="AJ49" i="100" s="1"/>
  <c r="AI50" i="100"/>
  <c r="AH50" i="100"/>
  <c r="AG50" i="100"/>
  <c r="AF50" i="100"/>
  <c r="AF49" i="100" s="1"/>
  <c r="AE50" i="100"/>
  <c r="AD50" i="100"/>
  <c r="AC50" i="100"/>
  <c r="AB50" i="100"/>
  <c r="AA50" i="100"/>
  <c r="Y50" i="100"/>
  <c r="X50" i="100"/>
  <c r="W50" i="100"/>
  <c r="W49" i="100" s="1"/>
  <c r="U50" i="100"/>
  <c r="S50" i="100"/>
  <c r="R50" i="100"/>
  <c r="Q50" i="100"/>
  <c r="P50" i="100"/>
  <c r="O50" i="100"/>
  <c r="N50" i="100"/>
  <c r="AV49" i="100"/>
  <c r="AE49" i="100"/>
  <c r="Z49" i="100"/>
  <c r="M49" i="100"/>
  <c r="L49" i="100"/>
  <c r="AV48" i="100"/>
  <c r="AU48" i="100"/>
  <c r="AT48" i="100"/>
  <c r="AR48" i="100"/>
  <c r="AJ48" i="100"/>
  <c r="AI48" i="100"/>
  <c r="AH48" i="100"/>
  <c r="AG48" i="100"/>
  <c r="AF48" i="100"/>
  <c r="AE48" i="100"/>
  <c r="AD48" i="100"/>
  <c r="AC48" i="100"/>
  <c r="AB48" i="100"/>
  <c r="AA48" i="100"/>
  <c r="Y48" i="100"/>
  <c r="X48" i="100"/>
  <c r="W48" i="100"/>
  <c r="V48" i="100"/>
  <c r="U48" i="100"/>
  <c r="T48" i="100"/>
  <c r="S48" i="100"/>
  <c r="R48" i="100"/>
  <c r="Q48" i="100"/>
  <c r="P48" i="100"/>
  <c r="O48" i="100"/>
  <c r="N48" i="100"/>
  <c r="AV47" i="100"/>
  <c r="AU47" i="100"/>
  <c r="AT47" i="100"/>
  <c r="AS47" i="100"/>
  <c r="AR47" i="100"/>
  <c r="AQ47" i="100"/>
  <c r="AP47" i="100"/>
  <c r="AO47" i="100"/>
  <c r="AN47" i="100"/>
  <c r="AM47" i="100"/>
  <c r="AL47" i="100"/>
  <c r="AK47" i="100"/>
  <c r="AJ47" i="100"/>
  <c r="AI47" i="100"/>
  <c r="AH47" i="100"/>
  <c r="AG47" i="100"/>
  <c r="AF47" i="100"/>
  <c r="AE47" i="100"/>
  <c r="AD47" i="100"/>
  <c r="AC47" i="100"/>
  <c r="AA47" i="100"/>
  <c r="Y47" i="100"/>
  <c r="X47" i="100"/>
  <c r="W47" i="100"/>
  <c r="U47" i="100"/>
  <c r="T47" i="100"/>
  <c r="S47" i="100"/>
  <c r="Q47" i="100"/>
  <c r="P47" i="100"/>
  <c r="O47" i="100"/>
  <c r="AV46" i="100"/>
  <c r="AU46" i="100"/>
  <c r="AT46" i="100"/>
  <c r="AS46" i="100"/>
  <c r="AR46" i="100"/>
  <c r="AQ46" i="100"/>
  <c r="AP46" i="100"/>
  <c r="AO46" i="100"/>
  <c r="AN46" i="100"/>
  <c r="AM46" i="100"/>
  <c r="AL46" i="100"/>
  <c r="AK46" i="100"/>
  <c r="AJ46" i="100"/>
  <c r="AI46" i="100"/>
  <c r="AH46" i="100"/>
  <c r="AG46" i="100"/>
  <c r="AF46" i="100"/>
  <c r="AE46" i="100"/>
  <c r="AD46" i="100"/>
  <c r="AC46" i="100"/>
  <c r="AA46" i="100"/>
  <c r="Y46" i="100"/>
  <c r="X46" i="100"/>
  <c r="W46" i="100"/>
  <c r="U46" i="100"/>
  <c r="T46" i="100"/>
  <c r="S46" i="100"/>
  <c r="R46" i="100"/>
  <c r="Q46" i="100"/>
  <c r="P46" i="100"/>
  <c r="O46" i="100"/>
  <c r="N46" i="100"/>
  <c r="I46" i="100"/>
  <c r="H46" i="100"/>
  <c r="G46" i="100"/>
  <c r="F46" i="100"/>
  <c r="E46" i="100"/>
  <c r="D46" i="100"/>
  <c r="C46" i="100"/>
  <c r="B46" i="100"/>
  <c r="A46" i="100"/>
  <c r="AV45" i="100"/>
  <c r="AU45" i="100"/>
  <c r="AT45" i="100"/>
  <c r="AS45" i="100"/>
  <c r="AR45" i="100"/>
  <c r="AQ45" i="100"/>
  <c r="AP45" i="100"/>
  <c r="AO45" i="100"/>
  <c r="AN45" i="100"/>
  <c r="AM45" i="100"/>
  <c r="AL45" i="100"/>
  <c r="AK45" i="100"/>
  <c r="AJ45" i="100"/>
  <c r="AI45" i="100"/>
  <c r="AH45" i="100"/>
  <c r="AG45" i="100"/>
  <c r="AF45" i="100"/>
  <c r="AE45" i="100"/>
  <c r="AD45" i="100"/>
  <c r="AC45" i="100"/>
  <c r="AA45" i="100"/>
  <c r="Y45" i="100"/>
  <c r="X45" i="100"/>
  <c r="W45" i="100"/>
  <c r="U45" i="100"/>
  <c r="T45" i="100"/>
  <c r="S45" i="100"/>
  <c r="R45" i="100"/>
  <c r="Q45" i="100"/>
  <c r="P45" i="100"/>
  <c r="O45" i="100"/>
  <c r="N45" i="100"/>
  <c r="I45" i="100"/>
  <c r="H45" i="100"/>
  <c r="G45" i="100"/>
  <c r="F45" i="100"/>
  <c r="E45" i="100"/>
  <c r="D45" i="100"/>
  <c r="C45" i="100"/>
  <c r="B45" i="100"/>
  <c r="A45" i="100"/>
  <c r="AV44" i="100"/>
  <c r="AU44" i="100"/>
  <c r="AT44" i="100"/>
  <c r="AS44" i="100"/>
  <c r="AR44" i="100"/>
  <c r="AQ44" i="100"/>
  <c r="AP44" i="100"/>
  <c r="AO44" i="100"/>
  <c r="AN44" i="100"/>
  <c r="AM44" i="100"/>
  <c r="AL44" i="100"/>
  <c r="AK44" i="100"/>
  <c r="AJ44" i="100"/>
  <c r="AI44" i="100"/>
  <c r="AH44" i="100"/>
  <c r="AG44" i="100"/>
  <c r="AF44" i="100"/>
  <c r="AE44" i="100"/>
  <c r="AD44" i="100"/>
  <c r="AC44" i="100"/>
  <c r="AA44" i="100"/>
  <c r="Y44" i="100"/>
  <c r="X44" i="100"/>
  <c r="W44" i="100"/>
  <c r="U44" i="100"/>
  <c r="T44" i="100"/>
  <c r="S44" i="100"/>
  <c r="R44" i="100"/>
  <c r="Q44" i="100"/>
  <c r="P44" i="100"/>
  <c r="O44" i="100"/>
  <c r="N44" i="100"/>
  <c r="I44" i="100"/>
  <c r="H44" i="100"/>
  <c r="G44" i="100"/>
  <c r="F44" i="100"/>
  <c r="E44" i="100"/>
  <c r="D44" i="100"/>
  <c r="C44" i="100"/>
  <c r="B44" i="100"/>
  <c r="A44" i="100"/>
  <c r="AV43" i="100"/>
  <c r="AU43" i="100"/>
  <c r="AT43" i="100"/>
  <c r="AS43" i="100"/>
  <c r="AR43" i="100"/>
  <c r="AQ43" i="100"/>
  <c r="AP43" i="100"/>
  <c r="AO43" i="100"/>
  <c r="AN43" i="100"/>
  <c r="AM43" i="100"/>
  <c r="AL43" i="100"/>
  <c r="AK43" i="100"/>
  <c r="AJ43" i="100"/>
  <c r="AI43" i="100"/>
  <c r="AH43" i="100"/>
  <c r="AG43" i="100"/>
  <c r="AF43" i="100"/>
  <c r="AE43" i="100"/>
  <c r="AD43" i="100"/>
  <c r="AC43" i="100"/>
  <c r="AA43" i="100"/>
  <c r="Y43" i="100"/>
  <c r="X43" i="100"/>
  <c r="W43" i="100"/>
  <c r="U43" i="100"/>
  <c r="T43" i="100"/>
  <c r="S43" i="100"/>
  <c r="R43" i="100"/>
  <c r="Q43" i="100"/>
  <c r="P43" i="100"/>
  <c r="O43" i="100"/>
  <c r="N43" i="100"/>
  <c r="I43" i="100"/>
  <c r="H43" i="100"/>
  <c r="G43" i="100"/>
  <c r="F43" i="100"/>
  <c r="E43" i="100"/>
  <c r="D43" i="100"/>
  <c r="C43" i="100"/>
  <c r="B43" i="100"/>
  <c r="A43" i="100"/>
  <c r="AV42" i="100"/>
  <c r="AU42" i="100"/>
  <c r="AT42" i="100"/>
  <c r="AS42" i="100"/>
  <c r="AR42" i="100"/>
  <c r="AQ42" i="100"/>
  <c r="AP42" i="100"/>
  <c r="AO42" i="100"/>
  <c r="AN42" i="100"/>
  <c r="AM42" i="100"/>
  <c r="AL42" i="100"/>
  <c r="AK42" i="100"/>
  <c r="AJ42" i="100"/>
  <c r="AI42" i="100"/>
  <c r="AH42" i="100"/>
  <c r="AG42" i="100"/>
  <c r="AF42" i="100"/>
  <c r="AE42" i="100"/>
  <c r="AD42" i="100"/>
  <c r="AC42" i="100"/>
  <c r="AA42" i="100"/>
  <c r="Y42" i="100"/>
  <c r="X42" i="100"/>
  <c r="W42" i="100"/>
  <c r="U42" i="100"/>
  <c r="T42" i="100"/>
  <c r="S42" i="100"/>
  <c r="R42" i="100"/>
  <c r="Q42" i="100"/>
  <c r="P42" i="100"/>
  <c r="O42" i="100"/>
  <c r="N42" i="100"/>
  <c r="I42" i="100"/>
  <c r="H42" i="100"/>
  <c r="G42" i="100"/>
  <c r="F42" i="100"/>
  <c r="E42" i="100"/>
  <c r="D42" i="100"/>
  <c r="C42" i="100"/>
  <c r="B42" i="100"/>
  <c r="A42" i="100"/>
  <c r="AV41" i="100"/>
  <c r="AU41" i="100"/>
  <c r="AS41" i="100"/>
  <c r="AR41" i="100"/>
  <c r="AQ41" i="100"/>
  <c r="AP41" i="100"/>
  <c r="AO41" i="100"/>
  <c r="AN41" i="100"/>
  <c r="AM41" i="100"/>
  <c r="AL41" i="100"/>
  <c r="AK41" i="100"/>
  <c r="AJ41" i="100"/>
  <c r="AI41" i="100"/>
  <c r="AH41" i="100"/>
  <c r="AG41" i="100"/>
  <c r="AF41" i="100"/>
  <c r="AE41" i="100"/>
  <c r="AD41" i="100"/>
  <c r="AC41" i="100"/>
  <c r="AA41" i="100"/>
  <c r="X41" i="100"/>
  <c r="W41" i="100"/>
  <c r="U41" i="100"/>
  <c r="T41" i="100"/>
  <c r="S41" i="100"/>
  <c r="R41" i="100"/>
  <c r="Q41" i="100"/>
  <c r="P41" i="100"/>
  <c r="O41" i="100"/>
  <c r="N41" i="100"/>
  <c r="I41" i="100"/>
  <c r="H41" i="100"/>
  <c r="G41" i="100"/>
  <c r="F41" i="100"/>
  <c r="E41" i="100"/>
  <c r="D41" i="100"/>
  <c r="C41" i="100"/>
  <c r="B41" i="100"/>
  <c r="A41" i="100"/>
  <c r="AV40" i="100"/>
  <c r="AU40" i="100"/>
  <c r="AT40" i="100"/>
  <c r="AS40" i="100"/>
  <c r="AR40" i="100"/>
  <c r="AQ40" i="100"/>
  <c r="AP40" i="100"/>
  <c r="AO40" i="100"/>
  <c r="AN40" i="100"/>
  <c r="AM40" i="100"/>
  <c r="AL40" i="100"/>
  <c r="AK40" i="100"/>
  <c r="AJ40" i="100"/>
  <c r="AI40" i="100"/>
  <c r="AH40" i="100"/>
  <c r="AG40" i="100"/>
  <c r="AF40" i="100"/>
  <c r="AE40" i="100"/>
  <c r="AD40" i="100"/>
  <c r="AC40" i="100"/>
  <c r="AB40" i="100"/>
  <c r="AA40" i="100"/>
  <c r="Y40" i="100"/>
  <c r="X40" i="100"/>
  <c r="W40" i="100"/>
  <c r="U40" i="100"/>
  <c r="T40" i="100"/>
  <c r="S40" i="100"/>
  <c r="R40" i="100"/>
  <c r="Q40" i="100"/>
  <c r="P40" i="100"/>
  <c r="O40" i="100"/>
  <c r="N40" i="100"/>
  <c r="I40" i="100"/>
  <c r="H40" i="100"/>
  <c r="G40" i="100"/>
  <c r="F40" i="100"/>
  <c r="E40" i="100"/>
  <c r="D40" i="100"/>
  <c r="C40" i="100"/>
  <c r="B40" i="100"/>
  <c r="A40" i="100"/>
  <c r="AV39" i="100"/>
  <c r="AU39" i="100"/>
  <c r="AT39" i="100"/>
  <c r="AS39" i="100"/>
  <c r="AR39" i="100"/>
  <c r="AQ39" i="100"/>
  <c r="AP39" i="100"/>
  <c r="AO39" i="100"/>
  <c r="AN39" i="100"/>
  <c r="AM39" i="100"/>
  <c r="AL39" i="100"/>
  <c r="AK39" i="100"/>
  <c r="AJ39" i="100"/>
  <c r="AI39" i="100"/>
  <c r="AH39" i="100"/>
  <c r="AG39" i="100"/>
  <c r="AF39" i="100"/>
  <c r="AE39" i="100"/>
  <c r="AD39" i="100"/>
  <c r="AC39" i="100"/>
  <c r="AA39" i="100"/>
  <c r="Y39" i="100"/>
  <c r="X39" i="100"/>
  <c r="X34" i="100" s="1"/>
  <c r="W39" i="100"/>
  <c r="U39" i="100"/>
  <c r="T39" i="100"/>
  <c r="S39" i="100"/>
  <c r="S34" i="100" s="1"/>
  <c r="R39" i="100"/>
  <c r="Q39" i="100"/>
  <c r="P39" i="100"/>
  <c r="O39" i="100"/>
  <c r="N39" i="100"/>
  <c r="I39" i="100"/>
  <c r="H39" i="100"/>
  <c r="G39" i="100"/>
  <c r="F39" i="100"/>
  <c r="E39" i="100"/>
  <c r="D39" i="100"/>
  <c r="C39" i="100"/>
  <c r="B39" i="100"/>
  <c r="A39" i="100"/>
  <c r="AV38" i="100"/>
  <c r="AU38" i="100"/>
  <c r="AT38" i="100"/>
  <c r="AS38" i="100"/>
  <c r="AR38" i="100"/>
  <c r="AQ38" i="100"/>
  <c r="AQ34" i="100" s="1"/>
  <c r="AP38" i="100"/>
  <c r="AO38" i="100"/>
  <c r="AN38" i="100"/>
  <c r="AM38" i="100"/>
  <c r="AM34" i="100" s="1"/>
  <c r="AL38" i="100"/>
  <c r="AK38" i="100"/>
  <c r="AJ38" i="100"/>
  <c r="AI38" i="100"/>
  <c r="AH38" i="100"/>
  <c r="AG38" i="100"/>
  <c r="AF38" i="100"/>
  <c r="AE38" i="100"/>
  <c r="AD38" i="100"/>
  <c r="AC38" i="100"/>
  <c r="AA38" i="100"/>
  <c r="Y38" i="100"/>
  <c r="X38" i="100"/>
  <c r="W38" i="100"/>
  <c r="U38" i="100"/>
  <c r="T38" i="100"/>
  <c r="S38" i="100"/>
  <c r="R38" i="100"/>
  <c r="Q38" i="100"/>
  <c r="P38" i="100"/>
  <c r="O38" i="100"/>
  <c r="N38" i="100"/>
  <c r="I38" i="100"/>
  <c r="H38" i="100"/>
  <c r="G38" i="100"/>
  <c r="F38" i="100"/>
  <c r="E38" i="100"/>
  <c r="D38" i="100"/>
  <c r="C38" i="100"/>
  <c r="B38" i="100"/>
  <c r="A38" i="100"/>
  <c r="AV37" i="100"/>
  <c r="AU37" i="100"/>
  <c r="AT37" i="100"/>
  <c r="AS37" i="100"/>
  <c r="AR37" i="100"/>
  <c r="AQ37" i="100"/>
  <c r="AP37" i="100"/>
  <c r="AO37" i="100"/>
  <c r="AN37" i="100"/>
  <c r="AM37" i="100"/>
  <c r="AL37" i="100"/>
  <c r="AK37" i="100"/>
  <c r="AJ37" i="100"/>
  <c r="AI37" i="100"/>
  <c r="AH37" i="100"/>
  <c r="AG37" i="100"/>
  <c r="AF37" i="100"/>
  <c r="AE37" i="100"/>
  <c r="AD37" i="100"/>
  <c r="AC37" i="100"/>
  <c r="AA37" i="100"/>
  <c r="Y37" i="100"/>
  <c r="X37" i="100"/>
  <c r="W37" i="100"/>
  <c r="U37" i="100"/>
  <c r="U34" i="100" s="1"/>
  <c r="T37" i="100"/>
  <c r="S37" i="100"/>
  <c r="R37" i="100"/>
  <c r="Q37" i="100"/>
  <c r="P37" i="100"/>
  <c r="O37" i="100"/>
  <c r="N37" i="100"/>
  <c r="I37" i="100"/>
  <c r="H37" i="100"/>
  <c r="G37" i="100"/>
  <c r="F37" i="100"/>
  <c r="E37" i="100"/>
  <c r="D37" i="100"/>
  <c r="C37" i="100"/>
  <c r="B37" i="100"/>
  <c r="A37" i="100"/>
  <c r="AV36" i="100"/>
  <c r="AU36" i="100"/>
  <c r="AT36" i="100"/>
  <c r="AS36" i="100"/>
  <c r="AR36" i="100"/>
  <c r="AQ36" i="100"/>
  <c r="AP36" i="100"/>
  <c r="AO36" i="100"/>
  <c r="AO34" i="100" s="1"/>
  <c r="AN36" i="100"/>
  <c r="AM36" i="100"/>
  <c r="AL36" i="100"/>
  <c r="AK36" i="100"/>
  <c r="AK34" i="100" s="1"/>
  <c r="AJ36" i="100"/>
  <c r="AI36" i="100"/>
  <c r="AH36" i="100"/>
  <c r="AG36" i="100"/>
  <c r="AG34" i="100" s="1"/>
  <c r="AF36" i="100"/>
  <c r="AE36" i="100"/>
  <c r="AD36" i="100"/>
  <c r="AC36" i="100"/>
  <c r="AC34" i="100" s="1"/>
  <c r="AA36" i="100"/>
  <c r="Y36" i="100"/>
  <c r="X36" i="100"/>
  <c r="W36" i="100"/>
  <c r="U36" i="100"/>
  <c r="T36" i="100"/>
  <c r="S36" i="100"/>
  <c r="R36" i="100"/>
  <c r="Q36" i="100"/>
  <c r="P36" i="100"/>
  <c r="O36" i="100"/>
  <c r="N36" i="100"/>
  <c r="I36" i="100"/>
  <c r="H36" i="100"/>
  <c r="G36" i="100"/>
  <c r="F36" i="100"/>
  <c r="E36" i="100"/>
  <c r="D36" i="100"/>
  <c r="C36" i="100"/>
  <c r="B36" i="100"/>
  <c r="A36" i="100"/>
  <c r="AV35" i="100"/>
  <c r="AU35" i="100"/>
  <c r="AT35" i="100"/>
  <c r="AS35" i="100"/>
  <c r="AR35" i="100"/>
  <c r="AQ35" i="100"/>
  <c r="AP35" i="100"/>
  <c r="AP34" i="100" s="1"/>
  <c r="AO35" i="100"/>
  <c r="AN35" i="100"/>
  <c r="AM35" i="100"/>
  <c r="AL35" i="100"/>
  <c r="AL34" i="100" s="1"/>
  <c r="AK35" i="100"/>
  <c r="AJ35" i="100"/>
  <c r="AI35" i="100"/>
  <c r="AH35" i="100"/>
  <c r="AG35" i="100"/>
  <c r="AF35" i="100"/>
  <c r="AE35" i="100"/>
  <c r="AD35" i="100"/>
  <c r="AD34" i="100" s="1"/>
  <c r="AC35" i="100"/>
  <c r="AB35" i="100"/>
  <c r="AA35" i="100"/>
  <c r="Y35" i="100"/>
  <c r="X35" i="100"/>
  <c r="W35" i="100"/>
  <c r="U35" i="100"/>
  <c r="T35" i="100"/>
  <c r="T34" i="100" s="1"/>
  <c r="S35" i="100"/>
  <c r="R35" i="100"/>
  <c r="Q35" i="100"/>
  <c r="P35" i="100"/>
  <c r="O35" i="100"/>
  <c r="N35" i="100"/>
  <c r="I35" i="100"/>
  <c r="H35" i="100"/>
  <c r="G35" i="100"/>
  <c r="F35" i="100"/>
  <c r="E35" i="100"/>
  <c r="D35" i="100"/>
  <c r="C35" i="100"/>
  <c r="B35" i="100"/>
  <c r="A35" i="100"/>
  <c r="AS34" i="100"/>
  <c r="AE34" i="100"/>
  <c r="Z34" i="100"/>
  <c r="M34" i="100"/>
  <c r="L34" i="100"/>
  <c r="AV33" i="100"/>
  <c r="AU33" i="100"/>
  <c r="AT33" i="100"/>
  <c r="AR33" i="100"/>
  <c r="AJ33" i="100"/>
  <c r="AI33" i="100"/>
  <c r="AH33" i="100"/>
  <c r="AG33" i="100"/>
  <c r="AF33" i="100"/>
  <c r="AE33" i="100"/>
  <c r="AD33" i="100"/>
  <c r="AC33" i="100"/>
  <c r="AB33" i="100"/>
  <c r="AA33" i="100"/>
  <c r="Y33" i="100"/>
  <c r="X33" i="100"/>
  <c r="W33" i="100"/>
  <c r="V33" i="100"/>
  <c r="U33" i="100"/>
  <c r="T33" i="100"/>
  <c r="S33" i="100"/>
  <c r="R33" i="100"/>
  <c r="Q33" i="100"/>
  <c r="P33" i="100"/>
  <c r="O33" i="100"/>
  <c r="N33" i="100"/>
  <c r="AV32" i="100"/>
  <c r="AU32" i="100"/>
  <c r="AT32" i="100"/>
  <c r="AS32" i="100"/>
  <c r="AR32" i="100"/>
  <c r="AQ32" i="100"/>
  <c r="AP32" i="100"/>
  <c r="AO32" i="100"/>
  <c r="AN32" i="100"/>
  <c r="AM32" i="100"/>
  <c r="AL32" i="100"/>
  <c r="AK32" i="100"/>
  <c r="AJ32" i="100"/>
  <c r="AI32" i="100"/>
  <c r="AH32" i="100"/>
  <c r="AG32" i="100"/>
  <c r="AF32" i="100"/>
  <c r="AE32" i="100"/>
  <c r="AD32" i="100"/>
  <c r="AC32" i="100"/>
  <c r="AA32" i="100"/>
  <c r="X32" i="100"/>
  <c r="W32" i="100"/>
  <c r="U32" i="100"/>
  <c r="T32" i="100"/>
  <c r="S32" i="100"/>
  <c r="R32" i="100"/>
  <c r="Q32" i="100"/>
  <c r="P32" i="100"/>
  <c r="O32" i="100"/>
  <c r="N32" i="100"/>
  <c r="I32" i="100"/>
  <c r="H32" i="100"/>
  <c r="G32" i="100"/>
  <c r="F32" i="100"/>
  <c r="E32" i="100"/>
  <c r="D32" i="100"/>
  <c r="C32" i="100"/>
  <c r="B32" i="100"/>
  <c r="A32" i="100"/>
  <c r="AV31" i="100"/>
  <c r="AU31" i="100"/>
  <c r="AT31" i="100"/>
  <c r="AS31" i="100"/>
  <c r="AR31" i="100"/>
  <c r="AQ31" i="100"/>
  <c r="AP31" i="100"/>
  <c r="AO31" i="100"/>
  <c r="AN31" i="100"/>
  <c r="AM31" i="100"/>
  <c r="AL31" i="100"/>
  <c r="AK31" i="100"/>
  <c r="AJ31" i="100"/>
  <c r="AI31" i="100"/>
  <c r="AH31" i="100"/>
  <c r="AG31" i="100"/>
  <c r="AF31" i="100"/>
  <c r="AE31" i="100"/>
  <c r="AD31" i="100"/>
  <c r="AC31" i="100"/>
  <c r="AA31" i="100"/>
  <c r="Y31" i="100"/>
  <c r="X31" i="100"/>
  <c r="W31" i="100"/>
  <c r="U31" i="100"/>
  <c r="T31" i="100"/>
  <c r="S31" i="100"/>
  <c r="R31" i="100"/>
  <c r="Q31" i="100"/>
  <c r="P31" i="100"/>
  <c r="O31" i="100"/>
  <c r="N31" i="100"/>
  <c r="I31" i="100"/>
  <c r="H31" i="100"/>
  <c r="G31" i="100"/>
  <c r="F31" i="100"/>
  <c r="E31" i="100"/>
  <c r="D31" i="100"/>
  <c r="C31" i="100"/>
  <c r="B31" i="100"/>
  <c r="A31" i="100"/>
  <c r="AV30" i="100"/>
  <c r="AU30" i="100"/>
  <c r="AT30" i="100"/>
  <c r="AS30" i="100"/>
  <c r="AR30" i="100"/>
  <c r="AQ30" i="100"/>
  <c r="AP30" i="100"/>
  <c r="AO30" i="100"/>
  <c r="AN30" i="100"/>
  <c r="AM30" i="100"/>
  <c r="AL30" i="100"/>
  <c r="AK30" i="100"/>
  <c r="AJ30" i="100"/>
  <c r="AI30" i="100"/>
  <c r="AH30" i="100"/>
  <c r="AG30" i="100"/>
  <c r="AF30" i="100"/>
  <c r="AE30" i="100"/>
  <c r="AD30" i="100"/>
  <c r="AC30" i="100"/>
  <c r="AA30" i="100"/>
  <c r="Y30" i="100"/>
  <c r="X30" i="100"/>
  <c r="W30" i="100"/>
  <c r="U30" i="100"/>
  <c r="T30" i="100"/>
  <c r="T24" i="100" s="1"/>
  <c r="S30" i="100"/>
  <c r="R30" i="100"/>
  <c r="Q30" i="100"/>
  <c r="P30" i="100"/>
  <c r="O30" i="100"/>
  <c r="N30" i="100"/>
  <c r="I30" i="100"/>
  <c r="H30" i="100"/>
  <c r="G30" i="100"/>
  <c r="F30" i="100"/>
  <c r="E30" i="100"/>
  <c r="D30" i="100"/>
  <c r="C30" i="100"/>
  <c r="B30" i="100"/>
  <c r="A30" i="100"/>
  <c r="AV29" i="100"/>
  <c r="AV24" i="100" s="1"/>
  <c r="AU29" i="100"/>
  <c r="AT29" i="100"/>
  <c r="AS29" i="100"/>
  <c r="AR29" i="100"/>
  <c r="AQ29" i="100"/>
  <c r="AP29" i="100"/>
  <c r="AO29" i="100"/>
  <c r="AN29" i="100"/>
  <c r="AM29" i="100"/>
  <c r="AL29" i="100"/>
  <c r="AK29" i="100"/>
  <c r="AJ29" i="100"/>
  <c r="AI29" i="100"/>
  <c r="AH29" i="100"/>
  <c r="AG29" i="100"/>
  <c r="AF29" i="100"/>
  <c r="AE29" i="100"/>
  <c r="AD29" i="100"/>
  <c r="AC29" i="100"/>
  <c r="AA29" i="100"/>
  <c r="Y29" i="100"/>
  <c r="X29" i="100"/>
  <c r="W29" i="100"/>
  <c r="U29" i="100"/>
  <c r="T29" i="100"/>
  <c r="S29" i="100"/>
  <c r="R29" i="100"/>
  <c r="Q29" i="100"/>
  <c r="P29" i="100"/>
  <c r="O29" i="100"/>
  <c r="N29" i="100"/>
  <c r="I29" i="100"/>
  <c r="H29" i="100"/>
  <c r="G29" i="100"/>
  <c r="F29" i="100"/>
  <c r="E29" i="100"/>
  <c r="D29" i="100"/>
  <c r="C29" i="100"/>
  <c r="B29" i="100"/>
  <c r="A29" i="100"/>
  <c r="AV28" i="100"/>
  <c r="AU28" i="100"/>
  <c r="AT28" i="100"/>
  <c r="AS28" i="100"/>
  <c r="AR28" i="100"/>
  <c r="AQ28" i="100"/>
  <c r="AP28" i="100"/>
  <c r="AO28" i="100"/>
  <c r="AN28" i="100"/>
  <c r="AM28" i="100"/>
  <c r="AL28" i="100"/>
  <c r="AK28" i="100"/>
  <c r="AJ28" i="100"/>
  <c r="AI28" i="100"/>
  <c r="AH28" i="100"/>
  <c r="AG28" i="100"/>
  <c r="AF28" i="100"/>
  <c r="AE28" i="100"/>
  <c r="AD28" i="100"/>
  <c r="AC28" i="100"/>
  <c r="AA28" i="100"/>
  <c r="Y28" i="100"/>
  <c r="X28" i="100"/>
  <c r="W28" i="100"/>
  <c r="U28" i="100"/>
  <c r="T28" i="100"/>
  <c r="S28" i="100"/>
  <c r="R28" i="100"/>
  <c r="Q28" i="100"/>
  <c r="P28" i="100"/>
  <c r="O28" i="100"/>
  <c r="N28" i="100"/>
  <c r="I28" i="100"/>
  <c r="H28" i="100"/>
  <c r="G28" i="100"/>
  <c r="F28" i="100"/>
  <c r="E28" i="100"/>
  <c r="D28" i="100"/>
  <c r="C28" i="100"/>
  <c r="B28" i="100"/>
  <c r="A28" i="100"/>
  <c r="AV27" i="100"/>
  <c r="AU27" i="100"/>
  <c r="AT27" i="100"/>
  <c r="AT24" i="100" s="1"/>
  <c r="AS27" i="100"/>
  <c r="AR27" i="100"/>
  <c r="AQ27" i="100"/>
  <c r="AP27" i="100"/>
  <c r="AO27" i="100"/>
  <c r="AN27" i="100"/>
  <c r="AN24" i="100" s="1"/>
  <c r="AM27" i="100"/>
  <c r="AL27" i="100"/>
  <c r="AL24" i="100" s="1"/>
  <c r="AK27" i="100"/>
  <c r="AJ27" i="100"/>
  <c r="AJ24" i="100" s="1"/>
  <c r="AI27" i="100"/>
  <c r="AH27" i="100"/>
  <c r="AH24" i="100" s="1"/>
  <c r="AG27" i="100"/>
  <c r="AF27" i="100"/>
  <c r="AF24" i="100" s="1"/>
  <c r="AE27" i="100"/>
  <c r="AD27" i="100"/>
  <c r="AD24" i="100" s="1"/>
  <c r="AC27" i="100"/>
  <c r="AA27" i="100"/>
  <c r="AA24" i="100" s="1"/>
  <c r="Y27" i="100"/>
  <c r="X27" i="100"/>
  <c r="W27" i="100"/>
  <c r="U27" i="100"/>
  <c r="T27" i="100"/>
  <c r="S27" i="100"/>
  <c r="R27" i="100"/>
  <c r="Q27" i="100"/>
  <c r="P27" i="100"/>
  <c r="O27" i="100"/>
  <c r="N27" i="100"/>
  <c r="I27" i="100"/>
  <c r="H27" i="100"/>
  <c r="G27" i="100"/>
  <c r="F27" i="100"/>
  <c r="E27" i="100"/>
  <c r="D27" i="100"/>
  <c r="C27" i="100"/>
  <c r="B27" i="100"/>
  <c r="A27" i="100"/>
  <c r="AV26" i="100"/>
  <c r="AU26" i="100"/>
  <c r="AT26" i="100"/>
  <c r="AS26" i="100"/>
  <c r="AR26" i="100"/>
  <c r="AQ26" i="100"/>
  <c r="AQ24" i="100" s="1"/>
  <c r="AP26" i="100"/>
  <c r="AO26" i="100"/>
  <c r="AN26" i="100"/>
  <c r="AM26" i="100"/>
  <c r="AM24" i="100" s="1"/>
  <c r="AL26" i="100"/>
  <c r="AK26" i="100"/>
  <c r="AJ26" i="100"/>
  <c r="AI26" i="100"/>
  <c r="AH26" i="100"/>
  <c r="AG26" i="100"/>
  <c r="AF26" i="100"/>
  <c r="AE26" i="100"/>
  <c r="AD26" i="100"/>
  <c r="AC26" i="100"/>
  <c r="AA26" i="100"/>
  <c r="X26" i="100"/>
  <c r="W26" i="100"/>
  <c r="U26" i="100"/>
  <c r="T26" i="100"/>
  <c r="S26" i="100"/>
  <c r="R26" i="100"/>
  <c r="Q26" i="100"/>
  <c r="P26" i="100"/>
  <c r="O26" i="100"/>
  <c r="N26" i="100"/>
  <c r="I26" i="100"/>
  <c r="H26" i="100"/>
  <c r="G26" i="100"/>
  <c r="F26" i="100"/>
  <c r="E26" i="100"/>
  <c r="D26" i="100"/>
  <c r="C26" i="100"/>
  <c r="B26" i="100"/>
  <c r="A26" i="100"/>
  <c r="AV25" i="100"/>
  <c r="AU25" i="100"/>
  <c r="AT25" i="100"/>
  <c r="AR25" i="100"/>
  <c r="AR24" i="100" s="1"/>
  <c r="AJ25" i="100"/>
  <c r="AI25" i="100"/>
  <c r="AI24" i="100" s="1"/>
  <c r="AH25" i="100"/>
  <c r="AG25" i="100"/>
  <c r="AF25" i="100"/>
  <c r="AE25" i="100"/>
  <c r="AE24" i="100" s="1"/>
  <c r="AD25" i="100"/>
  <c r="AC25" i="100"/>
  <c r="AA25" i="100"/>
  <c r="X25" i="100"/>
  <c r="X24" i="100" s="1"/>
  <c r="W25" i="100"/>
  <c r="U25" i="100"/>
  <c r="U24" i="100" s="1"/>
  <c r="T25" i="100"/>
  <c r="S25" i="100"/>
  <c r="S24" i="100" s="1"/>
  <c r="R25" i="100"/>
  <c r="Q25" i="100"/>
  <c r="P25" i="100"/>
  <c r="O25" i="100"/>
  <c r="N25" i="100"/>
  <c r="AS24" i="100"/>
  <c r="AP24" i="100"/>
  <c r="AO24" i="100"/>
  <c r="AK24" i="100"/>
  <c r="AG24" i="100"/>
  <c r="AC24" i="100"/>
  <c r="Z24" i="100"/>
  <c r="W24" i="100"/>
  <c r="R24" i="100"/>
  <c r="M24" i="100"/>
  <c r="L24" i="100"/>
  <c r="AV23" i="100"/>
  <c r="AU23" i="100"/>
  <c r="AT23" i="100"/>
  <c r="AS23" i="100"/>
  <c r="AR23" i="100"/>
  <c r="AQ23" i="100"/>
  <c r="AP23" i="100"/>
  <c r="AO23" i="100"/>
  <c r="AN23" i="100"/>
  <c r="AM23" i="100"/>
  <c r="AL23" i="100"/>
  <c r="AK23" i="100"/>
  <c r="AJ23" i="100"/>
  <c r="AI23" i="100"/>
  <c r="AH23" i="100"/>
  <c r="AG23" i="100"/>
  <c r="AF23" i="100"/>
  <c r="AE23" i="100"/>
  <c r="AD23" i="100"/>
  <c r="AC23" i="100"/>
  <c r="AA23" i="100"/>
  <c r="Y23" i="100"/>
  <c r="X23" i="100"/>
  <c r="W23" i="100"/>
  <c r="U23" i="100"/>
  <c r="S23" i="100"/>
  <c r="R23" i="100"/>
  <c r="Q23" i="100"/>
  <c r="P23" i="100"/>
  <c r="O23" i="100"/>
  <c r="N23" i="100"/>
  <c r="I23" i="100"/>
  <c r="H23" i="100"/>
  <c r="G23" i="100"/>
  <c r="F23" i="100"/>
  <c r="E23" i="100"/>
  <c r="D23" i="100"/>
  <c r="C23" i="100"/>
  <c r="B23" i="100"/>
  <c r="A23" i="100"/>
  <c r="AV22" i="100"/>
  <c r="AU22" i="100"/>
  <c r="AT22" i="100"/>
  <c r="AS22" i="100"/>
  <c r="AR22" i="100"/>
  <c r="AQ22" i="100"/>
  <c r="AP22" i="100"/>
  <c r="AO22" i="100"/>
  <c r="AN22" i="100"/>
  <c r="AM22" i="100"/>
  <c r="AL22" i="100"/>
  <c r="AK22" i="100"/>
  <c r="AJ22" i="100"/>
  <c r="AI22" i="100"/>
  <c r="AH22" i="100"/>
  <c r="AG22" i="100"/>
  <c r="AF22" i="100"/>
  <c r="AE22" i="100"/>
  <c r="AD22" i="100"/>
  <c r="AC22" i="100"/>
  <c r="AA22" i="100"/>
  <c r="Y22" i="100"/>
  <c r="X22" i="100"/>
  <c r="W22" i="100"/>
  <c r="U22" i="100"/>
  <c r="S22" i="100"/>
  <c r="S18" i="100" s="1"/>
  <c r="R22" i="100"/>
  <c r="Q22" i="100"/>
  <c r="P22" i="100"/>
  <c r="O22" i="100"/>
  <c r="N22" i="100"/>
  <c r="I22" i="100"/>
  <c r="H22" i="100"/>
  <c r="G22" i="100"/>
  <c r="F22" i="100"/>
  <c r="E22" i="100"/>
  <c r="D22" i="100"/>
  <c r="C22" i="100"/>
  <c r="B22" i="100"/>
  <c r="A22" i="100"/>
  <c r="AV21" i="100"/>
  <c r="AU21" i="100"/>
  <c r="AT21" i="100"/>
  <c r="AS21" i="100"/>
  <c r="AR21" i="100"/>
  <c r="AQ21" i="100"/>
  <c r="AP21" i="100"/>
  <c r="AO21" i="100"/>
  <c r="AN21" i="100"/>
  <c r="AM21" i="100"/>
  <c r="AL21" i="100"/>
  <c r="AK21" i="100"/>
  <c r="AJ21" i="100"/>
  <c r="AI21" i="100"/>
  <c r="AH21" i="100"/>
  <c r="AG21" i="100"/>
  <c r="AF21" i="100"/>
  <c r="AE21" i="100"/>
  <c r="AD21" i="100"/>
  <c r="AC21" i="100"/>
  <c r="AA21" i="100"/>
  <c r="Y21" i="100"/>
  <c r="Y18" i="100" s="1"/>
  <c r="X21" i="100"/>
  <c r="W21" i="100"/>
  <c r="U21" i="100"/>
  <c r="T21" i="100"/>
  <c r="S21" i="100"/>
  <c r="R21" i="100"/>
  <c r="Q21" i="100"/>
  <c r="P21" i="100"/>
  <c r="O21" i="100"/>
  <c r="N21" i="100"/>
  <c r="I21" i="100"/>
  <c r="H21" i="100"/>
  <c r="G21" i="100"/>
  <c r="F21" i="100"/>
  <c r="E21" i="100"/>
  <c r="D21" i="100"/>
  <c r="C21" i="100"/>
  <c r="B21" i="100"/>
  <c r="A21" i="100"/>
  <c r="AV20" i="100"/>
  <c r="AU20" i="100"/>
  <c r="AT20" i="100"/>
  <c r="AS20" i="100"/>
  <c r="AR20" i="100"/>
  <c r="AQ20" i="100"/>
  <c r="AP20" i="100"/>
  <c r="AO20" i="100"/>
  <c r="AN20" i="100"/>
  <c r="AN18" i="100" s="1"/>
  <c r="AM20" i="100"/>
  <c r="AL20" i="100"/>
  <c r="AK20" i="100"/>
  <c r="AJ20" i="100"/>
  <c r="AJ18" i="100" s="1"/>
  <c r="AI20" i="100"/>
  <c r="AH20" i="100"/>
  <c r="AG20" i="100"/>
  <c r="AF20" i="100"/>
  <c r="AF18" i="100" s="1"/>
  <c r="AE20" i="100"/>
  <c r="AD20" i="100"/>
  <c r="AC20" i="100"/>
  <c r="AA20" i="100"/>
  <c r="AA18" i="100" s="1"/>
  <c r="AA10" i="100" s="1"/>
  <c r="AA9" i="100" s="1"/>
  <c r="AA209" i="100" s="1"/>
  <c r="Y20" i="100"/>
  <c r="X20" i="100"/>
  <c r="X18" i="100" s="1"/>
  <c r="W20" i="100"/>
  <c r="U20" i="100"/>
  <c r="U18" i="100" s="1"/>
  <c r="U10" i="100" s="1"/>
  <c r="U9" i="100" s="1"/>
  <c r="U209" i="100" s="1"/>
  <c r="T20" i="100"/>
  <c r="S20" i="100"/>
  <c r="R20" i="100"/>
  <c r="Q20" i="100"/>
  <c r="P20" i="100"/>
  <c r="O20" i="100"/>
  <c r="N20" i="100"/>
  <c r="I20" i="100"/>
  <c r="H20" i="100"/>
  <c r="G20" i="100"/>
  <c r="F20" i="100"/>
  <c r="E20" i="100"/>
  <c r="D20" i="100"/>
  <c r="C20" i="100"/>
  <c r="B20" i="100"/>
  <c r="A20" i="100"/>
  <c r="AV19" i="100"/>
  <c r="AU19" i="100"/>
  <c r="AT19" i="100"/>
  <c r="AS19" i="100"/>
  <c r="AS18" i="100" s="1"/>
  <c r="AR19" i="100"/>
  <c r="AQ19" i="100"/>
  <c r="AP19" i="100"/>
  <c r="AO19" i="100"/>
  <c r="AO18" i="100" s="1"/>
  <c r="AN19" i="100"/>
  <c r="AM19" i="100"/>
  <c r="AL19" i="100"/>
  <c r="AK19" i="100"/>
  <c r="AK18" i="100" s="1"/>
  <c r="AJ19" i="100"/>
  <c r="AI19" i="100"/>
  <c r="AH19" i="100"/>
  <c r="AG19" i="100"/>
  <c r="AG18" i="100" s="1"/>
  <c r="AF19" i="100"/>
  <c r="AE19" i="100"/>
  <c r="AD19" i="100"/>
  <c r="AC19" i="100"/>
  <c r="AC18" i="100" s="1"/>
  <c r="AA19" i="100"/>
  <c r="Y19" i="100"/>
  <c r="X19" i="100"/>
  <c r="W19" i="100"/>
  <c r="W18" i="100" s="1"/>
  <c r="U19" i="100"/>
  <c r="T19" i="100"/>
  <c r="S19" i="100"/>
  <c r="R19" i="100"/>
  <c r="R18" i="100" s="1"/>
  <c r="Q19" i="100"/>
  <c r="P19" i="100"/>
  <c r="O19" i="100"/>
  <c r="N19" i="100"/>
  <c r="I19" i="100"/>
  <c r="H19" i="100"/>
  <c r="G19" i="100"/>
  <c r="F19" i="100"/>
  <c r="E19" i="100"/>
  <c r="D19" i="100"/>
  <c r="C19" i="100"/>
  <c r="B19" i="100"/>
  <c r="A19" i="100"/>
  <c r="AT18" i="100"/>
  <c r="AR18" i="100"/>
  <c r="AP18" i="100"/>
  <c r="AL18" i="100"/>
  <c r="AH18" i="100"/>
  <c r="AD18" i="100"/>
  <c r="Z18" i="100"/>
  <c r="M18" i="100"/>
  <c r="L18" i="100"/>
  <c r="AV17" i="100"/>
  <c r="AU17" i="100"/>
  <c r="AT17" i="100"/>
  <c r="AS17" i="100"/>
  <c r="AR17" i="100"/>
  <c r="AQ17" i="100"/>
  <c r="AP17" i="100"/>
  <c r="AO17" i="100"/>
  <c r="AN17" i="100"/>
  <c r="AM17" i="100"/>
  <c r="AL17" i="100"/>
  <c r="AK17" i="100"/>
  <c r="AJ17" i="100"/>
  <c r="AI17" i="100"/>
  <c r="AH17" i="100"/>
  <c r="AG17" i="100"/>
  <c r="AF17" i="100"/>
  <c r="AE17" i="100"/>
  <c r="AD17" i="100"/>
  <c r="AC17" i="100"/>
  <c r="AB17" i="100"/>
  <c r="AA17" i="100"/>
  <c r="Y17" i="100"/>
  <c r="X17" i="100"/>
  <c r="W17" i="100"/>
  <c r="U17" i="100"/>
  <c r="T17" i="100"/>
  <c r="S17" i="100"/>
  <c r="R17" i="100"/>
  <c r="Q17" i="100"/>
  <c r="P17" i="100"/>
  <c r="O17" i="100"/>
  <c r="N17" i="100"/>
  <c r="I17" i="100"/>
  <c r="H17" i="100"/>
  <c r="G17" i="100"/>
  <c r="F17" i="100"/>
  <c r="E17" i="100"/>
  <c r="D17" i="100"/>
  <c r="C17" i="100"/>
  <c r="B17" i="100"/>
  <c r="A17" i="100"/>
  <c r="AV16" i="100"/>
  <c r="AU16" i="100"/>
  <c r="AT16" i="100"/>
  <c r="AS16" i="100"/>
  <c r="AR16" i="100"/>
  <c r="AQ16" i="100"/>
  <c r="AP16" i="100"/>
  <c r="AO16" i="100"/>
  <c r="AN16" i="100"/>
  <c r="AM16" i="100"/>
  <c r="AL16" i="100"/>
  <c r="AK16" i="100"/>
  <c r="AJ16" i="100"/>
  <c r="AI16" i="100"/>
  <c r="AH16" i="100"/>
  <c r="AG16" i="100"/>
  <c r="AF16" i="100"/>
  <c r="AE16" i="100"/>
  <c r="AD16" i="100"/>
  <c r="AC16" i="100"/>
  <c r="AB16" i="100"/>
  <c r="AA16" i="100"/>
  <c r="Y16" i="100"/>
  <c r="X16" i="100"/>
  <c r="W16" i="100"/>
  <c r="U16" i="100"/>
  <c r="T16" i="100"/>
  <c r="S16" i="100"/>
  <c r="R16" i="100"/>
  <c r="Q16" i="100"/>
  <c r="P16" i="100"/>
  <c r="O16" i="100"/>
  <c r="N16" i="100"/>
  <c r="I16" i="100"/>
  <c r="H16" i="100"/>
  <c r="G16" i="100"/>
  <c r="F16" i="100"/>
  <c r="E16" i="100"/>
  <c r="D16" i="100"/>
  <c r="C16" i="100"/>
  <c r="B16" i="100"/>
  <c r="A16" i="100"/>
  <c r="AV15" i="100"/>
  <c r="AU15" i="100"/>
  <c r="AT15" i="100"/>
  <c r="AS15" i="100"/>
  <c r="AR15" i="100"/>
  <c r="AQ15" i="100"/>
  <c r="AP15" i="100"/>
  <c r="AP11" i="100" s="1"/>
  <c r="AO15" i="100"/>
  <c r="AN15" i="100"/>
  <c r="AM15" i="100"/>
  <c r="AL15" i="100"/>
  <c r="AL11" i="100" s="1"/>
  <c r="AK15" i="100"/>
  <c r="AJ15" i="100"/>
  <c r="AI15" i="100"/>
  <c r="AH15" i="100"/>
  <c r="AG15" i="100"/>
  <c r="AF15" i="100"/>
  <c r="AE15" i="100"/>
  <c r="AD15" i="100"/>
  <c r="AC15" i="100"/>
  <c r="AB15" i="100"/>
  <c r="AA15" i="100"/>
  <c r="Y15" i="100"/>
  <c r="X15" i="100"/>
  <c r="W15" i="100"/>
  <c r="U15" i="100"/>
  <c r="T15" i="100"/>
  <c r="T11" i="100" s="1"/>
  <c r="S15" i="100"/>
  <c r="R15" i="100"/>
  <c r="Q15" i="100"/>
  <c r="P15" i="100"/>
  <c r="O15" i="100"/>
  <c r="N15" i="100"/>
  <c r="I15" i="100"/>
  <c r="H15" i="100"/>
  <c r="G15" i="100"/>
  <c r="F15" i="100"/>
  <c r="E15" i="100"/>
  <c r="D15" i="100"/>
  <c r="C15" i="100"/>
  <c r="B15" i="100"/>
  <c r="A15" i="100"/>
  <c r="AV14" i="100"/>
  <c r="AU14" i="100"/>
  <c r="AT14" i="100"/>
  <c r="AS14" i="100"/>
  <c r="AR14" i="100"/>
  <c r="AQ14" i="100"/>
  <c r="AP14" i="100"/>
  <c r="AO14" i="100"/>
  <c r="AN14" i="100"/>
  <c r="AM14" i="100"/>
  <c r="AL14" i="100"/>
  <c r="AK14" i="100"/>
  <c r="AJ14" i="100"/>
  <c r="AI14" i="100"/>
  <c r="AH14" i="100"/>
  <c r="AG14" i="100"/>
  <c r="AF14" i="100"/>
  <c r="AE14" i="100"/>
  <c r="AD14" i="100"/>
  <c r="AC14" i="100"/>
  <c r="AB14" i="100"/>
  <c r="AB11" i="100" s="1"/>
  <c r="AA14" i="100"/>
  <c r="Y14" i="100"/>
  <c r="X14" i="100"/>
  <c r="W14" i="100"/>
  <c r="U14" i="100"/>
  <c r="T14" i="100"/>
  <c r="S14" i="100"/>
  <c r="R14" i="100"/>
  <c r="Q14" i="100"/>
  <c r="P14" i="100"/>
  <c r="O14" i="100"/>
  <c r="N14" i="100"/>
  <c r="I14" i="100"/>
  <c r="H14" i="100"/>
  <c r="G14" i="100"/>
  <c r="F14" i="100"/>
  <c r="E14" i="100"/>
  <c r="D14" i="100"/>
  <c r="C14" i="100"/>
  <c r="B14" i="100"/>
  <c r="A14" i="100"/>
  <c r="AV13" i="100"/>
  <c r="AU13" i="100"/>
  <c r="AT13" i="100"/>
  <c r="AT11" i="100" s="1"/>
  <c r="AS13" i="100"/>
  <c r="AR13" i="100"/>
  <c r="AQ13" i="100"/>
  <c r="AP13" i="100"/>
  <c r="AO13" i="100"/>
  <c r="AN13" i="100"/>
  <c r="AM13" i="100"/>
  <c r="AL13" i="100"/>
  <c r="AK13" i="100"/>
  <c r="AJ13" i="100"/>
  <c r="AI13" i="100"/>
  <c r="AH13" i="100"/>
  <c r="AG13" i="100"/>
  <c r="AF13" i="100"/>
  <c r="AE13" i="100"/>
  <c r="AD13" i="100"/>
  <c r="AC13" i="100"/>
  <c r="AB13" i="100"/>
  <c r="AA13" i="100"/>
  <c r="X13" i="100"/>
  <c r="W13" i="100"/>
  <c r="U13" i="100"/>
  <c r="T13" i="100"/>
  <c r="S13" i="100"/>
  <c r="Q13" i="100"/>
  <c r="P13" i="100"/>
  <c r="O13" i="100"/>
  <c r="I13" i="100"/>
  <c r="H13" i="100"/>
  <c r="G13" i="100"/>
  <c r="F13" i="100"/>
  <c r="E13" i="100"/>
  <c r="D13" i="100"/>
  <c r="C13" i="100"/>
  <c r="B13" i="100"/>
  <c r="A13" i="100"/>
  <c r="AV12" i="100"/>
  <c r="AU12" i="100"/>
  <c r="AT12" i="100"/>
  <c r="AS12" i="100"/>
  <c r="AS11" i="100" s="1"/>
  <c r="AR12" i="100"/>
  <c r="AQ12" i="100"/>
  <c r="AQ11" i="100" s="1"/>
  <c r="AP12" i="100"/>
  <c r="AO12" i="100"/>
  <c r="AO11" i="100" s="1"/>
  <c r="AN12" i="100"/>
  <c r="AM12" i="100"/>
  <c r="AM11" i="100" s="1"/>
  <c r="AL12" i="100"/>
  <c r="AK12" i="100"/>
  <c r="AK11" i="100" s="1"/>
  <c r="AJ12" i="100"/>
  <c r="AI12" i="100"/>
  <c r="AH12" i="100"/>
  <c r="AG12" i="100"/>
  <c r="AF12" i="100"/>
  <c r="AE12" i="100"/>
  <c r="AD12" i="100"/>
  <c r="AC12" i="100"/>
  <c r="AB12" i="100"/>
  <c r="AA12" i="100"/>
  <c r="X12" i="100"/>
  <c r="W12" i="100"/>
  <c r="U12" i="100"/>
  <c r="T12" i="100"/>
  <c r="S12" i="100"/>
  <c r="R12" i="100"/>
  <c r="Q12" i="100"/>
  <c r="P12" i="100"/>
  <c r="O12" i="100"/>
  <c r="N12" i="100"/>
  <c r="I12" i="100"/>
  <c r="H12" i="100"/>
  <c r="G12" i="100"/>
  <c r="F12" i="100"/>
  <c r="E12" i="100"/>
  <c r="D12" i="100"/>
  <c r="C12" i="100"/>
  <c r="B12" i="100"/>
  <c r="A12" i="100"/>
  <c r="AR11" i="100"/>
  <c r="AN11" i="100"/>
  <c r="AC11" i="100"/>
  <c r="Z11" i="100"/>
  <c r="X11" i="100"/>
  <c r="W11" i="100"/>
  <c r="U11" i="100"/>
  <c r="S11" i="100"/>
  <c r="R11" i="100"/>
  <c r="M11" i="100"/>
  <c r="L11" i="100"/>
  <c r="L10" i="100"/>
  <c r="K10" i="100"/>
  <c r="K9" i="100"/>
  <c r="J9" i="100"/>
  <c r="X8" i="100"/>
  <c r="Z209" i="169"/>
  <c r="AC208" i="169"/>
  <c r="AB208" i="169"/>
  <c r="AA208" i="169"/>
  <c r="Z208" i="169"/>
  <c r="Y208" i="169"/>
  <c r="W208" i="169"/>
  <c r="W207" i="169" s="1"/>
  <c r="W206" i="169" s="1"/>
  <c r="V208" i="169"/>
  <c r="U208" i="169"/>
  <c r="U207" i="169" s="1"/>
  <c r="U206" i="169" s="1"/>
  <c r="T208" i="169"/>
  <c r="S208" i="169"/>
  <c r="R208" i="169"/>
  <c r="Q208" i="169"/>
  <c r="P208" i="169"/>
  <c r="O208" i="169"/>
  <c r="N208" i="169"/>
  <c r="I208" i="169"/>
  <c r="H208" i="169"/>
  <c r="G208" i="169"/>
  <c r="F208" i="169"/>
  <c r="E208" i="169"/>
  <c r="D208" i="169"/>
  <c r="C208" i="169"/>
  <c r="B208" i="169"/>
  <c r="A208" i="169"/>
  <c r="T207" i="169"/>
  <c r="T206" i="169" s="1"/>
  <c r="R207" i="169"/>
  <c r="R206" i="169" s="1"/>
  <c r="M207" i="169"/>
  <c r="L207" i="169"/>
  <c r="L206" i="169"/>
  <c r="K206" i="169"/>
  <c r="AC205" i="169"/>
  <c r="AB205" i="169"/>
  <c r="AA205" i="169"/>
  <c r="Z205" i="169"/>
  <c r="Y205" i="169"/>
  <c r="W205" i="169"/>
  <c r="W204" i="169" s="1"/>
  <c r="W203" i="169" s="1"/>
  <c r="V205" i="169"/>
  <c r="S205" i="169"/>
  <c r="R205" i="169"/>
  <c r="Q205" i="169"/>
  <c r="P205" i="169"/>
  <c r="O205" i="169"/>
  <c r="N205" i="169"/>
  <c r="I205" i="169"/>
  <c r="H205" i="169"/>
  <c r="G205" i="169"/>
  <c r="F205" i="169"/>
  <c r="E205" i="169"/>
  <c r="D205" i="169"/>
  <c r="C205" i="169"/>
  <c r="B205" i="169"/>
  <c r="A205" i="169"/>
  <c r="R204" i="169"/>
  <c r="M204" i="169"/>
  <c r="L204" i="169"/>
  <c r="R203" i="169"/>
  <c r="L203" i="169"/>
  <c r="K203" i="169"/>
  <c r="AC202" i="169"/>
  <c r="AB202" i="169"/>
  <c r="AA202" i="169"/>
  <c r="Y202" i="169"/>
  <c r="X202" i="169"/>
  <c r="V202" i="169"/>
  <c r="S202" i="169"/>
  <c r="R202" i="169"/>
  <c r="Q202" i="169"/>
  <c r="P202" i="169"/>
  <c r="O202" i="169"/>
  <c r="I202" i="169"/>
  <c r="H202" i="169"/>
  <c r="G202" i="169"/>
  <c r="F202" i="169"/>
  <c r="E202" i="169"/>
  <c r="D202" i="169"/>
  <c r="C202" i="169"/>
  <c r="B202" i="169"/>
  <c r="A202" i="169"/>
  <c r="X201" i="169"/>
  <c r="U201" i="169"/>
  <c r="U200" i="169" s="1"/>
  <c r="R201" i="169"/>
  <c r="T201" i="169" s="1"/>
  <c r="T200" i="169" s="1"/>
  <c r="M201" i="169"/>
  <c r="L201" i="169"/>
  <c r="X200" i="169"/>
  <c r="R200" i="169"/>
  <c r="L200" i="169"/>
  <c r="K200" i="169"/>
  <c r="AC199" i="169"/>
  <c r="AB199" i="169"/>
  <c r="AA199" i="169"/>
  <c r="Z199" i="169"/>
  <c r="Y199" i="169"/>
  <c r="W199" i="169"/>
  <c r="W198" i="169" s="1"/>
  <c r="W197" i="169" s="1"/>
  <c r="V199" i="169"/>
  <c r="S199" i="169"/>
  <c r="R199" i="169"/>
  <c r="Q199" i="169"/>
  <c r="P199" i="169"/>
  <c r="O199" i="169"/>
  <c r="N199" i="169"/>
  <c r="I199" i="169"/>
  <c r="H199" i="169"/>
  <c r="G199" i="169"/>
  <c r="F199" i="169"/>
  <c r="E199" i="169"/>
  <c r="D199" i="169"/>
  <c r="C199" i="169"/>
  <c r="B199" i="169"/>
  <c r="A199" i="169"/>
  <c r="R198" i="169"/>
  <c r="R197" i="169" s="1"/>
  <c r="M198" i="169"/>
  <c r="L198" i="169"/>
  <c r="S197" i="169"/>
  <c r="L197" i="169"/>
  <c r="K197" i="169"/>
  <c r="AC196" i="169"/>
  <c r="AB196" i="169"/>
  <c r="AA196" i="169"/>
  <c r="Z196" i="169"/>
  <c r="Y196" i="169"/>
  <c r="W196" i="169"/>
  <c r="V196" i="169"/>
  <c r="T196" i="169"/>
  <c r="S196" i="169"/>
  <c r="R196" i="169"/>
  <c r="Q196" i="169"/>
  <c r="P196" i="169"/>
  <c r="O196" i="169"/>
  <c r="N196" i="169"/>
  <c r="I196" i="169"/>
  <c r="H196" i="169"/>
  <c r="G196" i="169"/>
  <c r="F196" i="169"/>
  <c r="E196" i="169"/>
  <c r="D196" i="169"/>
  <c r="C196" i="169"/>
  <c r="B196" i="169"/>
  <c r="A196" i="169"/>
  <c r="AC195" i="169"/>
  <c r="AB195" i="169"/>
  <c r="AA195" i="169"/>
  <c r="Z195" i="169"/>
  <c r="Y195" i="169"/>
  <c r="W195" i="169"/>
  <c r="W194" i="169" s="1"/>
  <c r="V195" i="169"/>
  <c r="S195" i="169"/>
  <c r="R195" i="169"/>
  <c r="Q195" i="169"/>
  <c r="P195" i="169"/>
  <c r="O195" i="169"/>
  <c r="N195" i="169"/>
  <c r="I195" i="169"/>
  <c r="H195" i="169"/>
  <c r="G195" i="169"/>
  <c r="F195" i="169"/>
  <c r="E195" i="169"/>
  <c r="D195" i="169"/>
  <c r="C195" i="169"/>
  <c r="B195" i="169"/>
  <c r="A195" i="169"/>
  <c r="U194" i="169"/>
  <c r="R194" i="169"/>
  <c r="M194" i="169"/>
  <c r="L194" i="169"/>
  <c r="Z193" i="169"/>
  <c r="Y193" i="169"/>
  <c r="X193" i="169"/>
  <c r="V193" i="169"/>
  <c r="S193" i="169"/>
  <c r="I193" i="169"/>
  <c r="H193" i="169"/>
  <c r="G193" i="169"/>
  <c r="F193" i="169"/>
  <c r="E193" i="169"/>
  <c r="D193" i="169"/>
  <c r="C193" i="169"/>
  <c r="B193" i="169"/>
  <c r="A193" i="169"/>
  <c r="Z192" i="169"/>
  <c r="Y192" i="169"/>
  <c r="W192" i="169"/>
  <c r="V192" i="169"/>
  <c r="T192" i="169"/>
  <c r="S192" i="169"/>
  <c r="I192" i="169"/>
  <c r="H192" i="169"/>
  <c r="G192" i="169"/>
  <c r="F192" i="169"/>
  <c r="E192" i="169"/>
  <c r="D192" i="169"/>
  <c r="C192" i="169"/>
  <c r="B192" i="169"/>
  <c r="A192" i="169"/>
  <c r="AC191" i="169"/>
  <c r="AB191" i="169"/>
  <c r="AA191" i="169"/>
  <c r="Z191" i="169"/>
  <c r="Y191" i="169"/>
  <c r="W191" i="169"/>
  <c r="W187" i="169" s="1"/>
  <c r="W186" i="169" s="1"/>
  <c r="V191" i="169"/>
  <c r="T191" i="169"/>
  <c r="S191" i="169"/>
  <c r="R191" i="169"/>
  <c r="R187" i="169" s="1"/>
  <c r="R186" i="169" s="1"/>
  <c r="Q191" i="169"/>
  <c r="P191" i="169"/>
  <c r="N191" i="169"/>
  <c r="I191" i="169"/>
  <c r="H191" i="169"/>
  <c r="G191" i="169"/>
  <c r="F191" i="169"/>
  <c r="E191" i="169"/>
  <c r="D191" i="169"/>
  <c r="C191" i="169"/>
  <c r="B191" i="169"/>
  <c r="A191" i="169"/>
  <c r="Z190" i="169"/>
  <c r="Y190" i="169"/>
  <c r="X190" i="169"/>
  <c r="V190" i="169"/>
  <c r="S190" i="169"/>
  <c r="I190" i="169"/>
  <c r="H190" i="169"/>
  <c r="G190" i="169"/>
  <c r="F190" i="169"/>
  <c r="E190" i="169"/>
  <c r="D190" i="169"/>
  <c r="C190" i="169"/>
  <c r="B190" i="169"/>
  <c r="A190" i="169"/>
  <c r="Z189" i="169"/>
  <c r="Y189" i="169"/>
  <c r="W189" i="169"/>
  <c r="V189" i="169"/>
  <c r="T189" i="169"/>
  <c r="S189" i="169"/>
  <c r="I189" i="169"/>
  <c r="H189" i="169"/>
  <c r="G189" i="169"/>
  <c r="F189" i="169"/>
  <c r="E189" i="169"/>
  <c r="D189" i="169"/>
  <c r="C189" i="169"/>
  <c r="B189" i="169"/>
  <c r="A189" i="169"/>
  <c r="AC188" i="169"/>
  <c r="AB188" i="169"/>
  <c r="AA188" i="169"/>
  <c r="Z188" i="169"/>
  <c r="Y188" i="169"/>
  <c r="W188" i="169"/>
  <c r="V188" i="169"/>
  <c r="T188" i="169"/>
  <c r="S188" i="169"/>
  <c r="R188" i="169"/>
  <c r="Q188" i="169"/>
  <c r="P188" i="169"/>
  <c r="N188" i="169"/>
  <c r="I188" i="169"/>
  <c r="H188" i="169"/>
  <c r="G188" i="169"/>
  <c r="F188" i="169"/>
  <c r="E188" i="169"/>
  <c r="D188" i="169"/>
  <c r="C188" i="169"/>
  <c r="B188" i="169"/>
  <c r="A188" i="169"/>
  <c r="X187" i="169"/>
  <c r="T187" i="169"/>
  <c r="M187" i="169"/>
  <c r="L187" i="169"/>
  <c r="X186" i="169"/>
  <c r="L186" i="169"/>
  <c r="K186" i="169"/>
  <c r="AD185" i="169"/>
  <c r="AC185" i="169"/>
  <c r="AB185" i="169"/>
  <c r="AA185" i="169"/>
  <c r="Z185" i="169"/>
  <c r="Y185" i="169"/>
  <c r="W185" i="169"/>
  <c r="V185" i="169"/>
  <c r="S185" i="169"/>
  <c r="R185" i="169"/>
  <c r="Q185" i="169"/>
  <c r="P185" i="169"/>
  <c r="O185" i="169"/>
  <c r="N185" i="169"/>
  <c r="I185" i="169"/>
  <c r="H185" i="169"/>
  <c r="G185" i="169"/>
  <c r="F185" i="169"/>
  <c r="E185" i="169"/>
  <c r="D185" i="169"/>
  <c r="C185" i="169"/>
  <c r="B185" i="169"/>
  <c r="A185" i="169"/>
  <c r="W184" i="169"/>
  <c r="W183" i="169" s="1"/>
  <c r="U184" i="169"/>
  <c r="R184" i="169"/>
  <c r="R183" i="169" s="1"/>
  <c r="M184" i="169"/>
  <c r="L184" i="169"/>
  <c r="AD183" i="169"/>
  <c r="V183" i="169"/>
  <c r="U183" i="169"/>
  <c r="L183" i="169"/>
  <c r="K183" i="169"/>
  <c r="Z182" i="169"/>
  <c r="Y182" i="169"/>
  <c r="X182" i="169"/>
  <c r="X179" i="169" s="1"/>
  <c r="V182" i="169"/>
  <c r="S182" i="169"/>
  <c r="I182" i="169"/>
  <c r="H182" i="169"/>
  <c r="G182" i="169"/>
  <c r="F182" i="169"/>
  <c r="E182" i="169"/>
  <c r="D182" i="169"/>
  <c r="C182" i="169"/>
  <c r="B182" i="169"/>
  <c r="A182" i="169"/>
  <c r="Z181" i="169"/>
  <c r="Y181" i="169"/>
  <c r="W181" i="169"/>
  <c r="W179" i="169" s="1"/>
  <c r="V181" i="169"/>
  <c r="T181" i="169"/>
  <c r="S181" i="169"/>
  <c r="I181" i="169"/>
  <c r="H181" i="169"/>
  <c r="G181" i="169"/>
  <c r="F181" i="169"/>
  <c r="E181" i="169"/>
  <c r="D181" i="169"/>
  <c r="C181" i="169"/>
  <c r="B181" i="169"/>
  <c r="A181" i="169"/>
  <c r="AC180" i="169"/>
  <c r="AB180" i="169"/>
  <c r="AA180" i="169"/>
  <c r="Z180" i="169"/>
  <c r="Y180" i="169"/>
  <c r="W180" i="169"/>
  <c r="V180" i="169"/>
  <c r="T180" i="169"/>
  <c r="T179" i="169" s="1"/>
  <c r="S180" i="169"/>
  <c r="R180" i="169"/>
  <c r="Q180" i="169"/>
  <c r="P180" i="169"/>
  <c r="N180" i="169"/>
  <c r="I180" i="169"/>
  <c r="H180" i="169"/>
  <c r="G180" i="169"/>
  <c r="F180" i="169"/>
  <c r="E180" i="169"/>
  <c r="D180" i="169"/>
  <c r="C180" i="169"/>
  <c r="B180" i="169"/>
  <c r="A180" i="169"/>
  <c r="R179" i="169"/>
  <c r="M179" i="169"/>
  <c r="L179" i="169"/>
  <c r="AC178" i="169"/>
  <c r="AB178" i="169"/>
  <c r="AA178" i="169"/>
  <c r="Z178" i="169"/>
  <c r="Y178" i="169"/>
  <c r="W178" i="169"/>
  <c r="V178" i="169"/>
  <c r="U178" i="169"/>
  <c r="U177" i="169" s="1"/>
  <c r="S178" i="169"/>
  <c r="R178" i="169"/>
  <c r="Q178" i="169"/>
  <c r="P178" i="169"/>
  <c r="O178" i="169"/>
  <c r="N178" i="169"/>
  <c r="I178" i="169"/>
  <c r="H178" i="169"/>
  <c r="G178" i="169"/>
  <c r="F178" i="169"/>
  <c r="E178" i="169"/>
  <c r="D178" i="169"/>
  <c r="C178" i="169"/>
  <c r="B178" i="169"/>
  <c r="A178" i="169"/>
  <c r="W177" i="169"/>
  <c r="R177" i="169"/>
  <c r="M177" i="169"/>
  <c r="L177" i="169"/>
  <c r="AC176" i="169"/>
  <c r="AB176" i="169"/>
  <c r="AA176" i="169"/>
  <c r="Z176" i="169"/>
  <c r="Y176" i="169"/>
  <c r="W176" i="169"/>
  <c r="W175" i="169" s="1"/>
  <c r="V176" i="169"/>
  <c r="U176" i="169"/>
  <c r="U175" i="169" s="1"/>
  <c r="T176" i="169"/>
  <c r="S176" i="169"/>
  <c r="R176" i="169"/>
  <c r="Q176" i="169"/>
  <c r="P176" i="169"/>
  <c r="O176" i="169"/>
  <c r="N176" i="169"/>
  <c r="I176" i="169"/>
  <c r="H176" i="169"/>
  <c r="G176" i="169"/>
  <c r="F176" i="169"/>
  <c r="E176" i="169"/>
  <c r="D176" i="169"/>
  <c r="C176" i="169"/>
  <c r="B176" i="169"/>
  <c r="A176" i="169"/>
  <c r="T175" i="169"/>
  <c r="R175" i="169"/>
  <c r="M175" i="169"/>
  <c r="L175" i="169"/>
  <c r="AC174" i="169"/>
  <c r="AB174" i="169"/>
  <c r="AA174" i="169"/>
  <c r="Z174" i="169"/>
  <c r="Y174" i="169"/>
  <c r="W174" i="169"/>
  <c r="W173" i="169" s="1"/>
  <c r="V174" i="169"/>
  <c r="T174" i="169"/>
  <c r="S174" i="169"/>
  <c r="R174" i="169"/>
  <c r="R173" i="169" s="1"/>
  <c r="R172" i="169" s="1"/>
  <c r="Q174" i="169"/>
  <c r="P174" i="169"/>
  <c r="O174" i="169"/>
  <c r="N174" i="169"/>
  <c r="I174" i="169"/>
  <c r="H174" i="169"/>
  <c r="G174" i="169"/>
  <c r="F174" i="169"/>
  <c r="E174" i="169"/>
  <c r="D174" i="169"/>
  <c r="C174" i="169"/>
  <c r="B174" i="169"/>
  <c r="A174" i="169"/>
  <c r="U173" i="169"/>
  <c r="T173" i="169"/>
  <c r="M173" i="169"/>
  <c r="L173" i="169"/>
  <c r="X172" i="169"/>
  <c r="V172" i="169"/>
  <c r="L172" i="169"/>
  <c r="K172" i="169"/>
  <c r="AC171" i="169"/>
  <c r="AB171" i="169"/>
  <c r="AA171" i="169"/>
  <c r="Z171" i="169"/>
  <c r="Y171" i="169"/>
  <c r="W171" i="169"/>
  <c r="W170" i="169" s="1"/>
  <c r="W169" i="169" s="1"/>
  <c r="V171" i="169"/>
  <c r="T171" i="169"/>
  <c r="S171" i="169"/>
  <c r="R171" i="169"/>
  <c r="Q171" i="169"/>
  <c r="P171" i="169"/>
  <c r="O171" i="169"/>
  <c r="N171" i="169"/>
  <c r="I171" i="169"/>
  <c r="H171" i="169"/>
  <c r="G171" i="169"/>
  <c r="F171" i="169"/>
  <c r="E171" i="169"/>
  <c r="D171" i="169"/>
  <c r="C171" i="169"/>
  <c r="B171" i="169"/>
  <c r="A171" i="169"/>
  <c r="U170" i="169"/>
  <c r="T170" i="169"/>
  <c r="T169" i="169" s="1"/>
  <c r="R170" i="169"/>
  <c r="R169" i="169" s="1"/>
  <c r="M170" i="169"/>
  <c r="L170" i="169"/>
  <c r="U169" i="169"/>
  <c r="L169" i="169"/>
  <c r="K169" i="169"/>
  <c r="AC168" i="169"/>
  <c r="AB168" i="169"/>
  <c r="AA168" i="169"/>
  <c r="Z168" i="169"/>
  <c r="Y168" i="169"/>
  <c r="W168" i="169"/>
  <c r="V168" i="169"/>
  <c r="T168" i="169"/>
  <c r="S168" i="169"/>
  <c r="R168" i="169"/>
  <c r="Q168" i="169"/>
  <c r="P168" i="169"/>
  <c r="N168" i="169"/>
  <c r="I168" i="169"/>
  <c r="H168" i="169"/>
  <c r="G168" i="169"/>
  <c r="F168" i="169"/>
  <c r="E168" i="169"/>
  <c r="D168" i="169"/>
  <c r="C168" i="169"/>
  <c r="B168" i="169"/>
  <c r="A168" i="169"/>
  <c r="AC167" i="169"/>
  <c r="AB167" i="169"/>
  <c r="AA167" i="169"/>
  <c r="Z167" i="169"/>
  <c r="Y167" i="169"/>
  <c r="W167" i="169"/>
  <c r="V167" i="169"/>
  <c r="T167" i="169"/>
  <c r="S167" i="169"/>
  <c r="R167" i="169"/>
  <c r="Q167" i="169"/>
  <c r="P167" i="169"/>
  <c r="N167" i="169"/>
  <c r="I167" i="169"/>
  <c r="H167" i="169"/>
  <c r="G167" i="169"/>
  <c r="F167" i="169"/>
  <c r="E167" i="169"/>
  <c r="D167" i="169"/>
  <c r="C167" i="169"/>
  <c r="B167" i="169"/>
  <c r="A167" i="169"/>
  <c r="AC166" i="169"/>
  <c r="AB166" i="169"/>
  <c r="AA166" i="169"/>
  <c r="Z166" i="169"/>
  <c r="Y166" i="169"/>
  <c r="W166" i="169"/>
  <c r="V166" i="169"/>
  <c r="T166" i="169"/>
  <c r="S166" i="169"/>
  <c r="R166" i="169"/>
  <c r="Q166" i="169"/>
  <c r="P166" i="169"/>
  <c r="N166" i="169"/>
  <c r="I166" i="169"/>
  <c r="H166" i="169"/>
  <c r="G166" i="169"/>
  <c r="F166" i="169"/>
  <c r="E166" i="169"/>
  <c r="D166" i="169"/>
  <c r="C166" i="169"/>
  <c r="B166" i="169"/>
  <c r="A166" i="169"/>
  <c r="AC165" i="169"/>
  <c r="AB165" i="169"/>
  <c r="AA165" i="169"/>
  <c r="Z165" i="169"/>
  <c r="Y165" i="169"/>
  <c r="W165" i="169"/>
  <c r="V165" i="169"/>
  <c r="T165" i="169"/>
  <c r="S165" i="169"/>
  <c r="R165" i="169"/>
  <c r="Q165" i="169"/>
  <c r="P165" i="169"/>
  <c r="N165" i="169"/>
  <c r="I165" i="169"/>
  <c r="H165" i="169"/>
  <c r="G165" i="169"/>
  <c r="F165" i="169"/>
  <c r="E165" i="169"/>
  <c r="D165" i="169"/>
  <c r="C165" i="169"/>
  <c r="B165" i="169"/>
  <c r="A165" i="169"/>
  <c r="AC164" i="169"/>
  <c r="AB164" i="169"/>
  <c r="AA164" i="169"/>
  <c r="Z164" i="169"/>
  <c r="Y164" i="169"/>
  <c r="W164" i="169"/>
  <c r="V164" i="169"/>
  <c r="T164" i="169"/>
  <c r="S164" i="169"/>
  <c r="R164" i="169"/>
  <c r="Q164" i="169"/>
  <c r="P164" i="169"/>
  <c r="N164" i="169"/>
  <c r="I164" i="169"/>
  <c r="H164" i="169"/>
  <c r="G164" i="169"/>
  <c r="F164" i="169"/>
  <c r="E164" i="169"/>
  <c r="D164" i="169"/>
  <c r="C164" i="169"/>
  <c r="B164" i="169"/>
  <c r="A164" i="169"/>
  <c r="AC163" i="169"/>
  <c r="AB163" i="169"/>
  <c r="AA163" i="169"/>
  <c r="Z163" i="169"/>
  <c r="Y163" i="169"/>
  <c r="W163" i="169"/>
  <c r="W162" i="169" s="1"/>
  <c r="W161" i="169" s="1"/>
  <c r="V163" i="169"/>
  <c r="T163" i="169"/>
  <c r="T162" i="169" s="1"/>
  <c r="T161" i="169" s="1"/>
  <c r="S163" i="169"/>
  <c r="R163" i="169"/>
  <c r="Q163" i="169"/>
  <c r="P163" i="169"/>
  <c r="N163" i="169"/>
  <c r="I163" i="169"/>
  <c r="H163" i="169"/>
  <c r="G163" i="169"/>
  <c r="F163" i="169"/>
  <c r="E163" i="169"/>
  <c r="D163" i="169"/>
  <c r="C163" i="169"/>
  <c r="B163" i="169"/>
  <c r="A163" i="169"/>
  <c r="U162" i="169"/>
  <c r="R162" i="169"/>
  <c r="R161" i="169" s="1"/>
  <c r="M162" i="169"/>
  <c r="L162" i="169"/>
  <c r="U161" i="169"/>
  <c r="L161" i="169"/>
  <c r="K161" i="169"/>
  <c r="AC160" i="169"/>
  <c r="AB160" i="169"/>
  <c r="AA160" i="169"/>
  <c r="Z160" i="169"/>
  <c r="Y160" i="169"/>
  <c r="W160" i="169"/>
  <c r="V160" i="169"/>
  <c r="T160" i="169"/>
  <c r="S160" i="169"/>
  <c r="R160" i="169"/>
  <c r="Q160" i="169"/>
  <c r="P160" i="169"/>
  <c r="N160" i="169"/>
  <c r="I160" i="169"/>
  <c r="H160" i="169"/>
  <c r="G160" i="169"/>
  <c r="F160" i="169"/>
  <c r="E160" i="169"/>
  <c r="D160" i="169"/>
  <c r="C160" i="169"/>
  <c r="B160" i="169"/>
  <c r="A160" i="169"/>
  <c r="AC159" i="169"/>
  <c r="AB159" i="169"/>
  <c r="AA159" i="169"/>
  <c r="Z159" i="169"/>
  <c r="Y159" i="169"/>
  <c r="W159" i="169"/>
  <c r="V159" i="169"/>
  <c r="T159" i="169"/>
  <c r="S159" i="169"/>
  <c r="R159" i="169"/>
  <c r="Q159" i="169"/>
  <c r="P159" i="169"/>
  <c r="N159" i="169"/>
  <c r="I159" i="169"/>
  <c r="H159" i="169"/>
  <c r="G159" i="169"/>
  <c r="F159" i="169"/>
  <c r="E159" i="169"/>
  <c r="D159" i="169"/>
  <c r="C159" i="169"/>
  <c r="B159" i="169"/>
  <c r="A159" i="169"/>
  <c r="AC158" i="169"/>
  <c r="AB158" i="169"/>
  <c r="AA158" i="169"/>
  <c r="Z158" i="169"/>
  <c r="Y158" i="169"/>
  <c r="W158" i="169"/>
  <c r="V158" i="169"/>
  <c r="T158" i="169"/>
  <c r="S158" i="169"/>
  <c r="R158" i="169"/>
  <c r="Q158" i="169"/>
  <c r="P158" i="169"/>
  <c r="N158" i="169"/>
  <c r="I158" i="169"/>
  <c r="H158" i="169"/>
  <c r="G158" i="169"/>
  <c r="F158" i="169"/>
  <c r="E158" i="169"/>
  <c r="D158" i="169"/>
  <c r="C158" i="169"/>
  <c r="B158" i="169"/>
  <c r="A158" i="169"/>
  <c r="AC157" i="169"/>
  <c r="AB157" i="169"/>
  <c r="AA157" i="169"/>
  <c r="Z157" i="169"/>
  <c r="Y157" i="169"/>
  <c r="W157" i="169"/>
  <c r="V157" i="169"/>
  <c r="T157" i="169"/>
  <c r="S157" i="169"/>
  <c r="R157" i="169"/>
  <c r="Q157" i="169"/>
  <c r="P157" i="169"/>
  <c r="N157" i="169"/>
  <c r="I157" i="169"/>
  <c r="H157" i="169"/>
  <c r="G157" i="169"/>
  <c r="F157" i="169"/>
  <c r="E157" i="169"/>
  <c r="D157" i="169"/>
  <c r="C157" i="169"/>
  <c r="B157" i="169"/>
  <c r="A157" i="169"/>
  <c r="AC156" i="169"/>
  <c r="AB156" i="169"/>
  <c r="AA156" i="169"/>
  <c r="Z156" i="169"/>
  <c r="Y156" i="169"/>
  <c r="W156" i="169"/>
  <c r="V156" i="169"/>
  <c r="T156" i="169"/>
  <c r="S156" i="169"/>
  <c r="R156" i="169"/>
  <c r="Q156" i="169"/>
  <c r="P156" i="169"/>
  <c r="N156" i="169"/>
  <c r="I156" i="169"/>
  <c r="H156" i="169"/>
  <c r="G156" i="169"/>
  <c r="F156" i="169"/>
  <c r="E156" i="169"/>
  <c r="D156" i="169"/>
  <c r="C156" i="169"/>
  <c r="B156" i="169"/>
  <c r="A156" i="169"/>
  <c r="AC155" i="169"/>
  <c r="AB155" i="169"/>
  <c r="AA155" i="169"/>
  <c r="Z155" i="169"/>
  <c r="Y155" i="169"/>
  <c r="W155" i="169"/>
  <c r="V155" i="169"/>
  <c r="T155" i="169"/>
  <c r="S155" i="169"/>
  <c r="R155" i="169"/>
  <c r="R153" i="169" s="1"/>
  <c r="Q155" i="169"/>
  <c r="P155" i="169"/>
  <c r="N155" i="169"/>
  <c r="I155" i="169"/>
  <c r="H155" i="169"/>
  <c r="G155" i="169"/>
  <c r="F155" i="169"/>
  <c r="E155" i="169"/>
  <c r="D155" i="169"/>
  <c r="C155" i="169"/>
  <c r="B155" i="169"/>
  <c r="A155" i="169"/>
  <c r="AC154" i="169"/>
  <c r="AB154" i="169"/>
  <c r="AA154" i="169"/>
  <c r="Z154" i="169"/>
  <c r="Y154" i="169"/>
  <c r="W154" i="169"/>
  <c r="W153" i="169" s="1"/>
  <c r="W152" i="169" s="1"/>
  <c r="V154" i="169"/>
  <c r="T154" i="169"/>
  <c r="T153" i="169" s="1"/>
  <c r="T152" i="169" s="1"/>
  <c r="S154" i="169"/>
  <c r="R154" i="169"/>
  <c r="Q154" i="169"/>
  <c r="P154" i="169"/>
  <c r="N154" i="169"/>
  <c r="I154" i="169"/>
  <c r="H154" i="169"/>
  <c r="G154" i="169"/>
  <c r="F154" i="169"/>
  <c r="E154" i="169"/>
  <c r="D154" i="169"/>
  <c r="C154" i="169"/>
  <c r="B154" i="169"/>
  <c r="A154" i="169"/>
  <c r="U153" i="169"/>
  <c r="U152" i="169" s="1"/>
  <c r="M153" i="169"/>
  <c r="L153" i="169"/>
  <c r="R152" i="169"/>
  <c r="R151" i="169" s="1"/>
  <c r="L152" i="169"/>
  <c r="K152" i="169"/>
  <c r="K151" i="169"/>
  <c r="J151" i="169"/>
  <c r="AC150" i="169"/>
  <c r="AB150" i="169"/>
  <c r="AA150" i="169"/>
  <c r="Z150" i="169"/>
  <c r="Y150" i="169"/>
  <c r="W150" i="169"/>
  <c r="V150" i="169"/>
  <c r="T150" i="169"/>
  <c r="S150" i="169"/>
  <c r="R150" i="169"/>
  <c r="Q150" i="169"/>
  <c r="P150" i="169"/>
  <c r="O150" i="169"/>
  <c r="N150" i="169"/>
  <c r="I150" i="169"/>
  <c r="H150" i="169"/>
  <c r="G150" i="169"/>
  <c r="F150" i="169"/>
  <c r="E150" i="169"/>
  <c r="D150" i="169"/>
  <c r="C150" i="169"/>
  <c r="B150" i="169"/>
  <c r="A150" i="169"/>
  <c r="AC149" i="169"/>
  <c r="AB149" i="169"/>
  <c r="AA149" i="169"/>
  <c r="Z149" i="169"/>
  <c r="Y149" i="169"/>
  <c r="W149" i="169"/>
  <c r="V149" i="169"/>
  <c r="T149" i="169"/>
  <c r="S149" i="169"/>
  <c r="R149" i="169"/>
  <c r="Q149" i="169"/>
  <c r="P149" i="169"/>
  <c r="O149" i="169"/>
  <c r="N149" i="169"/>
  <c r="I149" i="169"/>
  <c r="H149" i="169"/>
  <c r="G149" i="169"/>
  <c r="F149" i="169"/>
  <c r="E149" i="169"/>
  <c r="D149" i="169"/>
  <c r="C149" i="169"/>
  <c r="B149" i="169"/>
  <c r="A149" i="169"/>
  <c r="AC148" i="169"/>
  <c r="AB148" i="169"/>
  <c r="AA148" i="169"/>
  <c r="Z148" i="169"/>
  <c r="Y148" i="169"/>
  <c r="W148" i="169"/>
  <c r="V148" i="169"/>
  <c r="T148" i="169"/>
  <c r="S148" i="169"/>
  <c r="R148" i="169"/>
  <c r="Q148" i="169"/>
  <c r="P148" i="169"/>
  <c r="O148" i="169"/>
  <c r="N148" i="169"/>
  <c r="I148" i="169"/>
  <c r="H148" i="169"/>
  <c r="G148" i="169"/>
  <c r="F148" i="169"/>
  <c r="E148" i="169"/>
  <c r="D148" i="169"/>
  <c r="C148" i="169"/>
  <c r="B148" i="169"/>
  <c r="A148" i="169"/>
  <c r="AC147" i="169"/>
  <c r="AB147" i="169"/>
  <c r="AA147" i="169"/>
  <c r="Z147" i="169"/>
  <c r="Y147" i="169"/>
  <c r="W147" i="169"/>
  <c r="V147" i="169"/>
  <c r="S147" i="169"/>
  <c r="R147" i="169"/>
  <c r="Q147" i="169"/>
  <c r="P147" i="169"/>
  <c r="O147" i="169"/>
  <c r="N147" i="169"/>
  <c r="I147" i="169"/>
  <c r="H147" i="169"/>
  <c r="G147" i="169"/>
  <c r="F147" i="169"/>
  <c r="E147" i="169"/>
  <c r="D147" i="169"/>
  <c r="C147" i="169"/>
  <c r="B147" i="169"/>
  <c r="A147" i="169"/>
  <c r="AC146" i="169"/>
  <c r="AB146" i="169"/>
  <c r="AA146" i="169"/>
  <c r="Z146" i="169"/>
  <c r="Y146" i="169"/>
  <c r="W146" i="169"/>
  <c r="V146" i="169"/>
  <c r="S146" i="169"/>
  <c r="R146" i="169"/>
  <c r="Q146" i="169"/>
  <c r="P146" i="169"/>
  <c r="O146" i="169"/>
  <c r="N146" i="169"/>
  <c r="I146" i="169"/>
  <c r="H146" i="169"/>
  <c r="G146" i="169"/>
  <c r="F146" i="169"/>
  <c r="E146" i="169"/>
  <c r="D146" i="169"/>
  <c r="C146" i="169"/>
  <c r="B146" i="169"/>
  <c r="A146" i="169"/>
  <c r="AC145" i="169"/>
  <c r="AB145" i="169"/>
  <c r="AA145" i="169"/>
  <c r="Z145" i="169"/>
  <c r="Y145" i="169"/>
  <c r="W145" i="169"/>
  <c r="V145" i="169"/>
  <c r="S145" i="169"/>
  <c r="R145" i="169"/>
  <c r="Q145" i="169"/>
  <c r="P145" i="169"/>
  <c r="O145" i="169"/>
  <c r="N145" i="169"/>
  <c r="I145" i="169"/>
  <c r="H145" i="169"/>
  <c r="G145" i="169"/>
  <c r="F145" i="169"/>
  <c r="E145" i="169"/>
  <c r="D145" i="169"/>
  <c r="C145" i="169"/>
  <c r="B145" i="169"/>
  <c r="A145" i="169"/>
  <c r="AC144" i="169"/>
  <c r="AB144" i="169"/>
  <c r="AA144" i="169"/>
  <c r="Z144" i="169"/>
  <c r="Y144" i="169"/>
  <c r="W144" i="169"/>
  <c r="V144" i="169"/>
  <c r="T144" i="169"/>
  <c r="S144" i="169"/>
  <c r="R144" i="169"/>
  <c r="Q144" i="169"/>
  <c r="P144" i="169"/>
  <c r="O144" i="169"/>
  <c r="N144" i="169"/>
  <c r="I144" i="169"/>
  <c r="H144" i="169"/>
  <c r="G144" i="169"/>
  <c r="F144" i="169"/>
  <c r="E144" i="169"/>
  <c r="D144" i="169"/>
  <c r="C144" i="169"/>
  <c r="B144" i="169"/>
  <c r="A144" i="169"/>
  <c r="AE143" i="169"/>
  <c r="AD143" i="169"/>
  <c r="AC143" i="169"/>
  <c r="AB143" i="169"/>
  <c r="AA143" i="169"/>
  <c r="Z143" i="169"/>
  <c r="Y143" i="169"/>
  <c r="W143" i="169"/>
  <c r="V143" i="169"/>
  <c r="T143" i="169"/>
  <c r="S143" i="169"/>
  <c r="R143" i="169"/>
  <c r="Q143" i="169"/>
  <c r="P143" i="169"/>
  <c r="O143" i="169"/>
  <c r="N143" i="169"/>
  <c r="I143" i="169"/>
  <c r="H143" i="169"/>
  <c r="G143" i="169"/>
  <c r="F143" i="169"/>
  <c r="E143" i="169"/>
  <c r="D143" i="169"/>
  <c r="C143" i="169"/>
  <c r="B143" i="169"/>
  <c r="A143" i="169"/>
  <c r="AC142" i="169"/>
  <c r="AB142" i="169"/>
  <c r="AA142" i="169"/>
  <c r="Z142" i="169"/>
  <c r="Y142" i="169"/>
  <c r="W142" i="169"/>
  <c r="W140" i="169" s="1"/>
  <c r="W139" i="169" s="1"/>
  <c r="V142" i="169"/>
  <c r="T142" i="169"/>
  <c r="S142" i="169"/>
  <c r="R142" i="169"/>
  <c r="R140" i="169" s="1"/>
  <c r="Q142" i="169"/>
  <c r="P142" i="169"/>
  <c r="O142" i="169"/>
  <c r="N142" i="169"/>
  <c r="I142" i="169"/>
  <c r="H142" i="169"/>
  <c r="G142" i="169"/>
  <c r="F142" i="169"/>
  <c r="E142" i="169"/>
  <c r="D142" i="169"/>
  <c r="C142" i="169"/>
  <c r="B142" i="169"/>
  <c r="A142" i="169"/>
  <c r="AE141" i="169"/>
  <c r="AD141" i="169"/>
  <c r="AC141" i="169"/>
  <c r="AB141" i="169"/>
  <c r="AA141" i="169"/>
  <c r="Z141" i="169"/>
  <c r="Y141" i="169"/>
  <c r="W141" i="169"/>
  <c r="V141" i="169"/>
  <c r="T141" i="169"/>
  <c r="S141" i="169"/>
  <c r="R141" i="169"/>
  <c r="Q141" i="169"/>
  <c r="P141" i="169"/>
  <c r="O141" i="169"/>
  <c r="N141" i="169"/>
  <c r="I141" i="169"/>
  <c r="H141" i="169"/>
  <c r="G141" i="169"/>
  <c r="F141" i="169"/>
  <c r="E141" i="169"/>
  <c r="D141" i="169"/>
  <c r="C141" i="169"/>
  <c r="B141" i="169"/>
  <c r="A141" i="169"/>
  <c r="U140" i="169"/>
  <c r="U139" i="169" s="1"/>
  <c r="M140" i="169"/>
  <c r="L140" i="169"/>
  <c r="AE139" i="169"/>
  <c r="AD139" i="169"/>
  <c r="R139" i="169"/>
  <c r="L139" i="169"/>
  <c r="K139" i="169"/>
  <c r="AD138" i="169"/>
  <c r="AC138" i="169"/>
  <c r="AB138" i="169"/>
  <c r="AA138" i="169"/>
  <c r="Z138" i="169"/>
  <c r="Y138" i="169"/>
  <c r="W138" i="169"/>
  <c r="V138" i="169"/>
  <c r="S138" i="169"/>
  <c r="R138" i="169"/>
  <c r="R137" i="169" s="1"/>
  <c r="R136" i="169" s="1"/>
  <c r="Q138" i="169"/>
  <c r="P138" i="169"/>
  <c r="O138" i="169"/>
  <c r="I138" i="169"/>
  <c r="H138" i="169"/>
  <c r="G138" i="169"/>
  <c r="F138" i="169"/>
  <c r="E138" i="169"/>
  <c r="D138" i="169"/>
  <c r="C138" i="169"/>
  <c r="B138" i="169"/>
  <c r="A138" i="169"/>
  <c r="W137" i="169"/>
  <c r="W136" i="169" s="1"/>
  <c r="U137" i="169"/>
  <c r="M137" i="169"/>
  <c r="L137" i="169"/>
  <c r="AD136" i="169"/>
  <c r="U136" i="169"/>
  <c r="L136" i="169"/>
  <c r="K136" i="169"/>
  <c r="AC135" i="169"/>
  <c r="AB135" i="169"/>
  <c r="AA135" i="169"/>
  <c r="Z135" i="169"/>
  <c r="Y135" i="169"/>
  <c r="W135" i="169"/>
  <c r="V135" i="169"/>
  <c r="T135" i="169"/>
  <c r="S135" i="169"/>
  <c r="R135" i="169"/>
  <c r="Q135" i="169"/>
  <c r="P135" i="169"/>
  <c r="O135" i="169"/>
  <c r="N135" i="169"/>
  <c r="I135" i="169"/>
  <c r="H135" i="169"/>
  <c r="G135" i="169"/>
  <c r="F135" i="169"/>
  <c r="E135" i="169"/>
  <c r="D135" i="169"/>
  <c r="C135" i="169"/>
  <c r="B135" i="169"/>
  <c r="A135" i="169"/>
  <c r="AC134" i="169"/>
  <c r="AB134" i="169"/>
  <c r="AA134" i="169"/>
  <c r="Z134" i="169"/>
  <c r="Y134" i="169"/>
  <c r="W134" i="169"/>
  <c r="W132" i="169" s="1"/>
  <c r="W131" i="169" s="1"/>
  <c r="V134" i="169"/>
  <c r="S134" i="169"/>
  <c r="R134" i="169"/>
  <c r="Q134" i="169"/>
  <c r="P134" i="169"/>
  <c r="O134" i="169"/>
  <c r="N134" i="169"/>
  <c r="I134" i="169"/>
  <c r="H134" i="169"/>
  <c r="G134" i="169"/>
  <c r="F134" i="169"/>
  <c r="E134" i="169"/>
  <c r="D134" i="169"/>
  <c r="C134" i="169"/>
  <c r="B134" i="169"/>
  <c r="A134" i="169"/>
  <c r="AC133" i="169"/>
  <c r="AB133" i="169"/>
  <c r="AA133" i="169"/>
  <c r="Z133" i="169"/>
  <c r="Y133" i="169"/>
  <c r="X133" i="169"/>
  <c r="V133" i="169"/>
  <c r="U133" i="169"/>
  <c r="S133" i="169"/>
  <c r="R133" i="169"/>
  <c r="R132" i="169" s="1"/>
  <c r="R131" i="169" s="1"/>
  <c r="Q133" i="169"/>
  <c r="P133" i="169"/>
  <c r="O133" i="169"/>
  <c r="N133" i="169"/>
  <c r="I133" i="169"/>
  <c r="H133" i="169"/>
  <c r="G133" i="169"/>
  <c r="F133" i="169"/>
  <c r="E133" i="169"/>
  <c r="D133" i="169"/>
  <c r="C133" i="169"/>
  <c r="B133" i="169"/>
  <c r="A133" i="169"/>
  <c r="X132" i="169"/>
  <c r="U132" i="169"/>
  <c r="M132" i="169"/>
  <c r="L132" i="169"/>
  <c r="X131" i="169"/>
  <c r="U131" i="169"/>
  <c r="L131" i="169"/>
  <c r="K131" i="169"/>
  <c r="AE130" i="169"/>
  <c r="AE128" i="169" s="1"/>
  <c r="AD130" i="169"/>
  <c r="AC130" i="169"/>
  <c r="AB130" i="169"/>
  <c r="AA130" i="169"/>
  <c r="Z130" i="169"/>
  <c r="Z129" i="169" s="1"/>
  <c r="Z128" i="169" s="1"/>
  <c r="Y130" i="169"/>
  <c r="W130" i="169"/>
  <c r="V130" i="169"/>
  <c r="S130" i="169"/>
  <c r="R130" i="169"/>
  <c r="Q130" i="169"/>
  <c r="P130" i="169"/>
  <c r="O130" i="169"/>
  <c r="I130" i="169"/>
  <c r="H130" i="169"/>
  <c r="G130" i="169"/>
  <c r="F130" i="169"/>
  <c r="E130" i="169"/>
  <c r="D130" i="169"/>
  <c r="C130" i="169"/>
  <c r="B130" i="169"/>
  <c r="A130" i="169"/>
  <c r="W129" i="169"/>
  <c r="U129" i="169"/>
  <c r="R129" i="169"/>
  <c r="R128" i="169" s="1"/>
  <c r="M129" i="169"/>
  <c r="L129" i="169"/>
  <c r="AD128" i="169"/>
  <c r="W128" i="169"/>
  <c r="U128" i="169"/>
  <c r="L128" i="169"/>
  <c r="K128" i="169"/>
  <c r="AE127" i="169"/>
  <c r="AD127" i="169"/>
  <c r="AD121" i="169" s="1"/>
  <c r="AC127" i="169"/>
  <c r="AB127" i="169"/>
  <c r="AA127" i="169"/>
  <c r="Z127" i="169"/>
  <c r="Y127" i="169"/>
  <c r="W127" i="169"/>
  <c r="V127" i="169"/>
  <c r="S127" i="169"/>
  <c r="R127" i="169"/>
  <c r="Q127" i="169"/>
  <c r="P127" i="169"/>
  <c r="O127" i="169"/>
  <c r="N127" i="169"/>
  <c r="I127" i="169"/>
  <c r="H127" i="169"/>
  <c r="G127" i="169"/>
  <c r="F127" i="169"/>
  <c r="E127" i="169"/>
  <c r="D127" i="169"/>
  <c r="C127" i="169"/>
  <c r="B127" i="169"/>
  <c r="A127" i="169"/>
  <c r="AC126" i="169"/>
  <c r="AB126" i="169"/>
  <c r="AA126" i="169"/>
  <c r="Z126" i="169"/>
  <c r="Y126" i="169"/>
  <c r="W126" i="169"/>
  <c r="V126" i="169"/>
  <c r="S126" i="169"/>
  <c r="R126" i="169"/>
  <c r="Q126" i="169"/>
  <c r="P126" i="169"/>
  <c r="O126" i="169"/>
  <c r="N126" i="169"/>
  <c r="I126" i="169"/>
  <c r="H126" i="169"/>
  <c r="G126" i="169"/>
  <c r="F126" i="169"/>
  <c r="E126" i="169"/>
  <c r="D126" i="169"/>
  <c r="C126" i="169"/>
  <c r="B126" i="169"/>
  <c r="A126" i="169"/>
  <c r="AC125" i="169"/>
  <c r="AB125" i="169"/>
  <c r="AA125" i="169"/>
  <c r="Z125" i="169"/>
  <c r="Y125" i="169"/>
  <c r="W125" i="169"/>
  <c r="V125" i="169"/>
  <c r="S125" i="169"/>
  <c r="R125" i="169"/>
  <c r="Q125" i="169"/>
  <c r="P125" i="169"/>
  <c r="O125" i="169"/>
  <c r="N125" i="169"/>
  <c r="I125" i="169"/>
  <c r="H125" i="169"/>
  <c r="G125" i="169"/>
  <c r="F125" i="169"/>
  <c r="E125" i="169"/>
  <c r="D125" i="169"/>
  <c r="C125" i="169"/>
  <c r="B125" i="169"/>
  <c r="A125" i="169"/>
  <c r="AC124" i="169"/>
  <c r="AB124" i="169"/>
  <c r="AA124" i="169"/>
  <c r="Z124" i="169"/>
  <c r="Y124" i="169"/>
  <c r="W124" i="169"/>
  <c r="V124" i="169"/>
  <c r="S124" i="169"/>
  <c r="R124" i="169"/>
  <c r="Q124" i="169"/>
  <c r="P124" i="169"/>
  <c r="O124" i="169"/>
  <c r="N124" i="169"/>
  <c r="I124" i="169"/>
  <c r="H124" i="169"/>
  <c r="G124" i="169"/>
  <c r="F124" i="169"/>
  <c r="E124" i="169"/>
  <c r="D124" i="169"/>
  <c r="C124" i="169"/>
  <c r="B124" i="169"/>
  <c r="A124" i="169"/>
  <c r="AD123" i="169"/>
  <c r="AC123" i="169"/>
  <c r="AB123" i="169"/>
  <c r="AA123" i="169"/>
  <c r="Z123" i="169"/>
  <c r="Y123" i="169"/>
  <c r="W123" i="169"/>
  <c r="V123" i="169"/>
  <c r="T123" i="169"/>
  <c r="S123" i="169"/>
  <c r="R123" i="169"/>
  <c r="Q123" i="169"/>
  <c r="P123" i="169"/>
  <c r="O123" i="169"/>
  <c r="N123" i="169"/>
  <c r="I123" i="169"/>
  <c r="H123" i="169"/>
  <c r="G123" i="169"/>
  <c r="F123" i="169"/>
  <c r="E123" i="169"/>
  <c r="D123" i="169"/>
  <c r="C123" i="169"/>
  <c r="B123" i="169"/>
  <c r="A123" i="169"/>
  <c r="R122" i="169"/>
  <c r="M122" i="169"/>
  <c r="L122" i="169"/>
  <c r="AE121" i="169"/>
  <c r="R121" i="169"/>
  <c r="L121" i="169"/>
  <c r="K121" i="169"/>
  <c r="AC120" i="169"/>
  <c r="AB120" i="169"/>
  <c r="AA120" i="169"/>
  <c r="Z120" i="169"/>
  <c r="Y120" i="169"/>
  <c r="W120" i="169"/>
  <c r="W119" i="169" s="1"/>
  <c r="W118" i="169" s="1"/>
  <c r="V120" i="169"/>
  <c r="T120" i="169"/>
  <c r="T119" i="169" s="1"/>
  <c r="T118" i="169" s="1"/>
  <c r="S120" i="169"/>
  <c r="R120" i="169"/>
  <c r="Q120" i="169"/>
  <c r="P120" i="169"/>
  <c r="O120" i="169"/>
  <c r="N120" i="169"/>
  <c r="I120" i="169"/>
  <c r="H120" i="169"/>
  <c r="G120" i="169"/>
  <c r="F120" i="169"/>
  <c r="E120" i="169"/>
  <c r="D120" i="169"/>
  <c r="C120" i="169"/>
  <c r="B120" i="169"/>
  <c r="A120" i="169"/>
  <c r="Z119" i="169"/>
  <c r="Z118" i="169" s="1"/>
  <c r="U119" i="169"/>
  <c r="R119" i="169"/>
  <c r="R118" i="169" s="1"/>
  <c r="M119" i="169"/>
  <c r="L119" i="169"/>
  <c r="V118" i="169"/>
  <c r="U118" i="169"/>
  <c r="L118" i="169"/>
  <c r="K118" i="169"/>
  <c r="AC117" i="169"/>
  <c r="AB117" i="169"/>
  <c r="AA117" i="169"/>
  <c r="Z117" i="169"/>
  <c r="Y117" i="169"/>
  <c r="W117" i="169"/>
  <c r="W116" i="169" s="1"/>
  <c r="V117" i="169"/>
  <c r="T117" i="169"/>
  <c r="T116" i="169" s="1"/>
  <c r="S117" i="169"/>
  <c r="R117" i="169"/>
  <c r="Q117" i="169"/>
  <c r="P117" i="169"/>
  <c r="O117" i="169"/>
  <c r="N117" i="169"/>
  <c r="I117" i="169"/>
  <c r="H117" i="169"/>
  <c r="G117" i="169"/>
  <c r="F117" i="169"/>
  <c r="E117" i="169"/>
  <c r="D117" i="169"/>
  <c r="C117" i="169"/>
  <c r="B117" i="169"/>
  <c r="A117" i="169"/>
  <c r="Z116" i="169"/>
  <c r="U116" i="169"/>
  <c r="R116" i="169"/>
  <c r="M116" i="169"/>
  <c r="L116" i="169"/>
  <c r="AC115" i="169"/>
  <c r="AB115" i="169"/>
  <c r="AA115" i="169"/>
  <c r="Z115" i="169"/>
  <c r="Y115" i="169"/>
  <c r="W115" i="169"/>
  <c r="W112" i="169" s="1"/>
  <c r="V115" i="169"/>
  <c r="U115" i="169"/>
  <c r="U112" i="169" s="1"/>
  <c r="S115" i="169"/>
  <c r="R115" i="169"/>
  <c r="Q115" i="169"/>
  <c r="P115" i="169"/>
  <c r="O115" i="169"/>
  <c r="N115" i="169"/>
  <c r="I115" i="169"/>
  <c r="H115" i="169"/>
  <c r="G115" i="169"/>
  <c r="F115" i="169"/>
  <c r="E115" i="169"/>
  <c r="D115" i="169"/>
  <c r="C115" i="169"/>
  <c r="B115" i="169"/>
  <c r="A115" i="169"/>
  <c r="AC114" i="169"/>
  <c r="AB114" i="169"/>
  <c r="AA114" i="169"/>
  <c r="Z114" i="169"/>
  <c r="Y114" i="169"/>
  <c r="W114" i="169"/>
  <c r="V114" i="169"/>
  <c r="S114" i="169"/>
  <c r="R114" i="169"/>
  <c r="R112" i="169" s="1"/>
  <c r="Q114" i="169"/>
  <c r="P114" i="169"/>
  <c r="O114" i="169"/>
  <c r="N114" i="169"/>
  <c r="I114" i="169"/>
  <c r="H114" i="169"/>
  <c r="G114" i="169"/>
  <c r="F114" i="169"/>
  <c r="E114" i="169"/>
  <c r="D114" i="169"/>
  <c r="C114" i="169"/>
  <c r="B114" i="169"/>
  <c r="A114" i="169"/>
  <c r="AC113" i="169"/>
  <c r="AB113" i="169"/>
  <c r="AA113" i="169"/>
  <c r="Z113" i="169"/>
  <c r="Y113" i="169"/>
  <c r="W113" i="169"/>
  <c r="V113" i="169"/>
  <c r="T113" i="169"/>
  <c r="S113" i="169"/>
  <c r="R113" i="169"/>
  <c r="Q113" i="169"/>
  <c r="P113" i="169"/>
  <c r="O113" i="169"/>
  <c r="N113" i="169"/>
  <c r="I113" i="169"/>
  <c r="H113" i="169"/>
  <c r="G113" i="169"/>
  <c r="F113" i="169"/>
  <c r="E113" i="169"/>
  <c r="D113" i="169"/>
  <c r="C113" i="169"/>
  <c r="B113" i="169"/>
  <c r="A113" i="169"/>
  <c r="M112" i="169"/>
  <c r="L112" i="169"/>
  <c r="AD111" i="169"/>
  <c r="AC111" i="169"/>
  <c r="AB111" i="169"/>
  <c r="AA111" i="169"/>
  <c r="Z111" i="169"/>
  <c r="Y111" i="169"/>
  <c r="W111" i="169"/>
  <c r="V111" i="169"/>
  <c r="T111" i="169"/>
  <c r="S111" i="169"/>
  <c r="R111" i="169"/>
  <c r="Q111" i="169"/>
  <c r="P111" i="169"/>
  <c r="O111" i="169"/>
  <c r="N111" i="169"/>
  <c r="I111" i="169"/>
  <c r="H111" i="169"/>
  <c r="G111" i="169"/>
  <c r="F111" i="169"/>
  <c r="E111" i="169"/>
  <c r="D111" i="169"/>
  <c r="C111" i="169"/>
  <c r="B111" i="169"/>
  <c r="A111" i="169"/>
  <c r="AC110" i="169"/>
  <c r="AB110" i="169"/>
  <c r="AA110" i="169"/>
  <c r="Z110" i="169"/>
  <c r="Y110" i="169"/>
  <c r="W110" i="169"/>
  <c r="V110" i="169"/>
  <c r="S110" i="169"/>
  <c r="R110" i="169"/>
  <c r="Q110" i="169"/>
  <c r="P110" i="169"/>
  <c r="O110" i="169"/>
  <c r="N110" i="169"/>
  <c r="I110" i="169"/>
  <c r="H110" i="169"/>
  <c r="G110" i="169"/>
  <c r="F110" i="169"/>
  <c r="E110" i="169"/>
  <c r="D110" i="169"/>
  <c r="C110" i="169"/>
  <c r="B110" i="169"/>
  <c r="A110" i="169"/>
  <c r="AD109" i="169"/>
  <c r="AC109" i="169"/>
  <c r="AB109" i="169"/>
  <c r="AA109" i="169"/>
  <c r="Z109" i="169"/>
  <c r="Y109" i="169"/>
  <c r="W109" i="169"/>
  <c r="V109" i="169"/>
  <c r="T109" i="169"/>
  <c r="S109" i="169"/>
  <c r="R109" i="169"/>
  <c r="Q109" i="169"/>
  <c r="P109" i="169"/>
  <c r="O109" i="169"/>
  <c r="N109" i="169"/>
  <c r="I109" i="169"/>
  <c r="H109" i="169"/>
  <c r="G109" i="169"/>
  <c r="F109" i="169"/>
  <c r="E109" i="169"/>
  <c r="D109" i="169"/>
  <c r="C109" i="169"/>
  <c r="B109" i="169"/>
  <c r="A109" i="169"/>
  <c r="AC108" i="169"/>
  <c r="AB108" i="169"/>
  <c r="AA108" i="169"/>
  <c r="Z108" i="169"/>
  <c r="Y108" i="169"/>
  <c r="W108" i="169"/>
  <c r="V108" i="169"/>
  <c r="S108" i="169"/>
  <c r="R108" i="169"/>
  <c r="Q108" i="169"/>
  <c r="P108" i="169"/>
  <c r="O108" i="169"/>
  <c r="N108" i="169"/>
  <c r="I108" i="169"/>
  <c r="H108" i="169"/>
  <c r="G108" i="169"/>
  <c r="F108" i="169"/>
  <c r="E108" i="169"/>
  <c r="D108" i="169"/>
  <c r="C108" i="169"/>
  <c r="B108" i="169"/>
  <c r="A108" i="169"/>
  <c r="AC107" i="169"/>
  <c r="AB107" i="169"/>
  <c r="AA107" i="169"/>
  <c r="Z107" i="169"/>
  <c r="Y107" i="169"/>
  <c r="W107" i="169"/>
  <c r="V107" i="169"/>
  <c r="S107" i="169"/>
  <c r="R107" i="169"/>
  <c r="Q107" i="169"/>
  <c r="P107" i="169"/>
  <c r="O107" i="169"/>
  <c r="N107" i="169"/>
  <c r="I107" i="169"/>
  <c r="H107" i="169"/>
  <c r="G107" i="169"/>
  <c r="F107" i="169"/>
  <c r="E107" i="169"/>
  <c r="D107" i="169"/>
  <c r="C107" i="169"/>
  <c r="B107" i="169"/>
  <c r="A107" i="169"/>
  <c r="AC106" i="169"/>
  <c r="AB106" i="169"/>
  <c r="AA106" i="169"/>
  <c r="Z106" i="169"/>
  <c r="Y106" i="169"/>
  <c r="W106" i="169"/>
  <c r="V106" i="169"/>
  <c r="S106" i="169"/>
  <c r="R106" i="169"/>
  <c r="Q106" i="169"/>
  <c r="P106" i="169"/>
  <c r="O106" i="169"/>
  <c r="N106" i="169"/>
  <c r="I106" i="169"/>
  <c r="H106" i="169"/>
  <c r="G106" i="169"/>
  <c r="F106" i="169"/>
  <c r="E106" i="169"/>
  <c r="D106" i="169"/>
  <c r="C106" i="169"/>
  <c r="B106" i="169"/>
  <c r="A106" i="169"/>
  <c r="AC105" i="169"/>
  <c r="AB105" i="169"/>
  <c r="AA105" i="169"/>
  <c r="Z105" i="169"/>
  <c r="Y105" i="169"/>
  <c r="W105" i="169"/>
  <c r="V105" i="169"/>
  <c r="S105" i="169"/>
  <c r="R105" i="169"/>
  <c r="Q105" i="169"/>
  <c r="P105" i="169"/>
  <c r="O105" i="169"/>
  <c r="N105" i="169"/>
  <c r="I105" i="169"/>
  <c r="H105" i="169"/>
  <c r="G105" i="169"/>
  <c r="F105" i="169"/>
  <c r="E105" i="169"/>
  <c r="D105" i="169"/>
  <c r="C105" i="169"/>
  <c r="B105" i="169"/>
  <c r="A105" i="169"/>
  <c r="AC104" i="169"/>
  <c r="AB104" i="169"/>
  <c r="AA104" i="169"/>
  <c r="Z104" i="169"/>
  <c r="Y104" i="169"/>
  <c r="W104" i="169"/>
  <c r="V104" i="169"/>
  <c r="S104" i="169"/>
  <c r="R104" i="169"/>
  <c r="Q104" i="169"/>
  <c r="P104" i="169"/>
  <c r="O104" i="169"/>
  <c r="N104" i="169"/>
  <c r="I104" i="169"/>
  <c r="H104" i="169"/>
  <c r="G104" i="169"/>
  <c r="F104" i="169"/>
  <c r="E104" i="169"/>
  <c r="D104" i="169"/>
  <c r="C104" i="169"/>
  <c r="B104" i="169"/>
  <c r="A104" i="169"/>
  <c r="W103" i="169"/>
  <c r="M103" i="169"/>
  <c r="L103" i="169"/>
  <c r="AD102" i="169"/>
  <c r="AC102" i="169"/>
  <c r="AB102" i="169"/>
  <c r="AA102" i="169"/>
  <c r="Z102" i="169"/>
  <c r="Y102" i="169"/>
  <c r="W102" i="169"/>
  <c r="V102" i="169"/>
  <c r="S102" i="169"/>
  <c r="R102" i="169"/>
  <c r="Q102" i="169"/>
  <c r="P102" i="169"/>
  <c r="O102" i="169"/>
  <c r="N102" i="169"/>
  <c r="I102" i="169"/>
  <c r="H102" i="169"/>
  <c r="G102" i="169"/>
  <c r="F102" i="169"/>
  <c r="E102" i="169"/>
  <c r="D102" i="169"/>
  <c r="C102" i="169"/>
  <c r="B102" i="169"/>
  <c r="A102" i="169"/>
  <c r="Z101" i="169"/>
  <c r="Y101" i="169"/>
  <c r="X101" i="169"/>
  <c r="V101" i="169"/>
  <c r="V89" i="169" s="1"/>
  <c r="S101" i="169"/>
  <c r="Z100" i="169"/>
  <c r="Y100" i="169"/>
  <c r="W100" i="169"/>
  <c r="V100" i="169"/>
  <c r="T100" i="169"/>
  <c r="S100" i="169"/>
  <c r="AD99" i="169"/>
  <c r="AC99" i="169"/>
  <c r="AB99" i="169"/>
  <c r="AA99" i="169"/>
  <c r="Z99" i="169"/>
  <c r="Y99" i="169"/>
  <c r="W99" i="169"/>
  <c r="V99" i="169"/>
  <c r="T99" i="169"/>
  <c r="S99" i="169"/>
  <c r="R99" i="169"/>
  <c r="Q99" i="169"/>
  <c r="P99" i="169"/>
  <c r="O99" i="169"/>
  <c r="N99" i="169"/>
  <c r="AC98" i="169"/>
  <c r="AB98" i="169"/>
  <c r="AA98" i="169"/>
  <c r="Z98" i="169"/>
  <c r="Y98" i="169"/>
  <c r="W98" i="169"/>
  <c r="V98" i="169"/>
  <c r="S98" i="169"/>
  <c r="R98" i="169"/>
  <c r="Q98" i="169"/>
  <c r="P98" i="169"/>
  <c r="O98" i="169"/>
  <c r="N98" i="169"/>
  <c r="I98" i="169"/>
  <c r="H98" i="169"/>
  <c r="G98" i="169"/>
  <c r="F98" i="169"/>
  <c r="E98" i="169"/>
  <c r="D98" i="169"/>
  <c r="C98" i="169"/>
  <c r="B98" i="169"/>
  <c r="A98" i="169"/>
  <c r="AC97" i="169"/>
  <c r="AB97" i="169"/>
  <c r="AA97" i="169"/>
  <c r="Z97" i="169"/>
  <c r="Y97" i="169"/>
  <c r="W97" i="169"/>
  <c r="V97" i="169"/>
  <c r="S97" i="169"/>
  <c r="R97" i="169"/>
  <c r="Q97" i="169"/>
  <c r="P97" i="169"/>
  <c r="O97" i="169"/>
  <c r="N97" i="169"/>
  <c r="I97" i="169"/>
  <c r="H97" i="169"/>
  <c r="G97" i="169"/>
  <c r="F97" i="169"/>
  <c r="E97" i="169"/>
  <c r="D97" i="169"/>
  <c r="C97" i="169"/>
  <c r="B97" i="169"/>
  <c r="A97" i="169"/>
  <c r="AC96" i="169"/>
  <c r="AB96" i="169"/>
  <c r="AA96" i="169"/>
  <c r="Z96" i="169"/>
  <c r="Y96" i="169"/>
  <c r="W96" i="169"/>
  <c r="V96" i="169"/>
  <c r="S96" i="169"/>
  <c r="R96" i="169"/>
  <c r="Q96" i="169"/>
  <c r="P96" i="169"/>
  <c r="O96" i="169"/>
  <c r="N96" i="169"/>
  <c r="I96" i="169"/>
  <c r="H96" i="169"/>
  <c r="G96" i="169"/>
  <c r="F96" i="169"/>
  <c r="E96" i="169"/>
  <c r="D96" i="169"/>
  <c r="C96" i="169"/>
  <c r="B96" i="169"/>
  <c r="A96" i="169"/>
  <c r="AC95" i="169"/>
  <c r="AB95" i="169"/>
  <c r="AA95" i="169"/>
  <c r="Z95" i="169"/>
  <c r="Y95" i="169"/>
  <c r="W95" i="169"/>
  <c r="V95" i="169"/>
  <c r="S95" i="169"/>
  <c r="R95" i="169"/>
  <c r="Q95" i="169"/>
  <c r="P95" i="169"/>
  <c r="O95" i="169"/>
  <c r="N95" i="169"/>
  <c r="I95" i="169"/>
  <c r="H95" i="169"/>
  <c r="G95" i="169"/>
  <c r="F95" i="169"/>
  <c r="E95" i="169"/>
  <c r="D95" i="169"/>
  <c r="C95" i="169"/>
  <c r="B95" i="169"/>
  <c r="A95" i="169"/>
  <c r="AC94" i="169"/>
  <c r="AB94" i="169"/>
  <c r="AA94" i="169"/>
  <c r="Z94" i="169"/>
  <c r="Y94" i="169"/>
  <c r="W94" i="169"/>
  <c r="V94" i="169"/>
  <c r="S94" i="169"/>
  <c r="R94" i="169"/>
  <c r="Q94" i="169"/>
  <c r="P94" i="169"/>
  <c r="O94" i="169"/>
  <c r="N94" i="169"/>
  <c r="I94" i="169"/>
  <c r="H94" i="169"/>
  <c r="G94" i="169"/>
  <c r="F94" i="169"/>
  <c r="E94" i="169"/>
  <c r="D94" i="169"/>
  <c r="C94" i="169"/>
  <c r="B94" i="169"/>
  <c r="A94" i="169"/>
  <c r="AC93" i="169"/>
  <c r="AB93" i="169"/>
  <c r="AA93" i="169"/>
  <c r="Z93" i="169"/>
  <c r="Y93" i="169"/>
  <c r="W93" i="169"/>
  <c r="V93" i="169"/>
  <c r="S93" i="169"/>
  <c r="R93" i="169"/>
  <c r="Q93" i="169"/>
  <c r="P93" i="169"/>
  <c r="O93" i="169"/>
  <c r="N93" i="169"/>
  <c r="I93" i="169"/>
  <c r="H93" i="169"/>
  <c r="G93" i="169"/>
  <c r="F93" i="169"/>
  <c r="E93" i="169"/>
  <c r="D93" i="169"/>
  <c r="C93" i="169"/>
  <c r="B93" i="169"/>
  <c r="A93" i="169"/>
  <c r="AC92" i="169"/>
  <c r="AB92" i="169"/>
  <c r="AA92" i="169"/>
  <c r="Z92" i="169"/>
  <c r="Y92" i="169"/>
  <c r="W92" i="169"/>
  <c r="V92" i="169"/>
  <c r="S92" i="169"/>
  <c r="R92" i="169"/>
  <c r="Q92" i="169"/>
  <c r="P92" i="169"/>
  <c r="O92" i="169"/>
  <c r="N92" i="169"/>
  <c r="I92" i="169"/>
  <c r="H92" i="169"/>
  <c r="G92" i="169"/>
  <c r="F92" i="169"/>
  <c r="E92" i="169"/>
  <c r="D92" i="169"/>
  <c r="C92" i="169"/>
  <c r="B92" i="169"/>
  <c r="A92" i="169"/>
  <c r="AC91" i="169"/>
  <c r="AB91" i="169"/>
  <c r="AA91" i="169"/>
  <c r="Z91" i="169"/>
  <c r="Y91" i="169"/>
  <c r="W91" i="169"/>
  <c r="V91" i="169"/>
  <c r="S91" i="169"/>
  <c r="R91" i="169"/>
  <c r="Q91" i="169"/>
  <c r="P91" i="169"/>
  <c r="O91" i="169"/>
  <c r="N91" i="169"/>
  <c r="I91" i="169"/>
  <c r="H91" i="169"/>
  <c r="G91" i="169"/>
  <c r="F91" i="169"/>
  <c r="E91" i="169"/>
  <c r="D91" i="169"/>
  <c r="C91" i="169"/>
  <c r="B91" i="169"/>
  <c r="A91" i="169"/>
  <c r="AC90" i="169"/>
  <c r="AB90" i="169"/>
  <c r="AA90" i="169"/>
  <c r="Z90" i="169"/>
  <c r="Y90" i="169"/>
  <c r="W90" i="169"/>
  <c r="W89" i="169" s="1"/>
  <c r="V90" i="169"/>
  <c r="S90" i="169"/>
  <c r="R90" i="169"/>
  <c r="Q90" i="169"/>
  <c r="P90" i="169"/>
  <c r="O90" i="169"/>
  <c r="N90" i="169"/>
  <c r="I90" i="169"/>
  <c r="H90" i="169"/>
  <c r="G90" i="169"/>
  <c r="F90" i="169"/>
  <c r="E90" i="169"/>
  <c r="D90" i="169"/>
  <c r="C90" i="169"/>
  <c r="B90" i="169"/>
  <c r="A90" i="169"/>
  <c r="X89" i="169"/>
  <c r="R89" i="169"/>
  <c r="M89" i="169"/>
  <c r="L89" i="169"/>
  <c r="AD88" i="169"/>
  <c r="AC88" i="169"/>
  <c r="AB88" i="169"/>
  <c r="AA88" i="169"/>
  <c r="Z88" i="169"/>
  <c r="Y88" i="169"/>
  <c r="W88" i="169"/>
  <c r="V88" i="169"/>
  <c r="S88" i="169"/>
  <c r="R88" i="169"/>
  <c r="R85" i="169" s="1"/>
  <c r="Q88" i="169"/>
  <c r="P88" i="169"/>
  <c r="O88" i="169"/>
  <c r="N88" i="169"/>
  <c r="I88" i="169"/>
  <c r="H88" i="169"/>
  <c r="G88" i="169"/>
  <c r="F88" i="169"/>
  <c r="E88" i="169"/>
  <c r="D88" i="169"/>
  <c r="C88" i="169"/>
  <c r="B88" i="169"/>
  <c r="A88" i="169"/>
  <c r="AC87" i="169"/>
  <c r="AB87" i="169"/>
  <c r="AA87" i="169"/>
  <c r="Z87" i="169"/>
  <c r="Y87" i="169"/>
  <c r="W87" i="169"/>
  <c r="V87" i="169"/>
  <c r="S87" i="169"/>
  <c r="R87" i="169"/>
  <c r="Q87" i="169"/>
  <c r="P87" i="169"/>
  <c r="O87" i="169"/>
  <c r="N87" i="169"/>
  <c r="I87" i="169"/>
  <c r="H87" i="169"/>
  <c r="G87" i="169"/>
  <c r="F87" i="169"/>
  <c r="E87" i="169"/>
  <c r="D87" i="169"/>
  <c r="C87" i="169"/>
  <c r="B87" i="169"/>
  <c r="A87" i="169"/>
  <c r="AC86" i="169"/>
  <c r="AB86" i="169"/>
  <c r="AA86" i="169"/>
  <c r="Z86" i="169"/>
  <c r="Y86" i="169"/>
  <c r="W86" i="169"/>
  <c r="V86" i="169"/>
  <c r="T86" i="169"/>
  <c r="S86" i="169"/>
  <c r="R86" i="169"/>
  <c r="Q86" i="169"/>
  <c r="P86" i="169"/>
  <c r="O86" i="169"/>
  <c r="N86" i="169"/>
  <c r="I86" i="169"/>
  <c r="H86" i="169"/>
  <c r="G86" i="169"/>
  <c r="F86" i="169"/>
  <c r="E86" i="169"/>
  <c r="D86" i="169"/>
  <c r="C86" i="169"/>
  <c r="B86" i="169"/>
  <c r="A86" i="169"/>
  <c r="W85" i="169"/>
  <c r="V85" i="169"/>
  <c r="U85" i="169"/>
  <c r="M85" i="169"/>
  <c r="L85" i="169"/>
  <c r="AD84" i="169"/>
  <c r="AC84" i="169"/>
  <c r="AB84" i="169"/>
  <c r="AA84" i="169"/>
  <c r="Z84" i="169"/>
  <c r="Y84" i="169"/>
  <c r="W84" i="169"/>
  <c r="V84" i="169"/>
  <c r="S84" i="169"/>
  <c r="R84" i="169"/>
  <c r="Q84" i="169"/>
  <c r="P84" i="169"/>
  <c r="O84" i="169"/>
  <c r="N84" i="169"/>
  <c r="I84" i="169"/>
  <c r="H84" i="169"/>
  <c r="G84" i="169"/>
  <c r="F84" i="169"/>
  <c r="E84" i="169"/>
  <c r="D84" i="169"/>
  <c r="C84" i="169"/>
  <c r="B84" i="169"/>
  <c r="A84" i="169"/>
  <c r="AC83" i="169"/>
  <c r="AB83" i="169"/>
  <c r="AA83" i="169"/>
  <c r="Z83" i="169"/>
  <c r="Y83" i="169"/>
  <c r="W83" i="169"/>
  <c r="V83" i="169"/>
  <c r="S83" i="169"/>
  <c r="R83" i="169"/>
  <c r="Q83" i="169"/>
  <c r="P83" i="169"/>
  <c r="O83" i="169"/>
  <c r="N83" i="169"/>
  <c r="I83" i="169"/>
  <c r="H83" i="169"/>
  <c r="G83" i="169"/>
  <c r="F83" i="169"/>
  <c r="E83" i="169"/>
  <c r="D83" i="169"/>
  <c r="C83" i="169"/>
  <c r="B83" i="169"/>
  <c r="A83" i="169"/>
  <c r="AC82" i="169"/>
  <c r="AB82" i="169"/>
  <c r="AA82" i="169"/>
  <c r="Z82" i="169"/>
  <c r="Y82" i="169"/>
  <c r="W82" i="169"/>
  <c r="V82" i="169"/>
  <c r="T82" i="169"/>
  <c r="S82" i="169"/>
  <c r="R82" i="169"/>
  <c r="Q82" i="169"/>
  <c r="P82" i="169"/>
  <c r="O82" i="169"/>
  <c r="N82" i="169"/>
  <c r="I82" i="169"/>
  <c r="H82" i="169"/>
  <c r="G82" i="169"/>
  <c r="F82" i="169"/>
  <c r="E82" i="169"/>
  <c r="D82" i="169"/>
  <c r="C82" i="169"/>
  <c r="B82" i="169"/>
  <c r="A82" i="169"/>
  <c r="AC81" i="169"/>
  <c r="AB81" i="169"/>
  <c r="AA81" i="169"/>
  <c r="Z81" i="169"/>
  <c r="Y81" i="169"/>
  <c r="W81" i="169"/>
  <c r="V81" i="169"/>
  <c r="S81" i="169"/>
  <c r="R81" i="169"/>
  <c r="Q81" i="169"/>
  <c r="P81" i="169"/>
  <c r="O81" i="169"/>
  <c r="N81" i="169"/>
  <c r="I81" i="169"/>
  <c r="H81" i="169"/>
  <c r="G81" i="169"/>
  <c r="F81" i="169"/>
  <c r="E81" i="169"/>
  <c r="D81" i="169"/>
  <c r="C81" i="169"/>
  <c r="B81" i="169"/>
  <c r="A81" i="169"/>
  <c r="AC80" i="169"/>
  <c r="AB80" i="169"/>
  <c r="AA80" i="169"/>
  <c r="Z80" i="169"/>
  <c r="Y80" i="169"/>
  <c r="X80" i="169"/>
  <c r="V80" i="169"/>
  <c r="S80" i="169"/>
  <c r="R80" i="169"/>
  <c r="Q80" i="169"/>
  <c r="P80" i="169"/>
  <c r="O80" i="169"/>
  <c r="N80" i="169"/>
  <c r="I80" i="169"/>
  <c r="H80" i="169"/>
  <c r="G80" i="169"/>
  <c r="F80" i="169"/>
  <c r="E80" i="169"/>
  <c r="D80" i="169"/>
  <c r="C80" i="169"/>
  <c r="B80" i="169"/>
  <c r="A80" i="169"/>
  <c r="AC79" i="169"/>
  <c r="AB79" i="169"/>
  <c r="AA79" i="169"/>
  <c r="Z79" i="169"/>
  <c r="Y79" i="169"/>
  <c r="X79" i="169"/>
  <c r="V79" i="169"/>
  <c r="S79" i="169"/>
  <c r="R79" i="169"/>
  <c r="Q79" i="169"/>
  <c r="P79" i="169"/>
  <c r="O79" i="169"/>
  <c r="N79" i="169"/>
  <c r="I79" i="169"/>
  <c r="H79" i="169"/>
  <c r="G79" i="169"/>
  <c r="F79" i="169"/>
  <c r="E79" i="169"/>
  <c r="D79" i="169"/>
  <c r="C79" i="169"/>
  <c r="B79" i="169"/>
  <c r="A79" i="169"/>
  <c r="AC78" i="169"/>
  <c r="AB78" i="169"/>
  <c r="AA78" i="169"/>
  <c r="Z78" i="169"/>
  <c r="Y78" i="169"/>
  <c r="W78" i="169"/>
  <c r="V78" i="169"/>
  <c r="S78" i="169"/>
  <c r="R78" i="169"/>
  <c r="Q78" i="169"/>
  <c r="P78" i="169"/>
  <c r="O78" i="169"/>
  <c r="N78" i="169"/>
  <c r="I78" i="169"/>
  <c r="H78" i="169"/>
  <c r="G78" i="169"/>
  <c r="F78" i="169"/>
  <c r="E78" i="169"/>
  <c r="D78" i="169"/>
  <c r="C78" i="169"/>
  <c r="B78" i="169"/>
  <c r="A78" i="169"/>
  <c r="AC77" i="169"/>
  <c r="AB77" i="169"/>
  <c r="AA77" i="169"/>
  <c r="Z77" i="169"/>
  <c r="Y77" i="169"/>
  <c r="W77" i="169"/>
  <c r="V77" i="169"/>
  <c r="S77" i="169"/>
  <c r="R77" i="169"/>
  <c r="Q77" i="169"/>
  <c r="P77" i="169"/>
  <c r="O77" i="169"/>
  <c r="N77" i="169"/>
  <c r="I77" i="169"/>
  <c r="H77" i="169"/>
  <c r="G77" i="169"/>
  <c r="F77" i="169"/>
  <c r="E77" i="169"/>
  <c r="D77" i="169"/>
  <c r="C77" i="169"/>
  <c r="B77" i="169"/>
  <c r="A77" i="169"/>
  <c r="AD76" i="169"/>
  <c r="AC76" i="169"/>
  <c r="AB76" i="169"/>
  <c r="AA76" i="169"/>
  <c r="Z76" i="169"/>
  <c r="Y76" i="169"/>
  <c r="W76" i="169"/>
  <c r="V76" i="169"/>
  <c r="S76" i="169"/>
  <c r="R76" i="169"/>
  <c r="Q76" i="169"/>
  <c r="P76" i="169"/>
  <c r="O76" i="169"/>
  <c r="N76" i="169"/>
  <c r="I76" i="169"/>
  <c r="H76" i="169"/>
  <c r="G76" i="169"/>
  <c r="F76" i="169"/>
  <c r="E76" i="169"/>
  <c r="D76" i="169"/>
  <c r="C76" i="169"/>
  <c r="B76" i="169"/>
  <c r="A76" i="169"/>
  <c r="Z75" i="169"/>
  <c r="Y75" i="169"/>
  <c r="X75" i="169"/>
  <c r="X71" i="169" s="1"/>
  <c r="AC74" i="169"/>
  <c r="AB74" i="169"/>
  <c r="AA74" i="169"/>
  <c r="Z74" i="169"/>
  <c r="Y74" i="169"/>
  <c r="W74" i="169"/>
  <c r="V74" i="169"/>
  <c r="T74" i="169"/>
  <c r="S74" i="169"/>
  <c r="R74" i="169"/>
  <c r="Q74" i="169"/>
  <c r="P74" i="169"/>
  <c r="O74" i="169"/>
  <c r="N74" i="169"/>
  <c r="I74" i="169"/>
  <c r="H74" i="169"/>
  <c r="G74" i="169"/>
  <c r="F74" i="169"/>
  <c r="E74" i="169"/>
  <c r="D74" i="169"/>
  <c r="C74" i="169"/>
  <c r="B74" i="169"/>
  <c r="A74" i="169"/>
  <c r="AD73" i="169"/>
  <c r="Z73" i="169"/>
  <c r="Y73" i="169"/>
  <c r="W73" i="169"/>
  <c r="V73" i="169"/>
  <c r="V71" i="169" s="1"/>
  <c r="T73" i="169"/>
  <c r="S73" i="169"/>
  <c r="I73" i="169"/>
  <c r="H73" i="169"/>
  <c r="G73" i="169"/>
  <c r="F73" i="169"/>
  <c r="E73" i="169"/>
  <c r="D73" i="169"/>
  <c r="C73" i="169"/>
  <c r="B73" i="169"/>
  <c r="A73" i="169"/>
  <c r="AD72" i="169"/>
  <c r="AC72" i="169"/>
  <c r="AB72" i="169"/>
  <c r="AA72" i="169"/>
  <c r="Z72" i="169"/>
  <c r="Y72" i="169"/>
  <c r="W72" i="169"/>
  <c r="W71" i="169" s="1"/>
  <c r="V72" i="169"/>
  <c r="T72" i="169"/>
  <c r="S72" i="169"/>
  <c r="R72" i="169"/>
  <c r="Q72" i="169"/>
  <c r="P72" i="169"/>
  <c r="O72" i="169"/>
  <c r="N72" i="169"/>
  <c r="I72" i="169"/>
  <c r="H72" i="169"/>
  <c r="G72" i="169"/>
  <c r="F72" i="169"/>
  <c r="E72" i="169"/>
  <c r="D72" i="169"/>
  <c r="C72" i="169"/>
  <c r="B72" i="169"/>
  <c r="A72" i="169"/>
  <c r="Z71" i="169"/>
  <c r="U71" i="169"/>
  <c r="M71" i="169"/>
  <c r="L71" i="169"/>
  <c r="AC70" i="169"/>
  <c r="AB70" i="169"/>
  <c r="AA70" i="169"/>
  <c r="Z70" i="169"/>
  <c r="Y70" i="169"/>
  <c r="W70" i="169"/>
  <c r="V70" i="169"/>
  <c r="S70" i="169"/>
  <c r="R70" i="169"/>
  <c r="Q70" i="169"/>
  <c r="P70" i="169"/>
  <c r="O70" i="169"/>
  <c r="N70" i="169"/>
  <c r="I70" i="169"/>
  <c r="H70" i="169"/>
  <c r="G70" i="169"/>
  <c r="F70" i="169"/>
  <c r="E70" i="169"/>
  <c r="D70" i="169"/>
  <c r="C70" i="169"/>
  <c r="B70" i="169"/>
  <c r="A70" i="169"/>
  <c r="AC69" i="169"/>
  <c r="AB69" i="169"/>
  <c r="AA69" i="169"/>
  <c r="Z69" i="169"/>
  <c r="Y69" i="169"/>
  <c r="W69" i="169"/>
  <c r="V69" i="169"/>
  <c r="S69" i="169"/>
  <c r="R69" i="169"/>
  <c r="Q69" i="169"/>
  <c r="P69" i="169"/>
  <c r="O69" i="169"/>
  <c r="N69" i="169"/>
  <c r="I69" i="169"/>
  <c r="H69" i="169"/>
  <c r="G69" i="169"/>
  <c r="F69" i="169"/>
  <c r="E69" i="169"/>
  <c r="D69" i="169"/>
  <c r="C69" i="169"/>
  <c r="B69" i="169"/>
  <c r="A69" i="169"/>
  <c r="Z68" i="169"/>
  <c r="Y68" i="169"/>
  <c r="X68" i="169"/>
  <c r="X64" i="169" s="1"/>
  <c r="Z67" i="169"/>
  <c r="Y67" i="169"/>
  <c r="W67" i="169"/>
  <c r="V67" i="169"/>
  <c r="T67" i="169"/>
  <c r="S67" i="169"/>
  <c r="I67" i="169"/>
  <c r="H67" i="169"/>
  <c r="G67" i="169"/>
  <c r="F67" i="169"/>
  <c r="E67" i="169"/>
  <c r="D67" i="169"/>
  <c r="C67" i="169"/>
  <c r="B67" i="169"/>
  <c r="A67" i="169"/>
  <c r="AC66" i="169"/>
  <c r="AB66" i="169"/>
  <c r="AA66" i="169"/>
  <c r="Z66" i="169"/>
  <c r="Y66" i="169"/>
  <c r="W66" i="169"/>
  <c r="V66" i="169"/>
  <c r="T66" i="169"/>
  <c r="S66" i="169"/>
  <c r="R66" i="169"/>
  <c r="Q66" i="169"/>
  <c r="P66" i="169"/>
  <c r="N66" i="169"/>
  <c r="I66" i="169"/>
  <c r="H66" i="169"/>
  <c r="G66" i="169"/>
  <c r="F66" i="169"/>
  <c r="E66" i="169"/>
  <c r="D66" i="169"/>
  <c r="C66" i="169"/>
  <c r="B66" i="169"/>
  <c r="A66" i="169"/>
  <c r="AC65" i="169"/>
  <c r="AB65" i="169"/>
  <c r="AA65" i="169"/>
  <c r="Z65" i="169"/>
  <c r="Y65" i="169"/>
  <c r="X65" i="169"/>
  <c r="V65" i="169"/>
  <c r="T65" i="169"/>
  <c r="S65" i="169"/>
  <c r="R65" i="169"/>
  <c r="Q65" i="169"/>
  <c r="P65" i="169"/>
  <c r="O65" i="169"/>
  <c r="N65" i="169"/>
  <c r="I65" i="169"/>
  <c r="H65" i="169"/>
  <c r="G65" i="169"/>
  <c r="F65" i="169"/>
  <c r="E65" i="169"/>
  <c r="D65" i="169"/>
  <c r="C65" i="169"/>
  <c r="B65" i="169"/>
  <c r="A65" i="169"/>
  <c r="W64" i="169"/>
  <c r="U64" i="169"/>
  <c r="R64" i="169"/>
  <c r="M64" i="169"/>
  <c r="L64" i="169"/>
  <c r="AC63" i="169"/>
  <c r="AB63" i="169"/>
  <c r="AA63" i="169"/>
  <c r="Z63" i="169"/>
  <c r="Y63" i="169"/>
  <c r="W63" i="169"/>
  <c r="V63" i="169"/>
  <c r="T63" i="169"/>
  <c r="S63" i="169"/>
  <c r="R63" i="169"/>
  <c r="Q63" i="169"/>
  <c r="P63" i="169"/>
  <c r="O63" i="169"/>
  <c r="N63" i="169"/>
  <c r="I63" i="169"/>
  <c r="H63" i="169"/>
  <c r="G63" i="169"/>
  <c r="F63" i="169"/>
  <c r="E63" i="169"/>
  <c r="D63" i="169"/>
  <c r="C63" i="169"/>
  <c r="B63" i="169"/>
  <c r="A63" i="169"/>
  <c r="AC62" i="169"/>
  <c r="AB62" i="169"/>
  <c r="AA62" i="169"/>
  <c r="Z62" i="169"/>
  <c r="Y62" i="169"/>
  <c r="W62" i="169"/>
  <c r="V62" i="169"/>
  <c r="S62" i="169"/>
  <c r="R62" i="169"/>
  <c r="R61" i="169" s="1"/>
  <c r="Q62" i="169"/>
  <c r="P62" i="169"/>
  <c r="O62" i="169"/>
  <c r="N62" i="169"/>
  <c r="I62" i="169"/>
  <c r="H62" i="169"/>
  <c r="G62" i="169"/>
  <c r="F62" i="169"/>
  <c r="E62" i="169"/>
  <c r="D62" i="169"/>
  <c r="C62" i="169"/>
  <c r="B62" i="169"/>
  <c r="A62" i="169"/>
  <c r="W61" i="169"/>
  <c r="U61" i="169"/>
  <c r="M61" i="169"/>
  <c r="L61" i="169"/>
  <c r="AD60" i="169"/>
  <c r="AC60" i="169"/>
  <c r="AB60" i="169"/>
  <c r="AA60" i="169"/>
  <c r="Z60" i="169"/>
  <c r="Y60" i="169"/>
  <c r="W60" i="169"/>
  <c r="V60" i="169"/>
  <c r="T60" i="169"/>
  <c r="S60" i="169"/>
  <c r="R60" i="169"/>
  <c r="Q60" i="169"/>
  <c r="P60" i="169"/>
  <c r="O60" i="169"/>
  <c r="N60" i="169"/>
  <c r="AC59" i="169"/>
  <c r="AB59" i="169"/>
  <c r="AA59" i="169"/>
  <c r="Z59" i="169"/>
  <c r="Y59" i="169"/>
  <c r="W59" i="169"/>
  <c r="V59" i="169"/>
  <c r="S59" i="169"/>
  <c r="R59" i="169"/>
  <c r="Q59" i="169"/>
  <c r="P59" i="169"/>
  <c r="O59" i="169"/>
  <c r="N59" i="169"/>
  <c r="I59" i="169"/>
  <c r="H59" i="169"/>
  <c r="G59" i="169"/>
  <c r="F59" i="169"/>
  <c r="E59" i="169"/>
  <c r="D59" i="169"/>
  <c r="C59" i="169"/>
  <c r="B59" i="169"/>
  <c r="A59" i="169"/>
  <c r="AC58" i="169"/>
  <c r="AB58" i="169"/>
  <c r="AA58" i="169"/>
  <c r="Z58" i="169"/>
  <c r="Y58" i="169"/>
  <c r="W58" i="169"/>
  <c r="V58" i="169"/>
  <c r="S58" i="169"/>
  <c r="R58" i="169"/>
  <c r="Q58" i="169"/>
  <c r="P58" i="169"/>
  <c r="O58" i="169"/>
  <c r="N58" i="169"/>
  <c r="I58" i="169"/>
  <c r="H58" i="169"/>
  <c r="G58" i="169"/>
  <c r="F58" i="169"/>
  <c r="E58" i="169"/>
  <c r="D58" i="169"/>
  <c r="C58" i="169"/>
  <c r="B58" i="169"/>
  <c r="A58" i="169"/>
  <c r="Z57" i="169"/>
  <c r="Y57" i="169"/>
  <c r="W57" i="169"/>
  <c r="V57" i="169"/>
  <c r="T57" i="169"/>
  <c r="S57" i="169"/>
  <c r="I57" i="169"/>
  <c r="H57" i="169"/>
  <c r="G57" i="169"/>
  <c r="F57" i="169"/>
  <c r="E57" i="169"/>
  <c r="D57" i="169"/>
  <c r="C57" i="169"/>
  <c r="B57" i="169"/>
  <c r="A57" i="169"/>
  <c r="Z56" i="169"/>
  <c r="Y56" i="169"/>
  <c r="W56" i="169"/>
  <c r="V56" i="169"/>
  <c r="T56" i="169"/>
  <c r="S56" i="169"/>
  <c r="I56" i="169"/>
  <c r="H56" i="169"/>
  <c r="G56" i="169"/>
  <c r="F56" i="169"/>
  <c r="E56" i="169"/>
  <c r="D56" i="169"/>
  <c r="C56" i="169"/>
  <c r="B56" i="169"/>
  <c r="A56" i="169"/>
  <c r="Z55" i="169"/>
  <c r="Y55" i="169"/>
  <c r="X55" i="169"/>
  <c r="AC54" i="169"/>
  <c r="AB54" i="169"/>
  <c r="AA54" i="169"/>
  <c r="Z54" i="169"/>
  <c r="Y54" i="169"/>
  <c r="W54" i="169"/>
  <c r="V54" i="169"/>
  <c r="T54" i="169"/>
  <c r="S54" i="169"/>
  <c r="R54" i="169"/>
  <c r="Q54" i="169"/>
  <c r="P54" i="169"/>
  <c r="N54" i="169"/>
  <c r="I54" i="169"/>
  <c r="H54" i="169"/>
  <c r="G54" i="169"/>
  <c r="F54" i="169"/>
  <c r="E54" i="169"/>
  <c r="D54" i="169"/>
  <c r="C54" i="169"/>
  <c r="B54" i="169"/>
  <c r="A54" i="169"/>
  <c r="AC53" i="169"/>
  <c r="AB53" i="169"/>
  <c r="AA53" i="169"/>
  <c r="Z53" i="169"/>
  <c r="Y53" i="169"/>
  <c r="W53" i="169"/>
  <c r="V53" i="169"/>
  <c r="T53" i="169"/>
  <c r="S53" i="169"/>
  <c r="R53" i="169"/>
  <c r="Q53" i="169"/>
  <c r="P53" i="169"/>
  <c r="O53" i="169"/>
  <c r="N53" i="169"/>
  <c r="I53" i="169"/>
  <c r="H53" i="169"/>
  <c r="G53" i="169"/>
  <c r="F53" i="169"/>
  <c r="E53" i="169"/>
  <c r="D53" i="169"/>
  <c r="C53" i="169"/>
  <c r="B53" i="169"/>
  <c r="A53" i="169"/>
  <c r="AC52" i="169"/>
  <c r="AB52" i="169"/>
  <c r="AA52" i="169"/>
  <c r="Z52" i="169"/>
  <c r="Y52" i="169"/>
  <c r="W52" i="169"/>
  <c r="V52" i="169"/>
  <c r="S52" i="169"/>
  <c r="R52" i="169"/>
  <c r="Q52" i="169"/>
  <c r="P52" i="169"/>
  <c r="O52" i="169"/>
  <c r="N52" i="169"/>
  <c r="I52" i="169"/>
  <c r="H52" i="169"/>
  <c r="G52" i="169"/>
  <c r="F52" i="169"/>
  <c r="E52" i="169"/>
  <c r="D52" i="169"/>
  <c r="C52" i="169"/>
  <c r="B52" i="169"/>
  <c r="A52" i="169"/>
  <c r="Z51" i="169"/>
  <c r="Y51" i="169"/>
  <c r="W51" i="169"/>
  <c r="V51" i="169"/>
  <c r="V49" i="169" s="1"/>
  <c r="T51" i="169"/>
  <c r="S51" i="169"/>
  <c r="AC50" i="169"/>
  <c r="AB50" i="169"/>
  <c r="AA50" i="169"/>
  <c r="Z50" i="169"/>
  <c r="Y50" i="169"/>
  <c r="W50" i="169"/>
  <c r="W49" i="169" s="1"/>
  <c r="V50" i="169"/>
  <c r="T50" i="169"/>
  <c r="S50" i="169"/>
  <c r="R50" i="169"/>
  <c r="R49" i="169" s="1"/>
  <c r="Q50" i="169"/>
  <c r="P50" i="169"/>
  <c r="O50" i="169"/>
  <c r="N50" i="169"/>
  <c r="X49" i="169"/>
  <c r="U49" i="169"/>
  <c r="M49" i="169"/>
  <c r="L49" i="169"/>
  <c r="AD48" i="169"/>
  <c r="AC48" i="169"/>
  <c r="AB48" i="169"/>
  <c r="AA48" i="169"/>
  <c r="Z48" i="169"/>
  <c r="Y48" i="169"/>
  <c r="W48" i="169"/>
  <c r="V48" i="169"/>
  <c r="T48" i="169"/>
  <c r="S48" i="169"/>
  <c r="R48" i="169"/>
  <c r="Q48" i="169"/>
  <c r="P48" i="169"/>
  <c r="O48" i="169"/>
  <c r="N48" i="169"/>
  <c r="Z47" i="169"/>
  <c r="Y47" i="169"/>
  <c r="X47" i="169"/>
  <c r="V47" i="169"/>
  <c r="T47" i="169"/>
  <c r="S47" i="169"/>
  <c r="Q47" i="169"/>
  <c r="P47" i="169"/>
  <c r="O47" i="169"/>
  <c r="AD46" i="169"/>
  <c r="AC46" i="169"/>
  <c r="AB46" i="169"/>
  <c r="AA46" i="169"/>
  <c r="Z46" i="169"/>
  <c r="Y46" i="169"/>
  <c r="W46" i="169"/>
  <c r="V46" i="169"/>
  <c r="T46" i="169"/>
  <c r="S46" i="169"/>
  <c r="R46" i="169"/>
  <c r="Q46" i="169"/>
  <c r="P46" i="169"/>
  <c r="O46" i="169"/>
  <c r="N46" i="169"/>
  <c r="I46" i="169"/>
  <c r="H46" i="169"/>
  <c r="G46" i="169"/>
  <c r="F46" i="169"/>
  <c r="E46" i="169"/>
  <c r="D46" i="169"/>
  <c r="C46" i="169"/>
  <c r="B46" i="169"/>
  <c r="A46" i="169"/>
  <c r="AD45" i="169"/>
  <c r="AC45" i="169"/>
  <c r="AB45" i="169"/>
  <c r="AA45" i="169"/>
  <c r="Z45" i="169"/>
  <c r="Y45" i="169"/>
  <c r="W45" i="169"/>
  <c r="V45" i="169"/>
  <c r="T45" i="169"/>
  <c r="S45" i="169"/>
  <c r="R45" i="169"/>
  <c r="Q45" i="169"/>
  <c r="P45" i="169"/>
  <c r="O45" i="169"/>
  <c r="N45" i="169"/>
  <c r="I45" i="169"/>
  <c r="H45" i="169"/>
  <c r="G45" i="169"/>
  <c r="F45" i="169"/>
  <c r="E45" i="169"/>
  <c r="D45" i="169"/>
  <c r="C45" i="169"/>
  <c r="B45" i="169"/>
  <c r="A45" i="169"/>
  <c r="AC44" i="169"/>
  <c r="AB44" i="169"/>
  <c r="AA44" i="169"/>
  <c r="Z44" i="169"/>
  <c r="Y44" i="169"/>
  <c r="W44" i="169"/>
  <c r="V44" i="169"/>
  <c r="T44" i="169"/>
  <c r="S44" i="169"/>
  <c r="R44" i="169"/>
  <c r="Q44" i="169"/>
  <c r="P44" i="169"/>
  <c r="O44" i="169"/>
  <c r="N44" i="169"/>
  <c r="I44" i="169"/>
  <c r="H44" i="169"/>
  <c r="G44" i="169"/>
  <c r="F44" i="169"/>
  <c r="E44" i="169"/>
  <c r="D44" i="169"/>
  <c r="C44" i="169"/>
  <c r="B44" i="169"/>
  <c r="A44" i="169"/>
  <c r="AC43" i="169"/>
  <c r="AB43" i="169"/>
  <c r="AA43" i="169"/>
  <c r="Z43" i="169"/>
  <c r="Y43" i="169"/>
  <c r="W43" i="169"/>
  <c r="V43" i="169"/>
  <c r="T43" i="169"/>
  <c r="S43" i="169"/>
  <c r="R43" i="169"/>
  <c r="Q43" i="169"/>
  <c r="P43" i="169"/>
  <c r="O43" i="169"/>
  <c r="N43" i="169"/>
  <c r="I43" i="169"/>
  <c r="H43" i="169"/>
  <c r="G43" i="169"/>
  <c r="F43" i="169"/>
  <c r="E43" i="169"/>
  <c r="D43" i="169"/>
  <c r="C43" i="169"/>
  <c r="B43" i="169"/>
  <c r="A43" i="169"/>
  <c r="AC42" i="169"/>
  <c r="AB42" i="169"/>
  <c r="AA42" i="169"/>
  <c r="Z42" i="169"/>
  <c r="Y42" i="169"/>
  <c r="X42" i="169"/>
  <c r="V42" i="169"/>
  <c r="T42" i="169"/>
  <c r="S42" i="169"/>
  <c r="R42" i="169"/>
  <c r="Q42" i="169"/>
  <c r="P42" i="169"/>
  <c r="O42" i="169"/>
  <c r="N42" i="169"/>
  <c r="I42" i="169"/>
  <c r="H42" i="169"/>
  <c r="G42" i="169"/>
  <c r="F42" i="169"/>
  <c r="E42" i="169"/>
  <c r="D42" i="169"/>
  <c r="C42" i="169"/>
  <c r="B42" i="169"/>
  <c r="A42" i="169"/>
  <c r="AC41" i="169"/>
  <c r="AB41" i="169"/>
  <c r="AA41" i="169"/>
  <c r="Z41" i="169"/>
  <c r="Y41" i="169"/>
  <c r="V41" i="169"/>
  <c r="S41" i="169"/>
  <c r="R41" i="169"/>
  <c r="Q41" i="169"/>
  <c r="P41" i="169"/>
  <c r="O41" i="169"/>
  <c r="N41" i="169"/>
  <c r="I41" i="169"/>
  <c r="H41" i="169"/>
  <c r="G41" i="169"/>
  <c r="F41" i="169"/>
  <c r="E41" i="169"/>
  <c r="D41" i="169"/>
  <c r="C41" i="169"/>
  <c r="B41" i="169"/>
  <c r="A41" i="169"/>
  <c r="AC40" i="169"/>
  <c r="AB40" i="169"/>
  <c r="AA40" i="169"/>
  <c r="Z40" i="169"/>
  <c r="Y40" i="169"/>
  <c r="X40" i="169"/>
  <c r="V40" i="169"/>
  <c r="T40" i="169"/>
  <c r="S40" i="169"/>
  <c r="R40" i="169"/>
  <c r="Q40" i="169"/>
  <c r="P40" i="169"/>
  <c r="O40" i="169"/>
  <c r="N40" i="169"/>
  <c r="I40" i="169"/>
  <c r="H40" i="169"/>
  <c r="G40" i="169"/>
  <c r="F40" i="169"/>
  <c r="E40" i="169"/>
  <c r="D40" i="169"/>
  <c r="C40" i="169"/>
  <c r="B40" i="169"/>
  <c r="A40" i="169"/>
  <c r="AC39" i="169"/>
  <c r="AB39" i="169"/>
  <c r="AA39" i="169"/>
  <c r="Z39" i="169"/>
  <c r="Y39" i="169"/>
  <c r="W39" i="169"/>
  <c r="V39" i="169"/>
  <c r="T39" i="169"/>
  <c r="S39" i="169"/>
  <c r="R39" i="169"/>
  <c r="Q39" i="169"/>
  <c r="P39" i="169"/>
  <c r="O39" i="169"/>
  <c r="N39" i="169"/>
  <c r="I39" i="169"/>
  <c r="H39" i="169"/>
  <c r="G39" i="169"/>
  <c r="F39" i="169"/>
  <c r="E39" i="169"/>
  <c r="D39" i="169"/>
  <c r="C39" i="169"/>
  <c r="B39" i="169"/>
  <c r="A39" i="169"/>
  <c r="AC38" i="169"/>
  <c r="AB38" i="169"/>
  <c r="AA38" i="169"/>
  <c r="Z38" i="169"/>
  <c r="Y38" i="169"/>
  <c r="W38" i="169"/>
  <c r="V38" i="169"/>
  <c r="T38" i="169"/>
  <c r="S38" i="169"/>
  <c r="R38" i="169"/>
  <c r="Q38" i="169"/>
  <c r="P38" i="169"/>
  <c r="O38" i="169"/>
  <c r="N38" i="169"/>
  <c r="I38" i="169"/>
  <c r="H38" i="169"/>
  <c r="G38" i="169"/>
  <c r="F38" i="169"/>
  <c r="E38" i="169"/>
  <c r="D38" i="169"/>
  <c r="C38" i="169"/>
  <c r="B38" i="169"/>
  <c r="A38" i="169"/>
  <c r="AC37" i="169"/>
  <c r="AB37" i="169"/>
  <c r="AA37" i="169"/>
  <c r="Z37" i="169"/>
  <c r="Y37" i="169"/>
  <c r="W37" i="169"/>
  <c r="V37" i="169"/>
  <c r="T37" i="169"/>
  <c r="S37" i="169"/>
  <c r="R37" i="169"/>
  <c r="Q37" i="169"/>
  <c r="P37" i="169"/>
  <c r="O37" i="169"/>
  <c r="N37" i="169"/>
  <c r="I37" i="169"/>
  <c r="H37" i="169"/>
  <c r="G37" i="169"/>
  <c r="F37" i="169"/>
  <c r="E37" i="169"/>
  <c r="D37" i="169"/>
  <c r="C37" i="169"/>
  <c r="B37" i="169"/>
  <c r="A37" i="169"/>
  <c r="AC36" i="169"/>
  <c r="AB36" i="169"/>
  <c r="AA36" i="169"/>
  <c r="Z36" i="169"/>
  <c r="Y36" i="169"/>
  <c r="W36" i="169"/>
  <c r="V36" i="169"/>
  <c r="T36" i="169"/>
  <c r="S36" i="169"/>
  <c r="R36" i="169"/>
  <c r="Q36" i="169"/>
  <c r="P36" i="169"/>
  <c r="O36" i="169"/>
  <c r="N36" i="169"/>
  <c r="I36" i="169"/>
  <c r="H36" i="169"/>
  <c r="G36" i="169"/>
  <c r="F36" i="169"/>
  <c r="E36" i="169"/>
  <c r="D36" i="169"/>
  <c r="C36" i="169"/>
  <c r="B36" i="169"/>
  <c r="A36" i="169"/>
  <c r="AD35" i="169"/>
  <c r="AC35" i="169"/>
  <c r="AB35" i="169"/>
  <c r="AA35" i="169"/>
  <c r="Z35" i="169"/>
  <c r="Y35" i="169"/>
  <c r="W35" i="169"/>
  <c r="V35" i="169"/>
  <c r="T35" i="169"/>
  <c r="S35" i="169"/>
  <c r="R35" i="169"/>
  <c r="Q35" i="169"/>
  <c r="P35" i="169"/>
  <c r="O35" i="169"/>
  <c r="N35" i="169"/>
  <c r="I35" i="169"/>
  <c r="H35" i="169"/>
  <c r="G35" i="169"/>
  <c r="F35" i="169"/>
  <c r="E35" i="169"/>
  <c r="D35" i="169"/>
  <c r="C35" i="169"/>
  <c r="B35" i="169"/>
  <c r="A35" i="169"/>
  <c r="U34" i="169"/>
  <c r="M34" i="169"/>
  <c r="L34" i="169"/>
  <c r="AD33" i="169"/>
  <c r="AC33" i="169"/>
  <c r="AB33" i="169"/>
  <c r="AA33" i="169"/>
  <c r="Z33" i="169"/>
  <c r="Y33" i="169"/>
  <c r="W33" i="169"/>
  <c r="V33" i="169"/>
  <c r="T33" i="169"/>
  <c r="S33" i="169"/>
  <c r="R33" i="169"/>
  <c r="Q33" i="169"/>
  <c r="P33" i="169"/>
  <c r="O33" i="169"/>
  <c r="N33" i="169"/>
  <c r="AC32" i="169"/>
  <c r="AB32" i="169"/>
  <c r="AA32" i="169"/>
  <c r="Z32" i="169"/>
  <c r="Y32" i="169"/>
  <c r="W32" i="169"/>
  <c r="V32" i="169"/>
  <c r="S32" i="169"/>
  <c r="R32" i="169"/>
  <c r="Q32" i="169"/>
  <c r="P32" i="169"/>
  <c r="O32" i="169"/>
  <c r="N32" i="169"/>
  <c r="I32" i="169"/>
  <c r="H32" i="169"/>
  <c r="G32" i="169"/>
  <c r="F32" i="169"/>
  <c r="E32" i="169"/>
  <c r="D32" i="169"/>
  <c r="C32" i="169"/>
  <c r="B32" i="169"/>
  <c r="A32" i="169"/>
  <c r="AC31" i="169"/>
  <c r="AB31" i="169"/>
  <c r="AA31" i="169"/>
  <c r="Z31" i="169"/>
  <c r="Y31" i="169"/>
  <c r="W31" i="169"/>
  <c r="V31" i="169"/>
  <c r="T31" i="169"/>
  <c r="S31" i="169"/>
  <c r="R31" i="169"/>
  <c r="Q31" i="169"/>
  <c r="P31" i="169"/>
  <c r="O31" i="169"/>
  <c r="N31" i="169"/>
  <c r="I31" i="169"/>
  <c r="H31" i="169"/>
  <c r="G31" i="169"/>
  <c r="F31" i="169"/>
  <c r="E31" i="169"/>
  <c r="D31" i="169"/>
  <c r="C31" i="169"/>
  <c r="B31" i="169"/>
  <c r="A31" i="169"/>
  <c r="AC30" i="169"/>
  <c r="AB30" i="169"/>
  <c r="AA30" i="169"/>
  <c r="Z30" i="169"/>
  <c r="Y30" i="169"/>
  <c r="X30" i="169"/>
  <c r="X24" i="169" s="1"/>
  <c r="V30" i="169"/>
  <c r="T30" i="169"/>
  <c r="S30" i="169"/>
  <c r="R30" i="169"/>
  <c r="Q30" i="169"/>
  <c r="P30" i="169"/>
  <c r="O30" i="169"/>
  <c r="N30" i="169"/>
  <c r="I30" i="169"/>
  <c r="H30" i="169"/>
  <c r="G30" i="169"/>
  <c r="F30" i="169"/>
  <c r="E30" i="169"/>
  <c r="D30" i="169"/>
  <c r="C30" i="169"/>
  <c r="B30" i="169"/>
  <c r="A30" i="169"/>
  <c r="AC29" i="169"/>
  <c r="AB29" i="169"/>
  <c r="AA29" i="169"/>
  <c r="Z29" i="169"/>
  <c r="Y29" i="169"/>
  <c r="W29" i="169"/>
  <c r="V29" i="169"/>
  <c r="T29" i="169"/>
  <c r="S29" i="169"/>
  <c r="R29" i="169"/>
  <c r="Q29" i="169"/>
  <c r="P29" i="169"/>
  <c r="O29" i="169"/>
  <c r="N29" i="169"/>
  <c r="I29" i="169"/>
  <c r="H29" i="169"/>
  <c r="G29" i="169"/>
  <c r="F29" i="169"/>
  <c r="E29" i="169"/>
  <c r="D29" i="169"/>
  <c r="C29" i="169"/>
  <c r="B29" i="169"/>
  <c r="A29" i="169"/>
  <c r="AC28" i="169"/>
  <c r="AB28" i="169"/>
  <c r="AA28" i="169"/>
  <c r="Z28" i="169"/>
  <c r="Y28" i="169"/>
  <c r="W28" i="169"/>
  <c r="V28" i="169"/>
  <c r="T28" i="169"/>
  <c r="S28" i="169"/>
  <c r="R28" i="169"/>
  <c r="Q28" i="169"/>
  <c r="P28" i="169"/>
  <c r="O28" i="169"/>
  <c r="N28" i="169"/>
  <c r="I28" i="169"/>
  <c r="H28" i="169"/>
  <c r="G28" i="169"/>
  <c r="F28" i="169"/>
  <c r="E28" i="169"/>
  <c r="D28" i="169"/>
  <c r="C28" i="169"/>
  <c r="B28" i="169"/>
  <c r="A28" i="169"/>
  <c r="AC27" i="169"/>
  <c r="AB27" i="169"/>
  <c r="AA27" i="169"/>
  <c r="Z27" i="169"/>
  <c r="Y27" i="169"/>
  <c r="W27" i="169"/>
  <c r="V27" i="169"/>
  <c r="T27" i="169"/>
  <c r="S27" i="169"/>
  <c r="R27" i="169"/>
  <c r="Q27" i="169"/>
  <c r="P27" i="169"/>
  <c r="O27" i="169"/>
  <c r="N27" i="169"/>
  <c r="I27" i="169"/>
  <c r="H27" i="169"/>
  <c r="G27" i="169"/>
  <c r="F27" i="169"/>
  <c r="E27" i="169"/>
  <c r="D27" i="169"/>
  <c r="C27" i="169"/>
  <c r="B27" i="169"/>
  <c r="A27" i="169"/>
  <c r="AC26" i="169"/>
  <c r="AB26" i="169"/>
  <c r="AA26" i="169"/>
  <c r="Z26" i="169"/>
  <c r="Y26" i="169"/>
  <c r="W26" i="169"/>
  <c r="V26" i="169"/>
  <c r="S26" i="169"/>
  <c r="R26" i="169"/>
  <c r="Q26" i="169"/>
  <c r="P26" i="169"/>
  <c r="O26" i="169"/>
  <c r="N26" i="169"/>
  <c r="I26" i="169"/>
  <c r="H26" i="169"/>
  <c r="G26" i="169"/>
  <c r="F26" i="169"/>
  <c r="E26" i="169"/>
  <c r="D26" i="169"/>
  <c r="C26" i="169"/>
  <c r="B26" i="169"/>
  <c r="A26" i="169"/>
  <c r="AC25" i="169"/>
  <c r="AB25" i="169"/>
  <c r="AA25" i="169"/>
  <c r="Z25" i="169"/>
  <c r="Y25" i="169"/>
  <c r="W25" i="169"/>
  <c r="V25" i="169"/>
  <c r="S25" i="169"/>
  <c r="R25" i="169"/>
  <c r="Q25" i="169"/>
  <c r="P25" i="169"/>
  <c r="O25" i="169"/>
  <c r="N25" i="169"/>
  <c r="Z24" i="169"/>
  <c r="W24" i="169"/>
  <c r="U24" i="169"/>
  <c r="R24" i="169"/>
  <c r="M24" i="169"/>
  <c r="L24" i="169"/>
  <c r="AC23" i="169"/>
  <c r="AB23" i="169"/>
  <c r="AA23" i="169"/>
  <c r="Z23" i="169"/>
  <c r="Y23" i="169"/>
  <c r="W23" i="169"/>
  <c r="V23" i="169"/>
  <c r="T23" i="169"/>
  <c r="S23" i="169"/>
  <c r="R23" i="169"/>
  <c r="Q23" i="169"/>
  <c r="P23" i="169"/>
  <c r="O23" i="169"/>
  <c r="N23" i="169"/>
  <c r="I23" i="169"/>
  <c r="H23" i="169"/>
  <c r="G23" i="169"/>
  <c r="F23" i="169"/>
  <c r="E23" i="169"/>
  <c r="D23" i="169"/>
  <c r="C23" i="169"/>
  <c r="B23" i="169"/>
  <c r="A23" i="169"/>
  <c r="AC22" i="169"/>
  <c r="AB22" i="169"/>
  <c r="AA22" i="169"/>
  <c r="Z22" i="169"/>
  <c r="Y22" i="169"/>
  <c r="W22" i="169"/>
  <c r="V22" i="169"/>
  <c r="T22" i="169"/>
  <c r="S22" i="169"/>
  <c r="R22" i="169"/>
  <c r="Q22" i="169"/>
  <c r="P22" i="169"/>
  <c r="O22" i="169"/>
  <c r="N22" i="169"/>
  <c r="I22" i="169"/>
  <c r="H22" i="169"/>
  <c r="G22" i="169"/>
  <c r="F22" i="169"/>
  <c r="E22" i="169"/>
  <c r="D22" i="169"/>
  <c r="C22" i="169"/>
  <c r="B22" i="169"/>
  <c r="A22" i="169"/>
  <c r="AC21" i="169"/>
  <c r="AB21" i="169"/>
  <c r="AA21" i="169"/>
  <c r="Z21" i="169"/>
  <c r="Y21" i="169"/>
  <c r="W21" i="169"/>
  <c r="V21" i="169"/>
  <c r="T21" i="169"/>
  <c r="S21" i="169"/>
  <c r="R21" i="169"/>
  <c r="Q21" i="169"/>
  <c r="P21" i="169"/>
  <c r="O21" i="169"/>
  <c r="N21" i="169"/>
  <c r="I21" i="169"/>
  <c r="H21" i="169"/>
  <c r="G21" i="169"/>
  <c r="F21" i="169"/>
  <c r="E21" i="169"/>
  <c r="D21" i="169"/>
  <c r="C21" i="169"/>
  <c r="B21" i="169"/>
  <c r="A21" i="169"/>
  <c r="AC20" i="169"/>
  <c r="AB20" i="169"/>
  <c r="AA20" i="169"/>
  <c r="Z20" i="169"/>
  <c r="Y20" i="169"/>
  <c r="W20" i="169"/>
  <c r="V20" i="169"/>
  <c r="T20" i="169"/>
  <c r="S20" i="169"/>
  <c r="R20" i="169"/>
  <c r="Q20" i="169"/>
  <c r="P20" i="169"/>
  <c r="O20" i="169"/>
  <c r="N20" i="169"/>
  <c r="I20" i="169"/>
  <c r="H20" i="169"/>
  <c r="G20" i="169"/>
  <c r="F20" i="169"/>
  <c r="E20" i="169"/>
  <c r="D20" i="169"/>
  <c r="C20" i="169"/>
  <c r="B20" i="169"/>
  <c r="A20" i="169"/>
  <c r="AC19" i="169"/>
  <c r="AB19" i="169"/>
  <c r="AA19" i="169"/>
  <c r="Z19" i="169"/>
  <c r="Y19" i="169"/>
  <c r="W19" i="169"/>
  <c r="W18" i="169" s="1"/>
  <c r="V19" i="169"/>
  <c r="T19" i="169"/>
  <c r="S19" i="169"/>
  <c r="R19" i="169"/>
  <c r="Q19" i="169"/>
  <c r="P19" i="169"/>
  <c r="O19" i="169"/>
  <c r="N19" i="169"/>
  <c r="I19" i="169"/>
  <c r="H19" i="169"/>
  <c r="G19" i="169"/>
  <c r="F19" i="169"/>
  <c r="E19" i="169"/>
  <c r="D19" i="169"/>
  <c r="C19" i="169"/>
  <c r="B19" i="169"/>
  <c r="A19" i="169"/>
  <c r="U18" i="169"/>
  <c r="R18" i="169"/>
  <c r="M18" i="169"/>
  <c r="L18" i="169"/>
  <c r="AE17" i="169"/>
  <c r="AD17" i="169"/>
  <c r="AC17" i="169"/>
  <c r="AB17" i="169"/>
  <c r="AA17" i="169"/>
  <c r="Z17" i="169"/>
  <c r="Y17" i="169"/>
  <c r="W17" i="169"/>
  <c r="V17" i="169"/>
  <c r="T17" i="169"/>
  <c r="S17" i="169"/>
  <c r="R17" i="169"/>
  <c r="Q17" i="169"/>
  <c r="P17" i="169"/>
  <c r="O17" i="169"/>
  <c r="N17" i="169"/>
  <c r="I17" i="169"/>
  <c r="H17" i="169"/>
  <c r="G17" i="169"/>
  <c r="F17" i="169"/>
  <c r="E17" i="169"/>
  <c r="D17" i="169"/>
  <c r="C17" i="169"/>
  <c r="B17" i="169"/>
  <c r="A17" i="169"/>
  <c r="AD16" i="169"/>
  <c r="AC16" i="169"/>
  <c r="AB16" i="169"/>
  <c r="AA16" i="169"/>
  <c r="Z16" i="169"/>
  <c r="Y16" i="169"/>
  <c r="W16" i="169"/>
  <c r="W11" i="169" s="1"/>
  <c r="V16" i="169"/>
  <c r="T16" i="169"/>
  <c r="S16" i="169"/>
  <c r="R16" i="169"/>
  <c r="Q16" i="169"/>
  <c r="P16" i="169"/>
  <c r="O16" i="169"/>
  <c r="N16" i="169"/>
  <c r="I16" i="169"/>
  <c r="H16" i="169"/>
  <c r="G16" i="169"/>
  <c r="F16" i="169"/>
  <c r="E16" i="169"/>
  <c r="D16" i="169"/>
  <c r="C16" i="169"/>
  <c r="B16" i="169"/>
  <c r="A16" i="169"/>
  <c r="AE15" i="169"/>
  <c r="AE10" i="169" s="1"/>
  <c r="AE209" i="169" s="1"/>
  <c r="AD15" i="169"/>
  <c r="AC15" i="169"/>
  <c r="AB15" i="169"/>
  <c r="AA15" i="169"/>
  <c r="Z15" i="169"/>
  <c r="Y15" i="169"/>
  <c r="W15" i="169"/>
  <c r="V15" i="169"/>
  <c r="T15" i="169"/>
  <c r="S15" i="169"/>
  <c r="R15" i="169"/>
  <c r="Q15" i="169"/>
  <c r="P15" i="169"/>
  <c r="O15" i="169"/>
  <c r="N15" i="169"/>
  <c r="I15" i="169"/>
  <c r="H15" i="169"/>
  <c r="G15" i="169"/>
  <c r="F15" i="169"/>
  <c r="E15" i="169"/>
  <c r="D15" i="169"/>
  <c r="C15" i="169"/>
  <c r="B15" i="169"/>
  <c r="A15" i="169"/>
  <c r="AD14" i="169"/>
  <c r="AC14" i="169"/>
  <c r="AB14" i="169"/>
  <c r="AA14" i="169"/>
  <c r="Z14" i="169"/>
  <c r="Y14" i="169"/>
  <c r="W14" i="169"/>
  <c r="V14" i="169"/>
  <c r="T14" i="169"/>
  <c r="S14" i="169"/>
  <c r="R14" i="169"/>
  <c r="Q14" i="169"/>
  <c r="P14" i="169"/>
  <c r="O14" i="169"/>
  <c r="N14" i="169"/>
  <c r="I14" i="169"/>
  <c r="H14" i="169"/>
  <c r="G14" i="169"/>
  <c r="F14" i="169"/>
  <c r="E14" i="169"/>
  <c r="D14" i="169"/>
  <c r="C14" i="169"/>
  <c r="B14" i="169"/>
  <c r="A14" i="169"/>
  <c r="Z13" i="169"/>
  <c r="Y13" i="169"/>
  <c r="W13" i="169"/>
  <c r="V13" i="169"/>
  <c r="S13" i="169"/>
  <c r="Q13" i="169"/>
  <c r="P13" i="169"/>
  <c r="O13" i="169"/>
  <c r="I13" i="169"/>
  <c r="H13" i="169"/>
  <c r="G13" i="169"/>
  <c r="F13" i="169"/>
  <c r="E13" i="169"/>
  <c r="D13" i="169"/>
  <c r="C13" i="169"/>
  <c r="B13" i="169"/>
  <c r="A13" i="169"/>
  <c r="AC12" i="169"/>
  <c r="AB12" i="169"/>
  <c r="AA12" i="169"/>
  <c r="Z12" i="169"/>
  <c r="Y12" i="169"/>
  <c r="W12" i="169"/>
  <c r="V12" i="169"/>
  <c r="S12" i="169"/>
  <c r="R12" i="169"/>
  <c r="R11" i="169" s="1"/>
  <c r="Q12" i="169"/>
  <c r="P12" i="169"/>
  <c r="O12" i="169"/>
  <c r="N12" i="169"/>
  <c r="I12" i="169"/>
  <c r="H12" i="169"/>
  <c r="G12" i="169"/>
  <c r="F12" i="169"/>
  <c r="E12" i="169"/>
  <c r="D12" i="169"/>
  <c r="C12" i="169"/>
  <c r="B12" i="169"/>
  <c r="A12" i="169"/>
  <c r="U11" i="169"/>
  <c r="M11" i="169"/>
  <c r="L11" i="169"/>
  <c r="AD10" i="169"/>
  <c r="L10" i="169"/>
  <c r="K10" i="169"/>
  <c r="K9" i="169"/>
  <c r="J9" i="169"/>
  <c r="W68" i="168"/>
  <c r="Z58" i="168"/>
  <c r="AD57" i="168"/>
  <c r="AC57" i="168"/>
  <c r="AB57" i="168"/>
  <c r="AA57" i="168"/>
  <c r="Z57" i="168"/>
  <c r="Y57" i="168"/>
  <c r="W57" i="168"/>
  <c r="V57" i="168"/>
  <c r="S57" i="168"/>
  <c r="R57" i="168"/>
  <c r="Q57" i="168"/>
  <c r="P57" i="168"/>
  <c r="O57" i="168"/>
  <c r="N57" i="168"/>
  <c r="I57" i="168"/>
  <c r="H57" i="168"/>
  <c r="G57" i="168"/>
  <c r="F57" i="168"/>
  <c r="E57" i="168"/>
  <c r="D57" i="168"/>
  <c r="C57" i="168"/>
  <c r="B57" i="168"/>
  <c r="A57" i="168"/>
  <c r="W56" i="168"/>
  <c r="U56" i="168"/>
  <c r="R56" i="168"/>
  <c r="R55" i="168" s="1"/>
  <c r="R54" i="168" s="1"/>
  <c r="M56" i="168"/>
  <c r="L56" i="168"/>
  <c r="AD55" i="168"/>
  <c r="W55" i="168"/>
  <c r="W54" i="168" s="1"/>
  <c r="V55" i="168"/>
  <c r="U55" i="168"/>
  <c r="L55" i="168"/>
  <c r="X54" i="168"/>
  <c r="U54" i="168"/>
  <c r="K54" i="168"/>
  <c r="J54" i="168"/>
  <c r="AE53" i="168"/>
  <c r="AD53" i="168"/>
  <c r="AC53" i="168"/>
  <c r="AB53" i="168"/>
  <c r="AA53" i="168"/>
  <c r="Z53" i="168"/>
  <c r="Y53" i="168"/>
  <c r="W53" i="168"/>
  <c r="V53" i="168"/>
  <c r="T53" i="168"/>
  <c r="S53" i="168"/>
  <c r="R53" i="168"/>
  <c r="Q53" i="168"/>
  <c r="P53" i="168"/>
  <c r="O53" i="168"/>
  <c r="N53" i="168"/>
  <c r="I53" i="168"/>
  <c r="H53" i="168"/>
  <c r="G53" i="168"/>
  <c r="F53" i="168"/>
  <c r="E53" i="168"/>
  <c r="D53" i="168"/>
  <c r="C53" i="168"/>
  <c r="B53" i="168"/>
  <c r="A53" i="168"/>
  <c r="AE52" i="168"/>
  <c r="AD52" i="168"/>
  <c r="AC52" i="168"/>
  <c r="AB52" i="168"/>
  <c r="AA52" i="168"/>
  <c r="Z52" i="168"/>
  <c r="Y52" i="168"/>
  <c r="W52" i="168"/>
  <c r="V52" i="168"/>
  <c r="T52" i="168"/>
  <c r="S52" i="168"/>
  <c r="R52" i="168"/>
  <c r="R51" i="168" s="1"/>
  <c r="R50" i="168" s="1"/>
  <c r="Q52" i="168"/>
  <c r="P52" i="168"/>
  <c r="O52" i="168"/>
  <c r="N52" i="168"/>
  <c r="I52" i="168"/>
  <c r="H52" i="168"/>
  <c r="G52" i="168"/>
  <c r="F52" i="168"/>
  <c r="E52" i="168"/>
  <c r="D52" i="168"/>
  <c r="C52" i="168"/>
  <c r="B52" i="168"/>
  <c r="A52" i="168"/>
  <c r="U51" i="168"/>
  <c r="U50" i="168" s="1"/>
  <c r="M51" i="168"/>
  <c r="L51" i="168"/>
  <c r="AD50" i="168"/>
  <c r="L50" i="168"/>
  <c r="AD49" i="168"/>
  <c r="AD47" i="168" s="1"/>
  <c r="AC49" i="168"/>
  <c r="AB49" i="168"/>
  <c r="AA49" i="168"/>
  <c r="Z49" i="168"/>
  <c r="Y49" i="168"/>
  <c r="W49" i="168"/>
  <c r="W48" i="168" s="1"/>
  <c r="W47" i="168" s="1"/>
  <c r="V49" i="168"/>
  <c r="S49" i="168"/>
  <c r="R49" i="168"/>
  <c r="R48" i="168" s="1"/>
  <c r="R47" i="168" s="1"/>
  <c r="Q49" i="168"/>
  <c r="P49" i="168"/>
  <c r="O49" i="168"/>
  <c r="I49" i="168"/>
  <c r="H49" i="168"/>
  <c r="G49" i="168"/>
  <c r="F49" i="168"/>
  <c r="E49" i="168"/>
  <c r="D49" i="168"/>
  <c r="C49" i="168"/>
  <c r="B49" i="168"/>
  <c r="A49" i="168"/>
  <c r="U48" i="168"/>
  <c r="U47" i="168" s="1"/>
  <c r="M48" i="168"/>
  <c r="L48" i="168"/>
  <c r="L47" i="168"/>
  <c r="AE46" i="168"/>
  <c r="AD46" i="168"/>
  <c r="AD44" i="168" s="1"/>
  <c r="AC46" i="168"/>
  <c r="AB46" i="168"/>
  <c r="AA46" i="168"/>
  <c r="Z46" i="168"/>
  <c r="Z45" i="168" s="1"/>
  <c r="Z44" i="168" s="1"/>
  <c r="Y46" i="168"/>
  <c r="W46" i="168"/>
  <c r="V46" i="168"/>
  <c r="S46" i="168"/>
  <c r="R46" i="168"/>
  <c r="R45" i="168" s="1"/>
  <c r="R44" i="168" s="1"/>
  <c r="Q46" i="168"/>
  <c r="P46" i="168"/>
  <c r="O46" i="168"/>
  <c r="I46" i="168"/>
  <c r="H46" i="168"/>
  <c r="G46" i="168"/>
  <c r="F46" i="168"/>
  <c r="E46" i="168"/>
  <c r="D46" i="168"/>
  <c r="C46" i="168"/>
  <c r="B46" i="168"/>
  <c r="A46" i="168"/>
  <c r="W45" i="168"/>
  <c r="W44" i="168" s="1"/>
  <c r="U45" i="168"/>
  <c r="M45" i="168"/>
  <c r="L45" i="168"/>
  <c r="AE44" i="168"/>
  <c r="U44" i="168"/>
  <c r="L44" i="168"/>
  <c r="AE43" i="168"/>
  <c r="AE40" i="168" s="1"/>
  <c r="AD43" i="168"/>
  <c r="AC43" i="168"/>
  <c r="AB43" i="168"/>
  <c r="AA43" i="168"/>
  <c r="Z43" i="168"/>
  <c r="Y43" i="168"/>
  <c r="W43" i="168"/>
  <c r="W41" i="168" s="1"/>
  <c r="W40" i="168" s="1"/>
  <c r="V43" i="168"/>
  <c r="S43" i="168"/>
  <c r="R43" i="168"/>
  <c r="Q43" i="168"/>
  <c r="P43" i="168"/>
  <c r="O43" i="168"/>
  <c r="N43" i="168"/>
  <c r="I43" i="168"/>
  <c r="H43" i="168"/>
  <c r="G43" i="168"/>
  <c r="F43" i="168"/>
  <c r="E43" i="168"/>
  <c r="D43" i="168"/>
  <c r="C43" i="168"/>
  <c r="B43" i="168"/>
  <c r="A43" i="168"/>
  <c r="AD42" i="168"/>
  <c r="AC42" i="168"/>
  <c r="AB42" i="168"/>
  <c r="AA42" i="168"/>
  <c r="Z42" i="168"/>
  <c r="Y42" i="168"/>
  <c r="W42" i="168"/>
  <c r="V42" i="168"/>
  <c r="T42" i="168"/>
  <c r="S42" i="168"/>
  <c r="R42" i="168"/>
  <c r="Q42" i="168"/>
  <c r="P42" i="168"/>
  <c r="O42" i="168"/>
  <c r="N42" i="168"/>
  <c r="I42" i="168"/>
  <c r="H42" i="168"/>
  <c r="G42" i="168"/>
  <c r="F42" i="168"/>
  <c r="E42" i="168"/>
  <c r="D42" i="168"/>
  <c r="C42" i="168"/>
  <c r="B42" i="168"/>
  <c r="A42" i="168"/>
  <c r="U41" i="168"/>
  <c r="R41" i="168"/>
  <c r="M41" i="168"/>
  <c r="L41" i="168"/>
  <c r="AD40" i="168"/>
  <c r="U40" i="168"/>
  <c r="R40" i="168"/>
  <c r="L40" i="168"/>
  <c r="AD39" i="168"/>
  <c r="AC39" i="168"/>
  <c r="AB39" i="168"/>
  <c r="AA39" i="168"/>
  <c r="Z39" i="168"/>
  <c r="Y39" i="168"/>
  <c r="W39" i="168"/>
  <c r="V39" i="168"/>
  <c r="T39" i="168"/>
  <c r="S39" i="168"/>
  <c r="R39" i="168"/>
  <c r="Q39" i="168"/>
  <c r="P39" i="168"/>
  <c r="O39" i="168"/>
  <c r="N39" i="168"/>
  <c r="I39" i="168"/>
  <c r="H39" i="168"/>
  <c r="G39" i="168"/>
  <c r="F39" i="168"/>
  <c r="E39" i="168"/>
  <c r="D39" i="168"/>
  <c r="C39" i="168"/>
  <c r="B39" i="168"/>
  <c r="A39" i="168"/>
  <c r="AD38" i="168"/>
  <c r="AC38" i="168"/>
  <c r="AB38" i="168"/>
  <c r="AA38" i="168"/>
  <c r="Z38" i="168"/>
  <c r="Y38" i="168"/>
  <c r="W38" i="168"/>
  <c r="W37" i="168" s="1"/>
  <c r="V38" i="168"/>
  <c r="T38" i="168"/>
  <c r="S38" i="168"/>
  <c r="R38" i="168"/>
  <c r="R37" i="168" s="1"/>
  <c r="Q38" i="168"/>
  <c r="P38" i="168"/>
  <c r="O38" i="168"/>
  <c r="N38" i="168"/>
  <c r="I38" i="168"/>
  <c r="H38" i="168"/>
  <c r="G38" i="168"/>
  <c r="F38" i="168"/>
  <c r="E38" i="168"/>
  <c r="D38" i="168"/>
  <c r="C38" i="168"/>
  <c r="B38" i="168"/>
  <c r="A38" i="168"/>
  <c r="U37" i="168"/>
  <c r="T37" i="168"/>
  <c r="M37" i="168"/>
  <c r="L37" i="168"/>
  <c r="AD36" i="168"/>
  <c r="AC36" i="168"/>
  <c r="AB36" i="168"/>
  <c r="AA36" i="168"/>
  <c r="Z36" i="168"/>
  <c r="Y36" i="168"/>
  <c r="W36" i="168"/>
  <c r="V36" i="168"/>
  <c r="S36" i="168"/>
  <c r="R36" i="168"/>
  <c r="Q36" i="168"/>
  <c r="P36" i="168"/>
  <c r="O36" i="168"/>
  <c r="N36" i="168"/>
  <c r="I36" i="168"/>
  <c r="H36" i="168"/>
  <c r="G36" i="168"/>
  <c r="F36" i="168"/>
  <c r="E36" i="168"/>
  <c r="D36" i="168"/>
  <c r="C36" i="168"/>
  <c r="B36" i="168"/>
  <c r="A36" i="168"/>
  <c r="Z35" i="168"/>
  <c r="Y35" i="168"/>
  <c r="X35" i="168"/>
  <c r="V35" i="168"/>
  <c r="S35" i="168"/>
  <c r="Z34" i="168"/>
  <c r="Y34" i="168"/>
  <c r="W34" i="168"/>
  <c r="V34" i="168"/>
  <c r="T34" i="168"/>
  <c r="S34" i="168"/>
  <c r="AD33" i="168"/>
  <c r="AC33" i="168"/>
  <c r="AB33" i="168"/>
  <c r="AA33" i="168"/>
  <c r="Z33" i="168"/>
  <c r="Y33" i="168"/>
  <c r="W33" i="168"/>
  <c r="V33" i="168"/>
  <c r="T33" i="168"/>
  <c r="S33" i="168"/>
  <c r="R33" i="168"/>
  <c r="Q33" i="168"/>
  <c r="P33" i="168"/>
  <c r="O33" i="168"/>
  <c r="N33" i="168"/>
  <c r="AD32" i="168"/>
  <c r="AC32" i="168"/>
  <c r="AB32" i="168"/>
  <c r="AA32" i="168"/>
  <c r="Z32" i="168"/>
  <c r="Y32" i="168"/>
  <c r="W32" i="168"/>
  <c r="V32" i="168"/>
  <c r="V31" i="168" s="1"/>
  <c r="S32" i="168"/>
  <c r="R32" i="168"/>
  <c r="R31" i="168" s="1"/>
  <c r="Q32" i="168"/>
  <c r="P32" i="168"/>
  <c r="O32" i="168"/>
  <c r="N32" i="168"/>
  <c r="I32" i="168"/>
  <c r="H32" i="168"/>
  <c r="G32" i="168"/>
  <c r="F32" i="168"/>
  <c r="E32" i="168"/>
  <c r="D32" i="168"/>
  <c r="C32" i="168"/>
  <c r="B32" i="168"/>
  <c r="A32" i="168"/>
  <c r="W31" i="168"/>
  <c r="U31" i="168"/>
  <c r="M31" i="168"/>
  <c r="L31" i="168"/>
  <c r="AD30" i="168"/>
  <c r="AC30" i="168"/>
  <c r="AB30" i="168"/>
  <c r="AA30" i="168"/>
  <c r="Z30" i="168"/>
  <c r="Y30" i="168"/>
  <c r="W30" i="168"/>
  <c r="V30" i="168"/>
  <c r="S30" i="168"/>
  <c r="R30" i="168"/>
  <c r="Q30" i="168"/>
  <c r="P30" i="168"/>
  <c r="O30" i="168"/>
  <c r="N30" i="168"/>
  <c r="I30" i="168"/>
  <c r="H30" i="168"/>
  <c r="G30" i="168"/>
  <c r="F30" i="168"/>
  <c r="E30" i="168"/>
  <c r="D30" i="168"/>
  <c r="C30" i="168"/>
  <c r="B30" i="168"/>
  <c r="A30" i="168"/>
  <c r="AD29" i="168"/>
  <c r="AC29" i="168"/>
  <c r="AB29" i="168"/>
  <c r="AA29" i="168"/>
  <c r="Z29" i="168"/>
  <c r="Y29" i="168"/>
  <c r="W29" i="168"/>
  <c r="V29" i="168"/>
  <c r="S29" i="168"/>
  <c r="R29" i="168"/>
  <c r="Q29" i="168"/>
  <c r="P29" i="168"/>
  <c r="O29" i="168"/>
  <c r="N29" i="168"/>
  <c r="I29" i="168"/>
  <c r="H29" i="168"/>
  <c r="G29" i="168"/>
  <c r="F29" i="168"/>
  <c r="E29" i="168"/>
  <c r="D29" i="168"/>
  <c r="C29" i="168"/>
  <c r="B29" i="168"/>
  <c r="A29" i="168"/>
  <c r="AD28" i="168"/>
  <c r="Z28" i="168"/>
  <c r="Y28" i="168"/>
  <c r="Y26" i="168" s="1"/>
  <c r="W28" i="168"/>
  <c r="V28" i="168"/>
  <c r="V26" i="168" s="1"/>
  <c r="T28" i="168"/>
  <c r="S28" i="168"/>
  <c r="I28" i="168"/>
  <c r="H28" i="168"/>
  <c r="G28" i="168"/>
  <c r="F28" i="168"/>
  <c r="E28" i="168"/>
  <c r="D28" i="168"/>
  <c r="C28" i="168"/>
  <c r="B28" i="168"/>
  <c r="A28" i="168"/>
  <c r="AD27" i="168"/>
  <c r="AC27" i="168"/>
  <c r="AB27" i="168"/>
  <c r="AA27" i="168"/>
  <c r="Z27" i="168"/>
  <c r="Y27" i="168"/>
  <c r="W27" i="168"/>
  <c r="V27" i="168"/>
  <c r="T27" i="168"/>
  <c r="S27" i="168"/>
  <c r="R27" i="168"/>
  <c r="R26" i="168" s="1"/>
  <c r="Q27" i="168"/>
  <c r="P27" i="168"/>
  <c r="O27" i="168"/>
  <c r="N27" i="168"/>
  <c r="I27" i="168"/>
  <c r="H27" i="168"/>
  <c r="G27" i="168"/>
  <c r="F27" i="168"/>
  <c r="E27" i="168"/>
  <c r="D27" i="168"/>
  <c r="C27" i="168"/>
  <c r="B27" i="168"/>
  <c r="A27" i="168"/>
  <c r="Z26" i="168"/>
  <c r="X26" i="168"/>
  <c r="U26" i="168"/>
  <c r="M26" i="168"/>
  <c r="L26" i="168"/>
  <c r="AD25" i="168"/>
  <c r="AC25" i="168"/>
  <c r="AB25" i="168"/>
  <c r="AA25" i="168"/>
  <c r="Z25" i="168"/>
  <c r="Z24" i="168" s="1"/>
  <c r="Y25" i="168"/>
  <c r="W25" i="168"/>
  <c r="W24" i="168" s="1"/>
  <c r="V25" i="168"/>
  <c r="T25" i="168"/>
  <c r="S25" i="168"/>
  <c r="R25" i="168"/>
  <c r="R24" i="168" s="1"/>
  <c r="Q25" i="168"/>
  <c r="P25" i="168"/>
  <c r="O25" i="168"/>
  <c r="N25" i="168"/>
  <c r="X24" i="168"/>
  <c r="V24" i="168"/>
  <c r="U24" i="168"/>
  <c r="T24" i="168"/>
  <c r="M24" i="168"/>
  <c r="L24" i="168"/>
  <c r="AD23" i="168"/>
  <c r="AC23" i="168"/>
  <c r="AB23" i="168"/>
  <c r="AA23" i="168"/>
  <c r="Z23" i="168"/>
  <c r="Y23" i="168"/>
  <c r="W23" i="168"/>
  <c r="V23" i="168"/>
  <c r="T23" i="168"/>
  <c r="S23" i="168"/>
  <c r="R23" i="168"/>
  <c r="Q23" i="168"/>
  <c r="P23" i="168"/>
  <c r="O23" i="168"/>
  <c r="N23" i="168"/>
  <c r="Z22" i="168"/>
  <c r="Y22" i="168"/>
  <c r="X22" i="168"/>
  <c r="X18" i="168" s="1"/>
  <c r="X10" i="168" s="1"/>
  <c r="X9" i="168" s="1"/>
  <c r="X58" i="168" s="1"/>
  <c r="V22" i="168"/>
  <c r="T22" i="168"/>
  <c r="S22" i="168"/>
  <c r="Q22" i="168"/>
  <c r="P22" i="168"/>
  <c r="O22" i="168"/>
  <c r="AD21" i="168"/>
  <c r="AC21" i="168"/>
  <c r="AB21" i="168"/>
  <c r="AA21" i="168"/>
  <c r="Z21" i="168"/>
  <c r="Y21" i="168"/>
  <c r="W21" i="168"/>
  <c r="V21" i="168"/>
  <c r="T21" i="168"/>
  <c r="S21" i="168"/>
  <c r="R21" i="168"/>
  <c r="Q21" i="168"/>
  <c r="P21" i="168"/>
  <c r="O21" i="168"/>
  <c r="N21" i="168"/>
  <c r="I21" i="168"/>
  <c r="H21" i="168"/>
  <c r="G21" i="168"/>
  <c r="F21" i="168"/>
  <c r="E21" i="168"/>
  <c r="D21" i="168"/>
  <c r="C21" i="168"/>
  <c r="B21" i="168"/>
  <c r="A21" i="168"/>
  <c r="AD20" i="168"/>
  <c r="AC20" i="168"/>
  <c r="AB20" i="168"/>
  <c r="AA20" i="168"/>
  <c r="Z20" i="168"/>
  <c r="Y20" i="168"/>
  <c r="W20" i="168"/>
  <c r="V20" i="168"/>
  <c r="T20" i="168"/>
  <c r="S20" i="168"/>
  <c r="R20" i="168"/>
  <c r="Q20" i="168"/>
  <c r="P20" i="168"/>
  <c r="O20" i="168"/>
  <c r="N20" i="168"/>
  <c r="I20" i="168"/>
  <c r="H20" i="168"/>
  <c r="G20" i="168"/>
  <c r="F20" i="168"/>
  <c r="E20" i="168"/>
  <c r="D20" i="168"/>
  <c r="C20" i="168"/>
  <c r="B20" i="168"/>
  <c r="A20" i="168"/>
  <c r="AD19" i="168"/>
  <c r="AC19" i="168"/>
  <c r="AB19" i="168"/>
  <c r="AA19" i="168"/>
  <c r="Z19" i="168"/>
  <c r="Y19" i="168"/>
  <c r="W19" i="168"/>
  <c r="W18" i="168" s="1"/>
  <c r="V19" i="168"/>
  <c r="T19" i="168"/>
  <c r="S19" i="168"/>
  <c r="R19" i="168"/>
  <c r="Q19" i="168"/>
  <c r="P19" i="168"/>
  <c r="O19" i="168"/>
  <c r="N19" i="168"/>
  <c r="I19" i="168"/>
  <c r="H19" i="168"/>
  <c r="G19" i="168"/>
  <c r="F19" i="168"/>
  <c r="E19" i="168"/>
  <c r="D19" i="168"/>
  <c r="C19" i="168"/>
  <c r="B19" i="168"/>
  <c r="A19" i="168"/>
  <c r="U18" i="168"/>
  <c r="R18" i="168"/>
  <c r="M18" i="168"/>
  <c r="L18" i="168"/>
  <c r="AD17" i="168"/>
  <c r="AC17" i="168"/>
  <c r="AB17" i="168"/>
  <c r="AA17" i="168"/>
  <c r="Z17" i="168"/>
  <c r="Z16" i="168" s="1"/>
  <c r="Y17" i="168"/>
  <c r="W17" i="168"/>
  <c r="W16" i="168" s="1"/>
  <c r="V17" i="168"/>
  <c r="V16" i="168" s="1"/>
  <c r="T17" i="168"/>
  <c r="T16" i="168" s="1"/>
  <c r="S17" i="168"/>
  <c r="R17" i="168"/>
  <c r="Q17" i="168"/>
  <c r="P17" i="168"/>
  <c r="O17" i="168"/>
  <c r="N17" i="168"/>
  <c r="X16" i="168"/>
  <c r="U16" i="168"/>
  <c r="R16" i="168"/>
  <c r="M16" i="168"/>
  <c r="L16" i="168"/>
  <c r="AE15" i="168"/>
  <c r="AD15" i="168"/>
  <c r="AC15" i="168"/>
  <c r="AB15" i="168"/>
  <c r="AA15" i="168"/>
  <c r="Z15" i="168"/>
  <c r="Y15" i="168"/>
  <c r="W15" i="168"/>
  <c r="V15" i="168"/>
  <c r="T15" i="168"/>
  <c r="S15" i="168"/>
  <c r="R15" i="168"/>
  <c r="Q15" i="168"/>
  <c r="P15" i="168"/>
  <c r="O15" i="168"/>
  <c r="N15" i="168"/>
  <c r="I15" i="168"/>
  <c r="H15" i="168"/>
  <c r="G15" i="168"/>
  <c r="F15" i="168"/>
  <c r="E15" i="168"/>
  <c r="D15" i="168"/>
  <c r="C15" i="168"/>
  <c r="B15" i="168"/>
  <c r="A15" i="168"/>
  <c r="AD14" i="168"/>
  <c r="AD10" i="168" s="1"/>
  <c r="AD58" i="168" s="1"/>
  <c r="AC14" i="168"/>
  <c r="AB14" i="168"/>
  <c r="AA14" i="168"/>
  <c r="Z14" i="168"/>
  <c r="Y14" i="168"/>
  <c r="W14" i="168"/>
  <c r="W11" i="168" s="1"/>
  <c r="V14" i="168"/>
  <c r="T14" i="168"/>
  <c r="T11" i="168" s="1"/>
  <c r="S14" i="168"/>
  <c r="R14" i="168"/>
  <c r="Q14" i="168"/>
  <c r="P14" i="168"/>
  <c r="O14" i="168"/>
  <c r="N14" i="168"/>
  <c r="I14" i="168"/>
  <c r="H14" i="168"/>
  <c r="G14" i="168"/>
  <c r="F14" i="168"/>
  <c r="E14" i="168"/>
  <c r="D14" i="168"/>
  <c r="C14" i="168"/>
  <c r="B14" i="168"/>
  <c r="A14" i="168"/>
  <c r="AE13" i="168"/>
  <c r="AE10" i="168" s="1"/>
  <c r="AD13" i="168"/>
  <c r="AC13" i="168"/>
  <c r="AB13" i="168"/>
  <c r="AA13" i="168"/>
  <c r="Z13" i="168"/>
  <c r="Y13" i="168"/>
  <c r="W13" i="168"/>
  <c r="V13" i="168"/>
  <c r="T13" i="168"/>
  <c r="S13" i="168"/>
  <c r="R13" i="168"/>
  <c r="Q13" i="168"/>
  <c r="P13" i="168"/>
  <c r="O13" i="168"/>
  <c r="N13" i="168"/>
  <c r="I13" i="168"/>
  <c r="H13" i="168"/>
  <c r="G13" i="168"/>
  <c r="F13" i="168"/>
  <c r="E13" i="168"/>
  <c r="D13" i="168"/>
  <c r="C13" i="168"/>
  <c r="B13" i="168"/>
  <c r="A13" i="168"/>
  <c r="AD12" i="168"/>
  <c r="AC12" i="168"/>
  <c r="AB12" i="168"/>
  <c r="AA12" i="168"/>
  <c r="Z12" i="168"/>
  <c r="Y12" i="168"/>
  <c r="W12" i="168"/>
  <c r="V12" i="168"/>
  <c r="T12" i="168"/>
  <c r="S12" i="168"/>
  <c r="R12" i="168"/>
  <c r="Q12" i="168"/>
  <c r="P12" i="168"/>
  <c r="O12" i="168"/>
  <c r="N12" i="168"/>
  <c r="I12" i="168"/>
  <c r="H12" i="168"/>
  <c r="G12" i="168"/>
  <c r="F12" i="168"/>
  <c r="E12" i="168"/>
  <c r="D12" i="168"/>
  <c r="C12" i="168"/>
  <c r="B12" i="168"/>
  <c r="A12" i="168"/>
  <c r="U11" i="168"/>
  <c r="R11" i="168"/>
  <c r="M11" i="168"/>
  <c r="L11" i="168"/>
  <c r="U10" i="168"/>
  <c r="L10" i="168"/>
  <c r="K10" i="168"/>
  <c r="K9" i="168"/>
  <c r="J9" i="168"/>
  <c r="C47" i="291"/>
  <c r="H32" i="291"/>
  <c r="H29" i="291" s="1"/>
  <c r="G29" i="291"/>
  <c r="H7" i="291"/>
  <c r="G7" i="291"/>
  <c r="G47" i="291" s="1"/>
  <c r="D42" i="290"/>
  <c r="J42" i="290" s="1"/>
  <c r="D41" i="290"/>
  <c r="J41" i="290" s="1"/>
  <c r="D40" i="290"/>
  <c r="J40" i="290" s="1"/>
  <c r="C40" i="290"/>
  <c r="J39" i="290"/>
  <c r="D39" i="290"/>
  <c r="D38" i="290"/>
  <c r="J38" i="290" s="1"/>
  <c r="D37" i="290"/>
  <c r="J37" i="290" s="1"/>
  <c r="D36" i="290"/>
  <c r="J36" i="290" s="1"/>
  <c r="J35" i="290"/>
  <c r="D35" i="290"/>
  <c r="D34" i="290"/>
  <c r="J34" i="290" s="1"/>
  <c r="D33" i="290"/>
  <c r="J33" i="290" s="1"/>
  <c r="D32" i="290"/>
  <c r="J32" i="290" s="1"/>
  <c r="J31" i="290"/>
  <c r="D31" i="290"/>
  <c r="D30" i="290"/>
  <c r="J30" i="290" s="1"/>
  <c r="D29" i="290"/>
  <c r="J29" i="290" s="1"/>
  <c r="D28" i="290"/>
  <c r="J28" i="290" s="1"/>
  <c r="D27" i="290"/>
  <c r="J27" i="290" s="1"/>
  <c r="C27" i="290"/>
  <c r="J26" i="290"/>
  <c r="D26" i="290"/>
  <c r="C26" i="290"/>
  <c r="D25" i="290"/>
  <c r="J25" i="290" s="1"/>
  <c r="D24" i="290"/>
  <c r="J24" i="290" s="1"/>
  <c r="D23" i="290"/>
  <c r="J23" i="290" s="1"/>
  <c r="C23" i="290"/>
  <c r="D22" i="290"/>
  <c r="J22" i="290" s="1"/>
  <c r="D21" i="290"/>
  <c r="J21" i="290" s="1"/>
  <c r="D20" i="290"/>
  <c r="J20" i="290" s="1"/>
  <c r="D19" i="290"/>
  <c r="J19" i="290" s="1"/>
  <c r="C19" i="290"/>
  <c r="D18" i="290"/>
  <c r="J18" i="290" s="1"/>
  <c r="D17" i="290"/>
  <c r="J17" i="290" s="1"/>
  <c r="D16" i="290"/>
  <c r="J16" i="290" s="1"/>
  <c r="J15" i="290"/>
  <c r="D15" i="290"/>
  <c r="D14" i="290"/>
  <c r="J14" i="290" s="1"/>
  <c r="D13" i="290"/>
  <c r="J13" i="290" s="1"/>
  <c r="D12" i="290"/>
  <c r="J12" i="290" s="1"/>
  <c r="D11" i="290"/>
  <c r="J11" i="290" s="1"/>
  <c r="D10" i="290"/>
  <c r="J10" i="290" s="1"/>
  <c r="C10" i="290"/>
  <c r="C9" i="290" s="1"/>
  <c r="C8" i="290" s="1"/>
  <c r="G17" i="293"/>
  <c r="G14" i="293"/>
  <c r="F14" i="293"/>
  <c r="G6" i="293"/>
  <c r="G23" i="293" s="1"/>
  <c r="F6" i="293"/>
  <c r="F23" i="293" s="1"/>
  <c r="D108" i="289"/>
  <c r="C108" i="289"/>
  <c r="C107" i="289" s="1"/>
  <c r="B108" i="289"/>
  <c r="D106" i="289"/>
  <c r="D105" i="289"/>
  <c r="D104" i="289"/>
  <c r="D103" i="289"/>
  <c r="C103" i="289"/>
  <c r="A102" i="289"/>
  <c r="D101" i="289"/>
  <c r="C101" i="289"/>
  <c r="C100" i="289" s="1"/>
  <c r="B101" i="289"/>
  <c r="D99" i="289"/>
  <c r="C99" i="289"/>
  <c r="C98" i="289" s="1"/>
  <c r="D97" i="289"/>
  <c r="C97" i="289"/>
  <c r="C96" i="289" s="1"/>
  <c r="D95" i="289"/>
  <c r="C95" i="289"/>
  <c r="C94" i="289" s="1"/>
  <c r="D93" i="289"/>
  <c r="C93" i="289"/>
  <c r="D92" i="289"/>
  <c r="C92" i="289"/>
  <c r="B92" i="289"/>
  <c r="D91" i="289"/>
  <c r="C91" i="289"/>
  <c r="B91" i="289"/>
  <c r="D90" i="289"/>
  <c r="C90" i="289"/>
  <c r="B90" i="289"/>
  <c r="C88" i="289"/>
  <c r="C87" i="289" s="1"/>
  <c r="B88" i="289"/>
  <c r="D86" i="289"/>
  <c r="C86" i="289"/>
  <c r="D85" i="289"/>
  <c r="C85" i="289"/>
  <c r="A84" i="289"/>
  <c r="D83" i="289"/>
  <c r="C83" i="289"/>
  <c r="C82" i="289" s="1"/>
  <c r="A82" i="289"/>
  <c r="D81" i="289"/>
  <c r="C81" i="289"/>
  <c r="C80" i="289" s="1"/>
  <c r="A80" i="289"/>
  <c r="D79" i="289"/>
  <c r="C79" i="289"/>
  <c r="D78" i="289"/>
  <c r="C78" i="289"/>
  <c r="D77" i="289"/>
  <c r="C77" i="289"/>
  <c r="D76" i="289"/>
  <c r="C76" i="289"/>
  <c r="D75" i="289"/>
  <c r="C75" i="289"/>
  <c r="D73" i="289"/>
  <c r="C73" i="289"/>
  <c r="C72" i="289" s="1"/>
  <c r="D71" i="289"/>
  <c r="C71" i="289"/>
  <c r="D70" i="289"/>
  <c r="C70" i="289"/>
  <c r="D68" i="289"/>
  <c r="D67" i="289"/>
  <c r="C67" i="289"/>
  <c r="D66" i="289"/>
  <c r="C66" i="289"/>
  <c r="D65" i="289"/>
  <c r="C65" i="289"/>
  <c r="D64" i="289"/>
  <c r="C64" i="289"/>
  <c r="D63" i="289"/>
  <c r="C63" i="289"/>
  <c r="D62" i="289"/>
  <c r="C62" i="289"/>
  <c r="D61" i="289"/>
  <c r="C61" i="289"/>
  <c r="D60" i="289"/>
  <c r="C60" i="289"/>
  <c r="D59" i="289"/>
  <c r="C59" i="289"/>
  <c r="D57" i="289"/>
  <c r="C57" i="289"/>
  <c r="C56" i="289" s="1"/>
  <c r="D55" i="289"/>
  <c r="C55" i="289"/>
  <c r="D54" i="289"/>
  <c r="C54" i="289"/>
  <c r="D53" i="289"/>
  <c r="D52" i="289"/>
  <c r="C52" i="289"/>
  <c r="D51" i="289"/>
  <c r="C51" i="289"/>
  <c r="D50" i="289"/>
  <c r="C50" i="289"/>
  <c r="D49" i="289"/>
  <c r="C49" i="289"/>
  <c r="D48" i="289"/>
  <c r="C48" i="289"/>
  <c r="D47" i="289"/>
  <c r="B47" i="289"/>
  <c r="D46" i="289"/>
  <c r="C46" i="289"/>
  <c r="D45" i="289"/>
  <c r="C45" i="289"/>
  <c r="D44" i="289"/>
  <c r="C44" i="289"/>
  <c r="D43" i="289"/>
  <c r="C43" i="289"/>
  <c r="D42" i="289"/>
  <c r="C42" i="289"/>
  <c r="D41" i="289"/>
  <c r="C41" i="289"/>
  <c r="D40" i="289"/>
  <c r="C40" i="289"/>
  <c r="D39" i="289"/>
  <c r="C39" i="289"/>
  <c r="D38" i="289"/>
  <c r="C38" i="289"/>
  <c r="D37" i="289"/>
  <c r="C37" i="289"/>
  <c r="D36" i="289"/>
  <c r="C36" i="289"/>
  <c r="B36" i="289"/>
  <c r="D35" i="289"/>
  <c r="C35" i="289"/>
  <c r="D34" i="289"/>
  <c r="C34" i="289"/>
  <c r="D33" i="289"/>
  <c r="C33" i="289"/>
  <c r="D32" i="289"/>
  <c r="C32" i="289"/>
  <c r="D31" i="289"/>
  <c r="C31" i="289"/>
  <c r="D30" i="289"/>
  <c r="D29" i="289"/>
  <c r="C29" i="289"/>
  <c r="D28" i="289"/>
  <c r="C28" i="289"/>
  <c r="D27" i="289"/>
  <c r="C27" i="289"/>
  <c r="D26" i="289"/>
  <c r="C26" i="289"/>
  <c r="D25" i="289"/>
  <c r="C25" i="289"/>
  <c r="C24" i="289"/>
  <c r="D23" i="289"/>
  <c r="C23" i="289"/>
  <c r="D22" i="289"/>
  <c r="C22" i="289"/>
  <c r="D21" i="289"/>
  <c r="C21" i="289"/>
  <c r="D20" i="289"/>
  <c r="C20" i="289"/>
  <c r="D19" i="289"/>
  <c r="C19" i="289"/>
  <c r="D18" i="289"/>
  <c r="C18" i="289"/>
  <c r="D17" i="289"/>
  <c r="C17" i="289"/>
  <c r="D16" i="289"/>
  <c r="C16" i="289"/>
  <c r="D15" i="289"/>
  <c r="C15" i="289"/>
  <c r="D14" i="289"/>
  <c r="C14" i="289"/>
  <c r="D13" i="289"/>
  <c r="C13" i="289"/>
  <c r="D12" i="289"/>
  <c r="C12" i="289"/>
  <c r="D11" i="289"/>
  <c r="C11" i="289"/>
  <c r="D10" i="289"/>
  <c r="C10" i="289"/>
  <c r="D9" i="289"/>
  <c r="C9" i="289"/>
  <c r="D8" i="289"/>
  <c r="C8" i="289"/>
  <c r="D7" i="289"/>
  <c r="C7" i="289"/>
  <c r="D6" i="289"/>
  <c r="D33" i="288"/>
  <c r="C33" i="288"/>
  <c r="C32" i="288" s="1"/>
  <c r="D31" i="288"/>
  <c r="C31" i="288"/>
  <c r="C30" i="288" s="1"/>
  <c r="B31" i="288"/>
  <c r="D29" i="288"/>
  <c r="C29" i="288"/>
  <c r="D28" i="288"/>
  <c r="C28" i="288"/>
  <c r="D27" i="288"/>
  <c r="D26" i="288"/>
  <c r="C26" i="288"/>
  <c r="D25" i="288"/>
  <c r="D23" i="288"/>
  <c r="C23" i="288"/>
  <c r="D22" i="288"/>
  <c r="C22" i="288"/>
  <c r="D21" i="288"/>
  <c r="C21" i="288"/>
  <c r="C20" i="288" s="1"/>
  <c r="D18" i="288"/>
  <c r="C18" i="288"/>
  <c r="D17" i="288"/>
  <c r="C17" i="288"/>
  <c r="D16" i="288"/>
  <c r="C16" i="288"/>
  <c r="D15" i="288"/>
  <c r="C15" i="288"/>
  <c r="D14" i="288"/>
  <c r="C14" i="288"/>
  <c r="D13" i="288"/>
  <c r="C13" i="288"/>
  <c r="D12" i="288"/>
  <c r="C12" i="288"/>
  <c r="D11" i="288"/>
  <c r="C11" i="288"/>
  <c r="D10" i="288"/>
  <c r="C10" i="288"/>
  <c r="D8" i="288"/>
  <c r="C8" i="288"/>
  <c r="D7" i="288"/>
  <c r="C7" i="288"/>
  <c r="D6" i="288"/>
  <c r="C6" i="288"/>
  <c r="C30" i="287"/>
  <c r="D29" i="287"/>
  <c r="D27" i="287"/>
  <c r="C27" i="287"/>
  <c r="C26" i="287" s="1"/>
  <c r="B27" i="287"/>
  <c r="A26" i="287"/>
  <c r="D25" i="287"/>
  <c r="C25" i="287"/>
  <c r="D24" i="287"/>
  <c r="C24" i="287"/>
  <c r="D23" i="287"/>
  <c r="C23" i="287"/>
  <c r="D22" i="287"/>
  <c r="C22" i="287"/>
  <c r="D21" i="287"/>
  <c r="C21" i="287"/>
  <c r="D20" i="287"/>
  <c r="C20" i="287"/>
  <c r="D18" i="287"/>
  <c r="D17" i="287"/>
  <c r="C17" i="287"/>
  <c r="D16" i="287"/>
  <c r="C16" i="287"/>
  <c r="D14" i="287"/>
  <c r="C14" i="287"/>
  <c r="C13" i="287" s="1"/>
  <c r="D12" i="287"/>
  <c r="C12" i="287"/>
  <c r="D11" i="287"/>
  <c r="C11" i="287"/>
  <c r="D10" i="287"/>
  <c r="C10" i="287"/>
  <c r="D9" i="287"/>
  <c r="C9" i="287"/>
  <c r="D8" i="287"/>
  <c r="C8" i="287"/>
  <c r="D7" i="287"/>
  <c r="C7" i="287"/>
  <c r="D6" i="287"/>
  <c r="C6" i="287"/>
  <c r="D23" i="286"/>
  <c r="C23" i="286"/>
  <c r="C22" i="286" s="1"/>
  <c r="D21" i="286"/>
  <c r="C21" i="286"/>
  <c r="D20" i="286"/>
  <c r="C20" i="286"/>
  <c r="D19" i="286"/>
  <c r="C19" i="286"/>
  <c r="A18" i="286"/>
  <c r="D17" i="286"/>
  <c r="C17" i="286"/>
  <c r="C16" i="286" s="1"/>
  <c r="D15" i="286"/>
  <c r="C15" i="286"/>
  <c r="C14" i="286" s="1"/>
  <c r="D13" i="286"/>
  <c r="C13" i="286"/>
  <c r="C12" i="286"/>
  <c r="D11" i="286"/>
  <c r="C11" i="286"/>
  <c r="C10" i="286" s="1"/>
  <c r="B11" i="286"/>
  <c r="D9" i="286"/>
  <c r="C9" i="286"/>
  <c r="D8" i="286"/>
  <c r="C8" i="286"/>
  <c r="D7" i="286"/>
  <c r="C7" i="286"/>
  <c r="D6" i="286"/>
  <c r="C6" i="286"/>
  <c r="C16" i="294"/>
  <c r="C9" i="294"/>
  <c r="D8" i="294"/>
  <c r="C8" i="294"/>
  <c r="D7" i="294"/>
  <c r="C7" i="294"/>
  <c r="D6" i="294"/>
  <c r="C6" i="294"/>
  <c r="B6" i="294"/>
  <c r="C53" i="284"/>
  <c r="D53" i="284" s="1"/>
  <c r="D54" i="284" s="1"/>
  <c r="E52" i="284"/>
  <c r="D52" i="284"/>
  <c r="D50" i="284" s="1"/>
  <c r="C52" i="284"/>
  <c r="C50" i="284" s="1"/>
  <c r="E48" i="284"/>
  <c r="D48" i="284"/>
  <c r="D43" i="284" s="1"/>
  <c r="C48" i="284"/>
  <c r="C43" i="284" s="1"/>
  <c r="D40" i="284"/>
  <c r="D38" i="284"/>
  <c r="C38" i="284"/>
  <c r="E37" i="284"/>
  <c r="D37" i="284"/>
  <c r="D34" i="284" s="1"/>
  <c r="C37" i="284"/>
  <c r="C34" i="284" s="1"/>
  <c r="E33" i="284"/>
  <c r="D33" i="284"/>
  <c r="C33" i="284"/>
  <c r="D18" i="284"/>
  <c r="C18" i="284"/>
  <c r="D17" i="284"/>
  <c r="D6" i="284" s="1"/>
  <c r="C17" i="284"/>
  <c r="S90" i="283"/>
  <c r="P90" i="283"/>
  <c r="P89" i="283" s="1"/>
  <c r="P88" i="283" s="1"/>
  <c r="E90" i="283"/>
  <c r="C89" i="283"/>
  <c r="B88" i="283"/>
  <c r="T87" i="283"/>
  <c r="S87" i="283"/>
  <c r="P87" i="283"/>
  <c r="P86" i="283" s="1"/>
  <c r="E87" i="283"/>
  <c r="D86" i="283"/>
  <c r="C86" i="283"/>
  <c r="C85" i="283"/>
  <c r="B85" i="283"/>
  <c r="S84" i="283"/>
  <c r="S82" i="283"/>
  <c r="D81" i="283"/>
  <c r="C81" i="283"/>
  <c r="C80" i="283"/>
  <c r="B80" i="283"/>
  <c r="S79" i="283"/>
  <c r="P79" i="283"/>
  <c r="P78" i="283" s="1"/>
  <c r="P77" i="283" s="1"/>
  <c r="E79" i="283"/>
  <c r="B77" i="283"/>
  <c r="S76" i="283"/>
  <c r="S83" i="283" s="1"/>
  <c r="P76" i="283"/>
  <c r="P75" i="283" s="1"/>
  <c r="P74" i="283" s="1"/>
  <c r="B74" i="283"/>
  <c r="S73" i="283"/>
  <c r="P73" i="283"/>
  <c r="P72" i="283" s="1"/>
  <c r="S69" i="283"/>
  <c r="P69" i="283"/>
  <c r="P68" i="283" s="1"/>
  <c r="B67" i="283"/>
  <c r="P65" i="283"/>
  <c r="P64" i="283" s="1"/>
  <c r="P63" i="283" s="1"/>
  <c r="B63" i="283"/>
  <c r="P62" i="283"/>
  <c r="P61" i="283"/>
  <c r="S60" i="283"/>
  <c r="P60" i="283"/>
  <c r="E60" i="283"/>
  <c r="S59" i="283"/>
  <c r="P59" i="283"/>
  <c r="E59" i="283"/>
  <c r="S58" i="283"/>
  <c r="P58" i="283"/>
  <c r="E58" i="283"/>
  <c r="B56" i="283"/>
  <c r="S55" i="283"/>
  <c r="R55" i="283"/>
  <c r="P55" i="283"/>
  <c r="P54" i="283" s="1"/>
  <c r="P53" i="283" s="1"/>
  <c r="B53" i="283"/>
  <c r="B52" i="283"/>
  <c r="S51" i="283"/>
  <c r="R51" i="283"/>
  <c r="P51" i="283"/>
  <c r="P50" i="283" s="1"/>
  <c r="P49" i="283" s="1"/>
  <c r="D50" i="283"/>
  <c r="C50" i="283"/>
  <c r="C49" i="283"/>
  <c r="B49" i="283"/>
  <c r="P48" i="283"/>
  <c r="P47" i="283" s="1"/>
  <c r="P46" i="283" s="1"/>
  <c r="D47" i="283"/>
  <c r="C46" i="283"/>
  <c r="B46" i="283"/>
  <c r="T45" i="283"/>
  <c r="S45" i="283"/>
  <c r="R45" i="283"/>
  <c r="P45" i="283"/>
  <c r="P44" i="283" s="1"/>
  <c r="P43" i="283" s="1"/>
  <c r="B43" i="283"/>
  <c r="P42" i="283"/>
  <c r="P41" i="283" s="1"/>
  <c r="D41" i="283"/>
  <c r="C41" i="283"/>
  <c r="S40" i="283"/>
  <c r="R40" i="283"/>
  <c r="P40" i="283"/>
  <c r="P39" i="283" s="1"/>
  <c r="T37" i="283"/>
  <c r="S37" i="283"/>
  <c r="R37" i="283"/>
  <c r="P37" i="283"/>
  <c r="P36" i="283" s="1"/>
  <c r="C36" i="283"/>
  <c r="T35" i="283"/>
  <c r="S35" i="283"/>
  <c r="R35" i="283"/>
  <c r="C34" i="283"/>
  <c r="S33" i="283"/>
  <c r="E33" i="283"/>
  <c r="S32" i="283"/>
  <c r="P32" i="283"/>
  <c r="T31" i="283"/>
  <c r="S31" i="283"/>
  <c r="P31" i="283"/>
  <c r="S30" i="283"/>
  <c r="P30" i="283"/>
  <c r="S29" i="283"/>
  <c r="P29" i="283"/>
  <c r="S28" i="283"/>
  <c r="P28" i="283"/>
  <c r="C27" i="283"/>
  <c r="P26" i="283"/>
  <c r="S25" i="283"/>
  <c r="P25" i="283"/>
  <c r="D24" i="283"/>
  <c r="C24" i="283"/>
  <c r="S23" i="283"/>
  <c r="P23" i="283"/>
  <c r="E23" i="283"/>
  <c r="S22" i="283"/>
  <c r="P22" i="283"/>
  <c r="S21" i="283"/>
  <c r="P21" i="283"/>
  <c r="C20" i="283"/>
  <c r="S19" i="283"/>
  <c r="D18" i="283"/>
  <c r="C18" i="283"/>
  <c r="S17" i="283"/>
  <c r="R17" i="283"/>
  <c r="P17" i="283"/>
  <c r="S16" i="283"/>
  <c r="R16" i="283"/>
  <c r="P16" i="283"/>
  <c r="D15" i="283"/>
  <c r="C15" i="283"/>
  <c r="S14" i="283"/>
  <c r="R14" i="283"/>
  <c r="P14" i="283"/>
  <c r="P13" i="283" s="1"/>
  <c r="S12" i="283"/>
  <c r="R12" i="283"/>
  <c r="P12" i="283"/>
  <c r="P11" i="283" s="1"/>
  <c r="T10" i="283"/>
  <c r="S10" i="283"/>
  <c r="R10" i="283"/>
  <c r="U8" i="283"/>
  <c r="U7" i="283" s="1"/>
  <c r="O8" i="283"/>
  <c r="N8" i="283"/>
  <c r="N7" i="283" s="1"/>
  <c r="M8" i="283"/>
  <c r="J8" i="283"/>
  <c r="J7" i="283" s="1"/>
  <c r="I8" i="283"/>
  <c r="H8" i="283"/>
  <c r="H7" i="283" s="1"/>
  <c r="G8" i="283"/>
  <c r="F8" i="283"/>
  <c r="F7" i="283" s="1"/>
  <c r="C8" i="283"/>
  <c r="B8" i="283"/>
  <c r="O7" i="283"/>
  <c r="M7" i="283"/>
  <c r="I7" i="283"/>
  <c r="G7" i="283"/>
  <c r="B7" i="283"/>
  <c r="A7" i="283"/>
  <c r="T37" i="282"/>
  <c r="S37" i="282"/>
  <c r="R37" i="282"/>
  <c r="P37" i="282"/>
  <c r="T36" i="282"/>
  <c r="S36" i="282"/>
  <c r="R36" i="282"/>
  <c r="P36" i="282"/>
  <c r="D20" i="293" s="1"/>
  <c r="T34" i="282"/>
  <c r="S34" i="282"/>
  <c r="R34" i="282"/>
  <c r="T33" i="282"/>
  <c r="S33" i="282"/>
  <c r="R33" i="282"/>
  <c r="B31" i="282"/>
  <c r="S30" i="282"/>
  <c r="R30" i="282"/>
  <c r="B28" i="282"/>
  <c r="S27" i="282"/>
  <c r="R27" i="282"/>
  <c r="P27" i="282"/>
  <c r="T26" i="282"/>
  <c r="S26" i="282"/>
  <c r="R26" i="282"/>
  <c r="P26" i="282"/>
  <c r="P25" i="282" s="1"/>
  <c r="P24" i="282" s="1"/>
  <c r="B24" i="282"/>
  <c r="B23" i="282"/>
  <c r="R22" i="282"/>
  <c r="P22" i="282"/>
  <c r="R21" i="282"/>
  <c r="P21" i="282"/>
  <c r="U19" i="282"/>
  <c r="O19" i="282"/>
  <c r="N19" i="282"/>
  <c r="M19" i="282"/>
  <c r="J19" i="282"/>
  <c r="I19" i="282"/>
  <c r="H19" i="282"/>
  <c r="G19" i="282"/>
  <c r="F19" i="282"/>
  <c r="T18" i="282"/>
  <c r="S18" i="282"/>
  <c r="R18" i="282"/>
  <c r="P18" i="282"/>
  <c r="C20" i="293" s="1"/>
  <c r="C17" i="282"/>
  <c r="T16" i="282"/>
  <c r="S16" i="282"/>
  <c r="R16" i="282"/>
  <c r="P16" i="282"/>
  <c r="P15" i="282" s="1"/>
  <c r="D15" i="282"/>
  <c r="C15" i="282"/>
  <c r="R14" i="282"/>
  <c r="S13" i="282"/>
  <c r="R13" i="282"/>
  <c r="T11" i="282"/>
  <c r="S11" i="282"/>
  <c r="R11" i="282"/>
  <c r="P11" i="282"/>
  <c r="T10" i="282"/>
  <c r="S10" i="282"/>
  <c r="R10" i="282"/>
  <c r="P10" i="282"/>
  <c r="U8" i="282"/>
  <c r="O8" i="282"/>
  <c r="O7" i="282" s="1"/>
  <c r="N8" i="282"/>
  <c r="M8" i="282"/>
  <c r="M7" i="282" s="1"/>
  <c r="J8" i="282"/>
  <c r="I8" i="282"/>
  <c r="I7" i="282" s="1"/>
  <c r="H8" i="282"/>
  <c r="G8" i="282"/>
  <c r="G7" i="282" s="1"/>
  <c r="W7" i="282" s="1"/>
  <c r="F8" i="282"/>
  <c r="C8" i="282"/>
  <c r="B8" i="282"/>
  <c r="U7" i="282"/>
  <c r="N7" i="282"/>
  <c r="J7" i="282"/>
  <c r="H7" i="282"/>
  <c r="F7" i="282"/>
  <c r="B7" i="282"/>
  <c r="A7" i="282"/>
  <c r="S37" i="281"/>
  <c r="R37" i="281"/>
  <c r="P37" i="281"/>
  <c r="S36" i="281"/>
  <c r="R36" i="281"/>
  <c r="P36" i="281"/>
  <c r="B34" i="281"/>
  <c r="S33" i="281"/>
  <c r="R33" i="281"/>
  <c r="P33" i="281"/>
  <c r="P32" i="281" s="1"/>
  <c r="S31" i="281"/>
  <c r="R31" i="281"/>
  <c r="P31" i="281"/>
  <c r="P30" i="281" s="1"/>
  <c r="B29" i="281"/>
  <c r="S28" i="281"/>
  <c r="R28" i="281"/>
  <c r="P28" i="281"/>
  <c r="P27" i="281" s="1"/>
  <c r="P26" i="281" s="1"/>
  <c r="E28" i="281"/>
  <c r="D27" i="281"/>
  <c r="B26" i="281"/>
  <c r="R25" i="281"/>
  <c r="R24" i="281"/>
  <c r="R23" i="281"/>
  <c r="R22" i="281"/>
  <c r="R21" i="281"/>
  <c r="R20" i="281"/>
  <c r="B18" i="281"/>
  <c r="B17" i="281"/>
  <c r="S16" i="281"/>
  <c r="R16" i="281"/>
  <c r="P16" i="281"/>
  <c r="P15" i="281" s="1"/>
  <c r="C15" i="281"/>
  <c r="S14" i="281"/>
  <c r="R14" i="281"/>
  <c r="P14" i="281"/>
  <c r="S13" i="281"/>
  <c r="R13" i="281"/>
  <c r="P13" i="281"/>
  <c r="P12" i="281" s="1"/>
  <c r="S11" i="281"/>
  <c r="R11" i="281"/>
  <c r="P11" i="281"/>
  <c r="S10" i="281"/>
  <c r="R10" i="281"/>
  <c r="P10" i="281"/>
  <c r="T8" i="281"/>
  <c r="O8" i="281"/>
  <c r="N8" i="281"/>
  <c r="M8" i="281"/>
  <c r="J8" i="281"/>
  <c r="I8" i="281"/>
  <c r="H8" i="281"/>
  <c r="G8" i="281"/>
  <c r="F8" i="281"/>
  <c r="C8" i="281"/>
  <c r="B8" i="281"/>
  <c r="T7" i="281"/>
  <c r="O7" i="281"/>
  <c r="N7" i="281"/>
  <c r="M7" i="281"/>
  <c r="J7" i="281"/>
  <c r="I7" i="281"/>
  <c r="H7" i="281"/>
  <c r="G7" i="281"/>
  <c r="V7" i="281" s="1"/>
  <c r="F7" i="281"/>
  <c r="B7" i="281"/>
  <c r="A7" i="281"/>
  <c r="S31" i="280"/>
  <c r="R31" i="280"/>
  <c r="P31" i="280"/>
  <c r="S30" i="280"/>
  <c r="R30" i="280"/>
  <c r="P30" i="280"/>
  <c r="S29" i="280"/>
  <c r="R29" i="280"/>
  <c r="P29" i="280"/>
  <c r="S28" i="280"/>
  <c r="R28" i="280"/>
  <c r="P28" i="280"/>
  <c r="B26" i="280"/>
  <c r="B25" i="280"/>
  <c r="S24" i="280"/>
  <c r="R24" i="280"/>
  <c r="P24" i="280"/>
  <c r="P23" i="280" s="1"/>
  <c r="P22" i="280" s="1"/>
  <c r="D23" i="280"/>
  <c r="C23" i="280"/>
  <c r="C22" i="280"/>
  <c r="B22" i="280"/>
  <c r="S21" i="280"/>
  <c r="R21" i="280"/>
  <c r="P21" i="280"/>
  <c r="P20" i="280" s="1"/>
  <c r="P19" i="280" s="1"/>
  <c r="T19" i="280"/>
  <c r="O19" i="280"/>
  <c r="N19" i="280"/>
  <c r="M19" i="280"/>
  <c r="J19" i="280"/>
  <c r="I19" i="280"/>
  <c r="H19" i="280"/>
  <c r="G19" i="280"/>
  <c r="F19" i="280"/>
  <c r="B19" i="280"/>
  <c r="S18" i="280"/>
  <c r="R18" i="280"/>
  <c r="P18" i="280"/>
  <c r="P17" i="280" s="1"/>
  <c r="C17" i="280"/>
  <c r="S16" i="280"/>
  <c r="R16" i="280"/>
  <c r="P16" i="280"/>
  <c r="P15" i="280" s="1"/>
  <c r="C15" i="280"/>
  <c r="S14" i="280"/>
  <c r="R14" i="280"/>
  <c r="P14" i="280"/>
  <c r="S13" i="280"/>
  <c r="R13" i="280"/>
  <c r="P13" i="280"/>
  <c r="P12" i="280" s="1"/>
  <c r="C12" i="280"/>
  <c r="S11" i="280"/>
  <c r="R11" i="280"/>
  <c r="P11" i="280"/>
  <c r="S10" i="280"/>
  <c r="R10" i="280"/>
  <c r="P10" i="280"/>
  <c r="T8" i="280"/>
  <c r="O8" i="280"/>
  <c r="N8" i="280"/>
  <c r="N7" i="280" s="1"/>
  <c r="M8" i="280"/>
  <c r="J8" i="280"/>
  <c r="J7" i="280" s="1"/>
  <c r="I8" i="280"/>
  <c r="H8" i="280"/>
  <c r="H7" i="280" s="1"/>
  <c r="G8" i="280"/>
  <c r="F8" i="280"/>
  <c r="F7" i="280" s="1"/>
  <c r="C8" i="280"/>
  <c r="B8" i="280"/>
  <c r="T7" i="280"/>
  <c r="O7" i="280"/>
  <c r="M7" i="280"/>
  <c r="I7" i="280"/>
  <c r="G7" i="280"/>
  <c r="V7" i="280" s="1"/>
  <c r="B7" i="280"/>
  <c r="A7" i="280"/>
  <c r="S47" i="279"/>
  <c r="R47" i="279"/>
  <c r="P47" i="279"/>
  <c r="P46" i="279" s="1"/>
  <c r="P45" i="279" s="1"/>
  <c r="E47" i="279"/>
  <c r="D46" i="279"/>
  <c r="C46" i="279"/>
  <c r="C45" i="279"/>
  <c r="B45" i="279"/>
  <c r="S44" i="279"/>
  <c r="R44" i="279"/>
  <c r="P44" i="279"/>
  <c r="P43" i="279" s="1"/>
  <c r="S42" i="279"/>
  <c r="R42" i="279"/>
  <c r="P42" i="279"/>
  <c r="P41" i="279" s="1"/>
  <c r="B40" i="279"/>
  <c r="S39" i="279"/>
  <c r="R39" i="279"/>
  <c r="P39" i="279"/>
  <c r="P38" i="279" s="1"/>
  <c r="P37" i="279" s="1"/>
  <c r="B37" i="279"/>
  <c r="B36" i="279"/>
  <c r="S35" i="279"/>
  <c r="R35" i="279"/>
  <c r="P35" i="279"/>
  <c r="P34" i="279" s="1"/>
  <c r="P33" i="279" s="1"/>
  <c r="D34" i="279"/>
  <c r="C34" i="279"/>
  <c r="C33" i="279"/>
  <c r="B33" i="279"/>
  <c r="S32" i="279"/>
  <c r="R32" i="279"/>
  <c r="P32" i="279"/>
  <c r="S31" i="279"/>
  <c r="R31" i="279"/>
  <c r="P31" i="279"/>
  <c r="B29" i="279"/>
  <c r="S28" i="279"/>
  <c r="R28" i="279"/>
  <c r="P28" i="279"/>
  <c r="P27" i="279" s="1"/>
  <c r="C27" i="279"/>
  <c r="S26" i="279"/>
  <c r="R26" i="279"/>
  <c r="P26" i="279"/>
  <c r="P25" i="279"/>
  <c r="D25" i="279"/>
  <c r="C25" i="279"/>
  <c r="P24" i="279"/>
  <c r="S23" i="279"/>
  <c r="R23" i="279"/>
  <c r="P23" i="279"/>
  <c r="C22" i="279"/>
  <c r="S21" i="279"/>
  <c r="R21" i="279"/>
  <c r="P21" i="279"/>
  <c r="P20" i="279" s="1"/>
  <c r="D20" i="279"/>
  <c r="C20" i="279"/>
  <c r="S19" i="279"/>
  <c r="R19" i="279"/>
  <c r="P19" i="279"/>
  <c r="P18" i="279"/>
  <c r="S17" i="279"/>
  <c r="R17" i="279"/>
  <c r="P17" i="279"/>
  <c r="S16" i="279"/>
  <c r="R16" i="279"/>
  <c r="P16" i="279"/>
  <c r="D15" i="279"/>
  <c r="C15" i="279"/>
  <c r="S14" i="279"/>
  <c r="R14" i="279"/>
  <c r="P14" i="279"/>
  <c r="S13" i="279"/>
  <c r="R13" i="279"/>
  <c r="P13" i="279"/>
  <c r="S11" i="279"/>
  <c r="R11" i="279"/>
  <c r="P11" i="279"/>
  <c r="S10" i="279"/>
  <c r="R10" i="279"/>
  <c r="P10" i="279"/>
  <c r="T8" i="279"/>
  <c r="O8" i="279"/>
  <c r="O7" i="279" s="1"/>
  <c r="N8" i="279"/>
  <c r="M8" i="279"/>
  <c r="M7" i="279" s="1"/>
  <c r="J8" i="279"/>
  <c r="I8" i="279"/>
  <c r="I7" i="279" s="1"/>
  <c r="H8" i="279"/>
  <c r="G8" i="279"/>
  <c r="G7" i="279" s="1"/>
  <c r="V7" i="279" s="1"/>
  <c r="F8" i="279"/>
  <c r="C8" i="279"/>
  <c r="B8" i="279"/>
  <c r="T7" i="279"/>
  <c r="N7" i="279"/>
  <c r="J7" i="279"/>
  <c r="H7" i="279"/>
  <c r="F7" i="279"/>
  <c r="B7" i="279"/>
  <c r="A7" i="279"/>
  <c r="R21" i="278"/>
  <c r="P21" i="278"/>
  <c r="T20" i="278"/>
  <c r="S20" i="278"/>
  <c r="R20" i="278"/>
  <c r="P20" i="278"/>
  <c r="P19" i="278" s="1"/>
  <c r="P18" i="278" s="1"/>
  <c r="B18" i="278"/>
  <c r="T17" i="278"/>
  <c r="S17" i="278"/>
  <c r="R17" i="278"/>
  <c r="P17" i="278"/>
  <c r="P16" i="278"/>
  <c r="P15" i="278" s="1"/>
  <c r="B15" i="278"/>
  <c r="B14" i="278"/>
  <c r="T13" i="278"/>
  <c r="S13" i="278"/>
  <c r="R13" i="278"/>
  <c r="P13" i="278"/>
  <c r="P12" i="278" s="1"/>
  <c r="P11" i="278" s="1"/>
  <c r="B11" i="278"/>
  <c r="T10" i="278"/>
  <c r="S10" i="278"/>
  <c r="R10" i="278"/>
  <c r="P10" i="278"/>
  <c r="P9" i="278"/>
  <c r="P8" i="278" s="1"/>
  <c r="U8" i="278"/>
  <c r="O8" i="278"/>
  <c r="N8" i="278"/>
  <c r="M8" i="278"/>
  <c r="J8" i="278"/>
  <c r="I8" i="278"/>
  <c r="H8" i="278"/>
  <c r="G8" i="278"/>
  <c r="F8" i="278"/>
  <c r="C8" i="278"/>
  <c r="B8" i="278"/>
  <c r="U7" i="278"/>
  <c r="O7" i="278"/>
  <c r="N7" i="278"/>
  <c r="M7" i="278"/>
  <c r="J7" i="278"/>
  <c r="I7" i="278"/>
  <c r="H7" i="278"/>
  <c r="G7" i="278"/>
  <c r="W7" i="278" s="1"/>
  <c r="F7" i="278"/>
  <c r="B7" i="278"/>
  <c r="A7" i="278"/>
  <c r="T37" i="277"/>
  <c r="S37" i="277"/>
  <c r="Q37" i="277"/>
  <c r="P37" i="277"/>
  <c r="D12" i="293" s="1"/>
  <c r="B35" i="277"/>
  <c r="T34" i="277"/>
  <c r="S34" i="277"/>
  <c r="Q34" i="277"/>
  <c r="P34" i="277"/>
  <c r="T33" i="277"/>
  <c r="S33" i="277"/>
  <c r="Q33" i="277"/>
  <c r="P33" i="277"/>
  <c r="T32" i="277"/>
  <c r="S32" i="277"/>
  <c r="Q32" i="277"/>
  <c r="P32" i="277"/>
  <c r="T31" i="277"/>
  <c r="S31" i="277"/>
  <c r="Q31" i="277"/>
  <c r="P31" i="277"/>
  <c r="Q43" i="277" s="1"/>
  <c r="P30" i="277"/>
  <c r="P29" i="277" s="1"/>
  <c r="D30" i="277"/>
  <c r="C30" i="277"/>
  <c r="C29" i="277"/>
  <c r="B29" i="277"/>
  <c r="T28" i="277"/>
  <c r="S28" i="277"/>
  <c r="Q28" i="277"/>
  <c r="E28" i="277"/>
  <c r="D27" i="277"/>
  <c r="B26" i="277"/>
  <c r="B25" i="277"/>
  <c r="T24" i="277"/>
  <c r="S24" i="277"/>
  <c r="Q24" i="277"/>
  <c r="P24" i="277"/>
  <c r="P23" i="277" s="1"/>
  <c r="P22" i="277" s="1"/>
  <c r="D23" i="277"/>
  <c r="C22" i="277"/>
  <c r="B22" i="277"/>
  <c r="T21" i="277"/>
  <c r="S21" i="277"/>
  <c r="Q21" i="277"/>
  <c r="P21" i="277"/>
  <c r="P20" i="277" s="1"/>
  <c r="P19" i="277" s="1"/>
  <c r="T18" i="277"/>
  <c r="S18" i="277"/>
  <c r="Q18" i="277"/>
  <c r="P18" i="277"/>
  <c r="P17" i="277" s="1"/>
  <c r="T16" i="277"/>
  <c r="S16" i="277"/>
  <c r="Q16" i="277"/>
  <c r="P16" i="277"/>
  <c r="P15" i="277" s="1"/>
  <c r="D15" i="277"/>
  <c r="T14" i="277"/>
  <c r="S14" i="277"/>
  <c r="Q14" i="277"/>
  <c r="P14" i="277"/>
  <c r="T13" i="277"/>
  <c r="S13" i="277"/>
  <c r="Q13" i="277"/>
  <c r="P13" i="277"/>
  <c r="P12" i="277" s="1"/>
  <c r="E13" i="277"/>
  <c r="D12" i="277"/>
  <c r="T11" i="277"/>
  <c r="S11" i="277"/>
  <c r="Q11" i="277"/>
  <c r="P11" i="277"/>
  <c r="T10" i="277"/>
  <c r="S10" i="277"/>
  <c r="Q10" i="277"/>
  <c r="P10" i="277"/>
  <c r="U8" i="277"/>
  <c r="U7" i="277" s="1"/>
  <c r="O8" i="277"/>
  <c r="N8" i="277"/>
  <c r="M8" i="277"/>
  <c r="J8" i="277"/>
  <c r="J7" i="277" s="1"/>
  <c r="I8" i="277"/>
  <c r="H8" i="277"/>
  <c r="G8" i="277"/>
  <c r="F8" i="277"/>
  <c r="F7" i="277" s="1"/>
  <c r="B8" i="277"/>
  <c r="O7" i="277"/>
  <c r="N7" i="277"/>
  <c r="M7" i="277"/>
  <c r="I7" i="277"/>
  <c r="H7" i="277"/>
  <c r="G7" i="277"/>
  <c r="B7" i="277"/>
  <c r="A7" i="277"/>
  <c r="S20" i="276"/>
  <c r="R20" i="276"/>
  <c r="P20" i="276"/>
  <c r="S19" i="276"/>
  <c r="R19" i="276"/>
  <c r="P19" i="276"/>
  <c r="B17" i="276"/>
  <c r="S16" i="276"/>
  <c r="R16" i="276"/>
  <c r="P16" i="276"/>
  <c r="S15" i="276"/>
  <c r="R15" i="276"/>
  <c r="P15" i="276"/>
  <c r="S14" i="276"/>
  <c r="R14" i="276"/>
  <c r="P14" i="276"/>
  <c r="C13" i="276"/>
  <c r="S12" i="276"/>
  <c r="R12" i="276"/>
  <c r="P12" i="276"/>
  <c r="P11" i="276" s="1"/>
  <c r="S10" i="276"/>
  <c r="R10" i="276"/>
  <c r="P10" i="276"/>
  <c r="P9" i="276" s="1"/>
  <c r="E10" i="276"/>
  <c r="T8" i="276"/>
  <c r="O8" i="276"/>
  <c r="O7" i="276" s="1"/>
  <c r="N8" i="276"/>
  <c r="M8" i="276"/>
  <c r="M7" i="276" s="1"/>
  <c r="J8" i="276"/>
  <c r="I8" i="276"/>
  <c r="I7" i="276" s="1"/>
  <c r="H8" i="276"/>
  <c r="G8" i="276"/>
  <c r="G7" i="276" s="1"/>
  <c r="V7" i="276" s="1"/>
  <c r="F8" i="276"/>
  <c r="C8" i="276"/>
  <c r="B8" i="276"/>
  <c r="T7" i="276"/>
  <c r="N7" i="276"/>
  <c r="J7" i="276"/>
  <c r="H7" i="276"/>
  <c r="F7" i="276"/>
  <c r="B7" i="276"/>
  <c r="A7" i="276"/>
  <c r="S31" i="275"/>
  <c r="R31" i="275"/>
  <c r="P31" i="275"/>
  <c r="P30" i="275" s="1"/>
  <c r="P29" i="275" s="1"/>
  <c r="S28" i="275"/>
  <c r="R28" i="275"/>
  <c r="P28" i="275"/>
  <c r="P27" i="275" s="1"/>
  <c r="P26" i="275" s="1"/>
  <c r="B26" i="275"/>
  <c r="S25" i="275"/>
  <c r="R25" i="275"/>
  <c r="P25" i="275"/>
  <c r="S24" i="275"/>
  <c r="R24" i="275"/>
  <c r="P24" i="275"/>
  <c r="P23" i="275" s="1"/>
  <c r="O22" i="275" s="1"/>
  <c r="D23" i="275"/>
  <c r="C23" i="275"/>
  <c r="S21" i="275"/>
  <c r="R21" i="275"/>
  <c r="P21" i="275"/>
  <c r="P20" i="275" s="1"/>
  <c r="E21" i="275"/>
  <c r="C20" i="275"/>
  <c r="S19" i="275"/>
  <c r="R19" i="275"/>
  <c r="P19" i="275"/>
  <c r="P18" i="275" s="1"/>
  <c r="E19" i="275"/>
  <c r="C18" i="275"/>
  <c r="S17" i="275"/>
  <c r="R17" i="275"/>
  <c r="P17" i="275"/>
  <c r="P16" i="275" s="1"/>
  <c r="C16" i="275"/>
  <c r="S15" i="275"/>
  <c r="R15" i="275"/>
  <c r="P15" i="275"/>
  <c r="S14" i="275"/>
  <c r="R14" i="275"/>
  <c r="P14" i="275"/>
  <c r="C13" i="275"/>
  <c r="S12" i="275"/>
  <c r="R12" i="275"/>
  <c r="P12" i="275"/>
  <c r="P11" i="275" s="1"/>
  <c r="D11" i="275"/>
  <c r="C11" i="275"/>
  <c r="S10" i="275"/>
  <c r="R10" i="275"/>
  <c r="P10" i="275"/>
  <c r="P9" i="275" s="1"/>
  <c r="E10" i="275"/>
  <c r="C9" i="275"/>
  <c r="T8" i="275"/>
  <c r="O8" i="275"/>
  <c r="O7" i="275" s="1"/>
  <c r="N8" i="275"/>
  <c r="N7" i="275" s="1"/>
  <c r="M8" i="275"/>
  <c r="M7" i="275" s="1"/>
  <c r="J8" i="275"/>
  <c r="J7" i="275" s="1"/>
  <c r="I8" i="275"/>
  <c r="I7" i="275" s="1"/>
  <c r="H8" i="275"/>
  <c r="H7" i="275" s="1"/>
  <c r="G8" i="275"/>
  <c r="F8" i="275"/>
  <c r="F7" i="275" s="1"/>
  <c r="C8" i="275"/>
  <c r="B8" i="275"/>
  <c r="T7" i="275"/>
  <c r="G7" i="275"/>
  <c r="V7" i="275" s="1"/>
  <c r="B7" i="275"/>
  <c r="A7" i="275"/>
  <c r="S50" i="274"/>
  <c r="R50" i="274"/>
  <c r="P50" i="274"/>
  <c r="P49" i="274" s="1"/>
  <c r="P48" i="274" s="1"/>
  <c r="P47" i="274" s="1"/>
  <c r="D49" i="274"/>
  <c r="B47" i="274"/>
  <c r="R46" i="274"/>
  <c r="S45" i="274"/>
  <c r="R45" i="274"/>
  <c r="P45" i="274"/>
  <c r="S44" i="274"/>
  <c r="R44" i="274"/>
  <c r="P44" i="274"/>
  <c r="S43" i="274"/>
  <c r="R43" i="274"/>
  <c r="P43" i="274"/>
  <c r="S42" i="274"/>
  <c r="R42" i="274"/>
  <c r="P42" i="274"/>
  <c r="D41" i="274"/>
  <c r="R39" i="274"/>
  <c r="R38" i="274"/>
  <c r="P38" i="274"/>
  <c r="D37" i="274"/>
  <c r="C37" i="274"/>
  <c r="S36" i="274"/>
  <c r="R36" i="274"/>
  <c r="P36" i="274"/>
  <c r="S35" i="274"/>
  <c r="R35" i="274"/>
  <c r="P35" i="274"/>
  <c r="E35" i="274"/>
  <c r="S32" i="274"/>
  <c r="R32" i="274"/>
  <c r="P32" i="274"/>
  <c r="P31" i="274" s="1"/>
  <c r="P30" i="274" s="1"/>
  <c r="D31" i="274"/>
  <c r="C31" i="274"/>
  <c r="C30" i="274"/>
  <c r="B30" i="274"/>
  <c r="S29" i="274"/>
  <c r="R29" i="274"/>
  <c r="P29" i="274"/>
  <c r="S28" i="274"/>
  <c r="R28" i="274"/>
  <c r="P28" i="274"/>
  <c r="S27" i="274"/>
  <c r="R27" i="274"/>
  <c r="P27" i="274"/>
  <c r="S26" i="274"/>
  <c r="R26" i="274"/>
  <c r="P26" i="274"/>
  <c r="D25" i="274"/>
  <c r="C25" i="274"/>
  <c r="S24" i="274"/>
  <c r="R24" i="274"/>
  <c r="P24" i="274"/>
  <c r="P23" i="274" s="1"/>
  <c r="E24" i="274"/>
  <c r="D23" i="274"/>
  <c r="C23" i="274"/>
  <c r="P22" i="274"/>
  <c r="E22" i="274"/>
  <c r="S21" i="274"/>
  <c r="R21" i="274"/>
  <c r="P21" i="274"/>
  <c r="P20" i="274" s="1"/>
  <c r="E21" i="274"/>
  <c r="D20" i="274"/>
  <c r="C20" i="274"/>
  <c r="S19" i="274"/>
  <c r="R19" i="274"/>
  <c r="P19" i="274"/>
  <c r="E19" i="274"/>
  <c r="S18" i="274"/>
  <c r="R18" i="274"/>
  <c r="P18" i="274"/>
  <c r="P17" i="274" s="1"/>
  <c r="E18" i="274"/>
  <c r="D17" i="274"/>
  <c r="C17" i="274"/>
  <c r="S16" i="274"/>
  <c r="R16" i="274"/>
  <c r="P16" i="274"/>
  <c r="P14" i="274" s="1"/>
  <c r="E16" i="274"/>
  <c r="E15" i="274"/>
  <c r="D14" i="274"/>
  <c r="C14" i="274"/>
  <c r="S13" i="274"/>
  <c r="R13" i="274"/>
  <c r="P13" i="274"/>
  <c r="P12" i="274" s="1"/>
  <c r="E13" i="274"/>
  <c r="D12" i="274"/>
  <c r="C12" i="274"/>
  <c r="S11" i="274"/>
  <c r="R11" i="274"/>
  <c r="P11" i="274"/>
  <c r="E11" i="274"/>
  <c r="S10" i="274"/>
  <c r="R10" i="274"/>
  <c r="P10" i="274"/>
  <c r="P9" i="274" s="1"/>
  <c r="E10" i="274"/>
  <c r="T8" i="274"/>
  <c r="T7" i="274" s="1"/>
  <c r="O8" i="274"/>
  <c r="O7" i="274" s="1"/>
  <c r="N8" i="274"/>
  <c r="M8" i="274"/>
  <c r="M7" i="274" s="1"/>
  <c r="J8" i="274"/>
  <c r="I8" i="274"/>
  <c r="I7" i="274" s="1"/>
  <c r="H8" i="274"/>
  <c r="G8" i="274"/>
  <c r="G7" i="274" s="1"/>
  <c r="F8" i="274"/>
  <c r="C8" i="274"/>
  <c r="B8" i="274"/>
  <c r="N7" i="274"/>
  <c r="J7" i="274"/>
  <c r="H7" i="274"/>
  <c r="F7" i="274"/>
  <c r="B7" i="274"/>
  <c r="A7" i="274"/>
  <c r="C47" i="296"/>
  <c r="M46" i="296"/>
  <c r="E46" i="296" s="1"/>
  <c r="F46" i="296" s="1"/>
  <c r="K46" i="296"/>
  <c r="D46" i="296" s="1"/>
  <c r="M45" i="296"/>
  <c r="E45" i="296" s="1"/>
  <c r="K45" i="296"/>
  <c r="D45" i="296"/>
  <c r="M44" i="296"/>
  <c r="K44" i="296"/>
  <c r="D44" i="296" s="1"/>
  <c r="E44" i="296"/>
  <c r="M43" i="296"/>
  <c r="E43" i="296" s="1"/>
  <c r="F43" i="296" s="1"/>
  <c r="K43" i="296"/>
  <c r="D43" i="296"/>
  <c r="M42" i="296"/>
  <c r="E42" i="296" s="1"/>
  <c r="F42" i="296" s="1"/>
  <c r="K42" i="296"/>
  <c r="D42" i="296" s="1"/>
  <c r="M41" i="296"/>
  <c r="E41" i="296" s="1"/>
  <c r="K41" i="296"/>
  <c r="D41" i="296"/>
  <c r="M40" i="296"/>
  <c r="K40" i="296"/>
  <c r="D40" i="296" s="1"/>
  <c r="E40" i="296"/>
  <c r="M39" i="296"/>
  <c r="E39" i="296" s="1"/>
  <c r="F39" i="296" s="1"/>
  <c r="K39" i="296"/>
  <c r="D39" i="296"/>
  <c r="M38" i="296"/>
  <c r="E38" i="296" s="1"/>
  <c r="F38" i="296" s="1"/>
  <c r="K38" i="296"/>
  <c r="D38" i="296" s="1"/>
  <c r="M37" i="296"/>
  <c r="E37" i="296" s="1"/>
  <c r="K37" i="296"/>
  <c r="D37" i="296"/>
  <c r="M36" i="296"/>
  <c r="K36" i="296"/>
  <c r="D36" i="296" s="1"/>
  <c r="E36" i="296"/>
  <c r="M35" i="296"/>
  <c r="E35" i="296" s="1"/>
  <c r="F35" i="296" s="1"/>
  <c r="K35" i="296"/>
  <c r="D35" i="296"/>
  <c r="M34" i="296"/>
  <c r="E34" i="296" s="1"/>
  <c r="F34" i="296" s="1"/>
  <c r="K34" i="296"/>
  <c r="D34" i="296" s="1"/>
  <c r="M33" i="296"/>
  <c r="E33" i="296" s="1"/>
  <c r="K33" i="296"/>
  <c r="D33" i="296"/>
  <c r="M32" i="296"/>
  <c r="K32" i="296"/>
  <c r="D32" i="296" s="1"/>
  <c r="F32" i="296" s="1"/>
  <c r="H32" i="296"/>
  <c r="E32" i="296"/>
  <c r="M31" i="296"/>
  <c r="K31" i="296"/>
  <c r="D31" i="296" s="1"/>
  <c r="E31" i="296"/>
  <c r="M30" i="296"/>
  <c r="E30" i="296" s="1"/>
  <c r="K30" i="296"/>
  <c r="D30" i="296" s="1"/>
  <c r="D29" i="296" s="1"/>
  <c r="D47" i="296" s="1"/>
  <c r="H29" i="296"/>
  <c r="G29" i="296"/>
  <c r="M28" i="296"/>
  <c r="E28" i="296" s="1"/>
  <c r="K28" i="296"/>
  <c r="D28" i="296"/>
  <c r="M27" i="296"/>
  <c r="K27" i="296"/>
  <c r="D27" i="296" s="1"/>
  <c r="E27" i="296"/>
  <c r="M26" i="296"/>
  <c r="E26" i="296" s="1"/>
  <c r="F26" i="296" s="1"/>
  <c r="K26" i="296"/>
  <c r="D26" i="296"/>
  <c r="M25" i="296"/>
  <c r="E25" i="296" s="1"/>
  <c r="F25" i="296" s="1"/>
  <c r="K25" i="296"/>
  <c r="D25" i="296" s="1"/>
  <c r="M24" i="296"/>
  <c r="E24" i="296" s="1"/>
  <c r="K24" i="296"/>
  <c r="D24" i="296"/>
  <c r="M23" i="296"/>
  <c r="K23" i="296"/>
  <c r="D23" i="296" s="1"/>
  <c r="E23" i="296"/>
  <c r="M22" i="296"/>
  <c r="E22" i="296" s="1"/>
  <c r="F22" i="296" s="1"/>
  <c r="K22" i="296"/>
  <c r="D22" i="296"/>
  <c r="M21" i="296"/>
  <c r="E21" i="296" s="1"/>
  <c r="F21" i="296" s="1"/>
  <c r="K21" i="296"/>
  <c r="D21" i="296" s="1"/>
  <c r="M20" i="296"/>
  <c r="E20" i="296" s="1"/>
  <c r="K20" i="296"/>
  <c r="D20" i="296"/>
  <c r="M19" i="296"/>
  <c r="K19" i="296"/>
  <c r="D19" i="296" s="1"/>
  <c r="E19" i="296"/>
  <c r="M18" i="296"/>
  <c r="E18" i="296" s="1"/>
  <c r="F18" i="296" s="1"/>
  <c r="K18" i="296"/>
  <c r="D18" i="296"/>
  <c r="M17" i="296"/>
  <c r="E17" i="296" s="1"/>
  <c r="F17" i="296" s="1"/>
  <c r="K17" i="296"/>
  <c r="D17" i="296" s="1"/>
  <c r="M16" i="296"/>
  <c r="E16" i="296" s="1"/>
  <c r="K16" i="296"/>
  <c r="D16" i="296"/>
  <c r="M15" i="296"/>
  <c r="K15" i="296"/>
  <c r="D15" i="296" s="1"/>
  <c r="E15" i="296"/>
  <c r="M14" i="296"/>
  <c r="E14" i="296" s="1"/>
  <c r="F14" i="296" s="1"/>
  <c r="K14" i="296"/>
  <c r="D14" i="296"/>
  <c r="M13" i="296"/>
  <c r="E13" i="296" s="1"/>
  <c r="F13" i="296" s="1"/>
  <c r="K13" i="296"/>
  <c r="D13" i="296" s="1"/>
  <c r="M12" i="296"/>
  <c r="E12" i="296" s="1"/>
  <c r="K12" i="296"/>
  <c r="D12" i="296"/>
  <c r="M11" i="296"/>
  <c r="K11" i="296"/>
  <c r="D11" i="296" s="1"/>
  <c r="E11" i="296"/>
  <c r="M10" i="296"/>
  <c r="E10" i="296" s="1"/>
  <c r="K10" i="296"/>
  <c r="D10" i="296"/>
  <c r="M9" i="296"/>
  <c r="E9" i="296" s="1"/>
  <c r="F9" i="296" s="1"/>
  <c r="K9" i="296"/>
  <c r="D9" i="296" s="1"/>
  <c r="M8" i="296"/>
  <c r="E8" i="296" s="1"/>
  <c r="K8" i="296"/>
  <c r="D8" i="296"/>
  <c r="D7" i="296" s="1"/>
  <c r="H7" i="296"/>
  <c r="G7" i="296"/>
  <c r="G47" i="296" s="1"/>
  <c r="Y48" i="311"/>
  <c r="Y46" i="311"/>
  <c r="AT39" i="311"/>
  <c r="AS39" i="311"/>
  <c r="AR39" i="311"/>
  <c r="AQ39" i="311"/>
  <c r="AO39" i="311"/>
  <c r="AN39" i="311"/>
  <c r="AM39" i="311"/>
  <c r="AL39" i="311"/>
  <c r="AK39" i="311"/>
  <c r="AJ39" i="311"/>
  <c r="AI39" i="311"/>
  <c r="X39" i="311"/>
  <c r="S39" i="311"/>
  <c r="AT38" i="311"/>
  <c r="AS38" i="311"/>
  <c r="AR38" i="311"/>
  <c r="AQ38" i="311"/>
  <c r="AP38" i="311"/>
  <c r="Y38" i="311"/>
  <c r="V38" i="311"/>
  <c r="V37" i="311" s="1"/>
  <c r="R38" i="311"/>
  <c r="Q38" i="311"/>
  <c r="S38" i="311" s="1"/>
  <c r="P38" i="311"/>
  <c r="O38" i="311"/>
  <c r="O37" i="311" s="1"/>
  <c r="M38" i="311"/>
  <c r="AT37" i="311"/>
  <c r="AS37" i="311"/>
  <c r="AR37" i="311"/>
  <c r="AQ37" i="311"/>
  <c r="Y37" i="311"/>
  <c r="R37" i="311"/>
  <c r="P37" i="311"/>
  <c r="L37" i="311"/>
  <c r="AT36" i="311"/>
  <c r="AS36" i="311"/>
  <c r="AR36" i="311"/>
  <c r="AQ36" i="311"/>
  <c r="AO36" i="311"/>
  <c r="AN36" i="311"/>
  <c r="AM36" i="311"/>
  <c r="AL36" i="311"/>
  <c r="AK36" i="311"/>
  <c r="AJ36" i="311"/>
  <c r="AI36" i="311"/>
  <c r="X36" i="311"/>
  <c r="R36" i="311"/>
  <c r="Q36" i="311"/>
  <c r="S36" i="311" s="1"/>
  <c r="P36" i="311"/>
  <c r="O36" i="311"/>
  <c r="O35" i="311" s="1"/>
  <c r="O34" i="311" s="1"/>
  <c r="AT35" i="311"/>
  <c r="AS35" i="311"/>
  <c r="AR35" i="311"/>
  <c r="AQ35" i="311"/>
  <c r="Y35" i="311"/>
  <c r="V35" i="311"/>
  <c r="R35" i="311"/>
  <c r="Q35" i="311"/>
  <c r="Q34" i="311" s="1"/>
  <c r="S34" i="311" s="1"/>
  <c r="P35" i="311"/>
  <c r="AT34" i="311"/>
  <c r="AS34" i="311"/>
  <c r="AR34" i="311"/>
  <c r="AQ34" i="311"/>
  <c r="Y34" i="311"/>
  <c r="V34" i="311"/>
  <c r="R34" i="311"/>
  <c r="P34" i="311"/>
  <c r="AT33" i="311"/>
  <c r="AS33" i="311"/>
  <c r="AR33" i="311"/>
  <c r="AQ33" i="311"/>
  <c r="AO33" i="311"/>
  <c r="AN33" i="311"/>
  <c r="AM33" i="311"/>
  <c r="AL33" i="311"/>
  <c r="AK33" i="311"/>
  <c r="AJ33" i="311"/>
  <c r="AI33" i="311"/>
  <c r="AH33" i="311"/>
  <c r="AH32" i="311" s="1"/>
  <c r="AH31" i="311" s="1"/>
  <c r="X33" i="311"/>
  <c r="W33" i="311"/>
  <c r="W32" i="311" s="1"/>
  <c r="W31" i="311" s="1"/>
  <c r="V33" i="311"/>
  <c r="U33" i="311"/>
  <c r="R33" i="311"/>
  <c r="Q33" i="311"/>
  <c r="Q32" i="311" s="1"/>
  <c r="Q31" i="311" s="1"/>
  <c r="P33" i="311"/>
  <c r="O33" i="311"/>
  <c r="O32" i="311" s="1"/>
  <c r="O31" i="311" s="1"/>
  <c r="N33" i="311"/>
  <c r="I33" i="311"/>
  <c r="H33" i="311"/>
  <c r="G33" i="311"/>
  <c r="F33" i="311"/>
  <c r="E33" i="311"/>
  <c r="D33" i="311"/>
  <c r="C33" i="311"/>
  <c r="B33" i="311"/>
  <c r="A33" i="311"/>
  <c r="AT32" i="311"/>
  <c r="AS32" i="311"/>
  <c r="AR32" i="311"/>
  <c r="AQ32" i="311"/>
  <c r="Y32" i="311"/>
  <c r="Y31" i="311" s="1"/>
  <c r="V32" i="311"/>
  <c r="V31" i="311" s="1"/>
  <c r="R32" i="311"/>
  <c r="R31" i="311" s="1"/>
  <c r="P32" i="311"/>
  <c r="S32" i="311" s="1"/>
  <c r="M32" i="311"/>
  <c r="L32" i="311"/>
  <c r="AT31" i="311"/>
  <c r="AS31" i="311"/>
  <c r="AR31" i="311"/>
  <c r="AQ31" i="311"/>
  <c r="L31" i="311"/>
  <c r="AT30" i="311"/>
  <c r="AS30" i="311"/>
  <c r="AR30" i="311"/>
  <c r="AQ30" i="311"/>
  <c r="AT29" i="311"/>
  <c r="AS29" i="311"/>
  <c r="AR29" i="311"/>
  <c r="AQ29" i="311"/>
  <c r="AO29" i="311"/>
  <c r="AN29" i="311"/>
  <c r="AM29" i="311"/>
  <c r="AL29" i="311"/>
  <c r="AK29" i="311"/>
  <c r="AJ29" i="311"/>
  <c r="AI29" i="311"/>
  <c r="AH29" i="311"/>
  <c r="X29" i="311"/>
  <c r="U29" i="311"/>
  <c r="R29" i="311"/>
  <c r="Q29" i="311"/>
  <c r="Q28" i="311" s="1"/>
  <c r="Q27" i="311" s="1"/>
  <c r="P29" i="311"/>
  <c r="P28" i="311" s="1"/>
  <c r="S28" i="311" s="1"/>
  <c r="O29" i="311"/>
  <c r="O28" i="311" s="1"/>
  <c r="O27" i="311" s="1"/>
  <c r="N29" i="311"/>
  <c r="I29" i="311"/>
  <c r="H29" i="311"/>
  <c r="G29" i="311"/>
  <c r="F29" i="311"/>
  <c r="E29" i="311"/>
  <c r="D29" i="311"/>
  <c r="C29" i="311"/>
  <c r="B29" i="311"/>
  <c r="A29" i="311"/>
  <c r="AT28" i="311"/>
  <c r="AS28" i="311"/>
  <c r="AR28" i="311"/>
  <c r="AQ28" i="311"/>
  <c r="AH28" i="311"/>
  <c r="Y28" i="311"/>
  <c r="Y27" i="311" s="1"/>
  <c r="R28" i="311"/>
  <c r="R27" i="311" s="1"/>
  <c r="M28" i="311"/>
  <c r="L28" i="311"/>
  <c r="AT27" i="311"/>
  <c r="AS27" i="311"/>
  <c r="AR27" i="311"/>
  <c r="AQ27" i="311"/>
  <c r="AH27" i="311"/>
  <c r="L27" i="311"/>
  <c r="AT26" i="311"/>
  <c r="AS26" i="311"/>
  <c r="AR26" i="311"/>
  <c r="AQ26" i="311"/>
  <c r="AO26" i="311"/>
  <c r="AN26" i="311"/>
  <c r="AM26" i="311"/>
  <c r="AL26" i="311"/>
  <c r="AK26" i="311"/>
  <c r="AI26" i="311"/>
  <c r="AH26" i="311"/>
  <c r="AH25" i="311" s="1"/>
  <c r="AH24" i="311" s="1"/>
  <c r="X26" i="311"/>
  <c r="W26" i="311"/>
  <c r="W25" i="311" s="1"/>
  <c r="W24" i="311" s="1"/>
  <c r="U26" i="311"/>
  <c r="R26" i="311"/>
  <c r="R25" i="311" s="1"/>
  <c r="R24" i="311" s="1"/>
  <c r="Q26" i="311"/>
  <c r="P26" i="311"/>
  <c r="P25" i="311" s="1"/>
  <c r="P24" i="311" s="1"/>
  <c r="O26" i="311"/>
  <c r="I26" i="311"/>
  <c r="H26" i="311"/>
  <c r="G26" i="311"/>
  <c r="F26" i="311"/>
  <c r="E26" i="311"/>
  <c r="D26" i="311"/>
  <c r="C26" i="311"/>
  <c r="B26" i="311"/>
  <c r="A26" i="311"/>
  <c r="AT25" i="311"/>
  <c r="AS25" i="311"/>
  <c r="AR25" i="311"/>
  <c r="AQ25" i="311"/>
  <c r="Y25" i="311"/>
  <c r="Y24" i="311" s="1"/>
  <c r="V25" i="311"/>
  <c r="Q25" i="311"/>
  <c r="Q24" i="311" s="1"/>
  <c r="O25" i="311"/>
  <c r="O24" i="311" s="1"/>
  <c r="M25" i="311"/>
  <c r="L25" i="311"/>
  <c r="AT24" i="311"/>
  <c r="AS24" i="311"/>
  <c r="AR24" i="311"/>
  <c r="AQ24" i="311"/>
  <c r="V24" i="311"/>
  <c r="L24" i="311"/>
  <c r="AT23" i="311"/>
  <c r="AS23" i="311"/>
  <c r="AR23" i="311"/>
  <c r="AQ23" i="311"/>
  <c r="AO23" i="311"/>
  <c r="AN23" i="311"/>
  <c r="AM23" i="311"/>
  <c r="AL23" i="311"/>
  <c r="AK23" i="311"/>
  <c r="AJ23" i="311"/>
  <c r="AI23" i="311"/>
  <c r="AH23" i="311"/>
  <c r="X23" i="311"/>
  <c r="U23" i="311"/>
  <c r="R23" i="311"/>
  <c r="Q23" i="311"/>
  <c r="P23" i="311"/>
  <c r="S23" i="311" s="1"/>
  <c r="O23" i="311"/>
  <c r="N23" i="311"/>
  <c r="I23" i="311"/>
  <c r="H23" i="311"/>
  <c r="G23" i="311"/>
  <c r="F23" i="311"/>
  <c r="E23" i="311"/>
  <c r="D23" i="311"/>
  <c r="C23" i="311"/>
  <c r="B23" i="311"/>
  <c r="A23" i="311"/>
  <c r="AT22" i="311"/>
  <c r="AS22" i="311"/>
  <c r="AR22" i="311"/>
  <c r="AQ22" i="311"/>
  <c r="AH22" i="311"/>
  <c r="AH21" i="311" s="1"/>
  <c r="Y22" i="311"/>
  <c r="R22" i="311"/>
  <c r="Q22" i="311"/>
  <c r="P22" i="311"/>
  <c r="O22" i="311"/>
  <c r="M22" i="311"/>
  <c r="L22" i="311"/>
  <c r="AT21" i="311"/>
  <c r="AS21" i="311"/>
  <c r="AR21" i="311"/>
  <c r="AQ21" i="311"/>
  <c r="Y21" i="311"/>
  <c r="U21" i="311"/>
  <c r="R21" i="311"/>
  <c r="Q21" i="311"/>
  <c r="P21" i="311"/>
  <c r="O21" i="311"/>
  <c r="L21" i="311"/>
  <c r="AT20" i="311"/>
  <c r="AS20" i="311"/>
  <c r="AR20" i="311"/>
  <c r="AQ20" i="311"/>
  <c r="AT19" i="311"/>
  <c r="AS19" i="311"/>
  <c r="AR19" i="311"/>
  <c r="AQ19" i="311"/>
  <c r="AH19" i="311"/>
  <c r="Y19" i="311"/>
  <c r="W19" i="311"/>
  <c r="V19" i="311"/>
  <c r="R19" i="311"/>
  <c r="Q19" i="311"/>
  <c r="S19" i="311" s="1"/>
  <c r="P19" i="311"/>
  <c r="O19" i="311"/>
  <c r="L19" i="311"/>
  <c r="AT18" i="311"/>
  <c r="AS18" i="311"/>
  <c r="AR18" i="311"/>
  <c r="AQ18" i="311"/>
  <c r="AT17" i="311"/>
  <c r="AS17" i="311"/>
  <c r="AR17" i="311"/>
  <c r="AQ17" i="311"/>
  <c r="AO17" i="311"/>
  <c r="AN17" i="311"/>
  <c r="AM17" i="311"/>
  <c r="AL17" i="311"/>
  <c r="AK17" i="311"/>
  <c r="AJ17" i="311"/>
  <c r="AI17" i="311"/>
  <c r="AH17" i="311"/>
  <c r="X17" i="311"/>
  <c r="V17" i="311"/>
  <c r="U17" i="311"/>
  <c r="R17" i="311"/>
  <c r="Q17" i="311"/>
  <c r="P17" i="311"/>
  <c r="O17" i="311"/>
  <c r="N17" i="311"/>
  <c r="I17" i="311"/>
  <c r="H17" i="311"/>
  <c r="G17" i="311"/>
  <c r="F17" i="311"/>
  <c r="E17" i="311"/>
  <c r="D17" i="311"/>
  <c r="C17" i="311"/>
  <c r="B17" i="311"/>
  <c r="A17" i="311"/>
  <c r="AT16" i="311"/>
  <c r="AS16" i="311"/>
  <c r="AR16" i="311"/>
  <c r="AQ16" i="311"/>
  <c r="AH16" i="311"/>
  <c r="AH15" i="311" s="1"/>
  <c r="Y16" i="311"/>
  <c r="Y15" i="311" s="1"/>
  <c r="W16" i="311"/>
  <c r="W15" i="311" s="1"/>
  <c r="V16" i="311"/>
  <c r="R16" i="311"/>
  <c r="Q16" i="311"/>
  <c r="Q15" i="311" s="1"/>
  <c r="P16" i="311"/>
  <c r="O16" i="311"/>
  <c r="O15" i="311" s="1"/>
  <c r="M16" i="311"/>
  <c r="L16" i="311"/>
  <c r="AT15" i="311"/>
  <c r="AS15" i="311"/>
  <c r="AR15" i="311"/>
  <c r="AQ15" i="311"/>
  <c r="V15" i="311"/>
  <c r="R15" i="311"/>
  <c r="P15" i="311"/>
  <c r="S15" i="311" s="1"/>
  <c r="L15" i="311"/>
  <c r="AT14" i="311"/>
  <c r="AS14" i="311"/>
  <c r="AR14" i="311"/>
  <c r="AQ14" i="311"/>
  <c r="X14" i="311"/>
  <c r="K14" i="311"/>
  <c r="AT13" i="311"/>
  <c r="AS13" i="311"/>
  <c r="AR13" i="311"/>
  <c r="AQ13" i="311"/>
  <c r="AO13" i="311"/>
  <c r="AN13" i="311"/>
  <c r="AM13" i="311"/>
  <c r="AL13" i="311"/>
  <c r="AK13" i="311"/>
  <c r="AJ13" i="311"/>
  <c r="AI13" i="311"/>
  <c r="AH13" i="311"/>
  <c r="P13" i="311"/>
  <c r="O13" i="311"/>
  <c r="N13" i="311"/>
  <c r="AT12" i="311"/>
  <c r="AS12" i="311"/>
  <c r="AR12" i="311"/>
  <c r="AQ12" i="311"/>
  <c r="AO12" i="311"/>
  <c r="AN12" i="311"/>
  <c r="AM12" i="311"/>
  <c r="AL12" i="311"/>
  <c r="AK12" i="311"/>
  <c r="AJ12" i="311"/>
  <c r="AI12" i="311"/>
  <c r="AH12" i="311"/>
  <c r="AT11" i="311"/>
  <c r="AS11" i="311"/>
  <c r="AR11" i="311"/>
  <c r="AQ11" i="311"/>
  <c r="AO11" i="311"/>
  <c r="AN11" i="311"/>
  <c r="AM11" i="311"/>
  <c r="AL11" i="311"/>
  <c r="AK11" i="311"/>
  <c r="AJ11" i="311"/>
  <c r="AI11" i="311"/>
  <c r="AH11" i="311"/>
  <c r="AH10" i="311" s="1"/>
  <c r="AH9" i="311" s="1"/>
  <c r="AH8" i="311" s="1"/>
  <c r="X11" i="311"/>
  <c r="R11" i="311"/>
  <c r="Q11" i="311"/>
  <c r="P11" i="311"/>
  <c r="O11" i="311"/>
  <c r="N11" i="311"/>
  <c r="AT10" i="311"/>
  <c r="AS10" i="311"/>
  <c r="AR10" i="311"/>
  <c r="AQ10" i="311"/>
  <c r="Y10" i="311"/>
  <c r="Y9" i="311" s="1"/>
  <c r="Y8" i="311" s="1"/>
  <c r="V10" i="311"/>
  <c r="R10" i="311"/>
  <c r="R9" i="311" s="1"/>
  <c r="R8" i="311" s="1"/>
  <c r="Q10" i="311"/>
  <c r="P10" i="311"/>
  <c r="S10" i="311" s="1"/>
  <c r="O10" i="311"/>
  <c r="AT9" i="311"/>
  <c r="AT40" i="311" s="1"/>
  <c r="AS9" i="311"/>
  <c r="AR9" i="311"/>
  <c r="AR40" i="311" s="1"/>
  <c r="AQ9" i="311"/>
  <c r="V9" i="311"/>
  <c r="Q9" i="311"/>
  <c r="O9" i="311"/>
  <c r="X8" i="311"/>
  <c r="V8" i="311"/>
  <c r="Q8" i="311"/>
  <c r="O8" i="311"/>
  <c r="K8" i="311"/>
  <c r="J8" i="311"/>
  <c r="Y3" i="311"/>
  <c r="Y20" i="312"/>
  <c r="Y18" i="312"/>
  <c r="AT11" i="312"/>
  <c r="AS11" i="312"/>
  <c r="AR11" i="312"/>
  <c r="AQ11" i="312"/>
  <c r="AO11" i="312"/>
  <c r="AN11" i="312"/>
  <c r="AM11" i="312"/>
  <c r="AL11" i="312"/>
  <c r="AK11" i="312"/>
  <c r="AJ11" i="312"/>
  <c r="AI11" i="312"/>
  <c r="AH11" i="312"/>
  <c r="X11" i="312"/>
  <c r="R11" i="312"/>
  <c r="Q11" i="312"/>
  <c r="S11" i="312" s="1"/>
  <c r="P11" i="312"/>
  <c r="O11" i="312"/>
  <c r="O10" i="312" s="1"/>
  <c r="O9" i="312" s="1"/>
  <c r="O8" i="312" s="1"/>
  <c r="O12" i="312" s="1"/>
  <c r="N11" i="312"/>
  <c r="AT10" i="312"/>
  <c r="AT12" i="312" s="1"/>
  <c r="AS10" i="312"/>
  <c r="AS12" i="312" s="1"/>
  <c r="AR10" i="312"/>
  <c r="AR12" i="312" s="1"/>
  <c r="AQ10" i="312"/>
  <c r="AQ12" i="312" s="1"/>
  <c r="AH10" i="312"/>
  <c r="AH9" i="312" s="1"/>
  <c r="AH8" i="312" s="1"/>
  <c r="AH12" i="312" s="1"/>
  <c r="Y10" i="312"/>
  <c r="R10" i="312"/>
  <c r="P10" i="312"/>
  <c r="Y9" i="312"/>
  <c r="X9" i="312"/>
  <c r="X8" i="312" s="1"/>
  <c r="W9" i="312"/>
  <c r="W8" i="312" s="1"/>
  <c r="W12" i="312" s="1"/>
  <c r="R9" i="312"/>
  <c r="P9" i="312"/>
  <c r="P8" i="312" s="1"/>
  <c r="P12" i="312" s="1"/>
  <c r="L9" i="312"/>
  <c r="K9" i="312"/>
  <c r="Y8" i="312"/>
  <c r="Y12" i="312" s="1"/>
  <c r="R8" i="312"/>
  <c r="R12" i="312" s="1"/>
  <c r="K8" i="312"/>
  <c r="J8" i="312"/>
  <c r="Y3" i="312"/>
  <c r="Y24" i="310"/>
  <c r="Y22" i="310"/>
  <c r="AT15" i="310"/>
  <c r="AS15" i="310"/>
  <c r="AQ15" i="310"/>
  <c r="Y15" i="310"/>
  <c r="AR15" i="310" s="1"/>
  <c r="AT14" i="310"/>
  <c r="AS14" i="310"/>
  <c r="AR14" i="310"/>
  <c r="AQ14" i="310"/>
  <c r="AO14" i="310"/>
  <c r="AN14" i="310"/>
  <c r="AM14" i="310"/>
  <c r="AL14" i="310"/>
  <c r="AK14" i="310"/>
  <c r="AJ14" i="310"/>
  <c r="AI14" i="310"/>
  <c r="AH14" i="310"/>
  <c r="X14" i="310"/>
  <c r="R14" i="310"/>
  <c r="Q14" i="310"/>
  <c r="P14" i="310"/>
  <c r="O14" i="310"/>
  <c r="N14" i="310"/>
  <c r="AT13" i="310"/>
  <c r="AS13" i="310"/>
  <c r="AR13" i="310"/>
  <c r="AQ13" i="310"/>
  <c r="AO13" i="310"/>
  <c r="AN13" i="310"/>
  <c r="AM13" i="310"/>
  <c r="AL13" i="310"/>
  <c r="AK13" i="310"/>
  <c r="AJ13" i="310"/>
  <c r="AI13" i="310"/>
  <c r="AH13" i="310"/>
  <c r="X13" i="310"/>
  <c r="R13" i="310"/>
  <c r="Q13" i="310"/>
  <c r="P13" i="310"/>
  <c r="O13" i="310"/>
  <c r="N13" i="310"/>
  <c r="AT12" i="310"/>
  <c r="AS12" i="310"/>
  <c r="AR12" i="310"/>
  <c r="AQ12" i="310"/>
  <c r="AO12" i="310"/>
  <c r="AN12" i="310"/>
  <c r="AM12" i="310"/>
  <c r="AL12" i="310"/>
  <c r="AK12" i="310"/>
  <c r="AJ12" i="310"/>
  <c r="AI12" i="310"/>
  <c r="AH12" i="310"/>
  <c r="X12" i="310"/>
  <c r="R12" i="310"/>
  <c r="Q12" i="310"/>
  <c r="P12" i="310"/>
  <c r="P10" i="310" s="1"/>
  <c r="O12" i="310"/>
  <c r="N12" i="310"/>
  <c r="AT11" i="310"/>
  <c r="AS11" i="310"/>
  <c r="AR11" i="310"/>
  <c r="AQ11" i="310"/>
  <c r="AO11" i="310"/>
  <c r="AN11" i="310"/>
  <c r="AM11" i="310"/>
  <c r="AL11" i="310"/>
  <c r="AK11" i="310"/>
  <c r="AJ11" i="310"/>
  <c r="AI11" i="310"/>
  <c r="AH11" i="310"/>
  <c r="AH10" i="310" s="1"/>
  <c r="AH9" i="310" s="1"/>
  <c r="AH8" i="310" s="1"/>
  <c r="AH16" i="310" s="1"/>
  <c r="X11" i="310"/>
  <c r="R11" i="310"/>
  <c r="Q11" i="310"/>
  <c r="P11" i="310"/>
  <c r="O11" i="310"/>
  <c r="N11" i="310"/>
  <c r="AT10" i="310"/>
  <c r="AS10" i="310"/>
  <c r="AR10" i="310"/>
  <c r="AQ10" i="310"/>
  <c r="Y10" i="310"/>
  <c r="Y9" i="310" s="1"/>
  <c r="Y8" i="310" s="1"/>
  <c r="Y16" i="310" s="1"/>
  <c r="V10" i="310"/>
  <c r="R10" i="310"/>
  <c r="R9" i="310" s="1"/>
  <c r="R8" i="310" s="1"/>
  <c r="R16" i="310" s="1"/>
  <c r="Q10" i="310"/>
  <c r="O10" i="310"/>
  <c r="AT9" i="310"/>
  <c r="AT16" i="310" s="1"/>
  <c r="AS9" i="310"/>
  <c r="AR9" i="310"/>
  <c r="AR16" i="310" s="1"/>
  <c r="AQ9" i="310"/>
  <c r="V9" i="310"/>
  <c r="Q9" i="310"/>
  <c r="Q8" i="310" s="1"/>
  <c r="Q16" i="310" s="1"/>
  <c r="O9" i="310"/>
  <c r="L9" i="310"/>
  <c r="K9" i="310"/>
  <c r="X8" i="310"/>
  <c r="V8" i="310"/>
  <c r="V16" i="310" s="1"/>
  <c r="O8" i="310"/>
  <c r="O16" i="310" s="1"/>
  <c r="K8" i="310"/>
  <c r="J8" i="310"/>
  <c r="Y3" i="310"/>
  <c r="Y40" i="309"/>
  <c r="Y38" i="309"/>
  <c r="AT31" i="309"/>
  <c r="AS31" i="309"/>
  <c r="AR31" i="309"/>
  <c r="AQ31" i="309"/>
  <c r="AO31" i="309"/>
  <c r="AN31" i="309"/>
  <c r="AM31" i="309"/>
  <c r="AL31" i="309"/>
  <c r="AK31" i="309"/>
  <c r="AJ31" i="309"/>
  <c r="AI31" i="309"/>
  <c r="AH31" i="309"/>
  <c r="X31" i="309"/>
  <c r="W31" i="309"/>
  <c r="R31" i="309"/>
  <c r="R30" i="309" s="1"/>
  <c r="R29" i="309" s="1"/>
  <c r="Q31" i="309"/>
  <c r="P31" i="309"/>
  <c r="P30" i="309" s="1"/>
  <c r="P29" i="309" s="1"/>
  <c r="O31" i="309"/>
  <c r="N31" i="309"/>
  <c r="AT30" i="309"/>
  <c r="AS30" i="309"/>
  <c r="AR30" i="309"/>
  <c r="AQ30" i="309"/>
  <c r="AH30" i="309"/>
  <c r="Y30" i="309"/>
  <c r="Y29" i="309" s="1"/>
  <c r="W30" i="309"/>
  <c r="V30" i="309"/>
  <c r="V29" i="309" s="1"/>
  <c r="Q30" i="309"/>
  <c r="Q29" i="309" s="1"/>
  <c r="O30" i="309"/>
  <c r="O29" i="309" s="1"/>
  <c r="L30" i="309"/>
  <c r="AT29" i="309"/>
  <c r="AS29" i="309"/>
  <c r="AR29" i="309"/>
  <c r="AQ29" i="309"/>
  <c r="AH29" i="309"/>
  <c r="W29" i="309"/>
  <c r="AT28" i="309"/>
  <c r="AS28" i="309"/>
  <c r="AR28" i="309"/>
  <c r="AQ28" i="309"/>
  <c r="AO28" i="309"/>
  <c r="AN28" i="309"/>
  <c r="AM28" i="309"/>
  <c r="AL28" i="309"/>
  <c r="AK28" i="309"/>
  <c r="AJ28" i="309"/>
  <c r="AI28" i="309"/>
  <c r="AH28" i="309"/>
  <c r="X28" i="309"/>
  <c r="V28" i="309"/>
  <c r="U28" i="309"/>
  <c r="R28" i="309"/>
  <c r="Q28" i="309"/>
  <c r="P28" i="309"/>
  <c r="O28" i="309"/>
  <c r="N28" i="309"/>
  <c r="I28" i="309"/>
  <c r="H28" i="309"/>
  <c r="G28" i="309"/>
  <c r="F28" i="309"/>
  <c r="E28" i="309"/>
  <c r="D28" i="309"/>
  <c r="C28" i="309"/>
  <c r="B28" i="309"/>
  <c r="A28" i="309"/>
  <c r="AT27" i="309"/>
  <c r="AS27" i="309"/>
  <c r="AR27" i="309"/>
  <c r="AQ27" i="309"/>
  <c r="AO27" i="309"/>
  <c r="AN27" i="309"/>
  <c r="AM27" i="309"/>
  <c r="AL27" i="309"/>
  <c r="AK27" i="309"/>
  <c r="AJ27" i="309"/>
  <c r="AI27" i="309"/>
  <c r="AH27" i="309"/>
  <c r="X27" i="309"/>
  <c r="V27" i="309"/>
  <c r="U27" i="309"/>
  <c r="R27" i="309"/>
  <c r="Q27" i="309"/>
  <c r="P27" i="309"/>
  <c r="S27" i="309" s="1"/>
  <c r="O27" i="309"/>
  <c r="N27" i="309"/>
  <c r="I27" i="309"/>
  <c r="H27" i="309"/>
  <c r="G27" i="309"/>
  <c r="F27" i="309"/>
  <c r="E27" i="309"/>
  <c r="D27" i="309"/>
  <c r="C27" i="309"/>
  <c r="B27" i="309"/>
  <c r="A27" i="309"/>
  <c r="AT26" i="309"/>
  <c r="AS26" i="309"/>
  <c r="AR26" i="309"/>
  <c r="AQ26" i="309"/>
  <c r="AO26" i="309"/>
  <c r="AN26" i="309"/>
  <c r="AM26" i="309"/>
  <c r="AL26" i="309"/>
  <c r="AK26" i="309"/>
  <c r="AJ26" i="309"/>
  <c r="AI26" i="309"/>
  <c r="AH26" i="309"/>
  <c r="X26" i="309"/>
  <c r="V26" i="309"/>
  <c r="U26" i="309"/>
  <c r="R26" i="309"/>
  <c r="Q26" i="309"/>
  <c r="P26" i="309"/>
  <c r="S26" i="309" s="1"/>
  <c r="O26" i="309"/>
  <c r="N26" i="309"/>
  <c r="I26" i="309"/>
  <c r="H26" i="309"/>
  <c r="G26" i="309"/>
  <c r="F26" i="309"/>
  <c r="E26" i="309"/>
  <c r="D26" i="309"/>
  <c r="C26" i="309"/>
  <c r="B26" i="309"/>
  <c r="A26" i="309"/>
  <c r="AT25" i="309"/>
  <c r="AS25" i="309"/>
  <c r="AR25" i="309"/>
  <c r="AQ25" i="309"/>
  <c r="AT24" i="309"/>
  <c r="AS24" i="309"/>
  <c r="AR24" i="309"/>
  <c r="AQ24" i="309"/>
  <c r="AO24" i="309"/>
  <c r="AN24" i="309"/>
  <c r="AM24" i="309"/>
  <c r="AL24" i="309"/>
  <c r="AK24" i="309"/>
  <c r="AJ24" i="309"/>
  <c r="AI24" i="309"/>
  <c r="AH24" i="309"/>
  <c r="X24" i="309"/>
  <c r="V24" i="309"/>
  <c r="U24" i="309"/>
  <c r="R24" i="309"/>
  <c r="Q24" i="309"/>
  <c r="P24" i="309"/>
  <c r="O24" i="309"/>
  <c r="N24" i="309"/>
  <c r="I24" i="309"/>
  <c r="H24" i="309"/>
  <c r="G24" i="309"/>
  <c r="F24" i="309"/>
  <c r="E24" i="309"/>
  <c r="D24" i="309"/>
  <c r="C24" i="309"/>
  <c r="B24" i="309"/>
  <c r="A24" i="309"/>
  <c r="AT23" i="309"/>
  <c r="AS23" i="309"/>
  <c r="AR23" i="309"/>
  <c r="AQ23" i="309"/>
  <c r="AO23" i="309"/>
  <c r="AN23" i="309"/>
  <c r="AM23" i="309"/>
  <c r="AL23" i="309"/>
  <c r="AK23" i="309"/>
  <c r="AJ23" i="309"/>
  <c r="AI23" i="309"/>
  <c r="AH23" i="309"/>
  <c r="AH20" i="309" s="1"/>
  <c r="X23" i="309"/>
  <c r="V23" i="309"/>
  <c r="U23" i="309"/>
  <c r="R23" i="309"/>
  <c r="R20" i="309" s="1"/>
  <c r="Q23" i="309"/>
  <c r="P23" i="309"/>
  <c r="O23" i="309"/>
  <c r="N23" i="309"/>
  <c r="I23" i="309"/>
  <c r="H23" i="309"/>
  <c r="G23" i="309"/>
  <c r="F23" i="309"/>
  <c r="E23" i="309"/>
  <c r="D23" i="309"/>
  <c r="C23" i="309"/>
  <c r="B23" i="309"/>
  <c r="A23" i="309"/>
  <c r="AT22" i="309"/>
  <c r="AS22" i="309"/>
  <c r="AR22" i="309"/>
  <c r="AQ22" i="309"/>
  <c r="AO22" i="309"/>
  <c r="AN22" i="309"/>
  <c r="AM22" i="309"/>
  <c r="AL22" i="309"/>
  <c r="AK22" i="309"/>
  <c r="AJ22" i="309"/>
  <c r="AI22" i="309"/>
  <c r="AH22" i="309"/>
  <c r="X22" i="309"/>
  <c r="V22" i="309"/>
  <c r="U22" i="309"/>
  <c r="R22" i="309"/>
  <c r="Q22" i="309"/>
  <c r="P22" i="309"/>
  <c r="S22" i="309" s="1"/>
  <c r="O22" i="309"/>
  <c r="O20" i="309" s="1"/>
  <c r="N22" i="309"/>
  <c r="I22" i="309"/>
  <c r="H22" i="309"/>
  <c r="G22" i="309"/>
  <c r="F22" i="309"/>
  <c r="E22" i="309"/>
  <c r="D22" i="309"/>
  <c r="C22" i="309"/>
  <c r="B22" i="309"/>
  <c r="A22" i="309"/>
  <c r="AT21" i="309"/>
  <c r="AS21" i="309"/>
  <c r="AR21" i="309"/>
  <c r="AQ21" i="309"/>
  <c r="AO21" i="309"/>
  <c r="AN21" i="309"/>
  <c r="AM21" i="309"/>
  <c r="AL21" i="309"/>
  <c r="AK21" i="309"/>
  <c r="AJ21" i="309"/>
  <c r="AJ20" i="309" s="1"/>
  <c r="AI21" i="309"/>
  <c r="AH21" i="309"/>
  <c r="X21" i="309"/>
  <c r="V21" i="309"/>
  <c r="V20" i="309" s="1"/>
  <c r="U21" i="309"/>
  <c r="R21" i="309"/>
  <c r="Q21" i="309"/>
  <c r="P21" i="309"/>
  <c r="O21" i="309"/>
  <c r="N21" i="309"/>
  <c r="AT20" i="309"/>
  <c r="AS20" i="309"/>
  <c r="AR20" i="309"/>
  <c r="AQ20" i="309"/>
  <c r="Y20" i="309"/>
  <c r="W20" i="309"/>
  <c r="M20" i="309"/>
  <c r="L20" i="309"/>
  <c r="AT19" i="309"/>
  <c r="AS19" i="309"/>
  <c r="AR19" i="309"/>
  <c r="AQ19" i="309"/>
  <c r="AO19" i="309"/>
  <c r="AN19" i="309"/>
  <c r="AM19" i="309"/>
  <c r="AL19" i="309"/>
  <c r="AK19" i="309"/>
  <c r="AJ19" i="309"/>
  <c r="AI19" i="309"/>
  <c r="AH19" i="309"/>
  <c r="X19" i="309"/>
  <c r="V19" i="309"/>
  <c r="U19" i="309"/>
  <c r="R19" i="309"/>
  <c r="Q19" i="309"/>
  <c r="P19" i="309"/>
  <c r="S19" i="309" s="1"/>
  <c r="O19" i="309"/>
  <c r="N19" i="309"/>
  <c r="I19" i="309"/>
  <c r="H19" i="309"/>
  <c r="G19" i="309"/>
  <c r="F19" i="309"/>
  <c r="E19" i="309"/>
  <c r="D19" i="309"/>
  <c r="C19" i="309"/>
  <c r="B19" i="309"/>
  <c r="A19" i="309"/>
  <c r="AT18" i="309"/>
  <c r="AS18" i="309"/>
  <c r="AR18" i="309"/>
  <c r="AO18" i="309"/>
  <c r="AN18" i="309"/>
  <c r="AM18" i="309"/>
  <c r="AL18" i="309"/>
  <c r="AK18" i="309"/>
  <c r="AJ18" i="309"/>
  <c r="AI18" i="309"/>
  <c r="AH18" i="309"/>
  <c r="X18" i="309"/>
  <c r="V18" i="309"/>
  <c r="V14" i="309" s="1"/>
  <c r="U18" i="309"/>
  <c r="R18" i="309"/>
  <c r="Q18" i="309"/>
  <c r="P18" i="309"/>
  <c r="O18" i="309"/>
  <c r="N18" i="309"/>
  <c r="I18" i="309"/>
  <c r="H18" i="309"/>
  <c r="G18" i="309"/>
  <c r="F18" i="309"/>
  <c r="E18" i="309"/>
  <c r="D18" i="309"/>
  <c r="C18" i="309"/>
  <c r="B18" i="309"/>
  <c r="A18" i="309"/>
  <c r="AT17" i="309"/>
  <c r="AS17" i="309"/>
  <c r="AR17" i="309"/>
  <c r="AQ17" i="309"/>
  <c r="AO17" i="309"/>
  <c r="AN17" i="309"/>
  <c r="AM17" i="309"/>
  <c r="AL17" i="309"/>
  <c r="AK17" i="309"/>
  <c r="AJ17" i="309"/>
  <c r="AI17" i="309"/>
  <c r="AH17" i="309"/>
  <c r="X17" i="309"/>
  <c r="X14" i="309" s="1"/>
  <c r="V17" i="309"/>
  <c r="U17" i="309"/>
  <c r="R17" i="309"/>
  <c r="Q17" i="309"/>
  <c r="P17" i="309"/>
  <c r="O17" i="309"/>
  <c r="N17" i="309"/>
  <c r="I17" i="309"/>
  <c r="H17" i="309"/>
  <c r="G17" i="309"/>
  <c r="F17" i="309"/>
  <c r="E17" i="309"/>
  <c r="D17" i="309"/>
  <c r="C17" i="309"/>
  <c r="B17" i="309"/>
  <c r="A17" i="309"/>
  <c r="AT16" i="309"/>
  <c r="AS16" i="309"/>
  <c r="AR16" i="309"/>
  <c r="AQ16" i="309"/>
  <c r="AO16" i="309"/>
  <c r="AN16" i="309"/>
  <c r="AM16" i="309"/>
  <c r="AL16" i="309"/>
  <c r="AK16" i="309"/>
  <c r="AJ16" i="309"/>
  <c r="AI16" i="309"/>
  <c r="AH16" i="309"/>
  <c r="AH14" i="309" s="1"/>
  <c r="X16" i="309"/>
  <c r="V16" i="309"/>
  <c r="U16" i="309"/>
  <c r="R16" i="309"/>
  <c r="R14" i="309" s="1"/>
  <c r="R9" i="309" s="1"/>
  <c r="R8" i="309" s="1"/>
  <c r="R32" i="309" s="1"/>
  <c r="Q16" i="309"/>
  <c r="P16" i="309"/>
  <c r="O16" i="309"/>
  <c r="N16" i="309"/>
  <c r="I16" i="309"/>
  <c r="H16" i="309"/>
  <c r="G16" i="309"/>
  <c r="F16" i="309"/>
  <c r="E16" i="309"/>
  <c r="D16" i="309"/>
  <c r="C16" i="309"/>
  <c r="B16" i="309"/>
  <c r="A16" i="309"/>
  <c r="AT15" i="309"/>
  <c r="AS15" i="309"/>
  <c r="AR15" i="309"/>
  <c r="AQ15" i="309"/>
  <c r="AO15" i="309"/>
  <c r="AN15" i="309"/>
  <c r="AM15" i="309"/>
  <c r="AL15" i="309"/>
  <c r="AK15" i="309"/>
  <c r="AJ15" i="309"/>
  <c r="AI15" i="309"/>
  <c r="AH15" i="309"/>
  <c r="X15" i="309"/>
  <c r="V15" i="309"/>
  <c r="U15" i="309"/>
  <c r="R15" i="309"/>
  <c r="Q15" i="309"/>
  <c r="P15" i="309"/>
  <c r="S15" i="309" s="1"/>
  <c r="O15" i="309"/>
  <c r="O14" i="309" s="1"/>
  <c r="N15" i="309"/>
  <c r="I15" i="309"/>
  <c r="H15" i="309"/>
  <c r="G15" i="309"/>
  <c r="F15" i="309"/>
  <c r="E15" i="309"/>
  <c r="D15" i="309"/>
  <c r="C15" i="309"/>
  <c r="B15" i="309"/>
  <c r="A15" i="309"/>
  <c r="AT14" i="309"/>
  <c r="AS14" i="309"/>
  <c r="AR14" i="309"/>
  <c r="AQ14" i="309"/>
  <c r="Y14" i="309"/>
  <c r="W14" i="309"/>
  <c r="M14" i="309"/>
  <c r="L14" i="309"/>
  <c r="AT13" i="309"/>
  <c r="AS13" i="309"/>
  <c r="AR13" i="309"/>
  <c r="AQ13" i="309"/>
  <c r="AJ13" i="309"/>
  <c r="AI13" i="309"/>
  <c r="AH13" i="309"/>
  <c r="AH10" i="309" s="1"/>
  <c r="X13" i="309"/>
  <c r="U13" i="309"/>
  <c r="I13" i="309"/>
  <c r="H13" i="309"/>
  <c r="G13" i="309"/>
  <c r="F13" i="309"/>
  <c r="E13" i="309"/>
  <c r="D13" i="309"/>
  <c r="C13" i="309"/>
  <c r="B13" i="309"/>
  <c r="A13" i="309"/>
  <c r="AT12" i="309"/>
  <c r="AR12" i="309"/>
  <c r="AQ12" i="309"/>
  <c r="Y12" i="309"/>
  <c r="AS12" i="309" s="1"/>
  <c r="AT11" i="309"/>
  <c r="AT32" i="309" s="1"/>
  <c r="AS11" i="309"/>
  <c r="AR11" i="309"/>
  <c r="AQ11" i="309"/>
  <c r="AO11" i="309"/>
  <c r="AN11" i="309"/>
  <c r="AM11" i="309"/>
  <c r="AL11" i="309"/>
  <c r="AK11" i="309"/>
  <c r="AJ11" i="309"/>
  <c r="AI11" i="309"/>
  <c r="AH11" i="309"/>
  <c r="X11" i="309"/>
  <c r="V11" i="309"/>
  <c r="U11" i="309"/>
  <c r="R11" i="309"/>
  <c r="Q11" i="309"/>
  <c r="Q10" i="309" s="1"/>
  <c r="P11" i="309"/>
  <c r="O11" i="309"/>
  <c r="N11" i="309"/>
  <c r="I11" i="309"/>
  <c r="H11" i="309"/>
  <c r="G11" i="309"/>
  <c r="F11" i="309"/>
  <c r="E11" i="309"/>
  <c r="D11" i="309"/>
  <c r="C11" i="309"/>
  <c r="B11" i="309"/>
  <c r="A11" i="309"/>
  <c r="W10" i="309"/>
  <c r="W9" i="309" s="1"/>
  <c r="W8" i="309" s="1"/>
  <c r="W32" i="309" s="1"/>
  <c r="V10" i="309"/>
  <c r="R10" i="309"/>
  <c r="P10" i="309"/>
  <c r="O10" i="309"/>
  <c r="M10" i="309"/>
  <c r="L10" i="309"/>
  <c r="L9" i="309"/>
  <c r="K9" i="309"/>
  <c r="K8" i="309"/>
  <c r="J8" i="309"/>
  <c r="Y3" i="309"/>
  <c r="AT48" i="297"/>
  <c r="AS48" i="297"/>
  <c r="AR48" i="297"/>
  <c r="AQ48" i="297"/>
  <c r="AO48" i="297"/>
  <c r="AN48" i="297"/>
  <c r="AM48" i="297"/>
  <c r="AL48" i="297"/>
  <c r="AK48" i="297"/>
  <c r="AJ48" i="297"/>
  <c r="AI48" i="297"/>
  <c r="AH48" i="297"/>
  <c r="X48" i="297"/>
  <c r="W48" i="297"/>
  <c r="W46" i="297" s="1"/>
  <c r="U48" i="297"/>
  <c r="R48" i="297"/>
  <c r="Q48" i="297"/>
  <c r="P48" i="297"/>
  <c r="S48" i="297" s="1"/>
  <c r="O48" i="297"/>
  <c r="O46" i="297" s="1"/>
  <c r="N48" i="297"/>
  <c r="I48" i="297"/>
  <c r="H48" i="297"/>
  <c r="G48" i="297"/>
  <c r="F48" i="297"/>
  <c r="E48" i="297"/>
  <c r="D48" i="297"/>
  <c r="C48" i="297"/>
  <c r="B48" i="297"/>
  <c r="A48" i="297"/>
  <c r="AT47" i="297"/>
  <c r="AS47" i="297"/>
  <c r="AR47" i="297"/>
  <c r="AQ47" i="297"/>
  <c r="AO47" i="297"/>
  <c r="AN47" i="297"/>
  <c r="AM47" i="297"/>
  <c r="AL47" i="297"/>
  <c r="AK47" i="297"/>
  <c r="AJ47" i="297"/>
  <c r="AI47" i="297"/>
  <c r="AH47" i="297"/>
  <c r="X47" i="297"/>
  <c r="V47" i="297"/>
  <c r="V46" i="297" s="1"/>
  <c r="U47" i="297"/>
  <c r="R47" i="297"/>
  <c r="Q47" i="297"/>
  <c r="P47" i="297"/>
  <c r="O47" i="297"/>
  <c r="N47" i="297"/>
  <c r="I47" i="297"/>
  <c r="H47" i="297"/>
  <c r="G47" i="297"/>
  <c r="F47" i="297"/>
  <c r="E47" i="297"/>
  <c r="D47" i="297"/>
  <c r="C47" i="297"/>
  <c r="B47" i="297"/>
  <c r="A47" i="297"/>
  <c r="AT46" i="297"/>
  <c r="AS46" i="297"/>
  <c r="AR46" i="297"/>
  <c r="AQ46" i="297"/>
  <c r="AH46" i="297"/>
  <c r="Y46" i="297"/>
  <c r="R46" i="297"/>
  <c r="Q46" i="297"/>
  <c r="M46" i="297"/>
  <c r="AT45" i="297"/>
  <c r="AR45" i="297"/>
  <c r="AQ45" i="297"/>
  <c r="AO45" i="297"/>
  <c r="AN45" i="297"/>
  <c r="AM45" i="297"/>
  <c r="AL45" i="297"/>
  <c r="AK45" i="297"/>
  <c r="AJ45" i="297"/>
  <c r="AI45" i="297"/>
  <c r="AH45" i="297"/>
  <c r="Y45" i="297"/>
  <c r="AS45" i="297" s="1"/>
  <c r="X45" i="297"/>
  <c r="W45" i="297"/>
  <c r="U45" i="297"/>
  <c r="AT44" i="297"/>
  <c r="AS44" i="297"/>
  <c r="AR44" i="297"/>
  <c r="AQ44" i="297"/>
  <c r="AO44" i="297"/>
  <c r="AN44" i="297"/>
  <c r="AM44" i="297"/>
  <c r="AL44" i="297"/>
  <c r="AK44" i="297"/>
  <c r="AJ44" i="297"/>
  <c r="AI44" i="297"/>
  <c r="AH44" i="297"/>
  <c r="X44" i="297"/>
  <c r="V44" i="297"/>
  <c r="U44" i="297"/>
  <c r="P44" i="297"/>
  <c r="O44" i="297"/>
  <c r="N44" i="297"/>
  <c r="AT43" i="297"/>
  <c r="AS43" i="297"/>
  <c r="AR43" i="297"/>
  <c r="AQ43" i="297"/>
  <c r="AO43" i="297"/>
  <c r="AN43" i="297"/>
  <c r="AM43" i="297"/>
  <c r="AL43" i="297"/>
  <c r="AK43" i="297"/>
  <c r="AJ43" i="297"/>
  <c r="AI43" i="297"/>
  <c r="AH43" i="297"/>
  <c r="X43" i="297"/>
  <c r="W43" i="297"/>
  <c r="U43" i="297"/>
  <c r="R43" i="297"/>
  <c r="Q43" i="297"/>
  <c r="P43" i="297"/>
  <c r="O43" i="297"/>
  <c r="N43" i="297"/>
  <c r="I43" i="297"/>
  <c r="H43" i="297"/>
  <c r="G43" i="297"/>
  <c r="F43" i="297"/>
  <c r="E43" i="297"/>
  <c r="D43" i="297"/>
  <c r="C43" i="297"/>
  <c r="B43" i="297"/>
  <c r="A43" i="297"/>
  <c r="AT42" i="297"/>
  <c r="AS42" i="297"/>
  <c r="AR42" i="297"/>
  <c r="AQ42" i="297"/>
  <c r="AO42" i="297"/>
  <c r="AN42" i="297"/>
  <c r="AM42" i="297"/>
  <c r="AL42" i="297"/>
  <c r="AK42" i="297"/>
  <c r="AJ42" i="297"/>
  <c r="AI42" i="297"/>
  <c r="AH42" i="297"/>
  <c r="X42" i="297"/>
  <c r="V42" i="297"/>
  <c r="U42" i="297"/>
  <c r="R42" i="297"/>
  <c r="Q42" i="297"/>
  <c r="P42" i="297"/>
  <c r="S42" i="297" s="1"/>
  <c r="O42" i="297"/>
  <c r="N42" i="297"/>
  <c r="I42" i="297"/>
  <c r="H42" i="297"/>
  <c r="G42" i="297"/>
  <c r="F42" i="297"/>
  <c r="E42" i="297"/>
  <c r="D42" i="297"/>
  <c r="C42" i="297"/>
  <c r="B42" i="297"/>
  <c r="A42" i="297"/>
  <c r="AT41" i="297"/>
  <c r="AS41" i="297"/>
  <c r="AR41" i="297"/>
  <c r="AQ41" i="297"/>
  <c r="AO41" i="297"/>
  <c r="AN41" i="297"/>
  <c r="AM41" i="297"/>
  <c r="AL41" i="297"/>
  <c r="AK41" i="297"/>
  <c r="AJ41" i="297"/>
  <c r="AI41" i="297"/>
  <c r="AH41" i="297"/>
  <c r="X41" i="297"/>
  <c r="V41" i="297"/>
  <c r="U41" i="297"/>
  <c r="R41" i="297"/>
  <c r="Q41" i="297"/>
  <c r="Q38" i="297" s="1"/>
  <c r="P41" i="297"/>
  <c r="O41" i="297"/>
  <c r="N41" i="297"/>
  <c r="I41" i="297"/>
  <c r="H41" i="297"/>
  <c r="G41" i="297"/>
  <c r="F41" i="297"/>
  <c r="E41" i="297"/>
  <c r="D41" i="297"/>
  <c r="C41" i="297"/>
  <c r="B41" i="297"/>
  <c r="A41" i="297"/>
  <c r="AT40" i="297"/>
  <c r="AS40" i="297"/>
  <c r="AR40" i="297"/>
  <c r="AQ40" i="297"/>
  <c r="AO40" i="297"/>
  <c r="AN40" i="297"/>
  <c r="AM40" i="297"/>
  <c r="AL40" i="297"/>
  <c r="AK40" i="297"/>
  <c r="AJ40" i="297"/>
  <c r="AI40" i="297"/>
  <c r="AH40" i="297"/>
  <c r="AH38" i="297" s="1"/>
  <c r="X40" i="297"/>
  <c r="V40" i="297"/>
  <c r="U40" i="297"/>
  <c r="R40" i="297"/>
  <c r="Q40" i="297"/>
  <c r="P40" i="297"/>
  <c r="O40" i="297"/>
  <c r="N40" i="297"/>
  <c r="I40" i="297"/>
  <c r="H40" i="297"/>
  <c r="G40" i="297"/>
  <c r="F40" i="297"/>
  <c r="E40" i="297"/>
  <c r="D40" i="297"/>
  <c r="C40" i="297"/>
  <c r="B40" i="297"/>
  <c r="A40" i="297"/>
  <c r="AT39" i="297"/>
  <c r="AS39" i="297"/>
  <c r="AR39" i="297"/>
  <c r="AQ39" i="297"/>
  <c r="AO39" i="297"/>
  <c r="AN39" i="297"/>
  <c r="AM39" i="297"/>
  <c r="AL39" i="297"/>
  <c r="AK39" i="297"/>
  <c r="AJ39" i="297"/>
  <c r="AI39" i="297"/>
  <c r="AH39" i="297"/>
  <c r="X39" i="297"/>
  <c r="V39" i="297"/>
  <c r="U39" i="297"/>
  <c r="R39" i="297"/>
  <c r="R38" i="297" s="1"/>
  <c r="Q39" i="297"/>
  <c r="P39" i="297"/>
  <c r="S39" i="297" s="1"/>
  <c r="O39" i="297"/>
  <c r="O38" i="297" s="1"/>
  <c r="N39" i="297"/>
  <c r="I39" i="297"/>
  <c r="H39" i="297"/>
  <c r="G39" i="297"/>
  <c r="F39" i="297"/>
  <c r="E39" i="297"/>
  <c r="D39" i="297"/>
  <c r="C39" i="297"/>
  <c r="B39" i="297"/>
  <c r="A39" i="297"/>
  <c r="AT38" i="297"/>
  <c r="AS38" i="297"/>
  <c r="AR38" i="297"/>
  <c r="AQ38" i="297"/>
  <c r="Y38" i="297"/>
  <c r="W38" i="297"/>
  <c r="P38" i="297"/>
  <c r="M38" i="297"/>
  <c r="AT37" i="297"/>
  <c r="AR37" i="297"/>
  <c r="AQ37" i="297"/>
  <c r="AO37" i="297"/>
  <c r="AN37" i="297"/>
  <c r="AK37" i="297"/>
  <c r="AJ37" i="297"/>
  <c r="AI37" i="297"/>
  <c r="AH37" i="297"/>
  <c r="Y37" i="297"/>
  <c r="AS37" i="297" s="1"/>
  <c r="X37" i="297"/>
  <c r="W37" i="297"/>
  <c r="U37" i="297"/>
  <c r="AT36" i="297"/>
  <c r="AS36" i="297"/>
  <c r="AR36" i="297"/>
  <c r="AQ36" i="297"/>
  <c r="AO36" i="297"/>
  <c r="AN36" i="297"/>
  <c r="AK36" i="297"/>
  <c r="AJ36" i="297"/>
  <c r="AI36" i="297"/>
  <c r="AH36" i="297"/>
  <c r="X36" i="297"/>
  <c r="V36" i="297"/>
  <c r="U36" i="297"/>
  <c r="AT35" i="297"/>
  <c r="AS35" i="297"/>
  <c r="AR35" i="297"/>
  <c r="AQ35" i="297"/>
  <c r="AO35" i="297"/>
  <c r="AN35" i="297"/>
  <c r="AM35" i="297"/>
  <c r="AL35" i="297"/>
  <c r="AK35" i="297"/>
  <c r="AJ35" i="297"/>
  <c r="AI35" i="297"/>
  <c r="AH35" i="297"/>
  <c r="X35" i="297"/>
  <c r="V35" i="297"/>
  <c r="U35" i="297"/>
  <c r="R35" i="297"/>
  <c r="Q35" i="297"/>
  <c r="P35" i="297"/>
  <c r="O35" i="297"/>
  <c r="N35" i="297"/>
  <c r="I35" i="297"/>
  <c r="H35" i="297"/>
  <c r="G35" i="297"/>
  <c r="F35" i="297"/>
  <c r="E35" i="297"/>
  <c r="D35" i="297"/>
  <c r="C35" i="297"/>
  <c r="B35" i="297"/>
  <c r="A35" i="297"/>
  <c r="AT34" i="297"/>
  <c r="AS34" i="297"/>
  <c r="AR34" i="297"/>
  <c r="AQ34" i="297"/>
  <c r="AO34" i="297"/>
  <c r="AN34" i="297"/>
  <c r="AM34" i="297"/>
  <c r="AL34" i="297"/>
  <c r="AK34" i="297"/>
  <c r="AJ34" i="297"/>
  <c r="AI34" i="297"/>
  <c r="AH34" i="297"/>
  <c r="X34" i="297"/>
  <c r="V34" i="297"/>
  <c r="U34" i="297"/>
  <c r="R34" i="297"/>
  <c r="Q34" i="297"/>
  <c r="S34" i="297" s="1"/>
  <c r="P34" i="297"/>
  <c r="O34" i="297"/>
  <c r="N34" i="297"/>
  <c r="I34" i="297"/>
  <c r="H34" i="297"/>
  <c r="G34" i="297"/>
  <c r="F34" i="297"/>
  <c r="E34" i="297"/>
  <c r="D34" i="297"/>
  <c r="C34" i="297"/>
  <c r="B34" i="297"/>
  <c r="A34" i="297"/>
  <c r="AT33" i="297"/>
  <c r="AS33" i="297"/>
  <c r="AR33" i="297"/>
  <c r="AQ33" i="297"/>
  <c r="AO33" i="297"/>
  <c r="AN33" i="297"/>
  <c r="AK33" i="297"/>
  <c r="AJ33" i="297"/>
  <c r="AI33" i="297"/>
  <c r="AH33" i="297"/>
  <c r="X33" i="297"/>
  <c r="V33" i="297"/>
  <c r="R33" i="297"/>
  <c r="Q33" i="297"/>
  <c r="P33" i="297"/>
  <c r="O33" i="297"/>
  <c r="N33" i="297"/>
  <c r="AT32" i="297"/>
  <c r="AS32" i="297"/>
  <c r="AR32" i="297"/>
  <c r="AQ32" i="297"/>
  <c r="AO32" i="297"/>
  <c r="AN32" i="297"/>
  <c r="AM32" i="297"/>
  <c r="AL32" i="297"/>
  <c r="AK32" i="297"/>
  <c r="AJ32" i="297"/>
  <c r="AI32" i="297"/>
  <c r="AH32" i="297"/>
  <c r="X32" i="297"/>
  <c r="V32" i="297"/>
  <c r="U32" i="297"/>
  <c r="R32" i="297"/>
  <c r="Q32" i="297"/>
  <c r="P32" i="297"/>
  <c r="O32" i="297"/>
  <c r="N32" i="297"/>
  <c r="I32" i="297"/>
  <c r="H32" i="297"/>
  <c r="G32" i="297"/>
  <c r="F32" i="297"/>
  <c r="E32" i="297"/>
  <c r="D32" i="297"/>
  <c r="C32" i="297"/>
  <c r="B32" i="297"/>
  <c r="A32" i="297"/>
  <c r="AT31" i="297"/>
  <c r="AS31" i="297"/>
  <c r="AR31" i="297"/>
  <c r="AQ31" i="297"/>
  <c r="AO31" i="297"/>
  <c r="AN31" i="297"/>
  <c r="AM31" i="297"/>
  <c r="AL31" i="297"/>
  <c r="AK31" i="297"/>
  <c r="AJ31" i="297"/>
  <c r="AI31" i="297"/>
  <c r="AH31" i="297"/>
  <c r="X31" i="297"/>
  <c r="V31" i="297"/>
  <c r="U31" i="297"/>
  <c r="R31" i="297"/>
  <c r="Q31" i="297"/>
  <c r="P31" i="297"/>
  <c r="S31" i="297" s="1"/>
  <c r="O31" i="297"/>
  <c r="N31" i="297"/>
  <c r="I31" i="297"/>
  <c r="H31" i="297"/>
  <c r="G31" i="297"/>
  <c r="F31" i="297"/>
  <c r="E31" i="297"/>
  <c r="D31" i="297"/>
  <c r="C31" i="297"/>
  <c r="B31" i="297"/>
  <c r="A31" i="297"/>
  <c r="AT30" i="297"/>
  <c r="AS30" i="297"/>
  <c r="AR30" i="297"/>
  <c r="AQ30" i="297"/>
  <c r="AO30" i="297"/>
  <c r="AN30" i="297"/>
  <c r="AM30" i="297"/>
  <c r="AL30" i="297"/>
  <c r="AK30" i="297"/>
  <c r="AJ30" i="297"/>
  <c r="AI30" i="297"/>
  <c r="AH30" i="297"/>
  <c r="X30" i="297"/>
  <c r="V30" i="297"/>
  <c r="U30" i="297"/>
  <c r="R30" i="297"/>
  <c r="Q30" i="297"/>
  <c r="P30" i="297"/>
  <c r="O30" i="297"/>
  <c r="N30" i="297"/>
  <c r="I30" i="297"/>
  <c r="H30" i="297"/>
  <c r="G30" i="297"/>
  <c r="F30" i="297"/>
  <c r="E30" i="297"/>
  <c r="D30" i="297"/>
  <c r="C30" i="297"/>
  <c r="B30" i="297"/>
  <c r="A30" i="297"/>
  <c r="AT29" i="297"/>
  <c r="AS29" i="297"/>
  <c r="AR29" i="297"/>
  <c r="AQ29" i="297"/>
  <c r="AO29" i="297"/>
  <c r="AN29" i="297"/>
  <c r="AM29" i="297"/>
  <c r="AL29" i="297"/>
  <c r="AK29" i="297"/>
  <c r="AJ29" i="297"/>
  <c r="AI29" i="297"/>
  <c r="AH29" i="297"/>
  <c r="X29" i="297"/>
  <c r="V29" i="297"/>
  <c r="U29" i="297"/>
  <c r="R29" i="297"/>
  <c r="Q29" i="297"/>
  <c r="P29" i="297"/>
  <c r="S29" i="297" s="1"/>
  <c r="O29" i="297"/>
  <c r="N29" i="297"/>
  <c r="I29" i="297"/>
  <c r="H29" i="297"/>
  <c r="G29" i="297"/>
  <c r="F29" i="297"/>
  <c r="E29" i="297"/>
  <c r="D29" i="297"/>
  <c r="C29" i="297"/>
  <c r="B29" i="297"/>
  <c r="A29" i="297"/>
  <c r="AT28" i="297"/>
  <c r="AS28" i="297"/>
  <c r="AR28" i="297"/>
  <c r="AQ28" i="297"/>
  <c r="AO28" i="297"/>
  <c r="AN28" i="297"/>
  <c r="AM28" i="297"/>
  <c r="AL28" i="297"/>
  <c r="AK28" i="297"/>
  <c r="AJ28" i="297"/>
  <c r="AI28" i="297"/>
  <c r="AH28" i="297"/>
  <c r="X28" i="297"/>
  <c r="V28" i="297"/>
  <c r="U28" i="297"/>
  <c r="R28" i="297"/>
  <c r="Q28" i="297"/>
  <c r="P28" i="297"/>
  <c r="O28" i="297"/>
  <c r="N28" i="297"/>
  <c r="I28" i="297"/>
  <c r="H28" i="297"/>
  <c r="G28" i="297"/>
  <c r="F28" i="297"/>
  <c r="E28" i="297"/>
  <c r="D28" i="297"/>
  <c r="C28" i="297"/>
  <c r="B28" i="297"/>
  <c r="A28" i="297"/>
  <c r="AT27" i="297"/>
  <c r="AS27" i="297"/>
  <c r="AR27" i="297"/>
  <c r="AQ27" i="297"/>
  <c r="AO27" i="297"/>
  <c r="AN27" i="297"/>
  <c r="AM27" i="297"/>
  <c r="AL27" i="297"/>
  <c r="AK27" i="297"/>
  <c r="AJ27" i="297"/>
  <c r="AI27" i="297"/>
  <c r="AH27" i="297"/>
  <c r="X27" i="297"/>
  <c r="V27" i="297"/>
  <c r="R27" i="297"/>
  <c r="Q27" i="297"/>
  <c r="S27" i="297" s="1"/>
  <c r="P27" i="297"/>
  <c r="O27" i="297"/>
  <c r="N27" i="297"/>
  <c r="AT26" i="297"/>
  <c r="AS26" i="297"/>
  <c r="AR26" i="297"/>
  <c r="AQ26" i="297"/>
  <c r="AO26" i="297"/>
  <c r="AN26" i="297"/>
  <c r="AM26" i="297"/>
  <c r="AL26" i="297"/>
  <c r="AK26" i="297"/>
  <c r="AJ26" i="297"/>
  <c r="AI26" i="297"/>
  <c r="AH26" i="297"/>
  <c r="X26" i="297"/>
  <c r="W26" i="297"/>
  <c r="V26" i="297"/>
  <c r="V25" i="297" s="1"/>
  <c r="R26" i="297"/>
  <c r="Q26" i="297"/>
  <c r="Q25" i="297" s="1"/>
  <c r="P26" i="297"/>
  <c r="O26" i="297"/>
  <c r="O25" i="297" s="1"/>
  <c r="N26" i="297"/>
  <c r="AT25" i="297"/>
  <c r="AS25" i="297"/>
  <c r="AR25" i="297"/>
  <c r="AQ25" i="297"/>
  <c r="AI25" i="297"/>
  <c r="Y25" i="297"/>
  <c r="X25" i="297"/>
  <c r="W25" i="297"/>
  <c r="R25" i="297"/>
  <c r="P25" i="297"/>
  <c r="M25" i="297"/>
  <c r="AT24" i="297"/>
  <c r="AS24" i="297"/>
  <c r="AR24" i="297"/>
  <c r="AQ24" i="297"/>
  <c r="AO24" i="297"/>
  <c r="AN24" i="297"/>
  <c r="AM24" i="297"/>
  <c r="AL24" i="297"/>
  <c r="AK24" i="297"/>
  <c r="AJ24" i="297"/>
  <c r="X24" i="297"/>
  <c r="V24" i="297"/>
  <c r="U24" i="297"/>
  <c r="R24" i="297"/>
  <c r="Q24" i="297"/>
  <c r="P24" i="297"/>
  <c r="O24" i="297"/>
  <c r="N24" i="297"/>
  <c r="I24" i="297"/>
  <c r="H24" i="297"/>
  <c r="G24" i="297"/>
  <c r="F24" i="297"/>
  <c r="E24" i="297"/>
  <c r="D24" i="297"/>
  <c r="C24" i="297"/>
  <c r="B24" i="297"/>
  <c r="A24" i="297"/>
  <c r="AT23" i="297"/>
  <c r="AS23" i="297"/>
  <c r="AR23" i="297"/>
  <c r="AQ23" i="297"/>
  <c r="AO23" i="297"/>
  <c r="AN23" i="297"/>
  <c r="AM23" i="297"/>
  <c r="AL23" i="297"/>
  <c r="AK23" i="297"/>
  <c r="AJ23" i="297"/>
  <c r="AI23" i="297"/>
  <c r="AH23" i="297"/>
  <c r="X23" i="297"/>
  <c r="V23" i="297"/>
  <c r="U23" i="297"/>
  <c r="R23" i="297"/>
  <c r="Q23" i="297"/>
  <c r="P23" i="297"/>
  <c r="S23" i="297" s="1"/>
  <c r="O23" i="297"/>
  <c r="N23" i="297"/>
  <c r="I23" i="297"/>
  <c r="H23" i="297"/>
  <c r="G23" i="297"/>
  <c r="F23" i="297"/>
  <c r="E23" i="297"/>
  <c r="D23" i="297"/>
  <c r="C23" i="297"/>
  <c r="B23" i="297"/>
  <c r="A23" i="297"/>
  <c r="AT22" i="297"/>
  <c r="AS22" i="297"/>
  <c r="AR22" i="297"/>
  <c r="AQ22" i="297"/>
  <c r="AO22" i="297"/>
  <c r="AN22" i="297"/>
  <c r="AM22" i="297"/>
  <c r="AL22" i="297"/>
  <c r="AK22" i="297"/>
  <c r="AJ22" i="297"/>
  <c r="AI22" i="297"/>
  <c r="AH22" i="297"/>
  <c r="AH21" i="297" s="1"/>
  <c r="X22" i="297"/>
  <c r="X21" i="297" s="1"/>
  <c r="V22" i="297"/>
  <c r="U22" i="297"/>
  <c r="R22" i="297"/>
  <c r="Q22" i="297"/>
  <c r="Q21" i="297" s="1"/>
  <c r="P22" i="297"/>
  <c r="P21" i="297" s="1"/>
  <c r="O22" i="297"/>
  <c r="N22" i="297"/>
  <c r="I22" i="297"/>
  <c r="H22" i="297"/>
  <c r="G22" i="297"/>
  <c r="F22" i="297"/>
  <c r="E22" i="297"/>
  <c r="D22" i="297"/>
  <c r="C22" i="297"/>
  <c r="B22" i="297"/>
  <c r="A22" i="297"/>
  <c r="AT21" i="297"/>
  <c r="AS21" i="297"/>
  <c r="AR21" i="297"/>
  <c r="AQ21" i="297"/>
  <c r="AI21" i="297"/>
  <c r="Y21" i="297"/>
  <c r="W21" i="297"/>
  <c r="R21" i="297"/>
  <c r="M21" i="297"/>
  <c r="AT20" i="297"/>
  <c r="AS20" i="297"/>
  <c r="AR20" i="297"/>
  <c r="AQ20" i="297"/>
  <c r="AH20" i="297"/>
  <c r="AT19" i="297"/>
  <c r="AS19" i="297"/>
  <c r="AR19" i="297"/>
  <c r="AQ19" i="297"/>
  <c r="AO19" i="297"/>
  <c r="AN19" i="297"/>
  <c r="AM19" i="297"/>
  <c r="AL19" i="297"/>
  <c r="AK19" i="297"/>
  <c r="AJ19" i="297"/>
  <c r="AI19" i="297"/>
  <c r="AH19" i="297"/>
  <c r="X19" i="297"/>
  <c r="V19" i="297"/>
  <c r="U19" i="297"/>
  <c r="R19" i="297"/>
  <c r="Q19" i="297"/>
  <c r="P19" i="297"/>
  <c r="O19" i="297"/>
  <c r="N19" i="297"/>
  <c r="I19" i="297"/>
  <c r="H19" i="297"/>
  <c r="G19" i="297"/>
  <c r="F19" i="297"/>
  <c r="E19" i="297"/>
  <c r="D19" i="297"/>
  <c r="C19" i="297"/>
  <c r="B19" i="297"/>
  <c r="A19" i="297"/>
  <c r="AT18" i="297"/>
  <c r="AS18" i="297"/>
  <c r="AR18" i="297"/>
  <c r="AQ18" i="297"/>
  <c r="AO18" i="297"/>
  <c r="AN18" i="297"/>
  <c r="AM18" i="297"/>
  <c r="AL18" i="297"/>
  <c r="AK18" i="297"/>
  <c r="AJ18" i="297"/>
  <c r="AI18" i="297"/>
  <c r="AH18" i="297"/>
  <c r="X18" i="297"/>
  <c r="V18" i="297"/>
  <c r="U18" i="297"/>
  <c r="R18" i="297"/>
  <c r="Q18" i="297"/>
  <c r="P18" i="297"/>
  <c r="S18" i="297" s="1"/>
  <c r="O18" i="297"/>
  <c r="N18" i="297"/>
  <c r="I18" i="297"/>
  <c r="H18" i="297"/>
  <c r="G18" i="297"/>
  <c r="F18" i="297"/>
  <c r="E18" i="297"/>
  <c r="D18" i="297"/>
  <c r="C18" i="297"/>
  <c r="B18" i="297"/>
  <c r="A18" i="297"/>
  <c r="AT17" i="297"/>
  <c r="AS17" i="297"/>
  <c r="AR17" i="297"/>
  <c r="AQ17" i="297"/>
  <c r="AO17" i="297"/>
  <c r="AN17" i="297"/>
  <c r="AM17" i="297"/>
  <c r="AL17" i="297"/>
  <c r="AK17" i="297"/>
  <c r="AJ17" i="297"/>
  <c r="AI17" i="297"/>
  <c r="AH17" i="297"/>
  <c r="X17" i="297"/>
  <c r="V17" i="297"/>
  <c r="U17" i="297"/>
  <c r="R17" i="297"/>
  <c r="Q17" i="297"/>
  <c r="P17" i="297"/>
  <c r="O17" i="297"/>
  <c r="N17" i="297"/>
  <c r="I17" i="297"/>
  <c r="H17" i="297"/>
  <c r="G17" i="297"/>
  <c r="F17" i="297"/>
  <c r="E17" i="297"/>
  <c r="D17" i="297"/>
  <c r="C17" i="297"/>
  <c r="B17" i="297"/>
  <c r="A17" i="297"/>
  <c r="AT16" i="297"/>
  <c r="AS16" i="297"/>
  <c r="AR16" i="297"/>
  <c r="AQ16" i="297"/>
  <c r="AO16" i="297"/>
  <c r="AN16" i="297"/>
  <c r="AM16" i="297"/>
  <c r="AL16" i="297"/>
  <c r="AK16" i="297"/>
  <c r="AJ16" i="297"/>
  <c r="AI16" i="297"/>
  <c r="AH16" i="297"/>
  <c r="X16" i="297"/>
  <c r="V16" i="297"/>
  <c r="U16" i="297"/>
  <c r="R16" i="297"/>
  <c r="Q16" i="297"/>
  <c r="P16" i="297"/>
  <c r="O16" i="297"/>
  <c r="N16" i="297"/>
  <c r="I16" i="297"/>
  <c r="H16" i="297"/>
  <c r="G16" i="297"/>
  <c r="F16" i="297"/>
  <c r="E16" i="297"/>
  <c r="D16" i="297"/>
  <c r="C16" i="297"/>
  <c r="B16" i="297"/>
  <c r="A16" i="297"/>
  <c r="AT15" i="297"/>
  <c r="AS15" i="297"/>
  <c r="AR15" i="297"/>
  <c r="AQ15" i="297"/>
  <c r="AO15" i="297"/>
  <c r="AN15" i="297"/>
  <c r="AM15" i="297"/>
  <c r="AL15" i="297"/>
  <c r="AK15" i="297"/>
  <c r="AJ15" i="297"/>
  <c r="AI15" i="297"/>
  <c r="AH15" i="297"/>
  <c r="X15" i="297"/>
  <c r="V15" i="297"/>
  <c r="U15" i="297"/>
  <c r="R15" i="297"/>
  <c r="Q15" i="297"/>
  <c r="P15" i="297"/>
  <c r="O15" i="297"/>
  <c r="N15" i="297"/>
  <c r="I15" i="297"/>
  <c r="H15" i="297"/>
  <c r="G15" i="297"/>
  <c r="F15" i="297"/>
  <c r="E15" i="297"/>
  <c r="D15" i="297"/>
  <c r="C15" i="297"/>
  <c r="B15" i="297"/>
  <c r="A15" i="297"/>
  <c r="AT14" i="297"/>
  <c r="AS14" i="297"/>
  <c r="AR14" i="297"/>
  <c r="AQ14" i="297"/>
  <c r="AO14" i="297"/>
  <c r="AN14" i="297"/>
  <c r="AM14" i="297"/>
  <c r="AL14" i="297"/>
  <c r="AK14" i="297"/>
  <c r="AJ14" i="297"/>
  <c r="AI14" i="297"/>
  <c r="AH14" i="297"/>
  <c r="X14" i="297"/>
  <c r="V14" i="297"/>
  <c r="U14" i="297"/>
  <c r="R14" i="297"/>
  <c r="Q14" i="297"/>
  <c r="P14" i="297"/>
  <c r="O14" i="297"/>
  <c r="N14" i="297"/>
  <c r="I14" i="297"/>
  <c r="H14" i="297"/>
  <c r="G14" i="297"/>
  <c r="F14" i="297"/>
  <c r="E14" i="297"/>
  <c r="D14" i="297"/>
  <c r="C14" i="297"/>
  <c r="B14" i="297"/>
  <c r="A14" i="297"/>
  <c r="AT13" i="297"/>
  <c r="AS13" i="297"/>
  <c r="AR13" i="297"/>
  <c r="AQ13" i="297"/>
  <c r="AO13" i="297"/>
  <c r="AN13" i="297"/>
  <c r="AK13" i="297"/>
  <c r="AJ13" i="297"/>
  <c r="AI13" i="297"/>
  <c r="AH13" i="297"/>
  <c r="AT12" i="297"/>
  <c r="AS12" i="297"/>
  <c r="AR12" i="297"/>
  <c r="AQ12" i="297"/>
  <c r="AO12" i="297"/>
  <c r="AN12" i="297"/>
  <c r="AM12" i="297"/>
  <c r="AL12" i="297"/>
  <c r="AK12" i="297"/>
  <c r="AJ12" i="297"/>
  <c r="AI12" i="297"/>
  <c r="AH12" i="297"/>
  <c r="X12" i="297"/>
  <c r="X10" i="297" s="1"/>
  <c r="X9" i="297" s="1"/>
  <c r="X8" i="297" s="1"/>
  <c r="V12" i="297"/>
  <c r="U12" i="297"/>
  <c r="R12" i="297"/>
  <c r="Q12" i="297"/>
  <c r="Q10" i="297" s="1"/>
  <c r="Q9" i="297" s="1"/>
  <c r="Q8" i="297" s="1"/>
  <c r="Q49" i="297" s="1"/>
  <c r="P12" i="297"/>
  <c r="O12" i="297"/>
  <c r="O10" i="297" s="1"/>
  <c r="N12" i="297"/>
  <c r="I12" i="297"/>
  <c r="H12" i="297"/>
  <c r="G12" i="297"/>
  <c r="F12" i="297"/>
  <c r="E12" i="297"/>
  <c r="D12" i="297"/>
  <c r="C12" i="297"/>
  <c r="B12" i="297"/>
  <c r="A12" i="297"/>
  <c r="AT11" i="297"/>
  <c r="AS11" i="297"/>
  <c r="AR11" i="297"/>
  <c r="AQ11" i="297"/>
  <c r="AO11" i="297"/>
  <c r="AN11" i="297"/>
  <c r="AM11" i="297"/>
  <c r="AL11" i="297"/>
  <c r="AK11" i="297"/>
  <c r="AJ11" i="297"/>
  <c r="AI11" i="297"/>
  <c r="AH11" i="297"/>
  <c r="AH10" i="297" s="1"/>
  <c r="X11" i="297"/>
  <c r="V11" i="297"/>
  <c r="V10" i="297" s="1"/>
  <c r="U11" i="297"/>
  <c r="R11" i="297"/>
  <c r="Q11" i="297"/>
  <c r="P11" i="297"/>
  <c r="O11" i="297"/>
  <c r="N11" i="297"/>
  <c r="I11" i="297"/>
  <c r="H11" i="297"/>
  <c r="G11" i="297"/>
  <c r="F11" i="297"/>
  <c r="E11" i="297"/>
  <c r="D11" i="297"/>
  <c r="C11" i="297"/>
  <c r="B11" i="297"/>
  <c r="A11" i="297"/>
  <c r="AT10" i="297"/>
  <c r="AT49" i="297" s="1"/>
  <c r="AS10" i="297"/>
  <c r="AR10" i="297"/>
  <c r="AR49" i="297" s="1"/>
  <c r="AQ10" i="297"/>
  <c r="AJ10" i="297"/>
  <c r="Y10" i="297"/>
  <c r="Y9" i="297" s="1"/>
  <c r="Y8" i="297" s="1"/>
  <c r="Y49" i="297" s="1"/>
  <c r="W10" i="297"/>
  <c r="R10" i="297"/>
  <c r="P10" i="297"/>
  <c r="M10" i="297"/>
  <c r="W9" i="297"/>
  <c r="W8" i="297" s="1"/>
  <c r="W49" i="297" s="1"/>
  <c r="L9" i="297"/>
  <c r="K9" i="297"/>
  <c r="K8" i="297"/>
  <c r="J8" i="297"/>
  <c r="Y3" i="297"/>
  <c r="Y22" i="308"/>
  <c r="AG15" i="308"/>
  <c r="AA15" i="308"/>
  <c r="Z15" i="308"/>
  <c r="Y15" i="308"/>
  <c r="N15" i="308"/>
  <c r="Y14" i="308"/>
  <c r="Y13" i="308" s="1"/>
  <c r="M14" i="308"/>
  <c r="L14" i="308"/>
  <c r="L13" i="308"/>
  <c r="AG12" i="308"/>
  <c r="AA12" i="308"/>
  <c r="Z12" i="308"/>
  <c r="Y12" i="308"/>
  <c r="N12" i="308"/>
  <c r="AO11" i="308"/>
  <c r="AN11" i="308"/>
  <c r="AM11" i="308"/>
  <c r="AL11" i="308"/>
  <c r="AK11" i="308"/>
  <c r="AJ11" i="308"/>
  <c r="AJ10" i="308" s="1"/>
  <c r="AI11" i="308"/>
  <c r="AI10" i="308" s="1"/>
  <c r="AH11" i="308"/>
  <c r="AH10" i="308" s="1"/>
  <c r="AH9" i="308" s="1"/>
  <c r="AH8" i="308" s="1"/>
  <c r="AG11" i="308"/>
  <c r="AA11" i="308"/>
  <c r="Z11" i="308"/>
  <c r="AT11" i="308" s="1"/>
  <c r="Y11" i="308"/>
  <c r="Y24" i="308" s="1"/>
  <c r="X11" i="308"/>
  <c r="X10" i="308" s="1"/>
  <c r="X9" i="308" s="1"/>
  <c r="X8" i="308" s="1"/>
  <c r="V11" i="308"/>
  <c r="V10" i="308" s="1"/>
  <c r="V9" i="308" s="1"/>
  <c r="V8" i="308" s="1"/>
  <c r="V16" i="308" s="1"/>
  <c r="U11" i="308"/>
  <c r="R11" i="308"/>
  <c r="R10" i="308" s="1"/>
  <c r="R9" i="308" s="1"/>
  <c r="R8" i="308" s="1"/>
  <c r="R16" i="308" s="1"/>
  <c r="Q11" i="308"/>
  <c r="S11" i="308" s="1"/>
  <c r="P11" i="308"/>
  <c r="O11" i="308"/>
  <c r="N11" i="308"/>
  <c r="I11" i="308"/>
  <c r="H11" i="308"/>
  <c r="G11" i="308"/>
  <c r="F11" i="308"/>
  <c r="E11" i="308"/>
  <c r="D11" i="308"/>
  <c r="C11" i="308"/>
  <c r="B11" i="308"/>
  <c r="A11" i="308"/>
  <c r="AT10" i="308"/>
  <c r="AS10" i="308"/>
  <c r="AR10" i="308"/>
  <c r="AQ10" i="308"/>
  <c r="Y10" i="308"/>
  <c r="W10" i="308"/>
  <c r="W9" i="308" s="1"/>
  <c r="W8" i="308" s="1"/>
  <c r="W16" i="308" s="1"/>
  <c r="Q10" i="308"/>
  <c r="P10" i="308"/>
  <c r="O10" i="308"/>
  <c r="O9" i="308" s="1"/>
  <c r="O8" i="308" s="1"/>
  <c r="O16" i="308" s="1"/>
  <c r="M10" i="308"/>
  <c r="L10" i="308"/>
  <c r="P9" i="308"/>
  <c r="L9" i="308"/>
  <c r="P8" i="308"/>
  <c r="P16" i="308" s="1"/>
  <c r="K8" i="308"/>
  <c r="J8" i="308"/>
  <c r="Y3" i="308"/>
  <c r="Y31" i="306"/>
  <c r="AA24" i="306"/>
  <c r="Z24" i="306"/>
  <c r="Y24" i="306"/>
  <c r="AB23" i="306"/>
  <c r="AA23" i="306"/>
  <c r="Z23" i="306"/>
  <c r="Y23" i="306"/>
  <c r="AA22" i="306"/>
  <c r="Z22" i="306"/>
  <c r="Y22" i="306"/>
  <c r="Y21" i="306" s="1"/>
  <c r="Y20" i="306" s="1"/>
  <c r="N22" i="306"/>
  <c r="M21" i="306"/>
  <c r="L21" i="306"/>
  <c r="L20" i="306"/>
  <c r="AA19" i="306"/>
  <c r="Z19" i="306"/>
  <c r="Y19" i="306"/>
  <c r="AA18" i="306"/>
  <c r="Z18" i="306"/>
  <c r="Y18" i="306"/>
  <c r="AO17" i="306"/>
  <c r="AN17" i="306"/>
  <c r="AM17" i="306"/>
  <c r="AL17" i="306"/>
  <c r="AK17" i="306"/>
  <c r="AJ17" i="306"/>
  <c r="AI17" i="306"/>
  <c r="AH17" i="306"/>
  <c r="AG17" i="306"/>
  <c r="AA17" i="306"/>
  <c r="Z17" i="306"/>
  <c r="AS17" i="306" s="1"/>
  <c r="Y17" i="306"/>
  <c r="X17" i="306"/>
  <c r="V17" i="306"/>
  <c r="U17" i="306"/>
  <c r="R17" i="306"/>
  <c r="Q17" i="306"/>
  <c r="P17" i="306"/>
  <c r="S17" i="306" s="1"/>
  <c r="O17" i="306"/>
  <c r="N17" i="306"/>
  <c r="I17" i="306"/>
  <c r="H17" i="306"/>
  <c r="G17" i="306"/>
  <c r="F17" i="306"/>
  <c r="E17" i="306"/>
  <c r="D17" i="306"/>
  <c r="C17" i="306"/>
  <c r="B17" i="306"/>
  <c r="A17" i="306"/>
  <c r="Y16" i="306"/>
  <c r="M16" i="306"/>
  <c r="AO15" i="306"/>
  <c r="AN15" i="306"/>
  <c r="AM15" i="306"/>
  <c r="AL15" i="306"/>
  <c r="AK15" i="306"/>
  <c r="AJ15" i="306"/>
  <c r="AI15" i="306"/>
  <c r="AH15" i="306"/>
  <c r="AA15" i="306"/>
  <c r="Z15" i="306"/>
  <c r="Y15" i="306"/>
  <c r="X15" i="306"/>
  <c r="V15" i="306"/>
  <c r="V10" i="306" s="1"/>
  <c r="V9" i="306" s="1"/>
  <c r="V8" i="306" s="1"/>
  <c r="V25" i="306" s="1"/>
  <c r="U15" i="306"/>
  <c r="R15" i="306"/>
  <c r="Q15" i="306"/>
  <c r="P15" i="306"/>
  <c r="O15" i="306"/>
  <c r="N15" i="306"/>
  <c r="I15" i="306"/>
  <c r="H15" i="306"/>
  <c r="G15" i="306"/>
  <c r="F15" i="306"/>
  <c r="E15" i="306"/>
  <c r="D15" i="306"/>
  <c r="C15" i="306"/>
  <c r="B15" i="306"/>
  <c r="A15" i="306"/>
  <c r="Y14" i="306"/>
  <c r="M14" i="306"/>
  <c r="AO13" i="306"/>
  <c r="AN13" i="306"/>
  <c r="AM13" i="306"/>
  <c r="AL13" i="306"/>
  <c r="AK13" i="306"/>
  <c r="AJ13" i="306"/>
  <c r="AI13" i="306"/>
  <c r="AH13" i="306"/>
  <c r="AG13" i="306"/>
  <c r="AA13" i="306"/>
  <c r="Z13" i="306"/>
  <c r="AT13" i="306" s="1"/>
  <c r="Y13" i="306"/>
  <c r="Y12" i="306" s="1"/>
  <c r="X13" i="306"/>
  <c r="V13" i="306"/>
  <c r="U13" i="306"/>
  <c r="R13" i="306"/>
  <c r="Q13" i="306"/>
  <c r="P13" i="306"/>
  <c r="O13" i="306"/>
  <c r="N13" i="306"/>
  <c r="I13" i="306"/>
  <c r="H13" i="306"/>
  <c r="G13" i="306"/>
  <c r="F13" i="306"/>
  <c r="E13" i="306"/>
  <c r="D13" i="306"/>
  <c r="C13" i="306"/>
  <c r="B13" i="306"/>
  <c r="A13" i="306"/>
  <c r="M12" i="306"/>
  <c r="AO11" i="306"/>
  <c r="AN11" i="306"/>
  <c r="AM11" i="306"/>
  <c r="AL11" i="306"/>
  <c r="AK11" i="306"/>
  <c r="AJ11" i="306"/>
  <c r="AJ10" i="306" s="1"/>
  <c r="AI11" i="306"/>
  <c r="AH11" i="306"/>
  <c r="AH10" i="306" s="1"/>
  <c r="AH9" i="306" s="1"/>
  <c r="AH8" i="306" s="1"/>
  <c r="AH25" i="306" s="1"/>
  <c r="AA11" i="306"/>
  <c r="Z11" i="306"/>
  <c r="AT11" i="306" s="1"/>
  <c r="Y11" i="306"/>
  <c r="Y33" i="306" s="1"/>
  <c r="X11" i="306"/>
  <c r="X10" i="306" s="1"/>
  <c r="X9" i="306" s="1"/>
  <c r="X8" i="306" s="1"/>
  <c r="V11" i="306"/>
  <c r="U11" i="306"/>
  <c r="R11" i="306"/>
  <c r="Q11" i="306"/>
  <c r="S11" i="306" s="1"/>
  <c r="P11" i="306"/>
  <c r="O11" i="306"/>
  <c r="O10" i="306" s="1"/>
  <c r="O9" i="306" s="1"/>
  <c r="O8" i="306" s="1"/>
  <c r="O25" i="306" s="1"/>
  <c r="N11" i="306"/>
  <c r="I11" i="306"/>
  <c r="H11" i="306"/>
  <c r="G11" i="306"/>
  <c r="F11" i="306"/>
  <c r="E11" i="306"/>
  <c r="D11" i="306"/>
  <c r="C11" i="306"/>
  <c r="B11" i="306"/>
  <c r="A11" i="306"/>
  <c r="AT10" i="306"/>
  <c r="AS10" i="306"/>
  <c r="AR10" i="306"/>
  <c r="AQ10" i="306"/>
  <c r="AI10" i="306"/>
  <c r="Y10" i="306"/>
  <c r="Y9" i="306" s="1"/>
  <c r="W10" i="306"/>
  <c r="W9" i="306" s="1"/>
  <c r="W8" i="306" s="1"/>
  <c r="W25" i="306" s="1"/>
  <c r="R10" i="306"/>
  <c r="R9" i="306" s="1"/>
  <c r="R8" i="306" s="1"/>
  <c r="R25" i="306" s="1"/>
  <c r="P10" i="306"/>
  <c r="M10" i="306"/>
  <c r="L10" i="306"/>
  <c r="L9" i="306"/>
  <c r="K9" i="306"/>
  <c r="K8" i="306"/>
  <c r="J8" i="306"/>
  <c r="Y3" i="306"/>
  <c r="Y31" i="305"/>
  <c r="AA24" i="305"/>
  <c r="Z24" i="305"/>
  <c r="Y24" i="305"/>
  <c r="AB23" i="305"/>
  <c r="AA23" i="305"/>
  <c r="Z23" i="305"/>
  <c r="Y23" i="305"/>
  <c r="AA22" i="305"/>
  <c r="Z22" i="305"/>
  <c r="Y22" i="305"/>
  <c r="N22" i="305"/>
  <c r="Y21" i="305"/>
  <c r="Y20" i="305" s="1"/>
  <c r="M21" i="305"/>
  <c r="L21" i="305"/>
  <c r="L20" i="305"/>
  <c r="AA19" i="305"/>
  <c r="Z19" i="305"/>
  <c r="Y19" i="305"/>
  <c r="AA18" i="305"/>
  <c r="Z18" i="305"/>
  <c r="Y18" i="305"/>
  <c r="AO17" i="305"/>
  <c r="AN17" i="305"/>
  <c r="AM17" i="305"/>
  <c r="AL17" i="305"/>
  <c r="AK17" i="305"/>
  <c r="AJ17" i="305"/>
  <c r="AI17" i="305"/>
  <c r="AH17" i="305"/>
  <c r="AG17" i="305"/>
  <c r="AA17" i="305"/>
  <c r="Z17" i="305"/>
  <c r="AT17" i="305" s="1"/>
  <c r="Y17" i="305"/>
  <c r="X17" i="305"/>
  <c r="V17" i="305"/>
  <c r="U17" i="305"/>
  <c r="R17" i="305"/>
  <c r="Q17" i="305"/>
  <c r="P17" i="305"/>
  <c r="S17" i="305" s="1"/>
  <c r="O17" i="305"/>
  <c r="N17" i="305"/>
  <c r="I17" i="305"/>
  <c r="H17" i="305"/>
  <c r="G17" i="305"/>
  <c r="F17" i="305"/>
  <c r="E17" i="305"/>
  <c r="D17" i="305"/>
  <c r="C17" i="305"/>
  <c r="B17" i="305"/>
  <c r="A17" i="305"/>
  <c r="Y16" i="305"/>
  <c r="M16" i="305"/>
  <c r="AO15" i="305"/>
  <c r="AN15" i="305"/>
  <c r="AM15" i="305"/>
  <c r="AL15" i="305"/>
  <c r="AK15" i="305"/>
  <c r="AJ15" i="305"/>
  <c r="AI15" i="305"/>
  <c r="AH15" i="305"/>
  <c r="AA15" i="305"/>
  <c r="Z15" i="305"/>
  <c r="AT15" i="305" s="1"/>
  <c r="Y15" i="305"/>
  <c r="X15" i="305"/>
  <c r="V15" i="305"/>
  <c r="U15" i="305"/>
  <c r="R15" i="305"/>
  <c r="Q15" i="305"/>
  <c r="P15" i="305"/>
  <c r="O15" i="305"/>
  <c r="N15" i="305"/>
  <c r="I15" i="305"/>
  <c r="H15" i="305"/>
  <c r="G15" i="305"/>
  <c r="F15" i="305"/>
  <c r="E15" i="305"/>
  <c r="D15" i="305"/>
  <c r="C15" i="305"/>
  <c r="B15" i="305"/>
  <c r="A15" i="305"/>
  <c r="Y14" i="305"/>
  <c r="M14" i="305"/>
  <c r="AO13" i="305"/>
  <c r="AN13" i="305"/>
  <c r="AM13" i="305"/>
  <c r="AL13" i="305"/>
  <c r="AK13" i="305"/>
  <c r="AJ13" i="305"/>
  <c r="AI13" i="305"/>
  <c r="AH13" i="305"/>
  <c r="AG13" i="305"/>
  <c r="AA13" i="305"/>
  <c r="Z13" i="305"/>
  <c r="AS13" i="305" s="1"/>
  <c r="Y13" i="305"/>
  <c r="X13" i="305"/>
  <c r="V13" i="305"/>
  <c r="U13" i="305"/>
  <c r="R13" i="305"/>
  <c r="Q13" i="305"/>
  <c r="P13" i="305"/>
  <c r="O13" i="305"/>
  <c r="N13" i="305"/>
  <c r="I13" i="305"/>
  <c r="H13" i="305"/>
  <c r="G13" i="305"/>
  <c r="F13" i="305"/>
  <c r="E13" i="305"/>
  <c r="D13" i="305"/>
  <c r="C13" i="305"/>
  <c r="B13" i="305"/>
  <c r="A13" i="305"/>
  <c r="Y12" i="305"/>
  <c r="M12" i="305"/>
  <c r="AO11" i="305"/>
  <c r="AN11" i="305"/>
  <c r="AM11" i="305"/>
  <c r="AL11" i="305"/>
  <c r="AK11" i="305"/>
  <c r="AJ11" i="305"/>
  <c r="AJ10" i="305" s="1"/>
  <c r="AI11" i="305"/>
  <c r="AH11" i="305"/>
  <c r="AH10" i="305" s="1"/>
  <c r="AH9" i="305" s="1"/>
  <c r="AH8" i="305" s="1"/>
  <c r="AH25" i="305" s="1"/>
  <c r="AA11" i="305"/>
  <c r="Z11" i="305"/>
  <c r="AS11" i="305" s="1"/>
  <c r="Y11" i="305"/>
  <c r="Y33" i="305" s="1"/>
  <c r="X11" i="305"/>
  <c r="X10" i="305" s="1"/>
  <c r="X9" i="305" s="1"/>
  <c r="X8" i="305" s="1"/>
  <c r="V11" i="305"/>
  <c r="U11" i="305"/>
  <c r="R11" i="305"/>
  <c r="Q11" i="305"/>
  <c r="Q10" i="305" s="1"/>
  <c r="Q9" i="305" s="1"/>
  <c r="Q8" i="305" s="1"/>
  <c r="Q25" i="305" s="1"/>
  <c r="P11" i="305"/>
  <c r="O11" i="305"/>
  <c r="O10" i="305" s="1"/>
  <c r="O9" i="305" s="1"/>
  <c r="O8" i="305" s="1"/>
  <c r="O25" i="305" s="1"/>
  <c r="N11" i="305"/>
  <c r="I11" i="305"/>
  <c r="H11" i="305"/>
  <c r="G11" i="305"/>
  <c r="F11" i="305"/>
  <c r="E11" i="305"/>
  <c r="D11" i="305"/>
  <c r="C11" i="305"/>
  <c r="B11" i="305"/>
  <c r="A11" i="305"/>
  <c r="AT10" i="305"/>
  <c r="AS10" i="305"/>
  <c r="AR10" i="305"/>
  <c r="AQ10" i="305"/>
  <c r="AI10" i="305"/>
  <c r="Y10" i="305"/>
  <c r="Y9" i="305" s="1"/>
  <c r="W10" i="305"/>
  <c r="W9" i="305" s="1"/>
  <c r="W8" i="305" s="1"/>
  <c r="W25" i="305" s="1"/>
  <c r="V10" i="305"/>
  <c r="R10" i="305"/>
  <c r="R9" i="305" s="1"/>
  <c r="R8" i="305" s="1"/>
  <c r="R25" i="305" s="1"/>
  <c r="P10" i="305"/>
  <c r="M10" i="305"/>
  <c r="L10" i="305"/>
  <c r="V9" i="305"/>
  <c r="V8" i="305" s="1"/>
  <c r="V25" i="305" s="1"/>
  <c r="L9" i="305"/>
  <c r="K9" i="305"/>
  <c r="K8" i="305"/>
  <c r="J8" i="305"/>
  <c r="Y3" i="305"/>
  <c r="Y40" i="304"/>
  <c r="AA33" i="304"/>
  <c r="Z33" i="304"/>
  <c r="Y33" i="304"/>
  <c r="N33" i="304"/>
  <c r="AA32" i="304"/>
  <c r="Z32" i="304"/>
  <c r="Y32" i="304"/>
  <c r="N32" i="304"/>
  <c r="AA31" i="304"/>
  <c r="Z31" i="304"/>
  <c r="Y31" i="304"/>
  <c r="N31" i="304"/>
  <c r="AA30" i="304"/>
  <c r="Z30" i="304"/>
  <c r="Y30" i="304"/>
  <c r="N30" i="304"/>
  <c r="AA29" i="304"/>
  <c r="Z29" i="304"/>
  <c r="Y29" i="304"/>
  <c r="N29" i="304"/>
  <c r="AA28" i="304"/>
  <c r="Z28" i="304"/>
  <c r="Y28" i="304"/>
  <c r="N28" i="304"/>
  <c r="AB27" i="304"/>
  <c r="AA27" i="304"/>
  <c r="Z27" i="304"/>
  <c r="Y27" i="304"/>
  <c r="N27" i="304"/>
  <c r="AA26" i="304"/>
  <c r="Z26" i="304"/>
  <c r="Y26" i="304"/>
  <c r="Y24" i="304" s="1"/>
  <c r="Y23" i="304" s="1"/>
  <c r="AA25" i="304"/>
  <c r="Z25" i="304"/>
  <c r="Y25" i="304"/>
  <c r="N25" i="304"/>
  <c r="M24" i="304"/>
  <c r="L24" i="304"/>
  <c r="L23" i="304"/>
  <c r="AA22" i="304"/>
  <c r="Z22" i="304"/>
  <c r="Y22" i="304"/>
  <c r="N22" i="304"/>
  <c r="AA21" i="304"/>
  <c r="Z21" i="304"/>
  <c r="Y21" i="304"/>
  <c r="N21" i="304"/>
  <c r="AA20" i="304"/>
  <c r="Z20" i="304"/>
  <c r="Y20" i="304"/>
  <c r="N20" i="304"/>
  <c r="AA19" i="304"/>
  <c r="Z19" i="304"/>
  <c r="Y19" i="304"/>
  <c r="N19" i="304"/>
  <c r="AA18" i="304"/>
  <c r="Z18" i="304"/>
  <c r="Y18" i="304"/>
  <c r="AA17" i="304"/>
  <c r="Z17" i="304"/>
  <c r="Y17" i="304"/>
  <c r="N17" i="304"/>
  <c r="AA16" i="304"/>
  <c r="Z16" i="304"/>
  <c r="Y16" i="304"/>
  <c r="N16" i="304"/>
  <c r="AA15" i="304"/>
  <c r="Z15" i="304"/>
  <c r="Y15" i="304"/>
  <c r="N15" i="304"/>
  <c r="AA14" i="304"/>
  <c r="Z14" i="304"/>
  <c r="Y14" i="304"/>
  <c r="AA13" i="304"/>
  <c r="Z13" i="304"/>
  <c r="Y13" i="304"/>
  <c r="N13" i="304"/>
  <c r="AA12" i="304"/>
  <c r="Z12" i="304"/>
  <c r="Y12" i="304"/>
  <c r="N12" i="304"/>
  <c r="AO11" i="304"/>
  <c r="AN11" i="304"/>
  <c r="AM11" i="304"/>
  <c r="AL11" i="304"/>
  <c r="AK11" i="304"/>
  <c r="AJ11" i="304"/>
  <c r="AI11" i="304"/>
  <c r="AH11" i="304"/>
  <c r="AA11" i="304"/>
  <c r="Z11" i="304"/>
  <c r="AT11" i="304" s="1"/>
  <c r="Y11" i="304"/>
  <c r="Y42" i="304" s="1"/>
  <c r="X11" i="304"/>
  <c r="V11" i="304"/>
  <c r="U11" i="304"/>
  <c r="R11" i="304"/>
  <c r="Q11" i="304"/>
  <c r="P11" i="304"/>
  <c r="O11" i="304"/>
  <c r="N11" i="304"/>
  <c r="I11" i="304"/>
  <c r="H11" i="304"/>
  <c r="G11" i="304"/>
  <c r="F11" i="304"/>
  <c r="E11" i="304"/>
  <c r="D11" i="304"/>
  <c r="C11" i="304"/>
  <c r="B11" i="304"/>
  <c r="A11" i="304"/>
  <c r="AT10" i="304"/>
  <c r="AT34" i="304" s="1"/>
  <c r="AS10" i="304"/>
  <c r="AR10" i="304"/>
  <c r="AQ10" i="304"/>
  <c r="AJ10" i="304"/>
  <c r="AI10" i="304"/>
  <c r="AH10" i="304"/>
  <c r="Y10" i="304"/>
  <c r="X10" i="304"/>
  <c r="W10" i="304"/>
  <c r="V10" i="304"/>
  <c r="R10" i="304"/>
  <c r="Q10" i="304"/>
  <c r="P10" i="304"/>
  <c r="O10" i="304"/>
  <c r="M10" i="304"/>
  <c r="L10" i="304"/>
  <c r="AH9" i="304"/>
  <c r="X9" i="304"/>
  <c r="W9" i="304"/>
  <c r="W8" i="304" s="1"/>
  <c r="W34" i="304" s="1"/>
  <c r="V9" i="304"/>
  <c r="R9" i="304"/>
  <c r="Q9" i="304"/>
  <c r="P9" i="304"/>
  <c r="P8" i="304" s="1"/>
  <c r="AJ8" i="304" s="1"/>
  <c r="O9" i="304"/>
  <c r="L9" i="304"/>
  <c r="AH8" i="304"/>
  <c r="AH34" i="304" s="1"/>
  <c r="X8" i="304"/>
  <c r="V8" i="304"/>
  <c r="V34" i="304" s="1"/>
  <c r="R8" i="304"/>
  <c r="R34" i="304" s="1"/>
  <c r="Q8" i="304"/>
  <c r="Q34" i="304" s="1"/>
  <c r="O8" i="304"/>
  <c r="O34" i="304" s="1"/>
  <c r="K8" i="304"/>
  <c r="J8" i="304"/>
  <c r="Y3" i="304"/>
  <c r="Y27" i="301"/>
  <c r="Y25" i="301"/>
  <c r="AT18" i="301"/>
  <c r="AS18" i="301"/>
  <c r="AR18" i="301"/>
  <c r="AQ18" i="301"/>
  <c r="AO18" i="301"/>
  <c r="AN18" i="301"/>
  <c r="AM18" i="301"/>
  <c r="AL18" i="301"/>
  <c r="AK18" i="301"/>
  <c r="AJ18" i="301"/>
  <c r="AI18" i="301"/>
  <c r="AH18" i="301"/>
  <c r="X18" i="301"/>
  <c r="W18" i="301"/>
  <c r="R18" i="301"/>
  <c r="Q18" i="301"/>
  <c r="P18" i="301"/>
  <c r="O18" i="301"/>
  <c r="N18" i="301"/>
  <c r="AT17" i="301"/>
  <c r="AS17" i="301"/>
  <c r="AR17" i="301"/>
  <c r="AQ17" i="301"/>
  <c r="AO17" i="301"/>
  <c r="AN17" i="301"/>
  <c r="AM17" i="301"/>
  <c r="AL17" i="301"/>
  <c r="AK17" i="301"/>
  <c r="AJ17" i="301"/>
  <c r="AI17" i="301"/>
  <c r="AH17" i="301"/>
  <c r="X17" i="301"/>
  <c r="W17" i="301"/>
  <c r="R17" i="301"/>
  <c r="Q17" i="301"/>
  <c r="S17" i="301" s="1"/>
  <c r="P17" i="301"/>
  <c r="O17" i="301"/>
  <c r="N17" i="301"/>
  <c r="AT16" i="301"/>
  <c r="AS16" i="301"/>
  <c r="AR16" i="301"/>
  <c r="AQ16" i="301"/>
  <c r="AO16" i="301"/>
  <c r="AN16" i="301"/>
  <c r="AM16" i="301"/>
  <c r="AL16" i="301"/>
  <c r="AK16" i="301"/>
  <c r="AJ16" i="301"/>
  <c r="AI16" i="301"/>
  <c r="AH16" i="301"/>
  <c r="X16" i="301"/>
  <c r="W16" i="301"/>
  <c r="R16" i="301"/>
  <c r="Q16" i="301"/>
  <c r="P16" i="301"/>
  <c r="O16" i="301"/>
  <c r="N16" i="301"/>
  <c r="AT15" i="301"/>
  <c r="AS15" i="301"/>
  <c r="AR15" i="301"/>
  <c r="AQ15" i="301"/>
  <c r="AO15" i="301"/>
  <c r="AN15" i="301"/>
  <c r="AM15" i="301"/>
  <c r="AL15" i="301"/>
  <c r="AK15" i="301"/>
  <c r="AI15" i="301"/>
  <c r="AH15" i="301"/>
  <c r="X15" i="301"/>
  <c r="W15" i="301"/>
  <c r="R15" i="301"/>
  <c r="Q15" i="301"/>
  <c r="P15" i="301"/>
  <c r="O15" i="301"/>
  <c r="N15" i="301"/>
  <c r="AT14" i="301"/>
  <c r="AS14" i="301"/>
  <c r="AR14" i="301"/>
  <c r="AQ14" i="301"/>
  <c r="AO14" i="301"/>
  <c r="AN14" i="301"/>
  <c r="AM14" i="301"/>
  <c r="AL14" i="301"/>
  <c r="AK14" i="301"/>
  <c r="AJ14" i="301"/>
  <c r="AI14" i="301"/>
  <c r="AH14" i="301"/>
  <c r="X14" i="301"/>
  <c r="V14" i="301"/>
  <c r="U14" i="301"/>
  <c r="R14" i="301"/>
  <c r="Q14" i="301"/>
  <c r="P14" i="301"/>
  <c r="S14" i="301" s="1"/>
  <c r="O14" i="301"/>
  <c r="N14" i="301"/>
  <c r="I14" i="301"/>
  <c r="H14" i="301"/>
  <c r="G14" i="301"/>
  <c r="F14" i="301"/>
  <c r="E14" i="301"/>
  <c r="D14" i="301"/>
  <c r="C14" i="301"/>
  <c r="B14" i="301"/>
  <c r="A14" i="301"/>
  <c r="AT13" i="301"/>
  <c r="AS13" i="301"/>
  <c r="AR13" i="301"/>
  <c r="AQ13" i="301"/>
  <c r="AO13" i="301"/>
  <c r="AN13" i="301"/>
  <c r="AM13" i="301"/>
  <c r="AL13" i="301"/>
  <c r="AK13" i="301"/>
  <c r="AJ13" i="301"/>
  <c r="AI13" i="301"/>
  <c r="AH13" i="301"/>
  <c r="X13" i="301"/>
  <c r="V13" i="301"/>
  <c r="U13" i="301"/>
  <c r="R13" i="301"/>
  <c r="Q13" i="301"/>
  <c r="P13" i="301"/>
  <c r="O13" i="301"/>
  <c r="I13" i="301"/>
  <c r="H13" i="301"/>
  <c r="G13" i="301"/>
  <c r="F13" i="301"/>
  <c r="E13" i="301"/>
  <c r="D13" i="301"/>
  <c r="C13" i="301"/>
  <c r="B13" i="301"/>
  <c r="A13" i="301"/>
  <c r="AT12" i="301"/>
  <c r="AS12" i="301"/>
  <c r="AR12" i="301"/>
  <c r="AQ12" i="301"/>
  <c r="AO12" i="301"/>
  <c r="AN12" i="301"/>
  <c r="AK12" i="301"/>
  <c r="AJ12" i="301"/>
  <c r="AI12" i="301"/>
  <c r="AH12" i="301"/>
  <c r="X12" i="301"/>
  <c r="W12" i="301"/>
  <c r="R12" i="301"/>
  <c r="Q12" i="301"/>
  <c r="P12" i="301"/>
  <c r="S12" i="301" s="1"/>
  <c r="O12" i="301"/>
  <c r="N12" i="301"/>
  <c r="AT11" i="301"/>
  <c r="AS11" i="301"/>
  <c r="AR11" i="301"/>
  <c r="AQ11" i="301"/>
  <c r="AO11" i="301"/>
  <c r="AN11" i="301"/>
  <c r="AM11" i="301"/>
  <c r="AL11" i="301"/>
  <c r="AK11" i="301"/>
  <c r="AJ11" i="301"/>
  <c r="AI11" i="301"/>
  <c r="AH11" i="301"/>
  <c r="X11" i="301"/>
  <c r="W11" i="301"/>
  <c r="U11" i="301"/>
  <c r="R11" i="301"/>
  <c r="Q11" i="301"/>
  <c r="P11" i="301"/>
  <c r="O11" i="301"/>
  <c r="N11" i="301"/>
  <c r="I11" i="301"/>
  <c r="H11" i="301"/>
  <c r="G11" i="301"/>
  <c r="F11" i="301"/>
  <c r="E11" i="301"/>
  <c r="D11" i="301"/>
  <c r="C11" i="301"/>
  <c r="B11" i="301"/>
  <c r="A11" i="301"/>
  <c r="AT10" i="301"/>
  <c r="AS10" i="301"/>
  <c r="AR10" i="301"/>
  <c r="AQ10" i="301"/>
  <c r="AH10" i="301"/>
  <c r="Y10" i="301"/>
  <c r="W10" i="301"/>
  <c r="V10" i="301"/>
  <c r="R10" i="301"/>
  <c r="Q10" i="301"/>
  <c r="P10" i="301"/>
  <c r="AJ15" i="301" s="1"/>
  <c r="O10" i="301"/>
  <c r="M10" i="301"/>
  <c r="L10" i="301"/>
  <c r="AT9" i="301"/>
  <c r="AT19" i="301" s="1"/>
  <c r="AS9" i="301"/>
  <c r="AS19" i="301" s="1"/>
  <c r="AR9" i="301"/>
  <c r="AR19" i="301" s="1"/>
  <c r="AQ9" i="301"/>
  <c r="AQ19" i="301" s="1"/>
  <c r="AH9" i="301"/>
  <c r="Y9" i="301"/>
  <c r="W9" i="301"/>
  <c r="W8" i="301" s="1"/>
  <c r="W19" i="301" s="1"/>
  <c r="V9" i="301"/>
  <c r="R9" i="301"/>
  <c r="Q9" i="301"/>
  <c r="Q8" i="301" s="1"/>
  <c r="Q19" i="301" s="1"/>
  <c r="P9" i="301"/>
  <c r="P8" i="301" s="1"/>
  <c r="AJ8" i="301" s="1"/>
  <c r="O9" i="301"/>
  <c r="O8" i="301" s="1"/>
  <c r="O19" i="301" s="1"/>
  <c r="L9" i="301"/>
  <c r="K9" i="301"/>
  <c r="AH8" i="301"/>
  <c r="AH19" i="301" s="1"/>
  <c r="Y8" i="301"/>
  <c r="Y19" i="301" s="1"/>
  <c r="X8" i="301"/>
  <c r="V8" i="301"/>
  <c r="V19" i="301" s="1"/>
  <c r="R8" i="301"/>
  <c r="R19" i="301" s="1"/>
  <c r="K8" i="301"/>
  <c r="J8" i="301"/>
  <c r="Y3" i="301"/>
  <c r="Y26" i="317"/>
  <c r="Y24" i="317"/>
  <c r="AT17" i="317"/>
  <c r="AS17" i="317"/>
  <c r="AR17" i="317"/>
  <c r="AQ17" i="317"/>
  <c r="Y17" i="317"/>
  <c r="AT16" i="317"/>
  <c r="AS16" i="317"/>
  <c r="AR16" i="317"/>
  <c r="AQ16" i="317"/>
  <c r="AO16" i="317"/>
  <c r="AN16" i="317"/>
  <c r="AM16" i="317"/>
  <c r="AL16" i="317"/>
  <c r="AK16" i="317"/>
  <c r="AJ16" i="317"/>
  <c r="AI16" i="317"/>
  <c r="AH16" i="317"/>
  <c r="X16" i="317"/>
  <c r="W16" i="317"/>
  <c r="R16" i="317"/>
  <c r="R15" i="317" s="1"/>
  <c r="R9" i="317" s="1"/>
  <c r="R8" i="317" s="1"/>
  <c r="R18" i="317" s="1"/>
  <c r="Q16" i="317"/>
  <c r="P16" i="317"/>
  <c r="S16" i="317" s="1"/>
  <c r="O16" i="317"/>
  <c r="N16" i="317"/>
  <c r="AT15" i="317"/>
  <c r="AS15" i="317"/>
  <c r="AR15" i="317"/>
  <c r="AQ15" i="317"/>
  <c r="AH15" i="317"/>
  <c r="Y15" i="317"/>
  <c r="W15" i="317"/>
  <c r="V15" i="317"/>
  <c r="Q15" i="317"/>
  <c r="O15" i="317"/>
  <c r="AT14" i="317"/>
  <c r="AS14" i="317"/>
  <c r="AR14" i="317"/>
  <c r="AQ14" i="317"/>
  <c r="AO14" i="317"/>
  <c r="AN14" i="317"/>
  <c r="AM14" i="317"/>
  <c r="AL14" i="317"/>
  <c r="AK14" i="317"/>
  <c r="AJ14" i="317"/>
  <c r="AI14" i="317"/>
  <c r="AH14" i="317"/>
  <c r="X14" i="317"/>
  <c r="V14" i="317"/>
  <c r="U14" i="317"/>
  <c r="R14" i="317"/>
  <c r="Q14" i="317"/>
  <c r="P14" i="317"/>
  <c r="S14" i="317" s="1"/>
  <c r="O14" i="317"/>
  <c r="N14" i="317"/>
  <c r="I14" i="317"/>
  <c r="H14" i="317"/>
  <c r="G14" i="317"/>
  <c r="F14" i="317"/>
  <c r="E14" i="317"/>
  <c r="D14" i="317"/>
  <c r="C14" i="317"/>
  <c r="B14" i="317"/>
  <c r="A14" i="317"/>
  <c r="AT13" i="317"/>
  <c r="AS13" i="317"/>
  <c r="AR13" i="317"/>
  <c r="AQ13" i="317"/>
  <c r="AO13" i="317"/>
  <c r="AN13" i="317"/>
  <c r="AM13" i="317"/>
  <c r="AL13" i="317"/>
  <c r="AK13" i="317"/>
  <c r="AJ13" i="317"/>
  <c r="AI13" i="317"/>
  <c r="AH13" i="317"/>
  <c r="X13" i="317"/>
  <c r="V13" i="317"/>
  <c r="U13" i="317"/>
  <c r="R13" i="317"/>
  <c r="Q13" i="317"/>
  <c r="P13" i="317"/>
  <c r="O13" i="317"/>
  <c r="N13" i="317"/>
  <c r="I13" i="317"/>
  <c r="H13" i="317"/>
  <c r="G13" i="317"/>
  <c r="F13" i="317"/>
  <c r="E13" i="317"/>
  <c r="D13" i="317"/>
  <c r="C13" i="317"/>
  <c r="B13" i="317"/>
  <c r="A13" i="317"/>
  <c r="AT12" i="317"/>
  <c r="AS12" i="317"/>
  <c r="AR12" i="317"/>
  <c r="AQ12" i="317"/>
  <c r="AO12" i="317"/>
  <c r="AN12" i="317"/>
  <c r="AM12" i="317"/>
  <c r="AL12" i="317"/>
  <c r="AK12" i="317"/>
  <c r="AJ12" i="317"/>
  <c r="AI12" i="317"/>
  <c r="AH12" i="317"/>
  <c r="X12" i="317"/>
  <c r="V12" i="317"/>
  <c r="N12" i="317"/>
  <c r="AT11" i="317"/>
  <c r="AS11" i="317"/>
  <c r="AR11" i="317"/>
  <c r="AQ11" i="317"/>
  <c r="AO11" i="317"/>
  <c r="AN11" i="317"/>
  <c r="AM11" i="317"/>
  <c r="AL11" i="317"/>
  <c r="AK11" i="317"/>
  <c r="AJ11" i="317"/>
  <c r="AI11" i="317"/>
  <c r="AH11" i="317"/>
  <c r="X11" i="317"/>
  <c r="V11" i="317"/>
  <c r="U11" i="317"/>
  <c r="R11" i="317"/>
  <c r="Q11" i="317"/>
  <c r="S11" i="317" s="1"/>
  <c r="P11" i="317"/>
  <c r="O11" i="317"/>
  <c r="N11" i="317"/>
  <c r="I11" i="317"/>
  <c r="H11" i="317"/>
  <c r="G11" i="317"/>
  <c r="F11" i="317"/>
  <c r="E11" i="317"/>
  <c r="D11" i="317"/>
  <c r="C11" i="317"/>
  <c r="B11" i="317"/>
  <c r="A11" i="317"/>
  <c r="AT10" i="317"/>
  <c r="AT18" i="317" s="1"/>
  <c r="AS10" i="317"/>
  <c r="AS18" i="317" s="1"/>
  <c r="AR10" i="317"/>
  <c r="AR18" i="317" s="1"/>
  <c r="AQ10" i="317"/>
  <c r="AQ18" i="317" s="1"/>
  <c r="AH10" i="317"/>
  <c r="Y10" i="317"/>
  <c r="W10" i="317"/>
  <c r="V10" i="317"/>
  <c r="R10" i="317"/>
  <c r="Q10" i="317"/>
  <c r="P10" i="317"/>
  <c r="O10" i="317"/>
  <c r="M10" i="317"/>
  <c r="L10" i="317"/>
  <c r="AH9" i="317"/>
  <c r="Y9" i="317"/>
  <c r="X9" i="317"/>
  <c r="W9" i="317"/>
  <c r="V9" i="317"/>
  <c r="Q9" i="317"/>
  <c r="O9" i="317"/>
  <c r="L9" i="317"/>
  <c r="K9" i="317"/>
  <c r="AH8" i="317"/>
  <c r="AH18" i="317" s="1"/>
  <c r="Y8" i="317"/>
  <c r="Y18" i="317" s="1"/>
  <c r="X8" i="317"/>
  <c r="W8" i="317"/>
  <c r="W18" i="317" s="1"/>
  <c r="V8" i="317"/>
  <c r="V18" i="317" s="1"/>
  <c r="Q8" i="317"/>
  <c r="Q18" i="317" s="1"/>
  <c r="O8" i="317"/>
  <c r="O18" i="317" s="1"/>
  <c r="K8" i="317"/>
  <c r="J8" i="317"/>
  <c r="Y3" i="317"/>
  <c r="Y23" i="316"/>
  <c r="Y21" i="316"/>
  <c r="AT14" i="316"/>
  <c r="AS14" i="316"/>
  <c r="AR14" i="316"/>
  <c r="AQ14" i="316"/>
  <c r="AO14" i="316"/>
  <c r="AN14" i="316"/>
  <c r="AM14" i="316"/>
  <c r="AL14" i="316"/>
  <c r="AK14" i="316"/>
  <c r="AJ14" i="316"/>
  <c r="AI14" i="316"/>
  <c r="AH14" i="316"/>
  <c r="X14" i="316"/>
  <c r="V14" i="316"/>
  <c r="U14" i="316"/>
  <c r="P14" i="316"/>
  <c r="O14" i="316"/>
  <c r="N14" i="316"/>
  <c r="I14" i="316"/>
  <c r="H14" i="316"/>
  <c r="G14" i="316"/>
  <c r="F14" i="316"/>
  <c r="E14" i="316"/>
  <c r="D14" i="316"/>
  <c r="C14" i="316"/>
  <c r="B14" i="316"/>
  <c r="A14" i="316"/>
  <c r="AT13" i="316"/>
  <c r="AS13" i="316"/>
  <c r="AR13" i="316"/>
  <c r="AQ13" i="316"/>
  <c r="AJ13" i="316"/>
  <c r="AH13" i="316"/>
  <c r="Y13" i="316"/>
  <c r="W13" i="316"/>
  <c r="V13" i="316"/>
  <c r="R13" i="316"/>
  <c r="P13" i="316"/>
  <c r="O13" i="316"/>
  <c r="M13" i="316"/>
  <c r="L13" i="316"/>
  <c r="AT12" i="316"/>
  <c r="AS12" i="316"/>
  <c r="AR12" i="316"/>
  <c r="AQ12" i="316"/>
  <c r="AJ12" i="316"/>
  <c r="AI12" i="316"/>
  <c r="AH12" i="316"/>
  <c r="Y12" i="316"/>
  <c r="X12" i="316"/>
  <c r="W12" i="316"/>
  <c r="V12" i="316"/>
  <c r="R12" i="316"/>
  <c r="P12" i="316"/>
  <c r="O12" i="316"/>
  <c r="L12" i="316"/>
  <c r="K12" i="316"/>
  <c r="AT11" i="316"/>
  <c r="AS11" i="316"/>
  <c r="AR11" i="316"/>
  <c r="AQ11" i="316"/>
  <c r="AO11" i="316"/>
  <c r="AN11" i="316"/>
  <c r="AM11" i="316"/>
  <c r="AL11" i="316"/>
  <c r="AK11" i="316"/>
  <c r="AJ11" i="316"/>
  <c r="AI11" i="316"/>
  <c r="AH11" i="316"/>
  <c r="X11" i="316"/>
  <c r="R11" i="316"/>
  <c r="Q11" i="316"/>
  <c r="Q10" i="316" s="1"/>
  <c r="Q9" i="316" s="1"/>
  <c r="P11" i="316"/>
  <c r="O11" i="316"/>
  <c r="O10" i="316" s="1"/>
  <c r="O9" i="316" s="1"/>
  <c r="O8" i="316" s="1"/>
  <c r="O15" i="316" s="1"/>
  <c r="N11" i="316"/>
  <c r="AT10" i="316"/>
  <c r="AT15" i="316" s="1"/>
  <c r="AS10" i="316"/>
  <c r="AS15" i="316" s="1"/>
  <c r="AR10" i="316"/>
  <c r="AR15" i="316" s="1"/>
  <c r="AQ10" i="316"/>
  <c r="AQ15" i="316" s="1"/>
  <c r="AJ10" i="316"/>
  <c r="AH10" i="316"/>
  <c r="Y10" i="316"/>
  <c r="V10" i="316"/>
  <c r="R10" i="316"/>
  <c r="R9" i="316" s="1"/>
  <c r="R8" i="316" s="1"/>
  <c r="R15" i="316" s="1"/>
  <c r="P10" i="316"/>
  <c r="M10" i="316"/>
  <c r="AH9" i="316"/>
  <c r="Y9" i="316"/>
  <c r="X9" i="316"/>
  <c r="V9" i="316"/>
  <c r="P9" i="316"/>
  <c r="L9" i="316"/>
  <c r="K9" i="316"/>
  <c r="AH8" i="316"/>
  <c r="AH15" i="316" s="1"/>
  <c r="Y8" i="316"/>
  <c r="Y15" i="316" s="1"/>
  <c r="X8" i="316"/>
  <c r="V8" i="316"/>
  <c r="V15" i="316" s="1"/>
  <c r="P8" i="316"/>
  <c r="P15" i="316" s="1"/>
  <c r="K8" i="316"/>
  <c r="J8" i="316"/>
  <c r="Y3" i="316"/>
  <c r="Y31" i="314"/>
  <c r="Y29" i="314"/>
  <c r="AT22" i="314"/>
  <c r="AS22" i="314"/>
  <c r="AR22" i="314"/>
  <c r="AQ22" i="314"/>
  <c r="AO22" i="314"/>
  <c r="AN22" i="314"/>
  <c r="AM22" i="314"/>
  <c r="AL22" i="314"/>
  <c r="AK22" i="314"/>
  <c r="AJ22" i="314"/>
  <c r="AH22" i="314"/>
  <c r="X22" i="314"/>
  <c r="V22" i="314"/>
  <c r="U22" i="314"/>
  <c r="R22" i="314"/>
  <c r="Q22" i="314"/>
  <c r="N22" i="314"/>
  <c r="AT21" i="314"/>
  <c r="AS21" i="314"/>
  <c r="AR21" i="314"/>
  <c r="AQ21" i="314"/>
  <c r="AT20" i="314"/>
  <c r="AS20" i="314"/>
  <c r="AR20" i="314"/>
  <c r="AQ20" i="314"/>
  <c r="AO20" i="314"/>
  <c r="AN20" i="314"/>
  <c r="AM20" i="314"/>
  <c r="AL20" i="314"/>
  <c r="AK20" i="314"/>
  <c r="AJ20" i="314"/>
  <c r="AI20" i="314"/>
  <c r="AH20" i="314"/>
  <c r="X20" i="314"/>
  <c r="V20" i="314"/>
  <c r="U20" i="314"/>
  <c r="R20" i="314"/>
  <c r="Q20" i="314"/>
  <c r="P20" i="314"/>
  <c r="O20" i="314"/>
  <c r="N20" i="314"/>
  <c r="I20" i="314"/>
  <c r="H20" i="314"/>
  <c r="G20" i="314"/>
  <c r="F20" i="314"/>
  <c r="E20" i="314"/>
  <c r="D20" i="314"/>
  <c r="C20" i="314"/>
  <c r="B20" i="314"/>
  <c r="A20" i="314"/>
  <c r="AT19" i="314"/>
  <c r="AS19" i="314"/>
  <c r="AR19" i="314"/>
  <c r="AQ19" i="314"/>
  <c r="AO19" i="314"/>
  <c r="AN19" i="314"/>
  <c r="AM19" i="314"/>
  <c r="AL19" i="314"/>
  <c r="AK19" i="314"/>
  <c r="AJ19" i="314"/>
  <c r="AI19" i="314"/>
  <c r="AH19" i="314"/>
  <c r="X19" i="314"/>
  <c r="V19" i="314"/>
  <c r="U19" i="314"/>
  <c r="R19" i="314"/>
  <c r="Q19" i="314"/>
  <c r="S19" i="314" s="1"/>
  <c r="P19" i="314"/>
  <c r="O19" i="314"/>
  <c r="N19" i="314"/>
  <c r="I19" i="314"/>
  <c r="H19" i="314"/>
  <c r="G19" i="314"/>
  <c r="F19" i="314"/>
  <c r="E19" i="314"/>
  <c r="D19" i="314"/>
  <c r="C19" i="314"/>
  <c r="B19" i="314"/>
  <c r="A19" i="314"/>
  <c r="AT18" i="314"/>
  <c r="AS18" i="314"/>
  <c r="AR18" i="314"/>
  <c r="AQ18" i="314"/>
  <c r="AO18" i="314"/>
  <c r="AN18" i="314"/>
  <c r="AM18" i="314"/>
  <c r="AL18" i="314"/>
  <c r="AK18" i="314"/>
  <c r="AJ18" i="314"/>
  <c r="AI18" i="314"/>
  <c r="AH18" i="314"/>
  <c r="X18" i="314"/>
  <c r="V18" i="314"/>
  <c r="U18" i="314"/>
  <c r="R18" i="314"/>
  <c r="Q18" i="314"/>
  <c r="P18" i="314"/>
  <c r="S18" i="314" s="1"/>
  <c r="O18" i="314"/>
  <c r="N18" i="314"/>
  <c r="I18" i="314"/>
  <c r="H18" i="314"/>
  <c r="G18" i="314"/>
  <c r="F18" i="314"/>
  <c r="E18" i="314"/>
  <c r="D18" i="314"/>
  <c r="C18" i="314"/>
  <c r="B18" i="314"/>
  <c r="A18" i="314"/>
  <c r="AT17" i="314"/>
  <c r="AS17" i="314"/>
  <c r="AR17" i="314"/>
  <c r="AQ17" i="314"/>
  <c r="AO17" i="314"/>
  <c r="AN17" i="314"/>
  <c r="AM17" i="314"/>
  <c r="AL17" i="314"/>
  <c r="AK17" i="314"/>
  <c r="AJ17" i="314"/>
  <c r="AI17" i="314"/>
  <c r="AH17" i="314"/>
  <c r="X17" i="314"/>
  <c r="V17" i="314"/>
  <c r="U17" i="314"/>
  <c r="R17" i="314"/>
  <c r="Q17" i="314"/>
  <c r="P17" i="314"/>
  <c r="O17" i="314"/>
  <c r="N17" i="314"/>
  <c r="I17" i="314"/>
  <c r="H17" i="314"/>
  <c r="G17" i="314"/>
  <c r="F17" i="314"/>
  <c r="E17" i="314"/>
  <c r="D17" i="314"/>
  <c r="C17" i="314"/>
  <c r="B17" i="314"/>
  <c r="A17" i="314"/>
  <c r="AT16" i="314"/>
  <c r="AS16" i="314"/>
  <c r="AR16" i="314"/>
  <c r="AQ16" i="314"/>
  <c r="AO16" i="314"/>
  <c r="AN16" i="314"/>
  <c r="AM16" i="314"/>
  <c r="AL16" i="314"/>
  <c r="AK16" i="314"/>
  <c r="AJ16" i="314"/>
  <c r="AI16" i="314"/>
  <c r="AH16" i="314"/>
  <c r="X16" i="314"/>
  <c r="V16" i="314"/>
  <c r="U16" i="314"/>
  <c r="R16" i="314"/>
  <c r="Q16" i="314"/>
  <c r="P16" i="314"/>
  <c r="S16" i="314" s="1"/>
  <c r="O16" i="314"/>
  <c r="N16" i="314"/>
  <c r="I16" i="314"/>
  <c r="H16" i="314"/>
  <c r="G16" i="314"/>
  <c r="F16" i="314"/>
  <c r="E16" i="314"/>
  <c r="D16" i="314"/>
  <c r="C16" i="314"/>
  <c r="B16" i="314"/>
  <c r="A16" i="314"/>
  <c r="AT15" i="314"/>
  <c r="AS15" i="314"/>
  <c r="AR15" i="314"/>
  <c r="AQ15" i="314"/>
  <c r="AO15" i="314"/>
  <c r="AN15" i="314"/>
  <c r="AM15" i="314"/>
  <c r="AL15" i="314"/>
  <c r="AK15" i="314"/>
  <c r="AJ15" i="314"/>
  <c r="AI15" i="314"/>
  <c r="AH15" i="314"/>
  <c r="X15" i="314"/>
  <c r="V15" i="314"/>
  <c r="U15" i="314"/>
  <c r="R15" i="314"/>
  <c r="Q15" i="314"/>
  <c r="P15" i="314"/>
  <c r="O15" i="314"/>
  <c r="N15" i="314"/>
  <c r="I15" i="314"/>
  <c r="H15" i="314"/>
  <c r="G15" i="314"/>
  <c r="F15" i="314"/>
  <c r="E15" i="314"/>
  <c r="D15" i="314"/>
  <c r="C15" i="314"/>
  <c r="B15" i="314"/>
  <c r="A15" i="314"/>
  <c r="AT14" i="314"/>
  <c r="AS14" i="314"/>
  <c r="AR14" i="314"/>
  <c r="AQ14" i="314"/>
  <c r="AO14" i="314"/>
  <c r="AN14" i="314"/>
  <c r="AM14" i="314"/>
  <c r="AL14" i="314"/>
  <c r="AK14" i="314"/>
  <c r="AJ14" i="314"/>
  <c r="AI14" i="314"/>
  <c r="AH14" i="314"/>
  <c r="X14" i="314"/>
  <c r="V14" i="314"/>
  <c r="U14" i="314"/>
  <c r="R14" i="314"/>
  <c r="Q14" i="314"/>
  <c r="P14" i="314"/>
  <c r="S14" i="314" s="1"/>
  <c r="O14" i="314"/>
  <c r="N14" i="314"/>
  <c r="I14" i="314"/>
  <c r="H14" i="314"/>
  <c r="G14" i="314"/>
  <c r="F14" i="314"/>
  <c r="E14" i="314"/>
  <c r="D14" i="314"/>
  <c r="C14" i="314"/>
  <c r="B14" i="314"/>
  <c r="A14" i="314"/>
  <c r="AT13" i="314"/>
  <c r="AS13" i="314"/>
  <c r="AR13" i="314"/>
  <c r="AQ13" i="314"/>
  <c r="AO13" i="314"/>
  <c r="AN13" i="314"/>
  <c r="AM13" i="314"/>
  <c r="AL13" i="314"/>
  <c r="AK13" i="314"/>
  <c r="AJ13" i="314"/>
  <c r="AI13" i="314"/>
  <c r="AH13" i="314"/>
  <c r="X13" i="314"/>
  <c r="V13" i="314"/>
  <c r="U13" i="314"/>
  <c r="R13" i="314"/>
  <c r="Q13" i="314"/>
  <c r="P13" i="314"/>
  <c r="O13" i="314"/>
  <c r="N13" i="314"/>
  <c r="I13" i="314"/>
  <c r="H13" i="314"/>
  <c r="G13" i="314"/>
  <c r="F13" i="314"/>
  <c r="E13" i="314"/>
  <c r="D13" i="314"/>
  <c r="C13" i="314"/>
  <c r="B13" i="314"/>
  <c r="A13" i="314"/>
  <c r="AT12" i="314"/>
  <c r="AS12" i="314"/>
  <c r="AR12" i="314"/>
  <c r="AQ12" i="314"/>
  <c r="AT11" i="314"/>
  <c r="AS11" i="314"/>
  <c r="AR11" i="314"/>
  <c r="AQ11" i="314"/>
  <c r="AO11" i="314"/>
  <c r="AN11" i="314"/>
  <c r="AM11" i="314"/>
  <c r="AL11" i="314"/>
  <c r="AK11" i="314"/>
  <c r="AJ11" i="314"/>
  <c r="AI11" i="314"/>
  <c r="AH11" i="314"/>
  <c r="X11" i="314"/>
  <c r="V11" i="314"/>
  <c r="U11" i="314"/>
  <c r="R11" i="314"/>
  <c r="R10" i="314" s="1"/>
  <c r="R9" i="314" s="1"/>
  <c r="R8" i="314" s="1"/>
  <c r="R23" i="314" s="1"/>
  <c r="Q11" i="314"/>
  <c r="P11" i="314"/>
  <c r="S11" i="314" s="1"/>
  <c r="O11" i="314"/>
  <c r="N11" i="314"/>
  <c r="I11" i="314"/>
  <c r="H11" i="314"/>
  <c r="G11" i="314"/>
  <c r="F11" i="314"/>
  <c r="E11" i="314"/>
  <c r="D11" i="314"/>
  <c r="C11" i="314"/>
  <c r="B11" i="314"/>
  <c r="A11" i="314"/>
  <c r="AT10" i="314"/>
  <c r="AT23" i="314" s="1"/>
  <c r="AS10" i="314"/>
  <c r="AS23" i="314" s="1"/>
  <c r="AR10" i="314"/>
  <c r="AR23" i="314" s="1"/>
  <c r="AQ10" i="314"/>
  <c r="AQ23" i="314" s="1"/>
  <c r="AH10" i="314"/>
  <c r="AH9" i="314" s="1"/>
  <c r="AH8" i="314" s="1"/>
  <c r="AH23" i="314" s="1"/>
  <c r="Y10" i="314"/>
  <c r="Y9" i="314" s="1"/>
  <c r="Y8" i="314" s="1"/>
  <c r="Y23" i="314" s="1"/>
  <c r="W10" i="314"/>
  <c r="V10" i="314"/>
  <c r="Q10" i="314"/>
  <c r="O10" i="314"/>
  <c r="M10" i="314"/>
  <c r="L10" i="314"/>
  <c r="X9" i="314"/>
  <c r="X8" i="314" s="1"/>
  <c r="W9" i="314"/>
  <c r="W8" i="314" s="1"/>
  <c r="W23" i="314" s="1"/>
  <c r="V9" i="314"/>
  <c r="Q9" i="314"/>
  <c r="Q8" i="314" s="1"/>
  <c r="Q23" i="314" s="1"/>
  <c r="O9" i="314"/>
  <c r="O8" i="314" s="1"/>
  <c r="O23" i="314" s="1"/>
  <c r="L9" i="314"/>
  <c r="K9" i="314"/>
  <c r="V8" i="314"/>
  <c r="V23" i="314" s="1"/>
  <c r="K8" i="314"/>
  <c r="J8" i="314"/>
  <c r="Y3" i="314"/>
  <c r="Y32" i="313"/>
  <c r="Y30" i="313"/>
  <c r="AT23" i="313"/>
  <c r="AS23" i="313"/>
  <c r="AR23" i="313"/>
  <c r="AQ23" i="313"/>
  <c r="AO23" i="313"/>
  <c r="AN23" i="313"/>
  <c r="AM23" i="313"/>
  <c r="AL23" i="313"/>
  <c r="AK23" i="313"/>
  <c r="AJ23" i="313"/>
  <c r="AI23" i="313"/>
  <c r="AH23" i="313"/>
  <c r="X23" i="313"/>
  <c r="V23" i="313"/>
  <c r="U23" i="313"/>
  <c r="R23" i="313"/>
  <c r="Q23" i="313"/>
  <c r="P23" i="313"/>
  <c r="O23" i="313"/>
  <c r="N23" i="313"/>
  <c r="I23" i="313"/>
  <c r="H23" i="313"/>
  <c r="G23" i="313"/>
  <c r="F23" i="313"/>
  <c r="E23" i="313"/>
  <c r="D23" i="313"/>
  <c r="C23" i="313"/>
  <c r="B23" i="313"/>
  <c r="A23" i="313"/>
  <c r="AT22" i="313"/>
  <c r="AS22" i="313"/>
  <c r="AR22" i="313"/>
  <c r="AQ22" i="313"/>
  <c r="AO22" i="313"/>
  <c r="AN22" i="313"/>
  <c r="AM22" i="313"/>
  <c r="AL22" i="313"/>
  <c r="AK22" i="313"/>
  <c r="AJ22" i="313"/>
  <c r="AI22" i="313"/>
  <c r="AH22" i="313"/>
  <c r="X22" i="313"/>
  <c r="V22" i="313"/>
  <c r="V21" i="313" s="1"/>
  <c r="V9" i="313" s="1"/>
  <c r="V8" i="313" s="1"/>
  <c r="V24" i="313" s="1"/>
  <c r="U22" i="313"/>
  <c r="R22" i="313"/>
  <c r="Q22" i="313"/>
  <c r="P22" i="313"/>
  <c r="S22" i="313" s="1"/>
  <c r="O22" i="313"/>
  <c r="N22" i="313"/>
  <c r="I22" i="313"/>
  <c r="H22" i="313"/>
  <c r="G22" i="313"/>
  <c r="F22" i="313"/>
  <c r="E22" i="313"/>
  <c r="D22" i="313"/>
  <c r="C22" i="313"/>
  <c r="B22" i="313"/>
  <c r="A22" i="313"/>
  <c r="AT21" i="313"/>
  <c r="AS21" i="313"/>
  <c r="AR21" i="313"/>
  <c r="AQ21" i="313"/>
  <c r="AH21" i="313"/>
  <c r="Y21" i="313"/>
  <c r="W21" i="313"/>
  <c r="Q21" i="313"/>
  <c r="O21" i="313"/>
  <c r="M21" i="313"/>
  <c r="L21" i="313"/>
  <c r="AT20" i="313"/>
  <c r="AS20" i="313"/>
  <c r="AR20" i="313"/>
  <c r="AQ20" i="313"/>
  <c r="AO20" i="313"/>
  <c r="AN20" i="313"/>
  <c r="AM20" i="313"/>
  <c r="AL20" i="313"/>
  <c r="AK20" i="313"/>
  <c r="AJ20" i="313"/>
  <c r="AI20" i="313"/>
  <c r="AH20" i="313"/>
  <c r="X20" i="313"/>
  <c r="V20" i="313"/>
  <c r="U20" i="313"/>
  <c r="Q20" i="313"/>
  <c r="P20" i="313"/>
  <c r="S20" i="313" s="1"/>
  <c r="O20" i="313"/>
  <c r="N20" i="313"/>
  <c r="I20" i="313"/>
  <c r="H20" i="313"/>
  <c r="G20" i="313"/>
  <c r="F20" i="313"/>
  <c r="E20" i="313"/>
  <c r="D20" i="313"/>
  <c r="C20" i="313"/>
  <c r="B20" i="313"/>
  <c r="A20" i="313"/>
  <c r="AT19" i="313"/>
  <c r="AS19" i="313"/>
  <c r="AR19" i="313"/>
  <c r="AQ19" i="313"/>
  <c r="AO19" i="313"/>
  <c r="AN19" i="313"/>
  <c r="AM19" i="313"/>
  <c r="AL19" i="313"/>
  <c r="AK19" i="313"/>
  <c r="AJ19" i="313"/>
  <c r="AI19" i="313"/>
  <c r="AH19" i="313"/>
  <c r="X19" i="313"/>
  <c r="V19" i="313"/>
  <c r="U19" i="313"/>
  <c r="Q19" i="313"/>
  <c r="P19" i="313"/>
  <c r="S19" i="313" s="1"/>
  <c r="O19" i="313"/>
  <c r="N19" i="313"/>
  <c r="I19" i="313"/>
  <c r="H19" i="313"/>
  <c r="G19" i="313"/>
  <c r="F19" i="313"/>
  <c r="E19" i="313"/>
  <c r="D19" i="313"/>
  <c r="C19" i="313"/>
  <c r="B19" i="313"/>
  <c r="A19" i="313"/>
  <c r="AT18" i="313"/>
  <c r="AS18" i="313"/>
  <c r="AR18" i="313"/>
  <c r="AQ18" i="313"/>
  <c r="AN18" i="313"/>
  <c r="AK18" i="313"/>
  <c r="AJ18" i="313"/>
  <c r="AI18" i="313"/>
  <c r="AH18" i="313"/>
  <c r="X18" i="313"/>
  <c r="V18" i="313"/>
  <c r="U18" i="313"/>
  <c r="I18" i="313"/>
  <c r="H18" i="313"/>
  <c r="G18" i="313"/>
  <c r="F18" i="313"/>
  <c r="E18" i="313"/>
  <c r="D18" i="313"/>
  <c r="C18" i="313"/>
  <c r="B18" i="313"/>
  <c r="A18" i="313"/>
  <c r="AT17" i="313"/>
  <c r="AS17" i="313"/>
  <c r="AR17" i="313"/>
  <c r="AQ17" i="313"/>
  <c r="AN17" i="313"/>
  <c r="AK17" i="313"/>
  <c r="AJ17" i="313"/>
  <c r="AI17" i="313"/>
  <c r="AH17" i="313"/>
  <c r="X17" i="313"/>
  <c r="V17" i="313"/>
  <c r="U17" i="313"/>
  <c r="I17" i="313"/>
  <c r="H17" i="313"/>
  <c r="G17" i="313"/>
  <c r="F17" i="313"/>
  <c r="E17" i="313"/>
  <c r="D17" i="313"/>
  <c r="C17" i="313"/>
  <c r="B17" i="313"/>
  <c r="A17" i="313"/>
  <c r="AT16" i="313"/>
  <c r="AS16" i="313"/>
  <c r="AR16" i="313"/>
  <c r="AQ16" i="313"/>
  <c r="AN16" i="313"/>
  <c r="AK16" i="313"/>
  <c r="AJ16" i="313"/>
  <c r="AI16" i="313"/>
  <c r="AH16" i="313"/>
  <c r="AT15" i="313"/>
  <c r="AS15" i="313"/>
  <c r="AR15" i="313"/>
  <c r="AQ15" i="313"/>
  <c r="AO15" i="313"/>
  <c r="AN15" i="313"/>
  <c r="AM15" i="313"/>
  <c r="AL15" i="313"/>
  <c r="AK15" i="313"/>
  <c r="AJ15" i="313"/>
  <c r="AI15" i="313"/>
  <c r="AH15" i="313"/>
  <c r="X15" i="313"/>
  <c r="V15" i="313"/>
  <c r="U15" i="313"/>
  <c r="Q15" i="313"/>
  <c r="P15" i="313"/>
  <c r="S15" i="313" s="1"/>
  <c r="O15" i="313"/>
  <c r="N15" i="313"/>
  <c r="I15" i="313"/>
  <c r="H15" i="313"/>
  <c r="G15" i="313"/>
  <c r="F15" i="313"/>
  <c r="E15" i="313"/>
  <c r="D15" i="313"/>
  <c r="C15" i="313"/>
  <c r="B15" i="313"/>
  <c r="A15" i="313"/>
  <c r="AT14" i="313"/>
  <c r="AS14" i="313"/>
  <c r="AR14" i="313"/>
  <c r="AQ14" i="313"/>
  <c r="AO14" i="313"/>
  <c r="AN14" i="313"/>
  <c r="AM14" i="313"/>
  <c r="AL14" i="313"/>
  <c r="AK14" i="313"/>
  <c r="AJ14" i="313"/>
  <c r="AI14" i="313"/>
  <c r="AH14" i="313"/>
  <c r="X14" i="313"/>
  <c r="V14" i="313"/>
  <c r="U14" i="313"/>
  <c r="Q14" i="313"/>
  <c r="P14" i="313"/>
  <c r="S14" i="313" s="1"/>
  <c r="O14" i="313"/>
  <c r="N14" i="313"/>
  <c r="I14" i="313"/>
  <c r="H14" i="313"/>
  <c r="G14" i="313"/>
  <c r="F14" i="313"/>
  <c r="E14" i="313"/>
  <c r="D14" i="313"/>
  <c r="C14" i="313"/>
  <c r="B14" i="313"/>
  <c r="A14" i="313"/>
  <c r="AT13" i="313"/>
  <c r="AS13" i="313"/>
  <c r="AR13" i="313"/>
  <c r="AQ13" i="313"/>
  <c r="AO13" i="313"/>
  <c r="AN13" i="313"/>
  <c r="AM13" i="313"/>
  <c r="AL13" i="313"/>
  <c r="AK13" i="313"/>
  <c r="AJ13" i="313"/>
  <c r="AI13" i="313"/>
  <c r="AH13" i="313"/>
  <c r="X13" i="313"/>
  <c r="V13" i="313"/>
  <c r="U13" i="313"/>
  <c r="Q13" i="313"/>
  <c r="P13" i="313"/>
  <c r="S13" i="313" s="1"/>
  <c r="O13" i="313"/>
  <c r="N13" i="313"/>
  <c r="I13" i="313"/>
  <c r="H13" i="313"/>
  <c r="G13" i="313"/>
  <c r="F13" i="313"/>
  <c r="E13" i="313"/>
  <c r="D13" i="313"/>
  <c r="C13" i="313"/>
  <c r="B13" i="313"/>
  <c r="A13" i="313"/>
  <c r="AT12" i="313"/>
  <c r="AS12" i="313"/>
  <c r="AR12" i="313"/>
  <c r="AQ12" i="313"/>
  <c r="AO12" i="313"/>
  <c r="AN12" i="313"/>
  <c r="AK12" i="313"/>
  <c r="AJ12" i="313"/>
  <c r="AI12" i="313"/>
  <c r="AH12" i="313"/>
  <c r="X12" i="313"/>
  <c r="V12" i="313"/>
  <c r="U12" i="313"/>
  <c r="AT11" i="313"/>
  <c r="AS11" i="313"/>
  <c r="AR11" i="313"/>
  <c r="AQ11" i="313"/>
  <c r="AO11" i="313"/>
  <c r="AN11" i="313"/>
  <c r="AM11" i="313"/>
  <c r="AL11" i="313"/>
  <c r="AK11" i="313"/>
  <c r="AJ11" i="313"/>
  <c r="AI11" i="313"/>
  <c r="AH11" i="313"/>
  <c r="X11" i="313"/>
  <c r="X10" i="313" s="1"/>
  <c r="X9" i="313" s="1"/>
  <c r="X8" i="313" s="1"/>
  <c r="V11" i="313"/>
  <c r="U11" i="313"/>
  <c r="R11" i="313"/>
  <c r="Q11" i="313"/>
  <c r="Q10" i="313" s="1"/>
  <c r="Q9" i="313" s="1"/>
  <c r="Q8" i="313" s="1"/>
  <c r="Q24" i="313" s="1"/>
  <c r="P11" i="313"/>
  <c r="O11" i="313"/>
  <c r="N11" i="313"/>
  <c r="AT10" i="313"/>
  <c r="AT24" i="313" s="1"/>
  <c r="AS10" i="313"/>
  <c r="AS24" i="313" s="1"/>
  <c r="AR10" i="313"/>
  <c r="AR24" i="313" s="1"/>
  <c r="AQ10" i="313"/>
  <c r="AQ24" i="313" s="1"/>
  <c r="AH10" i="313"/>
  <c r="Y10" i="313"/>
  <c r="W10" i="313"/>
  <c r="W9" i="313" s="1"/>
  <c r="W8" i="313" s="1"/>
  <c r="W24" i="313" s="1"/>
  <c r="V10" i="313"/>
  <c r="R10" i="313"/>
  <c r="P10" i="313"/>
  <c r="O10" i="313"/>
  <c r="M10" i="313"/>
  <c r="L10" i="313"/>
  <c r="AH9" i="313"/>
  <c r="AH8" i="313" s="1"/>
  <c r="AH24" i="313" s="1"/>
  <c r="Y9" i="313"/>
  <c r="O9" i="313"/>
  <c r="O8" i="313" s="1"/>
  <c r="O24" i="313" s="1"/>
  <c r="L9" i="313"/>
  <c r="K9" i="313"/>
  <c r="Y8" i="313"/>
  <c r="Y24" i="313" s="1"/>
  <c r="K8" i="313"/>
  <c r="J8" i="313"/>
  <c r="Y3" i="313"/>
  <c r="Y58" i="318"/>
  <c r="Y56" i="318"/>
  <c r="AT49" i="318"/>
  <c r="AS49" i="318"/>
  <c r="AR49" i="318"/>
  <c r="AQ49" i="318"/>
  <c r="AO49" i="318"/>
  <c r="AN49" i="318"/>
  <c r="AM49" i="318"/>
  <c r="AL49" i="318"/>
  <c r="AK49" i="318"/>
  <c r="AJ49" i="318"/>
  <c r="AI49" i="318"/>
  <c r="AH49" i="318"/>
  <c r="AH48" i="318" s="1"/>
  <c r="AH47" i="318" s="1"/>
  <c r="X49" i="318"/>
  <c r="V49" i="318"/>
  <c r="U49" i="318"/>
  <c r="P49" i="318"/>
  <c r="O49" i="318"/>
  <c r="O48" i="318" s="1"/>
  <c r="O47" i="318" s="1"/>
  <c r="N49" i="318"/>
  <c r="I49" i="318"/>
  <c r="H49" i="318"/>
  <c r="G49" i="318"/>
  <c r="F49" i="318"/>
  <c r="E49" i="318"/>
  <c r="D49" i="318"/>
  <c r="C49" i="318"/>
  <c r="B49" i="318"/>
  <c r="A49" i="318"/>
  <c r="AT48" i="318"/>
  <c r="AS48" i="318"/>
  <c r="AR48" i="318"/>
  <c r="AQ48" i="318"/>
  <c r="AJ48" i="318"/>
  <c r="Y48" i="318"/>
  <c r="Y47" i="318" s="1"/>
  <c r="W48" i="318"/>
  <c r="V48" i="318"/>
  <c r="R48" i="318"/>
  <c r="R47" i="318" s="1"/>
  <c r="P48" i="318"/>
  <c r="M48" i="318"/>
  <c r="L48" i="318"/>
  <c r="AT47" i="318"/>
  <c r="AS47" i="318"/>
  <c r="AR47" i="318"/>
  <c r="AQ47" i="318"/>
  <c r="AJ47" i="318"/>
  <c r="AI47" i="318"/>
  <c r="X47" i="318"/>
  <c r="W47" i="318"/>
  <c r="V47" i="318"/>
  <c r="P47" i="318"/>
  <c r="L47" i="318"/>
  <c r="K47" i="318"/>
  <c r="AT46" i="318"/>
  <c r="AS46" i="318"/>
  <c r="AR46" i="318"/>
  <c r="AQ46" i="318"/>
  <c r="AO46" i="318"/>
  <c r="AN46" i="318"/>
  <c r="AM46" i="318"/>
  <c r="AL46" i="318"/>
  <c r="AK46" i="318"/>
  <c r="AJ46" i="318"/>
  <c r="AI46" i="318"/>
  <c r="AH46" i="318"/>
  <c r="X46" i="318"/>
  <c r="R46" i="318"/>
  <c r="Q46" i="318"/>
  <c r="Q45" i="318" s="1"/>
  <c r="P46" i="318"/>
  <c r="O46" i="318"/>
  <c r="O45" i="318" s="1"/>
  <c r="N46" i="318"/>
  <c r="AT45" i="318"/>
  <c r="AS45" i="318"/>
  <c r="AR45" i="318"/>
  <c r="AQ45" i="318"/>
  <c r="AJ45" i="318"/>
  <c r="AH45" i="318"/>
  <c r="Y45" i="318"/>
  <c r="V45" i="318"/>
  <c r="R45" i="318"/>
  <c r="P45" i="318"/>
  <c r="M45" i="318"/>
  <c r="AT44" i="318"/>
  <c r="AS44" i="318"/>
  <c r="AR44" i="318"/>
  <c r="AQ44" i="318"/>
  <c r="Y44" i="318"/>
  <c r="AT43" i="318"/>
  <c r="AS43" i="318"/>
  <c r="AR43" i="318"/>
  <c r="AQ43" i="318"/>
  <c r="AO43" i="318"/>
  <c r="AN43" i="318"/>
  <c r="AM43" i="318"/>
  <c r="AL43" i="318"/>
  <c r="AK43" i="318"/>
  <c r="AJ43" i="318"/>
  <c r="AI43" i="318"/>
  <c r="AH43" i="318"/>
  <c r="X43" i="318"/>
  <c r="R43" i="318"/>
  <c r="Q43" i="318"/>
  <c r="S43" i="318" s="1"/>
  <c r="P43" i="318"/>
  <c r="O43" i="318"/>
  <c r="N43" i="318"/>
  <c r="AT42" i="318"/>
  <c r="AS42" i="318"/>
  <c r="AR42" i="318"/>
  <c r="AQ42" i="318"/>
  <c r="AH42" i="318"/>
  <c r="Y42" i="318"/>
  <c r="V42" i="318"/>
  <c r="R42" i="318"/>
  <c r="Q42" i="318"/>
  <c r="S42" i="318" s="1"/>
  <c r="P42" i="318"/>
  <c r="O42" i="318"/>
  <c r="AT41" i="318"/>
  <c r="AS41" i="318"/>
  <c r="AR41" i="318"/>
  <c r="AQ41" i="318"/>
  <c r="AO41" i="318"/>
  <c r="AN41" i="318"/>
  <c r="AM41" i="318"/>
  <c r="AL41" i="318"/>
  <c r="AK41" i="318"/>
  <c r="AJ41" i="318"/>
  <c r="AI41" i="318"/>
  <c r="AH41" i="318"/>
  <c r="X41" i="318"/>
  <c r="U41" i="318"/>
  <c r="R41" i="318"/>
  <c r="P41" i="318"/>
  <c r="O41" i="318"/>
  <c r="N41" i="318"/>
  <c r="I41" i="318"/>
  <c r="H41" i="318"/>
  <c r="G41" i="318"/>
  <c r="F41" i="318"/>
  <c r="E41" i="318"/>
  <c r="D41" i="318"/>
  <c r="C41" i="318"/>
  <c r="B41" i="318"/>
  <c r="A41" i="318"/>
  <c r="AT40" i="318"/>
  <c r="AS40" i="318"/>
  <c r="AR40" i="318"/>
  <c r="AQ40" i="318"/>
  <c r="AO40" i="318"/>
  <c r="AN40" i="318"/>
  <c r="AM40" i="318"/>
  <c r="AL40" i="318"/>
  <c r="AK40" i="318"/>
  <c r="AJ40" i="318"/>
  <c r="AI40" i="318"/>
  <c r="AH40" i="318"/>
  <c r="X40" i="318"/>
  <c r="U40" i="318"/>
  <c r="R40" i="318"/>
  <c r="P40" i="318"/>
  <c r="O40" i="318"/>
  <c r="N40" i="318"/>
  <c r="I40" i="318"/>
  <c r="H40" i="318"/>
  <c r="G40" i="318"/>
  <c r="F40" i="318"/>
  <c r="E40" i="318"/>
  <c r="D40" i="318"/>
  <c r="C40" i="318"/>
  <c r="B40" i="318"/>
  <c r="A40" i="318"/>
  <c r="AT39" i="318"/>
  <c r="AS39" i="318"/>
  <c r="AR39" i="318"/>
  <c r="AQ39" i="318"/>
  <c r="AO39" i="318"/>
  <c r="AN39" i="318"/>
  <c r="AM39" i="318"/>
  <c r="AL39" i="318"/>
  <c r="AK39" i="318"/>
  <c r="AJ39" i="318"/>
  <c r="AI39" i="318"/>
  <c r="AH39" i="318"/>
  <c r="X39" i="318"/>
  <c r="V39" i="318"/>
  <c r="N39" i="318"/>
  <c r="AT38" i="318"/>
  <c r="AS38" i="318"/>
  <c r="AR38" i="318"/>
  <c r="AQ38" i="318"/>
  <c r="AO38" i="318"/>
  <c r="AN38" i="318"/>
  <c r="AM38" i="318"/>
  <c r="AL38" i="318"/>
  <c r="AK38" i="318"/>
  <c r="AJ38" i="318"/>
  <c r="AI38" i="318"/>
  <c r="AH38" i="318"/>
  <c r="X38" i="318"/>
  <c r="V38" i="318"/>
  <c r="U38" i="318"/>
  <c r="R38" i="318"/>
  <c r="P38" i="318"/>
  <c r="O38" i="318"/>
  <c r="N38" i="318"/>
  <c r="I38" i="318"/>
  <c r="H38" i="318"/>
  <c r="G38" i="318"/>
  <c r="F38" i="318"/>
  <c r="E38" i="318"/>
  <c r="D38" i="318"/>
  <c r="C38" i="318"/>
  <c r="B38" i="318"/>
  <c r="A38" i="318"/>
  <c r="AT37" i="318"/>
  <c r="AS37" i="318"/>
  <c r="AR37" i="318"/>
  <c r="AQ37" i="318"/>
  <c r="AH37" i="318"/>
  <c r="Y37" i="318"/>
  <c r="W37" i="318"/>
  <c r="R37" i="318"/>
  <c r="P37" i="318"/>
  <c r="O37" i="318"/>
  <c r="M37" i="318"/>
  <c r="L37" i="318"/>
  <c r="AT36" i="318"/>
  <c r="AS36" i="318"/>
  <c r="AR36" i="318"/>
  <c r="AQ36" i="318"/>
  <c r="AO36" i="318"/>
  <c r="AN36" i="318"/>
  <c r="AM36" i="318"/>
  <c r="AL36" i="318"/>
  <c r="AK36" i="318"/>
  <c r="AJ36" i="318"/>
  <c r="AI36" i="318"/>
  <c r="AH36" i="318"/>
  <c r="X36" i="318"/>
  <c r="V36" i="318"/>
  <c r="U36" i="318"/>
  <c r="R36" i="318"/>
  <c r="P36" i="318"/>
  <c r="O36" i="318"/>
  <c r="N36" i="318"/>
  <c r="I36" i="318"/>
  <c r="H36" i="318"/>
  <c r="G36" i="318"/>
  <c r="F36" i="318"/>
  <c r="E36" i="318"/>
  <c r="D36" i="318"/>
  <c r="C36" i="318"/>
  <c r="B36" i="318"/>
  <c r="A36" i="318"/>
  <c r="AT35" i="318"/>
  <c r="AS35" i="318"/>
  <c r="AR35" i="318"/>
  <c r="AQ35" i="318"/>
  <c r="AO35" i="318"/>
  <c r="AN35" i="318"/>
  <c r="AM35" i="318"/>
  <c r="AL35" i="318"/>
  <c r="AK35" i="318"/>
  <c r="AJ35" i="318"/>
  <c r="AI35" i="318"/>
  <c r="AH35" i="318"/>
  <c r="X35" i="318"/>
  <c r="U35" i="318"/>
  <c r="R35" i="318"/>
  <c r="P35" i="318"/>
  <c r="O35" i="318"/>
  <c r="N35" i="318"/>
  <c r="I35" i="318"/>
  <c r="H35" i="318"/>
  <c r="G35" i="318"/>
  <c r="F35" i="318"/>
  <c r="E35" i="318"/>
  <c r="D35" i="318"/>
  <c r="C35" i="318"/>
  <c r="B35" i="318"/>
  <c r="A35" i="318"/>
  <c r="AT34" i="318"/>
  <c r="AS34" i="318"/>
  <c r="AR34" i="318"/>
  <c r="AQ34" i="318"/>
  <c r="AH34" i="318"/>
  <c r="Y34" i="318"/>
  <c r="W34" i="318"/>
  <c r="R34" i="318"/>
  <c r="P34" i="318"/>
  <c r="O34" i="318"/>
  <c r="M34" i="318"/>
  <c r="L34" i="318"/>
  <c r="AT33" i="318"/>
  <c r="AS33" i="318"/>
  <c r="AR33" i="318"/>
  <c r="AQ33" i="318"/>
  <c r="AO33" i="318"/>
  <c r="AN33" i="318"/>
  <c r="AM33" i="318"/>
  <c r="AL33" i="318"/>
  <c r="AK33" i="318"/>
  <c r="AJ33" i="318"/>
  <c r="AI33" i="318"/>
  <c r="AH33" i="318"/>
  <c r="X33" i="318"/>
  <c r="U33" i="318"/>
  <c r="Q33" i="318"/>
  <c r="P33" i="318"/>
  <c r="O33" i="318"/>
  <c r="N33" i="318"/>
  <c r="I33" i="318"/>
  <c r="H33" i="318"/>
  <c r="G33" i="318"/>
  <c r="F33" i="318"/>
  <c r="E33" i="318"/>
  <c r="D33" i="318"/>
  <c r="C33" i="318"/>
  <c r="B33" i="318"/>
  <c r="A33" i="318"/>
  <c r="AT32" i="318"/>
  <c r="AS32" i="318"/>
  <c r="AR32" i="318"/>
  <c r="AQ32" i="318"/>
  <c r="AO32" i="318"/>
  <c r="AN32" i="318"/>
  <c r="AM32" i="318"/>
  <c r="AL32" i="318"/>
  <c r="AK32" i="318"/>
  <c r="AJ32" i="318"/>
  <c r="AI32" i="318"/>
  <c r="AH32" i="318"/>
  <c r="X32" i="318"/>
  <c r="U32" i="318"/>
  <c r="Q32" i="318"/>
  <c r="P32" i="318"/>
  <c r="S32" i="318" s="1"/>
  <c r="O32" i="318"/>
  <c r="N32" i="318"/>
  <c r="I32" i="318"/>
  <c r="H32" i="318"/>
  <c r="G32" i="318"/>
  <c r="F32" i="318"/>
  <c r="E32" i="318"/>
  <c r="D32" i="318"/>
  <c r="C32" i="318"/>
  <c r="B32" i="318"/>
  <c r="A32" i="318"/>
  <c r="AT31" i="318"/>
  <c r="AS31" i="318"/>
  <c r="AR31" i="318"/>
  <c r="AQ31" i="318"/>
  <c r="AN31" i="318"/>
  <c r="AK31" i="318"/>
  <c r="AJ31" i="318"/>
  <c r="AI31" i="318"/>
  <c r="AH31" i="318"/>
  <c r="X31" i="318"/>
  <c r="V31" i="318"/>
  <c r="U31" i="318"/>
  <c r="I31" i="318"/>
  <c r="H31" i="318"/>
  <c r="G31" i="318"/>
  <c r="F31" i="318"/>
  <c r="E31" i="318"/>
  <c r="D31" i="318"/>
  <c r="C31" i="318"/>
  <c r="B31" i="318"/>
  <c r="A31" i="318"/>
  <c r="AT30" i="318"/>
  <c r="AS30" i="318"/>
  <c r="AR30" i="318"/>
  <c r="AQ30" i="318"/>
  <c r="AN30" i="318"/>
  <c r="AK30" i="318"/>
  <c r="AJ30" i="318"/>
  <c r="AI30" i="318"/>
  <c r="AH30" i="318"/>
  <c r="X30" i="318"/>
  <c r="V30" i="318"/>
  <c r="U30" i="318"/>
  <c r="I30" i="318"/>
  <c r="H30" i="318"/>
  <c r="G30" i="318"/>
  <c r="F30" i="318"/>
  <c r="E30" i="318"/>
  <c r="D30" i="318"/>
  <c r="C30" i="318"/>
  <c r="B30" i="318"/>
  <c r="A30" i="318"/>
  <c r="AT29" i="318"/>
  <c r="AS29" i="318"/>
  <c r="AR29" i="318"/>
  <c r="AQ29" i="318"/>
  <c r="AN29" i="318"/>
  <c r="AK29" i="318"/>
  <c r="AJ29" i="318"/>
  <c r="AI29" i="318"/>
  <c r="AH29" i="318"/>
  <c r="AT28" i="318"/>
  <c r="AS28" i="318"/>
  <c r="AR28" i="318"/>
  <c r="AQ28" i="318"/>
  <c r="AO28" i="318"/>
  <c r="AN28" i="318"/>
  <c r="AM28" i="318"/>
  <c r="AL28" i="318"/>
  <c r="AK28" i="318"/>
  <c r="AJ28" i="318"/>
  <c r="AI28" i="318"/>
  <c r="AH28" i="318"/>
  <c r="X28" i="318"/>
  <c r="V28" i="318"/>
  <c r="U28" i="318"/>
  <c r="O28" i="318"/>
  <c r="N28" i="318"/>
  <c r="I28" i="318"/>
  <c r="H28" i="318"/>
  <c r="G28" i="318"/>
  <c r="F28" i="318"/>
  <c r="E28" i="318"/>
  <c r="D28" i="318"/>
  <c r="C28" i="318"/>
  <c r="B28" i="318"/>
  <c r="A28" i="318"/>
  <c r="AT27" i="318"/>
  <c r="AS27" i="318"/>
  <c r="AR27" i="318"/>
  <c r="AQ27" i="318"/>
  <c r="AO27" i="318"/>
  <c r="AN27" i="318"/>
  <c r="AM27" i="318"/>
  <c r="AL27" i="318"/>
  <c r="AK27" i="318"/>
  <c r="AJ27" i="318"/>
  <c r="AI27" i="318"/>
  <c r="AH27" i="318"/>
  <c r="X27" i="318"/>
  <c r="V27" i="318"/>
  <c r="U27" i="318"/>
  <c r="P27" i="318"/>
  <c r="O27" i="318"/>
  <c r="N27" i="318"/>
  <c r="I27" i="318"/>
  <c r="H27" i="318"/>
  <c r="G27" i="318"/>
  <c r="F27" i="318"/>
  <c r="E27" i="318"/>
  <c r="D27" i="318"/>
  <c r="C27" i="318"/>
  <c r="B27" i="318"/>
  <c r="A27" i="318"/>
  <c r="AT26" i="318"/>
  <c r="AS26" i="318"/>
  <c r="AR26" i="318"/>
  <c r="AQ26" i="318"/>
  <c r="AO26" i="318"/>
  <c r="AN26" i="318"/>
  <c r="AM26" i="318"/>
  <c r="AL26" i="318"/>
  <c r="AK26" i="318"/>
  <c r="AJ26" i="318"/>
  <c r="AI26" i="318"/>
  <c r="AH26" i="318"/>
  <c r="X26" i="318"/>
  <c r="U26" i="318"/>
  <c r="P26" i="318"/>
  <c r="O26" i="318"/>
  <c r="N26" i="318"/>
  <c r="I26" i="318"/>
  <c r="H26" i="318"/>
  <c r="G26" i="318"/>
  <c r="F26" i="318"/>
  <c r="E26" i="318"/>
  <c r="D26" i="318"/>
  <c r="C26" i="318"/>
  <c r="B26" i="318"/>
  <c r="A26" i="318"/>
  <c r="AT25" i="318"/>
  <c r="AS25" i="318"/>
  <c r="AR25" i="318"/>
  <c r="AQ25" i="318"/>
  <c r="AO25" i="318"/>
  <c r="AN25" i="318"/>
  <c r="AK25" i="318"/>
  <c r="AJ25" i="318"/>
  <c r="AI25" i="318"/>
  <c r="AH25" i="318"/>
  <c r="X25" i="318"/>
  <c r="V25" i="318"/>
  <c r="U25" i="318"/>
  <c r="AT24" i="318"/>
  <c r="AS24" i="318"/>
  <c r="AR24" i="318"/>
  <c r="AQ24" i="318"/>
  <c r="AO24" i="318"/>
  <c r="AN24" i="318"/>
  <c r="AM24" i="318"/>
  <c r="AL24" i="318"/>
  <c r="AK24" i="318"/>
  <c r="AJ24" i="318"/>
  <c r="AI24" i="318"/>
  <c r="AH24" i="318"/>
  <c r="X24" i="318"/>
  <c r="V24" i="318"/>
  <c r="U24" i="318"/>
  <c r="R24" i="318"/>
  <c r="P24" i="318"/>
  <c r="O24" i="318"/>
  <c r="N24" i="318"/>
  <c r="AT23" i="318"/>
  <c r="AS23" i="318"/>
  <c r="AR23" i="318"/>
  <c r="AQ23" i="318"/>
  <c r="AH23" i="318"/>
  <c r="Y23" i="318"/>
  <c r="X23" i="318"/>
  <c r="W23" i="318"/>
  <c r="R23" i="318"/>
  <c r="M23" i="318"/>
  <c r="L23" i="318"/>
  <c r="AT22" i="318"/>
  <c r="AS22" i="318"/>
  <c r="AR22" i="318"/>
  <c r="AQ22" i="318"/>
  <c r="AO22" i="318"/>
  <c r="AN22" i="318"/>
  <c r="AM22" i="318"/>
  <c r="AL22" i="318"/>
  <c r="AK22" i="318"/>
  <c r="AJ22" i="318"/>
  <c r="AH22" i="318"/>
  <c r="X22" i="318"/>
  <c r="V22" i="318"/>
  <c r="U22" i="318"/>
  <c r="R22" i="318"/>
  <c r="Q22" i="318"/>
  <c r="S22" i="318" s="1"/>
  <c r="N22" i="318"/>
  <c r="AT21" i="318"/>
  <c r="AS21" i="318"/>
  <c r="AR21" i="318"/>
  <c r="AQ21" i="318"/>
  <c r="AT20" i="318"/>
  <c r="AS20" i="318"/>
  <c r="AR20" i="318"/>
  <c r="AQ20" i="318"/>
  <c r="AO20" i="318"/>
  <c r="AN20" i="318"/>
  <c r="AM20" i="318"/>
  <c r="AL20" i="318"/>
  <c r="AK20" i="318"/>
  <c r="AJ20" i="318"/>
  <c r="AI20" i="318"/>
  <c r="AH20" i="318"/>
  <c r="X20" i="318"/>
  <c r="V20" i="318"/>
  <c r="U20" i="318"/>
  <c r="R20" i="318"/>
  <c r="Q20" i="318"/>
  <c r="P20" i="318"/>
  <c r="O20" i="318"/>
  <c r="N20" i="318"/>
  <c r="I20" i="318"/>
  <c r="H20" i="318"/>
  <c r="G20" i="318"/>
  <c r="F20" i="318"/>
  <c r="E20" i="318"/>
  <c r="D20" i="318"/>
  <c r="C20" i="318"/>
  <c r="B20" i="318"/>
  <c r="A20" i="318"/>
  <c r="AT19" i="318"/>
  <c r="AS19" i="318"/>
  <c r="AR19" i="318"/>
  <c r="AQ19" i="318"/>
  <c r="AO19" i="318"/>
  <c r="AN19" i="318"/>
  <c r="AM19" i="318"/>
  <c r="AL19" i="318"/>
  <c r="AK19" i="318"/>
  <c r="AJ19" i="318"/>
  <c r="AI19" i="318"/>
  <c r="AH19" i="318"/>
  <c r="X19" i="318"/>
  <c r="V19" i="318"/>
  <c r="U19" i="318"/>
  <c r="R19" i="318"/>
  <c r="Q19" i="318"/>
  <c r="P19" i="318"/>
  <c r="S19" i="318" s="1"/>
  <c r="O19" i="318"/>
  <c r="N19" i="318"/>
  <c r="I19" i="318"/>
  <c r="H19" i="318"/>
  <c r="G19" i="318"/>
  <c r="F19" i="318"/>
  <c r="E19" i="318"/>
  <c r="D19" i="318"/>
  <c r="C19" i="318"/>
  <c r="B19" i="318"/>
  <c r="A19" i="318"/>
  <c r="AT18" i="318"/>
  <c r="AS18" i="318"/>
  <c r="AR18" i="318"/>
  <c r="AQ18" i="318"/>
  <c r="AO18" i="318"/>
  <c r="AN18" i="318"/>
  <c r="AM18" i="318"/>
  <c r="AL18" i="318"/>
  <c r="AK18" i="318"/>
  <c r="AJ18" i="318"/>
  <c r="AI18" i="318"/>
  <c r="AH18" i="318"/>
  <c r="X18" i="318"/>
  <c r="V18" i="318"/>
  <c r="U18" i="318"/>
  <c r="R18" i="318"/>
  <c r="Q18" i="318"/>
  <c r="P18" i="318"/>
  <c r="S18" i="318" s="1"/>
  <c r="O18" i="318"/>
  <c r="N18" i="318"/>
  <c r="I18" i="318"/>
  <c r="H18" i="318"/>
  <c r="G18" i="318"/>
  <c r="F18" i="318"/>
  <c r="E18" i="318"/>
  <c r="D18" i="318"/>
  <c r="C18" i="318"/>
  <c r="B18" i="318"/>
  <c r="A18" i="318"/>
  <c r="AT17" i="318"/>
  <c r="AS17" i="318"/>
  <c r="AR17" i="318"/>
  <c r="AQ17" i="318"/>
  <c r="AO17" i="318"/>
  <c r="AN17" i="318"/>
  <c r="AM17" i="318"/>
  <c r="AL17" i="318"/>
  <c r="AK17" i="318"/>
  <c r="AJ17" i="318"/>
  <c r="AI17" i="318"/>
  <c r="X17" i="318"/>
  <c r="U17" i="318"/>
  <c r="R17" i="318"/>
  <c r="Q17" i="318"/>
  <c r="P17" i="318"/>
  <c r="S17" i="318" s="1"/>
  <c r="O17" i="318"/>
  <c r="N17" i="318"/>
  <c r="I17" i="318"/>
  <c r="H17" i="318"/>
  <c r="G17" i="318"/>
  <c r="F17" i="318"/>
  <c r="E17" i="318"/>
  <c r="D17" i="318"/>
  <c r="C17" i="318"/>
  <c r="B17" i="318"/>
  <c r="A17" i="318"/>
  <c r="AT16" i="318"/>
  <c r="AS16" i="318"/>
  <c r="AR16" i="318"/>
  <c r="AQ16" i="318"/>
  <c r="AO16" i="318"/>
  <c r="AN16" i="318"/>
  <c r="AM16" i="318"/>
  <c r="AL16" i="318"/>
  <c r="AK16" i="318"/>
  <c r="AJ16" i="318"/>
  <c r="AI16" i="318"/>
  <c r="AH16" i="318"/>
  <c r="X16" i="318"/>
  <c r="V16" i="318"/>
  <c r="U16" i="318"/>
  <c r="R16" i="318"/>
  <c r="Q16" i="318"/>
  <c r="P16" i="318"/>
  <c r="S16" i="318" s="1"/>
  <c r="O16" i="318"/>
  <c r="N16" i="318"/>
  <c r="I16" i="318"/>
  <c r="H16" i="318"/>
  <c r="G16" i="318"/>
  <c r="F16" i="318"/>
  <c r="E16" i="318"/>
  <c r="D16" i="318"/>
  <c r="C16" i="318"/>
  <c r="B16" i="318"/>
  <c r="A16" i="318"/>
  <c r="AT15" i="318"/>
  <c r="AS15" i="318"/>
  <c r="AR15" i="318"/>
  <c r="AQ15" i="318"/>
  <c r="AO15" i="318"/>
  <c r="AN15" i="318"/>
  <c r="AM15" i="318"/>
  <c r="AL15" i="318"/>
  <c r="AK15" i="318"/>
  <c r="AJ15" i="318"/>
  <c r="AI15" i="318"/>
  <c r="AH15" i="318"/>
  <c r="X15" i="318"/>
  <c r="V15" i="318"/>
  <c r="U15" i="318"/>
  <c r="R15" i="318"/>
  <c r="Q15" i="318"/>
  <c r="P15" i="318"/>
  <c r="O15" i="318"/>
  <c r="N15" i="318"/>
  <c r="I15" i="318"/>
  <c r="H15" i="318"/>
  <c r="G15" i="318"/>
  <c r="F15" i="318"/>
  <c r="E15" i="318"/>
  <c r="D15" i="318"/>
  <c r="C15" i="318"/>
  <c r="B15" i="318"/>
  <c r="A15" i="318"/>
  <c r="AT14" i="318"/>
  <c r="AS14" i="318"/>
  <c r="AR14" i="318"/>
  <c r="AQ14" i="318"/>
  <c r="AO14" i="318"/>
  <c r="AN14" i="318"/>
  <c r="AM14" i="318"/>
  <c r="AL14" i="318"/>
  <c r="AK14" i="318"/>
  <c r="AJ14" i="318"/>
  <c r="AI14" i="318"/>
  <c r="AH14" i="318"/>
  <c r="X14" i="318"/>
  <c r="V14" i="318"/>
  <c r="U14" i="318"/>
  <c r="R14" i="318"/>
  <c r="Q14" i="318"/>
  <c r="P14" i="318"/>
  <c r="O14" i="318"/>
  <c r="N14" i="318"/>
  <c r="I14" i="318"/>
  <c r="H14" i="318"/>
  <c r="G14" i="318"/>
  <c r="F14" i="318"/>
  <c r="E14" i="318"/>
  <c r="D14" i="318"/>
  <c r="C14" i="318"/>
  <c r="B14" i="318"/>
  <c r="A14" i="318"/>
  <c r="AT13" i="318"/>
  <c r="AS13" i="318"/>
  <c r="AR13" i="318"/>
  <c r="AQ13" i="318"/>
  <c r="AO13" i="318"/>
  <c r="AN13" i="318"/>
  <c r="AM13" i="318"/>
  <c r="AL13" i="318"/>
  <c r="AK13" i="318"/>
  <c r="AJ13" i="318"/>
  <c r="AI13" i="318"/>
  <c r="AH13" i="318"/>
  <c r="X13" i="318"/>
  <c r="V13" i="318"/>
  <c r="U13" i="318"/>
  <c r="R13" i="318"/>
  <c r="Q13" i="318"/>
  <c r="P13" i="318"/>
  <c r="S13" i="318" s="1"/>
  <c r="O13" i="318"/>
  <c r="N13" i="318"/>
  <c r="I13" i="318"/>
  <c r="H13" i="318"/>
  <c r="G13" i="318"/>
  <c r="F13" i="318"/>
  <c r="E13" i="318"/>
  <c r="D13" i="318"/>
  <c r="C13" i="318"/>
  <c r="B13" i="318"/>
  <c r="A13" i="318"/>
  <c r="AT12" i="318"/>
  <c r="AS12" i="318"/>
  <c r="AR12" i="318"/>
  <c r="AQ12" i="318"/>
  <c r="AT11" i="318"/>
  <c r="AS11" i="318"/>
  <c r="AR11" i="318"/>
  <c r="AQ11" i="318"/>
  <c r="AO11" i="318"/>
  <c r="AN11" i="318"/>
  <c r="AM11" i="318"/>
  <c r="AL11" i="318"/>
  <c r="AK11" i="318"/>
  <c r="AJ11" i="318"/>
  <c r="AI11" i="318"/>
  <c r="AH11" i="318"/>
  <c r="X11" i="318"/>
  <c r="V11" i="318"/>
  <c r="U11" i="318"/>
  <c r="R11" i="318"/>
  <c r="R10" i="318" s="1"/>
  <c r="R9" i="318" s="1"/>
  <c r="Q11" i="318"/>
  <c r="P11" i="318"/>
  <c r="S11" i="318" s="1"/>
  <c r="O11" i="318"/>
  <c r="N11" i="318"/>
  <c r="I11" i="318"/>
  <c r="H11" i="318"/>
  <c r="G11" i="318"/>
  <c r="F11" i="318"/>
  <c r="E11" i="318"/>
  <c r="D11" i="318"/>
  <c r="C11" i="318"/>
  <c r="B11" i="318"/>
  <c r="A11" i="318"/>
  <c r="AT10" i="318"/>
  <c r="AT50" i="318" s="1"/>
  <c r="AS10" i="318"/>
  <c r="AR10" i="318"/>
  <c r="AR50" i="318" s="1"/>
  <c r="AQ10" i="318"/>
  <c r="AQ50" i="318" s="1"/>
  <c r="Y10" i="318"/>
  <c r="Y9" i="318" s="1"/>
  <c r="Y8" i="318" s="1"/>
  <c r="Y50" i="318" s="1"/>
  <c r="W10" i="318"/>
  <c r="Q10" i="318"/>
  <c r="O10" i="318"/>
  <c r="M10" i="318"/>
  <c r="L10" i="318"/>
  <c r="X9" i="318"/>
  <c r="L9" i="318"/>
  <c r="K9" i="318"/>
  <c r="X8" i="318"/>
  <c r="K8" i="318"/>
  <c r="J8" i="318"/>
  <c r="Y3" i="318"/>
  <c r="Y26" i="299"/>
  <c r="Y24" i="299"/>
  <c r="AT17" i="299"/>
  <c r="AR17" i="299"/>
  <c r="AQ17" i="299"/>
  <c r="Y17" i="299"/>
  <c r="AS17" i="299" s="1"/>
  <c r="AT16" i="299"/>
  <c r="AS16" i="299"/>
  <c r="AR16" i="299"/>
  <c r="AQ16" i="299"/>
  <c r="AO16" i="299"/>
  <c r="AN16" i="299"/>
  <c r="AM16" i="299"/>
  <c r="AL16" i="299"/>
  <c r="AK16" i="299"/>
  <c r="AJ16" i="299"/>
  <c r="AI16" i="299"/>
  <c r="AH16" i="299"/>
  <c r="X16" i="299"/>
  <c r="W16" i="299"/>
  <c r="R16" i="299"/>
  <c r="Q16" i="299"/>
  <c r="P16" i="299"/>
  <c r="S16" i="299" s="1"/>
  <c r="O16" i="299"/>
  <c r="N16" i="299"/>
  <c r="AT15" i="299"/>
  <c r="AS15" i="299"/>
  <c r="AR15" i="299"/>
  <c r="AQ15" i="299"/>
  <c r="Y15" i="299"/>
  <c r="AT14" i="299"/>
  <c r="AS14" i="299"/>
  <c r="AR14" i="299"/>
  <c r="AQ14" i="299"/>
  <c r="AO14" i="299"/>
  <c r="AN14" i="299"/>
  <c r="AM14" i="299"/>
  <c r="AL14" i="299"/>
  <c r="AK14" i="299"/>
  <c r="AJ14" i="299"/>
  <c r="AI14" i="299"/>
  <c r="AH14" i="299"/>
  <c r="X14" i="299"/>
  <c r="W14" i="299"/>
  <c r="R14" i="299"/>
  <c r="Q14" i="299"/>
  <c r="P14" i="299"/>
  <c r="O14" i="299"/>
  <c r="N14" i="299"/>
  <c r="AT13" i="299"/>
  <c r="AR13" i="299"/>
  <c r="AQ13" i="299"/>
  <c r="Y13" i="299"/>
  <c r="AS13" i="299" s="1"/>
  <c r="AT12" i="299"/>
  <c r="AS12" i="299"/>
  <c r="AR12" i="299"/>
  <c r="AQ12" i="299"/>
  <c r="AO12" i="299"/>
  <c r="AN12" i="299"/>
  <c r="AM12" i="299"/>
  <c r="AL12" i="299"/>
  <c r="AK12" i="299"/>
  <c r="AJ12" i="299"/>
  <c r="AI12" i="299"/>
  <c r="AH12" i="299"/>
  <c r="X12" i="299"/>
  <c r="W12" i="299"/>
  <c r="R12" i="299"/>
  <c r="Q12" i="299"/>
  <c r="P12" i="299"/>
  <c r="O12" i="299"/>
  <c r="N12" i="299"/>
  <c r="AT11" i="299"/>
  <c r="AS11" i="299"/>
  <c r="AR11" i="299"/>
  <c r="AQ11" i="299"/>
  <c r="AO11" i="299"/>
  <c r="AN11" i="299"/>
  <c r="AM11" i="299"/>
  <c r="AL11" i="299"/>
  <c r="AK11" i="299"/>
  <c r="AJ11" i="299"/>
  <c r="AI11" i="299"/>
  <c r="AH11" i="299"/>
  <c r="X11" i="299"/>
  <c r="W11" i="299"/>
  <c r="W10" i="299" s="1"/>
  <c r="W9" i="299" s="1"/>
  <c r="W8" i="299" s="1"/>
  <c r="W18" i="299" s="1"/>
  <c r="R11" i="299"/>
  <c r="Q11" i="299"/>
  <c r="P11" i="299"/>
  <c r="S11" i="299" s="1"/>
  <c r="O11" i="299"/>
  <c r="N11" i="299"/>
  <c r="AT10" i="299"/>
  <c r="AS10" i="299"/>
  <c r="AR10" i="299"/>
  <c r="AQ10" i="299"/>
  <c r="Y10" i="299"/>
  <c r="Y9" i="299" s="1"/>
  <c r="Y8" i="299" s="1"/>
  <c r="Y18" i="299" s="1"/>
  <c r="V10" i="299"/>
  <c r="V9" i="299" s="1"/>
  <c r="V8" i="299" s="1"/>
  <c r="V18" i="299" s="1"/>
  <c r="V20" i="299" s="1"/>
  <c r="R10" i="299"/>
  <c r="R9" i="299" s="1"/>
  <c r="R8" i="299" s="1"/>
  <c r="R18" i="299" s="1"/>
  <c r="AT9" i="299"/>
  <c r="AS9" i="299"/>
  <c r="AR9" i="299"/>
  <c r="AQ9" i="299"/>
  <c r="AT8" i="299"/>
  <c r="AT18" i="299" s="1"/>
  <c r="AS8" i="299"/>
  <c r="AS18" i="299" s="1"/>
  <c r="AR8" i="299"/>
  <c r="AR18" i="299" s="1"/>
  <c r="AQ8" i="299"/>
  <c r="AQ18" i="299" s="1"/>
  <c r="X8" i="299"/>
  <c r="K8" i="299"/>
  <c r="Y3" i="299"/>
  <c r="AT22" i="295"/>
  <c r="AS22" i="295"/>
  <c r="AR22" i="295"/>
  <c r="AQ22" i="295"/>
  <c r="AO22" i="295"/>
  <c r="AN22" i="295"/>
  <c r="AM22" i="295"/>
  <c r="AL22" i="295"/>
  <c r="AK22" i="295"/>
  <c r="AJ22" i="295"/>
  <c r="AI22" i="295"/>
  <c r="AH22" i="295"/>
  <c r="X22" i="295"/>
  <c r="R22" i="295"/>
  <c r="Q22" i="295"/>
  <c r="S22" i="295" s="1"/>
  <c r="P22" i="295"/>
  <c r="O22" i="295"/>
  <c r="N22" i="295"/>
  <c r="AT21" i="295"/>
  <c r="AS21" i="295"/>
  <c r="AR21" i="295"/>
  <c r="AQ21" i="295"/>
  <c r="AH21" i="295"/>
  <c r="AH20" i="295" s="1"/>
  <c r="Y21" i="295"/>
  <c r="V21" i="295"/>
  <c r="R21" i="295"/>
  <c r="Q21" i="295"/>
  <c r="S21" i="295" s="1"/>
  <c r="P21" i="295"/>
  <c r="O21" i="295"/>
  <c r="M21" i="295"/>
  <c r="L21" i="295"/>
  <c r="AT20" i="295"/>
  <c r="AS20" i="295"/>
  <c r="AR20" i="295"/>
  <c r="AQ20" i="295"/>
  <c r="Y20" i="295"/>
  <c r="V20" i="295"/>
  <c r="R20" i="295"/>
  <c r="Q20" i="295"/>
  <c r="S20" i="295" s="1"/>
  <c r="P20" i="295"/>
  <c r="T20" i="295" s="1"/>
  <c r="O20" i="295"/>
  <c r="AT19" i="295"/>
  <c r="AS19" i="295"/>
  <c r="AR19" i="295"/>
  <c r="AQ19" i="295"/>
  <c r="AO19" i="295"/>
  <c r="AN19" i="295"/>
  <c r="AM19" i="295"/>
  <c r="AL19" i="295"/>
  <c r="AK19" i="295"/>
  <c r="AJ19" i="295"/>
  <c r="AI19" i="295"/>
  <c r="AH19" i="295"/>
  <c r="X19" i="295"/>
  <c r="V19" i="295"/>
  <c r="U19" i="295"/>
  <c r="Q19" i="295"/>
  <c r="P19" i="295"/>
  <c r="S19" i="295" s="1"/>
  <c r="O19" i="295"/>
  <c r="N19" i="295"/>
  <c r="I19" i="295"/>
  <c r="H19" i="295"/>
  <c r="G19" i="295"/>
  <c r="F19" i="295"/>
  <c r="E19" i="295"/>
  <c r="D19" i="295"/>
  <c r="C19" i="295"/>
  <c r="B19" i="295"/>
  <c r="A19" i="295"/>
  <c r="AT18" i="295"/>
  <c r="AS18" i="295"/>
  <c r="AR18" i="295"/>
  <c r="AQ18" i="295"/>
  <c r="AO18" i="295"/>
  <c r="AN18" i="295"/>
  <c r="AM18" i="295"/>
  <c r="AL18" i="295"/>
  <c r="AK18" i="295"/>
  <c r="AJ18" i="295"/>
  <c r="AI18" i="295"/>
  <c r="AH18" i="295"/>
  <c r="X18" i="295"/>
  <c r="V18" i="295"/>
  <c r="U18" i="295"/>
  <c r="Q18" i="295"/>
  <c r="P18" i="295"/>
  <c r="S18" i="295" s="1"/>
  <c r="O18" i="295"/>
  <c r="N18" i="295"/>
  <c r="I18" i="295"/>
  <c r="H18" i="295"/>
  <c r="G18" i="295"/>
  <c r="F18" i="295"/>
  <c r="E18" i="295"/>
  <c r="D18" i="295"/>
  <c r="C18" i="295"/>
  <c r="B18" i="295"/>
  <c r="A18" i="295"/>
  <c r="AT17" i="295"/>
  <c r="AS17" i="295"/>
  <c r="AR17" i="295"/>
  <c r="AQ17" i="295"/>
  <c r="AO17" i="295"/>
  <c r="AN17" i="295"/>
  <c r="AM17" i="295"/>
  <c r="AL17" i="295"/>
  <c r="AK17" i="295"/>
  <c r="AJ17" i="295"/>
  <c r="AI17" i="295"/>
  <c r="AH17" i="295"/>
  <c r="X17" i="295"/>
  <c r="V17" i="295"/>
  <c r="U17" i="295"/>
  <c r="Q17" i="295"/>
  <c r="P17" i="295"/>
  <c r="S17" i="295" s="1"/>
  <c r="O17" i="295"/>
  <c r="N17" i="295"/>
  <c r="I17" i="295"/>
  <c r="H17" i="295"/>
  <c r="G17" i="295"/>
  <c r="F17" i="295"/>
  <c r="E17" i="295"/>
  <c r="D17" i="295"/>
  <c r="C17" i="295"/>
  <c r="B17" i="295"/>
  <c r="A17" i="295"/>
  <c r="AT16" i="295"/>
  <c r="AS16" i="295"/>
  <c r="AQ16" i="295"/>
  <c r="Y16" i="295"/>
  <c r="AR16" i="295" s="1"/>
  <c r="AT15" i="295"/>
  <c r="AS15" i="295"/>
  <c r="AR15" i="295"/>
  <c r="AQ15" i="295"/>
  <c r="AO15" i="295"/>
  <c r="AN15" i="295"/>
  <c r="AM15" i="295"/>
  <c r="AL15" i="295"/>
  <c r="AK15" i="295"/>
  <c r="AJ15" i="295"/>
  <c r="AI15" i="295"/>
  <c r="AH15" i="295"/>
  <c r="X15" i="295"/>
  <c r="U15" i="295"/>
  <c r="Q15" i="295"/>
  <c r="P15" i="295"/>
  <c r="O15" i="295"/>
  <c r="N15" i="295"/>
  <c r="I15" i="295"/>
  <c r="H15" i="295"/>
  <c r="G15" i="295"/>
  <c r="F15" i="295"/>
  <c r="E15" i="295"/>
  <c r="D15" i="295"/>
  <c r="C15" i="295"/>
  <c r="B15" i="295"/>
  <c r="A15" i="295"/>
  <c r="AT14" i="295"/>
  <c r="AS14" i="295"/>
  <c r="AR14" i="295"/>
  <c r="AQ14" i="295"/>
  <c r="AO14" i="295"/>
  <c r="AN14" i="295"/>
  <c r="AM14" i="295"/>
  <c r="AL14" i="295"/>
  <c r="AK14" i="295"/>
  <c r="AJ14" i="295"/>
  <c r="AI14" i="295"/>
  <c r="AH14" i="295"/>
  <c r="X14" i="295"/>
  <c r="U14" i="295"/>
  <c r="Q14" i="295"/>
  <c r="P14" i="295"/>
  <c r="O14" i="295"/>
  <c r="N14" i="295"/>
  <c r="I14" i="295"/>
  <c r="H14" i="295"/>
  <c r="G14" i="295"/>
  <c r="F14" i="295"/>
  <c r="E14" i="295"/>
  <c r="D14" i="295"/>
  <c r="C14" i="295"/>
  <c r="B14" i="295"/>
  <c r="A14" i="295"/>
  <c r="AT13" i="295"/>
  <c r="AS13" i="295"/>
  <c r="AR13" i="295"/>
  <c r="AQ13" i="295"/>
  <c r="AO13" i="295"/>
  <c r="AN13" i="295"/>
  <c r="AM13" i="295"/>
  <c r="AL13" i="295"/>
  <c r="AK13" i="295"/>
  <c r="AJ13" i="295"/>
  <c r="AI13" i="295"/>
  <c r="AH13" i="295"/>
  <c r="X13" i="295"/>
  <c r="U13" i="295"/>
  <c r="R13" i="295"/>
  <c r="Q13" i="295"/>
  <c r="S13" i="295" s="1"/>
  <c r="P13" i="295"/>
  <c r="O13" i="295"/>
  <c r="N13" i="295"/>
  <c r="I13" i="295"/>
  <c r="H13" i="295"/>
  <c r="G13" i="295"/>
  <c r="F13" i="295"/>
  <c r="E13" i="295"/>
  <c r="D13" i="295"/>
  <c r="C13" i="295"/>
  <c r="B13" i="295"/>
  <c r="A13" i="295"/>
  <c r="AT12" i="295"/>
  <c r="AS12" i="295"/>
  <c r="AR12" i="295"/>
  <c r="AQ12" i="295"/>
  <c r="AO12" i="295"/>
  <c r="AN12" i="295"/>
  <c r="AM12" i="295"/>
  <c r="AL12" i="295"/>
  <c r="AK12" i="295"/>
  <c r="AJ12" i="295"/>
  <c r="AI12" i="295"/>
  <c r="AH12" i="295"/>
  <c r="X12" i="295"/>
  <c r="V12" i="295"/>
  <c r="U12" i="295"/>
  <c r="R12" i="295"/>
  <c r="Q12" i="295"/>
  <c r="P12" i="295"/>
  <c r="O12" i="295"/>
  <c r="N12" i="295"/>
  <c r="I12" i="295"/>
  <c r="H12" i="295"/>
  <c r="G12" i="295"/>
  <c r="F12" i="295"/>
  <c r="E12" i="295"/>
  <c r="D12" i="295"/>
  <c r="C12" i="295"/>
  <c r="B12" i="295"/>
  <c r="A12" i="295"/>
  <c r="AT11" i="295"/>
  <c r="AS11" i="295"/>
  <c r="AR11" i="295"/>
  <c r="AQ11" i="295"/>
  <c r="AO11" i="295"/>
  <c r="AN11" i="295"/>
  <c r="AM11" i="295"/>
  <c r="AL11" i="295"/>
  <c r="AK11" i="295"/>
  <c r="AJ11" i="295"/>
  <c r="AI11" i="295"/>
  <c r="AH11" i="295"/>
  <c r="X11" i="295"/>
  <c r="V11" i="295"/>
  <c r="U11" i="295"/>
  <c r="R11" i="295"/>
  <c r="Q11" i="295"/>
  <c r="P11" i="295"/>
  <c r="O11" i="295"/>
  <c r="O10" i="295" s="1"/>
  <c r="O9" i="295" s="1"/>
  <c r="O8" i="295" s="1"/>
  <c r="O23" i="295" s="1"/>
  <c r="N11" i="295"/>
  <c r="I11" i="295"/>
  <c r="H11" i="295"/>
  <c r="G11" i="295"/>
  <c r="F11" i="295"/>
  <c r="E11" i="295"/>
  <c r="D11" i="295"/>
  <c r="C11" i="295"/>
  <c r="B11" i="295"/>
  <c r="A11" i="295"/>
  <c r="AT10" i="295"/>
  <c r="AS10" i="295"/>
  <c r="AR10" i="295"/>
  <c r="AQ10" i="295"/>
  <c r="AH10" i="295"/>
  <c r="Y10" i="295"/>
  <c r="AJ10" i="295" s="1"/>
  <c r="W10" i="295"/>
  <c r="R10" i="295"/>
  <c r="Q10" i="295"/>
  <c r="P10" i="295"/>
  <c r="P9" i="295" s="1"/>
  <c r="M10" i="295"/>
  <c r="L10" i="295"/>
  <c r="AT9" i="295"/>
  <c r="AT23" i="295" s="1"/>
  <c r="AS9" i="295"/>
  <c r="AR9" i="295"/>
  <c r="AR23" i="295" s="1"/>
  <c r="AQ9" i="295"/>
  <c r="AQ23" i="295" s="1"/>
  <c r="AH9" i="295"/>
  <c r="W9" i="295"/>
  <c r="R9" i="295"/>
  <c r="Q9" i="295"/>
  <c r="Q8" i="295" s="1"/>
  <c r="Q23" i="295" s="1"/>
  <c r="L9" i="295"/>
  <c r="X8" i="295"/>
  <c r="R8" i="295"/>
  <c r="R23" i="295" s="1"/>
  <c r="K8" i="295"/>
  <c r="J8" i="295"/>
  <c r="Y3" i="295"/>
  <c r="F30" i="265"/>
  <c r="E20" i="265"/>
  <c r="E19" i="265" s="1"/>
  <c r="D20" i="265"/>
  <c r="F20" i="265" s="1"/>
  <c r="F19" i="265" s="1"/>
  <c r="E18" i="265"/>
  <c r="F18" i="265" s="1"/>
  <c r="D17" i="265"/>
  <c r="F17" i="265" s="1"/>
  <c r="E16" i="265"/>
  <c r="D16" i="265"/>
  <c r="F15" i="265"/>
  <c r="D15" i="265"/>
  <c r="E14" i="265"/>
  <c r="D14" i="265"/>
  <c r="E13" i="265"/>
  <c r="E12" i="265"/>
  <c r="D12" i="265"/>
  <c r="F12" i="265" s="1"/>
  <c r="E11" i="265"/>
  <c r="D11" i="265"/>
  <c r="F11" i="265" s="1"/>
  <c r="D10" i="265"/>
  <c r="F10" i="265" s="1"/>
  <c r="D9" i="265"/>
  <c r="F9" i="265" s="1"/>
  <c r="E8" i="265"/>
  <c r="E7" i="265" s="1"/>
  <c r="E21" i="265" s="1"/>
  <c r="D8" i="265"/>
  <c r="F8" i="265" s="1"/>
  <c r="N243" i="273"/>
  <c r="M243" i="273"/>
  <c r="AU233" i="273"/>
  <c r="AT233" i="273"/>
  <c r="T233" i="273"/>
  <c r="M232" i="273"/>
  <c r="L232" i="273"/>
  <c r="L233" i="273" s="1"/>
  <c r="BI231" i="273"/>
  <c r="BG231" i="273"/>
  <c r="BE231" i="273"/>
  <c r="N231" i="273"/>
  <c r="O228" i="273"/>
  <c r="N228" i="273"/>
  <c r="AU227" i="273"/>
  <c r="AT227" i="273"/>
  <c r="AW226" i="273"/>
  <c r="AV226" i="273"/>
  <c r="U226" i="273"/>
  <c r="T226" i="273"/>
  <c r="AW225" i="273"/>
  <c r="AA225" i="273"/>
  <c r="X225" i="273"/>
  <c r="AW224" i="273"/>
  <c r="AA224" i="273"/>
  <c r="X224" i="273"/>
  <c r="AW223" i="273"/>
  <c r="X223" i="273"/>
  <c r="AW222" i="273"/>
  <c r="AG222" i="273"/>
  <c r="AA222" i="273"/>
  <c r="X222" i="273"/>
  <c r="AW221" i="273"/>
  <c r="AA221" i="273"/>
  <c r="X221" i="273"/>
  <c r="AW220" i="273"/>
  <c r="AA220" i="273"/>
  <c r="X220" i="273"/>
  <c r="AW219" i="273"/>
  <c r="AA219" i="273"/>
  <c r="X219" i="273"/>
  <c r="AW218" i="273"/>
  <c r="AA218" i="273"/>
  <c r="X218" i="273"/>
  <c r="AW217" i="273"/>
  <c r="AG217" i="273"/>
  <c r="X217" i="273"/>
  <c r="AW216" i="273"/>
  <c r="AG216" i="273"/>
  <c r="AA216" i="273"/>
  <c r="X216" i="273"/>
  <c r="AW215" i="273"/>
  <c r="X215" i="273"/>
  <c r="AW214" i="273"/>
  <c r="AA214" i="273"/>
  <c r="X214" i="273"/>
  <c r="AW213" i="273"/>
  <c r="AG213" i="273"/>
  <c r="AG210" i="273" s="1"/>
  <c r="AA213" i="273"/>
  <c r="X213" i="273"/>
  <c r="Q213" i="273"/>
  <c r="P213" i="273"/>
  <c r="M213" i="273"/>
  <c r="AW212" i="273"/>
  <c r="X212" i="273"/>
  <c r="Q212" i="273"/>
  <c r="P212" i="273"/>
  <c r="M212" i="273"/>
  <c r="AW211" i="273"/>
  <c r="X211" i="273"/>
  <c r="Q211" i="273"/>
  <c r="P211" i="273"/>
  <c r="M211" i="273"/>
  <c r="AT210" i="273"/>
  <c r="AA210" i="273"/>
  <c r="X210" i="273"/>
  <c r="AW209" i="273"/>
  <c r="AG209" i="273"/>
  <c r="AA209" i="273"/>
  <c r="AA206" i="273" s="1"/>
  <c r="X209" i="273"/>
  <c r="Q209" i="273"/>
  <c r="P209" i="273"/>
  <c r="M209" i="273"/>
  <c r="AW208" i="273"/>
  <c r="X208" i="273"/>
  <c r="Q208" i="273"/>
  <c r="P208" i="273"/>
  <c r="M208" i="273"/>
  <c r="AW207" i="273"/>
  <c r="X207" i="273"/>
  <c r="Q207" i="273"/>
  <c r="P207" i="273"/>
  <c r="M207" i="273"/>
  <c r="AT206" i="273"/>
  <c r="AG206" i="273"/>
  <c r="X206" i="273"/>
  <c r="AW205" i="273"/>
  <c r="AA205" i="273"/>
  <c r="X205" i="273"/>
  <c r="AW204" i="273"/>
  <c r="AG204" i="273"/>
  <c r="AA204" i="273"/>
  <c r="AA201" i="273" s="1"/>
  <c r="Q204" i="273"/>
  <c r="P204" i="273"/>
  <c r="M204" i="273"/>
  <c r="AW203" i="273"/>
  <c r="Q203" i="273"/>
  <c r="P203" i="273"/>
  <c r="M203" i="273"/>
  <c r="AW202" i="273"/>
  <c r="V202" i="273"/>
  <c r="X202" i="273" s="1"/>
  <c r="Q202" i="273"/>
  <c r="P202" i="273"/>
  <c r="M202" i="273"/>
  <c r="AT201" i="273"/>
  <c r="AG201" i="273"/>
  <c r="V201" i="273"/>
  <c r="X201" i="273" s="1"/>
  <c r="AW200" i="273"/>
  <c r="AA200" i="273"/>
  <c r="V200" i="273"/>
  <c r="X200" i="273" s="1"/>
  <c r="AW199" i="273"/>
  <c r="V199" i="273"/>
  <c r="X199" i="273" s="1"/>
  <c r="AW198" i="273"/>
  <c r="V198" i="273"/>
  <c r="X198" i="273" s="1"/>
  <c r="AW197" i="273"/>
  <c r="AW196" i="273"/>
  <c r="AA196" i="273"/>
  <c r="X196" i="273"/>
  <c r="AW195" i="273"/>
  <c r="X195" i="273"/>
  <c r="Q195" i="273"/>
  <c r="P195" i="273"/>
  <c r="AW194" i="273"/>
  <c r="X194" i="273"/>
  <c r="Q194" i="273"/>
  <c r="P194" i="273"/>
  <c r="AW193" i="273"/>
  <c r="X193" i="273"/>
  <c r="Q193" i="273"/>
  <c r="P193" i="273"/>
  <c r="AW192" i="273"/>
  <c r="X192" i="273"/>
  <c r="Q192" i="273"/>
  <c r="P192" i="273"/>
  <c r="AW191" i="273"/>
  <c r="X191" i="273"/>
  <c r="Q191" i="273"/>
  <c r="P191" i="273"/>
  <c r="AW190" i="273"/>
  <c r="X190" i="273"/>
  <c r="X189" i="273" s="1"/>
  <c r="Q190" i="273"/>
  <c r="P190" i="273"/>
  <c r="AT189" i="273"/>
  <c r="AG189" i="273"/>
  <c r="AA189" i="273"/>
  <c r="W189" i="273"/>
  <c r="V189" i="273"/>
  <c r="U189" i="273"/>
  <c r="T189" i="273"/>
  <c r="AW188" i="273"/>
  <c r="AA188" i="273"/>
  <c r="X188" i="273"/>
  <c r="AW187" i="273"/>
  <c r="AA187" i="273"/>
  <c r="X187" i="273"/>
  <c r="AW186" i="273"/>
  <c r="AA186" i="273"/>
  <c r="X186" i="273"/>
  <c r="AW185" i="273"/>
  <c r="AA185" i="273"/>
  <c r="X185" i="273"/>
  <c r="AW184" i="273"/>
  <c r="AA184" i="273"/>
  <c r="X184" i="273"/>
  <c r="AW183" i="273"/>
  <c r="X183" i="273"/>
  <c r="Q183" i="273"/>
  <c r="P183" i="273"/>
  <c r="AW182" i="273"/>
  <c r="X182" i="273"/>
  <c r="Q182" i="273"/>
  <c r="P182" i="273"/>
  <c r="AW181" i="273"/>
  <c r="X181" i="273"/>
  <c r="Q181" i="273"/>
  <c r="P181" i="273"/>
  <c r="X180" i="273"/>
  <c r="Q180" i="273"/>
  <c r="P180" i="273"/>
  <c r="X179" i="273"/>
  <c r="Q179" i="273"/>
  <c r="P179" i="273"/>
  <c r="X178" i="273"/>
  <c r="X175" i="273" s="1"/>
  <c r="Q178" i="273"/>
  <c r="P178" i="273"/>
  <c r="X177" i="273"/>
  <c r="Q177" i="273"/>
  <c r="P177" i="273"/>
  <c r="AU176" i="273"/>
  <c r="AT176" i="273"/>
  <c r="AT175" i="273"/>
  <c r="AG175" i="273"/>
  <c r="AA175" i="273"/>
  <c r="W175" i="273"/>
  <c r="V175" i="273"/>
  <c r="U175" i="273"/>
  <c r="T175" i="273"/>
  <c r="AW174" i="273"/>
  <c r="X174" i="273"/>
  <c r="AW173" i="273"/>
  <c r="X173" i="273"/>
  <c r="AW172" i="273"/>
  <c r="X172" i="273"/>
  <c r="X171" i="273"/>
  <c r="AW170" i="273"/>
  <c r="X170" i="273"/>
  <c r="AW169" i="273"/>
  <c r="X169" i="273"/>
  <c r="X168" i="273"/>
  <c r="AW167" i="273"/>
  <c r="AA167" i="273"/>
  <c r="X167" i="273"/>
  <c r="AW166" i="273"/>
  <c r="AA166" i="273"/>
  <c r="X166" i="273"/>
  <c r="AW165" i="273"/>
  <c r="X165" i="273"/>
  <c r="AW164" i="273"/>
  <c r="AG164" i="273"/>
  <c r="X164" i="273"/>
  <c r="AW163" i="273"/>
  <c r="X163" i="273"/>
  <c r="AW162" i="273"/>
  <c r="AA162" i="273"/>
  <c r="X162" i="273"/>
  <c r="AW161" i="273"/>
  <c r="AA161" i="273"/>
  <c r="X161" i="273"/>
  <c r="AW160" i="273"/>
  <c r="AA160" i="273"/>
  <c r="X160" i="273"/>
  <c r="AW159" i="273"/>
  <c r="X159" i="273"/>
  <c r="AF158" i="273"/>
  <c r="X158" i="273"/>
  <c r="AT157" i="273"/>
  <c r="AG157" i="273"/>
  <c r="AA157" i="273"/>
  <c r="X157" i="273"/>
  <c r="W157" i="273"/>
  <c r="V157" i="273"/>
  <c r="U157" i="273"/>
  <c r="T157" i="273"/>
  <c r="AW156" i="273"/>
  <c r="X156" i="273"/>
  <c r="AF155" i="273"/>
  <c r="X155" i="273"/>
  <c r="AU154" i="273"/>
  <c r="AT154" i="273"/>
  <c r="AT153" i="273"/>
  <c r="AG153" i="273"/>
  <c r="AA153" i="273"/>
  <c r="X153" i="273"/>
  <c r="W153" i="273"/>
  <c r="V153" i="273"/>
  <c r="U153" i="273"/>
  <c r="T153" i="273"/>
  <c r="AW152" i="273"/>
  <c r="AG152" i="273"/>
  <c r="AA152" i="273"/>
  <c r="X152" i="273"/>
  <c r="AG151" i="273"/>
  <c r="AF151" i="273"/>
  <c r="X151" i="273"/>
  <c r="AW150" i="273"/>
  <c r="AA150" i="273"/>
  <c r="X150" i="273"/>
  <c r="AW149" i="273"/>
  <c r="AG149" i="273"/>
  <c r="X149" i="273"/>
  <c r="AW148" i="273"/>
  <c r="AA148" i="273"/>
  <c r="X148" i="273"/>
  <c r="AW147" i="273"/>
  <c r="AA147" i="273"/>
  <c r="X147" i="273"/>
  <c r="AW146" i="273"/>
  <c r="AA146" i="273"/>
  <c r="X146" i="273"/>
  <c r="AW145" i="273"/>
  <c r="AA145" i="273"/>
  <c r="X145" i="273"/>
  <c r="BJ144" i="273"/>
  <c r="AF144" i="273"/>
  <c r="AA144" i="273"/>
  <c r="X144" i="273"/>
  <c r="AU143" i="273"/>
  <c r="AT143" i="273"/>
  <c r="AW142" i="273"/>
  <c r="AA142" i="273"/>
  <c r="X142" i="273"/>
  <c r="AW141" i="273"/>
  <c r="AA141" i="273"/>
  <c r="X141" i="273"/>
  <c r="AW140" i="273"/>
  <c r="AA140" i="273"/>
  <c r="X140" i="273"/>
  <c r="AW139" i="273"/>
  <c r="AA139" i="273"/>
  <c r="X139" i="273"/>
  <c r="BJ138" i="273"/>
  <c r="AF138" i="273"/>
  <c r="AA138" i="273"/>
  <c r="X138" i="273"/>
  <c r="AW137" i="273"/>
  <c r="AA137" i="273"/>
  <c r="V137" i="273"/>
  <c r="X137" i="273" s="1"/>
  <c r="AW136" i="273"/>
  <c r="AA136" i="273"/>
  <c r="V136" i="273"/>
  <c r="X136" i="273" s="1"/>
  <c r="AW135" i="273"/>
  <c r="AA135" i="273"/>
  <c r="X135" i="273"/>
  <c r="AW134" i="273"/>
  <c r="X134" i="273"/>
  <c r="BJ133" i="273"/>
  <c r="BJ231" i="273" s="1"/>
  <c r="BJ232" i="273" s="1"/>
  <c r="AW133" i="273"/>
  <c r="X133" i="273"/>
  <c r="X123" i="273" s="1"/>
  <c r="AU132" i="273"/>
  <c r="AT132" i="273"/>
  <c r="AT123" i="273"/>
  <c r="AG123" i="273"/>
  <c r="W123" i="273"/>
  <c r="V123" i="273"/>
  <c r="U123" i="273"/>
  <c r="T123" i="273"/>
  <c r="AA134" i="273" s="1"/>
  <c r="AA123" i="273" s="1"/>
  <c r="AW122" i="273"/>
  <c r="V122" i="273"/>
  <c r="X122" i="273" s="1"/>
  <c r="AW121" i="273"/>
  <c r="AG121" i="273"/>
  <c r="X121" i="273"/>
  <c r="AW120" i="273"/>
  <c r="AA120" i="273"/>
  <c r="X120" i="273"/>
  <c r="AW119" i="273"/>
  <c r="AA119" i="273"/>
  <c r="X119" i="273"/>
  <c r="AW118" i="273"/>
  <c r="AA118" i="273"/>
  <c r="X118" i="273"/>
  <c r="AW117" i="273"/>
  <c r="AT117" i="273"/>
  <c r="AA117" i="273"/>
  <c r="X117" i="273"/>
  <c r="AW116" i="273"/>
  <c r="AG116" i="273"/>
  <c r="X116" i="273"/>
  <c r="AW115" i="273"/>
  <c r="AA115" i="273"/>
  <c r="X115" i="273"/>
  <c r="AW114" i="273"/>
  <c r="X114" i="273"/>
  <c r="AW113" i="273"/>
  <c r="AG113" i="273"/>
  <c r="X113" i="273"/>
  <c r="AG112" i="273"/>
  <c r="X112" i="273"/>
  <c r="BF111" i="273"/>
  <c r="AW111" i="273"/>
  <c r="X111" i="273"/>
  <c r="AW110" i="273"/>
  <c r="X110" i="273"/>
  <c r="AT109" i="273"/>
  <c r="X109" i="273"/>
  <c r="W109" i="273"/>
  <c r="V109" i="273"/>
  <c r="U109" i="273"/>
  <c r="T109" i="273"/>
  <c r="AA110" i="273" s="1"/>
  <c r="AW108" i="273"/>
  <c r="AT108" i="273"/>
  <c r="X108" i="273"/>
  <c r="AW107" i="273"/>
  <c r="X107" i="273"/>
  <c r="BF106" i="273"/>
  <c r="AW106" i="273"/>
  <c r="X106" i="273"/>
  <c r="AA105" i="273"/>
  <c r="AA108" i="273" s="1"/>
  <c r="X105" i="273"/>
  <c r="AW104" i="273"/>
  <c r="AA104" i="273"/>
  <c r="X104" i="273"/>
  <c r="AW103" i="273"/>
  <c r="AA103" i="273"/>
  <c r="X103" i="273"/>
  <c r="AW102" i="273"/>
  <c r="AA102" i="273"/>
  <c r="X102" i="273"/>
  <c r="AW101" i="273"/>
  <c r="AG101" i="273"/>
  <c r="AA101" i="273"/>
  <c r="X101" i="273"/>
  <c r="AW100" i="273"/>
  <c r="AG100" i="273"/>
  <c r="AA100" i="273"/>
  <c r="X100" i="273"/>
  <c r="AW99" i="273"/>
  <c r="X99" i="273"/>
  <c r="BF98" i="273"/>
  <c r="AW98" i="273"/>
  <c r="X98" i="273"/>
  <c r="AG97" i="273"/>
  <c r="AA97" i="273"/>
  <c r="X97" i="273"/>
  <c r="AW96" i="273"/>
  <c r="AA96" i="273"/>
  <c r="X96" i="273"/>
  <c r="AW95" i="273"/>
  <c r="AF95" i="273"/>
  <c r="AA95" i="273"/>
  <c r="AG95" i="273" s="1"/>
  <c r="X95" i="273"/>
  <c r="AW94" i="273"/>
  <c r="AA94" i="273"/>
  <c r="AG94" i="273" s="1"/>
  <c r="X94" i="273"/>
  <c r="AW93" i="273"/>
  <c r="AA93" i="273"/>
  <c r="AG93" i="273" s="1"/>
  <c r="X93" i="273"/>
  <c r="AW92" i="273"/>
  <c r="AA92" i="273"/>
  <c r="AG92" i="273" s="1"/>
  <c r="X92" i="273"/>
  <c r="AW91" i="273"/>
  <c r="AA91" i="273"/>
  <c r="AG91" i="273" s="1"/>
  <c r="X91" i="273"/>
  <c r="AW90" i="273"/>
  <c r="AF90" i="273"/>
  <c r="AA90" i="273"/>
  <c r="AG90" i="273" s="1"/>
  <c r="X90" i="273"/>
  <c r="AW89" i="273"/>
  <c r="AF89" i="273"/>
  <c r="AA89" i="273"/>
  <c r="X89" i="273"/>
  <c r="AW88" i="273"/>
  <c r="AF88" i="273"/>
  <c r="AA88" i="273"/>
  <c r="AC234" i="273" s="1"/>
  <c r="X88" i="273"/>
  <c r="BF87" i="273"/>
  <c r="AW87" i="273"/>
  <c r="AA87" i="273"/>
  <c r="AG87" i="273" s="1"/>
  <c r="X87" i="273"/>
  <c r="AW86" i="273"/>
  <c r="AA86" i="273"/>
  <c r="AG86" i="273" s="1"/>
  <c r="X86" i="273"/>
  <c r="AW85" i="273"/>
  <c r="AG85" i="273"/>
  <c r="X85" i="273"/>
  <c r="BF84" i="273"/>
  <c r="BF231" i="273" s="1"/>
  <c r="BF232" i="273" s="1"/>
  <c r="AW84" i="273"/>
  <c r="AA84" i="273"/>
  <c r="X84" i="273"/>
  <c r="AW83" i="273"/>
  <c r="AA83" i="273"/>
  <c r="X83" i="273"/>
  <c r="AW82" i="273"/>
  <c r="AG82" i="273"/>
  <c r="X82" i="273"/>
  <c r="AW81" i="273"/>
  <c r="AA81" i="273"/>
  <c r="X81" i="273"/>
  <c r="AW80" i="273"/>
  <c r="AA80" i="273"/>
  <c r="X80" i="273"/>
  <c r="AW79" i="273"/>
  <c r="AA79" i="273"/>
  <c r="X79" i="273"/>
  <c r="AW78" i="273"/>
  <c r="AA78" i="273"/>
  <c r="X78" i="273"/>
  <c r="AW77" i="273"/>
  <c r="AA77" i="273"/>
  <c r="X77" i="273"/>
  <c r="AW76" i="273"/>
  <c r="AA76" i="273"/>
  <c r="X76" i="273"/>
  <c r="AW75" i="273"/>
  <c r="X75" i="273"/>
  <c r="AW74" i="273"/>
  <c r="X74" i="273"/>
  <c r="X73" i="273"/>
  <c r="X69" i="273" s="1"/>
  <c r="AW72" i="273"/>
  <c r="X72" i="273"/>
  <c r="AW71" i="273"/>
  <c r="X71" i="273"/>
  <c r="X70" i="273"/>
  <c r="AT69" i="273"/>
  <c r="AG69" i="273"/>
  <c r="AA69" i="273"/>
  <c r="W69" i="273"/>
  <c r="V69" i="273"/>
  <c r="U69" i="273"/>
  <c r="T69" i="273"/>
  <c r="AW68" i="273"/>
  <c r="AA68" i="273"/>
  <c r="X68" i="273"/>
  <c r="AW67" i="273"/>
  <c r="AA67" i="273"/>
  <c r="V67" i="273"/>
  <c r="X67" i="273" s="1"/>
  <c r="AW66" i="273"/>
  <c r="AA66" i="273"/>
  <c r="V66" i="273"/>
  <c r="X66" i="273" s="1"/>
  <c r="AW65" i="273"/>
  <c r="X65" i="273"/>
  <c r="V65" i="273"/>
  <c r="Q65" i="273"/>
  <c r="P65" i="273"/>
  <c r="M65" i="273"/>
  <c r="AW64" i="273"/>
  <c r="AU64" i="273"/>
  <c r="AT64" i="273"/>
  <c r="AA64" i="273"/>
  <c r="AA61" i="273" s="1"/>
  <c r="V64" i="273"/>
  <c r="X64" i="273" s="1"/>
  <c r="Q64" i="273"/>
  <c r="P64" i="273"/>
  <c r="M64" i="273"/>
  <c r="AU63" i="273"/>
  <c r="AT63" i="273"/>
  <c r="V62" i="273"/>
  <c r="X62" i="273" s="1"/>
  <c r="Q62" i="273"/>
  <c r="P62" i="273"/>
  <c r="M62" i="273"/>
  <c r="AT61" i="273"/>
  <c r="AG61" i="273"/>
  <c r="V61" i="273"/>
  <c r="X61" i="273" s="1"/>
  <c r="AW60" i="273"/>
  <c r="AG60" i="273"/>
  <c r="V60" i="273"/>
  <c r="X60" i="273" s="1"/>
  <c r="AW59" i="273"/>
  <c r="AG59" i="273"/>
  <c r="V59" i="273"/>
  <c r="X59" i="273" s="1"/>
  <c r="AW58" i="273"/>
  <c r="AA58" i="273"/>
  <c r="AG58" i="273" s="1"/>
  <c r="V58" i="273"/>
  <c r="X58" i="273" s="1"/>
  <c r="AW57" i="273"/>
  <c r="X57" i="273"/>
  <c r="AW56" i="273"/>
  <c r="AA56" i="273"/>
  <c r="AG56" i="273" s="1"/>
  <c r="V56" i="273"/>
  <c r="X56" i="273" s="1"/>
  <c r="AW55" i="273"/>
  <c r="AA55" i="273"/>
  <c r="AG55" i="273" s="1"/>
  <c r="V55" i="273"/>
  <c r="X55" i="273" s="1"/>
  <c r="AW54" i="273"/>
  <c r="AB54" i="273"/>
  <c r="X54" i="273"/>
  <c r="Q54" i="273"/>
  <c r="P54" i="273"/>
  <c r="M54" i="273"/>
  <c r="AW53" i="273"/>
  <c r="X53" i="273"/>
  <c r="Q53" i="273"/>
  <c r="P53" i="273"/>
  <c r="M53" i="273"/>
  <c r="AW52" i="273"/>
  <c r="X52" i="273"/>
  <c r="Q52" i="273"/>
  <c r="P52" i="273"/>
  <c r="M52" i="273"/>
  <c r="AW51" i="273"/>
  <c r="X51" i="273"/>
  <c r="V51" i="273"/>
  <c r="Q51" i="273"/>
  <c r="Q228" i="273" s="1"/>
  <c r="P51" i="273"/>
  <c r="M51" i="273"/>
  <c r="AT50" i="273"/>
  <c r="AG50" i="273"/>
  <c r="AB50" i="273"/>
  <c r="AA50" i="273"/>
  <c r="AB51" i="273" s="1"/>
  <c r="V50" i="273"/>
  <c r="X50" i="273" s="1"/>
  <c r="AW49" i="273"/>
  <c r="AG49" i="273"/>
  <c r="V49" i="273"/>
  <c r="X49" i="273" s="1"/>
  <c r="AW48" i="273"/>
  <c r="AG48" i="273"/>
  <c r="AA48" i="273"/>
  <c r="X48" i="273"/>
  <c r="V48" i="273"/>
  <c r="AW47" i="273"/>
  <c r="V47" i="273"/>
  <c r="X47" i="273" s="1"/>
  <c r="AW46" i="273"/>
  <c r="V46" i="273"/>
  <c r="X46" i="273" s="1"/>
  <c r="AT45" i="273"/>
  <c r="AA45" i="273"/>
  <c r="V45" i="273"/>
  <c r="X45" i="273" s="1"/>
  <c r="AW44" i="273"/>
  <c r="AG43" i="273"/>
  <c r="X43" i="273"/>
  <c r="AG42" i="273"/>
  <c r="X42" i="273"/>
  <c r="AT41" i="273"/>
  <c r="AG41" i="273"/>
  <c r="AA41" i="273"/>
  <c r="AA39" i="273" s="1"/>
  <c r="X41" i="273"/>
  <c r="AW40" i="273"/>
  <c r="AG40" i="273"/>
  <c r="AG39" i="273" s="1"/>
  <c r="X40" i="273"/>
  <c r="X39" i="273" s="1"/>
  <c r="AT39" i="273"/>
  <c r="W39" i="273"/>
  <c r="V39" i="273"/>
  <c r="U39" i="273"/>
  <c r="T39" i="273"/>
  <c r="AW38" i="273"/>
  <c r="AG38" i="273"/>
  <c r="X38" i="273"/>
  <c r="AW37" i="273"/>
  <c r="AG37" i="273"/>
  <c r="X37" i="273"/>
  <c r="AW36" i="273"/>
  <c r="AG36" i="273"/>
  <c r="X36" i="273"/>
  <c r="AW35" i="273"/>
  <c r="AT35" i="273"/>
  <c r="AX228" i="273" s="1"/>
  <c r="AG35" i="273"/>
  <c r="AA35" i="273"/>
  <c r="AA30" i="273" s="1"/>
  <c r="X35" i="273"/>
  <c r="AW34" i="273"/>
  <c r="X34" i="273"/>
  <c r="AW33" i="273"/>
  <c r="AG33" i="273"/>
  <c r="X33" i="273"/>
  <c r="AW32" i="273"/>
  <c r="AG32" i="273"/>
  <c r="X32" i="273"/>
  <c r="AW31" i="273"/>
  <c r="AG31" i="273"/>
  <c r="X31" i="273"/>
  <c r="AT30" i="273"/>
  <c r="AG30" i="273"/>
  <c r="X30" i="273"/>
  <c r="W30" i="273"/>
  <c r="V30" i="273"/>
  <c r="U30" i="273"/>
  <c r="T30" i="273"/>
  <c r="AW29" i="273"/>
  <c r="AG29" i="273"/>
  <c r="X29" i="273"/>
  <c r="X28" i="273"/>
  <c r="BH27" i="273"/>
  <c r="AW27" i="273"/>
  <c r="AW26" i="273"/>
  <c r="AA26" i="273"/>
  <c r="AG26" i="273" s="1"/>
  <c r="X26" i="273"/>
  <c r="AW25" i="273"/>
  <c r="AG25" i="273"/>
  <c r="X25" i="273"/>
  <c r="AW24" i="273"/>
  <c r="AG24" i="273"/>
  <c r="X24" i="273"/>
  <c r="AW23" i="273"/>
  <c r="AG23" i="273"/>
  <c r="X23" i="273"/>
  <c r="AW22" i="273"/>
  <c r="AG22" i="273"/>
  <c r="X22" i="273"/>
  <c r="AW21" i="273"/>
  <c r="AG21" i="273"/>
  <c r="X21" i="273"/>
  <c r="AW20" i="273"/>
  <c r="AA20" i="273"/>
  <c r="AG20" i="273" s="1"/>
  <c r="X20" i="273"/>
  <c r="AW19" i="273"/>
  <c r="AG19" i="273"/>
  <c r="AE19" i="273"/>
  <c r="AA19" i="273"/>
  <c r="X19" i="273"/>
  <c r="AW18" i="273"/>
  <c r="AG18" i="273"/>
  <c r="V18" i="273"/>
  <c r="X18" i="273" s="1"/>
  <c r="AW17" i="273"/>
  <c r="AG17" i="273"/>
  <c r="V17" i="273"/>
  <c r="X17" i="273" s="1"/>
  <c r="AW16" i="273"/>
  <c r="AG16" i="273"/>
  <c r="X16" i="273"/>
  <c r="AW15" i="273"/>
  <c r="AG15" i="273"/>
  <c r="X15" i="273"/>
  <c r="AW14" i="273"/>
  <c r="AG14" i="273"/>
  <c r="X14" i="273"/>
  <c r="BH13" i="273"/>
  <c r="AF13" i="273"/>
  <c r="X13" i="273"/>
  <c r="BH12" i="273"/>
  <c r="X12" i="273"/>
  <c r="BH11" i="273"/>
  <c r="AF11" i="273"/>
  <c r="X11" i="273"/>
  <c r="BH10" i="273"/>
  <c r="BH231" i="273" s="1"/>
  <c r="BH232" i="273" s="1"/>
  <c r="X10" i="273"/>
  <c r="AU9" i="273"/>
  <c r="AU230" i="273" s="1"/>
  <c r="AU234" i="273" s="1"/>
  <c r="AT9" i="273"/>
  <c r="AT230" i="273" s="1"/>
  <c r="AW7" i="273"/>
  <c r="AT7" i="273"/>
  <c r="AG7" i="273"/>
  <c r="AA7" i="273"/>
  <c r="W7" i="273"/>
  <c r="V7" i="273"/>
  <c r="U7" i="273"/>
  <c r="T7" i="273"/>
  <c r="X6" i="273"/>
  <c r="X5" i="273"/>
  <c r="AW4" i="273"/>
  <c r="AT4" i="273"/>
  <c r="AG4" i="273"/>
  <c r="AA4" i="273"/>
  <c r="X4" i="273"/>
  <c r="Y261" i="270"/>
  <c r="R259" i="270"/>
  <c r="R258" i="270" s="1"/>
  <c r="R256" i="270"/>
  <c r="R255" i="270"/>
  <c r="Y254" i="270"/>
  <c r="X254" i="270"/>
  <c r="W254" i="270"/>
  <c r="V254" i="270"/>
  <c r="U254" i="270"/>
  <c r="T254" i="270"/>
  <c r="S254" i="270"/>
  <c r="R254" i="270"/>
  <c r="R253" i="270" s="1"/>
  <c r="R252" i="270" s="1"/>
  <c r="Q254" i="270"/>
  <c r="P254" i="270"/>
  <c r="O254" i="270"/>
  <c r="N254" i="270"/>
  <c r="I254" i="270"/>
  <c r="H254" i="270"/>
  <c r="G254" i="270"/>
  <c r="F254" i="270"/>
  <c r="E254" i="270"/>
  <c r="D254" i="270"/>
  <c r="C254" i="270"/>
  <c r="B254" i="270"/>
  <c r="A254" i="270"/>
  <c r="W253" i="270"/>
  <c r="U253" i="270"/>
  <c r="T253" i="270"/>
  <c r="T252" i="270" s="1"/>
  <c r="M253" i="270"/>
  <c r="L253" i="270"/>
  <c r="W252" i="270"/>
  <c r="U252" i="270"/>
  <c r="L252" i="270"/>
  <c r="Y251" i="270"/>
  <c r="X251" i="270"/>
  <c r="W251" i="270"/>
  <c r="V251" i="270"/>
  <c r="U251" i="270"/>
  <c r="T251" i="270"/>
  <c r="S251" i="270"/>
  <c r="R251" i="270"/>
  <c r="R250" i="270" s="1"/>
  <c r="R249" i="270" s="1"/>
  <c r="Q251" i="270"/>
  <c r="P251" i="270"/>
  <c r="O251" i="270"/>
  <c r="N251" i="270"/>
  <c r="I251" i="270"/>
  <c r="H251" i="270"/>
  <c r="G251" i="270"/>
  <c r="F251" i="270"/>
  <c r="E251" i="270"/>
  <c r="D251" i="270"/>
  <c r="C251" i="270"/>
  <c r="B251" i="270"/>
  <c r="A251" i="270"/>
  <c r="W250" i="270"/>
  <c r="U250" i="270"/>
  <c r="U249" i="270" s="1"/>
  <c r="T250" i="270"/>
  <c r="T249" i="270" s="1"/>
  <c r="M250" i="270"/>
  <c r="L250" i="270"/>
  <c r="W249" i="270"/>
  <c r="L249" i="270"/>
  <c r="R244" i="270"/>
  <c r="R243" i="270"/>
  <c r="Y242" i="270"/>
  <c r="X242" i="270"/>
  <c r="W242" i="270"/>
  <c r="V242" i="270"/>
  <c r="S242" i="270"/>
  <c r="R242" i="270"/>
  <c r="R241" i="270" s="1"/>
  <c r="T241" i="270" s="1"/>
  <c r="T240" i="270" s="1"/>
  <c r="Q242" i="270"/>
  <c r="P242" i="270"/>
  <c r="O242" i="270"/>
  <c r="I242" i="270"/>
  <c r="H242" i="270"/>
  <c r="G242" i="270"/>
  <c r="F242" i="270"/>
  <c r="E242" i="270"/>
  <c r="D242" i="270"/>
  <c r="C242" i="270"/>
  <c r="B242" i="270"/>
  <c r="A242" i="270"/>
  <c r="W241" i="270"/>
  <c r="U241" i="270"/>
  <c r="U240" i="270" s="1"/>
  <c r="M241" i="270"/>
  <c r="L241" i="270"/>
  <c r="W240" i="270"/>
  <c r="R240" i="270"/>
  <c r="L240" i="270"/>
  <c r="Y239" i="270"/>
  <c r="X239" i="270"/>
  <c r="W239" i="270"/>
  <c r="W238" i="270" s="1"/>
  <c r="W237" i="270" s="1"/>
  <c r="V239" i="270"/>
  <c r="U239" i="270"/>
  <c r="T239" i="270"/>
  <c r="S239" i="270"/>
  <c r="R239" i="270"/>
  <c r="Q239" i="270"/>
  <c r="P239" i="270"/>
  <c r="O239" i="270"/>
  <c r="N239" i="270"/>
  <c r="I239" i="270"/>
  <c r="H239" i="270"/>
  <c r="G239" i="270"/>
  <c r="F239" i="270"/>
  <c r="E239" i="270"/>
  <c r="D239" i="270"/>
  <c r="C239" i="270"/>
  <c r="B239" i="270"/>
  <c r="A239" i="270"/>
  <c r="U238" i="270"/>
  <c r="U237" i="270" s="1"/>
  <c r="T238" i="270"/>
  <c r="R238" i="270"/>
  <c r="R237" i="270" s="1"/>
  <c r="M238" i="270"/>
  <c r="L238" i="270"/>
  <c r="T237" i="270"/>
  <c r="S237" i="270"/>
  <c r="L237" i="270"/>
  <c r="Y236" i="270"/>
  <c r="X236" i="270"/>
  <c r="W236" i="270"/>
  <c r="V236" i="270"/>
  <c r="T236" i="270"/>
  <c r="S236" i="270"/>
  <c r="R236" i="270"/>
  <c r="Q236" i="270"/>
  <c r="P236" i="270"/>
  <c r="O236" i="270"/>
  <c r="N236" i="270"/>
  <c r="I236" i="270"/>
  <c r="H236" i="270"/>
  <c r="G236" i="270"/>
  <c r="F236" i="270"/>
  <c r="E236" i="270"/>
  <c r="D236" i="270"/>
  <c r="C236" i="270"/>
  <c r="B236" i="270"/>
  <c r="A236" i="270"/>
  <c r="Y235" i="270"/>
  <c r="X235" i="270"/>
  <c r="W235" i="270"/>
  <c r="V235" i="270"/>
  <c r="T235" i="270"/>
  <c r="S235" i="270"/>
  <c r="R235" i="270"/>
  <c r="Q235" i="270"/>
  <c r="P235" i="270"/>
  <c r="O235" i="270"/>
  <c r="N235" i="270"/>
  <c r="I235" i="270"/>
  <c r="H235" i="270"/>
  <c r="G235" i="270"/>
  <c r="F235" i="270"/>
  <c r="E235" i="270"/>
  <c r="D235" i="270"/>
  <c r="C235" i="270"/>
  <c r="B235" i="270"/>
  <c r="A235" i="270"/>
  <c r="W234" i="270"/>
  <c r="U234" i="270"/>
  <c r="U226" i="270" s="1"/>
  <c r="T234" i="270"/>
  <c r="R234" i="270"/>
  <c r="M234" i="270"/>
  <c r="L234" i="270"/>
  <c r="Y233" i="270"/>
  <c r="X233" i="270"/>
  <c r="W233" i="270"/>
  <c r="V233" i="270"/>
  <c r="U233" i="270"/>
  <c r="S233" i="270"/>
  <c r="I233" i="270"/>
  <c r="H233" i="270"/>
  <c r="G233" i="270"/>
  <c r="F233" i="270"/>
  <c r="E233" i="270"/>
  <c r="D233" i="270"/>
  <c r="C233" i="270"/>
  <c r="B233" i="270"/>
  <c r="A233" i="270"/>
  <c r="Y232" i="270"/>
  <c r="X232" i="270"/>
  <c r="W232" i="270"/>
  <c r="V232" i="270"/>
  <c r="T232" i="270"/>
  <c r="S232" i="270"/>
  <c r="I232" i="270"/>
  <c r="H232" i="270"/>
  <c r="G232" i="270"/>
  <c r="F232" i="270"/>
  <c r="E232" i="270"/>
  <c r="D232" i="270"/>
  <c r="C232" i="270"/>
  <c r="B232" i="270"/>
  <c r="A232" i="270"/>
  <c r="Y231" i="270"/>
  <c r="X231" i="270"/>
  <c r="W231" i="270"/>
  <c r="V231" i="270"/>
  <c r="T231" i="270"/>
  <c r="S231" i="270"/>
  <c r="R231" i="270"/>
  <c r="Q231" i="270"/>
  <c r="P231" i="270"/>
  <c r="O231" i="270"/>
  <c r="N231" i="270"/>
  <c r="I231" i="270"/>
  <c r="H231" i="270"/>
  <c r="G231" i="270"/>
  <c r="F231" i="270"/>
  <c r="E231" i="270"/>
  <c r="D231" i="270"/>
  <c r="C231" i="270"/>
  <c r="B231" i="270"/>
  <c r="A231" i="270"/>
  <c r="Y230" i="270"/>
  <c r="X230" i="270"/>
  <c r="W230" i="270"/>
  <c r="V230" i="270"/>
  <c r="U230" i="270"/>
  <c r="S230" i="270"/>
  <c r="I230" i="270"/>
  <c r="H230" i="270"/>
  <c r="G230" i="270"/>
  <c r="F230" i="270"/>
  <c r="E230" i="270"/>
  <c r="D230" i="270"/>
  <c r="C230" i="270"/>
  <c r="B230" i="270"/>
  <c r="A230" i="270"/>
  <c r="Y229" i="270"/>
  <c r="X229" i="270"/>
  <c r="W229" i="270"/>
  <c r="W227" i="270" s="1"/>
  <c r="W226" i="270" s="1"/>
  <c r="V229" i="270"/>
  <c r="T229" i="270"/>
  <c r="S229" i="270"/>
  <c r="I229" i="270"/>
  <c r="H229" i="270"/>
  <c r="G229" i="270"/>
  <c r="F229" i="270"/>
  <c r="E229" i="270"/>
  <c r="D229" i="270"/>
  <c r="C229" i="270"/>
  <c r="B229" i="270"/>
  <c r="A229" i="270"/>
  <c r="Y228" i="270"/>
  <c r="X228" i="270"/>
  <c r="W228" i="270"/>
  <c r="V228" i="270"/>
  <c r="T228" i="270"/>
  <c r="S228" i="270"/>
  <c r="R228" i="270"/>
  <c r="Q228" i="270"/>
  <c r="P228" i="270"/>
  <c r="O228" i="270"/>
  <c r="N228" i="270"/>
  <c r="I228" i="270"/>
  <c r="H228" i="270"/>
  <c r="G228" i="270"/>
  <c r="F228" i="270"/>
  <c r="E228" i="270"/>
  <c r="D228" i="270"/>
  <c r="C228" i="270"/>
  <c r="B228" i="270"/>
  <c r="A228" i="270"/>
  <c r="U227" i="270"/>
  <c r="R227" i="270"/>
  <c r="R226" i="270" s="1"/>
  <c r="M227" i="270"/>
  <c r="L227" i="270"/>
  <c r="L226" i="270"/>
  <c r="Y225" i="270"/>
  <c r="X225" i="270"/>
  <c r="W225" i="270"/>
  <c r="V225" i="270"/>
  <c r="T225" i="270"/>
  <c r="T224" i="270" s="1"/>
  <c r="T223" i="270" s="1"/>
  <c r="S225" i="270"/>
  <c r="R225" i="270"/>
  <c r="R224" i="270" s="1"/>
  <c r="R223" i="270" s="1"/>
  <c r="Q225" i="270"/>
  <c r="P225" i="270"/>
  <c r="O225" i="270"/>
  <c r="N225" i="270"/>
  <c r="I225" i="270"/>
  <c r="H225" i="270"/>
  <c r="G225" i="270"/>
  <c r="F225" i="270"/>
  <c r="E225" i="270"/>
  <c r="D225" i="270"/>
  <c r="C225" i="270"/>
  <c r="B225" i="270"/>
  <c r="A225" i="270"/>
  <c r="W224" i="270"/>
  <c r="W223" i="270" s="1"/>
  <c r="U224" i="270"/>
  <c r="M224" i="270"/>
  <c r="L224" i="270"/>
  <c r="X223" i="270"/>
  <c r="V223" i="270"/>
  <c r="U223" i="270"/>
  <c r="L223" i="270"/>
  <c r="Y222" i="270"/>
  <c r="X222" i="270"/>
  <c r="W222" i="270"/>
  <c r="V222" i="270"/>
  <c r="U222" i="270"/>
  <c r="S222" i="270"/>
  <c r="I222" i="270"/>
  <c r="H222" i="270"/>
  <c r="G222" i="270"/>
  <c r="F222" i="270"/>
  <c r="E222" i="270"/>
  <c r="D222" i="270"/>
  <c r="C222" i="270"/>
  <c r="B222" i="270"/>
  <c r="A222" i="270"/>
  <c r="Y221" i="270"/>
  <c r="X221" i="270"/>
  <c r="W221" i="270"/>
  <c r="W219" i="270" s="1"/>
  <c r="V221" i="270"/>
  <c r="T221" i="270"/>
  <c r="T219" i="270" s="1"/>
  <c r="S221" i="270"/>
  <c r="I221" i="270"/>
  <c r="H221" i="270"/>
  <c r="G221" i="270"/>
  <c r="F221" i="270"/>
  <c r="E221" i="270"/>
  <c r="D221" i="270"/>
  <c r="C221" i="270"/>
  <c r="B221" i="270"/>
  <c r="A221" i="270"/>
  <c r="Y220" i="270"/>
  <c r="X220" i="270"/>
  <c r="W220" i="270"/>
  <c r="V220" i="270"/>
  <c r="T220" i="270"/>
  <c r="S220" i="270"/>
  <c r="R220" i="270"/>
  <c r="Q220" i="270"/>
  <c r="P220" i="270"/>
  <c r="O220" i="270"/>
  <c r="N220" i="270"/>
  <c r="I220" i="270"/>
  <c r="H220" i="270"/>
  <c r="G220" i="270"/>
  <c r="F220" i="270"/>
  <c r="E220" i="270"/>
  <c r="D220" i="270"/>
  <c r="C220" i="270"/>
  <c r="B220" i="270"/>
  <c r="A220" i="270"/>
  <c r="U219" i="270"/>
  <c r="R219" i="270"/>
  <c r="M219" i="270"/>
  <c r="L219" i="270"/>
  <c r="Y218" i="270"/>
  <c r="X218" i="270"/>
  <c r="W218" i="270"/>
  <c r="V218" i="270"/>
  <c r="U218" i="270"/>
  <c r="T218" i="270"/>
  <c r="S218" i="270"/>
  <c r="R218" i="270"/>
  <c r="R217" i="270" s="1"/>
  <c r="Q218" i="270"/>
  <c r="P218" i="270"/>
  <c r="O218" i="270"/>
  <c r="N218" i="270"/>
  <c r="I218" i="270"/>
  <c r="H218" i="270"/>
  <c r="G218" i="270"/>
  <c r="F218" i="270"/>
  <c r="E218" i="270"/>
  <c r="D218" i="270"/>
  <c r="C218" i="270"/>
  <c r="B218" i="270"/>
  <c r="A218" i="270"/>
  <c r="W217" i="270"/>
  <c r="U217" i="270"/>
  <c r="T217" i="270"/>
  <c r="T212" i="270" s="1"/>
  <c r="M217" i="270"/>
  <c r="L217" i="270"/>
  <c r="Y216" i="270"/>
  <c r="X216" i="270"/>
  <c r="W216" i="270"/>
  <c r="W215" i="270" s="1"/>
  <c r="V216" i="270"/>
  <c r="U216" i="270"/>
  <c r="U215" i="270" s="1"/>
  <c r="T216" i="270"/>
  <c r="S216" i="270"/>
  <c r="R216" i="270"/>
  <c r="Q216" i="270"/>
  <c r="P216" i="270"/>
  <c r="O216" i="270"/>
  <c r="N216" i="270"/>
  <c r="I216" i="270"/>
  <c r="H216" i="270"/>
  <c r="G216" i="270"/>
  <c r="F216" i="270"/>
  <c r="E216" i="270"/>
  <c r="D216" i="270"/>
  <c r="C216" i="270"/>
  <c r="B216" i="270"/>
  <c r="A216" i="270"/>
  <c r="T215" i="270"/>
  <c r="R215" i="270"/>
  <c r="M215" i="270"/>
  <c r="L215" i="270"/>
  <c r="Y214" i="270"/>
  <c r="X214" i="270"/>
  <c r="W214" i="270"/>
  <c r="V214" i="270"/>
  <c r="T214" i="270"/>
  <c r="S214" i="270"/>
  <c r="R214" i="270"/>
  <c r="Q214" i="270"/>
  <c r="P214" i="270"/>
  <c r="O214" i="270"/>
  <c r="N214" i="270"/>
  <c r="I214" i="270"/>
  <c r="H214" i="270"/>
  <c r="G214" i="270"/>
  <c r="F214" i="270"/>
  <c r="E214" i="270"/>
  <c r="D214" i="270"/>
  <c r="C214" i="270"/>
  <c r="B214" i="270"/>
  <c r="A214" i="270"/>
  <c r="W213" i="270"/>
  <c r="U213" i="270"/>
  <c r="T213" i="270"/>
  <c r="R213" i="270"/>
  <c r="M213" i="270"/>
  <c r="L213" i="270"/>
  <c r="V212" i="270"/>
  <c r="L212" i="270"/>
  <c r="R210" i="270"/>
  <c r="Y209" i="270"/>
  <c r="X209" i="270"/>
  <c r="W209" i="270"/>
  <c r="V209" i="270"/>
  <c r="T209" i="270"/>
  <c r="T208" i="270" s="1"/>
  <c r="S209" i="270"/>
  <c r="R209" i="270"/>
  <c r="R208" i="270" s="1"/>
  <c r="R207" i="270" s="1"/>
  <c r="Q209" i="270"/>
  <c r="P209" i="270"/>
  <c r="O209" i="270"/>
  <c r="N209" i="270"/>
  <c r="I209" i="270"/>
  <c r="H209" i="270"/>
  <c r="G209" i="270"/>
  <c r="F209" i="270"/>
  <c r="E209" i="270"/>
  <c r="D209" i="270"/>
  <c r="C209" i="270"/>
  <c r="B209" i="270"/>
  <c r="A209" i="270"/>
  <c r="W208" i="270"/>
  <c r="W207" i="270" s="1"/>
  <c r="U208" i="270"/>
  <c r="U207" i="270" s="1"/>
  <c r="M208" i="270"/>
  <c r="L208" i="270"/>
  <c r="T207" i="270"/>
  <c r="L207" i="270"/>
  <c r="Y202" i="270"/>
  <c r="X202" i="270"/>
  <c r="W202" i="270"/>
  <c r="V202" i="270"/>
  <c r="T202" i="270"/>
  <c r="S202" i="270"/>
  <c r="R202" i="270"/>
  <c r="Q202" i="270"/>
  <c r="P202" i="270"/>
  <c r="O202" i="270"/>
  <c r="N202" i="270"/>
  <c r="I202" i="270"/>
  <c r="H202" i="270"/>
  <c r="G202" i="270"/>
  <c r="F202" i="270"/>
  <c r="E202" i="270"/>
  <c r="D202" i="270"/>
  <c r="C202" i="270"/>
  <c r="B202" i="270"/>
  <c r="A202" i="270"/>
  <c r="Y201" i="270"/>
  <c r="X201" i="270"/>
  <c r="W201" i="270"/>
  <c r="V201" i="270"/>
  <c r="T201" i="270"/>
  <c r="S201" i="270"/>
  <c r="R201" i="270"/>
  <c r="Q201" i="270"/>
  <c r="P201" i="270"/>
  <c r="O201" i="270"/>
  <c r="N201" i="270"/>
  <c r="I201" i="270"/>
  <c r="H201" i="270"/>
  <c r="G201" i="270"/>
  <c r="F201" i="270"/>
  <c r="E201" i="270"/>
  <c r="D201" i="270"/>
  <c r="C201" i="270"/>
  <c r="B201" i="270"/>
  <c r="A201" i="270"/>
  <c r="Y200" i="270"/>
  <c r="X200" i="270"/>
  <c r="W200" i="270"/>
  <c r="V200" i="270"/>
  <c r="T200" i="270"/>
  <c r="S200" i="270"/>
  <c r="R200" i="270"/>
  <c r="Q200" i="270"/>
  <c r="P200" i="270"/>
  <c r="O200" i="270"/>
  <c r="N200" i="270"/>
  <c r="I200" i="270"/>
  <c r="H200" i="270"/>
  <c r="G200" i="270"/>
  <c r="F200" i="270"/>
  <c r="E200" i="270"/>
  <c r="D200" i="270"/>
  <c r="C200" i="270"/>
  <c r="B200" i="270"/>
  <c r="A200" i="270"/>
  <c r="Y199" i="270"/>
  <c r="X199" i="270"/>
  <c r="W199" i="270"/>
  <c r="V199" i="270"/>
  <c r="T199" i="270"/>
  <c r="S199" i="270"/>
  <c r="R199" i="270"/>
  <c r="Q199" i="270"/>
  <c r="P199" i="270"/>
  <c r="O199" i="270"/>
  <c r="N199" i="270"/>
  <c r="I199" i="270"/>
  <c r="H199" i="270"/>
  <c r="G199" i="270"/>
  <c r="F199" i="270"/>
  <c r="E199" i="270"/>
  <c r="D199" i="270"/>
  <c r="C199" i="270"/>
  <c r="B199" i="270"/>
  <c r="A199" i="270"/>
  <c r="Y198" i="270"/>
  <c r="X198" i="270"/>
  <c r="W198" i="270"/>
  <c r="V198" i="270"/>
  <c r="T198" i="270"/>
  <c r="S198" i="270"/>
  <c r="R198" i="270"/>
  <c r="Q198" i="270"/>
  <c r="P198" i="270"/>
  <c r="O198" i="270"/>
  <c r="N198" i="270"/>
  <c r="I198" i="270"/>
  <c r="H198" i="270"/>
  <c r="G198" i="270"/>
  <c r="F198" i="270"/>
  <c r="E198" i="270"/>
  <c r="D198" i="270"/>
  <c r="C198" i="270"/>
  <c r="B198" i="270"/>
  <c r="A198" i="270"/>
  <c r="Y197" i="270"/>
  <c r="X197" i="270"/>
  <c r="W197" i="270"/>
  <c r="V197" i="270"/>
  <c r="T197" i="270"/>
  <c r="S197" i="270"/>
  <c r="R197" i="270"/>
  <c r="Q197" i="270"/>
  <c r="P197" i="270"/>
  <c r="O197" i="270"/>
  <c r="N197" i="270"/>
  <c r="I197" i="270"/>
  <c r="H197" i="270"/>
  <c r="G197" i="270"/>
  <c r="F197" i="270"/>
  <c r="E197" i="270"/>
  <c r="D197" i="270"/>
  <c r="C197" i="270"/>
  <c r="B197" i="270"/>
  <c r="A197" i="270"/>
  <c r="W196" i="270"/>
  <c r="U196" i="270"/>
  <c r="U195" i="270" s="1"/>
  <c r="T196" i="270"/>
  <c r="R196" i="270"/>
  <c r="M196" i="270"/>
  <c r="L196" i="270"/>
  <c r="W195" i="270"/>
  <c r="T195" i="270"/>
  <c r="R195" i="270"/>
  <c r="L195" i="270"/>
  <c r="Y189" i="270"/>
  <c r="X189" i="270"/>
  <c r="W189" i="270"/>
  <c r="V189" i="270"/>
  <c r="T189" i="270"/>
  <c r="S189" i="270"/>
  <c r="R189" i="270"/>
  <c r="Q189" i="270"/>
  <c r="P189" i="270"/>
  <c r="O189" i="270"/>
  <c r="N189" i="270"/>
  <c r="I189" i="270"/>
  <c r="H189" i="270"/>
  <c r="G189" i="270"/>
  <c r="F189" i="270"/>
  <c r="E189" i="270"/>
  <c r="D189" i="270"/>
  <c r="C189" i="270"/>
  <c r="B189" i="270"/>
  <c r="A189" i="270"/>
  <c r="Y188" i="270"/>
  <c r="X188" i="270"/>
  <c r="W188" i="270"/>
  <c r="V188" i="270"/>
  <c r="T188" i="270"/>
  <c r="S188" i="270"/>
  <c r="R188" i="270"/>
  <c r="Q188" i="270"/>
  <c r="P188" i="270"/>
  <c r="O188" i="270"/>
  <c r="N188" i="270"/>
  <c r="I188" i="270"/>
  <c r="H188" i="270"/>
  <c r="G188" i="270"/>
  <c r="F188" i="270"/>
  <c r="E188" i="270"/>
  <c r="D188" i="270"/>
  <c r="C188" i="270"/>
  <c r="B188" i="270"/>
  <c r="A188" i="270"/>
  <c r="Y187" i="270"/>
  <c r="X187" i="270"/>
  <c r="W187" i="270"/>
  <c r="V187" i="270"/>
  <c r="T187" i="270"/>
  <c r="S187" i="270"/>
  <c r="R187" i="270"/>
  <c r="Q187" i="270"/>
  <c r="P187" i="270"/>
  <c r="O187" i="270"/>
  <c r="N187" i="270"/>
  <c r="I187" i="270"/>
  <c r="H187" i="270"/>
  <c r="G187" i="270"/>
  <c r="F187" i="270"/>
  <c r="E187" i="270"/>
  <c r="D187" i="270"/>
  <c r="C187" i="270"/>
  <c r="B187" i="270"/>
  <c r="A187" i="270"/>
  <c r="Y186" i="270"/>
  <c r="X186" i="270"/>
  <c r="W186" i="270"/>
  <c r="V186" i="270"/>
  <c r="T186" i="270"/>
  <c r="S186" i="270"/>
  <c r="R186" i="270"/>
  <c r="Q186" i="270"/>
  <c r="P186" i="270"/>
  <c r="O186" i="270"/>
  <c r="N186" i="270"/>
  <c r="I186" i="270"/>
  <c r="H186" i="270"/>
  <c r="G186" i="270"/>
  <c r="F186" i="270"/>
  <c r="E186" i="270"/>
  <c r="D186" i="270"/>
  <c r="C186" i="270"/>
  <c r="B186" i="270"/>
  <c r="A186" i="270"/>
  <c r="Y185" i="270"/>
  <c r="X185" i="270"/>
  <c r="W185" i="270"/>
  <c r="V185" i="270"/>
  <c r="T185" i="270"/>
  <c r="S185" i="270"/>
  <c r="R185" i="270"/>
  <c r="Q185" i="270"/>
  <c r="P185" i="270"/>
  <c r="O185" i="270"/>
  <c r="N185" i="270"/>
  <c r="I185" i="270"/>
  <c r="H185" i="270"/>
  <c r="G185" i="270"/>
  <c r="F185" i="270"/>
  <c r="E185" i="270"/>
  <c r="D185" i="270"/>
  <c r="C185" i="270"/>
  <c r="B185" i="270"/>
  <c r="A185" i="270"/>
  <c r="Y184" i="270"/>
  <c r="X184" i="270"/>
  <c r="W184" i="270"/>
  <c r="V184" i="270"/>
  <c r="T184" i="270"/>
  <c r="S184" i="270"/>
  <c r="R184" i="270"/>
  <c r="Q184" i="270"/>
  <c r="P184" i="270"/>
  <c r="O184" i="270"/>
  <c r="N184" i="270"/>
  <c r="I184" i="270"/>
  <c r="H184" i="270"/>
  <c r="G184" i="270"/>
  <c r="F184" i="270"/>
  <c r="E184" i="270"/>
  <c r="D184" i="270"/>
  <c r="C184" i="270"/>
  <c r="B184" i="270"/>
  <c r="A184" i="270"/>
  <c r="Y183" i="270"/>
  <c r="X183" i="270"/>
  <c r="W183" i="270"/>
  <c r="W182" i="270" s="1"/>
  <c r="W181" i="270" s="1"/>
  <c r="V183" i="270"/>
  <c r="T183" i="270"/>
  <c r="S183" i="270"/>
  <c r="R183" i="270"/>
  <c r="R182" i="270" s="1"/>
  <c r="R181" i="270" s="1"/>
  <c r="Q183" i="270"/>
  <c r="P183" i="270"/>
  <c r="O183" i="270"/>
  <c r="N183" i="270"/>
  <c r="I183" i="270"/>
  <c r="H183" i="270"/>
  <c r="G183" i="270"/>
  <c r="F183" i="270"/>
  <c r="E183" i="270"/>
  <c r="D183" i="270"/>
  <c r="C183" i="270"/>
  <c r="B183" i="270"/>
  <c r="A183" i="270"/>
  <c r="U182" i="270"/>
  <c r="U181" i="270" s="1"/>
  <c r="T182" i="270"/>
  <c r="T181" i="270" s="1"/>
  <c r="M182" i="270"/>
  <c r="L182" i="270"/>
  <c r="L181" i="270"/>
  <c r="K180" i="270"/>
  <c r="J180" i="270"/>
  <c r="R174" i="270"/>
  <c r="R173" i="270" s="1"/>
  <c r="R171" i="270"/>
  <c r="R170" i="270" s="1"/>
  <c r="R168" i="270"/>
  <c r="L168" i="270"/>
  <c r="R167" i="270"/>
  <c r="Y166" i="270"/>
  <c r="X166" i="270"/>
  <c r="W166" i="270"/>
  <c r="V166" i="270"/>
  <c r="T166" i="270"/>
  <c r="S166" i="270"/>
  <c r="R166" i="270"/>
  <c r="Q166" i="270"/>
  <c r="P166" i="270"/>
  <c r="O166" i="270"/>
  <c r="N166" i="270"/>
  <c r="I166" i="270"/>
  <c r="H166" i="270"/>
  <c r="G166" i="270"/>
  <c r="F166" i="270"/>
  <c r="E166" i="270"/>
  <c r="D166" i="270"/>
  <c r="C166" i="270"/>
  <c r="B166" i="270"/>
  <c r="A166" i="270"/>
  <c r="Y165" i="270"/>
  <c r="X165" i="270"/>
  <c r="W165" i="270"/>
  <c r="V165" i="270"/>
  <c r="T165" i="270"/>
  <c r="S165" i="270"/>
  <c r="R165" i="270"/>
  <c r="Q165" i="270"/>
  <c r="P165" i="270"/>
  <c r="O165" i="270"/>
  <c r="N165" i="270"/>
  <c r="I165" i="270"/>
  <c r="H165" i="270"/>
  <c r="G165" i="270"/>
  <c r="F165" i="270"/>
  <c r="E165" i="270"/>
  <c r="D165" i="270"/>
  <c r="C165" i="270"/>
  <c r="B165" i="270"/>
  <c r="A165" i="270"/>
  <c r="Y164" i="270"/>
  <c r="X164" i="270"/>
  <c r="W164" i="270"/>
  <c r="V164" i="270"/>
  <c r="T164" i="270"/>
  <c r="S164" i="270"/>
  <c r="R164" i="270"/>
  <c r="Q164" i="270"/>
  <c r="P164" i="270"/>
  <c r="O164" i="270"/>
  <c r="N164" i="270"/>
  <c r="I164" i="270"/>
  <c r="H164" i="270"/>
  <c r="G164" i="270"/>
  <c r="F164" i="270"/>
  <c r="E164" i="270"/>
  <c r="D164" i="270"/>
  <c r="C164" i="270"/>
  <c r="B164" i="270"/>
  <c r="A164" i="270"/>
  <c r="Y163" i="270"/>
  <c r="X163" i="270"/>
  <c r="W163" i="270"/>
  <c r="V163" i="270"/>
  <c r="T163" i="270"/>
  <c r="S163" i="270"/>
  <c r="R163" i="270"/>
  <c r="Q163" i="270"/>
  <c r="P163" i="270"/>
  <c r="O163" i="270"/>
  <c r="N163" i="270"/>
  <c r="I163" i="270"/>
  <c r="H163" i="270"/>
  <c r="G163" i="270"/>
  <c r="F163" i="270"/>
  <c r="E163" i="270"/>
  <c r="D163" i="270"/>
  <c r="C163" i="270"/>
  <c r="B163" i="270"/>
  <c r="A163" i="270"/>
  <c r="Y162" i="270"/>
  <c r="X162" i="270"/>
  <c r="W162" i="270"/>
  <c r="V162" i="270"/>
  <c r="T162" i="270"/>
  <c r="S162" i="270"/>
  <c r="R162" i="270"/>
  <c r="Q162" i="270"/>
  <c r="P162" i="270"/>
  <c r="O162" i="270"/>
  <c r="N162" i="270"/>
  <c r="I162" i="270"/>
  <c r="H162" i="270"/>
  <c r="G162" i="270"/>
  <c r="F162" i="270"/>
  <c r="E162" i="270"/>
  <c r="D162" i="270"/>
  <c r="C162" i="270"/>
  <c r="B162" i="270"/>
  <c r="A162" i="270"/>
  <c r="Y161" i="270"/>
  <c r="X161" i="270"/>
  <c r="W161" i="270"/>
  <c r="V161" i="270"/>
  <c r="T161" i="270"/>
  <c r="S161" i="270"/>
  <c r="R161" i="270"/>
  <c r="Q161" i="270"/>
  <c r="P161" i="270"/>
  <c r="O161" i="270"/>
  <c r="N161" i="270"/>
  <c r="I161" i="270"/>
  <c r="H161" i="270"/>
  <c r="G161" i="270"/>
  <c r="F161" i="270"/>
  <c r="E161" i="270"/>
  <c r="D161" i="270"/>
  <c r="C161" i="270"/>
  <c r="B161" i="270"/>
  <c r="A161" i="270"/>
  <c r="Y160" i="270"/>
  <c r="X160" i="270"/>
  <c r="W160" i="270"/>
  <c r="V160" i="270"/>
  <c r="T160" i="270"/>
  <c r="S160" i="270"/>
  <c r="R160" i="270"/>
  <c r="Q160" i="270"/>
  <c r="P160" i="270"/>
  <c r="O160" i="270"/>
  <c r="N160" i="270"/>
  <c r="I160" i="270"/>
  <c r="H160" i="270"/>
  <c r="G160" i="270"/>
  <c r="F160" i="270"/>
  <c r="E160" i="270"/>
  <c r="D160" i="270"/>
  <c r="C160" i="270"/>
  <c r="B160" i="270"/>
  <c r="A160" i="270"/>
  <c r="Y159" i="270"/>
  <c r="X159" i="270"/>
  <c r="W159" i="270"/>
  <c r="V159" i="270"/>
  <c r="T159" i="270"/>
  <c r="S159" i="270"/>
  <c r="R159" i="270"/>
  <c r="Q159" i="270"/>
  <c r="P159" i="270"/>
  <c r="O159" i="270"/>
  <c r="N159" i="270"/>
  <c r="I159" i="270"/>
  <c r="H159" i="270"/>
  <c r="G159" i="270"/>
  <c r="F159" i="270"/>
  <c r="E159" i="270"/>
  <c r="D159" i="270"/>
  <c r="C159" i="270"/>
  <c r="B159" i="270"/>
  <c r="A159" i="270"/>
  <c r="Y158" i="270"/>
  <c r="X158" i="270"/>
  <c r="W158" i="270"/>
  <c r="V158" i="270"/>
  <c r="T158" i="270"/>
  <c r="S158" i="270"/>
  <c r="R158" i="270"/>
  <c r="Q158" i="270"/>
  <c r="P158" i="270"/>
  <c r="O158" i="270"/>
  <c r="N158" i="270"/>
  <c r="I158" i="270"/>
  <c r="H158" i="270"/>
  <c r="G158" i="270"/>
  <c r="F158" i="270"/>
  <c r="E158" i="270"/>
  <c r="D158" i="270"/>
  <c r="C158" i="270"/>
  <c r="B158" i="270"/>
  <c r="A158" i="270"/>
  <c r="Y157" i="270"/>
  <c r="X157" i="270"/>
  <c r="W157" i="270"/>
  <c r="W156" i="270" s="1"/>
  <c r="W155" i="270" s="1"/>
  <c r="V157" i="270"/>
  <c r="T157" i="270"/>
  <c r="S157" i="270"/>
  <c r="R157" i="270"/>
  <c r="Q157" i="270"/>
  <c r="P157" i="270"/>
  <c r="O157" i="270"/>
  <c r="N157" i="270"/>
  <c r="I157" i="270"/>
  <c r="H157" i="270"/>
  <c r="G157" i="270"/>
  <c r="F157" i="270"/>
  <c r="E157" i="270"/>
  <c r="D157" i="270"/>
  <c r="C157" i="270"/>
  <c r="B157" i="270"/>
  <c r="A157" i="270"/>
  <c r="U156" i="270"/>
  <c r="T156" i="270"/>
  <c r="T155" i="270" s="1"/>
  <c r="R156" i="270"/>
  <c r="R155" i="270" s="1"/>
  <c r="M156" i="270"/>
  <c r="L156" i="270"/>
  <c r="U155" i="270"/>
  <c r="L155" i="270"/>
  <c r="K155" i="270"/>
  <c r="Y154" i="270"/>
  <c r="X154" i="270"/>
  <c r="W154" i="270"/>
  <c r="W153" i="270" s="1"/>
  <c r="W152" i="270" s="1"/>
  <c r="V154" i="270"/>
  <c r="T154" i="270"/>
  <c r="S154" i="270"/>
  <c r="R154" i="270"/>
  <c r="Q154" i="270"/>
  <c r="P154" i="270"/>
  <c r="O154" i="270"/>
  <c r="I154" i="270"/>
  <c r="H154" i="270"/>
  <c r="G154" i="270"/>
  <c r="F154" i="270"/>
  <c r="E154" i="270"/>
  <c r="D154" i="270"/>
  <c r="C154" i="270"/>
  <c r="B154" i="270"/>
  <c r="A154" i="270"/>
  <c r="Y153" i="270"/>
  <c r="Y152" i="270" s="1"/>
  <c r="U153" i="270"/>
  <c r="T153" i="270"/>
  <c r="T152" i="270" s="1"/>
  <c r="R153" i="270"/>
  <c r="R152" i="270" s="1"/>
  <c r="M153" i="270"/>
  <c r="L153" i="270"/>
  <c r="U152" i="270"/>
  <c r="L152" i="270"/>
  <c r="K152" i="270"/>
  <c r="Y151" i="270"/>
  <c r="X151" i="270"/>
  <c r="W151" i="270"/>
  <c r="V151" i="270"/>
  <c r="T151" i="270"/>
  <c r="S151" i="270"/>
  <c r="R151" i="270"/>
  <c r="Q151" i="270"/>
  <c r="P151" i="270"/>
  <c r="O151" i="270"/>
  <c r="N151" i="270"/>
  <c r="I151" i="270"/>
  <c r="H151" i="270"/>
  <c r="G151" i="270"/>
  <c r="F151" i="270"/>
  <c r="E151" i="270"/>
  <c r="D151" i="270"/>
  <c r="C151" i="270"/>
  <c r="B151" i="270"/>
  <c r="A151" i="270"/>
  <c r="Y150" i="270"/>
  <c r="X150" i="270"/>
  <c r="W150" i="270"/>
  <c r="W149" i="270" s="1"/>
  <c r="W148" i="270" s="1"/>
  <c r="V150" i="270"/>
  <c r="U150" i="270"/>
  <c r="S150" i="270"/>
  <c r="R150" i="270"/>
  <c r="Q150" i="270"/>
  <c r="P150" i="270"/>
  <c r="O150" i="270"/>
  <c r="N150" i="270"/>
  <c r="I150" i="270"/>
  <c r="H150" i="270"/>
  <c r="G150" i="270"/>
  <c r="F150" i="270"/>
  <c r="E150" i="270"/>
  <c r="D150" i="270"/>
  <c r="C150" i="270"/>
  <c r="B150" i="270"/>
  <c r="A150" i="270"/>
  <c r="U149" i="270"/>
  <c r="T149" i="270"/>
  <c r="T148" i="270" s="1"/>
  <c r="R149" i="270"/>
  <c r="R148" i="270" s="1"/>
  <c r="M149" i="270"/>
  <c r="L149" i="270"/>
  <c r="U148" i="270"/>
  <c r="L148" i="270"/>
  <c r="K148" i="270"/>
  <c r="Y147" i="270"/>
  <c r="X147" i="270"/>
  <c r="W147" i="270"/>
  <c r="W146" i="270" s="1"/>
  <c r="W145" i="270" s="1"/>
  <c r="V147" i="270"/>
  <c r="T147" i="270"/>
  <c r="S147" i="270"/>
  <c r="R147" i="270"/>
  <c r="Q147" i="270"/>
  <c r="P147" i="270"/>
  <c r="O147" i="270"/>
  <c r="I147" i="270"/>
  <c r="H147" i="270"/>
  <c r="G147" i="270"/>
  <c r="F147" i="270"/>
  <c r="E147" i="270"/>
  <c r="D147" i="270"/>
  <c r="C147" i="270"/>
  <c r="B147" i="270"/>
  <c r="A147" i="270"/>
  <c r="Y146" i="270"/>
  <c r="Y145" i="270" s="1"/>
  <c r="U146" i="270"/>
  <c r="T146" i="270"/>
  <c r="R146" i="270"/>
  <c r="M146" i="270"/>
  <c r="L146" i="270"/>
  <c r="X145" i="270"/>
  <c r="U145" i="270"/>
  <c r="T145" i="270"/>
  <c r="R145" i="270"/>
  <c r="L145" i="270"/>
  <c r="K145" i="270"/>
  <c r="R140" i="270"/>
  <c r="Y135" i="270"/>
  <c r="X135" i="270"/>
  <c r="W135" i="270"/>
  <c r="V135" i="270"/>
  <c r="T135" i="270"/>
  <c r="S135" i="270"/>
  <c r="R135" i="270"/>
  <c r="Q135" i="270"/>
  <c r="P135" i="270"/>
  <c r="O135" i="270"/>
  <c r="N135" i="270"/>
  <c r="I135" i="270"/>
  <c r="H135" i="270"/>
  <c r="G135" i="270"/>
  <c r="F135" i="270"/>
  <c r="E135" i="270"/>
  <c r="D135" i="270"/>
  <c r="C135" i="270"/>
  <c r="B135" i="270"/>
  <c r="A135" i="270"/>
  <c r="Y134" i="270"/>
  <c r="X134" i="270"/>
  <c r="W134" i="270"/>
  <c r="V134" i="270"/>
  <c r="T134" i="270"/>
  <c r="S134" i="270"/>
  <c r="R134" i="270"/>
  <c r="Q134" i="270"/>
  <c r="P134" i="270"/>
  <c r="O134" i="270"/>
  <c r="N134" i="270"/>
  <c r="I134" i="270"/>
  <c r="H134" i="270"/>
  <c r="G134" i="270"/>
  <c r="F134" i="270"/>
  <c r="E134" i="270"/>
  <c r="D134" i="270"/>
  <c r="C134" i="270"/>
  <c r="B134" i="270"/>
  <c r="A134" i="270"/>
  <c r="Y133" i="270"/>
  <c r="X133" i="270"/>
  <c r="W133" i="270"/>
  <c r="V133" i="270"/>
  <c r="T133" i="270"/>
  <c r="T129" i="270" s="1"/>
  <c r="S133" i="270"/>
  <c r="Q133" i="270"/>
  <c r="P133" i="270"/>
  <c r="O133" i="270"/>
  <c r="I133" i="270"/>
  <c r="H133" i="270"/>
  <c r="G133" i="270"/>
  <c r="F133" i="270"/>
  <c r="E133" i="270"/>
  <c r="D133" i="270"/>
  <c r="C133" i="270"/>
  <c r="B133" i="270"/>
  <c r="A133" i="270"/>
  <c r="Y131" i="270"/>
  <c r="X131" i="270"/>
  <c r="W131" i="270"/>
  <c r="V131" i="270"/>
  <c r="U131" i="270"/>
  <c r="S131" i="270"/>
  <c r="R131" i="270"/>
  <c r="Q131" i="270"/>
  <c r="P131" i="270"/>
  <c r="O131" i="270"/>
  <c r="N131" i="270"/>
  <c r="I131" i="270"/>
  <c r="H131" i="270"/>
  <c r="G131" i="270"/>
  <c r="F131" i="270"/>
  <c r="E131" i="270"/>
  <c r="D131" i="270"/>
  <c r="C131" i="270"/>
  <c r="B131" i="270"/>
  <c r="A131" i="270"/>
  <c r="Y130" i="270"/>
  <c r="X130" i="270"/>
  <c r="W130" i="270"/>
  <c r="W129" i="270" s="1"/>
  <c r="W128" i="270" s="1"/>
  <c r="V130" i="270"/>
  <c r="T130" i="270"/>
  <c r="S130" i="270"/>
  <c r="R130" i="270"/>
  <c r="R129" i="270" s="1"/>
  <c r="R128" i="270" s="1"/>
  <c r="Q130" i="270"/>
  <c r="P130" i="270"/>
  <c r="O130" i="270"/>
  <c r="N130" i="270"/>
  <c r="I130" i="270"/>
  <c r="H130" i="270"/>
  <c r="G130" i="270"/>
  <c r="F130" i="270"/>
  <c r="E130" i="270"/>
  <c r="D130" i="270"/>
  <c r="C130" i="270"/>
  <c r="B130" i="270"/>
  <c r="A130" i="270"/>
  <c r="U129" i="270"/>
  <c r="U128" i="270" s="1"/>
  <c r="M129" i="270"/>
  <c r="L129" i="270"/>
  <c r="L128" i="270"/>
  <c r="K128" i="270"/>
  <c r="Y127" i="270"/>
  <c r="X127" i="270"/>
  <c r="W127" i="270"/>
  <c r="W126" i="270" s="1"/>
  <c r="W125" i="270" s="1"/>
  <c r="V127" i="270"/>
  <c r="T127" i="270"/>
  <c r="T126" i="270" s="1"/>
  <c r="T125" i="270" s="1"/>
  <c r="S127" i="270"/>
  <c r="R127" i="270"/>
  <c r="R126" i="270" s="1"/>
  <c r="R125" i="270" s="1"/>
  <c r="Q127" i="270"/>
  <c r="P127" i="270"/>
  <c r="O127" i="270"/>
  <c r="N127" i="270"/>
  <c r="I127" i="270"/>
  <c r="H127" i="270"/>
  <c r="G127" i="270"/>
  <c r="F127" i="270"/>
  <c r="E127" i="270"/>
  <c r="D127" i="270"/>
  <c r="C127" i="270"/>
  <c r="B127" i="270"/>
  <c r="A127" i="270"/>
  <c r="Y126" i="270"/>
  <c r="Y125" i="270" s="1"/>
  <c r="U126" i="270"/>
  <c r="U125" i="270" s="1"/>
  <c r="M126" i="270"/>
  <c r="L126" i="270"/>
  <c r="X125" i="270"/>
  <c r="V125" i="270"/>
  <c r="L125" i="270"/>
  <c r="K125" i="270"/>
  <c r="R123" i="270"/>
  <c r="P123" i="270"/>
  <c r="O123" i="270"/>
  <c r="R121" i="270"/>
  <c r="P121" i="270"/>
  <c r="O121" i="270"/>
  <c r="Y120" i="270"/>
  <c r="X120" i="270"/>
  <c r="W120" i="270"/>
  <c r="V120" i="270"/>
  <c r="U120" i="270"/>
  <c r="U117" i="270" s="1"/>
  <c r="S120" i="270"/>
  <c r="R120" i="270"/>
  <c r="Q120" i="270"/>
  <c r="P120" i="270"/>
  <c r="O120" i="270"/>
  <c r="N120" i="270"/>
  <c r="I120" i="270"/>
  <c r="H120" i="270"/>
  <c r="G120" i="270"/>
  <c r="F120" i="270"/>
  <c r="E120" i="270"/>
  <c r="D120" i="270"/>
  <c r="C120" i="270"/>
  <c r="B120" i="270"/>
  <c r="A120" i="270"/>
  <c r="Y119" i="270"/>
  <c r="X119" i="270"/>
  <c r="W119" i="270"/>
  <c r="V119" i="270"/>
  <c r="T119" i="270"/>
  <c r="S119" i="270"/>
  <c r="R119" i="270"/>
  <c r="Q119" i="270"/>
  <c r="P119" i="270"/>
  <c r="O119" i="270"/>
  <c r="N119" i="270"/>
  <c r="I119" i="270"/>
  <c r="H119" i="270"/>
  <c r="G119" i="270"/>
  <c r="F119" i="270"/>
  <c r="E119" i="270"/>
  <c r="D119" i="270"/>
  <c r="C119" i="270"/>
  <c r="B119" i="270"/>
  <c r="A119" i="270"/>
  <c r="Y118" i="270"/>
  <c r="X118" i="270"/>
  <c r="W118" i="270"/>
  <c r="V118" i="270"/>
  <c r="T118" i="270"/>
  <c r="T117" i="270" s="1"/>
  <c r="S118" i="270"/>
  <c r="R118" i="270"/>
  <c r="Q118" i="270"/>
  <c r="P118" i="270"/>
  <c r="O118" i="270"/>
  <c r="N118" i="270"/>
  <c r="I118" i="270"/>
  <c r="H118" i="270"/>
  <c r="G118" i="270"/>
  <c r="F118" i="270"/>
  <c r="E118" i="270"/>
  <c r="D118" i="270"/>
  <c r="C118" i="270"/>
  <c r="B118" i="270"/>
  <c r="A118" i="270"/>
  <c r="W117" i="270"/>
  <c r="R117" i="270"/>
  <c r="M117" i="270"/>
  <c r="L117" i="270"/>
  <c r="Y116" i="270"/>
  <c r="X116" i="270"/>
  <c r="W116" i="270"/>
  <c r="V116" i="270"/>
  <c r="T116" i="270"/>
  <c r="S116" i="270"/>
  <c r="R116" i="270"/>
  <c r="Q116" i="270"/>
  <c r="P116" i="270"/>
  <c r="O116" i="270"/>
  <c r="N116" i="270"/>
  <c r="I116" i="270"/>
  <c r="H116" i="270"/>
  <c r="G116" i="270"/>
  <c r="F116" i="270"/>
  <c r="E116" i="270"/>
  <c r="D116" i="270"/>
  <c r="C116" i="270"/>
  <c r="B116" i="270"/>
  <c r="A116" i="270"/>
  <c r="Y115" i="270"/>
  <c r="X115" i="270"/>
  <c r="W115" i="270"/>
  <c r="V115" i="270"/>
  <c r="U115" i="270"/>
  <c r="S115" i="270"/>
  <c r="R115" i="270"/>
  <c r="Q115" i="270"/>
  <c r="P115" i="270"/>
  <c r="O115" i="270"/>
  <c r="N115" i="270"/>
  <c r="I115" i="270"/>
  <c r="H115" i="270"/>
  <c r="G115" i="270"/>
  <c r="F115" i="270"/>
  <c r="E115" i="270"/>
  <c r="D115" i="270"/>
  <c r="C115" i="270"/>
  <c r="B115" i="270"/>
  <c r="A115" i="270"/>
  <c r="Y114" i="270"/>
  <c r="X114" i="270"/>
  <c r="W114" i="270"/>
  <c r="V114" i="270"/>
  <c r="T114" i="270"/>
  <c r="S114" i="270"/>
  <c r="R114" i="270"/>
  <c r="Q114" i="270"/>
  <c r="P114" i="270"/>
  <c r="O114" i="270"/>
  <c r="N114" i="270"/>
  <c r="I114" i="270"/>
  <c r="H114" i="270"/>
  <c r="G114" i="270"/>
  <c r="F114" i="270"/>
  <c r="E114" i="270"/>
  <c r="D114" i="270"/>
  <c r="C114" i="270"/>
  <c r="B114" i="270"/>
  <c r="A114" i="270"/>
  <c r="Y113" i="270"/>
  <c r="X113" i="270"/>
  <c r="W113" i="270"/>
  <c r="V113" i="270"/>
  <c r="T113" i="270"/>
  <c r="S113" i="270"/>
  <c r="R113" i="270"/>
  <c r="Q113" i="270"/>
  <c r="P113" i="270"/>
  <c r="O113" i="270"/>
  <c r="N113" i="270"/>
  <c r="I113" i="270"/>
  <c r="H113" i="270"/>
  <c r="G113" i="270"/>
  <c r="F113" i="270"/>
  <c r="E113" i="270"/>
  <c r="D113" i="270"/>
  <c r="C113" i="270"/>
  <c r="B113" i="270"/>
  <c r="A113" i="270"/>
  <c r="Y112" i="270"/>
  <c r="X112" i="270"/>
  <c r="W112" i="270"/>
  <c r="V112" i="270"/>
  <c r="T112" i="270"/>
  <c r="S112" i="270"/>
  <c r="R112" i="270"/>
  <c r="Q112" i="270"/>
  <c r="P112" i="270"/>
  <c r="O112" i="270"/>
  <c r="N112" i="270"/>
  <c r="I112" i="270"/>
  <c r="H112" i="270"/>
  <c r="G112" i="270"/>
  <c r="F112" i="270"/>
  <c r="E112" i="270"/>
  <c r="D112" i="270"/>
  <c r="C112" i="270"/>
  <c r="B112" i="270"/>
  <c r="A112" i="270"/>
  <c r="Y111" i="270"/>
  <c r="X111" i="270"/>
  <c r="W111" i="270"/>
  <c r="V111" i="270"/>
  <c r="T111" i="270"/>
  <c r="S111" i="270"/>
  <c r="R111" i="270"/>
  <c r="Q111" i="270"/>
  <c r="P111" i="270"/>
  <c r="O111" i="270"/>
  <c r="N111" i="270"/>
  <c r="I111" i="270"/>
  <c r="H111" i="270"/>
  <c r="G111" i="270"/>
  <c r="F111" i="270"/>
  <c r="E111" i="270"/>
  <c r="D111" i="270"/>
  <c r="C111" i="270"/>
  <c r="B111" i="270"/>
  <c r="A111" i="270"/>
  <c r="Y110" i="270"/>
  <c r="X110" i="270"/>
  <c r="W110" i="270"/>
  <c r="V110" i="270"/>
  <c r="T110" i="270"/>
  <c r="S110" i="270"/>
  <c r="R110" i="270"/>
  <c r="Q110" i="270"/>
  <c r="P110" i="270"/>
  <c r="O110" i="270"/>
  <c r="N110" i="270"/>
  <c r="I110" i="270"/>
  <c r="H110" i="270"/>
  <c r="G110" i="270"/>
  <c r="F110" i="270"/>
  <c r="E110" i="270"/>
  <c r="D110" i="270"/>
  <c r="C110" i="270"/>
  <c r="B110" i="270"/>
  <c r="A110" i="270"/>
  <c r="Y109" i="270"/>
  <c r="X109" i="270"/>
  <c r="W109" i="270"/>
  <c r="W108" i="270" s="1"/>
  <c r="V109" i="270"/>
  <c r="T109" i="270"/>
  <c r="S109" i="270"/>
  <c r="R109" i="270"/>
  <c r="R108" i="270" s="1"/>
  <c r="Q109" i="270"/>
  <c r="P109" i="270"/>
  <c r="O109" i="270"/>
  <c r="N109" i="270"/>
  <c r="I109" i="270"/>
  <c r="H109" i="270"/>
  <c r="G109" i="270"/>
  <c r="F109" i="270"/>
  <c r="E109" i="270"/>
  <c r="D109" i="270"/>
  <c r="C109" i="270"/>
  <c r="B109" i="270"/>
  <c r="A109" i="270"/>
  <c r="U108" i="270"/>
  <c r="T108" i="270"/>
  <c r="M108" i="270"/>
  <c r="L108" i="270"/>
  <c r="Y107" i="270"/>
  <c r="X107" i="270"/>
  <c r="W107" i="270"/>
  <c r="V107" i="270"/>
  <c r="T107" i="270"/>
  <c r="S107" i="270"/>
  <c r="R107" i="270"/>
  <c r="Q107" i="270"/>
  <c r="P107" i="270"/>
  <c r="O107" i="270"/>
  <c r="N107" i="270"/>
  <c r="I107" i="270"/>
  <c r="H107" i="270"/>
  <c r="G107" i="270"/>
  <c r="F107" i="270"/>
  <c r="E107" i="270"/>
  <c r="D107" i="270"/>
  <c r="C107" i="270"/>
  <c r="B107" i="270"/>
  <c r="A107" i="270"/>
  <c r="Y106" i="270"/>
  <c r="X106" i="270"/>
  <c r="W106" i="270"/>
  <c r="V106" i="270"/>
  <c r="U106" i="270"/>
  <c r="U94" i="270" s="1"/>
  <c r="S106" i="270"/>
  <c r="Y105" i="270"/>
  <c r="X105" i="270"/>
  <c r="W105" i="270"/>
  <c r="W94" i="270" s="1"/>
  <c r="V105" i="270"/>
  <c r="T105" i="270"/>
  <c r="S105" i="270"/>
  <c r="Y104" i="270"/>
  <c r="X104" i="270"/>
  <c r="W104" i="270"/>
  <c r="V104" i="270"/>
  <c r="T104" i="270"/>
  <c r="T94" i="270" s="1"/>
  <c r="S104" i="270"/>
  <c r="R104" i="270"/>
  <c r="Q104" i="270"/>
  <c r="P104" i="270"/>
  <c r="O104" i="270"/>
  <c r="N104" i="270"/>
  <c r="Y103" i="270"/>
  <c r="X103" i="270"/>
  <c r="W103" i="270"/>
  <c r="V103" i="270"/>
  <c r="T103" i="270"/>
  <c r="S103" i="270"/>
  <c r="R103" i="270"/>
  <c r="Q103" i="270"/>
  <c r="P103" i="270"/>
  <c r="O103" i="270"/>
  <c r="N103" i="270"/>
  <c r="I103" i="270"/>
  <c r="H103" i="270"/>
  <c r="G103" i="270"/>
  <c r="F103" i="270"/>
  <c r="E103" i="270"/>
  <c r="D103" i="270"/>
  <c r="C103" i="270"/>
  <c r="B103" i="270"/>
  <c r="A103" i="270"/>
  <c r="Y102" i="270"/>
  <c r="X102" i="270"/>
  <c r="W102" i="270"/>
  <c r="V102" i="270"/>
  <c r="T102" i="270"/>
  <c r="S102" i="270"/>
  <c r="R102" i="270"/>
  <c r="Q102" i="270"/>
  <c r="P102" i="270"/>
  <c r="O102" i="270"/>
  <c r="N102" i="270"/>
  <c r="I102" i="270"/>
  <c r="H102" i="270"/>
  <c r="G102" i="270"/>
  <c r="F102" i="270"/>
  <c r="E102" i="270"/>
  <c r="D102" i="270"/>
  <c r="C102" i="270"/>
  <c r="B102" i="270"/>
  <c r="A102" i="270"/>
  <c r="Y101" i="270"/>
  <c r="X101" i="270"/>
  <c r="W101" i="270"/>
  <c r="V101" i="270"/>
  <c r="T101" i="270"/>
  <c r="S101" i="270"/>
  <c r="R101" i="270"/>
  <c r="Q101" i="270"/>
  <c r="P101" i="270"/>
  <c r="O101" i="270"/>
  <c r="N101" i="270"/>
  <c r="I101" i="270"/>
  <c r="H101" i="270"/>
  <c r="G101" i="270"/>
  <c r="F101" i="270"/>
  <c r="E101" i="270"/>
  <c r="D101" i="270"/>
  <c r="C101" i="270"/>
  <c r="B101" i="270"/>
  <c r="A101" i="270"/>
  <c r="Y100" i="270"/>
  <c r="X100" i="270"/>
  <c r="W100" i="270"/>
  <c r="V100" i="270"/>
  <c r="T100" i="270"/>
  <c r="S100" i="270"/>
  <c r="R100" i="270"/>
  <c r="Q100" i="270"/>
  <c r="P100" i="270"/>
  <c r="O100" i="270"/>
  <c r="N100" i="270"/>
  <c r="I100" i="270"/>
  <c r="H100" i="270"/>
  <c r="G100" i="270"/>
  <c r="F100" i="270"/>
  <c r="E100" i="270"/>
  <c r="D100" i="270"/>
  <c r="C100" i="270"/>
  <c r="B100" i="270"/>
  <c r="A100" i="270"/>
  <c r="Y99" i="270"/>
  <c r="X99" i="270"/>
  <c r="W99" i="270"/>
  <c r="V99" i="270"/>
  <c r="T99" i="270"/>
  <c r="S99" i="270"/>
  <c r="R99" i="270"/>
  <c r="Q99" i="270"/>
  <c r="P99" i="270"/>
  <c r="O99" i="270"/>
  <c r="N99" i="270"/>
  <c r="I99" i="270"/>
  <c r="H99" i="270"/>
  <c r="G99" i="270"/>
  <c r="F99" i="270"/>
  <c r="E99" i="270"/>
  <c r="D99" i="270"/>
  <c r="C99" i="270"/>
  <c r="B99" i="270"/>
  <c r="A99" i="270"/>
  <c r="Y98" i="270"/>
  <c r="X98" i="270"/>
  <c r="W98" i="270"/>
  <c r="V98" i="270"/>
  <c r="T98" i="270"/>
  <c r="S98" i="270"/>
  <c r="R98" i="270"/>
  <c r="Q98" i="270"/>
  <c r="P98" i="270"/>
  <c r="O98" i="270"/>
  <c r="N98" i="270"/>
  <c r="I98" i="270"/>
  <c r="H98" i="270"/>
  <c r="G98" i="270"/>
  <c r="F98" i="270"/>
  <c r="E98" i="270"/>
  <c r="D98" i="270"/>
  <c r="C98" i="270"/>
  <c r="B98" i="270"/>
  <c r="A98" i="270"/>
  <c r="Y97" i="270"/>
  <c r="X97" i="270"/>
  <c r="W97" i="270"/>
  <c r="V97" i="270"/>
  <c r="T97" i="270"/>
  <c r="S97" i="270"/>
  <c r="R97" i="270"/>
  <c r="Q97" i="270"/>
  <c r="P97" i="270"/>
  <c r="O97" i="270"/>
  <c r="N97" i="270"/>
  <c r="I97" i="270"/>
  <c r="H97" i="270"/>
  <c r="G97" i="270"/>
  <c r="F97" i="270"/>
  <c r="E97" i="270"/>
  <c r="D97" i="270"/>
  <c r="C97" i="270"/>
  <c r="B97" i="270"/>
  <c r="A97" i="270"/>
  <c r="Y96" i="270"/>
  <c r="X96" i="270"/>
  <c r="W96" i="270"/>
  <c r="V96" i="270"/>
  <c r="T96" i="270"/>
  <c r="S96" i="270"/>
  <c r="R96" i="270"/>
  <c r="Q96" i="270"/>
  <c r="P96" i="270"/>
  <c r="O96" i="270"/>
  <c r="N96" i="270"/>
  <c r="I96" i="270"/>
  <c r="H96" i="270"/>
  <c r="G96" i="270"/>
  <c r="F96" i="270"/>
  <c r="E96" i="270"/>
  <c r="D96" i="270"/>
  <c r="C96" i="270"/>
  <c r="B96" i="270"/>
  <c r="A96" i="270"/>
  <c r="Y95" i="270"/>
  <c r="X95" i="270"/>
  <c r="X94" i="270" s="1"/>
  <c r="W95" i="270"/>
  <c r="V95" i="270"/>
  <c r="V94" i="270" s="1"/>
  <c r="T95" i="270"/>
  <c r="S95" i="270"/>
  <c r="R95" i="270"/>
  <c r="Q95" i="270"/>
  <c r="P95" i="270"/>
  <c r="O95" i="270"/>
  <c r="N95" i="270"/>
  <c r="I95" i="270"/>
  <c r="H95" i="270"/>
  <c r="G95" i="270"/>
  <c r="F95" i="270"/>
  <c r="E95" i="270"/>
  <c r="D95" i="270"/>
  <c r="C95" i="270"/>
  <c r="B95" i="270"/>
  <c r="A95" i="270"/>
  <c r="R94" i="270"/>
  <c r="M94" i="270"/>
  <c r="L94" i="270"/>
  <c r="Y93" i="270"/>
  <c r="X93" i="270"/>
  <c r="W93" i="270"/>
  <c r="V93" i="270"/>
  <c r="T93" i="270"/>
  <c r="S93" i="270"/>
  <c r="R93" i="270"/>
  <c r="Q93" i="270"/>
  <c r="P93" i="270"/>
  <c r="O93" i="270"/>
  <c r="N93" i="270"/>
  <c r="I93" i="270"/>
  <c r="H93" i="270"/>
  <c r="G93" i="270"/>
  <c r="F93" i="270"/>
  <c r="E93" i="270"/>
  <c r="D93" i="270"/>
  <c r="C93" i="270"/>
  <c r="B93" i="270"/>
  <c r="A93" i="270"/>
  <c r="Y92" i="270"/>
  <c r="X92" i="270"/>
  <c r="W92" i="270"/>
  <c r="V92" i="270"/>
  <c r="T92" i="270"/>
  <c r="S92" i="270"/>
  <c r="R92" i="270"/>
  <c r="Q92" i="270"/>
  <c r="P92" i="270"/>
  <c r="O92" i="270"/>
  <c r="N92" i="270"/>
  <c r="I92" i="270"/>
  <c r="H92" i="270"/>
  <c r="G92" i="270"/>
  <c r="F92" i="270"/>
  <c r="E92" i="270"/>
  <c r="D92" i="270"/>
  <c r="C92" i="270"/>
  <c r="B92" i="270"/>
  <c r="A92" i="270"/>
  <c r="Y91" i="270"/>
  <c r="X91" i="270"/>
  <c r="X90" i="270" s="1"/>
  <c r="W91" i="270"/>
  <c r="V91" i="270"/>
  <c r="V90" i="270" s="1"/>
  <c r="T91" i="270"/>
  <c r="S91" i="270"/>
  <c r="R91" i="270"/>
  <c r="Q91" i="270"/>
  <c r="P91" i="270"/>
  <c r="O91" i="270"/>
  <c r="N91" i="270"/>
  <c r="I91" i="270"/>
  <c r="H91" i="270"/>
  <c r="G91" i="270"/>
  <c r="F91" i="270"/>
  <c r="E91" i="270"/>
  <c r="D91" i="270"/>
  <c r="C91" i="270"/>
  <c r="B91" i="270"/>
  <c r="A91" i="270"/>
  <c r="W90" i="270"/>
  <c r="U90" i="270"/>
  <c r="T90" i="270"/>
  <c r="R90" i="270"/>
  <c r="M90" i="270"/>
  <c r="Y89" i="270"/>
  <c r="X89" i="270"/>
  <c r="W89" i="270"/>
  <c r="V89" i="270"/>
  <c r="T89" i="270"/>
  <c r="S89" i="270"/>
  <c r="R89" i="270"/>
  <c r="Q89" i="270"/>
  <c r="P89" i="270"/>
  <c r="O89" i="270"/>
  <c r="N89" i="270"/>
  <c r="I89" i="270"/>
  <c r="H89" i="270"/>
  <c r="G89" i="270"/>
  <c r="F89" i="270"/>
  <c r="E89" i="270"/>
  <c r="D89" i="270"/>
  <c r="C89" i="270"/>
  <c r="B89" i="270"/>
  <c r="A89" i="270"/>
  <c r="Y88" i="270"/>
  <c r="X88" i="270"/>
  <c r="W88" i="270"/>
  <c r="V88" i="270"/>
  <c r="T88" i="270"/>
  <c r="S88" i="270"/>
  <c r="R88" i="270"/>
  <c r="Q88" i="270"/>
  <c r="P88" i="270"/>
  <c r="O88" i="270"/>
  <c r="N88" i="270"/>
  <c r="I88" i="270"/>
  <c r="H88" i="270"/>
  <c r="G88" i="270"/>
  <c r="F88" i="270"/>
  <c r="E88" i="270"/>
  <c r="D88" i="270"/>
  <c r="C88" i="270"/>
  <c r="B88" i="270"/>
  <c r="A88" i="270"/>
  <c r="Y87" i="270"/>
  <c r="X87" i="270"/>
  <c r="W87" i="270"/>
  <c r="V87" i="270"/>
  <c r="T87" i="270"/>
  <c r="S87" i="270"/>
  <c r="R87" i="270"/>
  <c r="Q87" i="270"/>
  <c r="P87" i="270"/>
  <c r="O87" i="270"/>
  <c r="N87" i="270"/>
  <c r="I87" i="270"/>
  <c r="H87" i="270"/>
  <c r="G87" i="270"/>
  <c r="F87" i="270"/>
  <c r="E87" i="270"/>
  <c r="D87" i="270"/>
  <c r="C87" i="270"/>
  <c r="B87" i="270"/>
  <c r="A87" i="270"/>
  <c r="Y86" i="270"/>
  <c r="X86" i="270"/>
  <c r="W86" i="270"/>
  <c r="V86" i="270"/>
  <c r="T86" i="270"/>
  <c r="S86" i="270"/>
  <c r="R86" i="270"/>
  <c r="Q86" i="270"/>
  <c r="P86" i="270"/>
  <c r="O86" i="270"/>
  <c r="N86" i="270"/>
  <c r="I86" i="270"/>
  <c r="H86" i="270"/>
  <c r="G86" i="270"/>
  <c r="F86" i="270"/>
  <c r="E86" i="270"/>
  <c r="D86" i="270"/>
  <c r="C86" i="270"/>
  <c r="B86" i="270"/>
  <c r="A86" i="270"/>
  <c r="Y85" i="270"/>
  <c r="X85" i="270"/>
  <c r="W85" i="270"/>
  <c r="V85" i="270"/>
  <c r="T85" i="270"/>
  <c r="S85" i="270"/>
  <c r="R85" i="270"/>
  <c r="Q85" i="270"/>
  <c r="P85" i="270"/>
  <c r="O85" i="270"/>
  <c r="N85" i="270"/>
  <c r="I85" i="270"/>
  <c r="H85" i="270"/>
  <c r="G85" i="270"/>
  <c r="F85" i="270"/>
  <c r="E85" i="270"/>
  <c r="D85" i="270"/>
  <c r="C85" i="270"/>
  <c r="B85" i="270"/>
  <c r="A85" i="270"/>
  <c r="Y84" i="270"/>
  <c r="X84" i="270"/>
  <c r="W84" i="270"/>
  <c r="V84" i="270"/>
  <c r="T84" i="270"/>
  <c r="S84" i="270"/>
  <c r="R84" i="270"/>
  <c r="Q84" i="270"/>
  <c r="P84" i="270"/>
  <c r="O84" i="270"/>
  <c r="N84" i="270"/>
  <c r="I84" i="270"/>
  <c r="H84" i="270"/>
  <c r="G84" i="270"/>
  <c r="F84" i="270"/>
  <c r="E84" i="270"/>
  <c r="D84" i="270"/>
  <c r="C84" i="270"/>
  <c r="B84" i="270"/>
  <c r="A84" i="270"/>
  <c r="Y83" i="270"/>
  <c r="X83" i="270"/>
  <c r="W83" i="270"/>
  <c r="V83" i="270"/>
  <c r="T83" i="270"/>
  <c r="S83" i="270"/>
  <c r="R83" i="270"/>
  <c r="Q83" i="270"/>
  <c r="P83" i="270"/>
  <c r="O83" i="270"/>
  <c r="N83" i="270"/>
  <c r="I83" i="270"/>
  <c r="H83" i="270"/>
  <c r="G83" i="270"/>
  <c r="F83" i="270"/>
  <c r="E83" i="270"/>
  <c r="D83" i="270"/>
  <c r="C83" i="270"/>
  <c r="B83" i="270"/>
  <c r="A83" i="270"/>
  <c r="Y82" i="270"/>
  <c r="X82" i="270"/>
  <c r="W82" i="270"/>
  <c r="V82" i="270"/>
  <c r="T82" i="270"/>
  <c r="S82" i="270"/>
  <c r="R82" i="270"/>
  <c r="Q82" i="270"/>
  <c r="P82" i="270"/>
  <c r="O82" i="270"/>
  <c r="N82" i="270"/>
  <c r="I82" i="270"/>
  <c r="H82" i="270"/>
  <c r="G82" i="270"/>
  <c r="F82" i="270"/>
  <c r="E82" i="270"/>
  <c r="D82" i="270"/>
  <c r="C82" i="270"/>
  <c r="B82" i="270"/>
  <c r="A82" i="270"/>
  <c r="Y81" i="270"/>
  <c r="X81" i="270"/>
  <c r="W81" i="270"/>
  <c r="V81" i="270"/>
  <c r="T81" i="270"/>
  <c r="S81" i="270"/>
  <c r="R81" i="270"/>
  <c r="R76" i="270" s="1"/>
  <c r="Q81" i="270"/>
  <c r="P81" i="270"/>
  <c r="O81" i="270"/>
  <c r="N81" i="270"/>
  <c r="I81" i="270"/>
  <c r="H81" i="270"/>
  <c r="G81" i="270"/>
  <c r="F81" i="270"/>
  <c r="E81" i="270"/>
  <c r="D81" i="270"/>
  <c r="C81" i="270"/>
  <c r="B81" i="270"/>
  <c r="A81" i="270"/>
  <c r="Y80" i="270"/>
  <c r="X80" i="270"/>
  <c r="W80" i="270"/>
  <c r="W76" i="270" s="1"/>
  <c r="Y79" i="270"/>
  <c r="X79" i="270"/>
  <c r="W79" i="270"/>
  <c r="V79" i="270"/>
  <c r="T79" i="270"/>
  <c r="S79" i="270"/>
  <c r="R79" i="270"/>
  <c r="Q79" i="270"/>
  <c r="P79" i="270"/>
  <c r="O79" i="270"/>
  <c r="N79" i="270"/>
  <c r="I79" i="270"/>
  <c r="H79" i="270"/>
  <c r="G79" i="270"/>
  <c r="F79" i="270"/>
  <c r="E79" i="270"/>
  <c r="D79" i="270"/>
  <c r="C79" i="270"/>
  <c r="B79" i="270"/>
  <c r="A79" i="270"/>
  <c r="Y78" i="270"/>
  <c r="X78" i="270"/>
  <c r="X76" i="270" s="1"/>
  <c r="W78" i="270"/>
  <c r="V78" i="270"/>
  <c r="V76" i="270" s="1"/>
  <c r="T78" i="270"/>
  <c r="S78" i="270"/>
  <c r="I78" i="270"/>
  <c r="H78" i="270"/>
  <c r="G78" i="270"/>
  <c r="F78" i="270"/>
  <c r="E78" i="270"/>
  <c r="D78" i="270"/>
  <c r="C78" i="270"/>
  <c r="B78" i="270"/>
  <c r="A78" i="270"/>
  <c r="Y77" i="270"/>
  <c r="X77" i="270"/>
  <c r="W77" i="270"/>
  <c r="V77" i="270"/>
  <c r="T77" i="270"/>
  <c r="T76" i="270" s="1"/>
  <c r="S77" i="270"/>
  <c r="R77" i="270"/>
  <c r="Q77" i="270"/>
  <c r="P77" i="270"/>
  <c r="O77" i="270"/>
  <c r="N77" i="270"/>
  <c r="I77" i="270"/>
  <c r="H77" i="270"/>
  <c r="G77" i="270"/>
  <c r="F77" i="270"/>
  <c r="E77" i="270"/>
  <c r="D77" i="270"/>
  <c r="C77" i="270"/>
  <c r="B77" i="270"/>
  <c r="A77" i="270"/>
  <c r="Y76" i="270"/>
  <c r="U76" i="270"/>
  <c r="M76" i="270"/>
  <c r="R74" i="270"/>
  <c r="Y73" i="270"/>
  <c r="X73" i="270"/>
  <c r="W73" i="270"/>
  <c r="V73" i="270"/>
  <c r="T73" i="270"/>
  <c r="S73" i="270"/>
  <c r="R73" i="270"/>
  <c r="Q73" i="270"/>
  <c r="P73" i="270"/>
  <c r="O73" i="270"/>
  <c r="N73" i="270"/>
  <c r="I73" i="270"/>
  <c r="H73" i="270"/>
  <c r="G73" i="270"/>
  <c r="F73" i="270"/>
  <c r="E73" i="270"/>
  <c r="D73" i="270"/>
  <c r="C73" i="270"/>
  <c r="B73" i="270"/>
  <c r="A73" i="270"/>
  <c r="Y72" i="270"/>
  <c r="X72" i="270"/>
  <c r="W72" i="270"/>
  <c r="V72" i="270"/>
  <c r="T72" i="270"/>
  <c r="S72" i="270"/>
  <c r="R72" i="270"/>
  <c r="Q72" i="270"/>
  <c r="P72" i="270"/>
  <c r="O72" i="270"/>
  <c r="N72" i="270"/>
  <c r="I72" i="270"/>
  <c r="H72" i="270"/>
  <c r="G72" i="270"/>
  <c r="F72" i="270"/>
  <c r="E72" i="270"/>
  <c r="D72" i="270"/>
  <c r="C72" i="270"/>
  <c r="B72" i="270"/>
  <c r="A72" i="270"/>
  <c r="Y71" i="270"/>
  <c r="X71" i="270"/>
  <c r="W71" i="270"/>
  <c r="Y70" i="270"/>
  <c r="X70" i="270"/>
  <c r="W70" i="270"/>
  <c r="W67" i="270" s="1"/>
  <c r="V70" i="270"/>
  <c r="T70" i="270"/>
  <c r="S70" i="270"/>
  <c r="I70" i="270"/>
  <c r="H70" i="270"/>
  <c r="G70" i="270"/>
  <c r="F70" i="270"/>
  <c r="E70" i="270"/>
  <c r="D70" i="270"/>
  <c r="C70" i="270"/>
  <c r="B70" i="270"/>
  <c r="A70" i="270"/>
  <c r="Y69" i="270"/>
  <c r="X69" i="270"/>
  <c r="W69" i="270"/>
  <c r="V69" i="270"/>
  <c r="T69" i="270"/>
  <c r="S69" i="270"/>
  <c r="R69" i="270"/>
  <c r="Q69" i="270"/>
  <c r="P69" i="270"/>
  <c r="O69" i="270"/>
  <c r="N69" i="270"/>
  <c r="I69" i="270"/>
  <c r="H69" i="270"/>
  <c r="G69" i="270"/>
  <c r="F69" i="270"/>
  <c r="E69" i="270"/>
  <c r="D69" i="270"/>
  <c r="C69" i="270"/>
  <c r="B69" i="270"/>
  <c r="A69" i="270"/>
  <c r="Y68" i="270"/>
  <c r="X68" i="270"/>
  <c r="W68" i="270"/>
  <c r="V68" i="270"/>
  <c r="T68" i="270"/>
  <c r="S68" i="270"/>
  <c r="R68" i="270"/>
  <c r="Q68" i="270"/>
  <c r="P68" i="270"/>
  <c r="O68" i="270"/>
  <c r="N68" i="270"/>
  <c r="I68" i="270"/>
  <c r="H68" i="270"/>
  <c r="G68" i="270"/>
  <c r="F68" i="270"/>
  <c r="E68" i="270"/>
  <c r="D68" i="270"/>
  <c r="C68" i="270"/>
  <c r="B68" i="270"/>
  <c r="A68" i="270"/>
  <c r="U67" i="270"/>
  <c r="R67" i="270"/>
  <c r="M67" i="270"/>
  <c r="L67" i="270"/>
  <c r="Y66" i="270"/>
  <c r="X66" i="270"/>
  <c r="W66" i="270"/>
  <c r="V66" i="270"/>
  <c r="T66" i="270"/>
  <c r="S66" i="270"/>
  <c r="R66" i="270"/>
  <c r="Q66" i="270"/>
  <c r="P66" i="270"/>
  <c r="O66" i="270"/>
  <c r="N66" i="270"/>
  <c r="I66" i="270"/>
  <c r="H66" i="270"/>
  <c r="G66" i="270"/>
  <c r="F66" i="270"/>
  <c r="E66" i="270"/>
  <c r="D66" i="270"/>
  <c r="C66" i="270"/>
  <c r="B66" i="270"/>
  <c r="A66" i="270"/>
  <c r="Y65" i="270"/>
  <c r="X65" i="270"/>
  <c r="W65" i="270"/>
  <c r="W64" i="270" s="1"/>
  <c r="V65" i="270"/>
  <c r="T65" i="270"/>
  <c r="S65" i="270"/>
  <c r="R65" i="270"/>
  <c r="Q65" i="270"/>
  <c r="P65" i="270"/>
  <c r="O65" i="270"/>
  <c r="N65" i="270"/>
  <c r="I65" i="270"/>
  <c r="H65" i="270"/>
  <c r="G65" i="270"/>
  <c r="F65" i="270"/>
  <c r="E65" i="270"/>
  <c r="D65" i="270"/>
  <c r="C65" i="270"/>
  <c r="B65" i="270"/>
  <c r="A65" i="270"/>
  <c r="U64" i="270"/>
  <c r="T64" i="270"/>
  <c r="R64" i="270"/>
  <c r="M64" i="270"/>
  <c r="L64" i="270"/>
  <c r="Y63" i="270"/>
  <c r="X63" i="270"/>
  <c r="W63" i="270"/>
  <c r="V63" i="270"/>
  <c r="T63" i="270"/>
  <c r="S63" i="270"/>
  <c r="Q63" i="270"/>
  <c r="P63" i="270"/>
  <c r="O63" i="270"/>
  <c r="N63" i="270"/>
  <c r="Y62" i="270"/>
  <c r="X62" i="270"/>
  <c r="W62" i="270"/>
  <c r="V62" i="270"/>
  <c r="T62" i="270"/>
  <c r="S62" i="270"/>
  <c r="R62" i="270"/>
  <c r="Q62" i="270"/>
  <c r="P62" i="270"/>
  <c r="O62" i="270"/>
  <c r="N62" i="270"/>
  <c r="I62" i="270"/>
  <c r="H62" i="270"/>
  <c r="G62" i="270"/>
  <c r="F62" i="270"/>
  <c r="E62" i="270"/>
  <c r="D62" i="270"/>
  <c r="C62" i="270"/>
  <c r="B62" i="270"/>
  <c r="A62" i="270"/>
  <c r="Y61" i="270"/>
  <c r="X61" i="270"/>
  <c r="W61" i="270"/>
  <c r="V61" i="270"/>
  <c r="T61" i="270"/>
  <c r="S61" i="270"/>
  <c r="R61" i="270"/>
  <c r="Q61" i="270"/>
  <c r="P61" i="270"/>
  <c r="O61" i="270"/>
  <c r="N61" i="270"/>
  <c r="I61" i="270"/>
  <c r="H61" i="270"/>
  <c r="G61" i="270"/>
  <c r="F61" i="270"/>
  <c r="E61" i="270"/>
  <c r="D61" i="270"/>
  <c r="C61" i="270"/>
  <c r="B61" i="270"/>
  <c r="A61" i="270"/>
  <c r="Y60" i="270"/>
  <c r="X60" i="270"/>
  <c r="W60" i="270"/>
  <c r="V60" i="270"/>
  <c r="T60" i="270"/>
  <c r="S60" i="270"/>
  <c r="I60" i="270"/>
  <c r="H60" i="270"/>
  <c r="G60" i="270"/>
  <c r="F60" i="270"/>
  <c r="E60" i="270"/>
  <c r="D60" i="270"/>
  <c r="C60" i="270"/>
  <c r="B60" i="270"/>
  <c r="A60" i="270"/>
  <c r="Y59" i="270"/>
  <c r="Y52" i="270" s="1"/>
  <c r="X59" i="270"/>
  <c r="W59" i="270"/>
  <c r="V59" i="270"/>
  <c r="T59" i="270"/>
  <c r="T52" i="270" s="1"/>
  <c r="S59" i="270"/>
  <c r="I59" i="270"/>
  <c r="H59" i="270"/>
  <c r="G59" i="270"/>
  <c r="F59" i="270"/>
  <c r="E59" i="270"/>
  <c r="D59" i="270"/>
  <c r="C59" i="270"/>
  <c r="B59" i="270"/>
  <c r="A59" i="270"/>
  <c r="Y58" i="270"/>
  <c r="X58" i="270"/>
  <c r="W58" i="270"/>
  <c r="Y57" i="270"/>
  <c r="X57" i="270"/>
  <c r="W57" i="270"/>
  <c r="W52" i="270" s="1"/>
  <c r="V57" i="270"/>
  <c r="T57" i="270"/>
  <c r="S57" i="270"/>
  <c r="Q57" i="270"/>
  <c r="P57" i="270"/>
  <c r="O57" i="270"/>
  <c r="N57" i="270"/>
  <c r="I57" i="270"/>
  <c r="H57" i="270"/>
  <c r="G57" i="270"/>
  <c r="F57" i="270"/>
  <c r="E57" i="270"/>
  <c r="D57" i="270"/>
  <c r="C57" i="270"/>
  <c r="B57" i="270"/>
  <c r="A57" i="270"/>
  <c r="Y56" i="270"/>
  <c r="X56" i="270"/>
  <c r="W56" i="270"/>
  <c r="V56" i="270"/>
  <c r="T56" i="270"/>
  <c r="S56" i="270"/>
  <c r="R56" i="270"/>
  <c r="Q56" i="270"/>
  <c r="P56" i="270"/>
  <c r="O56" i="270"/>
  <c r="N56" i="270"/>
  <c r="I56" i="270"/>
  <c r="H56" i="270"/>
  <c r="G56" i="270"/>
  <c r="F56" i="270"/>
  <c r="E56" i="270"/>
  <c r="D56" i="270"/>
  <c r="C56" i="270"/>
  <c r="B56" i="270"/>
  <c r="A56" i="270"/>
  <c r="Y55" i="270"/>
  <c r="X55" i="270"/>
  <c r="W55" i="270"/>
  <c r="V55" i="270"/>
  <c r="T55" i="270"/>
  <c r="S55" i="270"/>
  <c r="R55" i="270"/>
  <c r="Q55" i="270"/>
  <c r="P55" i="270"/>
  <c r="O55" i="270"/>
  <c r="N55" i="270"/>
  <c r="I55" i="270"/>
  <c r="H55" i="270"/>
  <c r="G55" i="270"/>
  <c r="F55" i="270"/>
  <c r="E55" i="270"/>
  <c r="D55" i="270"/>
  <c r="C55" i="270"/>
  <c r="B55" i="270"/>
  <c r="A55" i="270"/>
  <c r="Y54" i="270"/>
  <c r="X54" i="270"/>
  <c r="W54" i="270"/>
  <c r="V54" i="270"/>
  <c r="V52" i="270" s="1"/>
  <c r="T54" i="270"/>
  <c r="S54" i="270"/>
  <c r="Y53" i="270"/>
  <c r="X53" i="270"/>
  <c r="W53" i="270"/>
  <c r="V53" i="270"/>
  <c r="T53" i="270"/>
  <c r="S53" i="270"/>
  <c r="R53" i="270"/>
  <c r="Q53" i="270"/>
  <c r="P53" i="270"/>
  <c r="O53" i="270"/>
  <c r="N53" i="270"/>
  <c r="U52" i="270"/>
  <c r="R52" i="270"/>
  <c r="M52" i="270"/>
  <c r="L52" i="270"/>
  <c r="Y51" i="270"/>
  <c r="X51" i="270"/>
  <c r="W51" i="270"/>
  <c r="V51" i="270"/>
  <c r="T51" i="270"/>
  <c r="S51" i="270"/>
  <c r="Q51" i="270"/>
  <c r="P51" i="270"/>
  <c r="O51" i="270"/>
  <c r="N51" i="270"/>
  <c r="Y50" i="270"/>
  <c r="X50" i="270"/>
  <c r="W50" i="270"/>
  <c r="V50" i="270"/>
  <c r="T50" i="270"/>
  <c r="S50" i="270"/>
  <c r="Q50" i="270"/>
  <c r="P50" i="270"/>
  <c r="O50" i="270"/>
  <c r="Y49" i="270"/>
  <c r="X49" i="270"/>
  <c r="W49" i="270"/>
  <c r="V49" i="270"/>
  <c r="T49" i="270"/>
  <c r="S49" i="270"/>
  <c r="R49" i="270"/>
  <c r="Q49" i="270"/>
  <c r="P49" i="270"/>
  <c r="O49" i="270"/>
  <c r="N49" i="270"/>
  <c r="I49" i="270"/>
  <c r="H49" i="270"/>
  <c r="G49" i="270"/>
  <c r="F49" i="270"/>
  <c r="E49" i="270"/>
  <c r="D49" i="270"/>
  <c r="C49" i="270"/>
  <c r="B49" i="270"/>
  <c r="A49" i="270"/>
  <c r="Y48" i="270"/>
  <c r="X48" i="270"/>
  <c r="W48" i="270"/>
  <c r="V48" i="270"/>
  <c r="T48" i="270"/>
  <c r="S48" i="270"/>
  <c r="R48" i="270"/>
  <c r="Q48" i="270"/>
  <c r="P48" i="270"/>
  <c r="O48" i="270"/>
  <c r="N48" i="270"/>
  <c r="I48" i="270"/>
  <c r="H48" i="270"/>
  <c r="G48" i="270"/>
  <c r="F48" i="270"/>
  <c r="E48" i="270"/>
  <c r="D48" i="270"/>
  <c r="C48" i="270"/>
  <c r="B48" i="270"/>
  <c r="A48" i="270"/>
  <c r="Y46" i="270"/>
  <c r="X46" i="270"/>
  <c r="W46" i="270"/>
  <c r="V46" i="270"/>
  <c r="T46" i="270"/>
  <c r="S46" i="270"/>
  <c r="R46" i="270"/>
  <c r="Q46" i="270"/>
  <c r="P46" i="270"/>
  <c r="O46" i="270"/>
  <c r="N46" i="270"/>
  <c r="I46" i="270"/>
  <c r="H46" i="270"/>
  <c r="G46" i="270"/>
  <c r="F46" i="270"/>
  <c r="E46" i="270"/>
  <c r="D46" i="270"/>
  <c r="C46" i="270"/>
  <c r="B46" i="270"/>
  <c r="A46" i="270"/>
  <c r="Y45" i="270"/>
  <c r="X45" i="270"/>
  <c r="W45" i="270"/>
  <c r="V45" i="270"/>
  <c r="T45" i="270"/>
  <c r="S45" i="270"/>
  <c r="R45" i="270"/>
  <c r="Q45" i="270"/>
  <c r="P45" i="270"/>
  <c r="O45" i="270"/>
  <c r="N45" i="270"/>
  <c r="I45" i="270"/>
  <c r="H45" i="270"/>
  <c r="G45" i="270"/>
  <c r="F45" i="270"/>
  <c r="E45" i="270"/>
  <c r="D45" i="270"/>
  <c r="C45" i="270"/>
  <c r="B45" i="270"/>
  <c r="A45" i="270"/>
  <c r="Y44" i="270"/>
  <c r="X44" i="270"/>
  <c r="W44" i="270"/>
  <c r="V44" i="270"/>
  <c r="T44" i="270"/>
  <c r="S44" i="270"/>
  <c r="R44" i="270"/>
  <c r="Q44" i="270"/>
  <c r="P44" i="270"/>
  <c r="O44" i="270"/>
  <c r="N44" i="270"/>
  <c r="I44" i="270"/>
  <c r="H44" i="270"/>
  <c r="G44" i="270"/>
  <c r="F44" i="270"/>
  <c r="E44" i="270"/>
  <c r="D44" i="270"/>
  <c r="C44" i="270"/>
  <c r="B44" i="270"/>
  <c r="A44" i="270"/>
  <c r="Y43" i="270"/>
  <c r="X43" i="270"/>
  <c r="W43" i="270"/>
  <c r="V43" i="270"/>
  <c r="T43" i="270"/>
  <c r="S43" i="270"/>
  <c r="R43" i="270"/>
  <c r="Q43" i="270"/>
  <c r="P43" i="270"/>
  <c r="O43" i="270"/>
  <c r="N43" i="270"/>
  <c r="I43" i="270"/>
  <c r="H43" i="270"/>
  <c r="G43" i="270"/>
  <c r="F43" i="270"/>
  <c r="E43" i="270"/>
  <c r="D43" i="270"/>
  <c r="C43" i="270"/>
  <c r="B43" i="270"/>
  <c r="A43" i="270"/>
  <c r="Y42" i="270"/>
  <c r="X42" i="270"/>
  <c r="W42" i="270"/>
  <c r="V42" i="270"/>
  <c r="T42" i="270"/>
  <c r="S42" i="270"/>
  <c r="Q42" i="270"/>
  <c r="P42" i="270"/>
  <c r="O42" i="270"/>
  <c r="N42" i="270"/>
  <c r="I42" i="270"/>
  <c r="H42" i="270"/>
  <c r="G42" i="270"/>
  <c r="F42" i="270"/>
  <c r="E42" i="270"/>
  <c r="D42" i="270"/>
  <c r="C42" i="270"/>
  <c r="B42" i="270"/>
  <c r="A42" i="270"/>
  <c r="Y41" i="270"/>
  <c r="X41" i="270"/>
  <c r="W41" i="270"/>
  <c r="V41" i="270"/>
  <c r="T41" i="270"/>
  <c r="S41" i="270"/>
  <c r="R41" i="270"/>
  <c r="Q41" i="270"/>
  <c r="P41" i="270"/>
  <c r="O41" i="270"/>
  <c r="N41" i="270"/>
  <c r="I41" i="270"/>
  <c r="H41" i="270"/>
  <c r="G41" i="270"/>
  <c r="F41" i="270"/>
  <c r="E41" i="270"/>
  <c r="D41" i="270"/>
  <c r="C41" i="270"/>
  <c r="B41" i="270"/>
  <c r="A41" i="270"/>
  <c r="Y40" i="270"/>
  <c r="X40" i="270"/>
  <c r="W40" i="270"/>
  <c r="V40" i="270"/>
  <c r="T40" i="270"/>
  <c r="S40" i="270"/>
  <c r="R40" i="270"/>
  <c r="Q40" i="270"/>
  <c r="P40" i="270"/>
  <c r="O40" i="270"/>
  <c r="N40" i="270"/>
  <c r="I40" i="270"/>
  <c r="H40" i="270"/>
  <c r="G40" i="270"/>
  <c r="F40" i="270"/>
  <c r="E40" i="270"/>
  <c r="D40" i="270"/>
  <c r="C40" i="270"/>
  <c r="B40" i="270"/>
  <c r="A40" i="270"/>
  <c r="Y39" i="270"/>
  <c r="X39" i="270"/>
  <c r="W39" i="270"/>
  <c r="V39" i="270"/>
  <c r="T39" i="270"/>
  <c r="S39" i="270"/>
  <c r="R39" i="270"/>
  <c r="Q39" i="270"/>
  <c r="P39" i="270"/>
  <c r="O39" i="270"/>
  <c r="N39" i="270"/>
  <c r="I39" i="270"/>
  <c r="H39" i="270"/>
  <c r="G39" i="270"/>
  <c r="F39" i="270"/>
  <c r="E39" i="270"/>
  <c r="D39" i="270"/>
  <c r="C39" i="270"/>
  <c r="B39" i="270"/>
  <c r="A39" i="270"/>
  <c r="Y37" i="270"/>
  <c r="X37" i="270"/>
  <c r="W37" i="270"/>
  <c r="V37" i="270"/>
  <c r="T37" i="270"/>
  <c r="S37" i="270"/>
  <c r="R37" i="270"/>
  <c r="Q37" i="270"/>
  <c r="P37" i="270"/>
  <c r="O37" i="270"/>
  <c r="N37" i="270"/>
  <c r="I37" i="270"/>
  <c r="H37" i="270"/>
  <c r="G37" i="270"/>
  <c r="F37" i="270"/>
  <c r="E37" i="270"/>
  <c r="D37" i="270"/>
  <c r="C37" i="270"/>
  <c r="B37" i="270"/>
  <c r="A37" i="270"/>
  <c r="Y36" i="270"/>
  <c r="X36" i="270"/>
  <c r="W36" i="270"/>
  <c r="V36" i="270"/>
  <c r="T36" i="270"/>
  <c r="T35" i="270" s="1"/>
  <c r="S36" i="270"/>
  <c r="R36" i="270"/>
  <c r="R35" i="270" s="1"/>
  <c r="Q36" i="270"/>
  <c r="P36" i="270"/>
  <c r="O36" i="270"/>
  <c r="N36" i="270"/>
  <c r="I36" i="270"/>
  <c r="H36" i="270"/>
  <c r="G36" i="270"/>
  <c r="F36" i="270"/>
  <c r="E36" i="270"/>
  <c r="D36" i="270"/>
  <c r="C36" i="270"/>
  <c r="B36" i="270"/>
  <c r="A36" i="270"/>
  <c r="W35" i="270"/>
  <c r="U35" i="270"/>
  <c r="M35" i="270"/>
  <c r="L35" i="270"/>
  <c r="Y34" i="270"/>
  <c r="X34" i="270"/>
  <c r="W34" i="270"/>
  <c r="V34" i="270"/>
  <c r="T34" i="270"/>
  <c r="S34" i="270"/>
  <c r="Q34" i="270"/>
  <c r="P34" i="270"/>
  <c r="O34" i="270"/>
  <c r="N34" i="270"/>
  <c r="Y33" i="270"/>
  <c r="X33" i="270"/>
  <c r="W33" i="270"/>
  <c r="V33" i="270"/>
  <c r="T33" i="270"/>
  <c r="S33" i="270"/>
  <c r="R33" i="270"/>
  <c r="Q33" i="270"/>
  <c r="P33" i="270"/>
  <c r="O33" i="270"/>
  <c r="N33" i="270"/>
  <c r="I33" i="270"/>
  <c r="H33" i="270"/>
  <c r="G33" i="270"/>
  <c r="F33" i="270"/>
  <c r="E33" i="270"/>
  <c r="D33" i="270"/>
  <c r="C33" i="270"/>
  <c r="B33" i="270"/>
  <c r="A33" i="270"/>
  <c r="Y32" i="270"/>
  <c r="X32" i="270"/>
  <c r="W32" i="270"/>
  <c r="V32" i="270"/>
  <c r="T32" i="270"/>
  <c r="S32" i="270"/>
  <c r="R32" i="270"/>
  <c r="Q32" i="270"/>
  <c r="P32" i="270"/>
  <c r="O32" i="270"/>
  <c r="N32" i="270"/>
  <c r="I32" i="270"/>
  <c r="H32" i="270"/>
  <c r="G32" i="270"/>
  <c r="F32" i="270"/>
  <c r="E32" i="270"/>
  <c r="D32" i="270"/>
  <c r="C32" i="270"/>
  <c r="B32" i="270"/>
  <c r="A32" i="270"/>
  <c r="Y31" i="270"/>
  <c r="X31" i="270"/>
  <c r="W31" i="270"/>
  <c r="V31" i="270"/>
  <c r="T31" i="270"/>
  <c r="S31" i="270"/>
  <c r="R31" i="270"/>
  <c r="Q31" i="270"/>
  <c r="P31" i="270"/>
  <c r="O31" i="270"/>
  <c r="N31" i="270"/>
  <c r="I31" i="270"/>
  <c r="H31" i="270"/>
  <c r="G31" i="270"/>
  <c r="F31" i="270"/>
  <c r="E31" i="270"/>
  <c r="D31" i="270"/>
  <c r="C31" i="270"/>
  <c r="B31" i="270"/>
  <c r="A31" i="270"/>
  <c r="Y30" i="270"/>
  <c r="X30" i="270"/>
  <c r="W30" i="270"/>
  <c r="V30" i="270"/>
  <c r="T30" i="270"/>
  <c r="S30" i="270"/>
  <c r="R30" i="270"/>
  <c r="Q30" i="270"/>
  <c r="P30" i="270"/>
  <c r="O30" i="270"/>
  <c r="N30" i="270"/>
  <c r="I30" i="270"/>
  <c r="H30" i="270"/>
  <c r="G30" i="270"/>
  <c r="F30" i="270"/>
  <c r="E30" i="270"/>
  <c r="D30" i="270"/>
  <c r="C30" i="270"/>
  <c r="B30" i="270"/>
  <c r="A30" i="270"/>
  <c r="Y29" i="270"/>
  <c r="X29" i="270"/>
  <c r="W29" i="270"/>
  <c r="V29" i="270"/>
  <c r="T29" i="270"/>
  <c r="S29" i="270"/>
  <c r="R29" i="270"/>
  <c r="Q29" i="270"/>
  <c r="P29" i="270"/>
  <c r="O29" i="270"/>
  <c r="N29" i="270"/>
  <c r="I29" i="270"/>
  <c r="H29" i="270"/>
  <c r="G29" i="270"/>
  <c r="F29" i="270"/>
  <c r="E29" i="270"/>
  <c r="D29" i="270"/>
  <c r="C29" i="270"/>
  <c r="B29" i="270"/>
  <c r="A29" i="270"/>
  <c r="Y28" i="270"/>
  <c r="X28" i="270"/>
  <c r="W28" i="270"/>
  <c r="V28" i="270"/>
  <c r="T28" i="270"/>
  <c r="S28" i="270"/>
  <c r="R28" i="270"/>
  <c r="Q28" i="270"/>
  <c r="P28" i="270"/>
  <c r="O28" i="270"/>
  <c r="N28" i="270"/>
  <c r="I28" i="270"/>
  <c r="H28" i="270"/>
  <c r="G28" i="270"/>
  <c r="F28" i="270"/>
  <c r="E28" i="270"/>
  <c r="D28" i="270"/>
  <c r="C28" i="270"/>
  <c r="B28" i="270"/>
  <c r="A28" i="270"/>
  <c r="Y27" i="270"/>
  <c r="X27" i="270"/>
  <c r="W27" i="270"/>
  <c r="V27" i="270"/>
  <c r="T27" i="270"/>
  <c r="S27" i="270"/>
  <c r="R27" i="270"/>
  <c r="R25" i="270" s="1"/>
  <c r="Q27" i="270"/>
  <c r="P27" i="270"/>
  <c r="O27" i="270"/>
  <c r="N27" i="270"/>
  <c r="I27" i="270"/>
  <c r="H27" i="270"/>
  <c r="G27" i="270"/>
  <c r="F27" i="270"/>
  <c r="E27" i="270"/>
  <c r="D27" i="270"/>
  <c r="C27" i="270"/>
  <c r="B27" i="270"/>
  <c r="A27" i="270"/>
  <c r="Y26" i="270"/>
  <c r="Y25" i="270" s="1"/>
  <c r="X26" i="270"/>
  <c r="W26" i="270"/>
  <c r="V26" i="270"/>
  <c r="T26" i="270"/>
  <c r="T25" i="270" s="1"/>
  <c r="S26" i="270"/>
  <c r="Q26" i="270"/>
  <c r="P26" i="270"/>
  <c r="O26" i="270"/>
  <c r="N26" i="270"/>
  <c r="V25" i="270"/>
  <c r="U25" i="270"/>
  <c r="M25" i="270"/>
  <c r="L25" i="270"/>
  <c r="Y24" i="270"/>
  <c r="X24" i="270"/>
  <c r="W24" i="270"/>
  <c r="V24" i="270"/>
  <c r="T24" i="270"/>
  <c r="S24" i="270"/>
  <c r="R24" i="270"/>
  <c r="Q24" i="270"/>
  <c r="P24" i="270"/>
  <c r="O24" i="270"/>
  <c r="N24" i="270"/>
  <c r="I24" i="270"/>
  <c r="H24" i="270"/>
  <c r="G24" i="270"/>
  <c r="F24" i="270"/>
  <c r="E24" i="270"/>
  <c r="D24" i="270"/>
  <c r="C24" i="270"/>
  <c r="B24" i="270"/>
  <c r="A24" i="270"/>
  <c r="Y23" i="270"/>
  <c r="X23" i="270"/>
  <c r="W23" i="270"/>
  <c r="V23" i="270"/>
  <c r="T23" i="270"/>
  <c r="S23" i="270"/>
  <c r="R23" i="270"/>
  <c r="Q23" i="270"/>
  <c r="P23" i="270"/>
  <c r="O23" i="270"/>
  <c r="N23" i="270"/>
  <c r="I23" i="270"/>
  <c r="H23" i="270"/>
  <c r="G23" i="270"/>
  <c r="F23" i="270"/>
  <c r="E23" i="270"/>
  <c r="D23" i="270"/>
  <c r="C23" i="270"/>
  <c r="B23" i="270"/>
  <c r="A23" i="270"/>
  <c r="Y22" i="270"/>
  <c r="X22" i="270"/>
  <c r="W22" i="270"/>
  <c r="V22" i="270"/>
  <c r="T22" i="270"/>
  <c r="S22" i="270"/>
  <c r="R22" i="270"/>
  <c r="Q22" i="270"/>
  <c r="P22" i="270"/>
  <c r="O22" i="270"/>
  <c r="N22" i="270"/>
  <c r="I22" i="270"/>
  <c r="H22" i="270"/>
  <c r="G22" i="270"/>
  <c r="F22" i="270"/>
  <c r="E22" i="270"/>
  <c r="D22" i="270"/>
  <c r="C22" i="270"/>
  <c r="B22" i="270"/>
  <c r="A22" i="270"/>
  <c r="Y21" i="270"/>
  <c r="X21" i="270"/>
  <c r="W21" i="270"/>
  <c r="V21" i="270"/>
  <c r="T21" i="270"/>
  <c r="S21" i="270"/>
  <c r="R21" i="270"/>
  <c r="Q21" i="270"/>
  <c r="P21" i="270"/>
  <c r="O21" i="270"/>
  <c r="N21" i="270"/>
  <c r="I21" i="270"/>
  <c r="H21" i="270"/>
  <c r="G21" i="270"/>
  <c r="F21" i="270"/>
  <c r="E21" i="270"/>
  <c r="D21" i="270"/>
  <c r="C21" i="270"/>
  <c r="B21" i="270"/>
  <c r="A21" i="270"/>
  <c r="Y20" i="270"/>
  <c r="X20" i="270"/>
  <c r="W20" i="270"/>
  <c r="W19" i="270" s="1"/>
  <c r="V20" i="270"/>
  <c r="T20" i="270"/>
  <c r="T19" i="270" s="1"/>
  <c r="S20" i="270"/>
  <c r="R20" i="270"/>
  <c r="R19" i="270" s="1"/>
  <c r="Q20" i="270"/>
  <c r="P20" i="270"/>
  <c r="O20" i="270"/>
  <c r="N20" i="270"/>
  <c r="I20" i="270"/>
  <c r="H20" i="270"/>
  <c r="G20" i="270"/>
  <c r="F20" i="270"/>
  <c r="E20" i="270"/>
  <c r="D20" i="270"/>
  <c r="C20" i="270"/>
  <c r="B20" i="270"/>
  <c r="A20" i="270"/>
  <c r="V19" i="270"/>
  <c r="U19" i="270"/>
  <c r="U11" i="270" s="1"/>
  <c r="M19" i="270"/>
  <c r="L19" i="270"/>
  <c r="Y18" i="270"/>
  <c r="X18" i="270"/>
  <c r="W18" i="270"/>
  <c r="V18" i="270"/>
  <c r="T18" i="270"/>
  <c r="S18" i="270"/>
  <c r="R18" i="270"/>
  <c r="Q18" i="270"/>
  <c r="P18" i="270"/>
  <c r="O18" i="270"/>
  <c r="N18" i="270"/>
  <c r="I18" i="270"/>
  <c r="H18" i="270"/>
  <c r="G18" i="270"/>
  <c r="F18" i="270"/>
  <c r="E18" i="270"/>
  <c r="D18" i="270"/>
  <c r="C18" i="270"/>
  <c r="B18" i="270"/>
  <c r="A18" i="270"/>
  <c r="Y17" i="270"/>
  <c r="X17" i="270"/>
  <c r="W17" i="270"/>
  <c r="V17" i="270"/>
  <c r="T17" i="270"/>
  <c r="S17" i="270"/>
  <c r="R17" i="270"/>
  <c r="Q17" i="270"/>
  <c r="P17" i="270"/>
  <c r="O17" i="270"/>
  <c r="N17" i="270"/>
  <c r="I17" i="270"/>
  <c r="H17" i="270"/>
  <c r="G17" i="270"/>
  <c r="F17" i="270"/>
  <c r="E17" i="270"/>
  <c r="D17" i="270"/>
  <c r="C17" i="270"/>
  <c r="B17" i="270"/>
  <c r="A17" i="270"/>
  <c r="Y16" i="270"/>
  <c r="X16" i="270"/>
  <c r="W16" i="270"/>
  <c r="V16" i="270"/>
  <c r="T16" i="270"/>
  <c r="S16" i="270"/>
  <c r="R16" i="270"/>
  <c r="Q16" i="270"/>
  <c r="P16" i="270"/>
  <c r="O16" i="270"/>
  <c r="N16" i="270"/>
  <c r="I16" i="270"/>
  <c r="H16" i="270"/>
  <c r="G16" i="270"/>
  <c r="F16" i="270"/>
  <c r="E16" i="270"/>
  <c r="D16" i="270"/>
  <c r="C16" i="270"/>
  <c r="B16" i="270"/>
  <c r="A16" i="270"/>
  <c r="Y15" i="270"/>
  <c r="X15" i="270"/>
  <c r="W15" i="270"/>
  <c r="V15" i="270"/>
  <c r="T15" i="270"/>
  <c r="S15" i="270"/>
  <c r="R15" i="270"/>
  <c r="Q15" i="270"/>
  <c r="P15" i="270"/>
  <c r="O15" i="270"/>
  <c r="N15" i="270"/>
  <c r="I15" i="270"/>
  <c r="H15" i="270"/>
  <c r="G15" i="270"/>
  <c r="F15" i="270"/>
  <c r="E15" i="270"/>
  <c r="D15" i="270"/>
  <c r="C15" i="270"/>
  <c r="B15" i="270"/>
  <c r="A15" i="270"/>
  <c r="Y14" i="270"/>
  <c r="X14" i="270"/>
  <c r="W14" i="270"/>
  <c r="V14" i="270"/>
  <c r="S14" i="270"/>
  <c r="Q14" i="270"/>
  <c r="P14" i="270"/>
  <c r="O14" i="270"/>
  <c r="I14" i="270"/>
  <c r="H14" i="270"/>
  <c r="G14" i="270"/>
  <c r="F14" i="270"/>
  <c r="E14" i="270"/>
  <c r="D14" i="270"/>
  <c r="C14" i="270"/>
  <c r="B14" i="270"/>
  <c r="A14" i="270"/>
  <c r="Y13" i="270"/>
  <c r="X13" i="270"/>
  <c r="W13" i="270"/>
  <c r="W12" i="270" s="1"/>
  <c r="V13" i="270"/>
  <c r="T13" i="270"/>
  <c r="S13" i="270"/>
  <c r="R13" i="270"/>
  <c r="R12" i="270" s="1"/>
  <c r="Q13" i="270"/>
  <c r="P13" i="270"/>
  <c r="O13" i="270"/>
  <c r="N13" i="270"/>
  <c r="I13" i="270"/>
  <c r="H13" i="270"/>
  <c r="G13" i="270"/>
  <c r="F13" i="270"/>
  <c r="E13" i="270"/>
  <c r="D13" i="270"/>
  <c r="C13" i="270"/>
  <c r="B13" i="270"/>
  <c r="A13" i="270"/>
  <c r="U12" i="270"/>
  <c r="T12" i="270"/>
  <c r="M12" i="270"/>
  <c r="L12" i="270"/>
  <c r="L11" i="270"/>
  <c r="K11" i="270"/>
  <c r="K10" i="270"/>
  <c r="J10" i="270"/>
  <c r="AT238" i="254"/>
  <c r="AS238" i="254"/>
  <c r="AR238" i="254"/>
  <c r="AQ238" i="254"/>
  <c r="AO238" i="254"/>
  <c r="AN238" i="254"/>
  <c r="AM238" i="254"/>
  <c r="AL238" i="254"/>
  <c r="AK238" i="254"/>
  <c r="AJ238" i="254"/>
  <c r="AI238" i="254"/>
  <c r="X238" i="254"/>
  <c r="S238" i="254"/>
  <c r="AT237" i="254"/>
  <c r="AS237" i="254"/>
  <c r="AR237" i="254"/>
  <c r="AQ237" i="254"/>
  <c r="AP237" i="254"/>
  <c r="Y237" i="254"/>
  <c r="K41" i="291" s="1"/>
  <c r="D41" i="291" s="1"/>
  <c r="V237" i="254"/>
  <c r="V236" i="254" s="1"/>
  <c r="R237" i="254"/>
  <c r="Q237" i="254"/>
  <c r="M41" i="291" s="1"/>
  <c r="E41" i="291" s="1"/>
  <c r="F41" i="291" s="1"/>
  <c r="P237" i="254"/>
  <c r="P236" i="254" s="1"/>
  <c r="O237" i="254"/>
  <c r="O236" i="254" s="1"/>
  <c r="M237" i="254"/>
  <c r="D89" i="283" s="1"/>
  <c r="AT236" i="254"/>
  <c r="AS236" i="254"/>
  <c r="AR236" i="254"/>
  <c r="AQ236" i="254"/>
  <c r="Y236" i="254"/>
  <c r="R236" i="254"/>
  <c r="L236" i="254"/>
  <c r="A107" i="289" s="1"/>
  <c r="AT235" i="254"/>
  <c r="AS235" i="254"/>
  <c r="AR235" i="254"/>
  <c r="AQ235" i="254"/>
  <c r="AO235" i="254"/>
  <c r="AN235" i="254"/>
  <c r="AM235" i="254"/>
  <c r="AL235" i="254"/>
  <c r="AK235" i="254"/>
  <c r="AJ235" i="254"/>
  <c r="AI235" i="254"/>
  <c r="X235" i="254"/>
  <c r="R235" i="254"/>
  <c r="R234" i="254" s="1"/>
  <c r="R233" i="254" s="1"/>
  <c r="Q235" i="254"/>
  <c r="Q234" i="254" s="1"/>
  <c r="P235" i="254"/>
  <c r="P234" i="254" s="1"/>
  <c r="P233" i="254" s="1"/>
  <c r="O235" i="254"/>
  <c r="O234" i="254" s="1"/>
  <c r="O233" i="254" s="1"/>
  <c r="AT234" i="254"/>
  <c r="AS234" i="254"/>
  <c r="AR234" i="254"/>
  <c r="AQ234" i="254"/>
  <c r="Y234" i="254"/>
  <c r="K37" i="291" s="1"/>
  <c r="D37" i="291" s="1"/>
  <c r="V234" i="254"/>
  <c r="AT233" i="254"/>
  <c r="AS233" i="254"/>
  <c r="AR233" i="254"/>
  <c r="AQ233" i="254"/>
  <c r="Y233" i="254"/>
  <c r="V233" i="254"/>
  <c r="AT232" i="254"/>
  <c r="AS232" i="254"/>
  <c r="AR232" i="254"/>
  <c r="AQ232" i="254"/>
  <c r="AO232" i="254"/>
  <c r="AN232" i="254"/>
  <c r="AM232" i="254"/>
  <c r="AL232" i="254"/>
  <c r="AK232" i="254"/>
  <c r="AJ232" i="254"/>
  <c r="AI232" i="254"/>
  <c r="AH232" i="254"/>
  <c r="AH231" i="254" s="1"/>
  <c r="AH230" i="254" s="1"/>
  <c r="X232" i="254"/>
  <c r="W232" i="254"/>
  <c r="W231" i="254" s="1"/>
  <c r="W230" i="254" s="1"/>
  <c r="V232" i="254"/>
  <c r="V231" i="254" s="1"/>
  <c r="V230" i="254" s="1"/>
  <c r="U232" i="254"/>
  <c r="R232" i="254"/>
  <c r="Q232" i="254"/>
  <c r="Q231" i="254" s="1"/>
  <c r="P232" i="254"/>
  <c r="O232" i="254"/>
  <c r="O231" i="254" s="1"/>
  <c r="O230" i="254" s="1"/>
  <c r="N232" i="254"/>
  <c r="E37" i="277" s="1"/>
  <c r="I232" i="254"/>
  <c r="H232" i="254"/>
  <c r="G232" i="254"/>
  <c r="F232" i="254"/>
  <c r="E232" i="254"/>
  <c r="D232" i="254"/>
  <c r="C232" i="254"/>
  <c r="B232" i="254"/>
  <c r="A232" i="254"/>
  <c r="AT231" i="254"/>
  <c r="AS231" i="254"/>
  <c r="AR231" i="254"/>
  <c r="AQ231" i="254"/>
  <c r="Y231" i="254"/>
  <c r="R231" i="254"/>
  <c r="P231" i="254"/>
  <c r="P230" i="254" s="1"/>
  <c r="M231" i="254"/>
  <c r="D36" i="277" s="1"/>
  <c r="L231" i="254"/>
  <c r="C36" i="277" s="1"/>
  <c r="AT230" i="254"/>
  <c r="AS230" i="254"/>
  <c r="AR230" i="254"/>
  <c r="AQ230" i="254"/>
  <c r="R230" i="254"/>
  <c r="L230" i="254"/>
  <c r="A32" i="288" s="1"/>
  <c r="AT229" i="254"/>
  <c r="AS229" i="254"/>
  <c r="AR229" i="254"/>
  <c r="AQ229" i="254"/>
  <c r="AT228" i="254"/>
  <c r="AS228" i="254"/>
  <c r="AR228" i="254"/>
  <c r="AQ228" i="254"/>
  <c r="AO228" i="254"/>
  <c r="AN228" i="254"/>
  <c r="AM228" i="254"/>
  <c r="AL228" i="254"/>
  <c r="AK228" i="254"/>
  <c r="AJ228" i="254"/>
  <c r="AI228" i="254"/>
  <c r="AH228" i="254"/>
  <c r="X228" i="254"/>
  <c r="U228" i="254"/>
  <c r="R228" i="254"/>
  <c r="Q228" i="254"/>
  <c r="P228" i="254"/>
  <c r="O228" i="254"/>
  <c r="N228" i="254"/>
  <c r="B23" i="286" s="1"/>
  <c r="I228" i="254"/>
  <c r="H228" i="254"/>
  <c r="G228" i="254"/>
  <c r="F228" i="254"/>
  <c r="E228" i="254"/>
  <c r="D228" i="254"/>
  <c r="C228" i="254"/>
  <c r="B228" i="254"/>
  <c r="A228" i="254"/>
  <c r="AT227" i="254"/>
  <c r="AS227" i="254"/>
  <c r="AR227" i="254"/>
  <c r="AQ227" i="254"/>
  <c r="AH227" i="254"/>
  <c r="Y227" i="254"/>
  <c r="K38" i="291" s="1"/>
  <c r="D38" i="291" s="1"/>
  <c r="R227" i="254"/>
  <c r="Q227" i="254"/>
  <c r="Q226" i="254" s="1"/>
  <c r="M38" i="291" s="1"/>
  <c r="E38" i="291" s="1"/>
  <c r="P227" i="254"/>
  <c r="P226" i="254" s="1"/>
  <c r="O227" i="254"/>
  <c r="O226" i="254" s="1"/>
  <c r="M227" i="254"/>
  <c r="D19" i="278" s="1"/>
  <c r="L227" i="254"/>
  <c r="C19" i="278" s="1"/>
  <c r="AT226" i="254"/>
  <c r="AS226" i="254"/>
  <c r="AR226" i="254"/>
  <c r="AQ226" i="254"/>
  <c r="AH226" i="254"/>
  <c r="Y226" i="254"/>
  <c r="R226" i="254"/>
  <c r="L226" i="254"/>
  <c r="A22" i="286" s="1"/>
  <c r="AT225" i="254"/>
  <c r="AR225" i="254"/>
  <c r="AQ225" i="254"/>
  <c r="Y225" i="254"/>
  <c r="AT224" i="254"/>
  <c r="AS224" i="254"/>
  <c r="AR224" i="254"/>
  <c r="AQ224" i="254"/>
  <c r="AO224" i="254"/>
  <c r="AN224" i="254"/>
  <c r="AM224" i="254"/>
  <c r="AL224" i="254"/>
  <c r="AK224" i="254"/>
  <c r="AJ224" i="254"/>
  <c r="AI224" i="254"/>
  <c r="X224" i="254"/>
  <c r="R224" i="254"/>
  <c r="Q224" i="254"/>
  <c r="P224" i="254"/>
  <c r="O224" i="254"/>
  <c r="N224" i="254"/>
  <c r="B106" i="289" s="1"/>
  <c r="AT223" i="254"/>
  <c r="AR223" i="254"/>
  <c r="AQ223" i="254"/>
  <c r="Y223" i="254"/>
  <c r="AS223" i="254" s="1"/>
  <c r="AT222" i="254"/>
  <c r="AS222" i="254"/>
  <c r="AR222" i="254"/>
  <c r="AQ222" i="254"/>
  <c r="AO222" i="254"/>
  <c r="AN222" i="254"/>
  <c r="AM222" i="254"/>
  <c r="AL222" i="254"/>
  <c r="AK222" i="254"/>
  <c r="AJ222" i="254"/>
  <c r="AI222" i="254"/>
  <c r="X222" i="254"/>
  <c r="R222" i="254"/>
  <c r="Q222" i="254"/>
  <c r="P222" i="254"/>
  <c r="O222" i="254"/>
  <c r="N222" i="254"/>
  <c r="B105" i="289" s="1"/>
  <c r="AT221" i="254"/>
  <c r="AS221" i="254"/>
  <c r="AR221" i="254"/>
  <c r="AQ221" i="254"/>
  <c r="Y221" i="254"/>
  <c r="C104" i="289" s="1"/>
  <c r="AT220" i="254"/>
  <c r="AS220" i="254"/>
  <c r="AR220" i="254"/>
  <c r="AQ220" i="254"/>
  <c r="AO220" i="254"/>
  <c r="AN220" i="254"/>
  <c r="AM220" i="254"/>
  <c r="AL220" i="254"/>
  <c r="AK220" i="254"/>
  <c r="AJ220" i="254"/>
  <c r="AI220" i="254"/>
  <c r="X220" i="254"/>
  <c r="R220" i="254"/>
  <c r="Q220" i="254"/>
  <c r="P220" i="254"/>
  <c r="O220" i="254"/>
  <c r="N220" i="254"/>
  <c r="B104" i="289" s="1"/>
  <c r="AT219" i="254"/>
  <c r="AS219" i="254"/>
  <c r="AR219" i="254"/>
  <c r="AQ219" i="254"/>
  <c r="AO219" i="254"/>
  <c r="AN219" i="254"/>
  <c r="AM219" i="254"/>
  <c r="AL219" i="254"/>
  <c r="AK219" i="254"/>
  <c r="AJ219" i="254"/>
  <c r="AI219" i="254"/>
  <c r="X219" i="254"/>
  <c r="R219" i="254"/>
  <c r="Q219" i="254"/>
  <c r="P219" i="254"/>
  <c r="O219" i="254"/>
  <c r="N219" i="254"/>
  <c r="B103" i="289" s="1"/>
  <c r="AT218" i="254"/>
  <c r="AS218" i="254"/>
  <c r="AR218" i="254"/>
  <c r="AQ218" i="254"/>
  <c r="V218" i="254"/>
  <c r="V217" i="254" s="1"/>
  <c r="AT217" i="254"/>
  <c r="AS217" i="254"/>
  <c r="AR217" i="254"/>
  <c r="AQ217" i="254"/>
  <c r="AT216" i="254"/>
  <c r="AS216" i="254"/>
  <c r="AR216" i="254"/>
  <c r="AQ216" i="254"/>
  <c r="AO216" i="254"/>
  <c r="AN216" i="254"/>
  <c r="AM216" i="254"/>
  <c r="AL216" i="254"/>
  <c r="AK216" i="254"/>
  <c r="AI216" i="254"/>
  <c r="AH216" i="254"/>
  <c r="AH215" i="254" s="1"/>
  <c r="AH214" i="254" s="1"/>
  <c r="X216" i="254"/>
  <c r="W216" i="254"/>
  <c r="W215" i="254" s="1"/>
  <c r="W214" i="254" s="1"/>
  <c r="U216" i="254"/>
  <c r="R216" i="254"/>
  <c r="R215" i="254" s="1"/>
  <c r="R214" i="254" s="1"/>
  <c r="Q216" i="254"/>
  <c r="P216" i="254"/>
  <c r="O216" i="254"/>
  <c r="O215" i="254" s="1"/>
  <c r="O214" i="254" s="1"/>
  <c r="I216" i="254"/>
  <c r="H216" i="254"/>
  <c r="G216" i="254"/>
  <c r="F216" i="254"/>
  <c r="E216" i="254"/>
  <c r="D216" i="254"/>
  <c r="C216" i="254"/>
  <c r="B216" i="254"/>
  <c r="A216" i="254"/>
  <c r="AT215" i="254"/>
  <c r="AS215" i="254"/>
  <c r="AR215" i="254"/>
  <c r="AQ215" i="254"/>
  <c r="Y215" i="254"/>
  <c r="K42" i="291" s="1"/>
  <c r="D42" i="291" s="1"/>
  <c r="V215" i="254"/>
  <c r="P215" i="254"/>
  <c r="P214" i="254" s="1"/>
  <c r="M215" i="254"/>
  <c r="D78" i="283" s="1"/>
  <c r="L215" i="254"/>
  <c r="AT214" i="254"/>
  <c r="AS214" i="254"/>
  <c r="AR214" i="254"/>
  <c r="AQ214" i="254"/>
  <c r="V214" i="254"/>
  <c r="L214" i="254"/>
  <c r="A100" i="289" s="1"/>
  <c r="AT213" i="254"/>
  <c r="AS213" i="254"/>
  <c r="AR213" i="254"/>
  <c r="AQ213" i="254"/>
  <c r="AO213" i="254"/>
  <c r="AN213" i="254"/>
  <c r="AM213" i="254"/>
  <c r="AL213" i="254"/>
  <c r="AK213" i="254"/>
  <c r="AJ213" i="254"/>
  <c r="AI213" i="254"/>
  <c r="AH213" i="254"/>
  <c r="AH212" i="254" s="1"/>
  <c r="AH211" i="254" s="1"/>
  <c r="X213" i="254"/>
  <c r="U213" i="254"/>
  <c r="R213" i="254"/>
  <c r="R212" i="254" s="1"/>
  <c r="R211" i="254" s="1"/>
  <c r="Q213" i="254"/>
  <c r="Q212" i="254" s="1"/>
  <c r="M45" i="291" s="1"/>
  <c r="E45" i="291" s="1"/>
  <c r="P213" i="254"/>
  <c r="P212" i="254" s="1"/>
  <c r="P211" i="254" s="1"/>
  <c r="O213" i="254"/>
  <c r="O212" i="254" s="1"/>
  <c r="O211" i="254" s="1"/>
  <c r="N213" i="254"/>
  <c r="B99" i="289" s="1"/>
  <c r="I213" i="254"/>
  <c r="H213" i="254"/>
  <c r="G213" i="254"/>
  <c r="F213" i="254"/>
  <c r="E213" i="254"/>
  <c r="D213" i="254"/>
  <c r="C213" i="254"/>
  <c r="B213" i="254"/>
  <c r="A213" i="254"/>
  <c r="AT212" i="254"/>
  <c r="AS212" i="254"/>
  <c r="AR212" i="254"/>
  <c r="AQ212" i="254"/>
  <c r="Y212" i="254"/>
  <c r="M212" i="254"/>
  <c r="C15" i="278" s="1"/>
  <c r="L212" i="254"/>
  <c r="C16" i="278" s="1"/>
  <c r="AT211" i="254"/>
  <c r="AS211" i="254"/>
  <c r="AR211" i="254"/>
  <c r="AQ211" i="254"/>
  <c r="U211" i="254"/>
  <c r="L211" i="254"/>
  <c r="A98" i="289" s="1"/>
  <c r="AT210" i="254"/>
  <c r="AS210" i="254"/>
  <c r="AR210" i="254"/>
  <c r="AQ210" i="254"/>
  <c r="AO210" i="254"/>
  <c r="AN210" i="254"/>
  <c r="AM210" i="254"/>
  <c r="AL210" i="254"/>
  <c r="AK210" i="254"/>
  <c r="AJ210" i="254"/>
  <c r="AI210" i="254"/>
  <c r="AH210" i="254"/>
  <c r="X210" i="254"/>
  <c r="V210" i="254"/>
  <c r="U210" i="254"/>
  <c r="R210" i="254"/>
  <c r="Q210" i="254"/>
  <c r="P210" i="254"/>
  <c r="O210" i="254"/>
  <c r="N210" i="254"/>
  <c r="E37" i="282" s="1"/>
  <c r="I210" i="254"/>
  <c r="H210" i="254"/>
  <c r="G210" i="254"/>
  <c r="F210" i="254"/>
  <c r="E210" i="254"/>
  <c r="D210" i="254"/>
  <c r="C210" i="254"/>
  <c r="B210" i="254"/>
  <c r="A210" i="254"/>
  <c r="AT209" i="254"/>
  <c r="AS209" i="254"/>
  <c r="AR209" i="254"/>
  <c r="AQ209" i="254"/>
  <c r="AO209" i="254"/>
  <c r="AN209" i="254"/>
  <c r="AM209" i="254"/>
  <c r="AL209" i="254"/>
  <c r="AK209" i="254"/>
  <c r="AJ209" i="254"/>
  <c r="AI209" i="254"/>
  <c r="AH209" i="254"/>
  <c r="X209" i="254"/>
  <c r="U209" i="254"/>
  <c r="R209" i="254"/>
  <c r="R208" i="254" s="1"/>
  <c r="Q209" i="254"/>
  <c r="P209" i="254"/>
  <c r="O209" i="254"/>
  <c r="O208" i="254" s="1"/>
  <c r="N209" i="254"/>
  <c r="E36" i="282" s="1"/>
  <c r="I209" i="254"/>
  <c r="H209" i="254"/>
  <c r="G209" i="254"/>
  <c r="F209" i="254"/>
  <c r="E209" i="254"/>
  <c r="D209" i="254"/>
  <c r="C209" i="254"/>
  <c r="B209" i="254"/>
  <c r="A209" i="254"/>
  <c r="AT208" i="254"/>
  <c r="AS208" i="254"/>
  <c r="AR208" i="254"/>
  <c r="AQ208" i="254"/>
  <c r="Y208" i="254"/>
  <c r="K44" i="291" s="1"/>
  <c r="D44" i="291" s="1"/>
  <c r="W208" i="254"/>
  <c r="Q208" i="254"/>
  <c r="M44" i="291" s="1"/>
  <c r="E44" i="291" s="1"/>
  <c r="M208" i="254"/>
  <c r="D35" i="282" s="1"/>
  <c r="L208" i="254"/>
  <c r="C35" i="282" s="1"/>
  <c r="AT207" i="254"/>
  <c r="AS207" i="254"/>
  <c r="AR207" i="254"/>
  <c r="AQ207" i="254"/>
  <c r="AP207" i="254"/>
  <c r="AN207" i="254"/>
  <c r="AK207" i="254"/>
  <c r="AJ207" i="254"/>
  <c r="AI207" i="254"/>
  <c r="AH207" i="254"/>
  <c r="X207" i="254"/>
  <c r="V207" i="254"/>
  <c r="U207" i="254"/>
  <c r="I207" i="254"/>
  <c r="H207" i="254"/>
  <c r="G207" i="254"/>
  <c r="F207" i="254"/>
  <c r="E207" i="254"/>
  <c r="D207" i="254"/>
  <c r="C207" i="254"/>
  <c r="B207" i="254"/>
  <c r="A207" i="254"/>
  <c r="AT206" i="254"/>
  <c r="AS206" i="254"/>
  <c r="AR206" i="254"/>
  <c r="AQ206" i="254"/>
  <c r="AO206" i="254"/>
  <c r="AN206" i="254"/>
  <c r="AM206" i="254"/>
  <c r="AL206" i="254"/>
  <c r="AK206" i="254"/>
  <c r="AJ206" i="254"/>
  <c r="AI206" i="254"/>
  <c r="AH206" i="254"/>
  <c r="Y206" i="254"/>
  <c r="C27" i="288" s="1"/>
  <c r="X206" i="254"/>
  <c r="V206" i="254"/>
  <c r="U206" i="254"/>
  <c r="R206" i="254"/>
  <c r="Q206" i="254"/>
  <c r="P206" i="254"/>
  <c r="O206" i="254"/>
  <c r="N206" i="254"/>
  <c r="B27" i="288" s="1"/>
  <c r="I206" i="254"/>
  <c r="H206" i="254"/>
  <c r="G206" i="254"/>
  <c r="F206" i="254"/>
  <c r="E206" i="254"/>
  <c r="D206" i="254"/>
  <c r="C206" i="254"/>
  <c r="B206" i="254"/>
  <c r="A206" i="254"/>
  <c r="AT205" i="254"/>
  <c r="AS205" i="254"/>
  <c r="AR205" i="254"/>
  <c r="AQ205" i="254"/>
  <c r="AN205" i="254"/>
  <c r="AK205" i="254"/>
  <c r="AJ205" i="254"/>
  <c r="AI205" i="254"/>
  <c r="AH205" i="254"/>
  <c r="X205" i="254"/>
  <c r="V205" i="254"/>
  <c r="U205" i="254"/>
  <c r="AT204" i="254"/>
  <c r="AS204" i="254"/>
  <c r="AR204" i="254"/>
  <c r="AQ204" i="254"/>
  <c r="AO204" i="254"/>
  <c r="AN204" i="254"/>
  <c r="AM204" i="254"/>
  <c r="AL204" i="254"/>
  <c r="AK204" i="254"/>
  <c r="AJ204" i="254"/>
  <c r="AI204" i="254"/>
  <c r="AH204" i="254"/>
  <c r="Y204" i="254"/>
  <c r="C25" i="288" s="1"/>
  <c r="X204" i="254"/>
  <c r="V204" i="254"/>
  <c r="U204" i="254"/>
  <c r="R204" i="254"/>
  <c r="R203" i="254" s="1"/>
  <c r="Q204" i="254"/>
  <c r="P204" i="254"/>
  <c r="O204" i="254"/>
  <c r="N204" i="254"/>
  <c r="E36" i="281" s="1"/>
  <c r="AT203" i="254"/>
  <c r="AS203" i="254"/>
  <c r="AR203" i="254"/>
  <c r="AQ203" i="254"/>
  <c r="W203" i="254"/>
  <c r="W202" i="254" s="1"/>
  <c r="M203" i="254"/>
  <c r="D35" i="281" s="1"/>
  <c r="L203" i="254"/>
  <c r="C32" i="282" s="1"/>
  <c r="AT202" i="254"/>
  <c r="AS202" i="254"/>
  <c r="AR202" i="254"/>
  <c r="AQ202" i="254"/>
  <c r="L202" i="254"/>
  <c r="C31" i="282" s="1"/>
  <c r="AT201" i="254"/>
  <c r="AS201" i="254"/>
  <c r="AR201" i="254"/>
  <c r="AQ201" i="254"/>
  <c r="AO201" i="254"/>
  <c r="AN201" i="254"/>
  <c r="AM201" i="254"/>
  <c r="AL201" i="254"/>
  <c r="AK201" i="254"/>
  <c r="AJ201" i="254"/>
  <c r="AI201" i="254"/>
  <c r="AH201" i="254"/>
  <c r="AH200" i="254" s="1"/>
  <c r="AH199" i="254" s="1"/>
  <c r="X201" i="254"/>
  <c r="U201" i="254"/>
  <c r="R201" i="254"/>
  <c r="R200" i="254" s="1"/>
  <c r="R199" i="254" s="1"/>
  <c r="Q201" i="254"/>
  <c r="Q200" i="254" s="1"/>
  <c r="Q199" i="254" s="1"/>
  <c r="L41" i="290" s="1"/>
  <c r="E41" i="290" s="1"/>
  <c r="P201" i="254"/>
  <c r="O201" i="254"/>
  <c r="O200" i="254" s="1"/>
  <c r="O199" i="254" s="1"/>
  <c r="N201" i="254"/>
  <c r="B97" i="289" s="1"/>
  <c r="I201" i="254"/>
  <c r="H201" i="254"/>
  <c r="G201" i="254"/>
  <c r="F201" i="254"/>
  <c r="E201" i="254"/>
  <c r="D201" i="254"/>
  <c r="C201" i="254"/>
  <c r="B201" i="254"/>
  <c r="A201" i="254"/>
  <c r="AT200" i="254"/>
  <c r="AS200" i="254"/>
  <c r="AR200" i="254"/>
  <c r="AQ200" i="254"/>
  <c r="Y200" i="254"/>
  <c r="Y199" i="254" s="1"/>
  <c r="W200" i="254"/>
  <c r="W199" i="254" s="1"/>
  <c r="M200" i="254"/>
  <c r="D75" i="283" s="1"/>
  <c r="L200" i="254"/>
  <c r="C75" i="283" s="1"/>
  <c r="AT199" i="254"/>
  <c r="AS199" i="254"/>
  <c r="AR199" i="254"/>
  <c r="AQ199" i="254"/>
  <c r="AI199" i="254"/>
  <c r="X199" i="254"/>
  <c r="L199" i="254"/>
  <c r="C74" i="283" s="1"/>
  <c r="AT198" i="254"/>
  <c r="AS198" i="254"/>
  <c r="AR198" i="254"/>
  <c r="AQ198" i="254"/>
  <c r="AN198" i="254"/>
  <c r="AK198" i="254"/>
  <c r="AJ198" i="254"/>
  <c r="AI198" i="254"/>
  <c r="AH198" i="254"/>
  <c r="X198" i="254"/>
  <c r="U198" i="254"/>
  <c r="I198" i="254"/>
  <c r="H198" i="254"/>
  <c r="G198" i="254"/>
  <c r="F198" i="254"/>
  <c r="E198" i="254"/>
  <c r="D198" i="254"/>
  <c r="C198" i="254"/>
  <c r="B198" i="254"/>
  <c r="A198" i="254"/>
  <c r="AT197" i="254"/>
  <c r="AS197" i="254"/>
  <c r="AR197" i="254"/>
  <c r="AQ197" i="254"/>
  <c r="AN197" i="254"/>
  <c r="AK197" i="254"/>
  <c r="AJ197" i="254"/>
  <c r="AI197" i="254"/>
  <c r="AH197" i="254"/>
  <c r="X197" i="254"/>
  <c r="V197" i="254"/>
  <c r="U197" i="254"/>
  <c r="I197" i="254"/>
  <c r="H197" i="254"/>
  <c r="G197" i="254"/>
  <c r="F197" i="254"/>
  <c r="E197" i="254"/>
  <c r="D197" i="254"/>
  <c r="C197" i="254"/>
  <c r="B197" i="254"/>
  <c r="A197" i="254"/>
  <c r="AT196" i="254"/>
  <c r="AS196" i="254"/>
  <c r="AR196" i="254"/>
  <c r="AQ196" i="254"/>
  <c r="AO196" i="254"/>
  <c r="AN196" i="254"/>
  <c r="AM196" i="254"/>
  <c r="AL196" i="254"/>
  <c r="AK196" i="254"/>
  <c r="AJ196" i="254"/>
  <c r="AI196" i="254"/>
  <c r="AH196" i="254"/>
  <c r="AH195" i="254" s="1"/>
  <c r="X196" i="254"/>
  <c r="V196" i="254"/>
  <c r="U196" i="254"/>
  <c r="R196" i="254"/>
  <c r="P196" i="254"/>
  <c r="O196" i="254"/>
  <c r="N196" i="254"/>
  <c r="B21" i="288" s="1"/>
  <c r="I196" i="254"/>
  <c r="H196" i="254"/>
  <c r="G196" i="254"/>
  <c r="F196" i="254"/>
  <c r="E196" i="254"/>
  <c r="D196" i="254"/>
  <c r="C196" i="254"/>
  <c r="B196" i="254"/>
  <c r="A196" i="254"/>
  <c r="AT195" i="254"/>
  <c r="AS195" i="254"/>
  <c r="AR195" i="254"/>
  <c r="AQ195" i="254"/>
  <c r="Y195" i="254"/>
  <c r="K30" i="291" s="1"/>
  <c r="D30" i="291" s="1"/>
  <c r="V195" i="254"/>
  <c r="R195" i="254"/>
  <c r="P195" i="254"/>
  <c r="O195" i="254"/>
  <c r="M195" i="254"/>
  <c r="D72" i="283" s="1"/>
  <c r="L195" i="254"/>
  <c r="C43" i="279" s="1"/>
  <c r="AT194" i="254"/>
  <c r="AS194" i="254"/>
  <c r="AR194" i="254"/>
  <c r="AQ194" i="254"/>
  <c r="AO194" i="254"/>
  <c r="AN194" i="254"/>
  <c r="AM194" i="254"/>
  <c r="AL194" i="254"/>
  <c r="AK194" i="254"/>
  <c r="AJ194" i="254"/>
  <c r="AI194" i="254"/>
  <c r="AH194" i="254"/>
  <c r="AH193" i="254" s="1"/>
  <c r="X194" i="254"/>
  <c r="W194" i="254"/>
  <c r="U194" i="254"/>
  <c r="R194" i="254"/>
  <c r="P194" i="254"/>
  <c r="O194" i="254"/>
  <c r="N194" i="254"/>
  <c r="B95" i="289" s="1"/>
  <c r="I194" i="254"/>
  <c r="H194" i="254"/>
  <c r="G194" i="254"/>
  <c r="F194" i="254"/>
  <c r="E194" i="254"/>
  <c r="D194" i="254"/>
  <c r="C194" i="254"/>
  <c r="B194" i="254"/>
  <c r="A194" i="254"/>
  <c r="AT193" i="254"/>
  <c r="AS193" i="254"/>
  <c r="AR193" i="254"/>
  <c r="AQ193" i="254"/>
  <c r="Y193" i="254"/>
  <c r="K43" i="291" s="1"/>
  <c r="D43" i="291" s="1"/>
  <c r="W193" i="254"/>
  <c r="R193" i="254"/>
  <c r="P193" i="254"/>
  <c r="O193" i="254"/>
  <c r="M193" i="254"/>
  <c r="D68" i="283" s="1"/>
  <c r="L193" i="254"/>
  <c r="C68" i="283" s="1"/>
  <c r="AT192" i="254"/>
  <c r="AS192" i="254"/>
  <c r="AR192" i="254"/>
  <c r="AQ192" i="254"/>
  <c r="AO192" i="254"/>
  <c r="AN192" i="254"/>
  <c r="AM192" i="254"/>
  <c r="AL192" i="254"/>
  <c r="AK192" i="254"/>
  <c r="AJ192" i="254"/>
  <c r="AI192" i="254"/>
  <c r="AH192" i="254"/>
  <c r="AH191" i="254" s="1"/>
  <c r="X192" i="254"/>
  <c r="W192" i="254"/>
  <c r="W191" i="254" s="1"/>
  <c r="V192" i="254"/>
  <c r="U192" i="254"/>
  <c r="R192" i="254"/>
  <c r="R191" i="254" s="1"/>
  <c r="P192" i="254"/>
  <c r="P191" i="254" s="1"/>
  <c r="O192" i="254"/>
  <c r="O191" i="254" s="1"/>
  <c r="N192" i="254"/>
  <c r="E31" i="281" s="1"/>
  <c r="I192" i="254"/>
  <c r="H192" i="254"/>
  <c r="G192" i="254"/>
  <c r="F192" i="254"/>
  <c r="E192" i="254"/>
  <c r="D192" i="254"/>
  <c r="C192" i="254"/>
  <c r="B192" i="254"/>
  <c r="A192" i="254"/>
  <c r="AT191" i="254"/>
  <c r="AS191" i="254"/>
  <c r="AR191" i="254"/>
  <c r="AQ191" i="254"/>
  <c r="Y191" i="254"/>
  <c r="K36" i="291" s="1"/>
  <c r="D36" i="291" s="1"/>
  <c r="V191" i="254"/>
  <c r="M191" i="254"/>
  <c r="D30" i="281" s="1"/>
  <c r="L191" i="254"/>
  <c r="C30" i="281" s="1"/>
  <c r="AT190" i="254"/>
  <c r="AS190" i="254"/>
  <c r="AR190" i="254"/>
  <c r="AQ190" i="254"/>
  <c r="AO190" i="254"/>
  <c r="AN190" i="254"/>
  <c r="AM190" i="254"/>
  <c r="AL190" i="254"/>
  <c r="AK190" i="254"/>
  <c r="AJ190" i="254"/>
  <c r="AI190" i="254"/>
  <c r="AH190" i="254"/>
  <c r="AH189" i="254" s="1"/>
  <c r="X190" i="254"/>
  <c r="V190" i="254"/>
  <c r="V189" i="254" s="1"/>
  <c r="U190" i="254"/>
  <c r="R190" i="254"/>
  <c r="P190" i="254"/>
  <c r="P189" i="254" s="1"/>
  <c r="O190" i="254"/>
  <c r="O189" i="254" s="1"/>
  <c r="N190" i="254"/>
  <c r="B17" i="286" s="1"/>
  <c r="I190" i="254"/>
  <c r="H190" i="254"/>
  <c r="G190" i="254"/>
  <c r="F190" i="254"/>
  <c r="E190" i="254"/>
  <c r="D190" i="254"/>
  <c r="C190" i="254"/>
  <c r="B190" i="254"/>
  <c r="A190" i="254"/>
  <c r="AT189" i="254"/>
  <c r="AS189" i="254"/>
  <c r="AR189" i="254"/>
  <c r="AQ189" i="254"/>
  <c r="Y189" i="254"/>
  <c r="K39" i="291" s="1"/>
  <c r="D39" i="291" s="1"/>
  <c r="W189" i="254"/>
  <c r="R189" i="254"/>
  <c r="M189" i="254"/>
  <c r="D41" i="279" s="1"/>
  <c r="L189" i="254"/>
  <c r="C41" i="279" s="1"/>
  <c r="AT188" i="254"/>
  <c r="AS188" i="254"/>
  <c r="AR188" i="254"/>
  <c r="AQ188" i="254"/>
  <c r="Y188" i="254"/>
  <c r="X188" i="254"/>
  <c r="L188" i="254"/>
  <c r="A94" i="289" s="1"/>
  <c r="AT187" i="254"/>
  <c r="AS187" i="254"/>
  <c r="AR187" i="254"/>
  <c r="AQ187" i="254"/>
  <c r="AT186" i="254"/>
  <c r="AS186" i="254"/>
  <c r="AR186" i="254"/>
  <c r="AQ186" i="254"/>
  <c r="AH186" i="254"/>
  <c r="Y186" i="254"/>
  <c r="K46" i="291" s="1"/>
  <c r="D46" i="291" s="1"/>
  <c r="W186" i="254"/>
  <c r="V186" i="254"/>
  <c r="R186" i="254"/>
  <c r="Q186" i="254"/>
  <c r="M46" i="291" s="1"/>
  <c r="E46" i="291" s="1"/>
  <c r="F46" i="291" s="1"/>
  <c r="P186" i="254"/>
  <c r="S186" i="254" s="1"/>
  <c r="O186" i="254"/>
  <c r="L186" i="254"/>
  <c r="AT185" i="254"/>
  <c r="AS185" i="254"/>
  <c r="AR185" i="254"/>
  <c r="AQ185" i="254"/>
  <c r="AT184" i="254"/>
  <c r="AS184" i="254"/>
  <c r="AR184" i="254"/>
  <c r="AQ184" i="254"/>
  <c r="AO184" i="254"/>
  <c r="AN184" i="254"/>
  <c r="AM184" i="254"/>
  <c r="AL184" i="254"/>
  <c r="AK184" i="254"/>
  <c r="AJ184" i="254"/>
  <c r="AI184" i="254"/>
  <c r="AH184" i="254"/>
  <c r="AH183" i="254" s="1"/>
  <c r="AH182" i="254" s="1"/>
  <c r="X184" i="254"/>
  <c r="V184" i="254"/>
  <c r="V183" i="254" s="1"/>
  <c r="V182" i="254" s="1"/>
  <c r="U184" i="254"/>
  <c r="R184" i="254"/>
  <c r="R183" i="254" s="1"/>
  <c r="R182" i="254" s="1"/>
  <c r="Q184" i="254"/>
  <c r="Q183" i="254" s="1"/>
  <c r="M34" i="291" s="1"/>
  <c r="E34" i="291" s="1"/>
  <c r="P184" i="254"/>
  <c r="O184" i="254"/>
  <c r="O183" i="254" s="1"/>
  <c r="O182" i="254" s="1"/>
  <c r="N184" i="254"/>
  <c r="E65" i="283" s="1"/>
  <c r="I184" i="254"/>
  <c r="H184" i="254"/>
  <c r="G184" i="254"/>
  <c r="F184" i="254"/>
  <c r="E184" i="254"/>
  <c r="D184" i="254"/>
  <c r="C184" i="254"/>
  <c r="B184" i="254"/>
  <c r="A184" i="254"/>
  <c r="AT183" i="254"/>
  <c r="AS183" i="254"/>
  <c r="AR183" i="254"/>
  <c r="AQ183" i="254"/>
  <c r="Y183" i="254"/>
  <c r="K34" i="291" s="1"/>
  <c r="D34" i="291" s="1"/>
  <c r="W183" i="254"/>
  <c r="M183" i="254"/>
  <c r="D64" i="283" s="1"/>
  <c r="L183" i="254"/>
  <c r="C27" i="281" s="1"/>
  <c r="AT182" i="254"/>
  <c r="AS182" i="254"/>
  <c r="AR182" i="254"/>
  <c r="AQ182" i="254"/>
  <c r="W182" i="254"/>
  <c r="L182" i="254"/>
  <c r="A30" i="288" s="1"/>
  <c r="AT181" i="254"/>
  <c r="AS181" i="254"/>
  <c r="AR181" i="254"/>
  <c r="AQ181" i="254"/>
  <c r="AT180" i="254"/>
  <c r="AS180" i="254"/>
  <c r="AR180" i="254"/>
  <c r="AQ180" i="254"/>
  <c r="AT179" i="254"/>
  <c r="AS179" i="254"/>
  <c r="AR179" i="254"/>
  <c r="AQ179" i="254"/>
  <c r="AT178" i="254"/>
  <c r="AS178" i="254"/>
  <c r="AR178" i="254"/>
  <c r="AQ178" i="254"/>
  <c r="AO178" i="254"/>
  <c r="AN178" i="254"/>
  <c r="AM178" i="254"/>
  <c r="AL178" i="254"/>
  <c r="AK178" i="254"/>
  <c r="AJ178" i="254"/>
  <c r="AI178" i="254"/>
  <c r="AH178" i="254"/>
  <c r="Y178" i="254" s="1"/>
  <c r="X178" i="254"/>
  <c r="R178" i="254"/>
  <c r="Q178" i="254"/>
  <c r="P178" i="254"/>
  <c r="O178" i="254"/>
  <c r="N178" i="254"/>
  <c r="B29" i="287" s="1"/>
  <c r="AT176" i="254"/>
  <c r="AS176" i="254"/>
  <c r="AR176" i="254"/>
  <c r="AQ176" i="254"/>
  <c r="AO176" i="254"/>
  <c r="AN176" i="254"/>
  <c r="AM176" i="254"/>
  <c r="AL176" i="254"/>
  <c r="AK176" i="254"/>
  <c r="AJ176" i="254"/>
  <c r="AI176" i="254"/>
  <c r="AH176" i="254"/>
  <c r="Y176" i="254"/>
  <c r="X176" i="254"/>
  <c r="V176" i="254"/>
  <c r="U176" i="254"/>
  <c r="R176" i="254"/>
  <c r="Q176" i="254"/>
  <c r="P176" i="254"/>
  <c r="O176" i="254"/>
  <c r="N176" i="254"/>
  <c r="E62" i="283" s="1"/>
  <c r="I176" i="254"/>
  <c r="H176" i="254"/>
  <c r="G176" i="254"/>
  <c r="F176" i="254"/>
  <c r="E176" i="254"/>
  <c r="D176" i="254"/>
  <c r="C176" i="254"/>
  <c r="B176" i="254"/>
  <c r="A176" i="254"/>
  <c r="AT175" i="254"/>
  <c r="AS175" i="254"/>
  <c r="AR175" i="254"/>
  <c r="AQ175" i="254"/>
  <c r="AO175" i="254"/>
  <c r="AN175" i="254"/>
  <c r="AM175" i="254"/>
  <c r="AL175" i="254"/>
  <c r="AK175" i="254"/>
  <c r="AJ175" i="254"/>
  <c r="AI175" i="254"/>
  <c r="AH175" i="254"/>
  <c r="Y175" i="254" s="1"/>
  <c r="P24" i="281" s="1"/>
  <c r="X175" i="254"/>
  <c r="V175" i="254"/>
  <c r="U175" i="254"/>
  <c r="R175" i="254"/>
  <c r="Q175" i="254"/>
  <c r="P175" i="254"/>
  <c r="O175" i="254"/>
  <c r="N175" i="254"/>
  <c r="E24" i="281" s="1"/>
  <c r="I175" i="254"/>
  <c r="H175" i="254"/>
  <c r="G175" i="254"/>
  <c r="F175" i="254"/>
  <c r="E175" i="254"/>
  <c r="D175" i="254"/>
  <c r="C175" i="254"/>
  <c r="B175" i="254"/>
  <c r="A175" i="254"/>
  <c r="AT174" i="254"/>
  <c r="AS174" i="254"/>
  <c r="AR174" i="254"/>
  <c r="AQ174" i="254"/>
  <c r="AO174" i="254"/>
  <c r="AN174" i="254"/>
  <c r="AM174" i="254"/>
  <c r="AL174" i="254"/>
  <c r="AK174" i="254"/>
  <c r="AJ174" i="254"/>
  <c r="AI174" i="254"/>
  <c r="AH174" i="254"/>
  <c r="X174" i="254"/>
  <c r="V174" i="254"/>
  <c r="U174" i="254"/>
  <c r="R174" i="254"/>
  <c r="Q174" i="254"/>
  <c r="P174" i="254"/>
  <c r="O174" i="254"/>
  <c r="N174" i="254"/>
  <c r="E23" i="281" s="1"/>
  <c r="I174" i="254"/>
  <c r="H174" i="254"/>
  <c r="G174" i="254"/>
  <c r="F174" i="254"/>
  <c r="E174" i="254"/>
  <c r="D174" i="254"/>
  <c r="C174" i="254"/>
  <c r="B174" i="254"/>
  <c r="A174" i="254"/>
  <c r="AT172" i="254"/>
  <c r="AS172" i="254"/>
  <c r="AR172" i="254"/>
  <c r="AQ172" i="254"/>
  <c r="AO172" i="254"/>
  <c r="AN172" i="254"/>
  <c r="AM172" i="254"/>
  <c r="AL172" i="254"/>
  <c r="AK172" i="254"/>
  <c r="AJ172" i="254"/>
  <c r="AI172" i="254"/>
  <c r="AH172" i="254"/>
  <c r="Y172" i="254"/>
  <c r="P22" i="281" s="1"/>
  <c r="X172" i="254"/>
  <c r="V172" i="254"/>
  <c r="U172" i="254"/>
  <c r="R172" i="254"/>
  <c r="Q172" i="254"/>
  <c r="P172" i="254"/>
  <c r="O172" i="254"/>
  <c r="N172" i="254"/>
  <c r="E61" i="283" s="1"/>
  <c r="I172" i="254"/>
  <c r="H172" i="254"/>
  <c r="G172" i="254"/>
  <c r="F172" i="254"/>
  <c r="E172" i="254"/>
  <c r="D172" i="254"/>
  <c r="C172" i="254"/>
  <c r="B172" i="254"/>
  <c r="A172" i="254"/>
  <c r="AT171" i="254"/>
  <c r="AS171" i="254"/>
  <c r="AR171" i="254"/>
  <c r="AQ171" i="254"/>
  <c r="AO171" i="254"/>
  <c r="AN171" i="254"/>
  <c r="AM171" i="254"/>
  <c r="AL171" i="254"/>
  <c r="AK171" i="254"/>
  <c r="AJ171" i="254"/>
  <c r="AI171" i="254"/>
  <c r="AH171" i="254"/>
  <c r="Y171" i="254" s="1"/>
  <c r="X171" i="254"/>
  <c r="V171" i="254"/>
  <c r="U171" i="254"/>
  <c r="R171" i="254"/>
  <c r="Q171" i="254"/>
  <c r="P171" i="254"/>
  <c r="P169" i="254" s="1"/>
  <c r="P168" i="254" s="1"/>
  <c r="O171" i="254"/>
  <c r="N171" i="254"/>
  <c r="E21" i="281" s="1"/>
  <c r="I171" i="254"/>
  <c r="H171" i="254"/>
  <c r="G171" i="254"/>
  <c r="F171" i="254"/>
  <c r="E171" i="254"/>
  <c r="D171" i="254"/>
  <c r="C171" i="254"/>
  <c r="B171" i="254"/>
  <c r="A171" i="254"/>
  <c r="AT170" i="254"/>
  <c r="AS170" i="254"/>
  <c r="AR170" i="254"/>
  <c r="AQ170" i="254"/>
  <c r="AO170" i="254"/>
  <c r="AN170" i="254"/>
  <c r="AM170" i="254"/>
  <c r="AL170" i="254"/>
  <c r="AK170" i="254"/>
  <c r="AJ170" i="254"/>
  <c r="AI170" i="254"/>
  <c r="AH170" i="254"/>
  <c r="Y170" i="254"/>
  <c r="P20" i="281" s="1"/>
  <c r="X170" i="254"/>
  <c r="V170" i="254"/>
  <c r="U170" i="254"/>
  <c r="R170" i="254"/>
  <c r="Q170" i="254"/>
  <c r="P170" i="254"/>
  <c r="O170" i="254"/>
  <c r="N170" i="254"/>
  <c r="E20" i="281" s="1"/>
  <c r="I170" i="254"/>
  <c r="H170" i="254"/>
  <c r="G170" i="254"/>
  <c r="F170" i="254"/>
  <c r="E170" i="254"/>
  <c r="D170" i="254"/>
  <c r="C170" i="254"/>
  <c r="B170" i="254"/>
  <c r="A170" i="254"/>
  <c r="AT169" i="254"/>
  <c r="AS169" i="254"/>
  <c r="AR169" i="254"/>
  <c r="AQ169" i="254"/>
  <c r="M169" i="254"/>
  <c r="D57" i="283" s="1"/>
  <c r="L169" i="254"/>
  <c r="C57" i="283" s="1"/>
  <c r="AT168" i="254"/>
  <c r="AS168" i="254"/>
  <c r="AR168" i="254"/>
  <c r="AQ168" i="254"/>
  <c r="L168" i="254"/>
  <c r="C56" i="283" s="1"/>
  <c r="AT167" i="254"/>
  <c r="AS167" i="254"/>
  <c r="AR167" i="254"/>
  <c r="AQ167" i="254"/>
  <c r="AO167" i="254"/>
  <c r="AN167" i="254"/>
  <c r="AM167" i="254"/>
  <c r="AL167" i="254"/>
  <c r="AK167" i="254"/>
  <c r="AJ167" i="254"/>
  <c r="AI167" i="254"/>
  <c r="X167" i="254"/>
  <c r="R167" i="254"/>
  <c r="Q167" i="254"/>
  <c r="P167" i="254"/>
  <c r="O167" i="254"/>
  <c r="N167" i="254"/>
  <c r="B23" i="287" s="1"/>
  <c r="AT166" i="254"/>
  <c r="AS166" i="254"/>
  <c r="AR166" i="254"/>
  <c r="AQ166" i="254"/>
  <c r="AO166" i="254"/>
  <c r="AN166" i="254"/>
  <c r="AM166" i="254"/>
  <c r="AL166" i="254"/>
  <c r="AK166" i="254"/>
  <c r="AJ166" i="254"/>
  <c r="AI166" i="254"/>
  <c r="X166" i="254"/>
  <c r="R166" i="254"/>
  <c r="Q166" i="254"/>
  <c r="P166" i="254"/>
  <c r="O166" i="254"/>
  <c r="N166" i="254"/>
  <c r="E30" i="280" s="1"/>
  <c r="AT165" i="254"/>
  <c r="AS165" i="254"/>
  <c r="AR165" i="254"/>
  <c r="AQ165" i="254"/>
  <c r="AO165" i="254"/>
  <c r="AN165" i="254"/>
  <c r="AM165" i="254"/>
  <c r="AL165" i="254"/>
  <c r="AK165" i="254"/>
  <c r="AJ165" i="254"/>
  <c r="AI165" i="254"/>
  <c r="X165" i="254"/>
  <c r="R165" i="254"/>
  <c r="Q165" i="254"/>
  <c r="P165" i="254"/>
  <c r="O165" i="254"/>
  <c r="N165" i="254"/>
  <c r="B25" i="287" s="1"/>
  <c r="AT164" i="254"/>
  <c r="AS164" i="254"/>
  <c r="AR164" i="254"/>
  <c r="AQ164" i="254"/>
  <c r="AO164" i="254"/>
  <c r="AN164" i="254"/>
  <c r="AM164" i="254"/>
  <c r="AL164" i="254"/>
  <c r="AK164" i="254"/>
  <c r="AJ164" i="254"/>
  <c r="AI164" i="254"/>
  <c r="X164" i="254"/>
  <c r="R164" i="254"/>
  <c r="Q164" i="254"/>
  <c r="P164" i="254"/>
  <c r="O164" i="254"/>
  <c r="N164" i="254"/>
  <c r="B21" i="287" s="1"/>
  <c r="AT163" i="254"/>
  <c r="AS163" i="254"/>
  <c r="AR163" i="254"/>
  <c r="AQ163" i="254"/>
  <c r="AO163" i="254"/>
  <c r="AN163" i="254"/>
  <c r="AM163" i="254"/>
  <c r="AL163" i="254"/>
  <c r="AK163" i="254"/>
  <c r="AJ163" i="254"/>
  <c r="AI163" i="254"/>
  <c r="X163" i="254"/>
  <c r="R163" i="254"/>
  <c r="Q163" i="254"/>
  <c r="P163" i="254"/>
  <c r="O163" i="254"/>
  <c r="N163" i="254"/>
  <c r="E28" i="280" s="1"/>
  <c r="AT162" i="254"/>
  <c r="AS162" i="254"/>
  <c r="AR162" i="254"/>
  <c r="AQ162" i="254"/>
  <c r="AO162" i="254"/>
  <c r="AN162" i="254"/>
  <c r="AM162" i="254"/>
  <c r="AL162" i="254"/>
  <c r="AK162" i="254"/>
  <c r="AJ162" i="254"/>
  <c r="AI162" i="254"/>
  <c r="AH162" i="254"/>
  <c r="X162" i="254"/>
  <c r="V162" i="254"/>
  <c r="U162" i="254"/>
  <c r="Q162" i="254"/>
  <c r="P162" i="254"/>
  <c r="O162" i="254"/>
  <c r="N162" i="254"/>
  <c r="B48" i="284" s="1"/>
  <c r="I162" i="254"/>
  <c r="H162" i="254"/>
  <c r="G162" i="254"/>
  <c r="F162" i="254"/>
  <c r="E162" i="254"/>
  <c r="D162" i="254"/>
  <c r="C162" i="254"/>
  <c r="B162" i="254"/>
  <c r="A162" i="254"/>
  <c r="AT161" i="254"/>
  <c r="AS161" i="254"/>
  <c r="AR161" i="254"/>
  <c r="AQ161" i="254"/>
  <c r="AO161" i="254"/>
  <c r="AN161" i="254"/>
  <c r="AM161" i="254"/>
  <c r="AL161" i="254"/>
  <c r="AK161" i="254"/>
  <c r="AJ161" i="254"/>
  <c r="AI161" i="254"/>
  <c r="AH161" i="254"/>
  <c r="X161" i="254"/>
  <c r="V161" i="254"/>
  <c r="U161" i="254"/>
  <c r="Q161" i="254"/>
  <c r="P161" i="254"/>
  <c r="O161" i="254"/>
  <c r="N161" i="254"/>
  <c r="E26" i="282" s="1"/>
  <c r="I161" i="254"/>
  <c r="H161" i="254"/>
  <c r="G161" i="254"/>
  <c r="F161" i="254"/>
  <c r="E161" i="254"/>
  <c r="D161" i="254"/>
  <c r="C161" i="254"/>
  <c r="B161" i="254"/>
  <c r="A161" i="254"/>
  <c r="AT159" i="254"/>
  <c r="AS159" i="254"/>
  <c r="AR159" i="254"/>
  <c r="AQ159" i="254"/>
  <c r="AO159" i="254"/>
  <c r="AN159" i="254"/>
  <c r="AM159" i="254"/>
  <c r="AL159" i="254"/>
  <c r="AK159" i="254"/>
  <c r="AJ159" i="254"/>
  <c r="AI159" i="254"/>
  <c r="AH159" i="254"/>
  <c r="Y159" i="254"/>
  <c r="X159" i="254"/>
  <c r="V159" i="254"/>
  <c r="U159" i="254"/>
  <c r="Q159" i="254"/>
  <c r="P159" i="254"/>
  <c r="O159" i="254"/>
  <c r="N159" i="254"/>
  <c r="E55" i="283" s="1"/>
  <c r="I159" i="254"/>
  <c r="H159" i="254"/>
  <c r="G159" i="254"/>
  <c r="F159" i="254"/>
  <c r="E159" i="254"/>
  <c r="D159" i="254"/>
  <c r="C159" i="254"/>
  <c r="B159" i="254"/>
  <c r="A159" i="254"/>
  <c r="AT158" i="254"/>
  <c r="AS158" i="254"/>
  <c r="AR158" i="254"/>
  <c r="AQ158" i="254"/>
  <c r="M158" i="254"/>
  <c r="D25" i="282" s="1"/>
  <c r="L158" i="254"/>
  <c r="C54" i="283" s="1"/>
  <c r="AT157" i="254"/>
  <c r="AS157" i="254"/>
  <c r="AR157" i="254"/>
  <c r="AQ157" i="254"/>
  <c r="X157" i="254"/>
  <c r="X156" i="254" s="1"/>
  <c r="L157" i="254"/>
  <c r="A87" i="289" s="1"/>
  <c r="AT156" i="254"/>
  <c r="AS156" i="254"/>
  <c r="AR156" i="254"/>
  <c r="AQ156" i="254"/>
  <c r="K156" i="254"/>
  <c r="AT155" i="254"/>
  <c r="AS155" i="254"/>
  <c r="AR155" i="254"/>
  <c r="AQ155" i="254"/>
  <c r="AO155" i="254"/>
  <c r="AN155" i="254"/>
  <c r="AM155" i="254"/>
  <c r="AL155" i="254"/>
  <c r="AK155" i="254"/>
  <c r="AJ155" i="254"/>
  <c r="AI155" i="254"/>
  <c r="AH155" i="254"/>
  <c r="P155" i="254"/>
  <c r="O155" i="254"/>
  <c r="N155" i="254"/>
  <c r="B86" i="289" s="1"/>
  <c r="AT154" i="254"/>
  <c r="AS154" i="254"/>
  <c r="AR154" i="254"/>
  <c r="AQ154" i="254"/>
  <c r="AO154" i="254"/>
  <c r="AN154" i="254"/>
  <c r="AM154" i="254"/>
  <c r="AL154" i="254"/>
  <c r="AK154" i="254"/>
  <c r="AJ154" i="254"/>
  <c r="AI154" i="254"/>
  <c r="AH154" i="254"/>
  <c r="AT153" i="254"/>
  <c r="AS153" i="254"/>
  <c r="AR153" i="254"/>
  <c r="AQ153" i="254"/>
  <c r="AO153" i="254"/>
  <c r="AN153" i="254"/>
  <c r="AM153" i="254"/>
  <c r="AL153" i="254"/>
  <c r="AK153" i="254"/>
  <c r="AJ153" i="254"/>
  <c r="AI153" i="254"/>
  <c r="AH153" i="254"/>
  <c r="X153" i="254"/>
  <c r="R153" i="254"/>
  <c r="R152" i="254" s="1"/>
  <c r="R151" i="254" s="1"/>
  <c r="Q153" i="254"/>
  <c r="P153" i="254"/>
  <c r="P152" i="254" s="1"/>
  <c r="P151" i="254" s="1"/>
  <c r="O153" i="254"/>
  <c r="O152" i="254" s="1"/>
  <c r="O151" i="254" s="1"/>
  <c r="N153" i="254"/>
  <c r="B85" i="289" s="1"/>
  <c r="AT152" i="254"/>
  <c r="AS152" i="254"/>
  <c r="AR152" i="254"/>
  <c r="AQ152" i="254"/>
  <c r="Y152" i="254"/>
  <c r="K22" i="291" s="1"/>
  <c r="D22" i="291" s="1"/>
  <c r="V152" i="254"/>
  <c r="V151" i="254" s="1"/>
  <c r="AT151" i="254"/>
  <c r="AS151" i="254"/>
  <c r="AR151" i="254"/>
  <c r="AQ151" i="254"/>
  <c r="AT150" i="254"/>
  <c r="AS150" i="254"/>
  <c r="AR150" i="254"/>
  <c r="AQ150" i="254"/>
  <c r="AO150" i="254"/>
  <c r="AN150" i="254"/>
  <c r="AM150" i="254"/>
  <c r="AL150" i="254"/>
  <c r="AK150" i="254"/>
  <c r="AJ150" i="254"/>
  <c r="AI150" i="254"/>
  <c r="AH150" i="254"/>
  <c r="AH149" i="254" s="1"/>
  <c r="AH148" i="254" s="1"/>
  <c r="X150" i="254"/>
  <c r="R150" i="254"/>
  <c r="Q150" i="254"/>
  <c r="Q149" i="254" s="1"/>
  <c r="Q148" i="254" s="1"/>
  <c r="L24" i="290" s="1"/>
  <c r="E24" i="290" s="1"/>
  <c r="P150" i="254"/>
  <c r="P149" i="254" s="1"/>
  <c r="P148" i="254" s="1"/>
  <c r="O150" i="254"/>
  <c r="O149" i="254" s="1"/>
  <c r="O148" i="254" s="1"/>
  <c r="N150" i="254"/>
  <c r="B83" i="289" s="1"/>
  <c r="AT149" i="254"/>
  <c r="AS149" i="254"/>
  <c r="AR149" i="254"/>
  <c r="AQ149" i="254"/>
  <c r="Y149" i="254"/>
  <c r="K27" i="291" s="1"/>
  <c r="D27" i="291" s="1"/>
  <c r="V149" i="254"/>
  <c r="V148" i="254" s="1"/>
  <c r="R149" i="254"/>
  <c r="R148" i="254" s="1"/>
  <c r="L149" i="254"/>
  <c r="C47" i="283" s="1"/>
  <c r="AT148" i="254"/>
  <c r="AS148" i="254"/>
  <c r="AR148" i="254"/>
  <c r="AQ148" i="254"/>
  <c r="AT147" i="254"/>
  <c r="AS147" i="254"/>
  <c r="AR147" i="254"/>
  <c r="AQ147" i="254"/>
  <c r="AO147" i="254"/>
  <c r="AN147" i="254"/>
  <c r="AM147" i="254"/>
  <c r="AL147" i="254"/>
  <c r="AK147" i="254"/>
  <c r="AJ147" i="254"/>
  <c r="AI147" i="254"/>
  <c r="AH147" i="254"/>
  <c r="AH146" i="254" s="1"/>
  <c r="AH145" i="254" s="1"/>
  <c r="X147" i="254"/>
  <c r="R147" i="254"/>
  <c r="R146" i="254" s="1"/>
  <c r="R145" i="254" s="1"/>
  <c r="Q147" i="254"/>
  <c r="Q146" i="254" s="1"/>
  <c r="Q145" i="254" s="1"/>
  <c r="L25" i="290" s="1"/>
  <c r="E25" i="290" s="1"/>
  <c r="F25" i="290" s="1"/>
  <c r="P147" i="254"/>
  <c r="O147" i="254"/>
  <c r="O146" i="254" s="1"/>
  <c r="O145" i="254" s="1"/>
  <c r="N147" i="254"/>
  <c r="B81" i="289" s="1"/>
  <c r="AT146" i="254"/>
  <c r="AS146" i="254"/>
  <c r="AR146" i="254"/>
  <c r="AQ146" i="254"/>
  <c r="Y146" i="254"/>
  <c r="V146" i="254"/>
  <c r="V145" i="254" s="1"/>
  <c r="P146" i="254"/>
  <c r="P145" i="254" s="1"/>
  <c r="M146" i="254"/>
  <c r="L146" i="254"/>
  <c r="C23" i="277" s="1"/>
  <c r="AT145" i="254"/>
  <c r="AS145" i="254"/>
  <c r="AR145" i="254"/>
  <c r="AQ145" i="254"/>
  <c r="Y145" i="254"/>
  <c r="AT144" i="254"/>
  <c r="AS144" i="254"/>
  <c r="AR144" i="254"/>
  <c r="AQ144" i="254"/>
  <c r="AO144" i="254"/>
  <c r="AN144" i="254"/>
  <c r="AM144" i="254"/>
  <c r="AL144" i="254"/>
  <c r="AK144" i="254"/>
  <c r="AJ144" i="254"/>
  <c r="AI144" i="254"/>
  <c r="AH144" i="254"/>
  <c r="X144" i="254"/>
  <c r="V144" i="254"/>
  <c r="U144" i="254"/>
  <c r="Q144" i="254"/>
  <c r="P144" i="254"/>
  <c r="S144" i="254" s="1"/>
  <c r="O144" i="254"/>
  <c r="N144" i="254"/>
  <c r="E32" i="279" s="1"/>
  <c r="I144" i="254"/>
  <c r="H144" i="254"/>
  <c r="G144" i="254"/>
  <c r="F144" i="254"/>
  <c r="E144" i="254"/>
  <c r="D144" i="254"/>
  <c r="C144" i="254"/>
  <c r="B144" i="254"/>
  <c r="A144" i="254"/>
  <c r="AT143" i="254"/>
  <c r="AS143" i="254"/>
  <c r="AR143" i="254"/>
  <c r="AQ143" i="254"/>
  <c r="AO143" i="254"/>
  <c r="AN143" i="254"/>
  <c r="AM143" i="254"/>
  <c r="AL143" i="254"/>
  <c r="AK143" i="254"/>
  <c r="AJ143" i="254"/>
  <c r="AI143" i="254"/>
  <c r="AH143" i="254"/>
  <c r="X143" i="254"/>
  <c r="V143" i="254"/>
  <c r="U143" i="254"/>
  <c r="Q143" i="254"/>
  <c r="P143" i="254"/>
  <c r="S143" i="254" s="1"/>
  <c r="O143" i="254"/>
  <c r="N143" i="254"/>
  <c r="B78" i="289" s="1"/>
  <c r="I143" i="254"/>
  <c r="H143" i="254"/>
  <c r="G143" i="254"/>
  <c r="F143" i="254"/>
  <c r="E143" i="254"/>
  <c r="D143" i="254"/>
  <c r="C143" i="254"/>
  <c r="B143" i="254"/>
  <c r="A143" i="254"/>
  <c r="AT142" i="254"/>
  <c r="AS142" i="254"/>
  <c r="AR142" i="254"/>
  <c r="AQ142" i="254"/>
  <c r="AO142" i="254"/>
  <c r="AN142" i="254"/>
  <c r="AM142" i="254"/>
  <c r="AL142" i="254"/>
  <c r="AK142" i="254"/>
  <c r="AJ142" i="254"/>
  <c r="AI142" i="254"/>
  <c r="AH142" i="254"/>
  <c r="X142" i="254"/>
  <c r="V142" i="254"/>
  <c r="U142" i="254"/>
  <c r="Q142" i="254"/>
  <c r="P142" i="254"/>
  <c r="S142" i="254" s="1"/>
  <c r="O142" i="254"/>
  <c r="N142" i="254"/>
  <c r="E31" i="279" s="1"/>
  <c r="I142" i="254"/>
  <c r="H142" i="254"/>
  <c r="G142" i="254"/>
  <c r="F142" i="254"/>
  <c r="E142" i="254"/>
  <c r="D142" i="254"/>
  <c r="C142" i="254"/>
  <c r="B142" i="254"/>
  <c r="A142" i="254"/>
  <c r="AT141" i="254"/>
  <c r="AS141" i="254"/>
  <c r="AQ141" i="254"/>
  <c r="Y141" i="254"/>
  <c r="C18" i="287" s="1"/>
  <c r="AT140" i="254"/>
  <c r="AS140" i="254"/>
  <c r="AR140" i="254"/>
  <c r="AQ140" i="254"/>
  <c r="AO140" i="254"/>
  <c r="AN140" i="254"/>
  <c r="AM140" i="254"/>
  <c r="AL140" i="254"/>
  <c r="AK140" i="254"/>
  <c r="AJ140" i="254"/>
  <c r="AI140" i="254"/>
  <c r="AH140" i="254"/>
  <c r="X140" i="254"/>
  <c r="U140" i="254"/>
  <c r="Q140" i="254"/>
  <c r="P140" i="254"/>
  <c r="O140" i="254"/>
  <c r="N140" i="254"/>
  <c r="B18" i="287" s="1"/>
  <c r="I140" i="254"/>
  <c r="H140" i="254"/>
  <c r="G140" i="254"/>
  <c r="F140" i="254"/>
  <c r="E140" i="254"/>
  <c r="D140" i="254"/>
  <c r="C140" i="254"/>
  <c r="B140" i="254"/>
  <c r="A140" i="254"/>
  <c r="AT139" i="254"/>
  <c r="AS139" i="254"/>
  <c r="AR139" i="254"/>
  <c r="AQ139" i="254"/>
  <c r="AO139" i="254"/>
  <c r="AN139" i="254"/>
  <c r="AM139" i="254"/>
  <c r="AL139" i="254"/>
  <c r="AK139" i="254"/>
  <c r="AJ139" i="254"/>
  <c r="AI139" i="254"/>
  <c r="AH139" i="254"/>
  <c r="X139" i="254"/>
  <c r="U139" i="254"/>
  <c r="Q139" i="254"/>
  <c r="P139" i="254"/>
  <c r="O139" i="254"/>
  <c r="N139" i="254"/>
  <c r="B17" i="287" s="1"/>
  <c r="I139" i="254"/>
  <c r="H139" i="254"/>
  <c r="G139" i="254"/>
  <c r="F139" i="254"/>
  <c r="E139" i="254"/>
  <c r="D139" i="254"/>
  <c r="C139" i="254"/>
  <c r="B139" i="254"/>
  <c r="A139" i="254"/>
  <c r="AT138" i="254"/>
  <c r="AS138" i="254"/>
  <c r="AR138" i="254"/>
  <c r="AQ138" i="254"/>
  <c r="AO138" i="254"/>
  <c r="AN138" i="254"/>
  <c r="AM138" i="254"/>
  <c r="AL138" i="254"/>
  <c r="AK138" i="254"/>
  <c r="AJ138" i="254"/>
  <c r="AI138" i="254"/>
  <c r="AH138" i="254"/>
  <c r="X138" i="254"/>
  <c r="U138" i="254"/>
  <c r="R138" i="254"/>
  <c r="Q138" i="254"/>
  <c r="P138" i="254"/>
  <c r="O138" i="254"/>
  <c r="N138" i="254"/>
  <c r="B76" i="289" s="1"/>
  <c r="I138" i="254"/>
  <c r="H138" i="254"/>
  <c r="G138" i="254"/>
  <c r="F138" i="254"/>
  <c r="E138" i="254"/>
  <c r="D138" i="254"/>
  <c r="C138" i="254"/>
  <c r="B138" i="254"/>
  <c r="A138" i="254"/>
  <c r="AT137" i="254"/>
  <c r="AS137" i="254"/>
  <c r="AR137" i="254"/>
  <c r="AQ137" i="254"/>
  <c r="AO137" i="254"/>
  <c r="AN137" i="254"/>
  <c r="AM137" i="254"/>
  <c r="AL137" i="254"/>
  <c r="AK137" i="254"/>
  <c r="AJ137" i="254"/>
  <c r="AI137" i="254"/>
  <c r="AH137" i="254"/>
  <c r="X137" i="254"/>
  <c r="V137" i="254"/>
  <c r="U137" i="254"/>
  <c r="R137" i="254"/>
  <c r="Q137" i="254"/>
  <c r="P137" i="254"/>
  <c r="O137" i="254"/>
  <c r="N137" i="254"/>
  <c r="B16" i="287" s="1"/>
  <c r="I137" i="254"/>
  <c r="H137" i="254"/>
  <c r="G137" i="254"/>
  <c r="F137" i="254"/>
  <c r="E137" i="254"/>
  <c r="D137" i="254"/>
  <c r="C137" i="254"/>
  <c r="B137" i="254"/>
  <c r="A137" i="254"/>
  <c r="AT136" i="254"/>
  <c r="AS136" i="254"/>
  <c r="AR136" i="254"/>
  <c r="AQ136" i="254"/>
  <c r="AO136" i="254"/>
  <c r="AN136" i="254"/>
  <c r="AM136" i="254"/>
  <c r="AL136" i="254"/>
  <c r="AK136" i="254"/>
  <c r="AJ136" i="254"/>
  <c r="AI136" i="254"/>
  <c r="AH136" i="254"/>
  <c r="X136" i="254"/>
  <c r="V136" i="254"/>
  <c r="U136" i="254"/>
  <c r="R136" i="254"/>
  <c r="Q136" i="254"/>
  <c r="P136" i="254"/>
  <c r="O136" i="254"/>
  <c r="N136" i="254"/>
  <c r="B75" i="289" s="1"/>
  <c r="I136" i="254"/>
  <c r="H136" i="254"/>
  <c r="G136" i="254"/>
  <c r="F136" i="254"/>
  <c r="E136" i="254"/>
  <c r="D136" i="254"/>
  <c r="C136" i="254"/>
  <c r="B136" i="254"/>
  <c r="A136" i="254"/>
  <c r="AT135" i="254"/>
  <c r="AS135" i="254"/>
  <c r="AR135" i="254"/>
  <c r="AQ135" i="254"/>
  <c r="Y135" i="254"/>
  <c r="K9" i="291" s="1"/>
  <c r="D9" i="291" s="1"/>
  <c r="W135" i="254"/>
  <c r="W134" i="254" s="1"/>
  <c r="M135" i="254"/>
  <c r="D44" i="283" s="1"/>
  <c r="L135" i="254"/>
  <c r="C41" i="274" s="1"/>
  <c r="AT134" i="254"/>
  <c r="AS134" i="254"/>
  <c r="AR134" i="254"/>
  <c r="AQ134" i="254"/>
  <c r="L134" i="254"/>
  <c r="A15" i="287" s="1"/>
  <c r="AT133" i="254"/>
  <c r="AS133" i="254"/>
  <c r="AR133" i="254"/>
  <c r="AQ133" i="254"/>
  <c r="AO133" i="254"/>
  <c r="AN133" i="254"/>
  <c r="AM133" i="254"/>
  <c r="AL133" i="254"/>
  <c r="AK133" i="254"/>
  <c r="AJ133" i="254"/>
  <c r="AI133" i="254"/>
  <c r="AH133" i="254"/>
  <c r="AH132" i="254" s="1"/>
  <c r="AH131" i="254" s="1"/>
  <c r="X133" i="254"/>
  <c r="U133" i="254"/>
  <c r="R133" i="254"/>
  <c r="R132" i="254" s="1"/>
  <c r="R131" i="254" s="1"/>
  <c r="Q133" i="254"/>
  <c r="P133" i="254"/>
  <c r="O133" i="254"/>
  <c r="O132" i="254" s="1"/>
  <c r="O131" i="254" s="1"/>
  <c r="N133" i="254"/>
  <c r="B73" i="289" s="1"/>
  <c r="I133" i="254"/>
  <c r="H133" i="254"/>
  <c r="G133" i="254"/>
  <c r="F133" i="254"/>
  <c r="E133" i="254"/>
  <c r="D133" i="254"/>
  <c r="C133" i="254"/>
  <c r="B133" i="254"/>
  <c r="A133" i="254"/>
  <c r="AT132" i="254"/>
  <c r="AS132" i="254"/>
  <c r="AR132" i="254"/>
  <c r="AQ132" i="254"/>
  <c r="Y132" i="254"/>
  <c r="W132" i="254"/>
  <c r="W131" i="254" s="1"/>
  <c r="Q132" i="254"/>
  <c r="Q131" i="254" s="1"/>
  <c r="L18" i="290" s="1"/>
  <c r="E18" i="290" s="1"/>
  <c r="F18" i="290" s="1"/>
  <c r="M132" i="254"/>
  <c r="L132" i="254"/>
  <c r="C30" i="275" s="1"/>
  <c r="AT131" i="254"/>
  <c r="AS131" i="254"/>
  <c r="AR131" i="254"/>
  <c r="AQ131" i="254"/>
  <c r="Y131" i="254"/>
  <c r="L131" i="254"/>
  <c r="A72" i="289" s="1"/>
  <c r="AT130" i="254"/>
  <c r="AS130" i="254"/>
  <c r="AR130" i="254"/>
  <c r="AQ130" i="254"/>
  <c r="AO130" i="254"/>
  <c r="AN130" i="254"/>
  <c r="AM130" i="254"/>
  <c r="AL130" i="254"/>
  <c r="AK130" i="254"/>
  <c r="AJ130" i="254"/>
  <c r="AI130" i="254"/>
  <c r="AH130" i="254"/>
  <c r="X130" i="254"/>
  <c r="U130" i="254"/>
  <c r="R130" i="254"/>
  <c r="Q130" i="254"/>
  <c r="P130" i="254"/>
  <c r="O130" i="254"/>
  <c r="N130" i="254"/>
  <c r="E28" i="275" s="1"/>
  <c r="I130" i="254"/>
  <c r="H130" i="254"/>
  <c r="G130" i="254"/>
  <c r="F130" i="254"/>
  <c r="E130" i="254"/>
  <c r="D130" i="254"/>
  <c r="C130" i="254"/>
  <c r="B130" i="254"/>
  <c r="A130" i="254"/>
  <c r="AT129" i="254"/>
  <c r="AS129" i="254"/>
  <c r="AR129" i="254"/>
  <c r="AQ129" i="254"/>
  <c r="AO129" i="254"/>
  <c r="AN129" i="254"/>
  <c r="AM129" i="254"/>
  <c r="AL129" i="254"/>
  <c r="AK129" i="254"/>
  <c r="AJ129" i="254"/>
  <c r="AI129" i="254"/>
  <c r="AH129" i="254"/>
  <c r="AH128" i="254" s="1"/>
  <c r="AH127" i="254" s="1"/>
  <c r="X129" i="254"/>
  <c r="W129" i="254"/>
  <c r="W128" i="254" s="1"/>
  <c r="W127" i="254" s="1"/>
  <c r="U129" i="254"/>
  <c r="R129" i="254"/>
  <c r="R128" i="254" s="1"/>
  <c r="R127" i="254" s="1"/>
  <c r="Q129" i="254"/>
  <c r="P129" i="254"/>
  <c r="O129" i="254"/>
  <c r="N129" i="254"/>
  <c r="B70" i="289" s="1"/>
  <c r="I129" i="254"/>
  <c r="H129" i="254"/>
  <c r="G129" i="254"/>
  <c r="F129" i="254"/>
  <c r="E129" i="254"/>
  <c r="D129" i="254"/>
  <c r="C129" i="254"/>
  <c r="B129" i="254"/>
  <c r="A129" i="254"/>
  <c r="AT128" i="254"/>
  <c r="AS128" i="254"/>
  <c r="AR128" i="254"/>
  <c r="AQ128" i="254"/>
  <c r="Y128" i="254"/>
  <c r="K23" i="291" s="1"/>
  <c r="D23" i="291" s="1"/>
  <c r="M128" i="254"/>
  <c r="D27" i="275" s="1"/>
  <c r="D30" i="275" s="1"/>
  <c r="L128" i="254"/>
  <c r="C12" i="278" s="1"/>
  <c r="AT127" i="254"/>
  <c r="AS127" i="254"/>
  <c r="AR127" i="254"/>
  <c r="AQ127" i="254"/>
  <c r="Y127" i="254"/>
  <c r="L127" i="254"/>
  <c r="A69" i="289" s="1"/>
  <c r="AT126" i="254"/>
  <c r="AS126" i="254"/>
  <c r="AQ126" i="254"/>
  <c r="Y126" i="254"/>
  <c r="C68" i="289" s="1"/>
  <c r="AT125" i="254"/>
  <c r="AS125" i="254"/>
  <c r="AR125" i="254"/>
  <c r="AQ125" i="254"/>
  <c r="AO125" i="254"/>
  <c r="AN125" i="254"/>
  <c r="AM125" i="254"/>
  <c r="AL125" i="254"/>
  <c r="AK125" i="254"/>
  <c r="AJ125" i="254"/>
  <c r="AI125" i="254"/>
  <c r="AH125" i="254"/>
  <c r="X125" i="254"/>
  <c r="R125" i="254"/>
  <c r="Q125" i="254"/>
  <c r="P125" i="254"/>
  <c r="O125" i="254"/>
  <c r="N125" i="254"/>
  <c r="B37" i="284" s="1"/>
  <c r="AT124" i="254"/>
  <c r="AS124" i="254"/>
  <c r="AR124" i="254"/>
  <c r="AQ124" i="254"/>
  <c r="AO124" i="254"/>
  <c r="AN124" i="254"/>
  <c r="AM124" i="254"/>
  <c r="AL124" i="254"/>
  <c r="AK124" i="254"/>
  <c r="AJ124" i="254"/>
  <c r="AI124" i="254"/>
  <c r="AH124" i="254"/>
  <c r="X124" i="254"/>
  <c r="R124" i="254"/>
  <c r="Q124" i="254"/>
  <c r="P124" i="254"/>
  <c r="O124" i="254"/>
  <c r="N124" i="254"/>
  <c r="B67" i="289" s="1"/>
  <c r="AT123" i="254"/>
  <c r="AS123" i="254"/>
  <c r="AR123" i="254"/>
  <c r="AQ123" i="254"/>
  <c r="AO123" i="254"/>
  <c r="AN123" i="254"/>
  <c r="AM123" i="254"/>
  <c r="AL123" i="254"/>
  <c r="AK123" i="254"/>
  <c r="AJ123" i="254"/>
  <c r="AI123" i="254"/>
  <c r="AH123" i="254"/>
  <c r="X123" i="254"/>
  <c r="R123" i="254"/>
  <c r="Q123" i="254"/>
  <c r="P123" i="254"/>
  <c r="O123" i="254"/>
  <c r="N123" i="254"/>
  <c r="E42" i="283" s="1"/>
  <c r="AT122" i="254"/>
  <c r="AS122" i="254"/>
  <c r="AR122" i="254"/>
  <c r="AQ122" i="254"/>
  <c r="AO122" i="254"/>
  <c r="AN122" i="254"/>
  <c r="AM122" i="254"/>
  <c r="AL122" i="254"/>
  <c r="AK122" i="254"/>
  <c r="AJ122" i="254"/>
  <c r="AI122" i="254"/>
  <c r="AH122" i="254"/>
  <c r="X122" i="254"/>
  <c r="R122" i="254"/>
  <c r="Q122" i="254"/>
  <c r="Q121" i="254" s="1"/>
  <c r="M14" i="291" s="1"/>
  <c r="E14" i="291" s="1"/>
  <c r="P122" i="254"/>
  <c r="O122" i="254"/>
  <c r="N122" i="254"/>
  <c r="B65" i="289" s="1"/>
  <c r="AT121" i="254"/>
  <c r="AS121" i="254"/>
  <c r="AR121" i="254"/>
  <c r="AQ121" i="254"/>
  <c r="Y121" i="254"/>
  <c r="V121" i="254"/>
  <c r="AT120" i="254"/>
  <c r="AS120" i="254"/>
  <c r="AR120" i="254"/>
  <c r="AQ120" i="254"/>
  <c r="AO120" i="254"/>
  <c r="AN120" i="254"/>
  <c r="AM120" i="254"/>
  <c r="AL120" i="254"/>
  <c r="AK120" i="254"/>
  <c r="AJ120" i="254"/>
  <c r="AI120" i="254"/>
  <c r="AH120" i="254"/>
  <c r="X120" i="254"/>
  <c r="R120" i="254"/>
  <c r="Q120" i="254"/>
  <c r="P120" i="254"/>
  <c r="O120" i="254"/>
  <c r="N120" i="254"/>
  <c r="B64" i="289" s="1"/>
  <c r="AT119" i="254"/>
  <c r="AS119" i="254"/>
  <c r="AR119" i="254"/>
  <c r="AQ119" i="254"/>
  <c r="AO119" i="254"/>
  <c r="AN119" i="254"/>
  <c r="AM119" i="254"/>
  <c r="AL119" i="254"/>
  <c r="AK119" i="254"/>
  <c r="AJ119" i="254"/>
  <c r="AI119" i="254"/>
  <c r="AH119" i="254"/>
  <c r="X119" i="254"/>
  <c r="R119" i="254"/>
  <c r="Q119" i="254"/>
  <c r="P119" i="254"/>
  <c r="O119" i="254"/>
  <c r="N119" i="254"/>
  <c r="B63" i="289" s="1"/>
  <c r="AT118" i="254"/>
  <c r="AS118" i="254"/>
  <c r="AR118" i="254"/>
  <c r="AQ118" i="254"/>
  <c r="AO118" i="254"/>
  <c r="AN118" i="254"/>
  <c r="AM118" i="254"/>
  <c r="AL118" i="254"/>
  <c r="AK118" i="254"/>
  <c r="AJ118" i="254"/>
  <c r="AI118" i="254"/>
  <c r="AH118" i="254"/>
  <c r="X118" i="254"/>
  <c r="R118" i="254"/>
  <c r="Q118" i="254"/>
  <c r="P118" i="254"/>
  <c r="O118" i="254"/>
  <c r="N118" i="254"/>
  <c r="B62" i="289" s="1"/>
  <c r="AT117" i="254"/>
  <c r="AS117" i="254"/>
  <c r="AR117" i="254"/>
  <c r="AQ117" i="254"/>
  <c r="AO117" i="254"/>
  <c r="AN117" i="254"/>
  <c r="AM117" i="254"/>
  <c r="AL117" i="254"/>
  <c r="AK117" i="254"/>
  <c r="AI117" i="254"/>
  <c r="AH117" i="254"/>
  <c r="X117" i="254"/>
  <c r="R117" i="254"/>
  <c r="Q117" i="254"/>
  <c r="P117" i="254"/>
  <c r="O117" i="254"/>
  <c r="N117" i="254"/>
  <c r="B61" i="289" s="1"/>
  <c r="AT116" i="254"/>
  <c r="AS116" i="254"/>
  <c r="AR116" i="254"/>
  <c r="AQ116" i="254"/>
  <c r="AO116" i="254"/>
  <c r="AN116" i="254"/>
  <c r="AM116" i="254"/>
  <c r="AL116" i="254"/>
  <c r="AK116" i="254"/>
  <c r="AJ116" i="254"/>
  <c r="AI116" i="254"/>
  <c r="AH116" i="254"/>
  <c r="X116" i="254"/>
  <c r="U116" i="254"/>
  <c r="R116" i="254"/>
  <c r="P116" i="254"/>
  <c r="O116" i="254"/>
  <c r="N116" i="254"/>
  <c r="E36" i="274" s="1"/>
  <c r="I116" i="254"/>
  <c r="H116" i="254"/>
  <c r="G116" i="254"/>
  <c r="F116" i="254"/>
  <c r="E116" i="254"/>
  <c r="D116" i="254"/>
  <c r="C116" i="254"/>
  <c r="B116" i="254"/>
  <c r="A116" i="254"/>
  <c r="AT115" i="254"/>
  <c r="AS115" i="254"/>
  <c r="AR115" i="254"/>
  <c r="AQ115" i="254"/>
  <c r="AO115" i="254"/>
  <c r="AN115" i="254"/>
  <c r="AM115" i="254"/>
  <c r="AL115" i="254"/>
  <c r="AK115" i="254"/>
  <c r="AJ115" i="254"/>
  <c r="AI115" i="254"/>
  <c r="AH115" i="254"/>
  <c r="X115" i="254"/>
  <c r="U115" i="254"/>
  <c r="R115" i="254"/>
  <c r="P115" i="254"/>
  <c r="O115" i="254"/>
  <c r="I115" i="254"/>
  <c r="H115" i="254"/>
  <c r="G115" i="254"/>
  <c r="F115" i="254"/>
  <c r="E115" i="254"/>
  <c r="D115" i="254"/>
  <c r="C115" i="254"/>
  <c r="B115" i="254"/>
  <c r="A115" i="254"/>
  <c r="AT114" i="254"/>
  <c r="AS114" i="254"/>
  <c r="AR114" i="254"/>
  <c r="AQ114" i="254"/>
  <c r="AO114" i="254"/>
  <c r="AN114" i="254"/>
  <c r="AK114" i="254"/>
  <c r="AJ114" i="254"/>
  <c r="AI114" i="254"/>
  <c r="AH114" i="254"/>
  <c r="X114" i="254"/>
  <c r="R114" i="254"/>
  <c r="Q114" i="254"/>
  <c r="P114" i="254"/>
  <c r="O114" i="254"/>
  <c r="N114" i="254"/>
  <c r="B59" i="289" s="1"/>
  <c r="AT113" i="254"/>
  <c r="AS113" i="254"/>
  <c r="AR113" i="254"/>
  <c r="AQ113" i="254"/>
  <c r="AO113" i="254"/>
  <c r="AN113" i="254"/>
  <c r="AM113" i="254"/>
  <c r="AL113" i="254"/>
  <c r="AK113" i="254"/>
  <c r="AJ113" i="254"/>
  <c r="AI113" i="254"/>
  <c r="AH113" i="254"/>
  <c r="X113" i="254"/>
  <c r="U113" i="254"/>
  <c r="R113" i="254"/>
  <c r="Q113" i="254"/>
  <c r="P113" i="254"/>
  <c r="O113" i="254"/>
  <c r="N113" i="254"/>
  <c r="B14" i="287" s="1"/>
  <c r="I113" i="254"/>
  <c r="H113" i="254"/>
  <c r="G113" i="254"/>
  <c r="F113" i="254"/>
  <c r="E113" i="254"/>
  <c r="D113" i="254"/>
  <c r="C113" i="254"/>
  <c r="B113" i="254"/>
  <c r="A113" i="254"/>
  <c r="AT112" i="254"/>
  <c r="AS112" i="254"/>
  <c r="AR112" i="254"/>
  <c r="AQ112" i="254"/>
  <c r="Y112" i="254"/>
  <c r="K8" i="291" s="1"/>
  <c r="D8" i="291" s="1"/>
  <c r="M112" i="254"/>
  <c r="D34" i="274" s="1"/>
  <c r="L112" i="254"/>
  <c r="C39" i="283" s="1"/>
  <c r="AT111" i="254"/>
  <c r="AS111" i="254"/>
  <c r="AR111" i="254"/>
  <c r="AQ111" i="254"/>
  <c r="L111" i="254"/>
  <c r="K111" i="254"/>
  <c r="B29" i="275" s="1"/>
  <c r="AT110" i="254"/>
  <c r="AS110" i="254"/>
  <c r="AR110" i="254"/>
  <c r="AQ110" i="254"/>
  <c r="AO110" i="254"/>
  <c r="AN110" i="254"/>
  <c r="AM110" i="254"/>
  <c r="AL110" i="254"/>
  <c r="AK110" i="254"/>
  <c r="AJ110" i="254"/>
  <c r="AJ109" i="254" s="1"/>
  <c r="AJ108" i="254" s="1"/>
  <c r="AI110" i="254"/>
  <c r="AH110" i="254"/>
  <c r="X110" i="254"/>
  <c r="V110" i="254"/>
  <c r="V109" i="254" s="1"/>
  <c r="V108" i="254" s="1"/>
  <c r="U110" i="254"/>
  <c r="P110" i="254"/>
  <c r="O110" i="254"/>
  <c r="N110" i="254"/>
  <c r="E32" i="274" s="1"/>
  <c r="I110" i="254"/>
  <c r="H110" i="254"/>
  <c r="G110" i="254"/>
  <c r="F110" i="254"/>
  <c r="E110" i="254"/>
  <c r="D110" i="254"/>
  <c r="C110" i="254"/>
  <c r="B110" i="254"/>
  <c r="A110" i="254"/>
  <c r="AT109" i="254"/>
  <c r="AS109" i="254"/>
  <c r="AR109" i="254"/>
  <c r="AQ109" i="254"/>
  <c r="AH109" i="254"/>
  <c r="AH108" i="254" s="1"/>
  <c r="Y109" i="254"/>
  <c r="W109" i="254"/>
  <c r="W108" i="254" s="1"/>
  <c r="R109" i="254"/>
  <c r="R108" i="254" s="1"/>
  <c r="P109" i="254"/>
  <c r="O109" i="254"/>
  <c r="O108" i="254" s="1"/>
  <c r="M109" i="254"/>
  <c r="L109" i="254"/>
  <c r="AT108" i="254"/>
  <c r="AS108" i="254"/>
  <c r="AR108" i="254"/>
  <c r="AQ108" i="254"/>
  <c r="AI108" i="254"/>
  <c r="Y108" i="254"/>
  <c r="X108" i="254"/>
  <c r="P108" i="254"/>
  <c r="L108" i="254"/>
  <c r="A56" i="289" s="1"/>
  <c r="K108" i="254"/>
  <c r="AT107" i="254"/>
  <c r="AS107" i="254"/>
  <c r="AR107" i="254"/>
  <c r="AQ107" i="254"/>
  <c r="AO107" i="254"/>
  <c r="AN107" i="254"/>
  <c r="AM107" i="254"/>
  <c r="AL107" i="254"/>
  <c r="AK107" i="254"/>
  <c r="AJ107" i="254"/>
  <c r="AJ106" i="254" s="1"/>
  <c r="AI107" i="254"/>
  <c r="AH107" i="254"/>
  <c r="AH106" i="254" s="1"/>
  <c r="X107" i="254"/>
  <c r="R107" i="254"/>
  <c r="R106" i="254" s="1"/>
  <c r="Q107" i="254"/>
  <c r="Q106" i="254" s="1"/>
  <c r="P107" i="254"/>
  <c r="O107" i="254"/>
  <c r="N107" i="254"/>
  <c r="AT106" i="254"/>
  <c r="AS106" i="254"/>
  <c r="AR106" i="254"/>
  <c r="AQ106" i="254"/>
  <c r="Y106" i="254"/>
  <c r="K20" i="291" s="1"/>
  <c r="D20" i="291" s="1"/>
  <c r="V106" i="254"/>
  <c r="O106" i="254"/>
  <c r="M106" i="254"/>
  <c r="D27" i="279" s="1"/>
  <c r="AT105" i="254"/>
  <c r="AS105" i="254"/>
  <c r="AR105" i="254"/>
  <c r="AQ105" i="254"/>
  <c r="AO105" i="254"/>
  <c r="AN105" i="254"/>
  <c r="AM105" i="254"/>
  <c r="AL105" i="254"/>
  <c r="AK105" i="254"/>
  <c r="AJ105" i="254"/>
  <c r="AI105" i="254"/>
  <c r="AH105" i="254"/>
  <c r="AH104" i="254" s="1"/>
  <c r="X105" i="254"/>
  <c r="R105" i="254"/>
  <c r="R104" i="254" s="1"/>
  <c r="Q105" i="254"/>
  <c r="Q104" i="254" s="1"/>
  <c r="P105" i="254"/>
  <c r="P104" i="254" s="1"/>
  <c r="O105" i="254"/>
  <c r="O104" i="254" s="1"/>
  <c r="N105" i="254"/>
  <c r="B13" i="288" s="1"/>
  <c r="AT104" i="254"/>
  <c r="AS104" i="254"/>
  <c r="AR104" i="254"/>
  <c r="AQ104" i="254"/>
  <c r="Y104" i="254"/>
  <c r="K25" i="291" s="1"/>
  <c r="D25" i="291" s="1"/>
  <c r="AT103" i="254"/>
  <c r="AS103" i="254"/>
  <c r="AR103" i="254"/>
  <c r="AQ103" i="254"/>
  <c r="AO103" i="254"/>
  <c r="AN103" i="254"/>
  <c r="AM103" i="254"/>
  <c r="AL103" i="254"/>
  <c r="AK103" i="254"/>
  <c r="AJ103" i="254"/>
  <c r="AI103" i="254"/>
  <c r="AH103" i="254"/>
  <c r="X103" i="254"/>
  <c r="W103" i="254"/>
  <c r="U103" i="254"/>
  <c r="R103" i="254"/>
  <c r="Q103" i="254"/>
  <c r="P103" i="254"/>
  <c r="O103" i="254"/>
  <c r="N103" i="254"/>
  <c r="I103" i="254"/>
  <c r="H103" i="254"/>
  <c r="G103" i="254"/>
  <c r="F103" i="254"/>
  <c r="E103" i="254"/>
  <c r="D103" i="254"/>
  <c r="C103" i="254"/>
  <c r="B103" i="254"/>
  <c r="A103" i="254"/>
  <c r="AT102" i="254"/>
  <c r="AS102" i="254"/>
  <c r="AR102" i="254"/>
  <c r="AQ102" i="254"/>
  <c r="AO102" i="254"/>
  <c r="AN102" i="254"/>
  <c r="AM102" i="254"/>
  <c r="AL102" i="254"/>
  <c r="AK102" i="254"/>
  <c r="AJ102" i="254"/>
  <c r="AI102" i="254"/>
  <c r="AH102" i="254"/>
  <c r="X102" i="254"/>
  <c r="U102" i="254"/>
  <c r="R102" i="254"/>
  <c r="R101" i="254" s="1"/>
  <c r="Q102" i="254"/>
  <c r="Q101" i="254" s="1"/>
  <c r="M24" i="291" s="1"/>
  <c r="E24" i="291" s="1"/>
  <c r="P102" i="254"/>
  <c r="O102" i="254"/>
  <c r="O101" i="254" s="1"/>
  <c r="N102" i="254"/>
  <c r="I102" i="254"/>
  <c r="H102" i="254"/>
  <c r="G102" i="254"/>
  <c r="F102" i="254"/>
  <c r="E102" i="254"/>
  <c r="D102" i="254"/>
  <c r="C102" i="254"/>
  <c r="B102" i="254"/>
  <c r="A102" i="254"/>
  <c r="AT101" i="254"/>
  <c r="AS101" i="254"/>
  <c r="AR101" i="254"/>
  <c r="AQ101" i="254"/>
  <c r="Y101" i="254"/>
  <c r="K24" i="291" s="1"/>
  <c r="D24" i="291" s="1"/>
  <c r="W101" i="254"/>
  <c r="M101" i="254"/>
  <c r="D36" i="283" s="1"/>
  <c r="AT100" i="254"/>
  <c r="AR100" i="254"/>
  <c r="AQ100" i="254"/>
  <c r="AO100" i="254"/>
  <c r="AN100" i="254"/>
  <c r="AM100" i="254"/>
  <c r="AL100" i="254"/>
  <c r="AK100" i="254"/>
  <c r="AJ100" i="254"/>
  <c r="AI100" i="254"/>
  <c r="Y100" i="254"/>
  <c r="X100" i="254"/>
  <c r="U100" i="254"/>
  <c r="AT99" i="254"/>
  <c r="AS99" i="254"/>
  <c r="AR99" i="254"/>
  <c r="AQ99" i="254"/>
  <c r="AO99" i="254"/>
  <c r="AN99" i="254"/>
  <c r="AM99" i="254"/>
  <c r="AL99" i="254"/>
  <c r="AK99" i="254"/>
  <c r="AJ99" i="254"/>
  <c r="AI99" i="254"/>
  <c r="AH99" i="254"/>
  <c r="X99" i="254"/>
  <c r="V99" i="254"/>
  <c r="U99" i="254"/>
  <c r="P99" i="254"/>
  <c r="O99" i="254"/>
  <c r="N99" i="254"/>
  <c r="B53" i="289" s="1"/>
  <c r="AT98" i="254"/>
  <c r="AS98" i="254"/>
  <c r="AR98" i="254"/>
  <c r="AQ98" i="254"/>
  <c r="AO98" i="254"/>
  <c r="AN98" i="254"/>
  <c r="AM98" i="254"/>
  <c r="AL98" i="254"/>
  <c r="AK98" i="254"/>
  <c r="AJ98" i="254"/>
  <c r="AI98" i="254"/>
  <c r="AH98" i="254"/>
  <c r="X98" i="254"/>
  <c r="U98" i="254"/>
  <c r="R98" i="254"/>
  <c r="Q98" i="254"/>
  <c r="P98" i="254"/>
  <c r="O98" i="254"/>
  <c r="N98" i="254"/>
  <c r="I98" i="254"/>
  <c r="H98" i="254"/>
  <c r="G98" i="254"/>
  <c r="F98" i="254"/>
  <c r="E98" i="254"/>
  <c r="D98" i="254"/>
  <c r="C98" i="254"/>
  <c r="B98" i="254"/>
  <c r="A98" i="254"/>
  <c r="AT97" i="254"/>
  <c r="AS97" i="254"/>
  <c r="AR97" i="254"/>
  <c r="AQ97" i="254"/>
  <c r="AO97" i="254"/>
  <c r="AN97" i="254"/>
  <c r="AM97" i="254"/>
  <c r="AL97" i="254"/>
  <c r="AK97" i="254"/>
  <c r="AJ97" i="254"/>
  <c r="AI97" i="254"/>
  <c r="AH97" i="254"/>
  <c r="X97" i="254"/>
  <c r="U97" i="254"/>
  <c r="R97" i="254"/>
  <c r="Q97" i="254"/>
  <c r="P97" i="254"/>
  <c r="O97" i="254"/>
  <c r="N97" i="254"/>
  <c r="I97" i="254"/>
  <c r="H97" i="254"/>
  <c r="G97" i="254"/>
  <c r="F97" i="254"/>
  <c r="E97" i="254"/>
  <c r="D97" i="254"/>
  <c r="C97" i="254"/>
  <c r="B97" i="254"/>
  <c r="A97" i="254"/>
  <c r="AT96" i="254"/>
  <c r="AS96" i="254"/>
  <c r="AR96" i="254"/>
  <c r="AQ96" i="254"/>
  <c r="AO96" i="254"/>
  <c r="AN96" i="254"/>
  <c r="AM96" i="254"/>
  <c r="AL96" i="254"/>
  <c r="AK96" i="254"/>
  <c r="AJ96" i="254"/>
  <c r="AI96" i="254"/>
  <c r="AH96" i="254"/>
  <c r="X96" i="254"/>
  <c r="U96" i="254"/>
  <c r="R96" i="254"/>
  <c r="Q96" i="254"/>
  <c r="P96" i="254"/>
  <c r="O96" i="254"/>
  <c r="N96" i="254"/>
  <c r="I96" i="254"/>
  <c r="H96" i="254"/>
  <c r="G96" i="254"/>
  <c r="F96" i="254"/>
  <c r="E96" i="254"/>
  <c r="D96" i="254"/>
  <c r="C96" i="254"/>
  <c r="B96" i="254"/>
  <c r="A96" i="254"/>
  <c r="AT95" i="254"/>
  <c r="AS95" i="254"/>
  <c r="AR95" i="254"/>
  <c r="AQ95" i="254"/>
  <c r="AO95" i="254"/>
  <c r="AN95" i="254"/>
  <c r="AM95" i="254"/>
  <c r="AL95" i="254"/>
  <c r="AK95" i="254"/>
  <c r="AJ95" i="254"/>
  <c r="AI95" i="254"/>
  <c r="AH95" i="254"/>
  <c r="X95" i="254"/>
  <c r="U95" i="254"/>
  <c r="R95" i="254"/>
  <c r="Q95" i="254"/>
  <c r="P95" i="254"/>
  <c r="O95" i="254"/>
  <c r="N95" i="254"/>
  <c r="I95" i="254"/>
  <c r="H95" i="254"/>
  <c r="G95" i="254"/>
  <c r="F95" i="254"/>
  <c r="E95" i="254"/>
  <c r="D95" i="254"/>
  <c r="C95" i="254"/>
  <c r="B95" i="254"/>
  <c r="A95" i="254"/>
  <c r="AT94" i="254"/>
  <c r="AS94" i="254"/>
  <c r="AR94" i="254"/>
  <c r="AQ94" i="254"/>
  <c r="AO94" i="254"/>
  <c r="AN94" i="254"/>
  <c r="AM94" i="254"/>
  <c r="AL94" i="254"/>
  <c r="AK94" i="254"/>
  <c r="AJ94" i="254"/>
  <c r="AI94" i="254"/>
  <c r="AH94" i="254"/>
  <c r="X94" i="254"/>
  <c r="U94" i="254"/>
  <c r="R94" i="254"/>
  <c r="R93" i="254" s="1"/>
  <c r="Q94" i="254"/>
  <c r="Q93" i="254" s="1"/>
  <c r="M18" i="291" s="1"/>
  <c r="E18" i="291" s="1"/>
  <c r="P94" i="254"/>
  <c r="O94" i="254"/>
  <c r="N94" i="254"/>
  <c r="I94" i="254"/>
  <c r="H94" i="254"/>
  <c r="G94" i="254"/>
  <c r="F94" i="254"/>
  <c r="E94" i="254"/>
  <c r="D94" i="254"/>
  <c r="C94" i="254"/>
  <c r="B94" i="254"/>
  <c r="A94" i="254"/>
  <c r="AT93" i="254"/>
  <c r="AS93" i="254"/>
  <c r="AR93" i="254"/>
  <c r="AQ93" i="254"/>
  <c r="O93" i="254"/>
  <c r="M93" i="254"/>
  <c r="D34" i="283" s="1"/>
  <c r="AT92" i="254"/>
  <c r="AR92" i="254"/>
  <c r="AQ92" i="254"/>
  <c r="AO92" i="254"/>
  <c r="AN92" i="254"/>
  <c r="AK92" i="254"/>
  <c r="AJ92" i="254"/>
  <c r="AI92" i="254"/>
  <c r="AH92" i="254"/>
  <c r="Y92" i="254"/>
  <c r="X92" i="254"/>
  <c r="U92" i="254"/>
  <c r="AT91" i="254"/>
  <c r="AS91" i="254"/>
  <c r="AR91" i="254"/>
  <c r="AQ91" i="254"/>
  <c r="AO91" i="254"/>
  <c r="AN91" i="254"/>
  <c r="AK91" i="254"/>
  <c r="AJ91" i="254"/>
  <c r="AI91" i="254"/>
  <c r="AH91" i="254"/>
  <c r="X91" i="254"/>
  <c r="V91" i="254"/>
  <c r="U91" i="254"/>
  <c r="AT90" i="254"/>
  <c r="AS90" i="254"/>
  <c r="AR90" i="254"/>
  <c r="AQ90" i="254"/>
  <c r="AO90" i="254"/>
  <c r="AN90" i="254"/>
  <c r="AM90" i="254"/>
  <c r="AL90" i="254"/>
  <c r="AK90" i="254"/>
  <c r="AJ90" i="254"/>
  <c r="AI90" i="254"/>
  <c r="AH90" i="254"/>
  <c r="X90" i="254"/>
  <c r="U90" i="254"/>
  <c r="R90" i="254"/>
  <c r="Q90" i="254"/>
  <c r="P90" i="254"/>
  <c r="O90" i="254"/>
  <c r="N90" i="254"/>
  <c r="B46" i="289" s="1"/>
  <c r="I90" i="254"/>
  <c r="H90" i="254"/>
  <c r="G90" i="254"/>
  <c r="F90" i="254"/>
  <c r="E90" i="254"/>
  <c r="D90" i="254"/>
  <c r="C90" i="254"/>
  <c r="B90" i="254"/>
  <c r="A90" i="254"/>
  <c r="AT89" i="254"/>
  <c r="AS89" i="254"/>
  <c r="AR89" i="254"/>
  <c r="AQ89" i="254"/>
  <c r="AO89" i="254"/>
  <c r="AN89" i="254"/>
  <c r="AM89" i="254"/>
  <c r="AL89" i="254"/>
  <c r="AK89" i="254"/>
  <c r="AJ89" i="254"/>
  <c r="AI89" i="254"/>
  <c r="AH89" i="254"/>
  <c r="X89" i="254"/>
  <c r="U89" i="254"/>
  <c r="R89" i="254"/>
  <c r="Q89" i="254"/>
  <c r="P89" i="254"/>
  <c r="O89" i="254"/>
  <c r="N89" i="254"/>
  <c r="B18" i="288" s="1"/>
  <c r="I89" i="254"/>
  <c r="H89" i="254"/>
  <c r="G89" i="254"/>
  <c r="F89" i="254"/>
  <c r="E89" i="254"/>
  <c r="D89" i="254"/>
  <c r="C89" i="254"/>
  <c r="B89" i="254"/>
  <c r="A89" i="254"/>
  <c r="AT88" i="254"/>
  <c r="AS88" i="254"/>
  <c r="AR88" i="254"/>
  <c r="AQ88" i="254"/>
  <c r="AO88" i="254"/>
  <c r="AN88" i="254"/>
  <c r="AK88" i="254"/>
  <c r="AJ88" i="254"/>
  <c r="AI88" i="254"/>
  <c r="AH88" i="254"/>
  <c r="X88" i="254"/>
  <c r="R88" i="254"/>
  <c r="Q88" i="254"/>
  <c r="P88" i="254"/>
  <c r="O88" i="254"/>
  <c r="N88" i="254"/>
  <c r="AT87" i="254"/>
  <c r="AS87" i="254"/>
  <c r="AR87" i="254"/>
  <c r="AQ87" i="254"/>
  <c r="AO87" i="254"/>
  <c r="AN87" i="254"/>
  <c r="AM87" i="254"/>
  <c r="AL87" i="254"/>
  <c r="AK87" i="254"/>
  <c r="AJ87" i="254"/>
  <c r="AI87" i="254"/>
  <c r="AH87" i="254"/>
  <c r="X87" i="254"/>
  <c r="U87" i="254"/>
  <c r="R87" i="254"/>
  <c r="Q87" i="254"/>
  <c r="P87" i="254"/>
  <c r="O87" i="254"/>
  <c r="N87" i="254"/>
  <c r="E30" i="283" s="1"/>
  <c r="I87" i="254"/>
  <c r="H87" i="254"/>
  <c r="G87" i="254"/>
  <c r="F87" i="254"/>
  <c r="E87" i="254"/>
  <c r="D87" i="254"/>
  <c r="C87" i="254"/>
  <c r="B87" i="254"/>
  <c r="A87" i="254"/>
  <c r="AT86" i="254"/>
  <c r="AS86" i="254"/>
  <c r="AR86" i="254"/>
  <c r="AQ86" i="254"/>
  <c r="AO86" i="254"/>
  <c r="AN86" i="254"/>
  <c r="AM86" i="254"/>
  <c r="AL86" i="254"/>
  <c r="AK86" i="254"/>
  <c r="AJ86" i="254"/>
  <c r="AI86" i="254"/>
  <c r="AH86" i="254"/>
  <c r="X86" i="254"/>
  <c r="U86" i="254"/>
  <c r="R86" i="254"/>
  <c r="Q86" i="254"/>
  <c r="P86" i="254"/>
  <c r="O86" i="254"/>
  <c r="N86" i="254"/>
  <c r="B43" i="289" s="1"/>
  <c r="I86" i="254"/>
  <c r="H86" i="254"/>
  <c r="G86" i="254"/>
  <c r="F86" i="254"/>
  <c r="E86" i="254"/>
  <c r="D86" i="254"/>
  <c r="C86" i="254"/>
  <c r="B86" i="254"/>
  <c r="A86" i="254"/>
  <c r="AT85" i="254"/>
  <c r="AS85" i="254"/>
  <c r="AR85" i="254"/>
  <c r="AQ85" i="254"/>
  <c r="AO85" i="254"/>
  <c r="AN85" i="254"/>
  <c r="AM85" i="254"/>
  <c r="AL85" i="254"/>
  <c r="AK85" i="254"/>
  <c r="AJ85" i="254"/>
  <c r="AI85" i="254"/>
  <c r="AH85" i="254"/>
  <c r="X85" i="254"/>
  <c r="U85" i="254"/>
  <c r="R85" i="254"/>
  <c r="Q85" i="254"/>
  <c r="P85" i="254"/>
  <c r="O85" i="254"/>
  <c r="N85" i="254"/>
  <c r="B17" i="288" s="1"/>
  <c r="I85" i="254"/>
  <c r="H85" i="254"/>
  <c r="G85" i="254"/>
  <c r="F85" i="254"/>
  <c r="E85" i="254"/>
  <c r="D85" i="254"/>
  <c r="C85" i="254"/>
  <c r="B85" i="254"/>
  <c r="A85" i="254"/>
  <c r="AT84" i="254"/>
  <c r="AS84" i="254"/>
  <c r="AR84" i="254"/>
  <c r="AQ84" i="254"/>
  <c r="AO84" i="254"/>
  <c r="AN84" i="254"/>
  <c r="AM84" i="254"/>
  <c r="AL84" i="254"/>
  <c r="AK84" i="254"/>
  <c r="AJ84" i="254"/>
  <c r="AI84" i="254"/>
  <c r="AH84" i="254"/>
  <c r="X84" i="254"/>
  <c r="U84" i="254"/>
  <c r="R84" i="254"/>
  <c r="Q84" i="254"/>
  <c r="P84" i="254"/>
  <c r="O84" i="254"/>
  <c r="N84" i="254"/>
  <c r="B42" i="289" s="1"/>
  <c r="I84" i="254"/>
  <c r="H84" i="254"/>
  <c r="G84" i="254"/>
  <c r="F84" i="254"/>
  <c r="E84" i="254"/>
  <c r="D84" i="254"/>
  <c r="C84" i="254"/>
  <c r="B84" i="254"/>
  <c r="A84" i="254"/>
  <c r="AT83" i="254"/>
  <c r="AS83" i="254"/>
  <c r="AR83" i="254"/>
  <c r="AQ83" i="254"/>
  <c r="AO83" i="254"/>
  <c r="AN83" i="254"/>
  <c r="AM83" i="254"/>
  <c r="AL83" i="254"/>
  <c r="AK83" i="254"/>
  <c r="AJ83" i="254"/>
  <c r="AI83" i="254"/>
  <c r="AH83" i="254"/>
  <c r="X83" i="254"/>
  <c r="U83" i="254"/>
  <c r="R83" i="254"/>
  <c r="Q83" i="254"/>
  <c r="P83" i="254"/>
  <c r="O83" i="254"/>
  <c r="N83" i="254"/>
  <c r="B16" i="288" s="1"/>
  <c r="I83" i="254"/>
  <c r="H83" i="254"/>
  <c r="G83" i="254"/>
  <c r="F83" i="254"/>
  <c r="E83" i="254"/>
  <c r="D83" i="254"/>
  <c r="C83" i="254"/>
  <c r="B83" i="254"/>
  <c r="A83" i="254"/>
  <c r="AT82" i="254"/>
  <c r="AS82" i="254"/>
  <c r="AR82" i="254"/>
  <c r="AQ82" i="254"/>
  <c r="AO82" i="254"/>
  <c r="AN82" i="254"/>
  <c r="AM82" i="254"/>
  <c r="AL82" i="254"/>
  <c r="AK82" i="254"/>
  <c r="AJ82" i="254"/>
  <c r="AI82" i="254"/>
  <c r="AH82" i="254"/>
  <c r="X82" i="254"/>
  <c r="R82" i="254"/>
  <c r="Q82" i="254"/>
  <c r="P82" i="254"/>
  <c r="O82" i="254"/>
  <c r="N82" i="254"/>
  <c r="B41" i="289" s="1"/>
  <c r="AT81" i="254"/>
  <c r="AS81" i="254"/>
  <c r="AR81" i="254"/>
  <c r="AQ81" i="254"/>
  <c r="AO81" i="254"/>
  <c r="AN81" i="254"/>
  <c r="AM81" i="254"/>
  <c r="AL81" i="254"/>
  <c r="AK81" i="254"/>
  <c r="AJ81" i="254"/>
  <c r="AI81" i="254"/>
  <c r="AH81" i="254"/>
  <c r="X81" i="254"/>
  <c r="W81" i="254"/>
  <c r="R81" i="254"/>
  <c r="Q81" i="254"/>
  <c r="P81" i="254"/>
  <c r="O81" i="254"/>
  <c r="N81" i="254"/>
  <c r="E28" i="283" s="1"/>
  <c r="AT80" i="254"/>
  <c r="AS80" i="254"/>
  <c r="AR80" i="254"/>
  <c r="AQ80" i="254"/>
  <c r="Y80" i="254"/>
  <c r="K13" i="291" s="1"/>
  <c r="D13" i="291" s="1"/>
  <c r="M80" i="254"/>
  <c r="D27" i="283" s="1"/>
  <c r="AT79" i="254"/>
  <c r="AS79" i="254"/>
  <c r="AR79" i="254"/>
  <c r="AQ79" i="254"/>
  <c r="AO79" i="254"/>
  <c r="AN79" i="254"/>
  <c r="AM79" i="254"/>
  <c r="AL79" i="254"/>
  <c r="AK79" i="254"/>
  <c r="AJ79" i="254"/>
  <c r="X79" i="254"/>
  <c r="U79" i="254"/>
  <c r="R79" i="254"/>
  <c r="Q79" i="254"/>
  <c r="P79" i="254"/>
  <c r="O79" i="254"/>
  <c r="N79" i="254"/>
  <c r="I79" i="254"/>
  <c r="H79" i="254"/>
  <c r="G79" i="254"/>
  <c r="F79" i="254"/>
  <c r="E79" i="254"/>
  <c r="D79" i="254"/>
  <c r="C79" i="254"/>
  <c r="B79" i="254"/>
  <c r="A79" i="254"/>
  <c r="AT78" i="254"/>
  <c r="AS78" i="254"/>
  <c r="AR78" i="254"/>
  <c r="AQ78" i="254"/>
  <c r="AO78" i="254"/>
  <c r="AN78" i="254"/>
  <c r="AM78" i="254"/>
  <c r="AL78" i="254"/>
  <c r="AK78" i="254"/>
  <c r="AJ78" i="254"/>
  <c r="AI78" i="254"/>
  <c r="AH78" i="254"/>
  <c r="X78" i="254"/>
  <c r="U78" i="254"/>
  <c r="R78" i="254"/>
  <c r="Q78" i="254"/>
  <c r="P78" i="254"/>
  <c r="O78" i="254"/>
  <c r="N78" i="254"/>
  <c r="I78" i="254"/>
  <c r="H78" i="254"/>
  <c r="G78" i="254"/>
  <c r="F78" i="254"/>
  <c r="E78" i="254"/>
  <c r="D78" i="254"/>
  <c r="C78" i="254"/>
  <c r="B78" i="254"/>
  <c r="A78" i="254"/>
  <c r="AT77" i="254"/>
  <c r="AS77" i="254"/>
  <c r="AR77" i="254"/>
  <c r="AQ77" i="254"/>
  <c r="AO77" i="254"/>
  <c r="AN77" i="254"/>
  <c r="AM77" i="254"/>
  <c r="AL77" i="254"/>
  <c r="AK77" i="254"/>
  <c r="AJ77" i="254"/>
  <c r="AI77" i="254"/>
  <c r="AI76" i="254" s="1"/>
  <c r="AH77" i="254"/>
  <c r="AH76" i="254" s="1"/>
  <c r="X77" i="254"/>
  <c r="X76" i="254" s="1"/>
  <c r="V77" i="254"/>
  <c r="U77" i="254"/>
  <c r="R77" i="254"/>
  <c r="Q77" i="254"/>
  <c r="Q76" i="254" s="1"/>
  <c r="M21" i="291" s="1"/>
  <c r="E21" i="291" s="1"/>
  <c r="P77" i="254"/>
  <c r="O77" i="254"/>
  <c r="N77" i="254"/>
  <c r="I77" i="254"/>
  <c r="H77" i="254"/>
  <c r="G77" i="254"/>
  <c r="F77" i="254"/>
  <c r="E77" i="254"/>
  <c r="D77" i="254"/>
  <c r="C77" i="254"/>
  <c r="B77" i="254"/>
  <c r="A77" i="254"/>
  <c r="AT76" i="254"/>
  <c r="AS76" i="254"/>
  <c r="AR76" i="254"/>
  <c r="AQ76" i="254"/>
  <c r="Y76" i="254"/>
  <c r="K21" i="291" s="1"/>
  <c r="D21" i="291" s="1"/>
  <c r="W76" i="254"/>
  <c r="M76" i="254"/>
  <c r="D16" i="275" s="1"/>
  <c r="AT75" i="254"/>
  <c r="AS75" i="254"/>
  <c r="AR75" i="254"/>
  <c r="AQ75" i="254"/>
  <c r="AH75" i="254"/>
  <c r="AT74" i="254"/>
  <c r="AS74" i="254"/>
  <c r="AR74" i="254"/>
  <c r="AQ74" i="254"/>
  <c r="AO74" i="254"/>
  <c r="AN74" i="254"/>
  <c r="AM74" i="254"/>
  <c r="AL74" i="254"/>
  <c r="AK74" i="254"/>
  <c r="AJ74" i="254"/>
  <c r="AI74" i="254"/>
  <c r="AH74" i="254"/>
  <c r="X74" i="254"/>
  <c r="U74" i="254"/>
  <c r="R74" i="254"/>
  <c r="Q74" i="254"/>
  <c r="P74" i="254"/>
  <c r="O74" i="254"/>
  <c r="N74" i="254"/>
  <c r="I74" i="254"/>
  <c r="H74" i="254"/>
  <c r="G74" i="254"/>
  <c r="F74" i="254"/>
  <c r="E74" i="254"/>
  <c r="D74" i="254"/>
  <c r="C74" i="254"/>
  <c r="B74" i="254"/>
  <c r="A74" i="254"/>
  <c r="AT73" i="254"/>
  <c r="AS73" i="254"/>
  <c r="AR73" i="254"/>
  <c r="AQ73" i="254"/>
  <c r="AO73" i="254"/>
  <c r="AN73" i="254"/>
  <c r="AM73" i="254"/>
  <c r="AL73" i="254"/>
  <c r="AK73" i="254"/>
  <c r="AJ73" i="254"/>
  <c r="AI73" i="254"/>
  <c r="AH73" i="254"/>
  <c r="X73" i="254"/>
  <c r="V73" i="254"/>
  <c r="U73" i="254"/>
  <c r="R73" i="254"/>
  <c r="Q73" i="254"/>
  <c r="P73" i="254"/>
  <c r="O73" i="254"/>
  <c r="N73" i="254"/>
  <c r="I73" i="254"/>
  <c r="H73" i="254"/>
  <c r="G73" i="254"/>
  <c r="F73" i="254"/>
  <c r="E73" i="254"/>
  <c r="D73" i="254"/>
  <c r="C73" i="254"/>
  <c r="B73" i="254"/>
  <c r="A73" i="254"/>
  <c r="AT72" i="254"/>
  <c r="AS72" i="254"/>
  <c r="AR72" i="254"/>
  <c r="AQ72" i="254"/>
  <c r="AO72" i="254"/>
  <c r="AN72" i="254"/>
  <c r="AM72" i="254"/>
  <c r="AL72" i="254"/>
  <c r="AK72" i="254"/>
  <c r="AJ72" i="254"/>
  <c r="AI72" i="254"/>
  <c r="AH72" i="254"/>
  <c r="X72" i="254"/>
  <c r="U72" i="254"/>
  <c r="R72" i="254"/>
  <c r="Q72" i="254"/>
  <c r="P72" i="254"/>
  <c r="O72" i="254"/>
  <c r="N72" i="254"/>
  <c r="I72" i="254"/>
  <c r="H72" i="254"/>
  <c r="G72" i="254"/>
  <c r="F72" i="254"/>
  <c r="E72" i="254"/>
  <c r="D72" i="254"/>
  <c r="C72" i="254"/>
  <c r="B72" i="254"/>
  <c r="A72" i="254"/>
  <c r="AT71" i="254"/>
  <c r="AS71" i="254"/>
  <c r="AR71" i="254"/>
  <c r="AQ71" i="254"/>
  <c r="AO71" i="254"/>
  <c r="AN71" i="254"/>
  <c r="AM71" i="254"/>
  <c r="AL71" i="254"/>
  <c r="AK71" i="254"/>
  <c r="AJ71" i="254"/>
  <c r="AI71" i="254"/>
  <c r="AH71" i="254"/>
  <c r="X71" i="254"/>
  <c r="U71" i="254"/>
  <c r="R71" i="254"/>
  <c r="Q71" i="254"/>
  <c r="P71" i="254"/>
  <c r="O71" i="254"/>
  <c r="N71" i="254"/>
  <c r="I71" i="254"/>
  <c r="H71" i="254"/>
  <c r="G71" i="254"/>
  <c r="F71" i="254"/>
  <c r="E71" i="254"/>
  <c r="D71" i="254"/>
  <c r="C71" i="254"/>
  <c r="B71" i="254"/>
  <c r="A71" i="254"/>
  <c r="AT70" i="254"/>
  <c r="AS70" i="254"/>
  <c r="AR70" i="254"/>
  <c r="AQ70" i="254"/>
  <c r="AO70" i="254"/>
  <c r="AN70" i="254"/>
  <c r="AM70" i="254"/>
  <c r="AL70" i="254"/>
  <c r="AK70" i="254"/>
  <c r="AJ70" i="254"/>
  <c r="AI70" i="254"/>
  <c r="AH70" i="254"/>
  <c r="X70" i="254"/>
  <c r="U70" i="254"/>
  <c r="R70" i="254"/>
  <c r="Q70" i="254"/>
  <c r="P70" i="254"/>
  <c r="O70" i="254"/>
  <c r="N70" i="254"/>
  <c r="I70" i="254"/>
  <c r="H70" i="254"/>
  <c r="G70" i="254"/>
  <c r="F70" i="254"/>
  <c r="E70" i="254"/>
  <c r="D70" i="254"/>
  <c r="C70" i="254"/>
  <c r="B70" i="254"/>
  <c r="A70" i="254"/>
  <c r="AT69" i="254"/>
  <c r="AS69" i="254"/>
  <c r="AR69" i="254"/>
  <c r="AQ69" i="254"/>
  <c r="AO69" i="254"/>
  <c r="AN69" i="254"/>
  <c r="AM69" i="254"/>
  <c r="AL69" i="254"/>
  <c r="AK69" i="254"/>
  <c r="AJ69" i="254"/>
  <c r="AI69" i="254"/>
  <c r="AI65" i="254" s="1"/>
  <c r="AH69" i="254"/>
  <c r="X69" i="254"/>
  <c r="U69" i="254"/>
  <c r="R69" i="254"/>
  <c r="Q69" i="254"/>
  <c r="P69" i="254"/>
  <c r="O69" i="254"/>
  <c r="N69" i="254"/>
  <c r="I69" i="254"/>
  <c r="H69" i="254"/>
  <c r="G69" i="254"/>
  <c r="F69" i="254"/>
  <c r="E69" i="254"/>
  <c r="D69" i="254"/>
  <c r="C69" i="254"/>
  <c r="B69" i="254"/>
  <c r="A69" i="254"/>
  <c r="AT68" i="254"/>
  <c r="AS68" i="254"/>
  <c r="AR68" i="254"/>
  <c r="AQ68" i="254"/>
  <c r="AO68" i="254"/>
  <c r="AN68" i="254"/>
  <c r="AK68" i="254"/>
  <c r="AJ68" i="254"/>
  <c r="AI68" i="254"/>
  <c r="AH68" i="254"/>
  <c r="AT67" i="254"/>
  <c r="AS67" i="254"/>
  <c r="AR67" i="254"/>
  <c r="AQ67" i="254"/>
  <c r="AO67" i="254"/>
  <c r="AN67" i="254"/>
  <c r="AM67" i="254"/>
  <c r="AL67" i="254"/>
  <c r="AK67" i="254"/>
  <c r="AJ67" i="254"/>
  <c r="AI67" i="254"/>
  <c r="AH67" i="254"/>
  <c r="X67" i="254"/>
  <c r="V67" i="254"/>
  <c r="U67" i="254"/>
  <c r="R67" i="254"/>
  <c r="Q67" i="254"/>
  <c r="P67" i="254"/>
  <c r="O67" i="254"/>
  <c r="N67" i="254"/>
  <c r="I67" i="254"/>
  <c r="H67" i="254"/>
  <c r="G67" i="254"/>
  <c r="F67" i="254"/>
  <c r="E67" i="254"/>
  <c r="D67" i="254"/>
  <c r="C67" i="254"/>
  <c r="B67" i="254"/>
  <c r="A67" i="254"/>
  <c r="AT66" i="254"/>
  <c r="AS66" i="254"/>
  <c r="AR66" i="254"/>
  <c r="AQ66" i="254"/>
  <c r="AO66" i="254"/>
  <c r="AN66" i="254"/>
  <c r="AM66" i="254"/>
  <c r="AL66" i="254"/>
  <c r="AK66" i="254"/>
  <c r="AJ66" i="254"/>
  <c r="AI66" i="254"/>
  <c r="AH66" i="254"/>
  <c r="X66" i="254"/>
  <c r="V66" i="254"/>
  <c r="U66" i="254"/>
  <c r="R66" i="254"/>
  <c r="R65" i="254" s="1"/>
  <c r="Q66" i="254"/>
  <c r="P66" i="254"/>
  <c r="O66" i="254"/>
  <c r="N66" i="254"/>
  <c r="E13" i="280" s="1"/>
  <c r="I66" i="254"/>
  <c r="H66" i="254"/>
  <c r="G66" i="254"/>
  <c r="F66" i="254"/>
  <c r="E66" i="254"/>
  <c r="D66" i="254"/>
  <c r="C66" i="254"/>
  <c r="B66" i="254"/>
  <c r="A66" i="254"/>
  <c r="AT65" i="254"/>
  <c r="AS65" i="254"/>
  <c r="AR65" i="254"/>
  <c r="AQ65" i="254"/>
  <c r="Y65" i="254"/>
  <c r="K12" i="291" s="1"/>
  <c r="D12" i="291" s="1"/>
  <c r="W65" i="254"/>
  <c r="M65" i="254"/>
  <c r="AT64" i="254"/>
  <c r="AS64" i="254"/>
  <c r="AR64" i="254"/>
  <c r="AQ64" i="254"/>
  <c r="Y64" i="254"/>
  <c r="AT63" i="254"/>
  <c r="AS63" i="254"/>
  <c r="AR63" i="254"/>
  <c r="AQ63" i="254"/>
  <c r="AO63" i="254"/>
  <c r="AN63" i="254"/>
  <c r="AM63" i="254"/>
  <c r="AL63" i="254"/>
  <c r="AK63" i="254"/>
  <c r="AJ63" i="254"/>
  <c r="AI63" i="254"/>
  <c r="AH63" i="254"/>
  <c r="AH62" i="254" s="1"/>
  <c r="X63" i="254"/>
  <c r="R63" i="254"/>
  <c r="R62" i="254" s="1"/>
  <c r="Q63" i="254"/>
  <c r="Q62" i="254" s="1"/>
  <c r="M28" i="291" s="1"/>
  <c r="E28" i="291" s="1"/>
  <c r="P63" i="254"/>
  <c r="O63" i="254"/>
  <c r="O62" i="254" s="1"/>
  <c r="N63" i="254"/>
  <c r="AT62" i="254"/>
  <c r="AS62" i="254"/>
  <c r="AR62" i="254"/>
  <c r="AQ62" i="254"/>
  <c r="Y62" i="254"/>
  <c r="K28" i="291" s="1"/>
  <c r="D28" i="291" s="1"/>
  <c r="V62" i="254"/>
  <c r="P62" i="254"/>
  <c r="AT61" i="254"/>
  <c r="AS61" i="254"/>
  <c r="AR61" i="254"/>
  <c r="AQ61" i="254"/>
  <c r="AO61" i="254"/>
  <c r="AN61" i="254"/>
  <c r="AM61" i="254"/>
  <c r="AL61" i="254"/>
  <c r="AK61" i="254"/>
  <c r="AJ61" i="254"/>
  <c r="AI61" i="254"/>
  <c r="AH61" i="254"/>
  <c r="X61" i="254"/>
  <c r="U61" i="254"/>
  <c r="R61" i="254"/>
  <c r="P61" i="254"/>
  <c r="O61" i="254"/>
  <c r="N61" i="254"/>
  <c r="B19" i="288" s="1"/>
  <c r="I61" i="254"/>
  <c r="H61" i="254"/>
  <c r="G61" i="254"/>
  <c r="F61" i="254"/>
  <c r="E61" i="254"/>
  <c r="D61" i="254"/>
  <c r="C61" i="254"/>
  <c r="B61" i="254"/>
  <c r="A61" i="254"/>
  <c r="AT60" i="254"/>
  <c r="AS60" i="254"/>
  <c r="AR60" i="254"/>
  <c r="AQ60" i="254"/>
  <c r="AO60" i="254"/>
  <c r="AN60" i="254"/>
  <c r="AM60" i="254"/>
  <c r="AL60" i="254"/>
  <c r="AK60" i="254"/>
  <c r="AJ60" i="254"/>
  <c r="AI60" i="254"/>
  <c r="AH60" i="254"/>
  <c r="X60" i="254"/>
  <c r="U60" i="254"/>
  <c r="R60" i="254"/>
  <c r="P60" i="254"/>
  <c r="O60" i="254"/>
  <c r="N60" i="254"/>
  <c r="B8" i="286" s="1"/>
  <c r="I60" i="254"/>
  <c r="H60" i="254"/>
  <c r="G60" i="254"/>
  <c r="F60" i="254"/>
  <c r="E60" i="254"/>
  <c r="D60" i="254"/>
  <c r="C60" i="254"/>
  <c r="B60" i="254"/>
  <c r="A60" i="254"/>
  <c r="AT59" i="254"/>
  <c r="AS59" i="254"/>
  <c r="AR59" i="254"/>
  <c r="AQ59" i="254"/>
  <c r="AO59" i="254"/>
  <c r="AN59" i="254"/>
  <c r="AM59" i="254"/>
  <c r="AL59" i="254"/>
  <c r="AK59" i="254"/>
  <c r="AJ59" i="254"/>
  <c r="AI59" i="254"/>
  <c r="AH59" i="254"/>
  <c r="X59" i="254"/>
  <c r="V59" i="254"/>
  <c r="N59" i="254"/>
  <c r="AT58" i="254"/>
  <c r="AS58" i="254"/>
  <c r="AR58" i="254"/>
  <c r="AQ58" i="254"/>
  <c r="AO58" i="254"/>
  <c r="AN58" i="254"/>
  <c r="AM58" i="254"/>
  <c r="AL58" i="254"/>
  <c r="AK58" i="254"/>
  <c r="AJ58" i="254"/>
  <c r="AI58" i="254"/>
  <c r="AH58" i="254"/>
  <c r="X58" i="254"/>
  <c r="V58" i="254"/>
  <c r="U58" i="254"/>
  <c r="R58" i="254"/>
  <c r="R57" i="254" s="1"/>
  <c r="P58" i="254"/>
  <c r="O58" i="254"/>
  <c r="N58" i="254"/>
  <c r="I58" i="254"/>
  <c r="H58" i="254"/>
  <c r="G58" i="254"/>
  <c r="F58" i="254"/>
  <c r="E58" i="254"/>
  <c r="D58" i="254"/>
  <c r="C58" i="254"/>
  <c r="B58" i="254"/>
  <c r="A58" i="254"/>
  <c r="AT57" i="254"/>
  <c r="AS57" i="254"/>
  <c r="AR57" i="254"/>
  <c r="AQ57" i="254"/>
  <c r="Y57" i="254"/>
  <c r="K11" i="291" s="1"/>
  <c r="D11" i="291" s="1"/>
  <c r="W57" i="254"/>
  <c r="M57" i="254"/>
  <c r="D17" i="277" s="1"/>
  <c r="L57" i="254"/>
  <c r="C17" i="277" s="1"/>
  <c r="AT56" i="254"/>
  <c r="AS56" i="254"/>
  <c r="AR56" i="254"/>
  <c r="AQ56" i="254"/>
  <c r="AO56" i="254"/>
  <c r="AN56" i="254"/>
  <c r="AM56" i="254"/>
  <c r="AL56" i="254"/>
  <c r="AK56" i="254"/>
  <c r="AJ56" i="254"/>
  <c r="AI56" i="254"/>
  <c r="AH56" i="254"/>
  <c r="X56" i="254"/>
  <c r="V56" i="254"/>
  <c r="U56" i="254"/>
  <c r="R56" i="254"/>
  <c r="P56" i="254"/>
  <c r="O56" i="254"/>
  <c r="N56" i="254"/>
  <c r="I56" i="254"/>
  <c r="H56" i="254"/>
  <c r="G56" i="254"/>
  <c r="F56" i="254"/>
  <c r="E56" i="254"/>
  <c r="D56" i="254"/>
  <c r="C56" i="254"/>
  <c r="B56" i="254"/>
  <c r="A56" i="254"/>
  <c r="AT55" i="254"/>
  <c r="AS55" i="254"/>
  <c r="AR55" i="254"/>
  <c r="AQ55" i="254"/>
  <c r="AO55" i="254"/>
  <c r="AN55" i="254"/>
  <c r="AM55" i="254"/>
  <c r="AL55" i="254"/>
  <c r="AK55" i="254"/>
  <c r="AJ55" i="254"/>
  <c r="AI55" i="254"/>
  <c r="AH55" i="254"/>
  <c r="X55" i="254"/>
  <c r="U55" i="254"/>
  <c r="R55" i="254"/>
  <c r="P55" i="254"/>
  <c r="O55" i="254"/>
  <c r="N55" i="254"/>
  <c r="I55" i="254"/>
  <c r="H55" i="254"/>
  <c r="G55" i="254"/>
  <c r="F55" i="254"/>
  <c r="E55" i="254"/>
  <c r="D55" i="254"/>
  <c r="C55" i="254"/>
  <c r="B55" i="254"/>
  <c r="A55" i="254"/>
  <c r="AT54" i="254"/>
  <c r="AS54" i="254"/>
  <c r="AR54" i="254"/>
  <c r="AQ54" i="254"/>
  <c r="AH54" i="254"/>
  <c r="Y54" i="254"/>
  <c r="K26" i="291" s="1"/>
  <c r="D26" i="291" s="1"/>
  <c r="W54" i="254"/>
  <c r="M54" i="254"/>
  <c r="D18" i="279" s="1"/>
  <c r="L54" i="254"/>
  <c r="AT53" i="254"/>
  <c r="AS53" i="254"/>
  <c r="AR53" i="254"/>
  <c r="AQ53" i="254"/>
  <c r="AO53" i="254"/>
  <c r="AN53" i="254"/>
  <c r="AM53" i="254"/>
  <c r="AL53" i="254"/>
  <c r="AK53" i="254"/>
  <c r="AJ53" i="254"/>
  <c r="AI53" i="254"/>
  <c r="AH53" i="254"/>
  <c r="X53" i="254"/>
  <c r="U53" i="254"/>
  <c r="P53" i="254"/>
  <c r="O53" i="254"/>
  <c r="N53" i="254"/>
  <c r="I53" i="254"/>
  <c r="H53" i="254"/>
  <c r="G53" i="254"/>
  <c r="F53" i="254"/>
  <c r="E53" i="254"/>
  <c r="D53" i="254"/>
  <c r="C53" i="254"/>
  <c r="B53" i="254"/>
  <c r="A53" i="254"/>
  <c r="AT52" i="254"/>
  <c r="AS52" i="254"/>
  <c r="AR52" i="254"/>
  <c r="AQ52" i="254"/>
  <c r="AO52" i="254"/>
  <c r="AN52" i="254"/>
  <c r="AM52" i="254"/>
  <c r="AL52" i="254"/>
  <c r="AK52" i="254"/>
  <c r="AJ52" i="254"/>
  <c r="AI52" i="254"/>
  <c r="AH52" i="254"/>
  <c r="X52" i="254"/>
  <c r="U52" i="254"/>
  <c r="P52" i="254"/>
  <c r="O52" i="254"/>
  <c r="B8" i="287"/>
  <c r="I52" i="254"/>
  <c r="H52" i="254"/>
  <c r="G52" i="254"/>
  <c r="F52" i="254"/>
  <c r="E52" i="254"/>
  <c r="D52" i="254"/>
  <c r="C52" i="254"/>
  <c r="B52" i="254"/>
  <c r="A52" i="254"/>
  <c r="AT51" i="254"/>
  <c r="AS51" i="254"/>
  <c r="AR51" i="254"/>
  <c r="AQ51" i="254"/>
  <c r="AN51" i="254"/>
  <c r="AK51" i="254"/>
  <c r="AJ51" i="254"/>
  <c r="AI51" i="254"/>
  <c r="AH51" i="254"/>
  <c r="X51" i="254"/>
  <c r="V51" i="254"/>
  <c r="U51" i="254"/>
  <c r="I51" i="254"/>
  <c r="H51" i="254"/>
  <c r="G51" i="254"/>
  <c r="F51" i="254"/>
  <c r="E51" i="254"/>
  <c r="D51" i="254"/>
  <c r="C51" i="254"/>
  <c r="B51" i="254"/>
  <c r="A51" i="254"/>
  <c r="AT50" i="254"/>
  <c r="AS50" i="254"/>
  <c r="AR50" i="254"/>
  <c r="AQ50" i="254"/>
  <c r="AN50" i="254"/>
  <c r="AK50" i="254"/>
  <c r="AJ50" i="254"/>
  <c r="AI50" i="254"/>
  <c r="AH50" i="254"/>
  <c r="X50" i="254"/>
  <c r="V50" i="254"/>
  <c r="U50" i="254"/>
  <c r="I50" i="254"/>
  <c r="H50" i="254"/>
  <c r="G50" i="254"/>
  <c r="F50" i="254"/>
  <c r="E50" i="254"/>
  <c r="D50" i="254"/>
  <c r="C50" i="254"/>
  <c r="B50" i="254"/>
  <c r="A50" i="254"/>
  <c r="AT49" i="254"/>
  <c r="AS49" i="254"/>
  <c r="AR49" i="254"/>
  <c r="AQ49" i="254"/>
  <c r="AN49" i="254"/>
  <c r="AK49" i="254"/>
  <c r="AJ49" i="254"/>
  <c r="AI49" i="254"/>
  <c r="AH49" i="254"/>
  <c r="AT48" i="254"/>
  <c r="AS48" i="254"/>
  <c r="AR48" i="254"/>
  <c r="AQ48" i="254"/>
  <c r="AO48" i="254"/>
  <c r="AN48" i="254"/>
  <c r="AM48" i="254"/>
  <c r="AL48" i="254"/>
  <c r="AK48" i="254"/>
  <c r="AJ48" i="254"/>
  <c r="AI48" i="254"/>
  <c r="AH48" i="254"/>
  <c r="X48" i="254"/>
  <c r="V48" i="254"/>
  <c r="U48" i="254"/>
  <c r="O48" i="254"/>
  <c r="N48" i="254"/>
  <c r="I48" i="254"/>
  <c r="H48" i="254"/>
  <c r="G48" i="254"/>
  <c r="F48" i="254"/>
  <c r="E48" i="254"/>
  <c r="D48" i="254"/>
  <c r="C48" i="254"/>
  <c r="B48" i="254"/>
  <c r="A48" i="254"/>
  <c r="AT47" i="254"/>
  <c r="AS47" i="254"/>
  <c r="AR47" i="254"/>
  <c r="AQ47" i="254"/>
  <c r="AO47" i="254"/>
  <c r="AN47" i="254"/>
  <c r="AM47" i="254"/>
  <c r="AL47" i="254"/>
  <c r="AK47" i="254"/>
  <c r="AJ47" i="254"/>
  <c r="AI47" i="254"/>
  <c r="AH47" i="254"/>
  <c r="X47" i="254"/>
  <c r="V47" i="254"/>
  <c r="U47" i="254"/>
  <c r="P47" i="254"/>
  <c r="O47" i="254"/>
  <c r="N47" i="254"/>
  <c r="I47" i="254"/>
  <c r="H47" i="254"/>
  <c r="G47" i="254"/>
  <c r="F47" i="254"/>
  <c r="E47" i="254"/>
  <c r="D47" i="254"/>
  <c r="C47" i="254"/>
  <c r="B47" i="254"/>
  <c r="A47" i="254"/>
  <c r="AT45" i="254"/>
  <c r="AS45" i="254"/>
  <c r="AR45" i="254"/>
  <c r="AQ45" i="254"/>
  <c r="AO45" i="254"/>
  <c r="AN45" i="254"/>
  <c r="AM45" i="254"/>
  <c r="AL45" i="254"/>
  <c r="AK45" i="254"/>
  <c r="AJ45" i="254"/>
  <c r="AI45" i="254"/>
  <c r="AH45" i="254"/>
  <c r="X45" i="254"/>
  <c r="U45" i="254"/>
  <c r="P45" i="254"/>
  <c r="O45" i="254"/>
  <c r="N45" i="254"/>
  <c r="B12" i="287" s="1"/>
  <c r="I45" i="254"/>
  <c r="H45" i="254"/>
  <c r="G45" i="254"/>
  <c r="F45" i="254"/>
  <c r="E45" i="254"/>
  <c r="D45" i="254"/>
  <c r="C45" i="254"/>
  <c r="B45" i="254"/>
  <c r="A45" i="254"/>
  <c r="AT44" i="254"/>
  <c r="AS44" i="254"/>
  <c r="AR44" i="254"/>
  <c r="AQ44" i="254"/>
  <c r="AO44" i="254"/>
  <c r="AN44" i="254"/>
  <c r="AK44" i="254"/>
  <c r="AJ44" i="254"/>
  <c r="AI44" i="254"/>
  <c r="AH44" i="254"/>
  <c r="AH42" i="254" s="1"/>
  <c r="X44" i="254"/>
  <c r="V44" i="254"/>
  <c r="U44" i="254"/>
  <c r="AT43" i="254"/>
  <c r="AS43" i="254"/>
  <c r="AR43" i="254"/>
  <c r="AQ43" i="254"/>
  <c r="AO43" i="254"/>
  <c r="AN43" i="254"/>
  <c r="AM43" i="254"/>
  <c r="AL43" i="254"/>
  <c r="AK43" i="254"/>
  <c r="AJ43" i="254"/>
  <c r="AI43" i="254"/>
  <c r="AH43" i="254"/>
  <c r="X43" i="254"/>
  <c r="V43" i="254"/>
  <c r="U43" i="254"/>
  <c r="R43" i="254"/>
  <c r="R42" i="254" s="1"/>
  <c r="P43" i="254"/>
  <c r="O43" i="254"/>
  <c r="N43" i="254"/>
  <c r="AT42" i="254"/>
  <c r="AS42" i="254"/>
  <c r="AR42" i="254"/>
  <c r="AQ42" i="254"/>
  <c r="K10" i="291"/>
  <c r="D10" i="291" s="1"/>
  <c r="W42" i="254"/>
  <c r="M42" i="254"/>
  <c r="L42" i="254"/>
  <c r="AT41" i="254"/>
  <c r="AS41" i="254"/>
  <c r="AR41" i="254"/>
  <c r="AQ41" i="254"/>
  <c r="AO41" i="254"/>
  <c r="AN41" i="254"/>
  <c r="AM41" i="254"/>
  <c r="AL41" i="254"/>
  <c r="AK41" i="254"/>
  <c r="AJ41" i="254"/>
  <c r="AH41" i="254"/>
  <c r="X41" i="254"/>
  <c r="V41" i="254"/>
  <c r="U41" i="254"/>
  <c r="R41" i="254"/>
  <c r="Q41" i="254"/>
  <c r="N41" i="254"/>
  <c r="B24" i="289" s="1"/>
  <c r="AT40" i="254"/>
  <c r="AS40" i="254"/>
  <c r="AR40" i="254"/>
  <c r="AQ40" i="254"/>
  <c r="AT39" i="254"/>
  <c r="AS39" i="254"/>
  <c r="AR39" i="254"/>
  <c r="AQ39" i="254"/>
  <c r="AO39" i="254"/>
  <c r="AN39" i="254"/>
  <c r="AM39" i="254"/>
  <c r="AL39" i="254"/>
  <c r="AK39" i="254"/>
  <c r="AJ39" i="254"/>
  <c r="AI39" i="254"/>
  <c r="AH39" i="254"/>
  <c r="X39" i="254"/>
  <c r="V39" i="254"/>
  <c r="U39" i="254"/>
  <c r="R39" i="254"/>
  <c r="Q39" i="254"/>
  <c r="P39" i="254"/>
  <c r="O39" i="254"/>
  <c r="N39" i="254"/>
  <c r="I39" i="254"/>
  <c r="H39" i="254"/>
  <c r="G39" i="254"/>
  <c r="F39" i="254"/>
  <c r="E39" i="254"/>
  <c r="D39" i="254"/>
  <c r="C39" i="254"/>
  <c r="B39" i="254"/>
  <c r="A39" i="254"/>
  <c r="AT38" i="254"/>
  <c r="AS38" i="254"/>
  <c r="AR38" i="254"/>
  <c r="AQ38" i="254"/>
  <c r="AO38" i="254"/>
  <c r="AN38" i="254"/>
  <c r="AM38" i="254"/>
  <c r="AL38" i="254"/>
  <c r="AK38" i="254"/>
  <c r="AJ38" i="254"/>
  <c r="AI38" i="254"/>
  <c r="AH38" i="254"/>
  <c r="X38" i="254"/>
  <c r="V38" i="254"/>
  <c r="U38" i="254"/>
  <c r="R38" i="254"/>
  <c r="Q38" i="254"/>
  <c r="P38" i="254"/>
  <c r="O38" i="254"/>
  <c r="N38" i="254"/>
  <c r="I38" i="254"/>
  <c r="H38" i="254"/>
  <c r="G38" i="254"/>
  <c r="F38" i="254"/>
  <c r="E38" i="254"/>
  <c r="D38" i="254"/>
  <c r="C38" i="254"/>
  <c r="B38" i="254"/>
  <c r="A38" i="254"/>
  <c r="AT37" i="254"/>
  <c r="AS37" i="254"/>
  <c r="AR37" i="254"/>
  <c r="AQ37" i="254"/>
  <c r="AO37" i="254"/>
  <c r="AN37" i="254"/>
  <c r="AM37" i="254"/>
  <c r="AL37" i="254"/>
  <c r="AK37" i="254"/>
  <c r="AJ37" i="254"/>
  <c r="AI37" i="254"/>
  <c r="AH37" i="254"/>
  <c r="X37" i="254"/>
  <c r="V37" i="254"/>
  <c r="U37" i="254"/>
  <c r="R37" i="254"/>
  <c r="Q37" i="254"/>
  <c r="P37" i="254"/>
  <c r="O37" i="254"/>
  <c r="N37" i="254"/>
  <c r="I37" i="254"/>
  <c r="H37" i="254"/>
  <c r="G37" i="254"/>
  <c r="F37" i="254"/>
  <c r="E37" i="254"/>
  <c r="D37" i="254"/>
  <c r="C37" i="254"/>
  <c r="B37" i="254"/>
  <c r="A37" i="254"/>
  <c r="AT36" i="254"/>
  <c r="AS36" i="254"/>
  <c r="AR36" i="254"/>
  <c r="AQ36" i="254"/>
  <c r="AO36" i="254"/>
  <c r="AN36" i="254"/>
  <c r="AM36" i="254"/>
  <c r="AL36" i="254"/>
  <c r="AK36" i="254"/>
  <c r="AJ36" i="254"/>
  <c r="AI36" i="254"/>
  <c r="X36" i="254"/>
  <c r="U36" i="254"/>
  <c r="R36" i="254"/>
  <c r="Q36" i="254"/>
  <c r="P36" i="254"/>
  <c r="O36" i="254"/>
  <c r="N36" i="254"/>
  <c r="I36" i="254"/>
  <c r="H36" i="254"/>
  <c r="G36" i="254"/>
  <c r="F36" i="254"/>
  <c r="E36" i="254"/>
  <c r="D36" i="254"/>
  <c r="C36" i="254"/>
  <c r="B36" i="254"/>
  <c r="A36" i="254"/>
  <c r="AT35" i="254"/>
  <c r="AS35" i="254"/>
  <c r="AR35" i="254"/>
  <c r="AQ35" i="254"/>
  <c r="AO35" i="254"/>
  <c r="AN35" i="254"/>
  <c r="AM35" i="254"/>
  <c r="AL35" i="254"/>
  <c r="AK35" i="254"/>
  <c r="AJ35" i="254"/>
  <c r="AI35" i="254"/>
  <c r="AH35" i="254"/>
  <c r="X35" i="254"/>
  <c r="V35" i="254"/>
  <c r="U35" i="254"/>
  <c r="R35" i="254"/>
  <c r="Q35" i="254"/>
  <c r="P35" i="254"/>
  <c r="O35" i="254"/>
  <c r="N35" i="254"/>
  <c r="B9" i="288" s="1"/>
  <c r="I35" i="254"/>
  <c r="H35" i="254"/>
  <c r="G35" i="254"/>
  <c r="F35" i="254"/>
  <c r="E35" i="254"/>
  <c r="D35" i="254"/>
  <c r="C35" i="254"/>
  <c r="B35" i="254"/>
  <c r="A35" i="254"/>
  <c r="AT34" i="254"/>
  <c r="AS34" i="254"/>
  <c r="AR34" i="254"/>
  <c r="AQ34" i="254"/>
  <c r="AO34" i="254"/>
  <c r="AN34" i="254"/>
  <c r="AM34" i="254"/>
  <c r="AL34" i="254"/>
  <c r="AK34" i="254"/>
  <c r="AJ34" i="254"/>
  <c r="AI34" i="254"/>
  <c r="AH34" i="254"/>
  <c r="X34" i="254"/>
  <c r="V34" i="254"/>
  <c r="U34" i="254"/>
  <c r="R34" i="254"/>
  <c r="Q34" i="254"/>
  <c r="P34" i="254"/>
  <c r="O34" i="254"/>
  <c r="N34" i="254"/>
  <c r="I34" i="254"/>
  <c r="H34" i="254"/>
  <c r="G34" i="254"/>
  <c r="F34" i="254"/>
  <c r="E34" i="254"/>
  <c r="D34" i="254"/>
  <c r="C34" i="254"/>
  <c r="B34" i="254"/>
  <c r="A34" i="254"/>
  <c r="AT33" i="254"/>
  <c r="AS33" i="254"/>
  <c r="AR33" i="254"/>
  <c r="AQ33" i="254"/>
  <c r="AO33" i="254"/>
  <c r="AN33" i="254"/>
  <c r="AM33" i="254"/>
  <c r="AL33" i="254"/>
  <c r="AK33" i="254"/>
  <c r="AJ33" i="254"/>
  <c r="AI33" i="254"/>
  <c r="AH33" i="254"/>
  <c r="X33" i="254"/>
  <c r="V33" i="254"/>
  <c r="U33" i="254"/>
  <c r="R33" i="254"/>
  <c r="Q33" i="254"/>
  <c r="P33" i="254"/>
  <c r="O33" i="254"/>
  <c r="N33" i="254"/>
  <c r="I33" i="254"/>
  <c r="H33" i="254"/>
  <c r="G33" i="254"/>
  <c r="F33" i="254"/>
  <c r="E33" i="254"/>
  <c r="D33" i="254"/>
  <c r="C33" i="254"/>
  <c r="B33" i="254"/>
  <c r="A33" i="254"/>
  <c r="AT32" i="254"/>
  <c r="AS32" i="254"/>
  <c r="AR32" i="254"/>
  <c r="AQ32" i="254"/>
  <c r="AO32" i="254"/>
  <c r="AN32" i="254"/>
  <c r="AM32" i="254"/>
  <c r="AL32" i="254"/>
  <c r="AK32" i="254"/>
  <c r="AJ32" i="254"/>
  <c r="AI32" i="254"/>
  <c r="AH32" i="254"/>
  <c r="X32" i="254"/>
  <c r="V32" i="254"/>
  <c r="U32" i="254"/>
  <c r="R32" i="254"/>
  <c r="Q32" i="254"/>
  <c r="P32" i="254"/>
  <c r="O32" i="254"/>
  <c r="N32" i="254"/>
  <c r="B6" i="287" s="1"/>
  <c r="I32" i="254"/>
  <c r="H32" i="254"/>
  <c r="G32" i="254"/>
  <c r="F32" i="254"/>
  <c r="E32" i="254"/>
  <c r="D32" i="254"/>
  <c r="C32" i="254"/>
  <c r="B32" i="254"/>
  <c r="A32" i="254"/>
  <c r="AT31" i="254"/>
  <c r="AS31" i="254"/>
  <c r="AR31" i="254"/>
  <c r="AQ31" i="254"/>
  <c r="AT30" i="254"/>
  <c r="AS30" i="254"/>
  <c r="AR30" i="254"/>
  <c r="AQ30" i="254"/>
  <c r="AO30" i="254"/>
  <c r="AN30" i="254"/>
  <c r="AM30" i="254"/>
  <c r="AL30" i="254"/>
  <c r="AK30" i="254"/>
  <c r="AJ30" i="254"/>
  <c r="AI30" i="254"/>
  <c r="AH30" i="254"/>
  <c r="X30" i="254"/>
  <c r="V30" i="254"/>
  <c r="U30" i="254"/>
  <c r="R30" i="254"/>
  <c r="Q30" i="254"/>
  <c r="P30" i="254"/>
  <c r="O30" i="254"/>
  <c r="N30" i="254"/>
  <c r="I30" i="254"/>
  <c r="H30" i="254"/>
  <c r="G30" i="254"/>
  <c r="F30" i="254"/>
  <c r="E30" i="254"/>
  <c r="D30" i="254"/>
  <c r="C30" i="254"/>
  <c r="B30" i="254"/>
  <c r="A30" i="254"/>
  <c r="AT29" i="254"/>
  <c r="AS29" i="254"/>
  <c r="AR29" i="254"/>
  <c r="AQ29" i="254"/>
  <c r="Y29" i="254"/>
  <c r="K19" i="291" s="1"/>
  <c r="D19" i="291" s="1"/>
  <c r="W29" i="254"/>
  <c r="M29" i="254"/>
  <c r="L29" i="254"/>
  <c r="AT28" i="254"/>
  <c r="AS28" i="254"/>
  <c r="AR28" i="254"/>
  <c r="AQ28" i="254"/>
  <c r="AO28" i="254"/>
  <c r="AN28" i="254"/>
  <c r="AM28" i="254"/>
  <c r="AL28" i="254"/>
  <c r="AK28" i="254"/>
  <c r="AJ28" i="254"/>
  <c r="AI28" i="254"/>
  <c r="AH28" i="254"/>
  <c r="X28" i="254"/>
  <c r="U28" i="254"/>
  <c r="R28" i="254"/>
  <c r="Q28" i="254"/>
  <c r="P28" i="254"/>
  <c r="O28" i="254"/>
  <c r="N28" i="254"/>
  <c r="I28" i="254"/>
  <c r="H28" i="254"/>
  <c r="G28" i="254"/>
  <c r="F28" i="254"/>
  <c r="E28" i="254"/>
  <c r="D28" i="254"/>
  <c r="C28" i="254"/>
  <c r="B28" i="254"/>
  <c r="A28" i="254"/>
  <c r="AT27" i="254"/>
  <c r="AS27" i="254"/>
  <c r="AR27" i="254"/>
  <c r="AQ27" i="254"/>
  <c r="AO27" i="254"/>
  <c r="AN27" i="254"/>
  <c r="AM27" i="254"/>
  <c r="AL27" i="254"/>
  <c r="AK27" i="254"/>
  <c r="AJ27" i="254"/>
  <c r="AI27" i="254"/>
  <c r="AH27" i="254"/>
  <c r="X27" i="254"/>
  <c r="V27" i="254"/>
  <c r="U27" i="254"/>
  <c r="R27" i="254"/>
  <c r="Q27" i="254"/>
  <c r="P27" i="254"/>
  <c r="O27" i="254"/>
  <c r="N27" i="254"/>
  <c r="I27" i="254"/>
  <c r="H27" i="254"/>
  <c r="G27" i="254"/>
  <c r="F27" i="254"/>
  <c r="E27" i="254"/>
  <c r="D27" i="254"/>
  <c r="C27" i="254"/>
  <c r="B27" i="254"/>
  <c r="A27" i="254"/>
  <c r="AT26" i="254"/>
  <c r="AS26" i="254"/>
  <c r="AR26" i="254"/>
  <c r="AQ26" i="254"/>
  <c r="AO26" i="254"/>
  <c r="AN26" i="254"/>
  <c r="AM26" i="254"/>
  <c r="AL26" i="254"/>
  <c r="AK26" i="254"/>
  <c r="AJ26" i="254"/>
  <c r="AI26" i="254"/>
  <c r="AH26" i="254"/>
  <c r="X26" i="254"/>
  <c r="V26" i="254"/>
  <c r="U26" i="254"/>
  <c r="R26" i="254"/>
  <c r="Q26" i="254"/>
  <c r="P26" i="254"/>
  <c r="O26" i="254"/>
  <c r="N26" i="254"/>
  <c r="I26" i="254"/>
  <c r="H26" i="254"/>
  <c r="G26" i="254"/>
  <c r="F26" i="254"/>
  <c r="E26" i="254"/>
  <c r="D26" i="254"/>
  <c r="C26" i="254"/>
  <c r="B26" i="254"/>
  <c r="A26" i="254"/>
  <c r="AT25" i="254"/>
  <c r="AS25" i="254"/>
  <c r="AR25" i="254"/>
  <c r="AQ25" i="254"/>
  <c r="AT24" i="254"/>
  <c r="AS24" i="254"/>
  <c r="AR24" i="254"/>
  <c r="AQ24" i="254"/>
  <c r="AO24" i="254"/>
  <c r="AN24" i="254"/>
  <c r="AM24" i="254"/>
  <c r="AL24" i="254"/>
  <c r="AK24" i="254"/>
  <c r="AJ24" i="254"/>
  <c r="AI24" i="254"/>
  <c r="AH24" i="254"/>
  <c r="X24" i="254"/>
  <c r="V24" i="254"/>
  <c r="U24" i="254"/>
  <c r="R24" i="254"/>
  <c r="Q24" i="254"/>
  <c r="P24" i="254"/>
  <c r="O24" i="254"/>
  <c r="N24" i="254"/>
  <c r="I24" i="254"/>
  <c r="H24" i="254"/>
  <c r="G24" i="254"/>
  <c r="F24" i="254"/>
  <c r="E24" i="254"/>
  <c r="D24" i="254"/>
  <c r="C24" i="254"/>
  <c r="B24" i="254"/>
  <c r="A24" i="254"/>
  <c r="AT23" i="254"/>
  <c r="AS23" i="254"/>
  <c r="AR23" i="254"/>
  <c r="AQ23" i="254"/>
  <c r="AO23" i="254"/>
  <c r="AN23" i="254"/>
  <c r="AM23" i="254"/>
  <c r="AL23" i="254"/>
  <c r="AK23" i="254"/>
  <c r="AJ23" i="254"/>
  <c r="AI23" i="254"/>
  <c r="AH23" i="254"/>
  <c r="X23" i="254"/>
  <c r="V23" i="254"/>
  <c r="U23" i="254"/>
  <c r="R23" i="254"/>
  <c r="Q23" i="254"/>
  <c r="P23" i="254"/>
  <c r="O23" i="254"/>
  <c r="N23" i="254"/>
  <c r="I23" i="254"/>
  <c r="H23" i="254"/>
  <c r="G23" i="254"/>
  <c r="F23" i="254"/>
  <c r="E23" i="254"/>
  <c r="D23" i="254"/>
  <c r="C23" i="254"/>
  <c r="B23" i="254"/>
  <c r="A23" i="254"/>
  <c r="AT22" i="254"/>
  <c r="AS22" i="254"/>
  <c r="AR22" i="254"/>
  <c r="AQ22" i="254"/>
  <c r="AO22" i="254"/>
  <c r="AN22" i="254"/>
  <c r="AM22" i="254"/>
  <c r="AL22" i="254"/>
  <c r="AK22" i="254"/>
  <c r="AJ22" i="254"/>
  <c r="AI22" i="254"/>
  <c r="AH22" i="254"/>
  <c r="X22" i="254"/>
  <c r="V22" i="254"/>
  <c r="U22" i="254"/>
  <c r="R22" i="254"/>
  <c r="Q22" i="254"/>
  <c r="P22" i="254"/>
  <c r="O22" i="254"/>
  <c r="N22" i="254"/>
  <c r="I22" i="254"/>
  <c r="H22" i="254"/>
  <c r="G22" i="254"/>
  <c r="F22" i="254"/>
  <c r="E22" i="254"/>
  <c r="D22" i="254"/>
  <c r="C22" i="254"/>
  <c r="B22" i="254"/>
  <c r="A22" i="254"/>
  <c r="AT21" i="254"/>
  <c r="AS21" i="254"/>
  <c r="AR21" i="254"/>
  <c r="AQ21" i="254"/>
  <c r="AO21" i="254"/>
  <c r="AN21" i="254"/>
  <c r="AM21" i="254"/>
  <c r="AL21" i="254"/>
  <c r="AK21" i="254"/>
  <c r="AJ21" i="254"/>
  <c r="AI21" i="254"/>
  <c r="AH21" i="254"/>
  <c r="X21" i="254"/>
  <c r="U21" i="254"/>
  <c r="R21" i="254"/>
  <c r="Q21" i="254"/>
  <c r="P21" i="254"/>
  <c r="P20" i="254" s="1"/>
  <c r="O21" i="254"/>
  <c r="N21" i="254"/>
  <c r="B13" i="289" s="1"/>
  <c r="AT20" i="254"/>
  <c r="AS20" i="254"/>
  <c r="AR20" i="254"/>
  <c r="AQ20" i="254"/>
  <c r="Y20" i="254"/>
  <c r="K15" i="291" s="1"/>
  <c r="D15" i="291" s="1"/>
  <c r="W20" i="254"/>
  <c r="M20" i="254"/>
  <c r="L20" i="254"/>
  <c r="AT19" i="254"/>
  <c r="AS19" i="254"/>
  <c r="AR19" i="254"/>
  <c r="AQ19" i="254"/>
  <c r="AO19" i="254"/>
  <c r="AN19" i="254"/>
  <c r="AM19" i="254"/>
  <c r="AL19" i="254"/>
  <c r="AK19" i="254"/>
  <c r="AJ19" i="254"/>
  <c r="AI19" i="254"/>
  <c r="AH19" i="254"/>
  <c r="X19" i="254"/>
  <c r="V19" i="254"/>
  <c r="U19" i="254"/>
  <c r="R19" i="254"/>
  <c r="P19" i="254"/>
  <c r="O19" i="254"/>
  <c r="N19" i="254"/>
  <c r="I19" i="254"/>
  <c r="H19" i="254"/>
  <c r="G19" i="254"/>
  <c r="F19" i="254"/>
  <c r="E19" i="254"/>
  <c r="D19" i="254"/>
  <c r="C19" i="254"/>
  <c r="B19" i="254"/>
  <c r="A19" i="254"/>
  <c r="AT18" i="254"/>
  <c r="AS18" i="254"/>
  <c r="AR18" i="254"/>
  <c r="AO18" i="254"/>
  <c r="AN18" i="254"/>
  <c r="AM18" i="254"/>
  <c r="AL18" i="254"/>
  <c r="AK18" i="254"/>
  <c r="AJ18" i="254"/>
  <c r="AI18" i="254"/>
  <c r="AH18" i="254"/>
  <c r="X18" i="254"/>
  <c r="V18" i="254"/>
  <c r="U18" i="254"/>
  <c r="R18" i="254"/>
  <c r="P18" i="254"/>
  <c r="O18" i="254"/>
  <c r="N18" i="254"/>
  <c r="I18" i="254"/>
  <c r="H18" i="254"/>
  <c r="G18" i="254"/>
  <c r="F18" i="254"/>
  <c r="E18" i="254"/>
  <c r="D18" i="254"/>
  <c r="C18" i="254"/>
  <c r="B18" i="254"/>
  <c r="A18" i="254"/>
  <c r="AT17" i="254"/>
  <c r="AS17" i="254"/>
  <c r="AR17" i="254"/>
  <c r="AQ17" i="254"/>
  <c r="AO17" i="254"/>
  <c r="AN17" i="254"/>
  <c r="AM17" i="254"/>
  <c r="AL17" i="254"/>
  <c r="AK17" i="254"/>
  <c r="AJ17" i="254"/>
  <c r="AI17" i="254"/>
  <c r="AH17" i="254"/>
  <c r="X17" i="254"/>
  <c r="V17" i="254"/>
  <c r="U17" i="254"/>
  <c r="R17" i="254"/>
  <c r="Q17" i="254"/>
  <c r="P17" i="254"/>
  <c r="O17" i="254"/>
  <c r="N17" i="254"/>
  <c r="B10" i="289" s="1"/>
  <c r="I17" i="254"/>
  <c r="H17" i="254"/>
  <c r="G17" i="254"/>
  <c r="F17" i="254"/>
  <c r="E17" i="254"/>
  <c r="D17" i="254"/>
  <c r="C17" i="254"/>
  <c r="B17" i="254"/>
  <c r="A17" i="254"/>
  <c r="AT16" i="254"/>
  <c r="AS16" i="254"/>
  <c r="AR16" i="254"/>
  <c r="AQ16" i="254"/>
  <c r="AO16" i="254"/>
  <c r="AN16" i="254"/>
  <c r="AM16" i="254"/>
  <c r="AL16" i="254"/>
  <c r="AK16" i="254"/>
  <c r="AJ16" i="254"/>
  <c r="AI16" i="254"/>
  <c r="AH16" i="254"/>
  <c r="X16" i="254"/>
  <c r="V16" i="254"/>
  <c r="U16" i="254"/>
  <c r="R16" i="254"/>
  <c r="Q16" i="254"/>
  <c r="P16" i="254"/>
  <c r="O16" i="254"/>
  <c r="N16" i="254"/>
  <c r="B9" i="289" s="1"/>
  <c r="I16" i="254"/>
  <c r="H16" i="254"/>
  <c r="G16" i="254"/>
  <c r="F16" i="254"/>
  <c r="E16" i="254"/>
  <c r="D16" i="254"/>
  <c r="C16" i="254"/>
  <c r="B16" i="254"/>
  <c r="A16" i="254"/>
  <c r="AT15" i="254"/>
  <c r="AS15" i="254"/>
  <c r="AR15" i="254"/>
  <c r="AQ15" i="254"/>
  <c r="AO15" i="254"/>
  <c r="AN15" i="254"/>
  <c r="AM15" i="254"/>
  <c r="AL15" i="254"/>
  <c r="AK15" i="254"/>
  <c r="AJ15" i="254"/>
  <c r="AI15" i="254"/>
  <c r="AH15" i="254"/>
  <c r="X15" i="254"/>
  <c r="V15" i="254"/>
  <c r="U15" i="254"/>
  <c r="R15" i="254"/>
  <c r="Q15" i="254"/>
  <c r="P15" i="254"/>
  <c r="O15" i="254"/>
  <c r="N15" i="254"/>
  <c r="I15" i="254"/>
  <c r="H15" i="254"/>
  <c r="G15" i="254"/>
  <c r="F15" i="254"/>
  <c r="E15" i="254"/>
  <c r="D15" i="254"/>
  <c r="C15" i="254"/>
  <c r="B15" i="254"/>
  <c r="A15" i="254"/>
  <c r="AT14" i="254"/>
  <c r="AS14" i="254"/>
  <c r="AR14" i="254"/>
  <c r="AQ14" i="254"/>
  <c r="K16" i="291"/>
  <c r="D16" i="291" s="1"/>
  <c r="W14" i="254"/>
  <c r="M14" i="254"/>
  <c r="L14" i="254"/>
  <c r="AT13" i="254"/>
  <c r="AS13" i="254"/>
  <c r="AR13" i="254"/>
  <c r="AQ13" i="254"/>
  <c r="AJ13" i="254"/>
  <c r="AI13" i="254"/>
  <c r="AH13" i="254"/>
  <c r="X13" i="254"/>
  <c r="U13" i="254"/>
  <c r="I13" i="254"/>
  <c r="H13" i="254"/>
  <c r="G13" i="254"/>
  <c r="F13" i="254"/>
  <c r="E13" i="254"/>
  <c r="D13" i="254"/>
  <c r="C13" i="254"/>
  <c r="B13" i="254"/>
  <c r="A13" i="254"/>
  <c r="AT12" i="254"/>
  <c r="AR12" i="254"/>
  <c r="AQ12" i="254"/>
  <c r="Y12" i="254"/>
  <c r="AT11" i="254"/>
  <c r="AS11" i="254"/>
  <c r="AR11" i="254"/>
  <c r="AQ11" i="254"/>
  <c r="AO11" i="254"/>
  <c r="AN11" i="254"/>
  <c r="AM11" i="254"/>
  <c r="AL11" i="254"/>
  <c r="AK11" i="254"/>
  <c r="AJ11" i="254"/>
  <c r="AI11" i="254"/>
  <c r="AH11" i="254"/>
  <c r="X11" i="254"/>
  <c r="U11" i="254"/>
  <c r="R11" i="254"/>
  <c r="Q11" i="254"/>
  <c r="P11" i="254"/>
  <c r="P10" i="254" s="1"/>
  <c r="O11" i="254"/>
  <c r="O10" i="254" s="1"/>
  <c r="N11" i="254"/>
  <c r="I11" i="254"/>
  <c r="H11" i="254"/>
  <c r="G11" i="254"/>
  <c r="F11" i="254"/>
  <c r="E11" i="254"/>
  <c r="D11" i="254"/>
  <c r="C11" i="254"/>
  <c r="B11" i="254"/>
  <c r="A11" i="254"/>
  <c r="W10" i="254"/>
  <c r="R10" i="254"/>
  <c r="M10" i="254"/>
  <c r="L10" i="254"/>
  <c r="L9" i="254"/>
  <c r="K9" i="254"/>
  <c r="K8" i="254"/>
  <c r="J8" i="254"/>
  <c r="Y3" i="254"/>
  <c r="AG239" i="272"/>
  <c r="AF239" i="272"/>
  <c r="AE239" i="272"/>
  <c r="AD239" i="272"/>
  <c r="AC239" i="272"/>
  <c r="AB239" i="272"/>
  <c r="AA239" i="272"/>
  <c r="Z239" i="272"/>
  <c r="Y239" i="272"/>
  <c r="X239" i="272"/>
  <c r="W239" i="272"/>
  <c r="W238" i="272" s="1"/>
  <c r="W237" i="272" s="1"/>
  <c r="S239" i="272"/>
  <c r="Y238" i="272"/>
  <c r="Y237" i="272" s="1"/>
  <c r="V238" i="272"/>
  <c r="V237" i="272" s="1"/>
  <c r="R238" i="272"/>
  <c r="R237" i="272" s="1"/>
  <c r="Q238" i="272"/>
  <c r="P238" i="272"/>
  <c r="S238" i="272" s="1"/>
  <c r="O238" i="272"/>
  <c r="M238" i="272"/>
  <c r="Q237" i="272"/>
  <c r="O237" i="272"/>
  <c r="L237" i="272"/>
  <c r="AF236" i="272"/>
  <c r="AE236" i="272"/>
  <c r="AD236" i="272"/>
  <c r="AC236" i="272"/>
  <c r="AB236" i="272"/>
  <c r="AA236" i="272"/>
  <c r="Z236" i="272"/>
  <c r="Y236" i="272"/>
  <c r="X236" i="272"/>
  <c r="W236" i="272"/>
  <c r="W235" i="272" s="1"/>
  <c r="W234" i="272" s="1"/>
  <c r="R236" i="272"/>
  <c r="R235" i="272" s="1"/>
  <c r="R234" i="272" s="1"/>
  <c r="Q236" i="272"/>
  <c r="P236" i="272"/>
  <c r="P235" i="272" s="1"/>
  <c r="O236" i="272"/>
  <c r="O235" i="272" s="1"/>
  <c r="O234" i="272" s="1"/>
  <c r="N236" i="272"/>
  <c r="Y235" i="272"/>
  <c r="Y234" i="272" s="1"/>
  <c r="V235" i="272"/>
  <c r="V234" i="272" s="1"/>
  <c r="M235" i="272"/>
  <c r="L234" i="272"/>
  <c r="AF233" i="272"/>
  <c r="AE233" i="272"/>
  <c r="AD233" i="272"/>
  <c r="AC233" i="272"/>
  <c r="AB233" i="272"/>
  <c r="AA233" i="272"/>
  <c r="Z233" i="272"/>
  <c r="Y233" i="272"/>
  <c r="Y232" i="272" s="1"/>
  <c r="Y231" i="272" s="1"/>
  <c r="X233" i="272"/>
  <c r="W233" i="272"/>
  <c r="V233" i="272"/>
  <c r="V232" i="272" s="1"/>
  <c r="V231" i="272" s="1"/>
  <c r="U233" i="272"/>
  <c r="R233" i="272"/>
  <c r="Q233" i="272"/>
  <c r="P233" i="272"/>
  <c r="O233" i="272"/>
  <c r="N233" i="272"/>
  <c r="I233" i="272"/>
  <c r="H233" i="272"/>
  <c r="G233" i="272"/>
  <c r="F233" i="272"/>
  <c r="E233" i="272"/>
  <c r="D233" i="272"/>
  <c r="C233" i="272"/>
  <c r="B233" i="272"/>
  <c r="A233" i="272"/>
  <c r="W232" i="272"/>
  <c r="W231" i="272" s="1"/>
  <c r="R232" i="272"/>
  <c r="Q232" i="272"/>
  <c r="P232" i="272"/>
  <c r="O232" i="272"/>
  <c r="O231" i="272" s="1"/>
  <c r="M232" i="272"/>
  <c r="L232" i="272"/>
  <c r="R231" i="272"/>
  <c r="Q231" i="272"/>
  <c r="P231" i="272"/>
  <c r="L231" i="272"/>
  <c r="AF230" i="272"/>
  <c r="AE230" i="272"/>
  <c r="AD230" i="272"/>
  <c r="AC230" i="272"/>
  <c r="AB230" i="272"/>
  <c r="AA230" i="272"/>
  <c r="Z230" i="272"/>
  <c r="Y230" i="272"/>
  <c r="X230" i="272"/>
  <c r="W230" i="272"/>
  <c r="W229" i="272" s="1"/>
  <c r="W228" i="272" s="1"/>
  <c r="V230" i="272"/>
  <c r="V229" i="272" s="1"/>
  <c r="V228" i="272" s="1"/>
  <c r="U230" i="272"/>
  <c r="R230" i="272"/>
  <c r="Q230" i="272"/>
  <c r="P230" i="272"/>
  <c r="O230" i="272"/>
  <c r="N230" i="272"/>
  <c r="I230" i="272"/>
  <c r="H230" i="272"/>
  <c r="G230" i="272"/>
  <c r="F230" i="272"/>
  <c r="E230" i="272"/>
  <c r="D230" i="272"/>
  <c r="C230" i="272"/>
  <c r="B230" i="272"/>
  <c r="A230" i="272"/>
  <c r="Y229" i="272"/>
  <c r="R229" i="272"/>
  <c r="Q229" i="272"/>
  <c r="P229" i="272"/>
  <c r="P228" i="272" s="1"/>
  <c r="O229" i="272"/>
  <c r="M229" i="272"/>
  <c r="L229" i="272"/>
  <c r="Y228" i="272"/>
  <c r="R228" i="272"/>
  <c r="Q228" i="272"/>
  <c r="O228" i="272"/>
  <c r="L228" i="272"/>
  <c r="AF227" i="272"/>
  <c r="AE227" i="272"/>
  <c r="AD227" i="272"/>
  <c r="AC227" i="272"/>
  <c r="AB227" i="272"/>
  <c r="AA227" i="272"/>
  <c r="Z227" i="272"/>
  <c r="Y227" i="272"/>
  <c r="X227" i="272"/>
  <c r="W227" i="272"/>
  <c r="R227" i="272"/>
  <c r="Q227" i="272"/>
  <c r="P227" i="272"/>
  <c r="O227" i="272"/>
  <c r="N227" i="272"/>
  <c r="AF226" i="272"/>
  <c r="AE226" i="272"/>
  <c r="AD226" i="272"/>
  <c r="AC226" i="272"/>
  <c r="AB226" i="272"/>
  <c r="AA226" i="272"/>
  <c r="Z226" i="272"/>
  <c r="Y226" i="272"/>
  <c r="X226" i="272"/>
  <c r="W226" i="272"/>
  <c r="R226" i="272"/>
  <c r="Q226" i="272"/>
  <c r="P226" i="272"/>
  <c r="O226" i="272"/>
  <c r="N226" i="272"/>
  <c r="AF225" i="272"/>
  <c r="AE225" i="272"/>
  <c r="AD225" i="272"/>
  <c r="AC225" i="272"/>
  <c r="AB225" i="272"/>
  <c r="AA225" i="272"/>
  <c r="Z225" i="272"/>
  <c r="Y225" i="272"/>
  <c r="Y223" i="272" s="1"/>
  <c r="X225" i="272"/>
  <c r="W225" i="272"/>
  <c r="R225" i="272"/>
  <c r="R223" i="272" s="1"/>
  <c r="R222" i="272" s="1"/>
  <c r="Q225" i="272"/>
  <c r="S225" i="272" s="1"/>
  <c r="P225" i="272"/>
  <c r="O225" i="272"/>
  <c r="N225" i="272"/>
  <c r="AF224" i="272"/>
  <c r="AE224" i="272"/>
  <c r="AD224" i="272"/>
  <c r="AC224" i="272"/>
  <c r="AB224" i="272"/>
  <c r="AA224" i="272"/>
  <c r="Z224" i="272"/>
  <c r="Y224" i="272"/>
  <c r="X224" i="272"/>
  <c r="W224" i="272"/>
  <c r="R224" i="272"/>
  <c r="Q224" i="272"/>
  <c r="P224" i="272"/>
  <c r="P223" i="272" s="1"/>
  <c r="O224" i="272"/>
  <c r="N224" i="272"/>
  <c r="W223" i="272"/>
  <c r="W222" i="272" s="1"/>
  <c r="V223" i="272"/>
  <c r="Y222" i="272"/>
  <c r="V222" i="272"/>
  <c r="P222" i="272"/>
  <c r="AF221" i="272"/>
  <c r="AE221" i="272"/>
  <c r="AD221" i="272"/>
  <c r="AC221" i="272"/>
  <c r="AB221" i="272"/>
  <c r="Z221" i="272"/>
  <c r="Y221" i="272"/>
  <c r="X221" i="272"/>
  <c r="W221" i="272"/>
  <c r="W220" i="272" s="1"/>
  <c r="W219" i="272" s="1"/>
  <c r="U221" i="272"/>
  <c r="R221" i="272"/>
  <c r="R220" i="272" s="1"/>
  <c r="Q221" i="272"/>
  <c r="S221" i="272" s="1"/>
  <c r="P221" i="272"/>
  <c r="O221" i="272"/>
  <c r="O220" i="272" s="1"/>
  <c r="O219" i="272" s="1"/>
  <c r="I221" i="272"/>
  <c r="H221" i="272"/>
  <c r="G221" i="272"/>
  <c r="F221" i="272"/>
  <c r="E221" i="272"/>
  <c r="D221" i="272"/>
  <c r="C221" i="272"/>
  <c r="B221" i="272"/>
  <c r="A221" i="272"/>
  <c r="Y220" i="272"/>
  <c r="Y219" i="272" s="1"/>
  <c r="V220" i="272"/>
  <c r="P220" i="272"/>
  <c r="P219" i="272" s="1"/>
  <c r="M220" i="272"/>
  <c r="L220" i="272"/>
  <c r="V219" i="272"/>
  <c r="R219" i="272"/>
  <c r="L219" i="272"/>
  <c r="AF218" i="272"/>
  <c r="AE218" i="272"/>
  <c r="AD218" i="272"/>
  <c r="AC218" i="272"/>
  <c r="AB218" i="272"/>
  <c r="AA218" i="272"/>
  <c r="Z218" i="272"/>
  <c r="Y218" i="272"/>
  <c r="X218" i="272"/>
  <c r="W218" i="272"/>
  <c r="W217" i="272" s="1"/>
  <c r="W216" i="272" s="1"/>
  <c r="V218" i="272"/>
  <c r="U218" i="272"/>
  <c r="R218" i="272"/>
  <c r="Q218" i="272"/>
  <c r="P218" i="272"/>
  <c r="O218" i="272"/>
  <c r="N218" i="272"/>
  <c r="I218" i="272"/>
  <c r="H218" i="272"/>
  <c r="G218" i="272"/>
  <c r="F218" i="272"/>
  <c r="E218" i="272"/>
  <c r="D218" i="272"/>
  <c r="C218" i="272"/>
  <c r="B218" i="272"/>
  <c r="A218" i="272"/>
  <c r="Y217" i="272"/>
  <c r="V217" i="272"/>
  <c r="R217" i="272"/>
  <c r="R216" i="272" s="1"/>
  <c r="Q217" i="272"/>
  <c r="P217" i="272"/>
  <c r="O217" i="272"/>
  <c r="O216" i="272" s="1"/>
  <c r="M217" i="272"/>
  <c r="L217" i="272"/>
  <c r="Y216" i="272"/>
  <c r="V216" i="272"/>
  <c r="U216" i="272"/>
  <c r="Q216" i="272"/>
  <c r="L216" i="272"/>
  <c r="AF215" i="272"/>
  <c r="AE215" i="272"/>
  <c r="AD215" i="272"/>
  <c r="AC215" i="272"/>
  <c r="AB215" i="272"/>
  <c r="AA215" i="272"/>
  <c r="Z215" i="272"/>
  <c r="Y215" i="272"/>
  <c r="X215" i="272"/>
  <c r="V215" i="272"/>
  <c r="V213" i="272" s="1"/>
  <c r="U215" i="272"/>
  <c r="R215" i="272"/>
  <c r="Q215" i="272"/>
  <c r="P215" i="272"/>
  <c r="O215" i="272"/>
  <c r="N215" i="272"/>
  <c r="I215" i="272"/>
  <c r="H215" i="272"/>
  <c r="G215" i="272"/>
  <c r="F215" i="272"/>
  <c r="E215" i="272"/>
  <c r="D215" i="272"/>
  <c r="C215" i="272"/>
  <c r="B215" i="272"/>
  <c r="A215" i="272"/>
  <c r="AF214" i="272"/>
  <c r="AE214" i="272"/>
  <c r="AD214" i="272"/>
  <c r="AC214" i="272"/>
  <c r="AB214" i="272"/>
  <c r="AA214" i="272"/>
  <c r="Z214" i="272"/>
  <c r="Y214" i="272"/>
  <c r="Y213" i="272" s="1"/>
  <c r="X214" i="272"/>
  <c r="V214" i="272"/>
  <c r="U214" i="272"/>
  <c r="R214" i="272"/>
  <c r="Q214" i="272"/>
  <c r="Q213" i="272" s="1"/>
  <c r="P214" i="272"/>
  <c r="O214" i="272"/>
  <c r="N214" i="272"/>
  <c r="I214" i="272"/>
  <c r="H214" i="272"/>
  <c r="G214" i="272"/>
  <c r="F214" i="272"/>
  <c r="E214" i="272"/>
  <c r="D214" i="272"/>
  <c r="C214" i="272"/>
  <c r="B214" i="272"/>
  <c r="A214" i="272"/>
  <c r="W213" i="272"/>
  <c r="R213" i="272"/>
  <c r="O213" i="272"/>
  <c r="M213" i="272"/>
  <c r="L213" i="272"/>
  <c r="AE212" i="272"/>
  <c r="AB212" i="272"/>
  <c r="AA212" i="272"/>
  <c r="Z212" i="272"/>
  <c r="Y212" i="272"/>
  <c r="X212" i="272"/>
  <c r="W212" i="272"/>
  <c r="W206" i="272" s="1"/>
  <c r="W205" i="272" s="1"/>
  <c r="U212" i="272"/>
  <c r="I212" i="272"/>
  <c r="H212" i="272"/>
  <c r="G212" i="272"/>
  <c r="F212" i="272"/>
  <c r="E212" i="272"/>
  <c r="D212" i="272"/>
  <c r="C212" i="272"/>
  <c r="B212" i="272"/>
  <c r="A212" i="272"/>
  <c r="AE211" i="272"/>
  <c r="AB211" i="272"/>
  <c r="AA211" i="272"/>
  <c r="Z211" i="272"/>
  <c r="Y211" i="272"/>
  <c r="X211" i="272"/>
  <c r="V211" i="272"/>
  <c r="U211" i="272"/>
  <c r="I211" i="272"/>
  <c r="H211" i="272"/>
  <c r="G211" i="272"/>
  <c r="F211" i="272"/>
  <c r="E211" i="272"/>
  <c r="D211" i="272"/>
  <c r="C211" i="272"/>
  <c r="B211" i="272"/>
  <c r="A211" i="272"/>
  <c r="AF210" i="272"/>
  <c r="AE210" i="272"/>
  <c r="AD210" i="272"/>
  <c r="AC210" i="272"/>
  <c r="AB210" i="272"/>
  <c r="AA210" i="272"/>
  <c r="Z210" i="272"/>
  <c r="Y210" i="272"/>
  <c r="X210" i="272"/>
  <c r="V210" i="272"/>
  <c r="U210" i="272"/>
  <c r="R210" i="272"/>
  <c r="Q210" i="272"/>
  <c r="AH210" i="272" s="1"/>
  <c r="P210" i="272"/>
  <c r="O210" i="272"/>
  <c r="N210" i="272"/>
  <c r="I210" i="272"/>
  <c r="H210" i="272"/>
  <c r="G210" i="272"/>
  <c r="F210" i="272"/>
  <c r="E210" i="272"/>
  <c r="D210" i="272"/>
  <c r="C210" i="272"/>
  <c r="B210" i="272"/>
  <c r="A210" i="272"/>
  <c r="AE209" i="272"/>
  <c r="AB209" i="272"/>
  <c r="AA209" i="272"/>
  <c r="Z209" i="272"/>
  <c r="Y209" i="272"/>
  <c r="X209" i="272"/>
  <c r="W209" i="272"/>
  <c r="U209" i="272"/>
  <c r="AE208" i="272"/>
  <c r="AB208" i="272"/>
  <c r="AA208" i="272"/>
  <c r="Z208" i="272"/>
  <c r="Y208" i="272"/>
  <c r="X208" i="272"/>
  <c r="V208" i="272"/>
  <c r="V206" i="272" s="1"/>
  <c r="U208" i="272"/>
  <c r="AF207" i="272"/>
  <c r="AE207" i="272"/>
  <c r="AD207" i="272"/>
  <c r="AC207" i="272"/>
  <c r="AB207" i="272"/>
  <c r="AA207" i="272"/>
  <c r="Z207" i="272"/>
  <c r="Y207" i="272"/>
  <c r="Y206" i="272" s="1"/>
  <c r="Y205" i="272" s="1"/>
  <c r="X207" i="272"/>
  <c r="V207" i="272"/>
  <c r="U207" i="272"/>
  <c r="R207" i="272"/>
  <c r="R206" i="272" s="1"/>
  <c r="R205" i="272" s="1"/>
  <c r="Q207" i="272"/>
  <c r="P207" i="272"/>
  <c r="O207" i="272"/>
  <c r="O206" i="272" s="1"/>
  <c r="O205" i="272" s="1"/>
  <c r="N207" i="272"/>
  <c r="P206" i="272"/>
  <c r="M206" i="272"/>
  <c r="L206" i="272"/>
  <c r="V205" i="272"/>
  <c r="L205" i="272"/>
  <c r="AF204" i="272"/>
  <c r="AE204" i="272"/>
  <c r="AD204" i="272"/>
  <c r="AC204" i="272"/>
  <c r="AB204" i="272"/>
  <c r="AA204" i="272"/>
  <c r="Z204" i="272"/>
  <c r="Y204" i="272"/>
  <c r="Y203" i="272" s="1"/>
  <c r="Y202" i="272" s="1"/>
  <c r="X204" i="272"/>
  <c r="V204" i="272"/>
  <c r="V203" i="272" s="1"/>
  <c r="V202" i="272" s="1"/>
  <c r="U204" i="272"/>
  <c r="R204" i="272"/>
  <c r="R203" i="272" s="1"/>
  <c r="R202" i="272" s="1"/>
  <c r="Q204" i="272"/>
  <c r="P204" i="272"/>
  <c r="O204" i="272"/>
  <c r="N204" i="272"/>
  <c r="I204" i="272"/>
  <c r="H204" i="272"/>
  <c r="G204" i="272"/>
  <c r="F204" i="272"/>
  <c r="E204" i="272"/>
  <c r="D204" i="272"/>
  <c r="C204" i="272"/>
  <c r="B204" i="272"/>
  <c r="A204" i="272"/>
  <c r="W203" i="272"/>
  <c r="P203" i="272"/>
  <c r="P202" i="272" s="1"/>
  <c r="O203" i="272"/>
  <c r="M203" i="272"/>
  <c r="L203" i="272"/>
  <c r="Z202" i="272"/>
  <c r="X202" i="272"/>
  <c r="W202" i="272"/>
  <c r="O202" i="272"/>
  <c r="L202" i="272"/>
  <c r="AE201" i="272"/>
  <c r="AB201" i="272"/>
  <c r="AA201" i="272"/>
  <c r="Z201" i="272"/>
  <c r="Y201" i="272"/>
  <c r="Y198" i="272" s="1"/>
  <c r="X201" i="272"/>
  <c r="W201" i="272"/>
  <c r="W198" i="272" s="1"/>
  <c r="U201" i="272"/>
  <c r="I201" i="272"/>
  <c r="H201" i="272"/>
  <c r="G201" i="272"/>
  <c r="F201" i="272"/>
  <c r="E201" i="272"/>
  <c r="D201" i="272"/>
  <c r="C201" i="272"/>
  <c r="B201" i="272"/>
  <c r="A201" i="272"/>
  <c r="AE200" i="272"/>
  <c r="AB200" i="272"/>
  <c r="AA200" i="272"/>
  <c r="Z200" i="272"/>
  <c r="Y200" i="272"/>
  <c r="X200" i="272"/>
  <c r="V200" i="272"/>
  <c r="U200" i="272"/>
  <c r="I200" i="272"/>
  <c r="H200" i="272"/>
  <c r="G200" i="272"/>
  <c r="F200" i="272"/>
  <c r="E200" i="272"/>
  <c r="D200" i="272"/>
  <c r="C200" i="272"/>
  <c r="B200" i="272"/>
  <c r="A200" i="272"/>
  <c r="AF199" i="272"/>
  <c r="AE199" i="272"/>
  <c r="AD199" i="272"/>
  <c r="AC199" i="272"/>
  <c r="AB199" i="272"/>
  <c r="AA199" i="272"/>
  <c r="Z199" i="272"/>
  <c r="Y199" i="272"/>
  <c r="X199" i="272"/>
  <c r="V199" i="272"/>
  <c r="U199" i="272"/>
  <c r="R199" i="272"/>
  <c r="Q199" i="272"/>
  <c r="P199" i="272"/>
  <c r="S199" i="272" s="1"/>
  <c r="O199" i="272"/>
  <c r="O198" i="272" s="1"/>
  <c r="N199" i="272"/>
  <c r="I199" i="272"/>
  <c r="H199" i="272"/>
  <c r="G199" i="272"/>
  <c r="F199" i="272"/>
  <c r="E199" i="272"/>
  <c r="D199" i="272"/>
  <c r="C199" i="272"/>
  <c r="B199" i="272"/>
  <c r="A199" i="272"/>
  <c r="V198" i="272"/>
  <c r="R198" i="272"/>
  <c r="Q198" i="272"/>
  <c r="P198" i="272"/>
  <c r="S198" i="272" s="1"/>
  <c r="M198" i="272"/>
  <c r="L198" i="272"/>
  <c r="AF197" i="272"/>
  <c r="AE197" i="272"/>
  <c r="AD197" i="272"/>
  <c r="AC197" i="272"/>
  <c r="AB197" i="272"/>
  <c r="AA197" i="272"/>
  <c r="Z197" i="272"/>
  <c r="Y197" i="272"/>
  <c r="X197" i="272"/>
  <c r="W197" i="272"/>
  <c r="W196" i="272" s="1"/>
  <c r="V197" i="272"/>
  <c r="V196" i="272" s="1"/>
  <c r="U197" i="272"/>
  <c r="R197" i="272"/>
  <c r="Q197" i="272"/>
  <c r="S197" i="272" s="1"/>
  <c r="P197" i="272"/>
  <c r="O197" i="272"/>
  <c r="N197" i="272"/>
  <c r="I197" i="272"/>
  <c r="H197" i="272"/>
  <c r="G197" i="272"/>
  <c r="F197" i="272"/>
  <c r="E197" i="272"/>
  <c r="D197" i="272"/>
  <c r="C197" i="272"/>
  <c r="B197" i="272"/>
  <c r="A197" i="272"/>
  <c r="Y196" i="272"/>
  <c r="R196" i="272"/>
  <c r="Q196" i="272"/>
  <c r="S196" i="272" s="1"/>
  <c r="P196" i="272"/>
  <c r="O196" i="272"/>
  <c r="M196" i="272"/>
  <c r="L196" i="272"/>
  <c r="AF195" i="272"/>
  <c r="AE195" i="272"/>
  <c r="AD195" i="272"/>
  <c r="AC195" i="272"/>
  <c r="AB195" i="272"/>
  <c r="AA195" i="272"/>
  <c r="Z195" i="272"/>
  <c r="Y195" i="272"/>
  <c r="Y194" i="272" s="1"/>
  <c r="X195" i="272"/>
  <c r="W195" i="272"/>
  <c r="W194" i="272" s="1"/>
  <c r="V195" i="272"/>
  <c r="U195" i="272"/>
  <c r="R195" i="272"/>
  <c r="Q195" i="272"/>
  <c r="P195" i="272"/>
  <c r="S195" i="272" s="1"/>
  <c r="O195" i="272"/>
  <c r="O194" i="272" s="1"/>
  <c r="O191" i="272" s="1"/>
  <c r="N195" i="272"/>
  <c r="I195" i="272"/>
  <c r="H195" i="272"/>
  <c r="G195" i="272"/>
  <c r="F195" i="272"/>
  <c r="E195" i="272"/>
  <c r="D195" i="272"/>
  <c r="C195" i="272"/>
  <c r="B195" i="272"/>
  <c r="A195" i="272"/>
  <c r="V194" i="272"/>
  <c r="R194" i="272"/>
  <c r="Q194" i="272"/>
  <c r="P194" i="272"/>
  <c r="S194" i="272" s="1"/>
  <c r="M194" i="272"/>
  <c r="L194" i="272"/>
  <c r="AF193" i="272"/>
  <c r="AE193" i="272"/>
  <c r="AD193" i="272"/>
  <c r="AC193" i="272"/>
  <c r="AB193" i="272"/>
  <c r="AA193" i="272"/>
  <c r="Z193" i="272"/>
  <c r="Y193" i="272"/>
  <c r="X193" i="272"/>
  <c r="V193" i="272"/>
  <c r="V192" i="272" s="1"/>
  <c r="U193" i="272"/>
  <c r="R193" i="272"/>
  <c r="Q193" i="272"/>
  <c r="P193" i="272"/>
  <c r="O193" i="272"/>
  <c r="N193" i="272"/>
  <c r="I193" i="272"/>
  <c r="H193" i="272"/>
  <c r="G193" i="272"/>
  <c r="F193" i="272"/>
  <c r="E193" i="272"/>
  <c r="D193" i="272"/>
  <c r="C193" i="272"/>
  <c r="B193" i="272"/>
  <c r="A193" i="272"/>
  <c r="Y192" i="272"/>
  <c r="W192" i="272"/>
  <c r="R192" i="272"/>
  <c r="R191" i="272" s="1"/>
  <c r="Q192" i="272"/>
  <c r="O192" i="272"/>
  <c r="M192" i="272"/>
  <c r="L192" i="272"/>
  <c r="X191" i="272"/>
  <c r="L191" i="272"/>
  <c r="AF190" i="272"/>
  <c r="AE190" i="272"/>
  <c r="AD190" i="272"/>
  <c r="AC190" i="272"/>
  <c r="AB190" i="272"/>
  <c r="AA190" i="272"/>
  <c r="Z190" i="272"/>
  <c r="Y190" i="272"/>
  <c r="X190" i="272"/>
  <c r="V190" i="272"/>
  <c r="V189" i="272" s="1"/>
  <c r="V188" i="272" s="1"/>
  <c r="U190" i="272"/>
  <c r="R190" i="272"/>
  <c r="Q190" i="272"/>
  <c r="P190" i="272"/>
  <c r="S190" i="272" s="1"/>
  <c r="O190" i="272"/>
  <c r="O189" i="272" s="1"/>
  <c r="O188" i="272" s="1"/>
  <c r="N190" i="272"/>
  <c r="I190" i="272"/>
  <c r="H190" i="272"/>
  <c r="G190" i="272"/>
  <c r="F190" i="272"/>
  <c r="E190" i="272"/>
  <c r="D190" i="272"/>
  <c r="C190" i="272"/>
  <c r="B190" i="272"/>
  <c r="A190" i="272"/>
  <c r="Y189" i="272"/>
  <c r="W189" i="272"/>
  <c r="W188" i="272" s="1"/>
  <c r="R189" i="272"/>
  <c r="Q189" i="272"/>
  <c r="P189" i="272"/>
  <c r="M189" i="272"/>
  <c r="L189" i="272"/>
  <c r="Y188" i="272"/>
  <c r="R188" i="272"/>
  <c r="Q188" i="272"/>
  <c r="L188" i="272"/>
  <c r="AF187" i="272"/>
  <c r="AE187" i="272"/>
  <c r="AD187" i="272"/>
  <c r="AC187" i="272"/>
  <c r="AB187" i="272"/>
  <c r="AA187" i="272"/>
  <c r="Z187" i="272"/>
  <c r="Y187" i="272"/>
  <c r="X187" i="272"/>
  <c r="W187" i="272"/>
  <c r="R187" i="272"/>
  <c r="Q187" i="272"/>
  <c r="P187" i="272"/>
  <c r="S187" i="272" s="1"/>
  <c r="O187" i="272"/>
  <c r="N187" i="272"/>
  <c r="AF186" i="272"/>
  <c r="AE186" i="272"/>
  <c r="AD186" i="272"/>
  <c r="AC186" i="272"/>
  <c r="AB186" i="272"/>
  <c r="AA186" i="272"/>
  <c r="Z186" i="272"/>
  <c r="Y186" i="272"/>
  <c r="X186" i="272"/>
  <c r="V186" i="272"/>
  <c r="U186" i="272"/>
  <c r="R186" i="272"/>
  <c r="Q186" i="272"/>
  <c r="P186" i="272"/>
  <c r="O186" i="272"/>
  <c r="N186" i="272"/>
  <c r="I186" i="272"/>
  <c r="H186" i="272"/>
  <c r="G186" i="272"/>
  <c r="F186" i="272"/>
  <c r="E186" i="272"/>
  <c r="D186" i="272"/>
  <c r="C186" i="272"/>
  <c r="B186" i="272"/>
  <c r="A186" i="272"/>
  <c r="AF185" i="272"/>
  <c r="AE185" i="272"/>
  <c r="AD185" i="272"/>
  <c r="AC185" i="272"/>
  <c r="AB185" i="272"/>
  <c r="AA185" i="272"/>
  <c r="Z185" i="272"/>
  <c r="Y185" i="272"/>
  <c r="X185" i="272"/>
  <c r="V185" i="272"/>
  <c r="U185" i="272"/>
  <c r="R185" i="272"/>
  <c r="Q185" i="272"/>
  <c r="S185" i="272" s="1"/>
  <c r="P185" i="272"/>
  <c r="O185" i="272"/>
  <c r="N185" i="272"/>
  <c r="I185" i="272"/>
  <c r="H185" i="272"/>
  <c r="G185" i="272"/>
  <c r="F185" i="272"/>
  <c r="E185" i="272"/>
  <c r="D185" i="272"/>
  <c r="C185" i="272"/>
  <c r="B185" i="272"/>
  <c r="A185" i="272"/>
  <c r="AF184" i="272"/>
  <c r="AE184" i="272"/>
  <c r="AD184" i="272"/>
  <c r="AC184" i="272"/>
  <c r="AB184" i="272"/>
  <c r="AA184" i="272"/>
  <c r="Z184" i="272"/>
  <c r="Y184" i="272"/>
  <c r="X184" i="272"/>
  <c r="V184" i="272"/>
  <c r="U184" i="272"/>
  <c r="R184" i="272"/>
  <c r="Q184" i="272"/>
  <c r="P184" i="272"/>
  <c r="O184" i="272"/>
  <c r="N184" i="272"/>
  <c r="I184" i="272"/>
  <c r="H184" i="272"/>
  <c r="G184" i="272"/>
  <c r="F184" i="272"/>
  <c r="E184" i="272"/>
  <c r="D184" i="272"/>
  <c r="C184" i="272"/>
  <c r="B184" i="272"/>
  <c r="A184" i="272"/>
  <c r="AF183" i="272"/>
  <c r="AE183" i="272"/>
  <c r="AD183" i="272"/>
  <c r="AC183" i="272"/>
  <c r="AB183" i="272"/>
  <c r="AA183" i="272"/>
  <c r="Z183" i="272"/>
  <c r="Y183" i="272"/>
  <c r="X183" i="272"/>
  <c r="V183" i="272"/>
  <c r="U183" i="272"/>
  <c r="R183" i="272"/>
  <c r="Q183" i="272"/>
  <c r="P183" i="272"/>
  <c r="O183" i="272"/>
  <c r="O180" i="272" s="1"/>
  <c r="O179" i="272" s="1"/>
  <c r="N183" i="272"/>
  <c r="I183" i="272"/>
  <c r="H183" i="272"/>
  <c r="G183" i="272"/>
  <c r="F183" i="272"/>
  <c r="E183" i="272"/>
  <c r="D183" i="272"/>
  <c r="C183" i="272"/>
  <c r="B183" i="272"/>
  <c r="A183" i="272"/>
  <c r="AF182" i="272"/>
  <c r="AE182" i="272"/>
  <c r="AD182" i="272"/>
  <c r="AC182" i="272"/>
  <c r="AB182" i="272"/>
  <c r="AA182" i="272"/>
  <c r="Z182" i="272"/>
  <c r="Y182" i="272"/>
  <c r="X182" i="272"/>
  <c r="V182" i="272"/>
  <c r="U182" i="272"/>
  <c r="R182" i="272"/>
  <c r="Q182" i="272"/>
  <c r="P182" i="272"/>
  <c r="O182" i="272"/>
  <c r="N182" i="272"/>
  <c r="I182" i="272"/>
  <c r="H182" i="272"/>
  <c r="G182" i="272"/>
  <c r="F182" i="272"/>
  <c r="E182" i="272"/>
  <c r="D182" i="272"/>
  <c r="C182" i="272"/>
  <c r="B182" i="272"/>
  <c r="A182" i="272"/>
  <c r="AF181" i="272"/>
  <c r="AE181" i="272"/>
  <c r="AD181" i="272"/>
  <c r="AC181" i="272"/>
  <c r="AB181" i="272"/>
  <c r="AA181" i="272"/>
  <c r="Z181" i="272"/>
  <c r="Y181" i="272"/>
  <c r="X181" i="272"/>
  <c r="V181" i="272"/>
  <c r="U181" i="272"/>
  <c r="R181" i="272"/>
  <c r="Q181" i="272"/>
  <c r="P181" i="272"/>
  <c r="O181" i="272"/>
  <c r="N181" i="272"/>
  <c r="I181" i="272"/>
  <c r="H181" i="272"/>
  <c r="G181" i="272"/>
  <c r="F181" i="272"/>
  <c r="E181" i="272"/>
  <c r="D181" i="272"/>
  <c r="C181" i="272"/>
  <c r="B181" i="272"/>
  <c r="A181" i="272"/>
  <c r="W180" i="272"/>
  <c r="M180" i="272"/>
  <c r="L180" i="272"/>
  <c r="W179" i="272"/>
  <c r="L179" i="272"/>
  <c r="AF178" i="272"/>
  <c r="AE178" i="272"/>
  <c r="AD178" i="272"/>
  <c r="AC178" i="272"/>
  <c r="AB178" i="272"/>
  <c r="AA178" i="272"/>
  <c r="Z178" i="272"/>
  <c r="Y178" i="272"/>
  <c r="X178" i="272"/>
  <c r="W178" i="272"/>
  <c r="R178" i="272"/>
  <c r="Q178" i="272"/>
  <c r="P178" i="272"/>
  <c r="O178" i="272"/>
  <c r="N178" i="272"/>
  <c r="AF177" i="272"/>
  <c r="AE177" i="272"/>
  <c r="AD177" i="272"/>
  <c r="AC177" i="272"/>
  <c r="AB177" i="272"/>
  <c r="AA177" i="272"/>
  <c r="Z177" i="272"/>
  <c r="Y177" i="272"/>
  <c r="X177" i="272"/>
  <c r="W177" i="272"/>
  <c r="R177" i="272"/>
  <c r="Q177" i="272"/>
  <c r="S177" i="272" s="1"/>
  <c r="P177" i="272"/>
  <c r="O177" i="272"/>
  <c r="N177" i="272"/>
  <c r="AF176" i="272"/>
  <c r="AE176" i="272"/>
  <c r="AD176" i="272"/>
  <c r="AC176" i="272"/>
  <c r="AB176" i="272"/>
  <c r="AA176" i="272"/>
  <c r="Z176" i="272"/>
  <c r="Y176" i="272"/>
  <c r="X176" i="272"/>
  <c r="W176" i="272"/>
  <c r="R176" i="272"/>
  <c r="Q176" i="272"/>
  <c r="P176" i="272"/>
  <c r="O176" i="272"/>
  <c r="N176" i="272"/>
  <c r="AF175" i="272"/>
  <c r="AE175" i="272"/>
  <c r="AD175" i="272"/>
  <c r="AC175" i="272"/>
  <c r="AB175" i="272"/>
  <c r="AA175" i="272"/>
  <c r="Z175" i="272"/>
  <c r="Y175" i="272"/>
  <c r="X175" i="272"/>
  <c r="W175" i="272"/>
  <c r="R175" i="272"/>
  <c r="Q175" i="272"/>
  <c r="P175" i="272"/>
  <c r="O175" i="272"/>
  <c r="O170" i="272" s="1"/>
  <c r="O169" i="272" s="1"/>
  <c r="N175" i="272"/>
  <c r="AF174" i="272"/>
  <c r="AE174" i="272"/>
  <c r="AD174" i="272"/>
  <c r="AC174" i="272"/>
  <c r="AB174" i="272"/>
  <c r="AA174" i="272"/>
  <c r="Z174" i="272"/>
  <c r="Y174" i="272"/>
  <c r="X174" i="272"/>
  <c r="W174" i="272"/>
  <c r="W170" i="272" s="1"/>
  <c r="W169" i="272" s="1"/>
  <c r="R174" i="272"/>
  <c r="R170" i="272" s="1"/>
  <c r="R169" i="272" s="1"/>
  <c r="Q174" i="272"/>
  <c r="P174" i="272"/>
  <c r="O174" i="272"/>
  <c r="N174" i="272"/>
  <c r="AF173" i="272"/>
  <c r="AE173" i="272"/>
  <c r="AD173" i="272"/>
  <c r="AC173" i="272"/>
  <c r="AB173" i="272"/>
  <c r="AA173" i="272"/>
  <c r="Z173" i="272"/>
  <c r="Y173" i="272"/>
  <c r="X173" i="272"/>
  <c r="V173" i="272"/>
  <c r="U173" i="272"/>
  <c r="Q173" i="272"/>
  <c r="P173" i="272"/>
  <c r="O173" i="272"/>
  <c r="N173" i="272"/>
  <c r="I173" i="272"/>
  <c r="H173" i="272"/>
  <c r="G173" i="272"/>
  <c r="F173" i="272"/>
  <c r="E173" i="272"/>
  <c r="D173" i="272"/>
  <c r="C173" i="272"/>
  <c r="B173" i="272"/>
  <c r="A173" i="272"/>
  <c r="AF172" i="272"/>
  <c r="AE172" i="272"/>
  <c r="AD172" i="272"/>
  <c r="AC172" i="272"/>
  <c r="AB172" i="272"/>
  <c r="AA172" i="272"/>
  <c r="Z172" i="272"/>
  <c r="Y172" i="272"/>
  <c r="X172" i="272"/>
  <c r="V172" i="272"/>
  <c r="U172" i="272"/>
  <c r="Q172" i="272"/>
  <c r="P172" i="272"/>
  <c r="O172" i="272"/>
  <c r="N172" i="272"/>
  <c r="I172" i="272"/>
  <c r="H172" i="272"/>
  <c r="G172" i="272"/>
  <c r="F172" i="272"/>
  <c r="E172" i="272"/>
  <c r="D172" i="272"/>
  <c r="C172" i="272"/>
  <c r="B172" i="272"/>
  <c r="A172" i="272"/>
  <c r="AF171" i="272"/>
  <c r="AE171" i="272"/>
  <c r="AD171" i="272"/>
  <c r="AC171" i="272"/>
  <c r="AB171" i="272"/>
  <c r="AA171" i="272"/>
  <c r="Z171" i="272"/>
  <c r="Y171" i="272"/>
  <c r="X171" i="272"/>
  <c r="V171" i="272"/>
  <c r="U171" i="272"/>
  <c r="Q171" i="272"/>
  <c r="Q170" i="272" s="1"/>
  <c r="Q169" i="272" s="1"/>
  <c r="P171" i="272"/>
  <c r="O171" i="272"/>
  <c r="N171" i="272"/>
  <c r="I171" i="272"/>
  <c r="H171" i="272"/>
  <c r="G171" i="272"/>
  <c r="F171" i="272"/>
  <c r="E171" i="272"/>
  <c r="D171" i="272"/>
  <c r="C171" i="272"/>
  <c r="B171" i="272"/>
  <c r="A171" i="272"/>
  <c r="M170" i="272"/>
  <c r="L170" i="272"/>
  <c r="X169" i="272"/>
  <c r="X168" i="272" s="1"/>
  <c r="L169" i="272"/>
  <c r="K168" i="272"/>
  <c r="AF167" i="272"/>
  <c r="AE167" i="272"/>
  <c r="AD167" i="272"/>
  <c r="AC167" i="272"/>
  <c r="AB167" i="272"/>
  <c r="AA167" i="272"/>
  <c r="Z167" i="272"/>
  <c r="Y167" i="272"/>
  <c r="AF166" i="272"/>
  <c r="AE166" i="272"/>
  <c r="AD166" i="272"/>
  <c r="AC166" i="272"/>
  <c r="AB166" i="272"/>
  <c r="AA166" i="272"/>
  <c r="Z166" i="272"/>
  <c r="Y166" i="272"/>
  <c r="AF165" i="272"/>
  <c r="AE165" i="272"/>
  <c r="AD165" i="272"/>
  <c r="AC165" i="272"/>
  <c r="AB165" i="272"/>
  <c r="AA165" i="272"/>
  <c r="Z165" i="272"/>
  <c r="Y165" i="272"/>
  <c r="X165" i="272"/>
  <c r="W165" i="272"/>
  <c r="R165" i="272"/>
  <c r="Q165" i="272"/>
  <c r="P165" i="272"/>
  <c r="S165" i="272" s="1"/>
  <c r="O165" i="272"/>
  <c r="N165" i="272"/>
  <c r="AF164" i="272"/>
  <c r="AE164" i="272"/>
  <c r="AD164" i="272"/>
  <c r="AC164" i="272"/>
  <c r="AB164" i="272"/>
  <c r="AA164" i="272"/>
  <c r="Z164" i="272"/>
  <c r="Y164" i="272"/>
  <c r="AF163" i="272"/>
  <c r="AE163" i="272"/>
  <c r="AD163" i="272"/>
  <c r="AC163" i="272"/>
  <c r="AB163" i="272"/>
  <c r="AA163" i="272"/>
  <c r="Z163" i="272"/>
  <c r="Y163" i="272"/>
  <c r="X163" i="272"/>
  <c r="W163" i="272"/>
  <c r="W162" i="272" s="1"/>
  <c r="W161" i="272" s="1"/>
  <c r="R163" i="272"/>
  <c r="R162" i="272" s="1"/>
  <c r="R161" i="272" s="1"/>
  <c r="Q163" i="272"/>
  <c r="P163" i="272"/>
  <c r="S163" i="272" s="1"/>
  <c r="O163" i="272"/>
  <c r="O162" i="272" s="1"/>
  <c r="O161" i="272" s="1"/>
  <c r="N163" i="272"/>
  <c r="V162" i="272"/>
  <c r="Q162" i="272"/>
  <c r="Q161" i="272" s="1"/>
  <c r="V161" i="272"/>
  <c r="AF160" i="272"/>
  <c r="AE160" i="272"/>
  <c r="AD160" i="272"/>
  <c r="AC160" i="272"/>
  <c r="AB160" i="272"/>
  <c r="AA160" i="272"/>
  <c r="Z160" i="272"/>
  <c r="Y160" i="272"/>
  <c r="Y159" i="272" s="1"/>
  <c r="Y158" i="272" s="1"/>
  <c r="X160" i="272"/>
  <c r="W160" i="272"/>
  <c r="W159" i="272" s="1"/>
  <c r="W158" i="272" s="1"/>
  <c r="R160" i="272"/>
  <c r="R159" i="272" s="1"/>
  <c r="R158" i="272" s="1"/>
  <c r="Q160" i="272"/>
  <c r="P160" i="272"/>
  <c r="O160" i="272"/>
  <c r="N160" i="272"/>
  <c r="V159" i="272"/>
  <c r="Q159" i="272"/>
  <c r="Q158" i="272" s="1"/>
  <c r="O159" i="272"/>
  <c r="O158" i="272" s="1"/>
  <c r="L159" i="272"/>
  <c r="V158" i="272"/>
  <c r="AF157" i="272"/>
  <c r="AE157" i="272"/>
  <c r="AD157" i="272"/>
  <c r="AC157" i="272"/>
  <c r="AB157" i="272"/>
  <c r="AA157" i="272"/>
  <c r="Z157" i="272"/>
  <c r="Y157" i="272"/>
  <c r="X157" i="272"/>
  <c r="W157" i="272"/>
  <c r="W156" i="272" s="1"/>
  <c r="W155" i="272" s="1"/>
  <c r="R157" i="272"/>
  <c r="Q157" i="272"/>
  <c r="P157" i="272"/>
  <c r="P156" i="272" s="1"/>
  <c r="O157" i="272"/>
  <c r="O156" i="272" s="1"/>
  <c r="O155" i="272" s="1"/>
  <c r="N157" i="272"/>
  <c r="Y156" i="272"/>
  <c r="V156" i="272"/>
  <c r="V155" i="272" s="1"/>
  <c r="R156" i="272"/>
  <c r="R155" i="272" s="1"/>
  <c r="M156" i="272"/>
  <c r="L156" i="272"/>
  <c r="Y155" i="272"/>
  <c r="AF154" i="272"/>
  <c r="AE154" i="272"/>
  <c r="AD154" i="272"/>
  <c r="AC154" i="272"/>
  <c r="AB154" i="272"/>
  <c r="AA154" i="272"/>
  <c r="Z154" i="272"/>
  <c r="Y154" i="272"/>
  <c r="X154" i="272"/>
  <c r="V154" i="272"/>
  <c r="U154" i="272"/>
  <c r="Q154" i="272"/>
  <c r="P154" i="272"/>
  <c r="S154" i="272" s="1"/>
  <c r="O154" i="272"/>
  <c r="N154" i="272"/>
  <c r="I154" i="272"/>
  <c r="H154" i="272"/>
  <c r="G154" i="272"/>
  <c r="F154" i="272"/>
  <c r="E154" i="272"/>
  <c r="D154" i="272"/>
  <c r="C154" i="272"/>
  <c r="B154" i="272"/>
  <c r="A154" i="272"/>
  <c r="AF153" i="272"/>
  <c r="AE153" i="272"/>
  <c r="AD153" i="272"/>
  <c r="AC153" i="272"/>
  <c r="AB153" i="272"/>
  <c r="AA153" i="272"/>
  <c r="Z153" i="272"/>
  <c r="Y153" i="272"/>
  <c r="X153" i="272"/>
  <c r="V153" i="272"/>
  <c r="U153" i="272"/>
  <c r="Q153" i="272"/>
  <c r="P153" i="272"/>
  <c r="S153" i="272" s="1"/>
  <c r="O153" i="272"/>
  <c r="N153" i="272"/>
  <c r="I153" i="272"/>
  <c r="H153" i="272"/>
  <c r="G153" i="272"/>
  <c r="F153" i="272"/>
  <c r="E153" i="272"/>
  <c r="D153" i="272"/>
  <c r="C153" i="272"/>
  <c r="B153" i="272"/>
  <c r="A153" i="272"/>
  <c r="AF152" i="272"/>
  <c r="AE152" i="272"/>
  <c r="AD152" i="272"/>
  <c r="AC152" i="272"/>
  <c r="AB152" i="272"/>
  <c r="AA152" i="272"/>
  <c r="Z152" i="272"/>
  <c r="Y152" i="272"/>
  <c r="X152" i="272"/>
  <c r="V152" i="272"/>
  <c r="U152" i="272"/>
  <c r="Q152" i="272"/>
  <c r="P152" i="272"/>
  <c r="S152" i="272" s="1"/>
  <c r="O152" i="272"/>
  <c r="N152" i="272"/>
  <c r="I152" i="272"/>
  <c r="H152" i="272"/>
  <c r="G152" i="272"/>
  <c r="F152" i="272"/>
  <c r="E152" i="272"/>
  <c r="D152" i="272"/>
  <c r="C152" i="272"/>
  <c r="B152" i="272"/>
  <c r="A152" i="272"/>
  <c r="AF151" i="272"/>
  <c r="AE151" i="272"/>
  <c r="AD151" i="272"/>
  <c r="AC151" i="272"/>
  <c r="AB151" i="272"/>
  <c r="AA151" i="272"/>
  <c r="Z151" i="272"/>
  <c r="Y151" i="272"/>
  <c r="X151" i="272"/>
  <c r="V151" i="272"/>
  <c r="U151" i="272"/>
  <c r="Q151" i="272"/>
  <c r="P151" i="272"/>
  <c r="S151" i="272" s="1"/>
  <c r="O151" i="272"/>
  <c r="N151" i="272"/>
  <c r="I151" i="272"/>
  <c r="H151" i="272"/>
  <c r="G151" i="272"/>
  <c r="F151" i="272"/>
  <c r="E151" i="272"/>
  <c r="D151" i="272"/>
  <c r="C151" i="272"/>
  <c r="B151" i="272"/>
  <c r="A151" i="272"/>
  <c r="AF150" i="272"/>
  <c r="AE150" i="272"/>
  <c r="AD150" i="272"/>
  <c r="AC150" i="272"/>
  <c r="AB150" i="272"/>
  <c r="AA150" i="272"/>
  <c r="Z150" i="272"/>
  <c r="Y150" i="272"/>
  <c r="X150" i="272"/>
  <c r="V150" i="272"/>
  <c r="U150" i="272"/>
  <c r="Q150" i="272"/>
  <c r="P150" i="272"/>
  <c r="O150" i="272"/>
  <c r="N150" i="272"/>
  <c r="I150" i="272"/>
  <c r="H150" i="272"/>
  <c r="G150" i="272"/>
  <c r="F150" i="272"/>
  <c r="E150" i="272"/>
  <c r="D150" i="272"/>
  <c r="C150" i="272"/>
  <c r="B150" i="272"/>
  <c r="A150" i="272"/>
  <c r="AF149" i="272"/>
  <c r="AE149" i="272"/>
  <c r="AD149" i="272"/>
  <c r="AC149" i="272"/>
  <c r="AB149" i="272"/>
  <c r="AA149" i="272"/>
  <c r="Z149" i="272"/>
  <c r="Y149" i="272"/>
  <c r="X149" i="272"/>
  <c r="V149" i="272"/>
  <c r="U149" i="272"/>
  <c r="R149" i="272"/>
  <c r="Q149" i="272"/>
  <c r="P149" i="272"/>
  <c r="O149" i="272"/>
  <c r="N149" i="272"/>
  <c r="I149" i="272"/>
  <c r="H149" i="272"/>
  <c r="G149" i="272"/>
  <c r="F149" i="272"/>
  <c r="E149" i="272"/>
  <c r="D149" i="272"/>
  <c r="C149" i="272"/>
  <c r="B149" i="272"/>
  <c r="A149" i="272"/>
  <c r="AF148" i="272"/>
  <c r="AE148" i="272"/>
  <c r="AD148" i="272"/>
  <c r="AC148" i="272"/>
  <c r="AB148" i="272"/>
  <c r="AA148" i="272"/>
  <c r="Z148" i="272"/>
  <c r="Y148" i="272"/>
  <c r="Y146" i="272" s="1"/>
  <c r="Y145" i="272" s="1"/>
  <c r="X148" i="272"/>
  <c r="V148" i="272"/>
  <c r="U148" i="272"/>
  <c r="R148" i="272"/>
  <c r="R146" i="272" s="1"/>
  <c r="R145" i="272" s="1"/>
  <c r="Q148" i="272"/>
  <c r="P148" i="272"/>
  <c r="O148" i="272"/>
  <c r="N148" i="272"/>
  <c r="I148" i="272"/>
  <c r="H148" i="272"/>
  <c r="G148" i="272"/>
  <c r="F148" i="272"/>
  <c r="E148" i="272"/>
  <c r="D148" i="272"/>
  <c r="C148" i="272"/>
  <c r="B148" i="272"/>
  <c r="A148" i="272"/>
  <c r="AF147" i="272"/>
  <c r="AE147" i="272"/>
  <c r="AD147" i="272"/>
  <c r="AC147" i="272"/>
  <c r="AB147" i="272"/>
  <c r="AA147" i="272"/>
  <c r="Z147" i="272"/>
  <c r="Y147" i="272"/>
  <c r="X147" i="272"/>
  <c r="V147" i="272"/>
  <c r="V146" i="272" s="1"/>
  <c r="V145" i="272" s="1"/>
  <c r="U147" i="272"/>
  <c r="R147" i="272"/>
  <c r="Q147" i="272"/>
  <c r="P147" i="272"/>
  <c r="S147" i="272" s="1"/>
  <c r="O147" i="272"/>
  <c r="N147" i="272"/>
  <c r="I147" i="272"/>
  <c r="H147" i="272"/>
  <c r="G147" i="272"/>
  <c r="F147" i="272"/>
  <c r="E147" i="272"/>
  <c r="D147" i="272"/>
  <c r="C147" i="272"/>
  <c r="B147" i="272"/>
  <c r="A147" i="272"/>
  <c r="W146" i="272"/>
  <c r="W145" i="272" s="1"/>
  <c r="M146" i="272"/>
  <c r="L146" i="272"/>
  <c r="L145" i="272"/>
  <c r="AF144" i="272"/>
  <c r="AE144" i="272"/>
  <c r="AD144" i="272"/>
  <c r="AC144" i="272"/>
  <c r="AB144" i="272"/>
  <c r="AA144" i="272"/>
  <c r="Z144" i="272"/>
  <c r="Y144" i="272"/>
  <c r="Y143" i="272" s="1"/>
  <c r="Y142" i="272" s="1"/>
  <c r="X144" i="272"/>
  <c r="V144" i="272"/>
  <c r="V143" i="272" s="1"/>
  <c r="V142" i="272" s="1"/>
  <c r="U144" i="272"/>
  <c r="R144" i="272"/>
  <c r="R143" i="272" s="1"/>
  <c r="R142" i="272" s="1"/>
  <c r="Q144" i="272"/>
  <c r="P144" i="272"/>
  <c r="O144" i="272"/>
  <c r="O143" i="272" s="1"/>
  <c r="N144" i="272"/>
  <c r="I144" i="272"/>
  <c r="H144" i="272"/>
  <c r="G144" i="272"/>
  <c r="F144" i="272"/>
  <c r="E144" i="272"/>
  <c r="D144" i="272"/>
  <c r="C144" i="272"/>
  <c r="B144" i="272"/>
  <c r="A144" i="272"/>
  <c r="W143" i="272"/>
  <c r="P143" i="272"/>
  <c r="P142" i="272" s="1"/>
  <c r="M143" i="272"/>
  <c r="L143" i="272"/>
  <c r="W142" i="272"/>
  <c r="O142" i="272"/>
  <c r="L142" i="272"/>
  <c r="AF141" i="272"/>
  <c r="AE141" i="272"/>
  <c r="AD141" i="272"/>
  <c r="AC141" i="272"/>
  <c r="AB141" i="272"/>
  <c r="AA141" i="272"/>
  <c r="Z141" i="272"/>
  <c r="Y141" i="272"/>
  <c r="X141" i="272"/>
  <c r="V141" i="272"/>
  <c r="V139" i="272" s="1"/>
  <c r="V138" i="272" s="1"/>
  <c r="U141" i="272"/>
  <c r="R141" i="272"/>
  <c r="Q141" i="272"/>
  <c r="P141" i="272"/>
  <c r="S141" i="272" s="1"/>
  <c r="O141" i="272"/>
  <c r="O139" i="272" s="1"/>
  <c r="O138" i="272" s="1"/>
  <c r="N141" i="272"/>
  <c r="I141" i="272"/>
  <c r="H141" i="272"/>
  <c r="G141" i="272"/>
  <c r="F141" i="272"/>
  <c r="E141" i="272"/>
  <c r="D141" i="272"/>
  <c r="C141" i="272"/>
  <c r="B141" i="272"/>
  <c r="A141" i="272"/>
  <c r="AF140" i="272"/>
  <c r="AE140" i="272"/>
  <c r="AD140" i="272"/>
  <c r="AC140" i="272"/>
  <c r="AB140" i="272"/>
  <c r="AA140" i="272"/>
  <c r="Z140" i="272"/>
  <c r="Y140" i="272"/>
  <c r="X140" i="272"/>
  <c r="W140" i="272"/>
  <c r="W139" i="272" s="1"/>
  <c r="W138" i="272" s="1"/>
  <c r="U140" i="272"/>
  <c r="R140" i="272"/>
  <c r="Q140" i="272"/>
  <c r="P140" i="272"/>
  <c r="O140" i="272"/>
  <c r="N140" i="272"/>
  <c r="I140" i="272"/>
  <c r="H140" i="272"/>
  <c r="G140" i="272"/>
  <c r="F140" i="272"/>
  <c r="E140" i="272"/>
  <c r="D140" i="272"/>
  <c r="C140" i="272"/>
  <c r="B140" i="272"/>
  <c r="A140" i="272"/>
  <c r="Y139" i="272"/>
  <c r="Y138" i="272" s="1"/>
  <c r="R139" i="272"/>
  <c r="Q139" i="272"/>
  <c r="Q138" i="272" s="1"/>
  <c r="M139" i="272"/>
  <c r="L139" i="272"/>
  <c r="R138" i="272"/>
  <c r="L138" i="272"/>
  <c r="AF137" i="272"/>
  <c r="AE137" i="272"/>
  <c r="AD137" i="272"/>
  <c r="AC137" i="272"/>
  <c r="AB137" i="272"/>
  <c r="AA137" i="272"/>
  <c r="Z137" i="272"/>
  <c r="Y137" i="272"/>
  <c r="X137" i="272"/>
  <c r="W137" i="272"/>
  <c r="R137" i="272"/>
  <c r="Q137" i="272"/>
  <c r="Q133" i="272" s="1"/>
  <c r="P137" i="272"/>
  <c r="O137" i="272"/>
  <c r="N137" i="272"/>
  <c r="AF136" i="272"/>
  <c r="AE136" i="272"/>
  <c r="AD136" i="272"/>
  <c r="AC136" i="272"/>
  <c r="AB136" i="272"/>
  <c r="AA136" i="272"/>
  <c r="Z136" i="272"/>
  <c r="Y136" i="272"/>
  <c r="X136" i="272"/>
  <c r="W136" i="272"/>
  <c r="R136" i="272"/>
  <c r="Q136" i="272"/>
  <c r="P136" i="272"/>
  <c r="S136" i="272" s="1"/>
  <c r="O136" i="272"/>
  <c r="N136" i="272"/>
  <c r="AF135" i="272"/>
  <c r="AE135" i="272"/>
  <c r="AD135" i="272"/>
  <c r="AC135" i="272"/>
  <c r="AB135" i="272"/>
  <c r="AA135" i="272"/>
  <c r="Z135" i="272"/>
  <c r="Y135" i="272"/>
  <c r="X135" i="272"/>
  <c r="W135" i="272"/>
  <c r="R135" i="272"/>
  <c r="Q135" i="272"/>
  <c r="P135" i="272"/>
  <c r="S135" i="272" s="1"/>
  <c r="O135" i="272"/>
  <c r="N135" i="272"/>
  <c r="AF134" i="272"/>
  <c r="AE134" i="272"/>
  <c r="AD134" i="272"/>
  <c r="AC134" i="272"/>
  <c r="AB134" i="272"/>
  <c r="AA134" i="272"/>
  <c r="Z134" i="272"/>
  <c r="Y134" i="272"/>
  <c r="X134" i="272"/>
  <c r="W134" i="272"/>
  <c r="R134" i="272"/>
  <c r="R133" i="272" s="1"/>
  <c r="Q134" i="272"/>
  <c r="P134" i="272"/>
  <c r="O134" i="272"/>
  <c r="N134" i="272"/>
  <c r="V133" i="272"/>
  <c r="AF132" i="272"/>
  <c r="AE132" i="272"/>
  <c r="AD132" i="272"/>
  <c r="AC132" i="272"/>
  <c r="AB132" i="272"/>
  <c r="AA132" i="272"/>
  <c r="Z132" i="272"/>
  <c r="Y132" i="272"/>
  <c r="X132" i="272"/>
  <c r="W132" i="272"/>
  <c r="R132" i="272"/>
  <c r="Q132" i="272"/>
  <c r="P132" i="272"/>
  <c r="O132" i="272"/>
  <c r="N132" i="272"/>
  <c r="AF131" i="272"/>
  <c r="AE131" i="272"/>
  <c r="AD131" i="272"/>
  <c r="AC131" i="272"/>
  <c r="AB131" i="272"/>
  <c r="AA131" i="272"/>
  <c r="Z131" i="272"/>
  <c r="Y131" i="272"/>
  <c r="X131" i="272"/>
  <c r="W131" i="272"/>
  <c r="R131" i="272"/>
  <c r="Q131" i="272"/>
  <c r="P131" i="272"/>
  <c r="O131" i="272"/>
  <c r="N131" i="272"/>
  <c r="AF130" i="272"/>
  <c r="AE130" i="272"/>
  <c r="AD130" i="272"/>
  <c r="AC130" i="272"/>
  <c r="AB130" i="272"/>
  <c r="AA130" i="272"/>
  <c r="Z130" i="272"/>
  <c r="Y130" i="272"/>
  <c r="X130" i="272"/>
  <c r="W130" i="272"/>
  <c r="R130" i="272"/>
  <c r="Q130" i="272"/>
  <c r="S130" i="272" s="1"/>
  <c r="P130" i="272"/>
  <c r="O130" i="272"/>
  <c r="N130" i="272"/>
  <c r="AF129" i="272"/>
  <c r="AE129" i="272"/>
  <c r="AD129" i="272"/>
  <c r="AC129" i="272"/>
  <c r="AB129" i="272"/>
  <c r="AA129" i="272"/>
  <c r="Z129" i="272"/>
  <c r="Y129" i="272"/>
  <c r="X129" i="272"/>
  <c r="W129" i="272"/>
  <c r="R129" i="272"/>
  <c r="Q129" i="272"/>
  <c r="P129" i="272"/>
  <c r="O129" i="272"/>
  <c r="N129" i="272"/>
  <c r="AF128" i="272"/>
  <c r="AE128" i="272"/>
  <c r="AD128" i="272"/>
  <c r="AC128" i="272"/>
  <c r="AB128" i="272"/>
  <c r="AA128" i="272"/>
  <c r="Z128" i="272"/>
  <c r="Y128" i="272"/>
  <c r="X128" i="272"/>
  <c r="V128" i="272"/>
  <c r="U128" i="272"/>
  <c r="R128" i="272"/>
  <c r="Q128" i="272"/>
  <c r="P128" i="272"/>
  <c r="S128" i="272" s="1"/>
  <c r="O128" i="272"/>
  <c r="N128" i="272"/>
  <c r="I128" i="272"/>
  <c r="H128" i="272"/>
  <c r="G128" i="272"/>
  <c r="F128" i="272"/>
  <c r="E128" i="272"/>
  <c r="D128" i="272"/>
  <c r="C128" i="272"/>
  <c r="B128" i="272"/>
  <c r="A128" i="272"/>
  <c r="AF127" i="272"/>
  <c r="AE127" i="272"/>
  <c r="AD127" i="272"/>
  <c r="AC127" i="272"/>
  <c r="AB127" i="272"/>
  <c r="AA127" i="272"/>
  <c r="Z127" i="272"/>
  <c r="Y127" i="272"/>
  <c r="X127" i="272"/>
  <c r="V127" i="272"/>
  <c r="U127" i="272"/>
  <c r="R127" i="272"/>
  <c r="Q127" i="272"/>
  <c r="Q123" i="272" s="1"/>
  <c r="Q122" i="272" s="1"/>
  <c r="P127" i="272"/>
  <c r="O127" i="272"/>
  <c r="N127" i="272"/>
  <c r="I127" i="272"/>
  <c r="H127" i="272"/>
  <c r="G127" i="272"/>
  <c r="F127" i="272"/>
  <c r="E127" i="272"/>
  <c r="D127" i="272"/>
  <c r="C127" i="272"/>
  <c r="B127" i="272"/>
  <c r="A127" i="272"/>
  <c r="AF126" i="272"/>
  <c r="AE126" i="272"/>
  <c r="AB126" i="272"/>
  <c r="AA126" i="272"/>
  <c r="Z126" i="272"/>
  <c r="Y126" i="272"/>
  <c r="X126" i="272"/>
  <c r="W126" i="272"/>
  <c r="R126" i="272"/>
  <c r="Q126" i="272"/>
  <c r="P126" i="272"/>
  <c r="O126" i="272"/>
  <c r="N126" i="272"/>
  <c r="AF125" i="272"/>
  <c r="AE125" i="272"/>
  <c r="AD125" i="272"/>
  <c r="AC125" i="272"/>
  <c r="AB125" i="272"/>
  <c r="AA125" i="272"/>
  <c r="Z125" i="272"/>
  <c r="Y125" i="272"/>
  <c r="X125" i="272"/>
  <c r="W125" i="272"/>
  <c r="U125" i="272"/>
  <c r="R125" i="272"/>
  <c r="Q125" i="272"/>
  <c r="P125" i="272"/>
  <c r="S125" i="272" s="1"/>
  <c r="O125" i="272"/>
  <c r="O123" i="272" s="1"/>
  <c r="N125" i="272"/>
  <c r="I125" i="272"/>
  <c r="H125" i="272"/>
  <c r="G125" i="272"/>
  <c r="F125" i="272"/>
  <c r="E125" i="272"/>
  <c r="D125" i="272"/>
  <c r="C125" i="272"/>
  <c r="B125" i="272"/>
  <c r="A125" i="272"/>
  <c r="AF124" i="272"/>
  <c r="AE124" i="272"/>
  <c r="AD124" i="272"/>
  <c r="AC124" i="272"/>
  <c r="AB124" i="272"/>
  <c r="AA124" i="272"/>
  <c r="Z124" i="272"/>
  <c r="Y124" i="272"/>
  <c r="X124" i="272"/>
  <c r="V124" i="272"/>
  <c r="V123" i="272" s="1"/>
  <c r="U124" i="272"/>
  <c r="R124" i="272"/>
  <c r="Q124" i="272"/>
  <c r="P124" i="272"/>
  <c r="S124" i="272" s="1"/>
  <c r="O124" i="272"/>
  <c r="N124" i="272"/>
  <c r="I124" i="272"/>
  <c r="H124" i="272"/>
  <c r="G124" i="272"/>
  <c r="F124" i="272"/>
  <c r="E124" i="272"/>
  <c r="D124" i="272"/>
  <c r="C124" i="272"/>
  <c r="B124" i="272"/>
  <c r="A124" i="272"/>
  <c r="M123" i="272"/>
  <c r="L123" i="272"/>
  <c r="L122" i="272"/>
  <c r="K122" i="272"/>
  <c r="AF121" i="272"/>
  <c r="AE121" i="272"/>
  <c r="AD121" i="272"/>
  <c r="AC121" i="272"/>
  <c r="AB121" i="272"/>
  <c r="AA121" i="272"/>
  <c r="Z121" i="272"/>
  <c r="Y121" i="272"/>
  <c r="Y120" i="272" s="1"/>
  <c r="Y119" i="272" s="1"/>
  <c r="X121" i="272"/>
  <c r="V121" i="272"/>
  <c r="V120" i="272" s="1"/>
  <c r="V119" i="272" s="1"/>
  <c r="U121" i="272"/>
  <c r="Q121" i="272"/>
  <c r="P121" i="272"/>
  <c r="S121" i="272" s="1"/>
  <c r="O121" i="272"/>
  <c r="N121" i="272"/>
  <c r="I121" i="272"/>
  <c r="H121" i="272"/>
  <c r="G121" i="272"/>
  <c r="F121" i="272"/>
  <c r="E121" i="272"/>
  <c r="D121" i="272"/>
  <c r="C121" i="272"/>
  <c r="B121" i="272"/>
  <c r="A121" i="272"/>
  <c r="AA120" i="272"/>
  <c r="AA119" i="272" s="1"/>
  <c r="W120" i="272"/>
  <c r="W119" i="272" s="1"/>
  <c r="R120" i="272"/>
  <c r="Q120" i="272"/>
  <c r="Q119" i="272" s="1"/>
  <c r="O120" i="272"/>
  <c r="O119" i="272" s="1"/>
  <c r="M120" i="272"/>
  <c r="L120" i="272"/>
  <c r="Z119" i="272"/>
  <c r="X119" i="272"/>
  <c r="R119" i="272"/>
  <c r="L119" i="272"/>
  <c r="K119" i="272"/>
  <c r="AF118" i="272"/>
  <c r="AE118" i="272"/>
  <c r="AD118" i="272"/>
  <c r="AC118" i="272"/>
  <c r="AB118" i="272"/>
  <c r="AA118" i="272"/>
  <c r="Z118" i="272"/>
  <c r="Y118" i="272"/>
  <c r="X118" i="272"/>
  <c r="W118" i="272"/>
  <c r="R118" i="272"/>
  <c r="Q118" i="272"/>
  <c r="P118" i="272"/>
  <c r="P117" i="272" s="1"/>
  <c r="O118" i="272"/>
  <c r="N118" i="272"/>
  <c r="AA117" i="272"/>
  <c r="Y117" i="272"/>
  <c r="W117" i="272"/>
  <c r="V117" i="272"/>
  <c r="R117" i="272"/>
  <c r="Q117" i="272"/>
  <c r="S117" i="272" s="1"/>
  <c r="O117" i="272"/>
  <c r="M117" i="272"/>
  <c r="AF116" i="272"/>
  <c r="AE116" i="272"/>
  <c r="AD116" i="272"/>
  <c r="AC116" i="272"/>
  <c r="AB116" i="272"/>
  <c r="AA116" i="272"/>
  <c r="Z116" i="272"/>
  <c r="Y116" i="272"/>
  <c r="X116" i="272"/>
  <c r="V116" i="272"/>
  <c r="R116" i="272"/>
  <c r="R115" i="272" s="1"/>
  <c r="Q116" i="272"/>
  <c r="P116" i="272"/>
  <c r="P115" i="272" s="1"/>
  <c r="O116" i="272"/>
  <c r="N116" i="272"/>
  <c r="Y115" i="272"/>
  <c r="V115" i="272"/>
  <c r="O115" i="272"/>
  <c r="AF114" i="272"/>
  <c r="AE114" i="272"/>
  <c r="AD114" i="272"/>
  <c r="AC114" i="272"/>
  <c r="AB114" i="272"/>
  <c r="AA114" i="272"/>
  <c r="Z114" i="272"/>
  <c r="Y114" i="272"/>
  <c r="X114" i="272"/>
  <c r="W114" i="272"/>
  <c r="U114" i="272"/>
  <c r="R114" i="272"/>
  <c r="R110" i="272" s="1"/>
  <c r="Q114" i="272"/>
  <c r="P114" i="272"/>
  <c r="O114" i="272"/>
  <c r="N114" i="272"/>
  <c r="I114" i="272"/>
  <c r="H114" i="272"/>
  <c r="G114" i="272"/>
  <c r="F114" i="272"/>
  <c r="E114" i="272"/>
  <c r="D114" i="272"/>
  <c r="C114" i="272"/>
  <c r="B114" i="272"/>
  <c r="A114" i="272"/>
  <c r="AF113" i="272"/>
  <c r="AE113" i="272"/>
  <c r="AD113" i="272"/>
  <c r="AC113" i="272"/>
  <c r="AB113" i="272"/>
  <c r="AA113" i="272"/>
  <c r="Z113" i="272"/>
  <c r="Y113" i="272"/>
  <c r="X113" i="272"/>
  <c r="V113" i="272"/>
  <c r="U113" i="272"/>
  <c r="R113" i="272"/>
  <c r="Q113" i="272"/>
  <c r="P113" i="272"/>
  <c r="O113" i="272"/>
  <c r="N113" i="272"/>
  <c r="I113" i="272"/>
  <c r="H113" i="272"/>
  <c r="G113" i="272"/>
  <c r="F113" i="272"/>
  <c r="E113" i="272"/>
  <c r="D113" i="272"/>
  <c r="C113" i="272"/>
  <c r="B113" i="272"/>
  <c r="A113" i="272"/>
  <c r="AF112" i="272"/>
  <c r="AE112" i="272"/>
  <c r="AD112" i="272"/>
  <c r="AC112" i="272"/>
  <c r="AB112" i="272"/>
  <c r="AA112" i="272"/>
  <c r="Z112" i="272"/>
  <c r="Y112" i="272"/>
  <c r="AF111" i="272"/>
  <c r="AE111" i="272"/>
  <c r="AD111" i="272"/>
  <c r="AC111" i="272"/>
  <c r="AB111" i="272"/>
  <c r="AA111" i="272"/>
  <c r="Z111" i="272"/>
  <c r="Y111" i="272"/>
  <c r="X111" i="272"/>
  <c r="V111" i="272"/>
  <c r="V110" i="272" s="1"/>
  <c r="U111" i="272"/>
  <c r="R111" i="272"/>
  <c r="Q111" i="272"/>
  <c r="P111" i="272"/>
  <c r="P110" i="272" s="1"/>
  <c r="O111" i="272"/>
  <c r="N111" i="272"/>
  <c r="I111" i="272"/>
  <c r="H111" i="272"/>
  <c r="G111" i="272"/>
  <c r="F111" i="272"/>
  <c r="E111" i="272"/>
  <c r="D111" i="272"/>
  <c r="C111" i="272"/>
  <c r="B111" i="272"/>
  <c r="A111" i="272"/>
  <c r="W110" i="272"/>
  <c r="O110" i="272"/>
  <c r="M110" i="272"/>
  <c r="AF109" i="272"/>
  <c r="AE109" i="272"/>
  <c r="AD109" i="272"/>
  <c r="AC109" i="272"/>
  <c r="AB109" i="272"/>
  <c r="AA109" i="272"/>
  <c r="Z109" i="272"/>
  <c r="Y109" i="272"/>
  <c r="X109" i="272"/>
  <c r="W109" i="272"/>
  <c r="W99" i="272" s="1"/>
  <c r="U109" i="272"/>
  <c r="AF108" i="272"/>
  <c r="AE108" i="272"/>
  <c r="AD108" i="272"/>
  <c r="AC108" i="272"/>
  <c r="AB108" i="272"/>
  <c r="AA108" i="272"/>
  <c r="Z108" i="272"/>
  <c r="Y108" i="272"/>
  <c r="X108" i="272"/>
  <c r="V108" i="272"/>
  <c r="U108" i="272"/>
  <c r="AF107" i="272"/>
  <c r="AE107" i="272"/>
  <c r="AD107" i="272"/>
  <c r="AC107" i="272"/>
  <c r="AB107" i="272"/>
  <c r="AA107" i="272"/>
  <c r="Z107" i="272"/>
  <c r="Y107" i="272"/>
  <c r="X107" i="272"/>
  <c r="V107" i="272"/>
  <c r="U107" i="272"/>
  <c r="R107" i="272"/>
  <c r="Q107" i="272"/>
  <c r="P107" i="272"/>
  <c r="O107" i="272"/>
  <c r="N107" i="272"/>
  <c r="I107" i="272"/>
  <c r="H107" i="272"/>
  <c r="G107" i="272"/>
  <c r="F107" i="272"/>
  <c r="E107" i="272"/>
  <c r="D107" i="272"/>
  <c r="C107" i="272"/>
  <c r="B107" i="272"/>
  <c r="A107" i="272"/>
  <c r="AF106" i="272"/>
  <c r="AE106" i="272"/>
  <c r="AD106" i="272"/>
  <c r="AC106" i="272"/>
  <c r="AB106" i="272"/>
  <c r="AA106" i="272"/>
  <c r="Z106" i="272"/>
  <c r="Y106" i="272"/>
  <c r="X106" i="272"/>
  <c r="W106" i="272"/>
  <c r="U106" i="272"/>
  <c r="R106" i="272"/>
  <c r="Q106" i="272"/>
  <c r="P106" i="272"/>
  <c r="O106" i="272"/>
  <c r="N106" i="272"/>
  <c r="I106" i="272"/>
  <c r="H106" i="272"/>
  <c r="G106" i="272"/>
  <c r="F106" i="272"/>
  <c r="E106" i="272"/>
  <c r="D106" i="272"/>
  <c r="C106" i="272"/>
  <c r="B106" i="272"/>
  <c r="A106" i="272"/>
  <c r="AF105" i="272"/>
  <c r="AE105" i="272"/>
  <c r="AD105" i="272"/>
  <c r="AC105" i="272"/>
  <c r="AB105" i="272"/>
  <c r="AA105" i="272"/>
  <c r="Z105" i="272"/>
  <c r="Y105" i="272"/>
  <c r="X105" i="272"/>
  <c r="V105" i="272"/>
  <c r="U105" i="272"/>
  <c r="R105" i="272"/>
  <c r="Q105" i="272"/>
  <c r="P105" i="272"/>
  <c r="S105" i="272" s="1"/>
  <c r="O105" i="272"/>
  <c r="N105" i="272"/>
  <c r="I105" i="272"/>
  <c r="H105" i="272"/>
  <c r="G105" i="272"/>
  <c r="F105" i="272"/>
  <c r="E105" i="272"/>
  <c r="D105" i="272"/>
  <c r="C105" i="272"/>
  <c r="B105" i="272"/>
  <c r="A105" i="272"/>
  <c r="AF104" i="272"/>
  <c r="AE104" i="272"/>
  <c r="AD104" i="272"/>
  <c r="AC104" i="272"/>
  <c r="AB104" i="272"/>
  <c r="AA104" i="272"/>
  <c r="Z104" i="272"/>
  <c r="Y104" i="272"/>
  <c r="X104" i="272"/>
  <c r="V104" i="272"/>
  <c r="U104" i="272"/>
  <c r="R104" i="272"/>
  <c r="Q104" i="272"/>
  <c r="P104" i="272"/>
  <c r="S104" i="272" s="1"/>
  <c r="O104" i="272"/>
  <c r="N104" i="272"/>
  <c r="I104" i="272"/>
  <c r="H104" i="272"/>
  <c r="G104" i="272"/>
  <c r="F104" i="272"/>
  <c r="E104" i="272"/>
  <c r="D104" i="272"/>
  <c r="C104" i="272"/>
  <c r="B104" i="272"/>
  <c r="A104" i="272"/>
  <c r="AF103" i="272"/>
  <c r="AE103" i="272"/>
  <c r="AD103" i="272"/>
  <c r="AC103" i="272"/>
  <c r="AB103" i="272"/>
  <c r="AA103" i="272"/>
  <c r="Z103" i="272"/>
  <c r="Y103" i="272"/>
  <c r="X103" i="272"/>
  <c r="V103" i="272"/>
  <c r="U103" i="272"/>
  <c r="R103" i="272"/>
  <c r="Q103" i="272"/>
  <c r="Q99" i="272" s="1"/>
  <c r="P103" i="272"/>
  <c r="O103" i="272"/>
  <c r="N103" i="272"/>
  <c r="I103" i="272"/>
  <c r="H103" i="272"/>
  <c r="G103" i="272"/>
  <c r="F103" i="272"/>
  <c r="E103" i="272"/>
  <c r="D103" i="272"/>
  <c r="C103" i="272"/>
  <c r="B103" i="272"/>
  <c r="A103" i="272"/>
  <c r="AF102" i="272"/>
  <c r="AE102" i="272"/>
  <c r="AD102" i="272"/>
  <c r="AC102" i="272"/>
  <c r="AB102" i="272"/>
  <c r="AA102" i="272"/>
  <c r="Z102" i="272"/>
  <c r="Y102" i="272"/>
  <c r="X102" i="272"/>
  <c r="V102" i="272"/>
  <c r="U102" i="272"/>
  <c r="R102" i="272"/>
  <c r="R99" i="272" s="1"/>
  <c r="Q102" i="272"/>
  <c r="P102" i="272"/>
  <c r="O102" i="272"/>
  <c r="N102" i="272"/>
  <c r="I102" i="272"/>
  <c r="H102" i="272"/>
  <c r="G102" i="272"/>
  <c r="F102" i="272"/>
  <c r="E102" i="272"/>
  <c r="D102" i="272"/>
  <c r="C102" i="272"/>
  <c r="B102" i="272"/>
  <c r="A102" i="272"/>
  <c r="AF101" i="272"/>
  <c r="AE101" i="272"/>
  <c r="AD101" i="272"/>
  <c r="AC101" i="272"/>
  <c r="AB101" i="272"/>
  <c r="AA101" i="272"/>
  <c r="Z101" i="272"/>
  <c r="Y101" i="272"/>
  <c r="X101" i="272"/>
  <c r="V101" i="272"/>
  <c r="U101" i="272"/>
  <c r="R101" i="272"/>
  <c r="Q101" i="272"/>
  <c r="P101" i="272"/>
  <c r="S101" i="272" s="1"/>
  <c r="O101" i="272"/>
  <c r="O99" i="272" s="1"/>
  <c r="N101" i="272"/>
  <c r="I101" i="272"/>
  <c r="H101" i="272"/>
  <c r="G101" i="272"/>
  <c r="F101" i="272"/>
  <c r="E101" i="272"/>
  <c r="D101" i="272"/>
  <c r="C101" i="272"/>
  <c r="B101" i="272"/>
  <c r="A101" i="272"/>
  <c r="AF100" i="272"/>
  <c r="AE100" i="272"/>
  <c r="AD100" i="272"/>
  <c r="AC100" i="272"/>
  <c r="AB100" i="272"/>
  <c r="AA100" i="272"/>
  <c r="Z100" i="272"/>
  <c r="Y100" i="272"/>
  <c r="X100" i="272"/>
  <c r="V100" i="272"/>
  <c r="V99" i="272" s="1"/>
  <c r="U100" i="272"/>
  <c r="R100" i="272"/>
  <c r="Q100" i="272"/>
  <c r="P100" i="272"/>
  <c r="O100" i="272"/>
  <c r="N100" i="272"/>
  <c r="I100" i="272"/>
  <c r="H100" i="272"/>
  <c r="G100" i="272"/>
  <c r="F100" i="272"/>
  <c r="E100" i="272"/>
  <c r="D100" i="272"/>
  <c r="C100" i="272"/>
  <c r="B100" i="272"/>
  <c r="A100" i="272"/>
  <c r="Y99" i="272"/>
  <c r="M99" i="272"/>
  <c r="AF98" i="272"/>
  <c r="AE98" i="272"/>
  <c r="AB98" i="272"/>
  <c r="AA98" i="272"/>
  <c r="Z98" i="272"/>
  <c r="Y98" i="272"/>
  <c r="X98" i="272"/>
  <c r="W98" i="272"/>
  <c r="W85" i="272" s="1"/>
  <c r="U98" i="272"/>
  <c r="AF97" i="272"/>
  <c r="AE97" i="272"/>
  <c r="AB97" i="272"/>
  <c r="AA97" i="272"/>
  <c r="Z97" i="272"/>
  <c r="Y97" i="272"/>
  <c r="X97" i="272"/>
  <c r="V97" i="272"/>
  <c r="U97" i="272"/>
  <c r="AF96" i="272"/>
  <c r="AE96" i="272"/>
  <c r="AD96" i="272"/>
  <c r="AC96" i="272"/>
  <c r="AB96" i="272"/>
  <c r="AA96" i="272"/>
  <c r="Z96" i="272"/>
  <c r="Y96" i="272"/>
  <c r="X96" i="272"/>
  <c r="V96" i="272"/>
  <c r="U96" i="272"/>
  <c r="R96" i="272"/>
  <c r="Q96" i="272"/>
  <c r="P96" i="272"/>
  <c r="O96" i="272"/>
  <c r="N96" i="272"/>
  <c r="AF95" i="272"/>
  <c r="AE95" i="272"/>
  <c r="AD95" i="272"/>
  <c r="AC95" i="272"/>
  <c r="AB95" i="272"/>
  <c r="AA95" i="272"/>
  <c r="Z95" i="272"/>
  <c r="Y95" i="272"/>
  <c r="X95" i="272"/>
  <c r="V95" i="272"/>
  <c r="U95" i="272"/>
  <c r="R95" i="272"/>
  <c r="Q95" i="272"/>
  <c r="P95" i="272"/>
  <c r="S95" i="272" s="1"/>
  <c r="O95" i="272"/>
  <c r="N95" i="272"/>
  <c r="I95" i="272"/>
  <c r="H95" i="272"/>
  <c r="G95" i="272"/>
  <c r="F95" i="272"/>
  <c r="E95" i="272"/>
  <c r="D95" i="272"/>
  <c r="C95" i="272"/>
  <c r="B95" i="272"/>
  <c r="A95" i="272"/>
  <c r="AF94" i="272"/>
  <c r="AE94" i="272"/>
  <c r="AD94" i="272"/>
  <c r="AC94" i="272"/>
  <c r="AB94" i="272"/>
  <c r="AA94" i="272"/>
  <c r="Z94" i="272"/>
  <c r="Y94" i="272"/>
  <c r="X94" i="272"/>
  <c r="V94" i="272"/>
  <c r="U94" i="272"/>
  <c r="R94" i="272"/>
  <c r="Q94" i="272"/>
  <c r="P94" i="272"/>
  <c r="S94" i="272" s="1"/>
  <c r="O94" i="272"/>
  <c r="N94" i="272"/>
  <c r="I94" i="272"/>
  <c r="H94" i="272"/>
  <c r="G94" i="272"/>
  <c r="F94" i="272"/>
  <c r="E94" i="272"/>
  <c r="D94" i="272"/>
  <c r="C94" i="272"/>
  <c r="B94" i="272"/>
  <c r="A94" i="272"/>
  <c r="AF93" i="272"/>
  <c r="AE93" i="272"/>
  <c r="AB93" i="272"/>
  <c r="AA93" i="272"/>
  <c r="Z93" i="272"/>
  <c r="Y93" i="272"/>
  <c r="X93" i="272"/>
  <c r="V93" i="272"/>
  <c r="R93" i="272"/>
  <c r="Q93" i="272"/>
  <c r="P93" i="272"/>
  <c r="O93" i="272"/>
  <c r="N93" i="272"/>
  <c r="AF92" i="272"/>
  <c r="AE92" i="272"/>
  <c r="AD92" i="272"/>
  <c r="AC92" i="272"/>
  <c r="AB92" i="272"/>
  <c r="AA92" i="272"/>
  <c r="Z92" i="272"/>
  <c r="Y92" i="272"/>
  <c r="X92" i="272"/>
  <c r="V92" i="272"/>
  <c r="U92" i="272"/>
  <c r="R92" i="272"/>
  <c r="Q92" i="272"/>
  <c r="P92" i="272"/>
  <c r="O92" i="272"/>
  <c r="N92" i="272"/>
  <c r="I92" i="272"/>
  <c r="H92" i="272"/>
  <c r="G92" i="272"/>
  <c r="F92" i="272"/>
  <c r="E92" i="272"/>
  <c r="D92" i="272"/>
  <c r="C92" i="272"/>
  <c r="B92" i="272"/>
  <c r="A92" i="272"/>
  <c r="AF91" i="272"/>
  <c r="AE91" i="272"/>
  <c r="AD91" i="272"/>
  <c r="AC91" i="272"/>
  <c r="AB91" i="272"/>
  <c r="AA91" i="272"/>
  <c r="Z91" i="272"/>
  <c r="Y91" i="272"/>
  <c r="X91" i="272"/>
  <c r="V91" i="272"/>
  <c r="U91" i="272"/>
  <c r="R91" i="272"/>
  <c r="Q91" i="272"/>
  <c r="P91" i="272"/>
  <c r="S91" i="272" s="1"/>
  <c r="O91" i="272"/>
  <c r="N91" i="272"/>
  <c r="I91" i="272"/>
  <c r="H91" i="272"/>
  <c r="G91" i="272"/>
  <c r="F91" i="272"/>
  <c r="E91" i="272"/>
  <c r="D91" i="272"/>
  <c r="C91" i="272"/>
  <c r="B91" i="272"/>
  <c r="A91" i="272"/>
  <c r="AF90" i="272"/>
  <c r="AE90" i="272"/>
  <c r="AD90" i="272"/>
  <c r="AC90" i="272"/>
  <c r="AB90" i="272"/>
  <c r="AA90" i="272"/>
  <c r="Z90" i="272"/>
  <c r="Y90" i="272"/>
  <c r="X90" i="272"/>
  <c r="V90" i="272"/>
  <c r="U90" i="272"/>
  <c r="R90" i="272"/>
  <c r="Q90" i="272"/>
  <c r="P90" i="272"/>
  <c r="S90" i="272" s="1"/>
  <c r="O90" i="272"/>
  <c r="N90" i="272"/>
  <c r="I90" i="272"/>
  <c r="H90" i="272"/>
  <c r="G90" i="272"/>
  <c r="F90" i="272"/>
  <c r="E90" i="272"/>
  <c r="D90" i="272"/>
  <c r="C90" i="272"/>
  <c r="B90" i="272"/>
  <c r="A90" i="272"/>
  <c r="AF89" i="272"/>
  <c r="AE89" i="272"/>
  <c r="AD89" i="272"/>
  <c r="AC89" i="272"/>
  <c r="AB89" i="272"/>
  <c r="AA89" i="272"/>
  <c r="Z89" i="272"/>
  <c r="Y89" i="272"/>
  <c r="X89" i="272"/>
  <c r="V89" i="272"/>
  <c r="U89" i="272"/>
  <c r="R89" i="272"/>
  <c r="Q89" i="272"/>
  <c r="Q85" i="272" s="1"/>
  <c r="P89" i="272"/>
  <c r="O89" i="272"/>
  <c r="N89" i="272"/>
  <c r="I89" i="272"/>
  <c r="H89" i="272"/>
  <c r="G89" i="272"/>
  <c r="F89" i="272"/>
  <c r="E89" i="272"/>
  <c r="D89" i="272"/>
  <c r="C89" i="272"/>
  <c r="B89" i="272"/>
  <c r="A89" i="272"/>
  <c r="AF88" i="272"/>
  <c r="AE88" i="272"/>
  <c r="AD88" i="272"/>
  <c r="AC88" i="272"/>
  <c r="AB88" i="272"/>
  <c r="AA88" i="272"/>
  <c r="Z88" i="272"/>
  <c r="Y88" i="272"/>
  <c r="X88" i="272"/>
  <c r="V88" i="272"/>
  <c r="U88" i="272"/>
  <c r="R88" i="272"/>
  <c r="Q88" i="272"/>
  <c r="P88" i="272"/>
  <c r="O88" i="272"/>
  <c r="N88" i="272"/>
  <c r="I88" i="272"/>
  <c r="H88" i="272"/>
  <c r="G88" i="272"/>
  <c r="F88" i="272"/>
  <c r="E88" i="272"/>
  <c r="D88" i="272"/>
  <c r="C88" i="272"/>
  <c r="B88" i="272"/>
  <c r="A88" i="272"/>
  <c r="AF87" i="272"/>
  <c r="AE87" i="272"/>
  <c r="AD87" i="272"/>
  <c r="AC87" i="272"/>
  <c r="AB87" i="272"/>
  <c r="AA87" i="272"/>
  <c r="Z87" i="272"/>
  <c r="Y87" i="272"/>
  <c r="X87" i="272"/>
  <c r="V87" i="272"/>
  <c r="R87" i="272"/>
  <c r="Q87" i="272"/>
  <c r="P87" i="272"/>
  <c r="O87" i="272"/>
  <c r="N87" i="272"/>
  <c r="AF86" i="272"/>
  <c r="AE86" i="272"/>
  <c r="AD86" i="272"/>
  <c r="AC86" i="272"/>
  <c r="AB86" i="272"/>
  <c r="AA86" i="272"/>
  <c r="Z86" i="272"/>
  <c r="Y86" i="272"/>
  <c r="Y85" i="272" s="1"/>
  <c r="X86" i="272"/>
  <c r="W86" i="272"/>
  <c r="V86" i="272"/>
  <c r="R86" i="272"/>
  <c r="R85" i="272" s="1"/>
  <c r="Q86" i="272"/>
  <c r="P86" i="272"/>
  <c r="O86" i="272"/>
  <c r="N86" i="272"/>
  <c r="O85" i="272"/>
  <c r="M85" i="272"/>
  <c r="AF84" i="272"/>
  <c r="AE84" i="272"/>
  <c r="AD84" i="272"/>
  <c r="AC84" i="272"/>
  <c r="AB84" i="272"/>
  <c r="AA84" i="272"/>
  <c r="Z84" i="272"/>
  <c r="Y84" i="272"/>
  <c r="X84" i="272"/>
  <c r="V84" i="272"/>
  <c r="U84" i="272"/>
  <c r="R84" i="272"/>
  <c r="Q84" i="272"/>
  <c r="P84" i="272"/>
  <c r="S84" i="272" s="1"/>
  <c r="O84" i="272"/>
  <c r="N84" i="272"/>
  <c r="I84" i="272"/>
  <c r="H84" i="272"/>
  <c r="G84" i="272"/>
  <c r="F84" i="272"/>
  <c r="E84" i="272"/>
  <c r="D84" i="272"/>
  <c r="C84" i="272"/>
  <c r="B84" i="272"/>
  <c r="A84" i="272"/>
  <c r="AF83" i="272"/>
  <c r="AE83" i="272"/>
  <c r="AD83" i="272"/>
  <c r="AC83" i="272"/>
  <c r="AB83" i="272"/>
  <c r="AA83" i="272"/>
  <c r="Z83" i="272"/>
  <c r="Y83" i="272"/>
  <c r="X83" i="272"/>
  <c r="V83" i="272"/>
  <c r="V81" i="272" s="1"/>
  <c r="U83" i="272"/>
  <c r="R83" i="272"/>
  <c r="Q83" i="272"/>
  <c r="P83" i="272"/>
  <c r="S83" i="272" s="1"/>
  <c r="O83" i="272"/>
  <c r="N83" i="272"/>
  <c r="I83" i="272"/>
  <c r="H83" i="272"/>
  <c r="G83" i="272"/>
  <c r="F83" i="272"/>
  <c r="E83" i="272"/>
  <c r="D83" i="272"/>
  <c r="C83" i="272"/>
  <c r="B83" i="272"/>
  <c r="A83" i="272"/>
  <c r="AF82" i="272"/>
  <c r="AE82" i="272"/>
  <c r="AD82" i="272"/>
  <c r="AC82" i="272"/>
  <c r="AB82" i="272"/>
  <c r="AA82" i="272"/>
  <c r="Z82" i="272"/>
  <c r="Y82" i="272"/>
  <c r="Y81" i="272" s="1"/>
  <c r="X82" i="272"/>
  <c r="X81" i="272" s="1"/>
  <c r="V82" i="272"/>
  <c r="U82" i="272"/>
  <c r="R82" i="272"/>
  <c r="R81" i="272" s="1"/>
  <c r="Q82" i="272"/>
  <c r="Q81" i="272" s="1"/>
  <c r="P82" i="272"/>
  <c r="O82" i="272"/>
  <c r="N82" i="272"/>
  <c r="I82" i="272"/>
  <c r="H82" i="272"/>
  <c r="G82" i="272"/>
  <c r="F82" i="272"/>
  <c r="E82" i="272"/>
  <c r="D82" i="272"/>
  <c r="C82" i="272"/>
  <c r="B82" i="272"/>
  <c r="A82" i="272"/>
  <c r="W81" i="272"/>
  <c r="M81" i="272"/>
  <c r="AF80" i="272"/>
  <c r="AE80" i="272"/>
  <c r="AD80" i="272"/>
  <c r="AC80" i="272"/>
  <c r="AB80" i="272"/>
  <c r="AA80" i="272"/>
  <c r="Z80" i="272"/>
  <c r="Y80" i="272"/>
  <c r="X80" i="272"/>
  <c r="V80" i="272"/>
  <c r="U80" i="272"/>
  <c r="Q80" i="272"/>
  <c r="P80" i="272"/>
  <c r="S80" i="272" s="1"/>
  <c r="O80" i="272"/>
  <c r="N80" i="272"/>
  <c r="I80" i="272"/>
  <c r="H80" i="272"/>
  <c r="G80" i="272"/>
  <c r="F80" i="272"/>
  <c r="E80" i="272"/>
  <c r="D80" i="272"/>
  <c r="C80" i="272"/>
  <c r="B80" i="272"/>
  <c r="A80" i="272"/>
  <c r="AF79" i="272"/>
  <c r="AE79" i="272"/>
  <c r="AD79" i="272"/>
  <c r="AC79" i="272"/>
  <c r="AB79" i="272"/>
  <c r="AA79" i="272"/>
  <c r="Z79" i="272"/>
  <c r="Y79" i="272"/>
  <c r="X79" i="272"/>
  <c r="V79" i="272"/>
  <c r="U79" i="272"/>
  <c r="R79" i="272"/>
  <c r="Q79" i="272"/>
  <c r="P79" i="272"/>
  <c r="S79" i="272" s="1"/>
  <c r="O79" i="272"/>
  <c r="N79" i="272"/>
  <c r="I79" i="272"/>
  <c r="H79" i="272"/>
  <c r="G79" i="272"/>
  <c r="F79" i="272"/>
  <c r="E79" i="272"/>
  <c r="D79" i="272"/>
  <c r="C79" i="272"/>
  <c r="B79" i="272"/>
  <c r="A79" i="272"/>
  <c r="AF78" i="272"/>
  <c r="AE78" i="272"/>
  <c r="AD78" i="272"/>
  <c r="AC78" i="272"/>
  <c r="AB78" i="272"/>
  <c r="AA78" i="272"/>
  <c r="Z78" i="272"/>
  <c r="Y78" i="272"/>
  <c r="X78" i="272"/>
  <c r="V78" i="272"/>
  <c r="U78" i="272"/>
  <c r="R78" i="272"/>
  <c r="Q78" i="272"/>
  <c r="P78" i="272"/>
  <c r="O78" i="272"/>
  <c r="N78" i="272"/>
  <c r="I78" i="272"/>
  <c r="H78" i="272"/>
  <c r="G78" i="272"/>
  <c r="F78" i="272"/>
  <c r="E78" i="272"/>
  <c r="D78" i="272"/>
  <c r="C78" i="272"/>
  <c r="B78" i="272"/>
  <c r="A78" i="272"/>
  <c r="AF77" i="272"/>
  <c r="AE77" i="272"/>
  <c r="AD77" i="272"/>
  <c r="AC77" i="272"/>
  <c r="AB77" i="272"/>
  <c r="AA77" i="272"/>
  <c r="Z77" i="272"/>
  <c r="Y77" i="272"/>
  <c r="X77" i="272"/>
  <c r="V77" i="272"/>
  <c r="U77" i="272"/>
  <c r="R77" i="272"/>
  <c r="Q77" i="272"/>
  <c r="P77" i="272"/>
  <c r="O77" i="272"/>
  <c r="N77" i="272"/>
  <c r="I77" i="272"/>
  <c r="H77" i="272"/>
  <c r="G77" i="272"/>
  <c r="F77" i="272"/>
  <c r="E77" i="272"/>
  <c r="D77" i="272"/>
  <c r="C77" i="272"/>
  <c r="B77" i="272"/>
  <c r="A77" i="272"/>
  <c r="AF76" i="272"/>
  <c r="AE76" i="272"/>
  <c r="AD76" i="272"/>
  <c r="AC76" i="272"/>
  <c r="AB76" i="272"/>
  <c r="AA76" i="272"/>
  <c r="Z76" i="272"/>
  <c r="Y76" i="272"/>
  <c r="X76" i="272"/>
  <c r="V76" i="272"/>
  <c r="U76" i="272"/>
  <c r="R76" i="272"/>
  <c r="Q76" i="272"/>
  <c r="P76" i="272"/>
  <c r="S76" i="272" s="1"/>
  <c r="O76" i="272"/>
  <c r="N76" i="272"/>
  <c r="I76" i="272"/>
  <c r="H76" i="272"/>
  <c r="G76" i="272"/>
  <c r="F76" i="272"/>
  <c r="E76" i="272"/>
  <c r="D76" i="272"/>
  <c r="C76" i="272"/>
  <c r="B76" i="272"/>
  <c r="A76" i="272"/>
  <c r="AF75" i="272"/>
  <c r="AE75" i="272"/>
  <c r="AD75" i="272"/>
  <c r="AC75" i="272"/>
  <c r="AB75" i="272"/>
  <c r="AA75" i="272"/>
  <c r="Z75" i="272"/>
  <c r="Y75" i="272"/>
  <c r="X75" i="272"/>
  <c r="V75" i="272"/>
  <c r="U75" i="272"/>
  <c r="R75" i="272"/>
  <c r="Q75" i="272"/>
  <c r="P75" i="272"/>
  <c r="S75" i="272" s="1"/>
  <c r="O75" i="272"/>
  <c r="N75" i="272"/>
  <c r="I75" i="272"/>
  <c r="H75" i="272"/>
  <c r="G75" i="272"/>
  <c r="F75" i="272"/>
  <c r="E75" i="272"/>
  <c r="D75" i="272"/>
  <c r="C75" i="272"/>
  <c r="B75" i="272"/>
  <c r="A75" i="272"/>
  <c r="AF74" i="272"/>
  <c r="AE74" i="272"/>
  <c r="AD74" i="272"/>
  <c r="AC74" i="272"/>
  <c r="AB74" i="272"/>
  <c r="AA74" i="272"/>
  <c r="Z74" i="272"/>
  <c r="Y74" i="272"/>
  <c r="X74" i="272"/>
  <c r="V74" i="272"/>
  <c r="U74" i="272"/>
  <c r="R74" i="272"/>
  <c r="Q74" i="272"/>
  <c r="P74" i="272"/>
  <c r="O74" i="272"/>
  <c r="N74" i="272"/>
  <c r="I74" i="272"/>
  <c r="H74" i="272"/>
  <c r="G74" i="272"/>
  <c r="F74" i="272"/>
  <c r="E74" i="272"/>
  <c r="D74" i="272"/>
  <c r="C74" i="272"/>
  <c r="B74" i="272"/>
  <c r="A74" i="272"/>
  <c r="AF73" i="272"/>
  <c r="AE73" i="272"/>
  <c r="AD73" i="272"/>
  <c r="AC73" i="272"/>
  <c r="AB73" i="272"/>
  <c r="AA73" i="272"/>
  <c r="Z73" i="272"/>
  <c r="Y73" i="272"/>
  <c r="X73" i="272"/>
  <c r="V73" i="272"/>
  <c r="U73" i="272"/>
  <c r="R73" i="272"/>
  <c r="Q73" i="272"/>
  <c r="P73" i="272"/>
  <c r="O73" i="272"/>
  <c r="N73" i="272"/>
  <c r="I73" i="272"/>
  <c r="H73" i="272"/>
  <c r="G73" i="272"/>
  <c r="F73" i="272"/>
  <c r="E73" i="272"/>
  <c r="D73" i="272"/>
  <c r="C73" i="272"/>
  <c r="B73" i="272"/>
  <c r="A73" i="272"/>
  <c r="AF72" i="272"/>
  <c r="AE72" i="272"/>
  <c r="AD72" i="272"/>
  <c r="AC72" i="272"/>
  <c r="AB72" i="272"/>
  <c r="AA72" i="272"/>
  <c r="AA67" i="272" s="1"/>
  <c r="Z72" i="272"/>
  <c r="Y72" i="272"/>
  <c r="X72" i="272"/>
  <c r="V72" i="272"/>
  <c r="U72" i="272"/>
  <c r="R72" i="272"/>
  <c r="Q72" i="272"/>
  <c r="P72" i="272"/>
  <c r="S72" i="272" s="1"/>
  <c r="O72" i="272"/>
  <c r="N72" i="272"/>
  <c r="I72" i="272"/>
  <c r="H72" i="272"/>
  <c r="G72" i="272"/>
  <c r="F72" i="272"/>
  <c r="E72" i="272"/>
  <c r="D72" i="272"/>
  <c r="C72" i="272"/>
  <c r="B72" i="272"/>
  <c r="A72" i="272"/>
  <c r="AF71" i="272"/>
  <c r="AE71" i="272"/>
  <c r="AB71" i="272"/>
  <c r="AA71" i="272"/>
  <c r="Z71" i="272"/>
  <c r="Y71" i="272"/>
  <c r="AF70" i="272"/>
  <c r="AE70" i="272"/>
  <c r="AD70" i="272"/>
  <c r="AC70" i="272"/>
  <c r="AB70" i="272"/>
  <c r="AA70" i="272"/>
  <c r="Z70" i="272"/>
  <c r="Y70" i="272"/>
  <c r="X70" i="272"/>
  <c r="V70" i="272"/>
  <c r="U70" i="272"/>
  <c r="R70" i="272"/>
  <c r="Q70" i="272"/>
  <c r="P70" i="272"/>
  <c r="O70" i="272"/>
  <c r="N70" i="272"/>
  <c r="I70" i="272"/>
  <c r="H70" i="272"/>
  <c r="G70" i="272"/>
  <c r="F70" i="272"/>
  <c r="E70" i="272"/>
  <c r="D70" i="272"/>
  <c r="C70" i="272"/>
  <c r="B70" i="272"/>
  <c r="A70" i="272"/>
  <c r="AF69" i="272"/>
  <c r="AE69" i="272"/>
  <c r="AB69" i="272"/>
  <c r="AA69" i="272"/>
  <c r="Z69" i="272"/>
  <c r="Y69" i="272"/>
  <c r="X69" i="272"/>
  <c r="V69" i="272"/>
  <c r="U69" i="272"/>
  <c r="I69" i="272"/>
  <c r="H69" i="272"/>
  <c r="G69" i="272"/>
  <c r="F69" i="272"/>
  <c r="E69" i="272"/>
  <c r="D69" i="272"/>
  <c r="C69" i="272"/>
  <c r="B69" i="272"/>
  <c r="A69" i="272"/>
  <c r="AF68" i="272"/>
  <c r="AE68" i="272"/>
  <c r="AD68" i="272"/>
  <c r="AC68" i="272"/>
  <c r="AB68" i="272"/>
  <c r="AA68" i="272"/>
  <c r="Z68" i="272"/>
  <c r="Y68" i="272"/>
  <c r="Y67" i="272" s="1"/>
  <c r="X68" i="272"/>
  <c r="X67" i="272" s="1"/>
  <c r="V68" i="272"/>
  <c r="U68" i="272"/>
  <c r="R68" i="272"/>
  <c r="Q68" i="272"/>
  <c r="P68" i="272"/>
  <c r="O68" i="272"/>
  <c r="O67" i="272" s="1"/>
  <c r="N68" i="272"/>
  <c r="I68" i="272"/>
  <c r="H68" i="272"/>
  <c r="G68" i="272"/>
  <c r="F68" i="272"/>
  <c r="E68" i="272"/>
  <c r="D68" i="272"/>
  <c r="C68" i="272"/>
  <c r="B68" i="272"/>
  <c r="A68" i="272"/>
  <c r="W67" i="272"/>
  <c r="Q67" i="272"/>
  <c r="M67" i="272"/>
  <c r="AF66" i="272"/>
  <c r="AE66" i="272"/>
  <c r="AD66" i="272"/>
  <c r="AC66" i="272"/>
  <c r="AB66" i="272"/>
  <c r="AA66" i="272"/>
  <c r="Z66" i="272"/>
  <c r="Y66" i="272"/>
  <c r="X66" i="272"/>
  <c r="W66" i="272"/>
  <c r="W65" i="272" s="1"/>
  <c r="R66" i="272"/>
  <c r="Q66" i="272"/>
  <c r="P66" i="272"/>
  <c r="P65" i="272" s="1"/>
  <c r="O66" i="272"/>
  <c r="O65" i="272" s="1"/>
  <c r="N66" i="272"/>
  <c r="Y65" i="272"/>
  <c r="V65" i="272"/>
  <c r="R65" i="272"/>
  <c r="AF64" i="272"/>
  <c r="AE64" i="272"/>
  <c r="AD64" i="272"/>
  <c r="AC64" i="272"/>
  <c r="AB64" i="272"/>
  <c r="AA64" i="272"/>
  <c r="Z64" i="272"/>
  <c r="Y64" i="272"/>
  <c r="X64" i="272"/>
  <c r="V64" i="272"/>
  <c r="U64" i="272"/>
  <c r="R64" i="272"/>
  <c r="Q64" i="272"/>
  <c r="P64" i="272"/>
  <c r="S64" i="272" s="1"/>
  <c r="O64" i="272"/>
  <c r="N64" i="272"/>
  <c r="I64" i="272"/>
  <c r="H64" i="272"/>
  <c r="G64" i="272"/>
  <c r="F64" i="272"/>
  <c r="E64" i="272"/>
  <c r="D64" i="272"/>
  <c r="C64" i="272"/>
  <c r="B64" i="272"/>
  <c r="A64" i="272"/>
  <c r="AF63" i="272"/>
  <c r="AE63" i="272"/>
  <c r="AD63" i="272"/>
  <c r="AC63" i="272"/>
  <c r="AB63" i="272"/>
  <c r="AA63" i="272"/>
  <c r="Z63" i="272"/>
  <c r="Y63" i="272"/>
  <c r="X63" i="272"/>
  <c r="V63" i="272"/>
  <c r="U63" i="272"/>
  <c r="R63" i="272"/>
  <c r="R58" i="272" s="1"/>
  <c r="Q63" i="272"/>
  <c r="P63" i="272"/>
  <c r="O63" i="272"/>
  <c r="N63" i="272"/>
  <c r="I63" i="272"/>
  <c r="H63" i="272"/>
  <c r="G63" i="272"/>
  <c r="F63" i="272"/>
  <c r="E63" i="272"/>
  <c r="D63" i="272"/>
  <c r="C63" i="272"/>
  <c r="B63" i="272"/>
  <c r="A63" i="272"/>
  <c r="AF62" i="272"/>
  <c r="AE62" i="272"/>
  <c r="AD62" i="272"/>
  <c r="AC62" i="272"/>
  <c r="AB62" i="272"/>
  <c r="AA62" i="272"/>
  <c r="Z62" i="272"/>
  <c r="Y62" i="272"/>
  <c r="X62" i="272"/>
  <c r="V62" i="272"/>
  <c r="AF61" i="272"/>
  <c r="AE61" i="272"/>
  <c r="AD61" i="272"/>
  <c r="AC61" i="272"/>
  <c r="AB61" i="272"/>
  <c r="AA61" i="272"/>
  <c r="Z61" i="272"/>
  <c r="Y61" i="272"/>
  <c r="AF60" i="272"/>
  <c r="AE60" i="272"/>
  <c r="AD60" i="272"/>
  <c r="AC60" i="272"/>
  <c r="AB60" i="272"/>
  <c r="AA60" i="272"/>
  <c r="Z60" i="272"/>
  <c r="Y60" i="272"/>
  <c r="AH60" i="272" s="1"/>
  <c r="X60" i="272"/>
  <c r="V60" i="272"/>
  <c r="U60" i="272"/>
  <c r="R60" i="272"/>
  <c r="Q60" i="272"/>
  <c r="S60" i="272" s="1"/>
  <c r="N60" i="272"/>
  <c r="I60" i="272"/>
  <c r="H60" i="272"/>
  <c r="G60" i="272"/>
  <c r="F60" i="272"/>
  <c r="E60" i="272"/>
  <c r="D60" i="272"/>
  <c r="C60" i="272"/>
  <c r="B60" i="272"/>
  <c r="A60" i="272"/>
  <c r="AF59" i="272"/>
  <c r="AE59" i="272"/>
  <c r="AD59" i="272"/>
  <c r="AC59" i="272"/>
  <c r="AB59" i="272"/>
  <c r="AA59" i="272"/>
  <c r="Z59" i="272"/>
  <c r="Y59" i="272"/>
  <c r="X59" i="272"/>
  <c r="V59" i="272"/>
  <c r="U59" i="272"/>
  <c r="R59" i="272"/>
  <c r="Q59" i="272"/>
  <c r="P59" i="272"/>
  <c r="O59" i="272"/>
  <c r="O58" i="272" s="1"/>
  <c r="N59" i="272"/>
  <c r="I59" i="272"/>
  <c r="H59" i="272"/>
  <c r="G59" i="272"/>
  <c r="F59" i="272"/>
  <c r="E59" i="272"/>
  <c r="D59" i="272"/>
  <c r="C59" i="272"/>
  <c r="B59" i="272"/>
  <c r="A59" i="272"/>
  <c r="W58" i="272"/>
  <c r="Q58" i="272"/>
  <c r="M58" i="272"/>
  <c r="L58" i="272"/>
  <c r="AF57" i="272"/>
  <c r="AE57" i="272"/>
  <c r="AD57" i="272"/>
  <c r="AC57" i="272"/>
  <c r="AB57" i="272"/>
  <c r="AA57" i="272"/>
  <c r="Z57" i="272"/>
  <c r="Y57" i="272"/>
  <c r="X57" i="272"/>
  <c r="V57" i="272"/>
  <c r="U57" i="272"/>
  <c r="R57" i="272"/>
  <c r="Q57" i="272"/>
  <c r="S57" i="272" s="1"/>
  <c r="P57" i="272"/>
  <c r="O57" i="272"/>
  <c r="N57" i="272"/>
  <c r="I57" i="272"/>
  <c r="H57" i="272"/>
  <c r="G57" i="272"/>
  <c r="F57" i="272"/>
  <c r="E57" i="272"/>
  <c r="D57" i="272"/>
  <c r="C57" i="272"/>
  <c r="B57" i="272"/>
  <c r="A57" i="272"/>
  <c r="AF56" i="272"/>
  <c r="AE56" i="272"/>
  <c r="AD56" i="272"/>
  <c r="AC56" i="272"/>
  <c r="AB56" i="272"/>
  <c r="AA56" i="272"/>
  <c r="Z56" i="272"/>
  <c r="Y56" i="272"/>
  <c r="Y55" i="272" s="1"/>
  <c r="X56" i="272"/>
  <c r="V56" i="272"/>
  <c r="V55" i="272" s="1"/>
  <c r="U56" i="272"/>
  <c r="R56" i="272"/>
  <c r="R55" i="272" s="1"/>
  <c r="Q56" i="272"/>
  <c r="P56" i="272"/>
  <c r="P55" i="272" s="1"/>
  <c r="O56" i="272"/>
  <c r="O55" i="272" s="1"/>
  <c r="N56" i="272"/>
  <c r="I56" i="272"/>
  <c r="H56" i="272"/>
  <c r="G56" i="272"/>
  <c r="F56" i="272"/>
  <c r="E56" i="272"/>
  <c r="D56" i="272"/>
  <c r="C56" i="272"/>
  <c r="B56" i="272"/>
  <c r="A56" i="272"/>
  <c r="W55" i="272"/>
  <c r="M55" i="272"/>
  <c r="L55" i="272"/>
  <c r="AF54" i="272"/>
  <c r="AE54" i="272"/>
  <c r="AD54" i="272"/>
  <c r="AC54" i="272"/>
  <c r="AB54" i="272"/>
  <c r="AA54" i="272"/>
  <c r="Z54" i="272"/>
  <c r="Y54" i="272"/>
  <c r="X54" i="272"/>
  <c r="V54" i="272"/>
  <c r="U54" i="272"/>
  <c r="Q54" i="272"/>
  <c r="P54" i="272"/>
  <c r="O54" i="272"/>
  <c r="N54" i="272"/>
  <c r="AF53" i="272"/>
  <c r="AE53" i="272"/>
  <c r="AD53" i="272"/>
  <c r="AC53" i="272"/>
  <c r="AB53" i="272"/>
  <c r="AA53" i="272"/>
  <c r="Z53" i="272"/>
  <c r="Y53" i="272"/>
  <c r="X53" i="272"/>
  <c r="V53" i="272"/>
  <c r="U53" i="272"/>
  <c r="Q53" i="272"/>
  <c r="P53" i="272"/>
  <c r="S53" i="272" s="1"/>
  <c r="O53" i="272"/>
  <c r="N53" i="272"/>
  <c r="I53" i="272"/>
  <c r="H53" i="272"/>
  <c r="G53" i="272"/>
  <c r="F53" i="272"/>
  <c r="E53" i="272"/>
  <c r="D53" i="272"/>
  <c r="C53" i="272"/>
  <c r="B53" i="272"/>
  <c r="A53" i="272"/>
  <c r="AF52" i="272"/>
  <c r="AE52" i="272"/>
  <c r="AD52" i="272"/>
  <c r="AC52" i="272"/>
  <c r="AB52" i="272"/>
  <c r="AA52" i="272"/>
  <c r="Z52" i="272"/>
  <c r="Y52" i="272"/>
  <c r="X52" i="272"/>
  <c r="V52" i="272"/>
  <c r="U52" i="272"/>
  <c r="Q52" i="272"/>
  <c r="P52" i="272"/>
  <c r="S52" i="272" s="1"/>
  <c r="O52" i="272"/>
  <c r="N52" i="272"/>
  <c r="I52" i="272"/>
  <c r="H52" i="272"/>
  <c r="G52" i="272"/>
  <c r="F52" i="272"/>
  <c r="E52" i="272"/>
  <c r="D52" i="272"/>
  <c r="C52" i="272"/>
  <c r="B52" i="272"/>
  <c r="A52" i="272"/>
  <c r="AE51" i="272"/>
  <c r="AB51" i="272"/>
  <c r="AA51" i="272"/>
  <c r="Z51" i="272"/>
  <c r="Y51" i="272"/>
  <c r="Y43" i="272" s="1"/>
  <c r="X51" i="272"/>
  <c r="V51" i="272"/>
  <c r="U51" i="272"/>
  <c r="I51" i="272"/>
  <c r="H51" i="272"/>
  <c r="G51" i="272"/>
  <c r="F51" i="272"/>
  <c r="E51" i="272"/>
  <c r="D51" i="272"/>
  <c r="C51" i="272"/>
  <c r="B51" i="272"/>
  <c r="A51" i="272"/>
  <c r="AE50" i="272"/>
  <c r="AB50" i="272"/>
  <c r="AA50" i="272"/>
  <c r="Z50" i="272"/>
  <c r="Y50" i="272"/>
  <c r="X50" i="272"/>
  <c r="V50" i="272"/>
  <c r="U50" i="272"/>
  <c r="I50" i="272"/>
  <c r="H50" i="272"/>
  <c r="G50" i="272"/>
  <c r="F50" i="272"/>
  <c r="E50" i="272"/>
  <c r="D50" i="272"/>
  <c r="C50" i="272"/>
  <c r="B50" i="272"/>
  <c r="A50" i="272"/>
  <c r="AE49" i="272"/>
  <c r="AB49" i="272"/>
  <c r="AA49" i="272"/>
  <c r="Z49" i="272"/>
  <c r="Y49" i="272"/>
  <c r="AF48" i="272"/>
  <c r="AE48" i="272"/>
  <c r="AD48" i="272"/>
  <c r="AC48" i="272"/>
  <c r="AB48" i="272"/>
  <c r="AA48" i="272"/>
  <c r="Z48" i="272"/>
  <c r="Y48" i="272"/>
  <c r="X48" i="272"/>
  <c r="V48" i="272"/>
  <c r="U48" i="272"/>
  <c r="Q48" i="272"/>
  <c r="O48" i="272"/>
  <c r="N48" i="272"/>
  <c r="I48" i="272"/>
  <c r="H48" i="272"/>
  <c r="G48" i="272"/>
  <c r="F48" i="272"/>
  <c r="E48" i="272"/>
  <c r="D48" i="272"/>
  <c r="C48" i="272"/>
  <c r="B48" i="272"/>
  <c r="A48" i="272"/>
  <c r="AF47" i="272"/>
  <c r="AE47" i="272"/>
  <c r="AD47" i="272"/>
  <c r="AC47" i="272"/>
  <c r="AB47" i="272"/>
  <c r="AA47" i="272"/>
  <c r="Z47" i="272"/>
  <c r="Y47" i="272"/>
  <c r="X47" i="272"/>
  <c r="V47" i="272"/>
  <c r="U47" i="272"/>
  <c r="Q47" i="272"/>
  <c r="P47" i="272"/>
  <c r="S47" i="272" s="1"/>
  <c r="O47" i="272"/>
  <c r="N47" i="272"/>
  <c r="I47" i="272"/>
  <c r="H47" i="272"/>
  <c r="G47" i="272"/>
  <c r="F47" i="272"/>
  <c r="E47" i="272"/>
  <c r="D47" i="272"/>
  <c r="C47" i="272"/>
  <c r="B47" i="272"/>
  <c r="A47" i="272"/>
  <c r="AF46" i="272"/>
  <c r="AE46" i="272"/>
  <c r="AD46" i="272"/>
  <c r="AC46" i="272"/>
  <c r="AB46" i="272"/>
  <c r="AA46" i="272"/>
  <c r="Z46" i="272"/>
  <c r="Y46" i="272"/>
  <c r="X46" i="272"/>
  <c r="V46" i="272"/>
  <c r="U46" i="272"/>
  <c r="Q46" i="272"/>
  <c r="P46" i="272"/>
  <c r="S46" i="272" s="1"/>
  <c r="O46" i="272"/>
  <c r="O43" i="272" s="1"/>
  <c r="N46" i="272"/>
  <c r="I46" i="272"/>
  <c r="H46" i="272"/>
  <c r="G46" i="272"/>
  <c r="F46" i="272"/>
  <c r="E46" i="272"/>
  <c r="D46" i="272"/>
  <c r="C46" i="272"/>
  <c r="B46" i="272"/>
  <c r="A46" i="272"/>
  <c r="AF45" i="272"/>
  <c r="AE45" i="272"/>
  <c r="AB45" i="272"/>
  <c r="AA45" i="272"/>
  <c r="Z45" i="272"/>
  <c r="Y45" i="272"/>
  <c r="X45" i="272"/>
  <c r="V45" i="272"/>
  <c r="U45" i="272"/>
  <c r="AF44" i="272"/>
  <c r="AE44" i="272"/>
  <c r="AD44" i="272"/>
  <c r="AC44" i="272"/>
  <c r="AB44" i="272"/>
  <c r="AA44" i="272"/>
  <c r="Z44" i="272"/>
  <c r="Y44" i="272"/>
  <c r="X44" i="272"/>
  <c r="V44" i="272"/>
  <c r="U44" i="272"/>
  <c r="R44" i="272"/>
  <c r="R43" i="272" s="1"/>
  <c r="Q44" i="272"/>
  <c r="P44" i="272"/>
  <c r="S44" i="272" s="1"/>
  <c r="O44" i="272"/>
  <c r="N44" i="272"/>
  <c r="W43" i="272"/>
  <c r="M43" i="272"/>
  <c r="L43" i="272"/>
  <c r="AF42" i="272"/>
  <c r="AE42" i="272"/>
  <c r="AD42" i="272"/>
  <c r="AC42" i="272"/>
  <c r="AB42" i="272"/>
  <c r="AA42" i="272"/>
  <c r="Z42" i="272"/>
  <c r="Y42" i="272"/>
  <c r="X42" i="272"/>
  <c r="V42" i="272"/>
  <c r="U42" i="272"/>
  <c r="R42" i="272"/>
  <c r="Q42" i="272"/>
  <c r="P42" i="272"/>
  <c r="O42" i="272"/>
  <c r="N42" i="272"/>
  <c r="AF41" i="272"/>
  <c r="AE41" i="272"/>
  <c r="AD41" i="272"/>
  <c r="AC41" i="272"/>
  <c r="AB41" i="272"/>
  <c r="AA41" i="272"/>
  <c r="Z41" i="272"/>
  <c r="Y41" i="272"/>
  <c r="X41" i="272"/>
  <c r="V41" i="272"/>
  <c r="U41" i="272"/>
  <c r="R41" i="272"/>
  <c r="Q41" i="272"/>
  <c r="N41" i="272"/>
  <c r="AF40" i="272"/>
  <c r="AE40" i="272"/>
  <c r="AD40" i="272"/>
  <c r="AC40" i="272"/>
  <c r="AB40" i="272"/>
  <c r="AA40" i="272"/>
  <c r="Z40" i="272"/>
  <c r="Y40" i="272"/>
  <c r="X40" i="272"/>
  <c r="V40" i="272"/>
  <c r="U40" i="272"/>
  <c r="R40" i="272"/>
  <c r="Q40" i="272"/>
  <c r="P40" i="272"/>
  <c r="O40" i="272"/>
  <c r="N40" i="272"/>
  <c r="I40" i="272"/>
  <c r="H40" i="272"/>
  <c r="G40" i="272"/>
  <c r="F40" i="272"/>
  <c r="E40" i="272"/>
  <c r="D40" i="272"/>
  <c r="C40" i="272"/>
  <c r="B40" i="272"/>
  <c r="A40" i="272"/>
  <c r="AF39" i="272"/>
  <c r="AE39" i="272"/>
  <c r="AD39" i="272"/>
  <c r="AC39" i="272"/>
  <c r="AB39" i="272"/>
  <c r="AA39" i="272"/>
  <c r="Z39" i="272"/>
  <c r="Y39" i="272"/>
  <c r="X39" i="272"/>
  <c r="V39" i="272"/>
  <c r="U39" i="272"/>
  <c r="R39" i="272"/>
  <c r="Q39" i="272"/>
  <c r="S39" i="272" s="1"/>
  <c r="P39" i="272"/>
  <c r="O39" i="272"/>
  <c r="N39" i="272"/>
  <c r="I39" i="272"/>
  <c r="H39" i="272"/>
  <c r="G39" i="272"/>
  <c r="F39" i="272"/>
  <c r="E39" i="272"/>
  <c r="D39" i="272"/>
  <c r="C39" i="272"/>
  <c r="B39" i="272"/>
  <c r="A39" i="272"/>
  <c r="AF38" i="272"/>
  <c r="AE38" i="272"/>
  <c r="AD38" i="272"/>
  <c r="AC38" i="272"/>
  <c r="AB38" i="272"/>
  <c r="AA38" i="272"/>
  <c r="Z38" i="272"/>
  <c r="Y38" i="272"/>
  <c r="X38" i="272"/>
  <c r="V38" i="272"/>
  <c r="U38" i="272"/>
  <c r="R38" i="272"/>
  <c r="Q38" i="272"/>
  <c r="P38" i="272"/>
  <c r="O38" i="272"/>
  <c r="N38" i="272"/>
  <c r="I38" i="272"/>
  <c r="H38" i="272"/>
  <c r="G38" i="272"/>
  <c r="F38" i="272"/>
  <c r="E38" i="272"/>
  <c r="D38" i="272"/>
  <c r="C38" i="272"/>
  <c r="B38" i="272"/>
  <c r="A38" i="272"/>
  <c r="AF37" i="272"/>
  <c r="AE37" i="272"/>
  <c r="AD37" i="272"/>
  <c r="AC37" i="272"/>
  <c r="AB37" i="272"/>
  <c r="AA37" i="272"/>
  <c r="Z37" i="272"/>
  <c r="Y37" i="272"/>
  <c r="X37" i="272"/>
  <c r="V37" i="272"/>
  <c r="U37" i="272"/>
  <c r="R37" i="272"/>
  <c r="Q37" i="272"/>
  <c r="P37" i="272"/>
  <c r="O37" i="272"/>
  <c r="N37" i="272"/>
  <c r="I37" i="272"/>
  <c r="H37" i="272"/>
  <c r="G37" i="272"/>
  <c r="F37" i="272"/>
  <c r="E37" i="272"/>
  <c r="D37" i="272"/>
  <c r="C37" i="272"/>
  <c r="B37" i="272"/>
  <c r="A37" i="272"/>
  <c r="AF36" i="272"/>
  <c r="AE36" i="272"/>
  <c r="AD36" i="272"/>
  <c r="AC36" i="272"/>
  <c r="AB36" i="272"/>
  <c r="AA36" i="272"/>
  <c r="Z36" i="272"/>
  <c r="Y36" i="272"/>
  <c r="X36" i="272"/>
  <c r="V36" i="272"/>
  <c r="U36" i="272"/>
  <c r="R36" i="272"/>
  <c r="Q36" i="272"/>
  <c r="P36" i="272"/>
  <c r="O36" i="272"/>
  <c r="N36" i="272"/>
  <c r="I36" i="272"/>
  <c r="H36" i="272"/>
  <c r="G36" i="272"/>
  <c r="F36" i="272"/>
  <c r="E36" i="272"/>
  <c r="D36" i="272"/>
  <c r="C36" i="272"/>
  <c r="B36" i="272"/>
  <c r="A36" i="272"/>
  <c r="AF35" i="272"/>
  <c r="AE35" i="272"/>
  <c r="AD35" i="272"/>
  <c r="AC35" i="272"/>
  <c r="AB35" i="272"/>
  <c r="AA35" i="272"/>
  <c r="Z35" i="272"/>
  <c r="Y35" i="272"/>
  <c r="X35" i="272"/>
  <c r="V35" i="272"/>
  <c r="U35" i="272"/>
  <c r="R35" i="272"/>
  <c r="Q35" i="272"/>
  <c r="S35" i="272" s="1"/>
  <c r="P35" i="272"/>
  <c r="O35" i="272"/>
  <c r="N35" i="272"/>
  <c r="I35" i="272"/>
  <c r="H35" i="272"/>
  <c r="G35" i="272"/>
  <c r="F35" i="272"/>
  <c r="E35" i="272"/>
  <c r="D35" i="272"/>
  <c r="C35" i="272"/>
  <c r="B35" i="272"/>
  <c r="A35" i="272"/>
  <c r="AF34" i="272"/>
  <c r="AE34" i="272"/>
  <c r="AD34" i="272"/>
  <c r="AC34" i="272"/>
  <c r="AB34" i="272"/>
  <c r="AA34" i="272"/>
  <c r="Z34" i="272"/>
  <c r="Y34" i="272"/>
  <c r="X34" i="272"/>
  <c r="V34" i="272"/>
  <c r="U34" i="272"/>
  <c r="R34" i="272"/>
  <c r="Q34" i="272"/>
  <c r="P34" i="272"/>
  <c r="O34" i="272"/>
  <c r="N34" i="272"/>
  <c r="I34" i="272"/>
  <c r="H34" i="272"/>
  <c r="G34" i="272"/>
  <c r="F34" i="272"/>
  <c r="E34" i="272"/>
  <c r="D34" i="272"/>
  <c r="C34" i="272"/>
  <c r="B34" i="272"/>
  <c r="A34" i="272"/>
  <c r="AF33" i="272"/>
  <c r="AE33" i="272"/>
  <c r="AD33" i="272"/>
  <c r="AC33" i="272"/>
  <c r="AB33" i="272"/>
  <c r="AA33" i="272"/>
  <c r="Z33" i="272"/>
  <c r="Y33" i="272"/>
  <c r="X33" i="272"/>
  <c r="V33" i="272"/>
  <c r="U33" i="272"/>
  <c r="R33" i="272"/>
  <c r="Q33" i="272"/>
  <c r="P33" i="272"/>
  <c r="O33" i="272"/>
  <c r="N33" i="272"/>
  <c r="I33" i="272"/>
  <c r="H33" i="272"/>
  <c r="G33" i="272"/>
  <c r="F33" i="272"/>
  <c r="E33" i="272"/>
  <c r="D33" i="272"/>
  <c r="C33" i="272"/>
  <c r="B33" i="272"/>
  <c r="A33" i="272"/>
  <c r="AF32" i="272"/>
  <c r="AE32" i="272"/>
  <c r="AD32" i="272"/>
  <c r="AC32" i="272"/>
  <c r="AB32" i="272"/>
  <c r="AA32" i="272"/>
  <c r="Z32" i="272"/>
  <c r="Y32" i="272"/>
  <c r="X32" i="272"/>
  <c r="V32" i="272"/>
  <c r="U32" i="272"/>
  <c r="R32" i="272"/>
  <c r="Q32" i="272"/>
  <c r="P32" i="272"/>
  <c r="P30" i="272" s="1"/>
  <c r="O32" i="272"/>
  <c r="N32" i="272"/>
  <c r="I32" i="272"/>
  <c r="H32" i="272"/>
  <c r="G32" i="272"/>
  <c r="F32" i="272"/>
  <c r="E32" i="272"/>
  <c r="D32" i="272"/>
  <c r="C32" i="272"/>
  <c r="B32" i="272"/>
  <c r="A32" i="272"/>
  <c r="AF31" i="272"/>
  <c r="AE31" i="272"/>
  <c r="AD31" i="272"/>
  <c r="AC31" i="272"/>
  <c r="AB31" i="272"/>
  <c r="AA31" i="272"/>
  <c r="Z31" i="272"/>
  <c r="Y31" i="272"/>
  <c r="X31" i="272"/>
  <c r="V31" i="272"/>
  <c r="U31" i="272"/>
  <c r="R31" i="272"/>
  <c r="Q31" i="272"/>
  <c r="P31" i="272"/>
  <c r="O31" i="272"/>
  <c r="N31" i="272"/>
  <c r="I31" i="272"/>
  <c r="H31" i="272"/>
  <c r="G31" i="272"/>
  <c r="F31" i="272"/>
  <c r="E31" i="272"/>
  <c r="D31" i="272"/>
  <c r="C31" i="272"/>
  <c r="B31" i="272"/>
  <c r="A31" i="272"/>
  <c r="W30" i="272"/>
  <c r="O30" i="272"/>
  <c r="M30" i="272"/>
  <c r="L30" i="272"/>
  <c r="AF29" i="272"/>
  <c r="AE29" i="272"/>
  <c r="AD29" i="272"/>
  <c r="AC29" i="272"/>
  <c r="AB29" i="272"/>
  <c r="AA29" i="272"/>
  <c r="Z29" i="272"/>
  <c r="Y29" i="272"/>
  <c r="X29" i="272"/>
  <c r="V29" i="272"/>
  <c r="U29" i="272"/>
  <c r="R29" i="272"/>
  <c r="Q29" i="272"/>
  <c r="P29" i="272"/>
  <c r="O29" i="272"/>
  <c r="N29" i="272"/>
  <c r="AF28" i="272"/>
  <c r="AE28" i="272"/>
  <c r="AD28" i="272"/>
  <c r="AC28" i="272"/>
  <c r="AB28" i="272"/>
  <c r="AA28" i="272"/>
  <c r="Z28" i="272"/>
  <c r="Y28" i="272"/>
  <c r="X28" i="272"/>
  <c r="V28" i="272"/>
  <c r="U28" i="272"/>
  <c r="R28" i="272"/>
  <c r="Q28" i="272"/>
  <c r="P28" i="272"/>
  <c r="S28" i="272" s="1"/>
  <c r="O28" i="272"/>
  <c r="N28" i="272"/>
  <c r="I28" i="272"/>
  <c r="H28" i="272"/>
  <c r="G28" i="272"/>
  <c r="F28" i="272"/>
  <c r="E28" i="272"/>
  <c r="D28" i="272"/>
  <c r="C28" i="272"/>
  <c r="B28" i="272"/>
  <c r="A28" i="272"/>
  <c r="AF27" i="272"/>
  <c r="AE27" i="272"/>
  <c r="AD27" i="272"/>
  <c r="AC27" i="272"/>
  <c r="AB27" i="272"/>
  <c r="AA27" i="272"/>
  <c r="Z27" i="272"/>
  <c r="Y27" i="272"/>
  <c r="X27" i="272"/>
  <c r="V27" i="272"/>
  <c r="U27" i="272"/>
  <c r="R27" i="272"/>
  <c r="Q27" i="272"/>
  <c r="P27" i="272"/>
  <c r="O27" i="272"/>
  <c r="N27" i="272"/>
  <c r="I27" i="272"/>
  <c r="H27" i="272"/>
  <c r="G27" i="272"/>
  <c r="F27" i="272"/>
  <c r="E27" i="272"/>
  <c r="D27" i="272"/>
  <c r="C27" i="272"/>
  <c r="B27" i="272"/>
  <c r="A27" i="272"/>
  <c r="AF26" i="272"/>
  <c r="AE26" i="272"/>
  <c r="AD26" i="272"/>
  <c r="AC26" i="272"/>
  <c r="AB26" i="272"/>
  <c r="AA26" i="272"/>
  <c r="Z26" i="272"/>
  <c r="Y26" i="272"/>
  <c r="X26" i="272"/>
  <c r="V26" i="272"/>
  <c r="U26" i="272"/>
  <c r="R26" i="272"/>
  <c r="Q26" i="272"/>
  <c r="P26" i="272"/>
  <c r="O26" i="272"/>
  <c r="N26" i="272"/>
  <c r="I26" i="272"/>
  <c r="H26" i="272"/>
  <c r="G26" i="272"/>
  <c r="F26" i="272"/>
  <c r="E26" i="272"/>
  <c r="D26" i="272"/>
  <c r="C26" i="272"/>
  <c r="B26" i="272"/>
  <c r="A26" i="272"/>
  <c r="AF25" i="272"/>
  <c r="AE25" i="272"/>
  <c r="AD25" i="272"/>
  <c r="AC25" i="272"/>
  <c r="AB25" i="272"/>
  <c r="AA25" i="272"/>
  <c r="Z25" i="272"/>
  <c r="Y25" i="272"/>
  <c r="X25" i="272"/>
  <c r="V25" i="272"/>
  <c r="U25" i="272"/>
  <c r="R25" i="272"/>
  <c r="Q25" i="272"/>
  <c r="P25" i="272"/>
  <c r="S25" i="272" s="1"/>
  <c r="O25" i="272"/>
  <c r="N25" i="272"/>
  <c r="I25" i="272"/>
  <c r="H25" i="272"/>
  <c r="G25" i="272"/>
  <c r="F25" i="272"/>
  <c r="E25" i="272"/>
  <c r="D25" i="272"/>
  <c r="C25" i="272"/>
  <c r="B25" i="272"/>
  <c r="A25" i="272"/>
  <c r="AF24" i="272"/>
  <c r="AE24" i="272"/>
  <c r="AD24" i="272"/>
  <c r="AC24" i="272"/>
  <c r="AB24" i="272"/>
  <c r="AA24" i="272"/>
  <c r="Z24" i="272"/>
  <c r="Y24" i="272"/>
  <c r="X24" i="272"/>
  <c r="V24" i="272"/>
  <c r="U24" i="272"/>
  <c r="R24" i="272"/>
  <c r="Q24" i="272"/>
  <c r="P24" i="272"/>
  <c r="S24" i="272" s="1"/>
  <c r="O24" i="272"/>
  <c r="N24" i="272"/>
  <c r="I24" i="272"/>
  <c r="H24" i="272"/>
  <c r="G24" i="272"/>
  <c r="F24" i="272"/>
  <c r="E24" i="272"/>
  <c r="D24" i="272"/>
  <c r="C24" i="272"/>
  <c r="B24" i="272"/>
  <c r="A24" i="272"/>
  <c r="AF23" i="272"/>
  <c r="AE23" i="272"/>
  <c r="AD23" i="272"/>
  <c r="AC23" i="272"/>
  <c r="AB23" i="272"/>
  <c r="AA23" i="272"/>
  <c r="Z23" i="272"/>
  <c r="Y23" i="272"/>
  <c r="X23" i="272"/>
  <c r="V23" i="272"/>
  <c r="U23" i="272"/>
  <c r="R23" i="272"/>
  <c r="Q23" i="272"/>
  <c r="Q20" i="272" s="1"/>
  <c r="P23" i="272"/>
  <c r="O23" i="272"/>
  <c r="N23" i="272"/>
  <c r="I23" i="272"/>
  <c r="H23" i="272"/>
  <c r="G23" i="272"/>
  <c r="F23" i="272"/>
  <c r="E23" i="272"/>
  <c r="D23" i="272"/>
  <c r="C23" i="272"/>
  <c r="B23" i="272"/>
  <c r="A23" i="272"/>
  <c r="AF22" i="272"/>
  <c r="AE22" i="272"/>
  <c r="AD22" i="272"/>
  <c r="AC22" i="272"/>
  <c r="AB22" i="272"/>
  <c r="AA22" i="272"/>
  <c r="Z22" i="272"/>
  <c r="Y22" i="272"/>
  <c r="Y20" i="272" s="1"/>
  <c r="X22" i="272"/>
  <c r="V22" i="272"/>
  <c r="U22" i="272"/>
  <c r="R22" i="272"/>
  <c r="Q22" i="272"/>
  <c r="P22" i="272"/>
  <c r="O22" i="272"/>
  <c r="N22" i="272"/>
  <c r="I22" i="272"/>
  <c r="H22" i="272"/>
  <c r="G22" i="272"/>
  <c r="F22" i="272"/>
  <c r="E22" i="272"/>
  <c r="D22" i="272"/>
  <c r="C22" i="272"/>
  <c r="B22" i="272"/>
  <c r="A22" i="272"/>
  <c r="AF21" i="272"/>
  <c r="AE21" i="272"/>
  <c r="AD21" i="272"/>
  <c r="AC21" i="272"/>
  <c r="AB21" i="272"/>
  <c r="AA21" i="272"/>
  <c r="Z21" i="272"/>
  <c r="Y21" i="272"/>
  <c r="X21" i="272"/>
  <c r="V21" i="272"/>
  <c r="U21" i="272"/>
  <c r="R21" i="272"/>
  <c r="Q21" i="272"/>
  <c r="P21" i="272"/>
  <c r="S21" i="272" s="1"/>
  <c r="O21" i="272"/>
  <c r="O20" i="272" s="1"/>
  <c r="N21" i="272"/>
  <c r="W20" i="272"/>
  <c r="M20" i="272"/>
  <c r="L20" i="272"/>
  <c r="AF19" i="272"/>
  <c r="AE19" i="272"/>
  <c r="AD19" i="272"/>
  <c r="AC19" i="272"/>
  <c r="AB19" i="272"/>
  <c r="AA19" i="272"/>
  <c r="Z19" i="272"/>
  <c r="Y19" i="272"/>
  <c r="X19" i="272"/>
  <c r="V19" i="272"/>
  <c r="U19" i="272"/>
  <c r="R19" i="272"/>
  <c r="Q19" i="272"/>
  <c r="P19" i="272"/>
  <c r="O19" i="272"/>
  <c r="N19" i="272"/>
  <c r="I19" i="272"/>
  <c r="H19" i="272"/>
  <c r="G19" i="272"/>
  <c r="F19" i="272"/>
  <c r="E19" i="272"/>
  <c r="D19" i="272"/>
  <c r="C19" i="272"/>
  <c r="B19" i="272"/>
  <c r="A19" i="272"/>
  <c r="AF18" i="272"/>
  <c r="AE18" i="272"/>
  <c r="AD18" i="272"/>
  <c r="AC18" i="272"/>
  <c r="AB18" i="272"/>
  <c r="AA18" i="272"/>
  <c r="Z18" i="272"/>
  <c r="Y18" i="272"/>
  <c r="X18" i="272"/>
  <c r="V18" i="272"/>
  <c r="U18" i="272"/>
  <c r="R18" i="272"/>
  <c r="Q18" i="272"/>
  <c r="P18" i="272"/>
  <c r="O18" i="272"/>
  <c r="N18" i="272"/>
  <c r="I18" i="272"/>
  <c r="H18" i="272"/>
  <c r="G18" i="272"/>
  <c r="F18" i="272"/>
  <c r="E18" i="272"/>
  <c r="D18" i="272"/>
  <c r="C18" i="272"/>
  <c r="B18" i="272"/>
  <c r="A18" i="272"/>
  <c r="AF17" i="272"/>
  <c r="AE17" i="272"/>
  <c r="AD17" i="272"/>
  <c r="AC17" i="272"/>
  <c r="AB17" i="272"/>
  <c r="AA17" i="272"/>
  <c r="Z17" i="272"/>
  <c r="Y17" i="272"/>
  <c r="X17" i="272"/>
  <c r="V17" i="272"/>
  <c r="V14" i="272" s="1"/>
  <c r="U17" i="272"/>
  <c r="R17" i="272"/>
  <c r="Q17" i="272"/>
  <c r="P17" i="272"/>
  <c r="O17" i="272"/>
  <c r="N17" i="272"/>
  <c r="I17" i="272"/>
  <c r="H17" i="272"/>
  <c r="G17" i="272"/>
  <c r="F17" i="272"/>
  <c r="E17" i="272"/>
  <c r="D17" i="272"/>
  <c r="C17" i="272"/>
  <c r="B17" i="272"/>
  <c r="A17" i="272"/>
  <c r="AF16" i="272"/>
  <c r="AE16" i="272"/>
  <c r="AD16" i="272"/>
  <c r="AC16" i="272"/>
  <c r="AB16" i="272"/>
  <c r="AA16" i="272"/>
  <c r="Z16" i="272"/>
  <c r="Y16" i="272"/>
  <c r="X16" i="272"/>
  <c r="V16" i="272"/>
  <c r="U16" i="272"/>
  <c r="R16" i="272"/>
  <c r="Q16" i="272"/>
  <c r="S16" i="272" s="1"/>
  <c r="P16" i="272"/>
  <c r="O16" i="272"/>
  <c r="N16" i="272"/>
  <c r="I16" i="272"/>
  <c r="H16" i="272"/>
  <c r="G16" i="272"/>
  <c r="F16" i="272"/>
  <c r="E16" i="272"/>
  <c r="D16" i="272"/>
  <c r="C16" i="272"/>
  <c r="B16" i="272"/>
  <c r="A16" i="272"/>
  <c r="AF15" i="272"/>
  <c r="AE15" i="272"/>
  <c r="AD15" i="272"/>
  <c r="AC15" i="272"/>
  <c r="AB15" i="272"/>
  <c r="AA15" i="272"/>
  <c r="Z15" i="272"/>
  <c r="Y15" i="272"/>
  <c r="Y14" i="272" s="1"/>
  <c r="X15" i="272"/>
  <c r="V15" i="272"/>
  <c r="U15" i="272"/>
  <c r="R15" i="272"/>
  <c r="Q15" i="272"/>
  <c r="P15" i="272"/>
  <c r="O15" i="272"/>
  <c r="N15" i="272"/>
  <c r="I15" i="272"/>
  <c r="H15" i="272"/>
  <c r="G15" i="272"/>
  <c r="F15" i="272"/>
  <c r="E15" i="272"/>
  <c r="D15" i="272"/>
  <c r="C15" i="272"/>
  <c r="B15" i="272"/>
  <c r="A15" i="272"/>
  <c r="W14" i="272"/>
  <c r="R14" i="272"/>
  <c r="M14" i="272"/>
  <c r="L14" i="272"/>
  <c r="AA13" i="272"/>
  <c r="Z13" i="272"/>
  <c r="Y13" i="272"/>
  <c r="X13" i="272"/>
  <c r="U13" i="272"/>
  <c r="I13" i="272"/>
  <c r="H13" i="272"/>
  <c r="G13" i="272"/>
  <c r="F13" i="272"/>
  <c r="E13" i="272"/>
  <c r="D13" i="272"/>
  <c r="C13" i="272"/>
  <c r="B13" i="272"/>
  <c r="A13" i="272"/>
  <c r="AF12" i="272"/>
  <c r="AE12" i="272"/>
  <c r="AD12" i="272"/>
  <c r="AC12" i="272"/>
  <c r="AB12" i="272"/>
  <c r="AA12" i="272"/>
  <c r="Z12" i="272"/>
  <c r="Y12" i="272"/>
  <c r="X12" i="272"/>
  <c r="V12" i="272"/>
  <c r="V11" i="272" s="1"/>
  <c r="U12" i="272"/>
  <c r="R12" i="272"/>
  <c r="Q12" i="272"/>
  <c r="P12" i="272"/>
  <c r="S12" i="272" s="1"/>
  <c r="S11" i="272" s="1"/>
  <c r="O12" i="272"/>
  <c r="O11" i="272" s="1"/>
  <c r="N12" i="272"/>
  <c r="I12" i="272"/>
  <c r="H12" i="272"/>
  <c r="G12" i="272"/>
  <c r="F12" i="272"/>
  <c r="E12" i="272"/>
  <c r="D12" i="272"/>
  <c r="C12" i="272"/>
  <c r="B12" i="272"/>
  <c r="A12" i="272"/>
  <c r="Y11" i="272"/>
  <c r="W11" i="272"/>
  <c r="W10" i="272" s="1"/>
  <c r="R11" i="272"/>
  <c r="Q11" i="272"/>
  <c r="P11" i="272"/>
  <c r="M11" i="272"/>
  <c r="L11" i="272"/>
  <c r="L10" i="272"/>
  <c r="K10" i="272"/>
  <c r="K9" i="272"/>
  <c r="J9" i="272"/>
  <c r="Y210" i="271"/>
  <c r="Y209" i="271"/>
  <c r="X209" i="271"/>
  <c r="W209" i="271"/>
  <c r="W208" i="271" s="1"/>
  <c r="W207" i="271" s="1"/>
  <c r="V209" i="271"/>
  <c r="U209" i="271"/>
  <c r="T209" i="271"/>
  <c r="T208" i="271" s="1"/>
  <c r="T207" i="271" s="1"/>
  <c r="S209" i="271"/>
  <c r="R209" i="271"/>
  <c r="Q209" i="271"/>
  <c r="P209" i="271"/>
  <c r="O209" i="271"/>
  <c r="N209" i="271"/>
  <c r="I209" i="271"/>
  <c r="H209" i="271"/>
  <c r="G209" i="271"/>
  <c r="F209" i="271"/>
  <c r="E209" i="271"/>
  <c r="D209" i="271"/>
  <c r="C209" i="271"/>
  <c r="B209" i="271"/>
  <c r="A209" i="271"/>
  <c r="U208" i="271"/>
  <c r="U207" i="271" s="1"/>
  <c r="R208" i="271"/>
  <c r="M208" i="271"/>
  <c r="L208" i="271"/>
  <c r="R207" i="271"/>
  <c r="L207" i="271"/>
  <c r="K207" i="271"/>
  <c r="Y206" i="271"/>
  <c r="X206" i="271"/>
  <c r="W206" i="271"/>
  <c r="W205" i="271" s="1"/>
  <c r="W204" i="271" s="1"/>
  <c r="V206" i="271"/>
  <c r="U206" i="271"/>
  <c r="T206" i="271"/>
  <c r="S206" i="271"/>
  <c r="R206" i="271"/>
  <c r="R205" i="271" s="1"/>
  <c r="R204" i="271" s="1"/>
  <c r="Q206" i="271"/>
  <c r="P206" i="271"/>
  <c r="O206" i="271"/>
  <c r="N206" i="271"/>
  <c r="I206" i="271"/>
  <c r="H206" i="271"/>
  <c r="G206" i="271"/>
  <c r="F206" i="271"/>
  <c r="E206" i="271"/>
  <c r="D206" i="271"/>
  <c r="C206" i="271"/>
  <c r="B206" i="271"/>
  <c r="A206" i="271"/>
  <c r="U205" i="271"/>
  <c r="T205" i="271"/>
  <c r="T204" i="271" s="1"/>
  <c r="M205" i="271"/>
  <c r="L205" i="271"/>
  <c r="U204" i="271"/>
  <c r="L204" i="271"/>
  <c r="K204" i="271"/>
  <c r="Y203" i="271"/>
  <c r="X203" i="271"/>
  <c r="W203" i="271"/>
  <c r="V203" i="271"/>
  <c r="S203" i="271"/>
  <c r="R203" i="271"/>
  <c r="Q203" i="271"/>
  <c r="P203" i="271"/>
  <c r="O203" i="271"/>
  <c r="I203" i="271"/>
  <c r="H203" i="271"/>
  <c r="G203" i="271"/>
  <c r="F203" i="271"/>
  <c r="E203" i="271"/>
  <c r="D203" i="271"/>
  <c r="C203" i="271"/>
  <c r="B203" i="271"/>
  <c r="A203" i="271"/>
  <c r="W202" i="271"/>
  <c r="U202" i="271"/>
  <c r="U201" i="271" s="1"/>
  <c r="T202" i="271"/>
  <c r="T201" i="271" s="1"/>
  <c r="R202" i="271"/>
  <c r="M202" i="271"/>
  <c r="L202" i="271"/>
  <c r="W201" i="271"/>
  <c r="R201" i="271"/>
  <c r="L201" i="271"/>
  <c r="K201" i="271"/>
  <c r="Y200" i="271"/>
  <c r="X200" i="271"/>
  <c r="W200" i="271"/>
  <c r="W199" i="271" s="1"/>
  <c r="W198" i="271" s="1"/>
  <c r="V200" i="271"/>
  <c r="U200" i="271"/>
  <c r="T200" i="271"/>
  <c r="S200" i="271"/>
  <c r="R200" i="271"/>
  <c r="Q200" i="271"/>
  <c r="P200" i="271"/>
  <c r="O200" i="271"/>
  <c r="N200" i="271"/>
  <c r="I200" i="271"/>
  <c r="H200" i="271"/>
  <c r="G200" i="271"/>
  <c r="F200" i="271"/>
  <c r="E200" i="271"/>
  <c r="D200" i="271"/>
  <c r="C200" i="271"/>
  <c r="B200" i="271"/>
  <c r="A200" i="271"/>
  <c r="U199" i="271"/>
  <c r="T199" i="271"/>
  <c r="T198" i="271" s="1"/>
  <c r="R199" i="271"/>
  <c r="R198" i="271" s="1"/>
  <c r="M199" i="271"/>
  <c r="L199" i="271"/>
  <c r="U198" i="271"/>
  <c r="S198" i="271"/>
  <c r="L198" i="271"/>
  <c r="K198" i="271"/>
  <c r="Y197" i="271"/>
  <c r="X197" i="271"/>
  <c r="W197" i="271"/>
  <c r="V197" i="271"/>
  <c r="T197" i="271"/>
  <c r="S197" i="271"/>
  <c r="R197" i="271"/>
  <c r="Q197" i="271"/>
  <c r="P197" i="271"/>
  <c r="O197" i="271"/>
  <c r="N197" i="271"/>
  <c r="I197" i="271"/>
  <c r="H197" i="271"/>
  <c r="G197" i="271"/>
  <c r="F197" i="271"/>
  <c r="E197" i="271"/>
  <c r="D197" i="271"/>
  <c r="C197" i="271"/>
  <c r="B197" i="271"/>
  <c r="A197" i="271"/>
  <c r="Y196" i="271"/>
  <c r="X196" i="271"/>
  <c r="W196" i="271"/>
  <c r="W195" i="271" s="1"/>
  <c r="V196" i="271"/>
  <c r="T196" i="271"/>
  <c r="S196" i="271"/>
  <c r="R196" i="271"/>
  <c r="R195" i="271" s="1"/>
  <c r="Q196" i="271"/>
  <c r="P196" i="271"/>
  <c r="O196" i="271"/>
  <c r="N196" i="271"/>
  <c r="I196" i="271"/>
  <c r="H196" i="271"/>
  <c r="G196" i="271"/>
  <c r="F196" i="271"/>
  <c r="E196" i="271"/>
  <c r="D196" i="271"/>
  <c r="C196" i="271"/>
  <c r="B196" i="271"/>
  <c r="A196" i="271"/>
  <c r="U195" i="271"/>
  <c r="T195" i="271"/>
  <c r="M195" i="271"/>
  <c r="L195" i="271"/>
  <c r="Y194" i="271"/>
  <c r="X194" i="271"/>
  <c r="W194" i="271"/>
  <c r="V194" i="271"/>
  <c r="U194" i="271"/>
  <c r="S194" i="271"/>
  <c r="I194" i="271"/>
  <c r="H194" i="271"/>
  <c r="G194" i="271"/>
  <c r="F194" i="271"/>
  <c r="E194" i="271"/>
  <c r="D194" i="271"/>
  <c r="C194" i="271"/>
  <c r="B194" i="271"/>
  <c r="A194" i="271"/>
  <c r="Y193" i="271"/>
  <c r="X193" i="271"/>
  <c r="W193" i="271"/>
  <c r="V193" i="271"/>
  <c r="T193" i="271"/>
  <c r="S193" i="271"/>
  <c r="I193" i="271"/>
  <c r="H193" i="271"/>
  <c r="G193" i="271"/>
  <c r="F193" i="271"/>
  <c r="E193" i="271"/>
  <c r="D193" i="271"/>
  <c r="C193" i="271"/>
  <c r="B193" i="271"/>
  <c r="A193" i="271"/>
  <c r="Y192" i="271"/>
  <c r="X192" i="271"/>
  <c r="W192" i="271"/>
  <c r="V192" i="271"/>
  <c r="T192" i="271"/>
  <c r="S192" i="271"/>
  <c r="R192" i="271"/>
  <c r="Q192" i="271"/>
  <c r="P192" i="271"/>
  <c r="O192" i="271"/>
  <c r="N192" i="271"/>
  <c r="I192" i="271"/>
  <c r="H192" i="271"/>
  <c r="G192" i="271"/>
  <c r="F192" i="271"/>
  <c r="E192" i="271"/>
  <c r="D192" i="271"/>
  <c r="C192" i="271"/>
  <c r="B192" i="271"/>
  <c r="A192" i="271"/>
  <c r="Y191" i="271"/>
  <c r="X191" i="271"/>
  <c r="W191" i="271"/>
  <c r="V191" i="271"/>
  <c r="U191" i="271"/>
  <c r="U188" i="271" s="1"/>
  <c r="U187" i="271" s="1"/>
  <c r="S191" i="271"/>
  <c r="I191" i="271"/>
  <c r="H191" i="271"/>
  <c r="G191" i="271"/>
  <c r="F191" i="271"/>
  <c r="E191" i="271"/>
  <c r="D191" i="271"/>
  <c r="C191" i="271"/>
  <c r="B191" i="271"/>
  <c r="A191" i="271"/>
  <c r="Y190" i="271"/>
  <c r="X190" i="271"/>
  <c r="W190" i="271"/>
  <c r="V190" i="271"/>
  <c r="T190" i="271"/>
  <c r="S190" i="271"/>
  <c r="I190" i="271"/>
  <c r="H190" i="271"/>
  <c r="G190" i="271"/>
  <c r="F190" i="271"/>
  <c r="E190" i="271"/>
  <c r="D190" i="271"/>
  <c r="C190" i="271"/>
  <c r="B190" i="271"/>
  <c r="A190" i="271"/>
  <c r="Y189" i="271"/>
  <c r="X189" i="271"/>
  <c r="W189" i="271"/>
  <c r="V189" i="271"/>
  <c r="T189" i="271"/>
  <c r="S189" i="271"/>
  <c r="R189" i="271"/>
  <c r="R188" i="271" s="1"/>
  <c r="R187" i="271" s="1"/>
  <c r="Q189" i="271"/>
  <c r="P189" i="271"/>
  <c r="O189" i="271"/>
  <c r="N189" i="271"/>
  <c r="I189" i="271"/>
  <c r="H189" i="271"/>
  <c r="G189" i="271"/>
  <c r="F189" i="271"/>
  <c r="E189" i="271"/>
  <c r="D189" i="271"/>
  <c r="C189" i="271"/>
  <c r="B189" i="271"/>
  <c r="A189" i="271"/>
  <c r="T188" i="271"/>
  <c r="T187" i="271" s="1"/>
  <c r="M188" i="271"/>
  <c r="L188" i="271"/>
  <c r="L187" i="271"/>
  <c r="K187" i="271"/>
  <c r="Y186" i="271"/>
  <c r="X186" i="271"/>
  <c r="W186" i="271"/>
  <c r="W185" i="271" s="1"/>
  <c r="W184" i="271" s="1"/>
  <c r="V186" i="271"/>
  <c r="T186" i="271"/>
  <c r="S186" i="271"/>
  <c r="R186" i="271"/>
  <c r="R185" i="271" s="1"/>
  <c r="R184" i="271" s="1"/>
  <c r="Q186" i="271"/>
  <c r="P186" i="271"/>
  <c r="O186" i="271"/>
  <c r="N186" i="271"/>
  <c r="I186" i="271"/>
  <c r="H186" i="271"/>
  <c r="G186" i="271"/>
  <c r="F186" i="271"/>
  <c r="E186" i="271"/>
  <c r="D186" i="271"/>
  <c r="C186" i="271"/>
  <c r="B186" i="271"/>
  <c r="A186" i="271"/>
  <c r="U185" i="271"/>
  <c r="U184" i="271" s="1"/>
  <c r="T185" i="271"/>
  <c r="T184" i="271" s="1"/>
  <c r="M185" i="271"/>
  <c r="L185" i="271"/>
  <c r="X184" i="271"/>
  <c r="V184" i="271"/>
  <c r="L184" i="271"/>
  <c r="K184" i="271"/>
  <c r="Y183" i="271"/>
  <c r="X183" i="271"/>
  <c r="W183" i="271"/>
  <c r="V183" i="271"/>
  <c r="U183" i="271"/>
  <c r="U180" i="271" s="1"/>
  <c r="S183" i="271"/>
  <c r="I183" i="271"/>
  <c r="H183" i="271"/>
  <c r="G183" i="271"/>
  <c r="F183" i="271"/>
  <c r="E183" i="271"/>
  <c r="D183" i="271"/>
  <c r="C183" i="271"/>
  <c r="B183" i="271"/>
  <c r="A183" i="271"/>
  <c r="Y182" i="271"/>
  <c r="X182" i="271"/>
  <c r="W182" i="271"/>
  <c r="V182" i="271"/>
  <c r="T182" i="271"/>
  <c r="S182" i="271"/>
  <c r="I182" i="271"/>
  <c r="H182" i="271"/>
  <c r="G182" i="271"/>
  <c r="F182" i="271"/>
  <c r="E182" i="271"/>
  <c r="D182" i="271"/>
  <c r="C182" i="271"/>
  <c r="B182" i="271"/>
  <c r="A182" i="271"/>
  <c r="Y181" i="271"/>
  <c r="X181" i="271"/>
  <c r="W181" i="271"/>
  <c r="V181" i="271"/>
  <c r="T181" i="271"/>
  <c r="T180" i="271" s="1"/>
  <c r="S181" i="271"/>
  <c r="R181" i="271"/>
  <c r="R180" i="271" s="1"/>
  <c r="Q181" i="271"/>
  <c r="P181" i="271"/>
  <c r="O181" i="271"/>
  <c r="N181" i="271"/>
  <c r="I181" i="271"/>
  <c r="H181" i="271"/>
  <c r="G181" i="271"/>
  <c r="F181" i="271"/>
  <c r="E181" i="271"/>
  <c r="D181" i="271"/>
  <c r="C181" i="271"/>
  <c r="B181" i="271"/>
  <c r="A181" i="271"/>
  <c r="W180" i="271"/>
  <c r="M180" i="271"/>
  <c r="L180" i="271"/>
  <c r="Y179" i="271"/>
  <c r="X179" i="271"/>
  <c r="W179" i="271"/>
  <c r="W178" i="271" s="1"/>
  <c r="V179" i="271"/>
  <c r="U179" i="271"/>
  <c r="U178" i="271" s="1"/>
  <c r="T179" i="271"/>
  <c r="T178" i="271" s="1"/>
  <c r="S179" i="271"/>
  <c r="R179" i="271"/>
  <c r="Q179" i="271"/>
  <c r="P179" i="271"/>
  <c r="O179" i="271"/>
  <c r="N179" i="271"/>
  <c r="I179" i="271"/>
  <c r="H179" i="271"/>
  <c r="G179" i="271"/>
  <c r="F179" i="271"/>
  <c r="E179" i="271"/>
  <c r="D179" i="271"/>
  <c r="C179" i="271"/>
  <c r="B179" i="271"/>
  <c r="A179" i="271"/>
  <c r="R178" i="271"/>
  <c r="M178" i="271"/>
  <c r="L178" i="271"/>
  <c r="Y177" i="271"/>
  <c r="X177" i="271"/>
  <c r="W177" i="271"/>
  <c r="W176" i="271" s="1"/>
  <c r="V177" i="271"/>
  <c r="U177" i="271"/>
  <c r="T177" i="271"/>
  <c r="S177" i="271"/>
  <c r="R177" i="271"/>
  <c r="R176" i="271" s="1"/>
  <c r="Q177" i="271"/>
  <c r="P177" i="271"/>
  <c r="O177" i="271"/>
  <c r="N177" i="271"/>
  <c r="I177" i="271"/>
  <c r="H177" i="271"/>
  <c r="G177" i="271"/>
  <c r="F177" i="271"/>
  <c r="E177" i="271"/>
  <c r="D177" i="271"/>
  <c r="C177" i="271"/>
  <c r="B177" i="271"/>
  <c r="A177" i="271"/>
  <c r="U176" i="271"/>
  <c r="T176" i="271"/>
  <c r="M176" i="271"/>
  <c r="L176" i="271"/>
  <c r="Y175" i="271"/>
  <c r="X175" i="271"/>
  <c r="W175" i="271"/>
  <c r="V175" i="271"/>
  <c r="T175" i="271"/>
  <c r="T174" i="271" s="1"/>
  <c r="S175" i="271"/>
  <c r="R175" i="271"/>
  <c r="R174" i="271" s="1"/>
  <c r="Q175" i="271"/>
  <c r="P175" i="271"/>
  <c r="O175" i="271"/>
  <c r="N175" i="271"/>
  <c r="I175" i="271"/>
  <c r="H175" i="271"/>
  <c r="G175" i="271"/>
  <c r="F175" i="271"/>
  <c r="E175" i="271"/>
  <c r="D175" i="271"/>
  <c r="C175" i="271"/>
  <c r="B175" i="271"/>
  <c r="A175" i="271"/>
  <c r="W174" i="271"/>
  <c r="U174" i="271"/>
  <c r="M174" i="271"/>
  <c r="L174" i="271"/>
  <c r="V173" i="271"/>
  <c r="L173" i="271"/>
  <c r="K173" i="271"/>
  <c r="Y172" i="271"/>
  <c r="X172" i="271"/>
  <c r="W172" i="271"/>
  <c r="V172" i="271"/>
  <c r="T172" i="271"/>
  <c r="T171" i="271" s="1"/>
  <c r="T170" i="271" s="1"/>
  <c r="S172" i="271"/>
  <c r="R172" i="271"/>
  <c r="Q172" i="271"/>
  <c r="P172" i="271"/>
  <c r="O172" i="271"/>
  <c r="N172" i="271"/>
  <c r="I172" i="271"/>
  <c r="H172" i="271"/>
  <c r="G172" i="271"/>
  <c r="F172" i="271"/>
  <c r="E172" i="271"/>
  <c r="D172" i="271"/>
  <c r="C172" i="271"/>
  <c r="B172" i="271"/>
  <c r="A172" i="271"/>
  <c r="W171" i="271"/>
  <c r="W170" i="271" s="1"/>
  <c r="U171" i="271"/>
  <c r="U170" i="271" s="1"/>
  <c r="R171" i="271"/>
  <c r="M171" i="271"/>
  <c r="L171" i="271"/>
  <c r="R170" i="271"/>
  <c r="L170" i="271"/>
  <c r="K170" i="271"/>
  <c r="Y169" i="271"/>
  <c r="X169" i="271"/>
  <c r="W169" i="271"/>
  <c r="V169" i="271"/>
  <c r="T169" i="271"/>
  <c r="S169" i="271"/>
  <c r="R169" i="271"/>
  <c r="Q169" i="271"/>
  <c r="P169" i="271"/>
  <c r="O169" i="271"/>
  <c r="N169" i="271"/>
  <c r="I169" i="271"/>
  <c r="H169" i="271"/>
  <c r="G169" i="271"/>
  <c r="F169" i="271"/>
  <c r="E169" i="271"/>
  <c r="D169" i="271"/>
  <c r="C169" i="271"/>
  <c r="B169" i="271"/>
  <c r="A169" i="271"/>
  <c r="Y168" i="271"/>
  <c r="X168" i="271"/>
  <c r="W168" i="271"/>
  <c r="V168" i="271"/>
  <c r="T168" i="271"/>
  <c r="S168" i="271"/>
  <c r="R168" i="271"/>
  <c r="Q168" i="271"/>
  <c r="P168" i="271"/>
  <c r="O168" i="271"/>
  <c r="N168" i="271"/>
  <c r="I168" i="271"/>
  <c r="H168" i="271"/>
  <c r="G168" i="271"/>
  <c r="F168" i="271"/>
  <c r="E168" i="271"/>
  <c r="D168" i="271"/>
  <c r="C168" i="271"/>
  <c r="B168" i="271"/>
  <c r="A168" i="271"/>
  <c r="Y167" i="271"/>
  <c r="X167" i="271"/>
  <c r="W167" i="271"/>
  <c r="V167" i="271"/>
  <c r="T167" i="271"/>
  <c r="S167" i="271"/>
  <c r="R167" i="271"/>
  <c r="Q167" i="271"/>
  <c r="P167" i="271"/>
  <c r="O167" i="271"/>
  <c r="N167" i="271"/>
  <c r="I167" i="271"/>
  <c r="H167" i="271"/>
  <c r="G167" i="271"/>
  <c r="F167" i="271"/>
  <c r="E167" i="271"/>
  <c r="D167" i="271"/>
  <c r="C167" i="271"/>
  <c r="B167" i="271"/>
  <c r="A167" i="271"/>
  <c r="Y166" i="271"/>
  <c r="X166" i="271"/>
  <c r="W166" i="271"/>
  <c r="V166" i="271"/>
  <c r="T166" i="271"/>
  <c r="S166" i="271"/>
  <c r="R166" i="271"/>
  <c r="Q166" i="271"/>
  <c r="P166" i="271"/>
  <c r="O166" i="271"/>
  <c r="N166" i="271"/>
  <c r="I166" i="271"/>
  <c r="H166" i="271"/>
  <c r="G166" i="271"/>
  <c r="F166" i="271"/>
  <c r="E166" i="271"/>
  <c r="D166" i="271"/>
  <c r="C166" i="271"/>
  <c r="B166" i="271"/>
  <c r="A166" i="271"/>
  <c r="Y165" i="271"/>
  <c r="X165" i="271"/>
  <c r="W165" i="271"/>
  <c r="V165" i="271"/>
  <c r="T165" i="271"/>
  <c r="S165" i="271"/>
  <c r="R165" i="271"/>
  <c r="Q165" i="271"/>
  <c r="P165" i="271"/>
  <c r="O165" i="271"/>
  <c r="N165" i="271"/>
  <c r="I165" i="271"/>
  <c r="H165" i="271"/>
  <c r="G165" i="271"/>
  <c r="F165" i="271"/>
  <c r="E165" i="271"/>
  <c r="D165" i="271"/>
  <c r="C165" i="271"/>
  <c r="B165" i="271"/>
  <c r="A165" i="271"/>
  <c r="Y164" i="271"/>
  <c r="X164" i="271"/>
  <c r="W164" i="271"/>
  <c r="V164" i="271"/>
  <c r="T164" i="271"/>
  <c r="T163" i="271" s="1"/>
  <c r="S164" i="271"/>
  <c r="R164" i="271"/>
  <c r="Q164" i="271"/>
  <c r="P164" i="271"/>
  <c r="O164" i="271"/>
  <c r="N164" i="271"/>
  <c r="I164" i="271"/>
  <c r="H164" i="271"/>
  <c r="G164" i="271"/>
  <c r="F164" i="271"/>
  <c r="E164" i="271"/>
  <c r="D164" i="271"/>
  <c r="C164" i="271"/>
  <c r="B164" i="271"/>
  <c r="A164" i="271"/>
  <c r="W163" i="271"/>
  <c r="W162" i="271" s="1"/>
  <c r="U163" i="271"/>
  <c r="U162" i="271" s="1"/>
  <c r="R163" i="271"/>
  <c r="M163" i="271"/>
  <c r="L163" i="271"/>
  <c r="T162" i="271"/>
  <c r="R162" i="271"/>
  <c r="L162" i="271"/>
  <c r="K162" i="271"/>
  <c r="Y161" i="271"/>
  <c r="X161" i="271"/>
  <c r="W161" i="271"/>
  <c r="V161" i="271"/>
  <c r="T161" i="271"/>
  <c r="S161" i="271"/>
  <c r="R161" i="271"/>
  <c r="Q161" i="271"/>
  <c r="P161" i="271"/>
  <c r="O161" i="271"/>
  <c r="N161" i="271"/>
  <c r="I161" i="271"/>
  <c r="H161" i="271"/>
  <c r="G161" i="271"/>
  <c r="F161" i="271"/>
  <c r="E161" i="271"/>
  <c r="D161" i="271"/>
  <c r="C161" i="271"/>
  <c r="B161" i="271"/>
  <c r="A161" i="271"/>
  <c r="Y160" i="271"/>
  <c r="X160" i="271"/>
  <c r="W160" i="271"/>
  <c r="V160" i="271"/>
  <c r="T160" i="271"/>
  <c r="S160" i="271"/>
  <c r="R160" i="271"/>
  <c r="Q160" i="271"/>
  <c r="P160" i="271"/>
  <c r="O160" i="271"/>
  <c r="N160" i="271"/>
  <c r="I160" i="271"/>
  <c r="H160" i="271"/>
  <c r="G160" i="271"/>
  <c r="F160" i="271"/>
  <c r="E160" i="271"/>
  <c r="D160" i="271"/>
  <c r="C160" i="271"/>
  <c r="B160" i="271"/>
  <c r="A160" i="271"/>
  <c r="Y159" i="271"/>
  <c r="X159" i="271"/>
  <c r="W159" i="271"/>
  <c r="V159" i="271"/>
  <c r="T159" i="271"/>
  <c r="S159" i="271"/>
  <c r="R159" i="271"/>
  <c r="Q159" i="271"/>
  <c r="P159" i="271"/>
  <c r="O159" i="271"/>
  <c r="N159" i="271"/>
  <c r="I159" i="271"/>
  <c r="H159" i="271"/>
  <c r="G159" i="271"/>
  <c r="F159" i="271"/>
  <c r="E159" i="271"/>
  <c r="D159" i="271"/>
  <c r="C159" i="271"/>
  <c r="B159" i="271"/>
  <c r="A159" i="271"/>
  <c r="Y158" i="271"/>
  <c r="X158" i="271"/>
  <c r="W158" i="271"/>
  <c r="V158" i="271"/>
  <c r="T158" i="271"/>
  <c r="S158" i="271"/>
  <c r="R158" i="271"/>
  <c r="Q158" i="271"/>
  <c r="P158" i="271"/>
  <c r="O158" i="271"/>
  <c r="N158" i="271"/>
  <c r="I158" i="271"/>
  <c r="H158" i="271"/>
  <c r="G158" i="271"/>
  <c r="F158" i="271"/>
  <c r="E158" i="271"/>
  <c r="D158" i="271"/>
  <c r="C158" i="271"/>
  <c r="B158" i="271"/>
  <c r="A158" i="271"/>
  <c r="Y157" i="271"/>
  <c r="X157" i="271"/>
  <c r="W157" i="271"/>
  <c r="V157" i="271"/>
  <c r="T157" i="271"/>
  <c r="S157" i="271"/>
  <c r="R157" i="271"/>
  <c r="Q157" i="271"/>
  <c r="P157" i="271"/>
  <c r="O157" i="271"/>
  <c r="N157" i="271"/>
  <c r="I157" i="271"/>
  <c r="H157" i="271"/>
  <c r="G157" i="271"/>
  <c r="F157" i="271"/>
  <c r="E157" i="271"/>
  <c r="D157" i="271"/>
  <c r="C157" i="271"/>
  <c r="B157" i="271"/>
  <c r="A157" i="271"/>
  <c r="Y156" i="271"/>
  <c r="X156" i="271"/>
  <c r="W156" i="271"/>
  <c r="V156" i="271"/>
  <c r="T156" i="271"/>
  <c r="S156" i="271"/>
  <c r="R156" i="271"/>
  <c r="Q156" i="271"/>
  <c r="P156" i="271"/>
  <c r="O156" i="271"/>
  <c r="N156" i="271"/>
  <c r="I156" i="271"/>
  <c r="H156" i="271"/>
  <c r="G156" i="271"/>
  <c r="F156" i="271"/>
  <c r="E156" i="271"/>
  <c r="D156" i="271"/>
  <c r="C156" i="271"/>
  <c r="B156" i="271"/>
  <c r="A156" i="271"/>
  <c r="Y155" i="271"/>
  <c r="X155" i="271"/>
  <c r="W155" i="271"/>
  <c r="V155" i="271"/>
  <c r="T155" i="271"/>
  <c r="T154" i="271" s="1"/>
  <c r="S155" i="271"/>
  <c r="R155" i="271"/>
  <c r="Q155" i="271"/>
  <c r="P155" i="271"/>
  <c r="O155" i="271"/>
  <c r="N155" i="271"/>
  <c r="I155" i="271"/>
  <c r="H155" i="271"/>
  <c r="G155" i="271"/>
  <c r="F155" i="271"/>
  <c r="E155" i="271"/>
  <c r="D155" i="271"/>
  <c r="C155" i="271"/>
  <c r="B155" i="271"/>
  <c r="A155" i="271"/>
  <c r="W154" i="271"/>
  <c r="W153" i="271" s="1"/>
  <c r="U154" i="271"/>
  <c r="U153" i="271" s="1"/>
  <c r="R154" i="271"/>
  <c r="M154" i="271"/>
  <c r="L154" i="271"/>
  <c r="T153" i="271"/>
  <c r="R153" i="271"/>
  <c r="L153" i="271"/>
  <c r="K153" i="271"/>
  <c r="K152" i="271"/>
  <c r="J152" i="271"/>
  <c r="Y151" i="271"/>
  <c r="X151" i="271"/>
  <c r="W151" i="271"/>
  <c r="V151" i="271"/>
  <c r="T151" i="271"/>
  <c r="S151" i="271"/>
  <c r="R151" i="271"/>
  <c r="Q151" i="271"/>
  <c r="P151" i="271"/>
  <c r="O151" i="271"/>
  <c r="N151" i="271"/>
  <c r="I151" i="271"/>
  <c r="H151" i="271"/>
  <c r="G151" i="271"/>
  <c r="F151" i="271"/>
  <c r="E151" i="271"/>
  <c r="D151" i="271"/>
  <c r="C151" i="271"/>
  <c r="B151" i="271"/>
  <c r="A151" i="271"/>
  <c r="Y150" i="271"/>
  <c r="X150" i="271"/>
  <c r="W150" i="271"/>
  <c r="V150" i="271"/>
  <c r="T150" i="271"/>
  <c r="S150" i="271"/>
  <c r="R150" i="271"/>
  <c r="Q150" i="271"/>
  <c r="P150" i="271"/>
  <c r="O150" i="271"/>
  <c r="N150" i="271"/>
  <c r="I150" i="271"/>
  <c r="H150" i="271"/>
  <c r="G150" i="271"/>
  <c r="F150" i="271"/>
  <c r="E150" i="271"/>
  <c r="D150" i="271"/>
  <c r="C150" i="271"/>
  <c r="B150" i="271"/>
  <c r="A150" i="271"/>
  <c r="Y149" i="271"/>
  <c r="X149" i="271"/>
  <c r="W149" i="271"/>
  <c r="V149" i="271"/>
  <c r="T149" i="271"/>
  <c r="S149" i="271"/>
  <c r="R149" i="271"/>
  <c r="Q149" i="271"/>
  <c r="P149" i="271"/>
  <c r="O149" i="271"/>
  <c r="N149" i="271"/>
  <c r="I149" i="271"/>
  <c r="H149" i="271"/>
  <c r="G149" i="271"/>
  <c r="F149" i="271"/>
  <c r="E149" i="271"/>
  <c r="D149" i="271"/>
  <c r="C149" i="271"/>
  <c r="B149" i="271"/>
  <c r="A149" i="271"/>
  <c r="Y148" i="271"/>
  <c r="X148" i="271"/>
  <c r="W148" i="271"/>
  <c r="V148" i="271"/>
  <c r="T148" i="271"/>
  <c r="S148" i="271"/>
  <c r="R148" i="271"/>
  <c r="Q148" i="271"/>
  <c r="P148" i="271"/>
  <c r="O148" i="271"/>
  <c r="N148" i="271"/>
  <c r="I148" i="271"/>
  <c r="H148" i="271"/>
  <c r="G148" i="271"/>
  <c r="F148" i="271"/>
  <c r="E148" i="271"/>
  <c r="D148" i="271"/>
  <c r="C148" i="271"/>
  <c r="B148" i="271"/>
  <c r="A148" i="271"/>
  <c r="Y147" i="271"/>
  <c r="X147" i="271"/>
  <c r="W147" i="271"/>
  <c r="V147" i="271"/>
  <c r="T147" i="271"/>
  <c r="S147" i="271"/>
  <c r="R147" i="271"/>
  <c r="Q147" i="271"/>
  <c r="P147" i="271"/>
  <c r="O147" i="271"/>
  <c r="N147" i="271"/>
  <c r="I147" i="271"/>
  <c r="H147" i="271"/>
  <c r="G147" i="271"/>
  <c r="F147" i="271"/>
  <c r="E147" i="271"/>
  <c r="D147" i="271"/>
  <c r="C147" i="271"/>
  <c r="B147" i="271"/>
  <c r="A147" i="271"/>
  <c r="Y146" i="271"/>
  <c r="X146" i="271"/>
  <c r="W146" i="271"/>
  <c r="V146" i="271"/>
  <c r="T146" i="271"/>
  <c r="S146" i="271"/>
  <c r="R146" i="271"/>
  <c r="Q146" i="271"/>
  <c r="P146" i="271"/>
  <c r="O146" i="271"/>
  <c r="N146" i="271"/>
  <c r="I146" i="271"/>
  <c r="H146" i="271"/>
  <c r="G146" i="271"/>
  <c r="F146" i="271"/>
  <c r="E146" i="271"/>
  <c r="D146" i="271"/>
  <c r="C146" i="271"/>
  <c r="B146" i="271"/>
  <c r="A146" i="271"/>
  <c r="Y145" i="271"/>
  <c r="X145" i="271"/>
  <c r="W145" i="271"/>
  <c r="V145" i="271"/>
  <c r="T145" i="271"/>
  <c r="S145" i="271"/>
  <c r="R145" i="271"/>
  <c r="Q145" i="271"/>
  <c r="P145" i="271"/>
  <c r="O145" i="271"/>
  <c r="N145" i="271"/>
  <c r="I145" i="271"/>
  <c r="H145" i="271"/>
  <c r="G145" i="271"/>
  <c r="F145" i="271"/>
  <c r="E145" i="271"/>
  <c r="D145" i="271"/>
  <c r="C145" i="271"/>
  <c r="B145" i="271"/>
  <c r="A145" i="271"/>
  <c r="Y144" i="271"/>
  <c r="X144" i="271"/>
  <c r="W144" i="271"/>
  <c r="V144" i="271"/>
  <c r="T144" i="271"/>
  <c r="S144" i="271"/>
  <c r="R144" i="271"/>
  <c r="Q144" i="271"/>
  <c r="P144" i="271"/>
  <c r="O144" i="271"/>
  <c r="N144" i="271"/>
  <c r="I144" i="271"/>
  <c r="H144" i="271"/>
  <c r="G144" i="271"/>
  <c r="F144" i="271"/>
  <c r="E144" i="271"/>
  <c r="D144" i="271"/>
  <c r="C144" i="271"/>
  <c r="B144" i="271"/>
  <c r="A144" i="271"/>
  <c r="Y143" i="271"/>
  <c r="X143" i="271"/>
  <c r="W143" i="271"/>
  <c r="V143" i="271"/>
  <c r="T143" i="271"/>
  <c r="S143" i="271"/>
  <c r="R143" i="271"/>
  <c r="Q143" i="271"/>
  <c r="P143" i="271"/>
  <c r="O143" i="271"/>
  <c r="N143" i="271"/>
  <c r="I143" i="271"/>
  <c r="H143" i="271"/>
  <c r="G143" i="271"/>
  <c r="F143" i="271"/>
  <c r="E143" i="271"/>
  <c r="D143" i="271"/>
  <c r="C143" i="271"/>
  <c r="B143" i="271"/>
  <c r="A143" i="271"/>
  <c r="Y142" i="271"/>
  <c r="X142" i="271"/>
  <c r="W142" i="271"/>
  <c r="W141" i="271" s="1"/>
  <c r="W140" i="271" s="1"/>
  <c r="V142" i="271"/>
  <c r="T142" i="271"/>
  <c r="S142" i="271"/>
  <c r="R142" i="271"/>
  <c r="Q142" i="271"/>
  <c r="P142" i="271"/>
  <c r="O142" i="271"/>
  <c r="N142" i="271"/>
  <c r="I142" i="271"/>
  <c r="H142" i="271"/>
  <c r="G142" i="271"/>
  <c r="F142" i="271"/>
  <c r="E142" i="271"/>
  <c r="D142" i="271"/>
  <c r="C142" i="271"/>
  <c r="B142" i="271"/>
  <c r="A142" i="271"/>
  <c r="U141" i="271"/>
  <c r="T141" i="271"/>
  <c r="T140" i="271" s="1"/>
  <c r="R141" i="271"/>
  <c r="R140" i="271" s="1"/>
  <c r="M141" i="271"/>
  <c r="L141" i="271"/>
  <c r="U140" i="271"/>
  <c r="L140" i="271"/>
  <c r="K140" i="271"/>
  <c r="Y139" i="271"/>
  <c r="X139" i="271"/>
  <c r="W139" i="271"/>
  <c r="W138" i="271" s="1"/>
  <c r="V139" i="271"/>
  <c r="T139" i="271"/>
  <c r="S139" i="271"/>
  <c r="R139" i="271"/>
  <c r="Q139" i="271"/>
  <c r="P139" i="271"/>
  <c r="O139" i="271"/>
  <c r="I139" i="271"/>
  <c r="H139" i="271"/>
  <c r="G139" i="271"/>
  <c r="F139" i="271"/>
  <c r="E139" i="271"/>
  <c r="D139" i="271"/>
  <c r="C139" i="271"/>
  <c r="B139" i="271"/>
  <c r="A139" i="271"/>
  <c r="Y138" i="271"/>
  <c r="Y137" i="271" s="1"/>
  <c r="U138" i="271"/>
  <c r="U137" i="271" s="1"/>
  <c r="T138" i="271"/>
  <c r="T137" i="271" s="1"/>
  <c r="R138" i="271"/>
  <c r="R137" i="271" s="1"/>
  <c r="M138" i="271"/>
  <c r="L138" i="271"/>
  <c r="W137" i="271"/>
  <c r="L137" i="271"/>
  <c r="K137" i="271"/>
  <c r="Y136" i="271"/>
  <c r="X136" i="271"/>
  <c r="W136" i="271"/>
  <c r="V136" i="271"/>
  <c r="T136" i="271"/>
  <c r="S136" i="271"/>
  <c r="R136" i="271"/>
  <c r="Q136" i="271"/>
  <c r="P136" i="271"/>
  <c r="O136" i="271"/>
  <c r="N136" i="271"/>
  <c r="I136" i="271"/>
  <c r="H136" i="271"/>
  <c r="G136" i="271"/>
  <c r="F136" i="271"/>
  <c r="E136" i="271"/>
  <c r="D136" i="271"/>
  <c r="C136" i="271"/>
  <c r="B136" i="271"/>
  <c r="A136" i="271"/>
  <c r="Y135" i="271"/>
  <c r="X135" i="271"/>
  <c r="W135" i="271"/>
  <c r="V135" i="271"/>
  <c r="T135" i="271"/>
  <c r="T133" i="271" s="1"/>
  <c r="T132" i="271" s="1"/>
  <c r="S135" i="271"/>
  <c r="R135" i="271"/>
  <c r="Q135" i="271"/>
  <c r="P135" i="271"/>
  <c r="O135" i="271"/>
  <c r="N135" i="271"/>
  <c r="I135" i="271"/>
  <c r="H135" i="271"/>
  <c r="G135" i="271"/>
  <c r="F135" i="271"/>
  <c r="E135" i="271"/>
  <c r="D135" i="271"/>
  <c r="C135" i="271"/>
  <c r="B135" i="271"/>
  <c r="A135" i="271"/>
  <c r="Y134" i="271"/>
  <c r="X134" i="271"/>
  <c r="W134" i="271"/>
  <c r="V134" i="271"/>
  <c r="U134" i="271"/>
  <c r="U133" i="271" s="1"/>
  <c r="U132" i="271" s="1"/>
  <c r="S134" i="271"/>
  <c r="R134" i="271"/>
  <c r="R133" i="271" s="1"/>
  <c r="R132" i="271" s="1"/>
  <c r="Q134" i="271"/>
  <c r="P134" i="271"/>
  <c r="O134" i="271"/>
  <c r="N134" i="271"/>
  <c r="I134" i="271"/>
  <c r="H134" i="271"/>
  <c r="G134" i="271"/>
  <c r="F134" i="271"/>
  <c r="E134" i="271"/>
  <c r="D134" i="271"/>
  <c r="C134" i="271"/>
  <c r="B134" i="271"/>
  <c r="A134" i="271"/>
  <c r="W133" i="271"/>
  <c r="M133" i="271"/>
  <c r="L133" i="271"/>
  <c r="W132" i="271"/>
  <c r="L132" i="271"/>
  <c r="K132" i="271"/>
  <c r="Y131" i="271"/>
  <c r="Y130" i="271" s="1"/>
  <c r="Y129" i="271" s="1"/>
  <c r="X131" i="271"/>
  <c r="W131" i="271"/>
  <c r="V131" i="271"/>
  <c r="T131" i="271"/>
  <c r="T130" i="271" s="1"/>
  <c r="T129" i="271" s="1"/>
  <c r="S131" i="271"/>
  <c r="R131" i="271"/>
  <c r="R130" i="271" s="1"/>
  <c r="R129" i="271" s="1"/>
  <c r="Q131" i="271"/>
  <c r="P131" i="271"/>
  <c r="O131" i="271"/>
  <c r="I131" i="271"/>
  <c r="H131" i="271"/>
  <c r="G131" i="271"/>
  <c r="F131" i="271"/>
  <c r="E131" i="271"/>
  <c r="D131" i="271"/>
  <c r="C131" i="271"/>
  <c r="B131" i="271"/>
  <c r="A131" i="271"/>
  <c r="W130" i="271"/>
  <c r="U130" i="271"/>
  <c r="U129" i="271" s="1"/>
  <c r="M130" i="271"/>
  <c r="L130" i="271"/>
  <c r="X129" i="271"/>
  <c r="W129" i="271"/>
  <c r="L129" i="271"/>
  <c r="K129" i="271"/>
  <c r="Y128" i="271"/>
  <c r="X128" i="271"/>
  <c r="W128" i="271"/>
  <c r="V128" i="271"/>
  <c r="T128" i="271"/>
  <c r="S128" i="271"/>
  <c r="R128" i="271"/>
  <c r="Q128" i="271"/>
  <c r="P128" i="271"/>
  <c r="O128" i="271"/>
  <c r="N128" i="271"/>
  <c r="I128" i="271"/>
  <c r="H128" i="271"/>
  <c r="G128" i="271"/>
  <c r="F128" i="271"/>
  <c r="E128" i="271"/>
  <c r="D128" i="271"/>
  <c r="C128" i="271"/>
  <c r="B128" i="271"/>
  <c r="A128" i="271"/>
  <c r="Y127" i="271"/>
  <c r="X127" i="271"/>
  <c r="W127" i="271"/>
  <c r="V127" i="271"/>
  <c r="T127" i="271"/>
  <c r="S127" i="271"/>
  <c r="R127" i="271"/>
  <c r="Q127" i="271"/>
  <c r="P127" i="271"/>
  <c r="O127" i="271"/>
  <c r="N127" i="271"/>
  <c r="I127" i="271"/>
  <c r="H127" i="271"/>
  <c r="G127" i="271"/>
  <c r="F127" i="271"/>
  <c r="E127" i="271"/>
  <c r="D127" i="271"/>
  <c r="C127" i="271"/>
  <c r="B127" i="271"/>
  <c r="A127" i="271"/>
  <c r="Y126" i="271"/>
  <c r="X126" i="271"/>
  <c r="W126" i="271"/>
  <c r="V126" i="271"/>
  <c r="T126" i="271"/>
  <c r="S126" i="271"/>
  <c r="R126" i="271"/>
  <c r="Q126" i="271"/>
  <c r="P126" i="271"/>
  <c r="O126" i="271"/>
  <c r="N126" i="271"/>
  <c r="I126" i="271"/>
  <c r="H126" i="271"/>
  <c r="G126" i="271"/>
  <c r="F126" i="271"/>
  <c r="E126" i="271"/>
  <c r="D126" i="271"/>
  <c r="C126" i="271"/>
  <c r="B126" i="271"/>
  <c r="A126" i="271"/>
  <c r="Y125" i="271"/>
  <c r="X125" i="271"/>
  <c r="W125" i="271"/>
  <c r="V125" i="271"/>
  <c r="U125" i="271"/>
  <c r="S125" i="271"/>
  <c r="R125" i="271"/>
  <c r="Q125" i="271"/>
  <c r="P125" i="271"/>
  <c r="O125" i="271"/>
  <c r="N125" i="271"/>
  <c r="I125" i="271"/>
  <c r="H125" i="271"/>
  <c r="G125" i="271"/>
  <c r="F125" i="271"/>
  <c r="E125" i="271"/>
  <c r="D125" i="271"/>
  <c r="C125" i="271"/>
  <c r="B125" i="271"/>
  <c r="A125" i="271"/>
  <c r="Y124" i="271"/>
  <c r="X124" i="271"/>
  <c r="W124" i="271"/>
  <c r="W123" i="271" s="1"/>
  <c r="W122" i="271" s="1"/>
  <c r="V124" i="271"/>
  <c r="T124" i="271"/>
  <c r="T123" i="271" s="1"/>
  <c r="S124" i="271"/>
  <c r="R124" i="271"/>
  <c r="R123" i="271" s="1"/>
  <c r="R122" i="271" s="1"/>
  <c r="Q124" i="271"/>
  <c r="P124" i="271"/>
  <c r="O124" i="271"/>
  <c r="N124" i="271"/>
  <c r="I124" i="271"/>
  <c r="H124" i="271"/>
  <c r="G124" i="271"/>
  <c r="F124" i="271"/>
  <c r="E124" i="271"/>
  <c r="D124" i="271"/>
  <c r="C124" i="271"/>
  <c r="B124" i="271"/>
  <c r="A124" i="271"/>
  <c r="U123" i="271"/>
  <c r="M123" i="271"/>
  <c r="L123" i="271"/>
  <c r="U122" i="271"/>
  <c r="L122" i="271"/>
  <c r="K122" i="271"/>
  <c r="Y121" i="271"/>
  <c r="X121" i="271"/>
  <c r="W121" i="271"/>
  <c r="W120" i="271" s="1"/>
  <c r="W119" i="271" s="1"/>
  <c r="V121" i="271"/>
  <c r="T121" i="271"/>
  <c r="S121" i="271"/>
  <c r="R121" i="271"/>
  <c r="R120" i="271" s="1"/>
  <c r="R119" i="271" s="1"/>
  <c r="Q121" i="271"/>
  <c r="P121" i="271"/>
  <c r="O121" i="271"/>
  <c r="N121" i="271"/>
  <c r="I121" i="271"/>
  <c r="H121" i="271"/>
  <c r="G121" i="271"/>
  <c r="F121" i="271"/>
  <c r="E121" i="271"/>
  <c r="D121" i="271"/>
  <c r="C121" i="271"/>
  <c r="B121" i="271"/>
  <c r="A121" i="271"/>
  <c r="Y120" i="271"/>
  <c r="U120" i="271"/>
  <c r="U119" i="271" s="1"/>
  <c r="T120" i="271"/>
  <c r="T119" i="271" s="1"/>
  <c r="M120" i="271"/>
  <c r="L120" i="271"/>
  <c r="Y119" i="271"/>
  <c r="X119" i="271"/>
  <c r="V119" i="271"/>
  <c r="L119" i="271"/>
  <c r="K119" i="271"/>
  <c r="Y118" i="271"/>
  <c r="X118" i="271"/>
  <c r="W118" i="271"/>
  <c r="W117" i="271" s="1"/>
  <c r="V118" i="271"/>
  <c r="T118" i="271"/>
  <c r="S118" i="271"/>
  <c r="R118" i="271"/>
  <c r="Q118" i="271"/>
  <c r="P118" i="271"/>
  <c r="O118" i="271"/>
  <c r="N118" i="271"/>
  <c r="I118" i="271"/>
  <c r="H118" i="271"/>
  <c r="G118" i="271"/>
  <c r="F118" i="271"/>
  <c r="E118" i="271"/>
  <c r="D118" i="271"/>
  <c r="C118" i="271"/>
  <c r="B118" i="271"/>
  <c r="A118" i="271"/>
  <c r="Y117" i="271"/>
  <c r="U117" i="271"/>
  <c r="T117" i="271"/>
  <c r="R117" i="271"/>
  <c r="M117" i="271"/>
  <c r="L117" i="271"/>
  <c r="Y116" i="271"/>
  <c r="X116" i="271"/>
  <c r="W116" i="271"/>
  <c r="V116" i="271"/>
  <c r="U116" i="271"/>
  <c r="U113" i="271" s="1"/>
  <c r="S116" i="271"/>
  <c r="R116" i="271"/>
  <c r="Q116" i="271"/>
  <c r="P116" i="271"/>
  <c r="O116" i="271"/>
  <c r="N116" i="271"/>
  <c r="I116" i="271"/>
  <c r="H116" i="271"/>
  <c r="G116" i="271"/>
  <c r="F116" i="271"/>
  <c r="E116" i="271"/>
  <c r="D116" i="271"/>
  <c r="C116" i="271"/>
  <c r="B116" i="271"/>
  <c r="A116" i="271"/>
  <c r="Y115" i="271"/>
  <c r="X115" i="271"/>
  <c r="W115" i="271"/>
  <c r="V115" i="271"/>
  <c r="T115" i="271"/>
  <c r="S115" i="271"/>
  <c r="R115" i="271"/>
  <c r="Q115" i="271"/>
  <c r="P115" i="271"/>
  <c r="O115" i="271"/>
  <c r="N115" i="271"/>
  <c r="I115" i="271"/>
  <c r="H115" i="271"/>
  <c r="G115" i="271"/>
  <c r="F115" i="271"/>
  <c r="E115" i="271"/>
  <c r="D115" i="271"/>
  <c r="C115" i="271"/>
  <c r="B115" i="271"/>
  <c r="A115" i="271"/>
  <c r="Y114" i="271"/>
  <c r="X114" i="271"/>
  <c r="W114" i="271"/>
  <c r="V114" i="271"/>
  <c r="T114" i="271"/>
  <c r="S114" i="271"/>
  <c r="R114" i="271"/>
  <c r="R113" i="271" s="1"/>
  <c r="Q114" i="271"/>
  <c r="P114" i="271"/>
  <c r="O114" i="271"/>
  <c r="N114" i="271"/>
  <c r="I114" i="271"/>
  <c r="H114" i="271"/>
  <c r="G114" i="271"/>
  <c r="F114" i="271"/>
  <c r="E114" i="271"/>
  <c r="D114" i="271"/>
  <c r="C114" i="271"/>
  <c r="B114" i="271"/>
  <c r="A114" i="271"/>
  <c r="W113" i="271"/>
  <c r="T113" i="271"/>
  <c r="M113" i="271"/>
  <c r="L113" i="271"/>
  <c r="Y112" i="271"/>
  <c r="X112" i="271"/>
  <c r="W112" i="271"/>
  <c r="V112" i="271"/>
  <c r="T112" i="271"/>
  <c r="S112" i="271"/>
  <c r="R112" i="271"/>
  <c r="Q112" i="271"/>
  <c r="P112" i="271"/>
  <c r="O112" i="271"/>
  <c r="N112" i="271"/>
  <c r="I112" i="271"/>
  <c r="H112" i="271"/>
  <c r="G112" i="271"/>
  <c r="F112" i="271"/>
  <c r="E112" i="271"/>
  <c r="D112" i="271"/>
  <c r="C112" i="271"/>
  <c r="B112" i="271"/>
  <c r="A112" i="271"/>
  <c r="Y111" i="271"/>
  <c r="X111" i="271"/>
  <c r="W111" i="271"/>
  <c r="V111" i="271"/>
  <c r="U111" i="271"/>
  <c r="U104" i="271" s="1"/>
  <c r="S111" i="271"/>
  <c r="R111" i="271"/>
  <c r="Q111" i="271"/>
  <c r="P111" i="271"/>
  <c r="O111" i="271"/>
  <c r="N111" i="271"/>
  <c r="I111" i="271"/>
  <c r="H111" i="271"/>
  <c r="G111" i="271"/>
  <c r="F111" i="271"/>
  <c r="E111" i="271"/>
  <c r="D111" i="271"/>
  <c r="C111" i="271"/>
  <c r="B111" i="271"/>
  <c r="A111" i="271"/>
  <c r="Y110" i="271"/>
  <c r="X110" i="271"/>
  <c r="W110" i="271"/>
  <c r="V110" i="271"/>
  <c r="T110" i="271"/>
  <c r="S110" i="271"/>
  <c r="R110" i="271"/>
  <c r="Q110" i="271"/>
  <c r="P110" i="271"/>
  <c r="O110" i="271"/>
  <c r="N110" i="271"/>
  <c r="I110" i="271"/>
  <c r="H110" i="271"/>
  <c r="G110" i="271"/>
  <c r="F110" i="271"/>
  <c r="E110" i="271"/>
  <c r="D110" i="271"/>
  <c r="C110" i="271"/>
  <c r="B110" i="271"/>
  <c r="A110" i="271"/>
  <c r="Y109" i="271"/>
  <c r="X109" i="271"/>
  <c r="W109" i="271"/>
  <c r="V109" i="271"/>
  <c r="T109" i="271"/>
  <c r="S109" i="271"/>
  <c r="R109" i="271"/>
  <c r="Q109" i="271"/>
  <c r="P109" i="271"/>
  <c r="O109" i="271"/>
  <c r="N109" i="271"/>
  <c r="I109" i="271"/>
  <c r="H109" i="271"/>
  <c r="G109" i="271"/>
  <c r="F109" i="271"/>
  <c r="E109" i="271"/>
  <c r="D109" i="271"/>
  <c r="C109" i="271"/>
  <c r="B109" i="271"/>
  <c r="A109" i="271"/>
  <c r="Y108" i="271"/>
  <c r="X108" i="271"/>
  <c r="W108" i="271"/>
  <c r="V108" i="271"/>
  <c r="T108" i="271"/>
  <c r="S108" i="271"/>
  <c r="R108" i="271"/>
  <c r="Q108" i="271"/>
  <c r="P108" i="271"/>
  <c r="O108" i="271"/>
  <c r="N108" i="271"/>
  <c r="I108" i="271"/>
  <c r="H108" i="271"/>
  <c r="G108" i="271"/>
  <c r="F108" i="271"/>
  <c r="E108" i="271"/>
  <c r="D108" i="271"/>
  <c r="C108" i="271"/>
  <c r="B108" i="271"/>
  <c r="A108" i="271"/>
  <c r="Y107" i="271"/>
  <c r="X107" i="271"/>
  <c r="W107" i="271"/>
  <c r="V107" i="271"/>
  <c r="T107" i="271"/>
  <c r="S107" i="271"/>
  <c r="R107" i="271"/>
  <c r="Q107" i="271"/>
  <c r="P107" i="271"/>
  <c r="O107" i="271"/>
  <c r="N107" i="271"/>
  <c r="I107" i="271"/>
  <c r="H107" i="271"/>
  <c r="G107" i="271"/>
  <c r="F107" i="271"/>
  <c r="E107" i="271"/>
  <c r="D107" i="271"/>
  <c r="C107" i="271"/>
  <c r="B107" i="271"/>
  <c r="A107" i="271"/>
  <c r="Y106" i="271"/>
  <c r="X106" i="271"/>
  <c r="W106" i="271"/>
  <c r="V106" i="271"/>
  <c r="T106" i="271"/>
  <c r="S106" i="271"/>
  <c r="R106" i="271"/>
  <c r="Q106" i="271"/>
  <c r="P106" i="271"/>
  <c r="O106" i="271"/>
  <c r="N106" i="271"/>
  <c r="I106" i="271"/>
  <c r="H106" i="271"/>
  <c r="G106" i="271"/>
  <c r="F106" i="271"/>
  <c r="E106" i="271"/>
  <c r="D106" i="271"/>
  <c r="C106" i="271"/>
  <c r="B106" i="271"/>
  <c r="A106" i="271"/>
  <c r="Y105" i="271"/>
  <c r="X105" i="271"/>
  <c r="W105" i="271"/>
  <c r="V105" i="271"/>
  <c r="T105" i="271"/>
  <c r="S105" i="271"/>
  <c r="R105" i="271"/>
  <c r="R104" i="271" s="1"/>
  <c r="Q105" i="271"/>
  <c r="P105" i="271"/>
  <c r="O105" i="271"/>
  <c r="N105" i="271"/>
  <c r="I105" i="271"/>
  <c r="H105" i="271"/>
  <c r="G105" i="271"/>
  <c r="F105" i="271"/>
  <c r="E105" i="271"/>
  <c r="D105" i="271"/>
  <c r="C105" i="271"/>
  <c r="B105" i="271"/>
  <c r="A105" i="271"/>
  <c r="W104" i="271"/>
  <c r="T104" i="271"/>
  <c r="M104" i="271"/>
  <c r="L104" i="271"/>
  <c r="Y103" i="271"/>
  <c r="X103" i="271"/>
  <c r="W103" i="271"/>
  <c r="V103" i="271"/>
  <c r="T103" i="271"/>
  <c r="S103" i="271"/>
  <c r="R103" i="271"/>
  <c r="Q103" i="271"/>
  <c r="P103" i="271"/>
  <c r="O103" i="271"/>
  <c r="N103" i="271"/>
  <c r="I103" i="271"/>
  <c r="H103" i="271"/>
  <c r="G103" i="271"/>
  <c r="F103" i="271"/>
  <c r="E103" i="271"/>
  <c r="D103" i="271"/>
  <c r="C103" i="271"/>
  <c r="B103" i="271"/>
  <c r="A103" i="271"/>
  <c r="Y102" i="271"/>
  <c r="X102" i="271"/>
  <c r="W102" i="271"/>
  <c r="V102" i="271"/>
  <c r="U102" i="271"/>
  <c r="U90" i="271" s="1"/>
  <c r="S102" i="271"/>
  <c r="Y101" i="271"/>
  <c r="X101" i="271"/>
  <c r="W101" i="271"/>
  <c r="V101" i="271"/>
  <c r="V90" i="271" s="1"/>
  <c r="T101" i="271"/>
  <c r="S101" i="271"/>
  <c r="Y100" i="271"/>
  <c r="X100" i="271"/>
  <c r="W100" i="271"/>
  <c r="V100" i="271"/>
  <c r="T100" i="271"/>
  <c r="S100" i="271"/>
  <c r="R100" i="271"/>
  <c r="Q100" i="271"/>
  <c r="P100" i="271"/>
  <c r="O100" i="271"/>
  <c r="N100" i="271"/>
  <c r="Y99" i="271"/>
  <c r="X99" i="271"/>
  <c r="W99" i="271"/>
  <c r="V99" i="271"/>
  <c r="T99" i="271"/>
  <c r="S99" i="271"/>
  <c r="R99" i="271"/>
  <c r="Q99" i="271"/>
  <c r="P99" i="271"/>
  <c r="O99" i="271"/>
  <c r="N99" i="271"/>
  <c r="I99" i="271"/>
  <c r="H99" i="271"/>
  <c r="G99" i="271"/>
  <c r="F99" i="271"/>
  <c r="E99" i="271"/>
  <c r="D99" i="271"/>
  <c r="C99" i="271"/>
  <c r="B99" i="271"/>
  <c r="A99" i="271"/>
  <c r="Y98" i="271"/>
  <c r="X98" i="271"/>
  <c r="W98" i="271"/>
  <c r="V98" i="271"/>
  <c r="T98" i="271"/>
  <c r="S98" i="271"/>
  <c r="R98" i="271"/>
  <c r="Q98" i="271"/>
  <c r="P98" i="271"/>
  <c r="O98" i="271"/>
  <c r="N98" i="271"/>
  <c r="I98" i="271"/>
  <c r="H98" i="271"/>
  <c r="G98" i="271"/>
  <c r="F98" i="271"/>
  <c r="E98" i="271"/>
  <c r="D98" i="271"/>
  <c r="C98" i="271"/>
  <c r="B98" i="271"/>
  <c r="A98" i="271"/>
  <c r="Y97" i="271"/>
  <c r="X97" i="271"/>
  <c r="W97" i="271"/>
  <c r="V97" i="271"/>
  <c r="T97" i="271"/>
  <c r="S97" i="271"/>
  <c r="R97" i="271"/>
  <c r="Q97" i="271"/>
  <c r="P97" i="271"/>
  <c r="O97" i="271"/>
  <c r="N97" i="271"/>
  <c r="I97" i="271"/>
  <c r="H97" i="271"/>
  <c r="G97" i="271"/>
  <c r="F97" i="271"/>
  <c r="E97" i="271"/>
  <c r="D97" i="271"/>
  <c r="C97" i="271"/>
  <c r="B97" i="271"/>
  <c r="A97" i="271"/>
  <c r="Y96" i="271"/>
  <c r="X96" i="271"/>
  <c r="W96" i="271"/>
  <c r="V96" i="271"/>
  <c r="T96" i="271"/>
  <c r="S96" i="271"/>
  <c r="R96" i="271"/>
  <c r="Q96" i="271"/>
  <c r="P96" i="271"/>
  <c r="O96" i="271"/>
  <c r="N96" i="271"/>
  <c r="I96" i="271"/>
  <c r="H96" i="271"/>
  <c r="G96" i="271"/>
  <c r="F96" i="271"/>
  <c r="E96" i="271"/>
  <c r="D96" i="271"/>
  <c r="C96" i="271"/>
  <c r="B96" i="271"/>
  <c r="A96" i="271"/>
  <c r="Y95" i="271"/>
  <c r="X95" i="271"/>
  <c r="W95" i="271"/>
  <c r="V95" i="271"/>
  <c r="T95" i="271"/>
  <c r="S95" i="271"/>
  <c r="R95" i="271"/>
  <c r="Q95" i="271"/>
  <c r="P95" i="271"/>
  <c r="O95" i="271"/>
  <c r="N95" i="271"/>
  <c r="I95" i="271"/>
  <c r="H95" i="271"/>
  <c r="G95" i="271"/>
  <c r="F95" i="271"/>
  <c r="E95" i="271"/>
  <c r="D95" i="271"/>
  <c r="C95" i="271"/>
  <c r="B95" i="271"/>
  <c r="A95" i="271"/>
  <c r="Y94" i="271"/>
  <c r="X94" i="271"/>
  <c r="W94" i="271"/>
  <c r="V94" i="271"/>
  <c r="T94" i="271"/>
  <c r="S94" i="271"/>
  <c r="R94" i="271"/>
  <c r="Q94" i="271"/>
  <c r="P94" i="271"/>
  <c r="O94" i="271"/>
  <c r="N94" i="271"/>
  <c r="I94" i="271"/>
  <c r="H94" i="271"/>
  <c r="G94" i="271"/>
  <c r="F94" i="271"/>
  <c r="E94" i="271"/>
  <c r="D94" i="271"/>
  <c r="C94" i="271"/>
  <c r="B94" i="271"/>
  <c r="A94" i="271"/>
  <c r="Y93" i="271"/>
  <c r="X93" i="271"/>
  <c r="W93" i="271"/>
  <c r="V93" i="271"/>
  <c r="T93" i="271"/>
  <c r="S93" i="271"/>
  <c r="R93" i="271"/>
  <c r="Q93" i="271"/>
  <c r="P93" i="271"/>
  <c r="O93" i="271"/>
  <c r="N93" i="271"/>
  <c r="I93" i="271"/>
  <c r="H93" i="271"/>
  <c r="G93" i="271"/>
  <c r="F93" i="271"/>
  <c r="E93" i="271"/>
  <c r="D93" i="271"/>
  <c r="C93" i="271"/>
  <c r="B93" i="271"/>
  <c r="A93" i="271"/>
  <c r="Y92" i="271"/>
  <c r="X92" i="271"/>
  <c r="W92" i="271"/>
  <c r="V92" i="271"/>
  <c r="T92" i="271"/>
  <c r="S92" i="271"/>
  <c r="R92" i="271"/>
  <c r="Q92" i="271"/>
  <c r="P92" i="271"/>
  <c r="O92" i="271"/>
  <c r="N92" i="271"/>
  <c r="I92" i="271"/>
  <c r="H92" i="271"/>
  <c r="G92" i="271"/>
  <c r="F92" i="271"/>
  <c r="E92" i="271"/>
  <c r="D92" i="271"/>
  <c r="C92" i="271"/>
  <c r="B92" i="271"/>
  <c r="A92" i="271"/>
  <c r="Y91" i="271"/>
  <c r="X91" i="271"/>
  <c r="W91" i="271"/>
  <c r="W90" i="271" s="1"/>
  <c r="V91" i="271"/>
  <c r="T91" i="271"/>
  <c r="S91" i="271"/>
  <c r="R91" i="271"/>
  <c r="R90" i="271" s="1"/>
  <c r="Q91" i="271"/>
  <c r="P91" i="271"/>
  <c r="O91" i="271"/>
  <c r="N91" i="271"/>
  <c r="I91" i="271"/>
  <c r="H91" i="271"/>
  <c r="G91" i="271"/>
  <c r="F91" i="271"/>
  <c r="E91" i="271"/>
  <c r="D91" i="271"/>
  <c r="C91" i="271"/>
  <c r="B91" i="271"/>
  <c r="A91" i="271"/>
  <c r="T90" i="271"/>
  <c r="M90" i="271"/>
  <c r="L90" i="271"/>
  <c r="Y89" i="271"/>
  <c r="X89" i="271"/>
  <c r="W89" i="271"/>
  <c r="V89" i="271"/>
  <c r="T89" i="271"/>
  <c r="S89" i="271"/>
  <c r="R89" i="271"/>
  <c r="Q89" i="271"/>
  <c r="P89" i="271"/>
  <c r="O89" i="271"/>
  <c r="N89" i="271"/>
  <c r="I89" i="271"/>
  <c r="H89" i="271"/>
  <c r="G89" i="271"/>
  <c r="F89" i="271"/>
  <c r="E89" i="271"/>
  <c r="D89" i="271"/>
  <c r="C89" i="271"/>
  <c r="B89" i="271"/>
  <c r="A89" i="271"/>
  <c r="Y88" i="271"/>
  <c r="X88" i="271"/>
  <c r="W88" i="271"/>
  <c r="V88" i="271"/>
  <c r="T88" i="271"/>
  <c r="S88" i="271"/>
  <c r="R88" i="271"/>
  <c r="Q88" i="271"/>
  <c r="P88" i="271"/>
  <c r="O88" i="271"/>
  <c r="N88" i="271"/>
  <c r="I88" i="271"/>
  <c r="H88" i="271"/>
  <c r="G88" i="271"/>
  <c r="F88" i="271"/>
  <c r="E88" i="271"/>
  <c r="D88" i="271"/>
  <c r="C88" i="271"/>
  <c r="B88" i="271"/>
  <c r="A88" i="271"/>
  <c r="Y87" i="271"/>
  <c r="X87" i="271"/>
  <c r="X86" i="271" s="1"/>
  <c r="W87" i="271"/>
  <c r="W86" i="271" s="1"/>
  <c r="V87" i="271"/>
  <c r="T87" i="271"/>
  <c r="T86" i="271" s="1"/>
  <c r="S87" i="271"/>
  <c r="R87" i="271"/>
  <c r="R86" i="271" s="1"/>
  <c r="Q87" i="271"/>
  <c r="P87" i="271"/>
  <c r="O87" i="271"/>
  <c r="N87" i="271"/>
  <c r="I87" i="271"/>
  <c r="H87" i="271"/>
  <c r="G87" i="271"/>
  <c r="F87" i="271"/>
  <c r="E87" i="271"/>
  <c r="D87" i="271"/>
  <c r="C87" i="271"/>
  <c r="B87" i="271"/>
  <c r="A87" i="271"/>
  <c r="V86" i="271"/>
  <c r="U86" i="271"/>
  <c r="M86" i="271"/>
  <c r="L86" i="271"/>
  <c r="Y85" i="271"/>
  <c r="X85" i="271"/>
  <c r="W85" i="271"/>
  <c r="V85" i="271"/>
  <c r="T85" i="271"/>
  <c r="S85" i="271"/>
  <c r="R85" i="271"/>
  <c r="Q85" i="271"/>
  <c r="P85" i="271"/>
  <c r="O85" i="271"/>
  <c r="N85" i="271"/>
  <c r="I85" i="271"/>
  <c r="H85" i="271"/>
  <c r="G85" i="271"/>
  <c r="F85" i="271"/>
  <c r="E85" i="271"/>
  <c r="D85" i="271"/>
  <c r="C85" i="271"/>
  <c r="B85" i="271"/>
  <c r="A85" i="271"/>
  <c r="Y84" i="271"/>
  <c r="X84" i="271"/>
  <c r="W84" i="271"/>
  <c r="V84" i="271"/>
  <c r="T84" i="271"/>
  <c r="S84" i="271"/>
  <c r="R84" i="271"/>
  <c r="Q84" i="271"/>
  <c r="P84" i="271"/>
  <c r="O84" i="271"/>
  <c r="N84" i="271"/>
  <c r="I84" i="271"/>
  <c r="H84" i="271"/>
  <c r="G84" i="271"/>
  <c r="F84" i="271"/>
  <c r="E84" i="271"/>
  <c r="D84" i="271"/>
  <c r="C84" i="271"/>
  <c r="B84" i="271"/>
  <c r="A84" i="271"/>
  <c r="Y83" i="271"/>
  <c r="X83" i="271"/>
  <c r="W83" i="271"/>
  <c r="V83" i="271"/>
  <c r="T83" i="271"/>
  <c r="S83" i="271"/>
  <c r="R83" i="271"/>
  <c r="Q83" i="271"/>
  <c r="P83" i="271"/>
  <c r="O83" i="271"/>
  <c r="N83" i="271"/>
  <c r="I83" i="271"/>
  <c r="H83" i="271"/>
  <c r="G83" i="271"/>
  <c r="F83" i="271"/>
  <c r="E83" i="271"/>
  <c r="D83" i="271"/>
  <c r="C83" i="271"/>
  <c r="B83" i="271"/>
  <c r="A83" i="271"/>
  <c r="Y82" i="271"/>
  <c r="X82" i="271"/>
  <c r="W82" i="271"/>
  <c r="V82" i="271"/>
  <c r="T82" i="271"/>
  <c r="S82" i="271"/>
  <c r="R82" i="271"/>
  <c r="Q82" i="271"/>
  <c r="P82" i="271"/>
  <c r="O82" i="271"/>
  <c r="N82" i="271"/>
  <c r="I82" i="271"/>
  <c r="H82" i="271"/>
  <c r="G82" i="271"/>
  <c r="F82" i="271"/>
  <c r="E82" i="271"/>
  <c r="D82" i="271"/>
  <c r="C82" i="271"/>
  <c r="B82" i="271"/>
  <c r="A82" i="271"/>
  <c r="Y81" i="271"/>
  <c r="X81" i="271"/>
  <c r="W81" i="271"/>
  <c r="V81" i="271"/>
  <c r="T81" i="271"/>
  <c r="S81" i="271"/>
  <c r="R81" i="271"/>
  <c r="Q81" i="271"/>
  <c r="P81" i="271"/>
  <c r="O81" i="271"/>
  <c r="N81" i="271"/>
  <c r="I81" i="271"/>
  <c r="H81" i="271"/>
  <c r="G81" i="271"/>
  <c r="F81" i="271"/>
  <c r="E81" i="271"/>
  <c r="D81" i="271"/>
  <c r="C81" i="271"/>
  <c r="B81" i="271"/>
  <c r="A81" i="271"/>
  <c r="Y80" i="271"/>
  <c r="X80" i="271"/>
  <c r="W80" i="271"/>
  <c r="V80" i="271"/>
  <c r="T80" i="271"/>
  <c r="S80" i="271"/>
  <c r="R80" i="271"/>
  <c r="Q80" i="271"/>
  <c r="P80" i="271"/>
  <c r="O80" i="271"/>
  <c r="N80" i="271"/>
  <c r="I80" i="271"/>
  <c r="H80" i="271"/>
  <c r="G80" i="271"/>
  <c r="F80" i="271"/>
  <c r="E80" i="271"/>
  <c r="D80" i="271"/>
  <c r="C80" i="271"/>
  <c r="B80" i="271"/>
  <c r="A80" i="271"/>
  <c r="Y79" i="271"/>
  <c r="X79" i="271"/>
  <c r="W79" i="271"/>
  <c r="V79" i="271"/>
  <c r="T79" i="271"/>
  <c r="S79" i="271"/>
  <c r="R79" i="271"/>
  <c r="Q79" i="271"/>
  <c r="P79" i="271"/>
  <c r="O79" i="271"/>
  <c r="N79" i="271"/>
  <c r="I79" i="271"/>
  <c r="H79" i="271"/>
  <c r="G79" i="271"/>
  <c r="F79" i="271"/>
  <c r="E79" i="271"/>
  <c r="D79" i="271"/>
  <c r="C79" i="271"/>
  <c r="B79" i="271"/>
  <c r="A79" i="271"/>
  <c r="Y78" i="271"/>
  <c r="X78" i="271"/>
  <c r="W78" i="271"/>
  <c r="V78" i="271"/>
  <c r="T78" i="271"/>
  <c r="S78" i="271"/>
  <c r="R78" i="271"/>
  <c r="Q78" i="271"/>
  <c r="P78" i="271"/>
  <c r="O78" i="271"/>
  <c r="N78" i="271"/>
  <c r="I78" i="271"/>
  <c r="H78" i="271"/>
  <c r="G78" i="271"/>
  <c r="F78" i="271"/>
  <c r="E78" i="271"/>
  <c r="D78" i="271"/>
  <c r="C78" i="271"/>
  <c r="B78" i="271"/>
  <c r="A78" i="271"/>
  <c r="Y77" i="271"/>
  <c r="X77" i="271"/>
  <c r="W77" i="271"/>
  <c r="V77" i="271"/>
  <c r="T77" i="271"/>
  <c r="S77" i="271"/>
  <c r="R77" i="271"/>
  <c r="R72" i="271" s="1"/>
  <c r="Q77" i="271"/>
  <c r="P77" i="271"/>
  <c r="O77" i="271"/>
  <c r="N77" i="271"/>
  <c r="I77" i="271"/>
  <c r="H77" i="271"/>
  <c r="G77" i="271"/>
  <c r="F77" i="271"/>
  <c r="E77" i="271"/>
  <c r="D77" i="271"/>
  <c r="C77" i="271"/>
  <c r="B77" i="271"/>
  <c r="A77" i="271"/>
  <c r="Y76" i="271"/>
  <c r="X76" i="271"/>
  <c r="W76" i="271"/>
  <c r="W72" i="271" s="1"/>
  <c r="Y75" i="271"/>
  <c r="X75" i="271"/>
  <c r="W75" i="271"/>
  <c r="V75" i="271"/>
  <c r="T75" i="271"/>
  <c r="S75" i="271"/>
  <c r="R75" i="271"/>
  <c r="Q75" i="271"/>
  <c r="P75" i="271"/>
  <c r="O75" i="271"/>
  <c r="N75" i="271"/>
  <c r="I75" i="271"/>
  <c r="H75" i="271"/>
  <c r="G75" i="271"/>
  <c r="F75" i="271"/>
  <c r="E75" i="271"/>
  <c r="D75" i="271"/>
  <c r="C75" i="271"/>
  <c r="B75" i="271"/>
  <c r="A75" i="271"/>
  <c r="Y74" i="271"/>
  <c r="X74" i="271"/>
  <c r="W74" i="271"/>
  <c r="V74" i="271"/>
  <c r="V72" i="271" s="1"/>
  <c r="T74" i="271"/>
  <c r="S74" i="271"/>
  <c r="I74" i="271"/>
  <c r="H74" i="271"/>
  <c r="G74" i="271"/>
  <c r="F74" i="271"/>
  <c r="E74" i="271"/>
  <c r="D74" i="271"/>
  <c r="C74" i="271"/>
  <c r="B74" i="271"/>
  <c r="A74" i="271"/>
  <c r="Y73" i="271"/>
  <c r="X73" i="271"/>
  <c r="W73" i="271"/>
  <c r="V73" i="271"/>
  <c r="T73" i="271"/>
  <c r="T72" i="271" s="1"/>
  <c r="S73" i="271"/>
  <c r="R73" i="271"/>
  <c r="Q73" i="271"/>
  <c r="P73" i="271"/>
  <c r="O73" i="271"/>
  <c r="N73" i="271"/>
  <c r="I73" i="271"/>
  <c r="H73" i="271"/>
  <c r="G73" i="271"/>
  <c r="F73" i="271"/>
  <c r="E73" i="271"/>
  <c r="D73" i="271"/>
  <c r="C73" i="271"/>
  <c r="B73" i="271"/>
  <c r="A73" i="271"/>
  <c r="Y72" i="271"/>
  <c r="U72" i="271"/>
  <c r="M72" i="271"/>
  <c r="L72" i="271"/>
  <c r="Y71" i="271"/>
  <c r="X71" i="271"/>
  <c r="W71" i="271"/>
  <c r="V71" i="271"/>
  <c r="T71" i="271"/>
  <c r="S71" i="271"/>
  <c r="R71" i="271"/>
  <c r="Q71" i="271"/>
  <c r="P71" i="271"/>
  <c r="O71" i="271"/>
  <c r="N71" i="271"/>
  <c r="I71" i="271"/>
  <c r="H71" i="271"/>
  <c r="G71" i="271"/>
  <c r="F71" i="271"/>
  <c r="E71" i="271"/>
  <c r="D71" i="271"/>
  <c r="C71" i="271"/>
  <c r="B71" i="271"/>
  <c r="A71" i="271"/>
  <c r="Y70" i="271"/>
  <c r="X70" i="271"/>
  <c r="W70" i="271"/>
  <c r="V70" i="271"/>
  <c r="T70" i="271"/>
  <c r="S70" i="271"/>
  <c r="R70" i="271"/>
  <c r="R65" i="271" s="1"/>
  <c r="Q70" i="271"/>
  <c r="P70" i="271"/>
  <c r="O70" i="271"/>
  <c r="N70" i="271"/>
  <c r="I70" i="271"/>
  <c r="H70" i="271"/>
  <c r="G70" i="271"/>
  <c r="F70" i="271"/>
  <c r="E70" i="271"/>
  <c r="D70" i="271"/>
  <c r="C70" i="271"/>
  <c r="B70" i="271"/>
  <c r="A70" i="271"/>
  <c r="Y69" i="271"/>
  <c r="X69" i="271"/>
  <c r="W69" i="271"/>
  <c r="Y68" i="271"/>
  <c r="X68" i="271"/>
  <c r="W68" i="271"/>
  <c r="V68" i="271"/>
  <c r="T68" i="271"/>
  <c r="S68" i="271"/>
  <c r="I68" i="271"/>
  <c r="H68" i="271"/>
  <c r="G68" i="271"/>
  <c r="F68" i="271"/>
  <c r="E68" i="271"/>
  <c r="D68" i="271"/>
  <c r="C68" i="271"/>
  <c r="B68" i="271"/>
  <c r="A68" i="271"/>
  <c r="Y67" i="271"/>
  <c r="X67" i="271"/>
  <c r="W67" i="271"/>
  <c r="V67" i="271"/>
  <c r="T67" i="271"/>
  <c r="S67" i="271"/>
  <c r="R67" i="271"/>
  <c r="Q67" i="271"/>
  <c r="P67" i="271"/>
  <c r="O67" i="271"/>
  <c r="N67" i="271"/>
  <c r="I67" i="271"/>
  <c r="H67" i="271"/>
  <c r="G67" i="271"/>
  <c r="F67" i="271"/>
  <c r="E67" i="271"/>
  <c r="D67" i="271"/>
  <c r="C67" i="271"/>
  <c r="B67" i="271"/>
  <c r="A67" i="271"/>
  <c r="Y66" i="271"/>
  <c r="X66" i="271"/>
  <c r="W66" i="271"/>
  <c r="V66" i="271"/>
  <c r="T66" i="271"/>
  <c r="S66" i="271"/>
  <c r="R66" i="271"/>
  <c r="Q66" i="271"/>
  <c r="P66" i="271"/>
  <c r="O66" i="271"/>
  <c r="N66" i="271"/>
  <c r="I66" i="271"/>
  <c r="H66" i="271"/>
  <c r="G66" i="271"/>
  <c r="F66" i="271"/>
  <c r="E66" i="271"/>
  <c r="D66" i="271"/>
  <c r="C66" i="271"/>
  <c r="B66" i="271"/>
  <c r="A66" i="271"/>
  <c r="U65" i="271"/>
  <c r="M65" i="271"/>
  <c r="L65" i="271"/>
  <c r="Y64" i="271"/>
  <c r="X64" i="271"/>
  <c r="W64" i="271"/>
  <c r="V64" i="271"/>
  <c r="T64" i="271"/>
  <c r="S64" i="271"/>
  <c r="R64" i="271"/>
  <c r="Q64" i="271"/>
  <c r="P64" i="271"/>
  <c r="O64" i="271"/>
  <c r="N64" i="271"/>
  <c r="I64" i="271"/>
  <c r="H64" i="271"/>
  <c r="G64" i="271"/>
  <c r="F64" i="271"/>
  <c r="E64" i="271"/>
  <c r="D64" i="271"/>
  <c r="C64" i="271"/>
  <c r="B64" i="271"/>
  <c r="A64" i="271"/>
  <c r="Y63" i="271"/>
  <c r="X63" i="271"/>
  <c r="W63" i="271"/>
  <c r="V63" i="271"/>
  <c r="T63" i="271"/>
  <c r="T62" i="271" s="1"/>
  <c r="S63" i="271"/>
  <c r="R63" i="271"/>
  <c r="Q63" i="271"/>
  <c r="P63" i="271"/>
  <c r="O63" i="271"/>
  <c r="N63" i="271"/>
  <c r="I63" i="271"/>
  <c r="H63" i="271"/>
  <c r="G63" i="271"/>
  <c r="F63" i="271"/>
  <c r="E63" i="271"/>
  <c r="D63" i="271"/>
  <c r="C63" i="271"/>
  <c r="B63" i="271"/>
  <c r="A63" i="271"/>
  <c r="W62" i="271"/>
  <c r="U62" i="271"/>
  <c r="R62" i="271"/>
  <c r="M62" i="271"/>
  <c r="L62" i="271"/>
  <c r="Y61" i="271"/>
  <c r="X61" i="271"/>
  <c r="W61" i="271"/>
  <c r="V61" i="271"/>
  <c r="T61" i="271"/>
  <c r="S61" i="271"/>
  <c r="R61" i="271"/>
  <c r="Q61" i="271"/>
  <c r="P61" i="271"/>
  <c r="O61" i="271"/>
  <c r="N61" i="271"/>
  <c r="Y60" i="271"/>
  <c r="X60" i="271"/>
  <c r="W60" i="271"/>
  <c r="V60" i="271"/>
  <c r="T60" i="271"/>
  <c r="S60" i="271"/>
  <c r="R60" i="271"/>
  <c r="Q60" i="271"/>
  <c r="P60" i="271"/>
  <c r="O60" i="271"/>
  <c r="N60" i="271"/>
  <c r="I60" i="271"/>
  <c r="H60" i="271"/>
  <c r="G60" i="271"/>
  <c r="F60" i="271"/>
  <c r="E60" i="271"/>
  <c r="D60" i="271"/>
  <c r="C60" i="271"/>
  <c r="B60" i="271"/>
  <c r="A60" i="271"/>
  <c r="Y59" i="271"/>
  <c r="X59" i="271"/>
  <c r="W59" i="271"/>
  <c r="V59" i="271"/>
  <c r="T59" i="271"/>
  <c r="S59" i="271"/>
  <c r="R59" i="271"/>
  <c r="Q59" i="271"/>
  <c r="P59" i="271"/>
  <c r="O59" i="271"/>
  <c r="N59" i="271"/>
  <c r="I59" i="271"/>
  <c r="H59" i="271"/>
  <c r="G59" i="271"/>
  <c r="F59" i="271"/>
  <c r="E59" i="271"/>
  <c r="D59" i="271"/>
  <c r="C59" i="271"/>
  <c r="B59" i="271"/>
  <c r="A59" i="271"/>
  <c r="Y58" i="271"/>
  <c r="X58" i="271"/>
  <c r="W58" i="271"/>
  <c r="V58" i="271"/>
  <c r="T58" i="271"/>
  <c r="T50" i="271" s="1"/>
  <c r="S58" i="271"/>
  <c r="I58" i="271"/>
  <c r="H58" i="271"/>
  <c r="G58" i="271"/>
  <c r="F58" i="271"/>
  <c r="E58" i="271"/>
  <c r="D58" i="271"/>
  <c r="C58" i="271"/>
  <c r="B58" i="271"/>
  <c r="A58" i="271"/>
  <c r="Y57" i="271"/>
  <c r="X57" i="271"/>
  <c r="W57" i="271"/>
  <c r="V57" i="271"/>
  <c r="T57" i="271"/>
  <c r="S57" i="271"/>
  <c r="I57" i="271"/>
  <c r="H57" i="271"/>
  <c r="G57" i="271"/>
  <c r="F57" i="271"/>
  <c r="E57" i="271"/>
  <c r="D57" i="271"/>
  <c r="C57" i="271"/>
  <c r="B57" i="271"/>
  <c r="A57" i="271"/>
  <c r="Y56" i="271"/>
  <c r="X56" i="271"/>
  <c r="W56" i="271"/>
  <c r="Y55" i="271"/>
  <c r="X55" i="271"/>
  <c r="W55" i="271"/>
  <c r="V55" i="271"/>
  <c r="T55" i="271"/>
  <c r="S55" i="271"/>
  <c r="R55" i="271"/>
  <c r="Q55" i="271"/>
  <c r="P55" i="271"/>
  <c r="O55" i="271"/>
  <c r="N55" i="271"/>
  <c r="I55" i="271"/>
  <c r="H55" i="271"/>
  <c r="G55" i="271"/>
  <c r="F55" i="271"/>
  <c r="E55" i="271"/>
  <c r="D55" i="271"/>
  <c r="C55" i="271"/>
  <c r="B55" i="271"/>
  <c r="A55" i="271"/>
  <c r="Y54" i="271"/>
  <c r="X54" i="271"/>
  <c r="W54" i="271"/>
  <c r="V54" i="271"/>
  <c r="T54" i="271"/>
  <c r="S54" i="271"/>
  <c r="R54" i="271"/>
  <c r="Q54" i="271"/>
  <c r="P54" i="271"/>
  <c r="O54" i="271"/>
  <c r="N54" i="271"/>
  <c r="I54" i="271"/>
  <c r="H54" i="271"/>
  <c r="G54" i="271"/>
  <c r="F54" i="271"/>
  <c r="E54" i="271"/>
  <c r="D54" i="271"/>
  <c r="C54" i="271"/>
  <c r="B54" i="271"/>
  <c r="A54" i="271"/>
  <c r="Y53" i="271"/>
  <c r="X53" i="271"/>
  <c r="W53" i="271"/>
  <c r="V53" i="271"/>
  <c r="T53" i="271"/>
  <c r="S53" i="271"/>
  <c r="R53" i="271"/>
  <c r="R50" i="271" s="1"/>
  <c r="Q53" i="271"/>
  <c r="P53" i="271"/>
  <c r="O53" i="271"/>
  <c r="N53" i="271"/>
  <c r="I53" i="271"/>
  <c r="H53" i="271"/>
  <c r="G53" i="271"/>
  <c r="F53" i="271"/>
  <c r="E53" i="271"/>
  <c r="D53" i="271"/>
  <c r="C53" i="271"/>
  <c r="B53" i="271"/>
  <c r="A53" i="271"/>
  <c r="Y52" i="271"/>
  <c r="X52" i="271"/>
  <c r="W52" i="271"/>
  <c r="W50" i="271" s="1"/>
  <c r="V52" i="271"/>
  <c r="T52" i="271"/>
  <c r="S52" i="271"/>
  <c r="Y51" i="271"/>
  <c r="X51" i="271"/>
  <c r="W51" i="271"/>
  <c r="V51" i="271"/>
  <c r="T51" i="271"/>
  <c r="S51" i="271"/>
  <c r="R51" i="271"/>
  <c r="Q51" i="271"/>
  <c r="P51" i="271"/>
  <c r="O51" i="271"/>
  <c r="N51" i="271"/>
  <c r="U50" i="271"/>
  <c r="M50" i="271"/>
  <c r="L50" i="271"/>
  <c r="Y49" i="271"/>
  <c r="X49" i="271"/>
  <c r="W49" i="271"/>
  <c r="V49" i="271"/>
  <c r="T49" i="271"/>
  <c r="S49" i="271"/>
  <c r="R49" i="271"/>
  <c r="Q49" i="271"/>
  <c r="P49" i="271"/>
  <c r="O49" i="271"/>
  <c r="N49" i="271"/>
  <c r="Y48" i="271"/>
  <c r="X48" i="271"/>
  <c r="W48" i="271"/>
  <c r="V48" i="271"/>
  <c r="T48" i="271"/>
  <c r="T35" i="271" s="1"/>
  <c r="S48" i="271"/>
  <c r="Q48" i="271"/>
  <c r="P48" i="271"/>
  <c r="O48" i="271"/>
  <c r="Y47" i="271"/>
  <c r="X47" i="271"/>
  <c r="W47" i="271"/>
  <c r="V47" i="271"/>
  <c r="T47" i="271"/>
  <c r="S47" i="271"/>
  <c r="R47" i="271"/>
  <c r="Q47" i="271"/>
  <c r="P47" i="271"/>
  <c r="O47" i="271"/>
  <c r="N47" i="271"/>
  <c r="I47" i="271"/>
  <c r="H47" i="271"/>
  <c r="G47" i="271"/>
  <c r="F47" i="271"/>
  <c r="E47" i="271"/>
  <c r="D47" i="271"/>
  <c r="C47" i="271"/>
  <c r="B47" i="271"/>
  <c r="A47" i="271"/>
  <c r="Y46" i="271"/>
  <c r="X46" i="271"/>
  <c r="W46" i="271"/>
  <c r="V46" i="271"/>
  <c r="T46" i="271"/>
  <c r="S46" i="271"/>
  <c r="R46" i="271"/>
  <c r="Q46" i="271"/>
  <c r="P46" i="271"/>
  <c r="O46" i="271"/>
  <c r="N46" i="271"/>
  <c r="I46" i="271"/>
  <c r="H46" i="271"/>
  <c r="G46" i="271"/>
  <c r="F46" i="271"/>
  <c r="E46" i="271"/>
  <c r="D46" i="271"/>
  <c r="C46" i="271"/>
  <c r="B46" i="271"/>
  <c r="A46" i="271"/>
  <c r="Y45" i="271"/>
  <c r="X45" i="271"/>
  <c r="W45" i="271"/>
  <c r="V45" i="271"/>
  <c r="T45" i="271"/>
  <c r="S45" i="271"/>
  <c r="R45" i="271"/>
  <c r="Q45" i="271"/>
  <c r="P45" i="271"/>
  <c r="O45" i="271"/>
  <c r="N45" i="271"/>
  <c r="I45" i="271"/>
  <c r="H45" i="271"/>
  <c r="G45" i="271"/>
  <c r="F45" i="271"/>
  <c r="E45" i="271"/>
  <c r="D45" i="271"/>
  <c r="C45" i="271"/>
  <c r="B45" i="271"/>
  <c r="A45" i="271"/>
  <c r="Y44" i="271"/>
  <c r="X44" i="271"/>
  <c r="W44" i="271"/>
  <c r="V44" i="271"/>
  <c r="T44" i="271"/>
  <c r="S44" i="271"/>
  <c r="R44" i="271"/>
  <c r="Q44" i="271"/>
  <c r="P44" i="271"/>
  <c r="O44" i="271"/>
  <c r="N44" i="271"/>
  <c r="I44" i="271"/>
  <c r="H44" i="271"/>
  <c r="G44" i="271"/>
  <c r="F44" i="271"/>
  <c r="E44" i="271"/>
  <c r="D44" i="271"/>
  <c r="C44" i="271"/>
  <c r="B44" i="271"/>
  <c r="A44" i="271"/>
  <c r="Y43" i="271"/>
  <c r="X43" i="271"/>
  <c r="W43" i="271"/>
  <c r="V43" i="271"/>
  <c r="T43" i="271"/>
  <c r="S43" i="271"/>
  <c r="R43" i="271"/>
  <c r="Q43" i="271"/>
  <c r="P43" i="271"/>
  <c r="O43" i="271"/>
  <c r="N43" i="271"/>
  <c r="I43" i="271"/>
  <c r="H43" i="271"/>
  <c r="G43" i="271"/>
  <c r="F43" i="271"/>
  <c r="E43" i="271"/>
  <c r="D43" i="271"/>
  <c r="C43" i="271"/>
  <c r="B43" i="271"/>
  <c r="A43" i="271"/>
  <c r="Y42" i="271"/>
  <c r="X42" i="271"/>
  <c r="W42" i="271"/>
  <c r="V42" i="271"/>
  <c r="T42" i="271"/>
  <c r="S42" i="271"/>
  <c r="R42" i="271"/>
  <c r="Q42" i="271"/>
  <c r="P42" i="271"/>
  <c r="O42" i="271"/>
  <c r="N42" i="271"/>
  <c r="I42" i="271"/>
  <c r="H42" i="271"/>
  <c r="G42" i="271"/>
  <c r="F42" i="271"/>
  <c r="E42" i="271"/>
  <c r="D42" i="271"/>
  <c r="C42" i="271"/>
  <c r="B42" i="271"/>
  <c r="A42" i="271"/>
  <c r="Y41" i="271"/>
  <c r="X41" i="271"/>
  <c r="W41" i="271"/>
  <c r="V41" i="271"/>
  <c r="T41" i="271"/>
  <c r="S41" i="271"/>
  <c r="R41" i="271"/>
  <c r="Q41" i="271"/>
  <c r="P41" i="271"/>
  <c r="O41" i="271"/>
  <c r="N41" i="271"/>
  <c r="I41" i="271"/>
  <c r="H41" i="271"/>
  <c r="G41" i="271"/>
  <c r="F41" i="271"/>
  <c r="E41" i="271"/>
  <c r="D41" i="271"/>
  <c r="C41" i="271"/>
  <c r="B41" i="271"/>
  <c r="A41" i="271"/>
  <c r="Y40" i="271"/>
  <c r="X40" i="271"/>
  <c r="W40" i="271"/>
  <c r="V40" i="271"/>
  <c r="T40" i="271"/>
  <c r="S40" i="271"/>
  <c r="R40" i="271"/>
  <c r="Q40" i="271"/>
  <c r="P40" i="271"/>
  <c r="O40" i="271"/>
  <c r="N40" i="271"/>
  <c r="I40" i="271"/>
  <c r="H40" i="271"/>
  <c r="G40" i="271"/>
  <c r="F40" i="271"/>
  <c r="E40" i="271"/>
  <c r="D40" i="271"/>
  <c r="C40" i="271"/>
  <c r="B40" i="271"/>
  <c r="A40" i="271"/>
  <c r="Y39" i="271"/>
  <c r="X39" i="271"/>
  <c r="W39" i="271"/>
  <c r="V39" i="271"/>
  <c r="T39" i="271"/>
  <c r="S39" i="271"/>
  <c r="R39" i="271"/>
  <c r="Q39" i="271"/>
  <c r="P39" i="271"/>
  <c r="O39" i="271"/>
  <c r="N39" i="271"/>
  <c r="I39" i="271"/>
  <c r="H39" i="271"/>
  <c r="G39" i="271"/>
  <c r="F39" i="271"/>
  <c r="E39" i="271"/>
  <c r="D39" i="271"/>
  <c r="C39" i="271"/>
  <c r="B39" i="271"/>
  <c r="A39" i="271"/>
  <c r="Y38" i="271"/>
  <c r="X38" i="271"/>
  <c r="W38" i="271"/>
  <c r="V38" i="271"/>
  <c r="T38" i="271"/>
  <c r="S38" i="271"/>
  <c r="R38" i="271"/>
  <c r="Q38" i="271"/>
  <c r="P38" i="271"/>
  <c r="O38" i="271"/>
  <c r="N38" i="271"/>
  <c r="I38" i="271"/>
  <c r="H38" i="271"/>
  <c r="G38" i="271"/>
  <c r="F38" i="271"/>
  <c r="E38" i="271"/>
  <c r="D38" i="271"/>
  <c r="C38" i="271"/>
  <c r="B38" i="271"/>
  <c r="A38" i="271"/>
  <c r="Y37" i="271"/>
  <c r="X37" i="271"/>
  <c r="W37" i="271"/>
  <c r="V37" i="271"/>
  <c r="T37" i="271"/>
  <c r="S37" i="271"/>
  <c r="R37" i="271"/>
  <c r="Q37" i="271"/>
  <c r="P37" i="271"/>
  <c r="O37" i="271"/>
  <c r="N37" i="271"/>
  <c r="I37" i="271"/>
  <c r="H37" i="271"/>
  <c r="G37" i="271"/>
  <c r="F37" i="271"/>
  <c r="E37" i="271"/>
  <c r="D37" i="271"/>
  <c r="C37" i="271"/>
  <c r="B37" i="271"/>
  <c r="A37" i="271"/>
  <c r="Y36" i="271"/>
  <c r="X36" i="271"/>
  <c r="W36" i="271"/>
  <c r="V36" i="271"/>
  <c r="T36" i="271"/>
  <c r="S36" i="271"/>
  <c r="R36" i="271"/>
  <c r="Q36" i="271"/>
  <c r="P36" i="271"/>
  <c r="O36" i="271"/>
  <c r="N36" i="271"/>
  <c r="I36" i="271"/>
  <c r="H36" i="271"/>
  <c r="G36" i="271"/>
  <c r="F36" i="271"/>
  <c r="E36" i="271"/>
  <c r="D36" i="271"/>
  <c r="C36" i="271"/>
  <c r="B36" i="271"/>
  <c r="A36" i="271"/>
  <c r="U35" i="271"/>
  <c r="R35" i="271"/>
  <c r="M35" i="271"/>
  <c r="L35" i="271"/>
  <c r="Y34" i="271"/>
  <c r="X34" i="271"/>
  <c r="W34" i="271"/>
  <c r="V34" i="271"/>
  <c r="V25" i="271" s="1"/>
  <c r="T34" i="271"/>
  <c r="S34" i="271"/>
  <c r="R34" i="271"/>
  <c r="Q34" i="271"/>
  <c r="P34" i="271"/>
  <c r="O34" i="271"/>
  <c r="N34" i="271"/>
  <c r="Y33" i="271"/>
  <c r="X33" i="271"/>
  <c r="W33" i="271"/>
  <c r="V33" i="271"/>
  <c r="T33" i="271"/>
  <c r="S33" i="271"/>
  <c r="R33" i="271"/>
  <c r="Q33" i="271"/>
  <c r="P33" i="271"/>
  <c r="O33" i="271"/>
  <c r="N33" i="271"/>
  <c r="I33" i="271"/>
  <c r="H33" i="271"/>
  <c r="G33" i="271"/>
  <c r="F33" i="271"/>
  <c r="E33" i="271"/>
  <c r="D33" i="271"/>
  <c r="C33" i="271"/>
  <c r="B33" i="271"/>
  <c r="A33" i="271"/>
  <c r="Y32" i="271"/>
  <c r="X32" i="271"/>
  <c r="W32" i="271"/>
  <c r="V32" i="271"/>
  <c r="T32" i="271"/>
  <c r="S32" i="271"/>
  <c r="R32" i="271"/>
  <c r="Q32" i="271"/>
  <c r="P32" i="271"/>
  <c r="O32" i="271"/>
  <c r="N32" i="271"/>
  <c r="I32" i="271"/>
  <c r="H32" i="271"/>
  <c r="G32" i="271"/>
  <c r="F32" i="271"/>
  <c r="E32" i="271"/>
  <c r="D32" i="271"/>
  <c r="C32" i="271"/>
  <c r="B32" i="271"/>
  <c r="A32" i="271"/>
  <c r="Y31" i="271"/>
  <c r="X31" i="271"/>
  <c r="W31" i="271"/>
  <c r="V31" i="271"/>
  <c r="T31" i="271"/>
  <c r="S31" i="271"/>
  <c r="R31" i="271"/>
  <c r="Q31" i="271"/>
  <c r="P31" i="271"/>
  <c r="O31" i="271"/>
  <c r="N31" i="271"/>
  <c r="I31" i="271"/>
  <c r="H31" i="271"/>
  <c r="G31" i="271"/>
  <c r="F31" i="271"/>
  <c r="E31" i="271"/>
  <c r="D31" i="271"/>
  <c r="C31" i="271"/>
  <c r="B31" i="271"/>
  <c r="A31" i="271"/>
  <c r="Y30" i="271"/>
  <c r="X30" i="271"/>
  <c r="W30" i="271"/>
  <c r="V30" i="271"/>
  <c r="T30" i="271"/>
  <c r="S30" i="271"/>
  <c r="R30" i="271"/>
  <c r="Q30" i="271"/>
  <c r="P30" i="271"/>
  <c r="O30" i="271"/>
  <c r="N30" i="271"/>
  <c r="I30" i="271"/>
  <c r="H30" i="271"/>
  <c r="G30" i="271"/>
  <c r="F30" i="271"/>
  <c r="E30" i="271"/>
  <c r="D30" i="271"/>
  <c r="C30" i="271"/>
  <c r="B30" i="271"/>
  <c r="A30" i="271"/>
  <c r="Y29" i="271"/>
  <c r="X29" i="271"/>
  <c r="W29" i="271"/>
  <c r="V29" i="271"/>
  <c r="T29" i="271"/>
  <c r="S29" i="271"/>
  <c r="R29" i="271"/>
  <c r="Q29" i="271"/>
  <c r="P29" i="271"/>
  <c r="O29" i="271"/>
  <c r="N29" i="271"/>
  <c r="I29" i="271"/>
  <c r="H29" i="271"/>
  <c r="G29" i="271"/>
  <c r="F29" i="271"/>
  <c r="E29" i="271"/>
  <c r="D29" i="271"/>
  <c r="C29" i="271"/>
  <c r="B29" i="271"/>
  <c r="A29" i="271"/>
  <c r="Y28" i="271"/>
  <c r="X28" i="271"/>
  <c r="W28" i="271"/>
  <c r="V28" i="271"/>
  <c r="T28" i="271"/>
  <c r="S28" i="271"/>
  <c r="R28" i="271"/>
  <c r="Q28" i="271"/>
  <c r="P28" i="271"/>
  <c r="O28" i="271"/>
  <c r="N28" i="271"/>
  <c r="I28" i="271"/>
  <c r="H28" i="271"/>
  <c r="G28" i="271"/>
  <c r="F28" i="271"/>
  <c r="E28" i="271"/>
  <c r="D28" i="271"/>
  <c r="C28" i="271"/>
  <c r="B28" i="271"/>
  <c r="A28" i="271"/>
  <c r="Y27" i="271"/>
  <c r="X27" i="271"/>
  <c r="W27" i="271"/>
  <c r="V27" i="271"/>
  <c r="T27" i="271"/>
  <c r="S27" i="271"/>
  <c r="R27" i="271"/>
  <c r="Q27" i="271"/>
  <c r="P27" i="271"/>
  <c r="O27" i="271"/>
  <c r="N27" i="271"/>
  <c r="I27" i="271"/>
  <c r="H27" i="271"/>
  <c r="G27" i="271"/>
  <c r="F27" i="271"/>
  <c r="E27" i="271"/>
  <c r="D27" i="271"/>
  <c r="C27" i="271"/>
  <c r="B27" i="271"/>
  <c r="A27" i="271"/>
  <c r="Y26" i="271"/>
  <c r="Y25" i="271" s="1"/>
  <c r="X26" i="271"/>
  <c r="W26" i="271"/>
  <c r="W25" i="271" s="1"/>
  <c r="V26" i="271"/>
  <c r="T26" i="271"/>
  <c r="T25" i="271" s="1"/>
  <c r="S26" i="271"/>
  <c r="R26" i="271"/>
  <c r="Q26" i="271"/>
  <c r="P26" i="271"/>
  <c r="O26" i="271"/>
  <c r="N26" i="271"/>
  <c r="U25" i="271"/>
  <c r="R25" i="271"/>
  <c r="M25" i="271"/>
  <c r="L25" i="271"/>
  <c r="Y24" i="271"/>
  <c r="X24" i="271"/>
  <c r="W24" i="271"/>
  <c r="V24" i="271"/>
  <c r="T24" i="271"/>
  <c r="S24" i="271"/>
  <c r="R24" i="271"/>
  <c r="Q24" i="271"/>
  <c r="P24" i="271"/>
  <c r="O24" i="271"/>
  <c r="N24" i="271"/>
  <c r="I24" i="271"/>
  <c r="H24" i="271"/>
  <c r="G24" i="271"/>
  <c r="F24" i="271"/>
  <c r="E24" i="271"/>
  <c r="D24" i="271"/>
  <c r="C24" i="271"/>
  <c r="B24" i="271"/>
  <c r="A24" i="271"/>
  <c r="Y23" i="271"/>
  <c r="X23" i="271"/>
  <c r="W23" i="271"/>
  <c r="V23" i="271"/>
  <c r="T23" i="271"/>
  <c r="S23" i="271"/>
  <c r="R23" i="271"/>
  <c r="Q23" i="271"/>
  <c r="P23" i="271"/>
  <c r="O23" i="271"/>
  <c r="N23" i="271"/>
  <c r="I23" i="271"/>
  <c r="H23" i="271"/>
  <c r="G23" i="271"/>
  <c r="F23" i="271"/>
  <c r="E23" i="271"/>
  <c r="D23" i="271"/>
  <c r="C23" i="271"/>
  <c r="B23" i="271"/>
  <c r="A23" i="271"/>
  <c r="Y22" i="271"/>
  <c r="X22" i="271"/>
  <c r="W22" i="271"/>
  <c r="V22" i="271"/>
  <c r="T22" i="271"/>
  <c r="S22" i="271"/>
  <c r="R22" i="271"/>
  <c r="Q22" i="271"/>
  <c r="P22" i="271"/>
  <c r="O22" i="271"/>
  <c r="N22" i="271"/>
  <c r="I22" i="271"/>
  <c r="H22" i="271"/>
  <c r="G22" i="271"/>
  <c r="F22" i="271"/>
  <c r="E22" i="271"/>
  <c r="D22" i="271"/>
  <c r="C22" i="271"/>
  <c r="B22" i="271"/>
  <c r="A22" i="271"/>
  <c r="Y21" i="271"/>
  <c r="X21" i="271"/>
  <c r="W21" i="271"/>
  <c r="V21" i="271"/>
  <c r="T21" i="271"/>
  <c r="S21" i="271"/>
  <c r="R21" i="271"/>
  <c r="Q21" i="271"/>
  <c r="P21" i="271"/>
  <c r="O21" i="271"/>
  <c r="N21" i="271"/>
  <c r="I21" i="271"/>
  <c r="H21" i="271"/>
  <c r="G21" i="271"/>
  <c r="F21" i="271"/>
  <c r="E21" i="271"/>
  <c r="D21" i="271"/>
  <c r="C21" i="271"/>
  <c r="B21" i="271"/>
  <c r="A21" i="271"/>
  <c r="Y20" i="271"/>
  <c r="X20" i="271"/>
  <c r="W20" i="271"/>
  <c r="V20" i="271"/>
  <c r="T20" i="271"/>
  <c r="T19" i="271" s="1"/>
  <c r="S20" i="271"/>
  <c r="R20" i="271"/>
  <c r="Q20" i="271"/>
  <c r="P20" i="271"/>
  <c r="O20" i="271"/>
  <c r="N20" i="271"/>
  <c r="I20" i="271"/>
  <c r="H20" i="271"/>
  <c r="G20" i="271"/>
  <c r="F20" i="271"/>
  <c r="E20" i="271"/>
  <c r="D20" i="271"/>
  <c r="C20" i="271"/>
  <c r="B20" i="271"/>
  <c r="A20" i="271"/>
  <c r="W19" i="271"/>
  <c r="V19" i="271"/>
  <c r="U19" i="271"/>
  <c r="R19" i="271"/>
  <c r="M19" i="271"/>
  <c r="L19" i="271"/>
  <c r="Y18" i="271"/>
  <c r="X18" i="271"/>
  <c r="W18" i="271"/>
  <c r="V18" i="271"/>
  <c r="T18" i="271"/>
  <c r="S18" i="271"/>
  <c r="R18" i="271"/>
  <c r="Q18" i="271"/>
  <c r="P18" i="271"/>
  <c r="O18" i="271"/>
  <c r="N18" i="271"/>
  <c r="I18" i="271"/>
  <c r="H18" i="271"/>
  <c r="G18" i="271"/>
  <c r="F18" i="271"/>
  <c r="E18" i="271"/>
  <c r="D18" i="271"/>
  <c r="C18" i="271"/>
  <c r="B18" i="271"/>
  <c r="A18" i="271"/>
  <c r="Y17" i="271"/>
  <c r="X17" i="271"/>
  <c r="W17" i="271"/>
  <c r="V17" i="271"/>
  <c r="T17" i="271"/>
  <c r="S17" i="271"/>
  <c r="R17" i="271"/>
  <c r="Q17" i="271"/>
  <c r="P17" i="271"/>
  <c r="O17" i="271"/>
  <c r="N17" i="271"/>
  <c r="I17" i="271"/>
  <c r="H17" i="271"/>
  <c r="G17" i="271"/>
  <c r="F17" i="271"/>
  <c r="E17" i="271"/>
  <c r="D17" i="271"/>
  <c r="C17" i="271"/>
  <c r="B17" i="271"/>
  <c r="A17" i="271"/>
  <c r="Y16" i="271"/>
  <c r="X16" i="271"/>
  <c r="W16" i="271"/>
  <c r="V16" i="271"/>
  <c r="T16" i="271"/>
  <c r="S16" i="271"/>
  <c r="R16" i="271"/>
  <c r="Q16" i="271"/>
  <c r="P16" i="271"/>
  <c r="O16" i="271"/>
  <c r="N16" i="271"/>
  <c r="I16" i="271"/>
  <c r="H16" i="271"/>
  <c r="G16" i="271"/>
  <c r="F16" i="271"/>
  <c r="E16" i="271"/>
  <c r="D16" i="271"/>
  <c r="C16" i="271"/>
  <c r="B16" i="271"/>
  <c r="A16" i="271"/>
  <c r="Y15" i="271"/>
  <c r="X15" i="271"/>
  <c r="W15" i="271"/>
  <c r="V15" i="271"/>
  <c r="T15" i="271"/>
  <c r="S15" i="271"/>
  <c r="R15" i="271"/>
  <c r="Q15" i="271"/>
  <c r="P15" i="271"/>
  <c r="O15" i="271"/>
  <c r="N15" i="271"/>
  <c r="I15" i="271"/>
  <c r="H15" i="271"/>
  <c r="G15" i="271"/>
  <c r="F15" i="271"/>
  <c r="E15" i="271"/>
  <c r="D15" i="271"/>
  <c r="C15" i="271"/>
  <c r="B15" i="271"/>
  <c r="A15" i="271"/>
  <c r="Y14" i="271"/>
  <c r="X14" i="271"/>
  <c r="W14" i="271"/>
  <c r="W12" i="271" s="1"/>
  <c r="V14" i="271"/>
  <c r="S14" i="271"/>
  <c r="Q14" i="271"/>
  <c r="P14" i="271"/>
  <c r="O14" i="271"/>
  <c r="I14" i="271"/>
  <c r="H14" i="271"/>
  <c r="G14" i="271"/>
  <c r="F14" i="271"/>
  <c r="E14" i="271"/>
  <c r="D14" i="271"/>
  <c r="C14" i="271"/>
  <c r="B14" i="271"/>
  <c r="A14" i="271"/>
  <c r="Y13" i="271"/>
  <c r="X13" i="271"/>
  <c r="W13" i="271"/>
  <c r="V13" i="271"/>
  <c r="T13" i="271"/>
  <c r="S13" i="271"/>
  <c r="R13" i="271"/>
  <c r="Q13" i="271"/>
  <c r="P13" i="271"/>
  <c r="O13" i="271"/>
  <c r="N13" i="271"/>
  <c r="I13" i="271"/>
  <c r="H13" i="271"/>
  <c r="G13" i="271"/>
  <c r="F13" i="271"/>
  <c r="E13" i="271"/>
  <c r="D13" i="271"/>
  <c r="C13" i="271"/>
  <c r="B13" i="271"/>
  <c r="A13" i="271"/>
  <c r="U12" i="271"/>
  <c r="R12" i="271"/>
  <c r="M12" i="271"/>
  <c r="L12" i="271"/>
  <c r="L11" i="271"/>
  <c r="K11" i="271"/>
  <c r="K10" i="271"/>
  <c r="J10" i="271"/>
  <c r="AF242" i="229"/>
  <c r="AE242" i="229"/>
  <c r="AD242" i="229"/>
  <c r="AC242" i="229"/>
  <c r="AB242" i="229"/>
  <c r="AA242" i="229"/>
  <c r="Z242" i="229"/>
  <c r="X242" i="229"/>
  <c r="S242" i="229"/>
  <c r="V241" i="229"/>
  <c r="V240" i="229" s="1"/>
  <c r="R241" i="229"/>
  <c r="R240" i="229" s="1"/>
  <c r="Q241" i="229"/>
  <c r="P241" i="229"/>
  <c r="S241" i="229" s="1"/>
  <c r="O241" i="229"/>
  <c r="O240" i="229" s="1"/>
  <c r="M241" i="229"/>
  <c r="Q240" i="229"/>
  <c r="L240" i="229"/>
  <c r="AF236" i="229"/>
  <c r="AE236" i="229"/>
  <c r="AD236" i="229"/>
  <c r="AC236" i="229"/>
  <c r="AB236" i="229"/>
  <c r="AA236" i="229"/>
  <c r="Z236" i="229"/>
  <c r="X236" i="229"/>
  <c r="R236" i="229"/>
  <c r="R235" i="229" s="1"/>
  <c r="Q236" i="229"/>
  <c r="P236" i="229"/>
  <c r="O236" i="229"/>
  <c r="O235" i="229" s="1"/>
  <c r="O234" i="229" s="1"/>
  <c r="V235" i="229"/>
  <c r="V234" i="229" s="1"/>
  <c r="Q235" i="229"/>
  <c r="P235" i="229"/>
  <c r="P234" i="229" s="1"/>
  <c r="R234" i="229"/>
  <c r="Q234" i="229"/>
  <c r="AF233" i="229"/>
  <c r="AE233" i="229"/>
  <c r="AD233" i="229"/>
  <c r="AC233" i="229"/>
  <c r="AB233" i="229"/>
  <c r="AA233" i="229"/>
  <c r="Z233" i="229"/>
  <c r="Y233" i="229"/>
  <c r="X233" i="229"/>
  <c r="W233" i="229"/>
  <c r="W232" i="229" s="1"/>
  <c r="W231" i="229" s="1"/>
  <c r="V233" i="229"/>
  <c r="U233" i="229"/>
  <c r="R233" i="229"/>
  <c r="Q233" i="229"/>
  <c r="P233" i="229"/>
  <c r="O233" i="229"/>
  <c r="N233" i="229"/>
  <c r="I233" i="229"/>
  <c r="H233" i="229"/>
  <c r="G233" i="229"/>
  <c r="F233" i="229"/>
  <c r="E233" i="229"/>
  <c r="D233" i="229"/>
  <c r="C233" i="229"/>
  <c r="B233" i="229"/>
  <c r="A233" i="229"/>
  <c r="Y232" i="229"/>
  <c r="V232" i="229"/>
  <c r="R232" i="229"/>
  <c r="Q232" i="229"/>
  <c r="P232" i="229"/>
  <c r="O232" i="229"/>
  <c r="M232" i="229"/>
  <c r="L232" i="229"/>
  <c r="Y231" i="229"/>
  <c r="V231" i="229"/>
  <c r="R231" i="229"/>
  <c r="Q231" i="229"/>
  <c r="P231" i="229"/>
  <c r="O231" i="229"/>
  <c r="L231" i="229"/>
  <c r="AF230" i="229"/>
  <c r="AE230" i="229"/>
  <c r="AD230" i="229"/>
  <c r="AC230" i="229"/>
  <c r="AB230" i="229"/>
  <c r="AA230" i="229"/>
  <c r="Z230" i="229"/>
  <c r="Y230" i="229"/>
  <c r="X230" i="229"/>
  <c r="U230" i="229"/>
  <c r="R230" i="229"/>
  <c r="Q230" i="229"/>
  <c r="Q229" i="229" s="1"/>
  <c r="Q228" i="229" s="1"/>
  <c r="P230" i="229"/>
  <c r="S230" i="229" s="1"/>
  <c r="O230" i="229"/>
  <c r="N230" i="229"/>
  <c r="I230" i="229"/>
  <c r="H230" i="229"/>
  <c r="G230" i="229"/>
  <c r="F230" i="229"/>
  <c r="E230" i="229"/>
  <c r="D230" i="229"/>
  <c r="C230" i="229"/>
  <c r="B230" i="229"/>
  <c r="A230" i="229"/>
  <c r="Y229" i="229"/>
  <c r="Y228" i="229" s="1"/>
  <c r="R229" i="229"/>
  <c r="O229" i="229"/>
  <c r="M229" i="229"/>
  <c r="L229" i="229"/>
  <c r="R228" i="229"/>
  <c r="O228" i="229"/>
  <c r="L228" i="229"/>
  <c r="AF227" i="229"/>
  <c r="AE227" i="229"/>
  <c r="AD227" i="229"/>
  <c r="AC227" i="229"/>
  <c r="AB227" i="229"/>
  <c r="AA227" i="229"/>
  <c r="Z227" i="229"/>
  <c r="X227" i="229"/>
  <c r="R227" i="229"/>
  <c r="Q227" i="229"/>
  <c r="P227" i="229"/>
  <c r="S227" i="229" s="1"/>
  <c r="O227" i="229"/>
  <c r="N227" i="229"/>
  <c r="AF226" i="229"/>
  <c r="AE226" i="229"/>
  <c r="AD226" i="229"/>
  <c r="AC226" i="229"/>
  <c r="AB226" i="229"/>
  <c r="AA226" i="229"/>
  <c r="Z226" i="229"/>
  <c r="X226" i="229"/>
  <c r="R226" i="229"/>
  <c r="Q226" i="229"/>
  <c r="P226" i="229"/>
  <c r="S226" i="229" s="1"/>
  <c r="O226" i="229"/>
  <c r="N226" i="229"/>
  <c r="AF225" i="229"/>
  <c r="AE225" i="229"/>
  <c r="AD225" i="229"/>
  <c r="AC225" i="229"/>
  <c r="AB225" i="229"/>
  <c r="AA225" i="229"/>
  <c r="Z225" i="229"/>
  <c r="X225" i="229"/>
  <c r="R225" i="229"/>
  <c r="Q225" i="229"/>
  <c r="Q223" i="229" s="1"/>
  <c r="Q222" i="229" s="1"/>
  <c r="P225" i="229"/>
  <c r="O225" i="229"/>
  <c r="N225" i="229"/>
  <c r="AF224" i="229"/>
  <c r="AE224" i="229"/>
  <c r="AD224" i="229"/>
  <c r="AC224" i="229"/>
  <c r="AB224" i="229"/>
  <c r="AA224" i="229"/>
  <c r="Z224" i="229"/>
  <c r="X224" i="229"/>
  <c r="R224" i="229"/>
  <c r="R223" i="229" s="1"/>
  <c r="R222" i="229" s="1"/>
  <c r="Q224" i="229"/>
  <c r="P224" i="229"/>
  <c r="O224" i="229"/>
  <c r="O223" i="229" s="1"/>
  <c r="O222" i="229" s="1"/>
  <c r="N224" i="229"/>
  <c r="V223" i="229"/>
  <c r="V222" i="229"/>
  <c r="AF221" i="229"/>
  <c r="AE221" i="229"/>
  <c r="AD221" i="229"/>
  <c r="AC221" i="229"/>
  <c r="AB221" i="229"/>
  <c r="Z221" i="229"/>
  <c r="Y221" i="229"/>
  <c r="X221" i="229"/>
  <c r="W221" i="229"/>
  <c r="U221" i="229"/>
  <c r="R221" i="229"/>
  <c r="R220" i="229" s="1"/>
  <c r="R219" i="229" s="1"/>
  <c r="Q221" i="229"/>
  <c r="P221" i="229"/>
  <c r="S221" i="229" s="1"/>
  <c r="O221" i="229"/>
  <c r="O220" i="229" s="1"/>
  <c r="O219" i="229" s="1"/>
  <c r="I221" i="229"/>
  <c r="H221" i="229"/>
  <c r="G221" i="229"/>
  <c r="F221" i="229"/>
  <c r="E221" i="229"/>
  <c r="D221" i="229"/>
  <c r="C221" i="229"/>
  <c r="B221" i="229"/>
  <c r="A221" i="229"/>
  <c r="Y220" i="229"/>
  <c r="W220" i="229"/>
  <c r="W219" i="229" s="1"/>
  <c r="V220" i="229"/>
  <c r="V219" i="229" s="1"/>
  <c r="Q220" i="229"/>
  <c r="M220" i="229"/>
  <c r="L220" i="229"/>
  <c r="Y219" i="229"/>
  <c r="Q219" i="229"/>
  <c r="L219" i="229"/>
  <c r="AF218" i="229"/>
  <c r="AE218" i="229"/>
  <c r="AD218" i="229"/>
  <c r="AC218" i="229"/>
  <c r="AB218" i="229"/>
  <c r="AA218" i="229"/>
  <c r="Z218" i="229"/>
  <c r="Y218" i="229"/>
  <c r="X218" i="229"/>
  <c r="U218" i="229"/>
  <c r="R218" i="229"/>
  <c r="Q218" i="229"/>
  <c r="P218" i="229"/>
  <c r="P217" i="229" s="1"/>
  <c r="P216" i="229" s="1"/>
  <c r="O218" i="229"/>
  <c r="N218" i="229"/>
  <c r="I218" i="229"/>
  <c r="H218" i="229"/>
  <c r="G218" i="229"/>
  <c r="F218" i="229"/>
  <c r="E218" i="229"/>
  <c r="D218" i="229"/>
  <c r="C218" i="229"/>
  <c r="B218" i="229"/>
  <c r="A218" i="229"/>
  <c r="Y217" i="229"/>
  <c r="Y216" i="229" s="1"/>
  <c r="R217" i="229"/>
  <c r="Q217" i="229"/>
  <c r="O217" i="229"/>
  <c r="O216" i="229" s="1"/>
  <c r="M217" i="229"/>
  <c r="L217" i="229"/>
  <c r="U216" i="229"/>
  <c r="R216" i="229"/>
  <c r="L216" i="229"/>
  <c r="AF215" i="229"/>
  <c r="AE215" i="229"/>
  <c r="AD215" i="229"/>
  <c r="AC215" i="229"/>
  <c r="AB215" i="229"/>
  <c r="AA215" i="229"/>
  <c r="Z215" i="229"/>
  <c r="Y215" i="229"/>
  <c r="X215" i="229"/>
  <c r="V215" i="229"/>
  <c r="U215" i="229"/>
  <c r="R215" i="229"/>
  <c r="Q215" i="229"/>
  <c r="P215" i="229"/>
  <c r="O215" i="229"/>
  <c r="N215" i="229"/>
  <c r="I215" i="229"/>
  <c r="H215" i="229"/>
  <c r="G215" i="229"/>
  <c r="F215" i="229"/>
  <c r="E215" i="229"/>
  <c r="D215" i="229"/>
  <c r="C215" i="229"/>
  <c r="B215" i="229"/>
  <c r="A215" i="229"/>
  <c r="AF214" i="229"/>
  <c r="AE214" i="229"/>
  <c r="AD214" i="229"/>
  <c r="AC214" i="229"/>
  <c r="AB214" i="229"/>
  <c r="AA214" i="229"/>
  <c r="Z214" i="229"/>
  <c r="Y214" i="229"/>
  <c r="X214" i="229"/>
  <c r="U214" i="229"/>
  <c r="R214" i="229"/>
  <c r="Q214" i="229"/>
  <c r="P214" i="229"/>
  <c r="O214" i="229"/>
  <c r="N214" i="229"/>
  <c r="I214" i="229"/>
  <c r="H214" i="229"/>
  <c r="G214" i="229"/>
  <c r="F214" i="229"/>
  <c r="E214" i="229"/>
  <c r="D214" i="229"/>
  <c r="C214" i="229"/>
  <c r="B214" i="229"/>
  <c r="A214" i="229"/>
  <c r="Y213" i="229"/>
  <c r="W213" i="229"/>
  <c r="R213" i="229"/>
  <c r="Q213" i="229"/>
  <c r="P213" i="229"/>
  <c r="S213" i="229" s="1"/>
  <c r="O213" i="229"/>
  <c r="M213" i="229"/>
  <c r="L213" i="229"/>
  <c r="AE212" i="229"/>
  <c r="AB212" i="229"/>
  <c r="AA212" i="229"/>
  <c r="Z212" i="229"/>
  <c r="Y212" i="229"/>
  <c r="X212" i="229"/>
  <c r="U212" i="229"/>
  <c r="I212" i="229"/>
  <c r="H212" i="229"/>
  <c r="G212" i="229"/>
  <c r="F212" i="229"/>
  <c r="E212" i="229"/>
  <c r="D212" i="229"/>
  <c r="C212" i="229"/>
  <c r="B212" i="229"/>
  <c r="A212" i="229"/>
  <c r="AE211" i="229"/>
  <c r="AB211" i="229"/>
  <c r="AA211" i="229"/>
  <c r="Z211" i="229"/>
  <c r="Y211" i="229"/>
  <c r="X211" i="229"/>
  <c r="V211" i="229"/>
  <c r="U211" i="229"/>
  <c r="I211" i="229"/>
  <c r="H211" i="229"/>
  <c r="G211" i="229"/>
  <c r="F211" i="229"/>
  <c r="E211" i="229"/>
  <c r="D211" i="229"/>
  <c r="C211" i="229"/>
  <c r="B211" i="229"/>
  <c r="A211" i="229"/>
  <c r="AF210" i="229"/>
  <c r="AE210" i="229"/>
  <c r="AD210" i="229"/>
  <c r="AC210" i="229"/>
  <c r="AB210" i="229"/>
  <c r="AA210" i="229"/>
  <c r="Z210" i="229"/>
  <c r="Y210" i="229"/>
  <c r="X210" i="229"/>
  <c r="V210" i="229"/>
  <c r="U210" i="229"/>
  <c r="R210" i="229"/>
  <c r="Q210" i="229"/>
  <c r="P210" i="229"/>
  <c r="AH210" i="229" s="1"/>
  <c r="O210" i="229"/>
  <c r="N210" i="229"/>
  <c r="I210" i="229"/>
  <c r="H210" i="229"/>
  <c r="G210" i="229"/>
  <c r="F210" i="229"/>
  <c r="E210" i="229"/>
  <c r="D210" i="229"/>
  <c r="C210" i="229"/>
  <c r="B210" i="229"/>
  <c r="A210" i="229"/>
  <c r="AE209" i="229"/>
  <c r="AB209" i="229"/>
  <c r="AA209" i="229"/>
  <c r="Z209" i="229"/>
  <c r="Y209" i="229"/>
  <c r="X209" i="229"/>
  <c r="U209" i="229"/>
  <c r="AE208" i="229"/>
  <c r="AB208" i="229"/>
  <c r="AA208" i="229"/>
  <c r="Z208" i="229"/>
  <c r="Y208" i="229"/>
  <c r="X208" i="229"/>
  <c r="V208" i="229"/>
  <c r="V206" i="229" s="1"/>
  <c r="U208" i="229"/>
  <c r="AF207" i="229"/>
  <c r="AE207" i="229"/>
  <c r="AD207" i="229"/>
  <c r="AC207" i="229"/>
  <c r="AB207" i="229"/>
  <c r="AA207" i="229"/>
  <c r="Z207" i="229"/>
  <c r="Y207" i="229"/>
  <c r="Y206" i="229" s="1"/>
  <c r="Y205" i="229" s="1"/>
  <c r="X207" i="229"/>
  <c r="V207" i="229"/>
  <c r="U207" i="229"/>
  <c r="R207" i="229"/>
  <c r="Q207" i="229"/>
  <c r="P207" i="229"/>
  <c r="O207" i="229"/>
  <c r="O206" i="229" s="1"/>
  <c r="N207" i="229"/>
  <c r="R206" i="229"/>
  <c r="R205" i="229" s="1"/>
  <c r="Q206" i="229"/>
  <c r="Q205" i="229" s="1"/>
  <c r="P206" i="229"/>
  <c r="M206" i="229"/>
  <c r="L206" i="229"/>
  <c r="P205" i="229"/>
  <c r="O205" i="229"/>
  <c r="L205" i="229"/>
  <c r="AF204" i="229"/>
  <c r="AE204" i="229"/>
  <c r="AD204" i="229"/>
  <c r="AC204" i="229"/>
  <c r="AB204" i="229"/>
  <c r="AA204" i="229"/>
  <c r="Z204" i="229"/>
  <c r="Y204" i="229"/>
  <c r="Y203" i="229" s="1"/>
  <c r="Y202" i="229" s="1"/>
  <c r="X204" i="229"/>
  <c r="U204" i="229"/>
  <c r="R204" i="229"/>
  <c r="Q204" i="229"/>
  <c r="P204" i="229"/>
  <c r="O204" i="229"/>
  <c r="N204" i="229"/>
  <c r="I204" i="229"/>
  <c r="H204" i="229"/>
  <c r="G204" i="229"/>
  <c r="F204" i="229"/>
  <c r="E204" i="229"/>
  <c r="D204" i="229"/>
  <c r="C204" i="229"/>
  <c r="B204" i="229"/>
  <c r="A204" i="229"/>
  <c r="W203" i="229"/>
  <c r="W202" i="229" s="1"/>
  <c r="R203" i="229"/>
  <c r="R202" i="229" s="1"/>
  <c r="Q203" i="229"/>
  <c r="P203" i="229"/>
  <c r="O203" i="229"/>
  <c r="O202" i="229" s="1"/>
  <c r="M203" i="229"/>
  <c r="L203" i="229"/>
  <c r="Z202" i="229"/>
  <c r="X202" i="229"/>
  <c r="Q202" i="229"/>
  <c r="P202" i="229"/>
  <c r="L202" i="229"/>
  <c r="AE201" i="229"/>
  <c r="AB201" i="229"/>
  <c r="AA201" i="229"/>
  <c r="Z201" i="229"/>
  <c r="Y201" i="229"/>
  <c r="X201" i="229"/>
  <c r="U201" i="229"/>
  <c r="I201" i="229"/>
  <c r="H201" i="229"/>
  <c r="G201" i="229"/>
  <c r="F201" i="229"/>
  <c r="E201" i="229"/>
  <c r="D201" i="229"/>
  <c r="C201" i="229"/>
  <c r="B201" i="229"/>
  <c r="A201" i="229"/>
  <c r="AE200" i="229"/>
  <c r="AB200" i="229"/>
  <c r="AA200" i="229"/>
  <c r="Z200" i="229"/>
  <c r="Y200" i="229"/>
  <c r="X200" i="229"/>
  <c r="V200" i="229"/>
  <c r="U200" i="229"/>
  <c r="I200" i="229"/>
  <c r="H200" i="229"/>
  <c r="G200" i="229"/>
  <c r="F200" i="229"/>
  <c r="E200" i="229"/>
  <c r="D200" i="229"/>
  <c r="C200" i="229"/>
  <c r="B200" i="229"/>
  <c r="A200" i="229"/>
  <c r="AF199" i="229"/>
  <c r="AE199" i="229"/>
  <c r="AD199" i="229"/>
  <c r="AC199" i="229"/>
  <c r="AB199" i="229"/>
  <c r="AA199" i="229"/>
  <c r="Z199" i="229"/>
  <c r="Y199" i="229"/>
  <c r="X199" i="229"/>
  <c r="V199" i="229"/>
  <c r="U199" i="229"/>
  <c r="R199" i="229"/>
  <c r="R198" i="229" s="1"/>
  <c r="P199" i="229"/>
  <c r="P198" i="229" s="1"/>
  <c r="O199" i="229"/>
  <c r="N199" i="229"/>
  <c r="I199" i="229"/>
  <c r="H199" i="229"/>
  <c r="G199" i="229"/>
  <c r="F199" i="229"/>
  <c r="E199" i="229"/>
  <c r="D199" i="229"/>
  <c r="C199" i="229"/>
  <c r="B199" i="229"/>
  <c r="A199" i="229"/>
  <c r="Y198" i="229"/>
  <c r="V198" i="229"/>
  <c r="O198" i="229"/>
  <c r="M198" i="229"/>
  <c r="L198" i="229"/>
  <c r="AF197" i="229"/>
  <c r="AE197" i="229"/>
  <c r="AD197" i="229"/>
  <c r="AC197" i="229"/>
  <c r="AB197" i="229"/>
  <c r="AA197" i="229"/>
  <c r="Z197" i="229"/>
  <c r="Y197" i="229"/>
  <c r="X197" i="229"/>
  <c r="W197" i="229"/>
  <c r="U197" i="229"/>
  <c r="R197" i="229"/>
  <c r="P197" i="229"/>
  <c r="P196" i="229" s="1"/>
  <c r="O197" i="229"/>
  <c r="O196" i="229" s="1"/>
  <c r="N197" i="229"/>
  <c r="I197" i="229"/>
  <c r="H197" i="229"/>
  <c r="G197" i="229"/>
  <c r="F197" i="229"/>
  <c r="E197" i="229"/>
  <c r="D197" i="229"/>
  <c r="C197" i="229"/>
  <c r="B197" i="229"/>
  <c r="A197" i="229"/>
  <c r="Y196" i="229"/>
  <c r="W196" i="229"/>
  <c r="R196" i="229"/>
  <c r="M196" i="229"/>
  <c r="L196" i="229"/>
  <c r="AF195" i="229"/>
  <c r="AE195" i="229"/>
  <c r="AD195" i="229"/>
  <c r="AC195" i="229"/>
  <c r="AB195" i="229"/>
  <c r="AA195" i="229"/>
  <c r="Z195" i="229"/>
  <c r="Y195" i="229"/>
  <c r="X195" i="229"/>
  <c r="W195" i="229"/>
  <c r="W194" i="229" s="1"/>
  <c r="V195" i="229"/>
  <c r="U195" i="229"/>
  <c r="R195" i="229"/>
  <c r="P195" i="229"/>
  <c r="P194" i="229" s="1"/>
  <c r="O195" i="229"/>
  <c r="O194" i="229" s="1"/>
  <c r="O191" i="229" s="1"/>
  <c r="N195" i="229"/>
  <c r="I195" i="229"/>
  <c r="H195" i="229"/>
  <c r="G195" i="229"/>
  <c r="F195" i="229"/>
  <c r="E195" i="229"/>
  <c r="D195" i="229"/>
  <c r="C195" i="229"/>
  <c r="B195" i="229"/>
  <c r="A195" i="229"/>
  <c r="Y194" i="229"/>
  <c r="V194" i="229"/>
  <c r="R194" i="229"/>
  <c r="M194" i="229"/>
  <c r="L194" i="229"/>
  <c r="AF193" i="229"/>
  <c r="AE193" i="229"/>
  <c r="AD193" i="229"/>
  <c r="AC193" i="229"/>
  <c r="AB193" i="229"/>
  <c r="AA193" i="229"/>
  <c r="Z193" i="229"/>
  <c r="Y193" i="229"/>
  <c r="Y192" i="229" s="1"/>
  <c r="Y191" i="229" s="1"/>
  <c r="X193" i="229"/>
  <c r="V193" i="229"/>
  <c r="U193" i="229"/>
  <c r="R193" i="229"/>
  <c r="P193" i="229"/>
  <c r="O193" i="229"/>
  <c r="N193" i="229"/>
  <c r="I193" i="229"/>
  <c r="H193" i="229"/>
  <c r="G193" i="229"/>
  <c r="F193" i="229"/>
  <c r="E193" i="229"/>
  <c r="D193" i="229"/>
  <c r="C193" i="229"/>
  <c r="B193" i="229"/>
  <c r="A193" i="229"/>
  <c r="W192" i="229"/>
  <c r="V192" i="229"/>
  <c r="R192" i="229"/>
  <c r="P192" i="229"/>
  <c r="O192" i="229"/>
  <c r="M192" i="229"/>
  <c r="L192" i="229"/>
  <c r="X191" i="229"/>
  <c r="L191" i="229"/>
  <c r="AF190" i="229"/>
  <c r="AE190" i="229"/>
  <c r="AD190" i="229"/>
  <c r="AC190" i="229"/>
  <c r="AB190" i="229"/>
  <c r="AA190" i="229"/>
  <c r="Z190" i="229"/>
  <c r="Y190" i="229"/>
  <c r="X190" i="229"/>
  <c r="V190" i="229"/>
  <c r="V189" i="229" s="1"/>
  <c r="V188" i="229" s="1"/>
  <c r="U190" i="229"/>
  <c r="R190" i="229"/>
  <c r="R189" i="229" s="1"/>
  <c r="R188" i="229" s="1"/>
  <c r="Q190" i="229"/>
  <c r="P190" i="229"/>
  <c r="S190" i="229" s="1"/>
  <c r="O190" i="229"/>
  <c r="O189" i="229" s="1"/>
  <c r="O188" i="229" s="1"/>
  <c r="N190" i="229"/>
  <c r="I190" i="229"/>
  <c r="H190" i="229"/>
  <c r="G190" i="229"/>
  <c r="F190" i="229"/>
  <c r="E190" i="229"/>
  <c r="D190" i="229"/>
  <c r="C190" i="229"/>
  <c r="B190" i="229"/>
  <c r="A190" i="229"/>
  <c r="Y189" i="229"/>
  <c r="W189" i="229"/>
  <c r="W188" i="229" s="1"/>
  <c r="Q189" i="229"/>
  <c r="P189" i="229"/>
  <c r="M189" i="229"/>
  <c r="L189" i="229"/>
  <c r="Y188" i="229"/>
  <c r="Q188" i="229"/>
  <c r="L188" i="229"/>
  <c r="AF187" i="229"/>
  <c r="AE187" i="229"/>
  <c r="AD187" i="229"/>
  <c r="AC187" i="229"/>
  <c r="AB187" i="229"/>
  <c r="AA187" i="229"/>
  <c r="Z187" i="229"/>
  <c r="Y187" i="229"/>
  <c r="X187" i="229"/>
  <c r="R187" i="229"/>
  <c r="Q187" i="229"/>
  <c r="P187" i="229"/>
  <c r="S187" i="229" s="1"/>
  <c r="O187" i="229"/>
  <c r="N187" i="229"/>
  <c r="AF186" i="229"/>
  <c r="AE186" i="229"/>
  <c r="AD186" i="229"/>
  <c r="AC186" i="229"/>
  <c r="AB186" i="229"/>
  <c r="AA186" i="229"/>
  <c r="Z186" i="229"/>
  <c r="Y186" i="229"/>
  <c r="X186" i="229"/>
  <c r="V186" i="229"/>
  <c r="U186" i="229"/>
  <c r="R186" i="229"/>
  <c r="Q186" i="229"/>
  <c r="P186" i="229"/>
  <c r="O186" i="229"/>
  <c r="N186" i="229"/>
  <c r="I186" i="229"/>
  <c r="H186" i="229"/>
  <c r="G186" i="229"/>
  <c r="F186" i="229"/>
  <c r="E186" i="229"/>
  <c r="D186" i="229"/>
  <c r="C186" i="229"/>
  <c r="B186" i="229"/>
  <c r="A186" i="229"/>
  <c r="AF185" i="229"/>
  <c r="AE185" i="229"/>
  <c r="AD185" i="229"/>
  <c r="AC185" i="229"/>
  <c r="AB185" i="229"/>
  <c r="AA185" i="229"/>
  <c r="Z185" i="229"/>
  <c r="Y185" i="229"/>
  <c r="X185" i="229"/>
  <c r="V185" i="229"/>
  <c r="U185" i="229"/>
  <c r="R185" i="229"/>
  <c r="Q185" i="229"/>
  <c r="P185" i="229"/>
  <c r="O185" i="229"/>
  <c r="N185" i="229"/>
  <c r="I185" i="229"/>
  <c r="H185" i="229"/>
  <c r="G185" i="229"/>
  <c r="F185" i="229"/>
  <c r="E185" i="229"/>
  <c r="D185" i="229"/>
  <c r="C185" i="229"/>
  <c r="B185" i="229"/>
  <c r="A185" i="229"/>
  <c r="AF184" i="229"/>
  <c r="AE184" i="229"/>
  <c r="AD184" i="229"/>
  <c r="AC184" i="229"/>
  <c r="AB184" i="229"/>
  <c r="AA184" i="229"/>
  <c r="Z184" i="229"/>
  <c r="Y184" i="229"/>
  <c r="X184" i="229"/>
  <c r="V184" i="229"/>
  <c r="U184" i="229"/>
  <c r="R184" i="229"/>
  <c r="Q184" i="229"/>
  <c r="S184" i="229" s="1"/>
  <c r="P184" i="229"/>
  <c r="O184" i="229"/>
  <c r="N184" i="229"/>
  <c r="I184" i="229"/>
  <c r="H184" i="229"/>
  <c r="G184" i="229"/>
  <c r="F184" i="229"/>
  <c r="E184" i="229"/>
  <c r="D184" i="229"/>
  <c r="C184" i="229"/>
  <c r="B184" i="229"/>
  <c r="A184" i="229"/>
  <c r="AF183" i="229"/>
  <c r="AE183" i="229"/>
  <c r="AD183" i="229"/>
  <c r="AC183" i="229"/>
  <c r="AB183" i="229"/>
  <c r="AA183" i="229"/>
  <c r="Z183" i="229"/>
  <c r="Y183" i="229"/>
  <c r="X183" i="229"/>
  <c r="V183" i="229"/>
  <c r="U183" i="229"/>
  <c r="R183" i="229"/>
  <c r="Q183" i="229"/>
  <c r="P183" i="229"/>
  <c r="O183" i="229"/>
  <c r="N183" i="229"/>
  <c r="I183" i="229"/>
  <c r="H183" i="229"/>
  <c r="G183" i="229"/>
  <c r="F183" i="229"/>
  <c r="E183" i="229"/>
  <c r="D183" i="229"/>
  <c r="C183" i="229"/>
  <c r="B183" i="229"/>
  <c r="A183" i="229"/>
  <c r="AF182" i="229"/>
  <c r="AE182" i="229"/>
  <c r="AD182" i="229"/>
  <c r="AC182" i="229"/>
  <c r="AB182" i="229"/>
  <c r="AA182" i="229"/>
  <c r="Z182" i="229"/>
  <c r="Y182" i="229"/>
  <c r="X182" i="229"/>
  <c r="V182" i="229"/>
  <c r="U182" i="229"/>
  <c r="R182" i="229"/>
  <c r="Q182" i="229"/>
  <c r="P182" i="229"/>
  <c r="O182" i="229"/>
  <c r="O180" i="229" s="1"/>
  <c r="O179" i="229" s="1"/>
  <c r="N182" i="229"/>
  <c r="I182" i="229"/>
  <c r="H182" i="229"/>
  <c r="G182" i="229"/>
  <c r="F182" i="229"/>
  <c r="E182" i="229"/>
  <c r="D182" i="229"/>
  <c r="C182" i="229"/>
  <c r="B182" i="229"/>
  <c r="A182" i="229"/>
  <c r="AF181" i="229"/>
  <c r="AE181" i="229"/>
  <c r="AD181" i="229"/>
  <c r="AC181" i="229"/>
  <c r="AB181" i="229"/>
  <c r="AA181" i="229"/>
  <c r="Z181" i="229"/>
  <c r="Y181" i="229"/>
  <c r="X181" i="229"/>
  <c r="V181" i="229"/>
  <c r="V180" i="229" s="1"/>
  <c r="V179" i="229" s="1"/>
  <c r="U181" i="229"/>
  <c r="R181" i="229"/>
  <c r="Q181" i="229"/>
  <c r="P181" i="229"/>
  <c r="P180" i="229" s="1"/>
  <c r="P179" i="229" s="1"/>
  <c r="O181" i="229"/>
  <c r="N181" i="229"/>
  <c r="I181" i="229"/>
  <c r="H181" i="229"/>
  <c r="G181" i="229"/>
  <c r="F181" i="229"/>
  <c r="E181" i="229"/>
  <c r="D181" i="229"/>
  <c r="C181" i="229"/>
  <c r="B181" i="229"/>
  <c r="A181" i="229"/>
  <c r="R180" i="229"/>
  <c r="R179" i="229" s="1"/>
  <c r="M180" i="229"/>
  <c r="L180" i="229"/>
  <c r="L179" i="229"/>
  <c r="AF178" i="229"/>
  <c r="AE178" i="229"/>
  <c r="AD178" i="229"/>
  <c r="AC178" i="229"/>
  <c r="AB178" i="229"/>
  <c r="AA178" i="229"/>
  <c r="Z178" i="229"/>
  <c r="X178" i="229"/>
  <c r="R178" i="229"/>
  <c r="Q178" i="229"/>
  <c r="S178" i="229" s="1"/>
  <c r="P178" i="229"/>
  <c r="O178" i="229"/>
  <c r="N178" i="229"/>
  <c r="AF177" i="229"/>
  <c r="AE177" i="229"/>
  <c r="AD177" i="229"/>
  <c r="AC177" i="229"/>
  <c r="AB177" i="229"/>
  <c r="AA177" i="229"/>
  <c r="Z177" i="229"/>
  <c r="X177" i="229"/>
  <c r="R177" i="229"/>
  <c r="Q177" i="229"/>
  <c r="P177" i="229"/>
  <c r="O177" i="229"/>
  <c r="N177" i="229"/>
  <c r="AF176" i="229"/>
  <c r="AE176" i="229"/>
  <c r="AD176" i="229"/>
  <c r="AC176" i="229"/>
  <c r="AB176" i="229"/>
  <c r="AA176" i="229"/>
  <c r="Z176" i="229"/>
  <c r="X176" i="229"/>
  <c r="R176" i="229"/>
  <c r="Q176" i="229"/>
  <c r="P176" i="229"/>
  <c r="O176" i="229"/>
  <c r="N176" i="229"/>
  <c r="AF175" i="229"/>
  <c r="AE175" i="229"/>
  <c r="AD175" i="229"/>
  <c r="AC175" i="229"/>
  <c r="AB175" i="229"/>
  <c r="AA175" i="229"/>
  <c r="Z175" i="229"/>
  <c r="X175" i="229"/>
  <c r="R175" i="229"/>
  <c r="Q175" i="229"/>
  <c r="P175" i="229"/>
  <c r="O175" i="229"/>
  <c r="N175" i="229"/>
  <c r="AF174" i="229"/>
  <c r="AE174" i="229"/>
  <c r="AD174" i="229"/>
  <c r="AC174" i="229"/>
  <c r="AB174" i="229"/>
  <c r="AA174" i="229"/>
  <c r="Z174" i="229"/>
  <c r="X174" i="229"/>
  <c r="R174" i="229"/>
  <c r="R170" i="229" s="1"/>
  <c r="R169" i="229" s="1"/>
  <c r="Q174" i="229"/>
  <c r="S174" i="229" s="1"/>
  <c r="P174" i="229"/>
  <c r="O174" i="229"/>
  <c r="N174" i="229"/>
  <c r="AF173" i="229"/>
  <c r="AE173" i="229"/>
  <c r="AD173" i="229"/>
  <c r="AC173" i="229"/>
  <c r="AB173" i="229"/>
  <c r="AA173" i="229"/>
  <c r="Z173" i="229"/>
  <c r="Y173" i="229"/>
  <c r="X173" i="229"/>
  <c r="V173" i="229"/>
  <c r="U173" i="229"/>
  <c r="Q173" i="229"/>
  <c r="P173" i="229"/>
  <c r="S173" i="229" s="1"/>
  <c r="O173" i="229"/>
  <c r="N173" i="229"/>
  <c r="I173" i="229"/>
  <c r="H173" i="229"/>
  <c r="G173" i="229"/>
  <c r="F173" i="229"/>
  <c r="E173" i="229"/>
  <c r="D173" i="229"/>
  <c r="C173" i="229"/>
  <c r="B173" i="229"/>
  <c r="A173" i="229"/>
  <c r="AF172" i="229"/>
  <c r="AE172" i="229"/>
  <c r="AD172" i="229"/>
  <c r="AC172" i="229"/>
  <c r="AB172" i="229"/>
  <c r="AA172" i="229"/>
  <c r="Z172" i="229"/>
  <c r="Y172" i="229"/>
  <c r="X172" i="229"/>
  <c r="V172" i="229"/>
  <c r="U172" i="229"/>
  <c r="Q172" i="229"/>
  <c r="P172" i="229"/>
  <c r="S172" i="229" s="1"/>
  <c r="O172" i="229"/>
  <c r="N172" i="229"/>
  <c r="I172" i="229"/>
  <c r="H172" i="229"/>
  <c r="G172" i="229"/>
  <c r="F172" i="229"/>
  <c r="E172" i="229"/>
  <c r="D172" i="229"/>
  <c r="C172" i="229"/>
  <c r="B172" i="229"/>
  <c r="A172" i="229"/>
  <c r="AF171" i="229"/>
  <c r="AE171" i="229"/>
  <c r="AD171" i="229"/>
  <c r="AC171" i="229"/>
  <c r="AB171" i="229"/>
  <c r="AA171" i="229"/>
  <c r="Z171" i="229"/>
  <c r="Y171" i="229"/>
  <c r="X171" i="229"/>
  <c r="V171" i="229"/>
  <c r="U171" i="229"/>
  <c r="Q171" i="229"/>
  <c r="Q170" i="229" s="1"/>
  <c r="Q169" i="229" s="1"/>
  <c r="P171" i="229"/>
  <c r="S171" i="229" s="1"/>
  <c r="O171" i="229"/>
  <c r="N171" i="229"/>
  <c r="I171" i="229"/>
  <c r="H171" i="229"/>
  <c r="G171" i="229"/>
  <c r="F171" i="229"/>
  <c r="E171" i="229"/>
  <c r="D171" i="229"/>
  <c r="C171" i="229"/>
  <c r="B171" i="229"/>
  <c r="A171" i="229"/>
  <c r="V170" i="229"/>
  <c r="O170" i="229"/>
  <c r="O169" i="229" s="1"/>
  <c r="M170" i="229"/>
  <c r="L170" i="229"/>
  <c r="X169" i="229"/>
  <c r="V169" i="229"/>
  <c r="L169" i="229"/>
  <c r="X168" i="229"/>
  <c r="K168" i="229"/>
  <c r="AF167" i="229"/>
  <c r="AE167" i="229"/>
  <c r="AD167" i="229"/>
  <c r="AC167" i="229"/>
  <c r="AB167" i="229"/>
  <c r="AA167" i="229"/>
  <c r="Z167" i="229"/>
  <c r="Y167" i="229"/>
  <c r="AF166" i="229"/>
  <c r="AE166" i="229"/>
  <c r="AD166" i="229"/>
  <c r="AC166" i="229"/>
  <c r="AB166" i="229"/>
  <c r="AA166" i="229"/>
  <c r="Z166" i="229"/>
  <c r="Y166" i="229"/>
  <c r="AF165" i="229"/>
  <c r="AE165" i="229"/>
  <c r="AD165" i="229"/>
  <c r="AC165" i="229"/>
  <c r="AB165" i="229"/>
  <c r="AA165" i="229"/>
  <c r="Z165" i="229"/>
  <c r="Y165" i="229"/>
  <c r="X165" i="229"/>
  <c r="R165" i="229"/>
  <c r="Q165" i="229"/>
  <c r="Q162" i="229" s="1"/>
  <c r="Q161" i="229" s="1"/>
  <c r="P165" i="229"/>
  <c r="O165" i="229"/>
  <c r="N165" i="229"/>
  <c r="AF164" i="229"/>
  <c r="AE164" i="229"/>
  <c r="AD164" i="229"/>
  <c r="AC164" i="229"/>
  <c r="AB164" i="229"/>
  <c r="AA164" i="229"/>
  <c r="Z164" i="229"/>
  <c r="Y164" i="229"/>
  <c r="AF163" i="229"/>
  <c r="AE163" i="229"/>
  <c r="AD163" i="229"/>
  <c r="AC163" i="229"/>
  <c r="AB163" i="229"/>
  <c r="AA163" i="229"/>
  <c r="Z163" i="229"/>
  <c r="Y163" i="229"/>
  <c r="Y162" i="229" s="1"/>
  <c r="Y161" i="229" s="1"/>
  <c r="X163" i="229"/>
  <c r="R163" i="229"/>
  <c r="Q163" i="229"/>
  <c r="P163" i="229"/>
  <c r="S163" i="229" s="1"/>
  <c r="O163" i="229"/>
  <c r="N163" i="229"/>
  <c r="V162" i="229"/>
  <c r="O162" i="229"/>
  <c r="O161" i="229" s="1"/>
  <c r="V161" i="229"/>
  <c r="AF160" i="229"/>
  <c r="AE160" i="229"/>
  <c r="AD160" i="229"/>
  <c r="AC160" i="229"/>
  <c r="AB160" i="229"/>
  <c r="AA160" i="229"/>
  <c r="Z160" i="229"/>
  <c r="Y160" i="229"/>
  <c r="Y159" i="229" s="1"/>
  <c r="Y158" i="229" s="1"/>
  <c r="X160" i="229"/>
  <c r="R160" i="229"/>
  <c r="R159" i="229" s="1"/>
  <c r="R158" i="229" s="1"/>
  <c r="Q160" i="229"/>
  <c r="P160" i="229"/>
  <c r="S160" i="229" s="1"/>
  <c r="O160" i="229"/>
  <c r="N160" i="229"/>
  <c r="V159" i="229"/>
  <c r="Q159" i="229"/>
  <c r="Q158" i="229" s="1"/>
  <c r="O159" i="229"/>
  <c r="O158" i="229" s="1"/>
  <c r="L159" i="229"/>
  <c r="V158" i="229"/>
  <c r="AF157" i="229"/>
  <c r="AE157" i="229"/>
  <c r="AD157" i="229"/>
  <c r="AC157" i="229"/>
  <c r="AB157" i="229"/>
  <c r="AA157" i="229"/>
  <c r="Z157" i="229"/>
  <c r="Y157" i="229"/>
  <c r="X157" i="229"/>
  <c r="R157" i="229"/>
  <c r="R156" i="229" s="1"/>
  <c r="R155" i="229" s="1"/>
  <c r="Q157" i="229"/>
  <c r="Q156" i="229" s="1"/>
  <c r="Q155" i="229" s="1"/>
  <c r="P157" i="229"/>
  <c r="O157" i="229"/>
  <c r="O156" i="229" s="1"/>
  <c r="O155" i="229" s="1"/>
  <c r="N157" i="229"/>
  <c r="Y156" i="229"/>
  <c r="V156" i="229"/>
  <c r="P156" i="229"/>
  <c r="M156" i="229"/>
  <c r="L156" i="229"/>
  <c r="Y155" i="229"/>
  <c r="V155" i="229"/>
  <c r="AF154" i="229"/>
  <c r="AE154" i="229"/>
  <c r="AD154" i="229"/>
  <c r="AC154" i="229"/>
  <c r="AB154" i="229"/>
  <c r="AA154" i="229"/>
  <c r="Z154" i="229"/>
  <c r="Y154" i="229"/>
  <c r="X154" i="229"/>
  <c r="V154" i="229"/>
  <c r="U154" i="229"/>
  <c r="Q154" i="229"/>
  <c r="P154" i="229"/>
  <c r="O154" i="229"/>
  <c r="N154" i="229"/>
  <c r="I154" i="229"/>
  <c r="H154" i="229"/>
  <c r="G154" i="229"/>
  <c r="F154" i="229"/>
  <c r="E154" i="229"/>
  <c r="D154" i="229"/>
  <c r="C154" i="229"/>
  <c r="B154" i="229"/>
  <c r="A154" i="229"/>
  <c r="AF153" i="229"/>
  <c r="AE153" i="229"/>
  <c r="AD153" i="229"/>
  <c r="AC153" i="229"/>
  <c r="AB153" i="229"/>
  <c r="AA153" i="229"/>
  <c r="Z153" i="229"/>
  <c r="Y153" i="229"/>
  <c r="X153" i="229"/>
  <c r="V153" i="229"/>
  <c r="U153" i="229"/>
  <c r="Q153" i="229"/>
  <c r="P153" i="229"/>
  <c r="O153" i="229"/>
  <c r="N153" i="229"/>
  <c r="I153" i="229"/>
  <c r="H153" i="229"/>
  <c r="G153" i="229"/>
  <c r="F153" i="229"/>
  <c r="E153" i="229"/>
  <c r="D153" i="229"/>
  <c r="C153" i="229"/>
  <c r="B153" i="229"/>
  <c r="A153" i="229"/>
  <c r="AF152" i="229"/>
  <c r="AE152" i="229"/>
  <c r="AD152" i="229"/>
  <c r="AC152" i="229"/>
  <c r="AB152" i="229"/>
  <c r="AA152" i="229"/>
  <c r="Z152" i="229"/>
  <c r="Y152" i="229"/>
  <c r="X152" i="229"/>
  <c r="V152" i="229"/>
  <c r="U152" i="229"/>
  <c r="Q152" i="229"/>
  <c r="P152" i="229"/>
  <c r="O152" i="229"/>
  <c r="N152" i="229"/>
  <c r="I152" i="229"/>
  <c r="H152" i="229"/>
  <c r="G152" i="229"/>
  <c r="F152" i="229"/>
  <c r="E152" i="229"/>
  <c r="D152" i="229"/>
  <c r="C152" i="229"/>
  <c r="B152" i="229"/>
  <c r="A152" i="229"/>
  <c r="AF151" i="229"/>
  <c r="AE151" i="229"/>
  <c r="AD151" i="229"/>
  <c r="AC151" i="229"/>
  <c r="AB151" i="229"/>
  <c r="AA151" i="229"/>
  <c r="Z151" i="229"/>
  <c r="Y151" i="229"/>
  <c r="X151" i="229"/>
  <c r="U151" i="229"/>
  <c r="Q151" i="229"/>
  <c r="P151" i="229"/>
  <c r="S151" i="229" s="1"/>
  <c r="O151" i="229"/>
  <c r="N151" i="229"/>
  <c r="I151" i="229"/>
  <c r="H151" i="229"/>
  <c r="G151" i="229"/>
  <c r="F151" i="229"/>
  <c r="E151" i="229"/>
  <c r="D151" i="229"/>
  <c r="C151" i="229"/>
  <c r="B151" i="229"/>
  <c r="A151" i="229"/>
  <c r="AF150" i="229"/>
  <c r="AE150" i="229"/>
  <c r="AD150" i="229"/>
  <c r="AC150" i="229"/>
  <c r="AB150" i="229"/>
  <c r="AA150" i="229"/>
  <c r="Z150" i="229"/>
  <c r="Y150" i="229"/>
  <c r="X150" i="229"/>
  <c r="U150" i="229"/>
  <c r="Q150" i="229"/>
  <c r="P150" i="229"/>
  <c r="S150" i="229" s="1"/>
  <c r="O150" i="229"/>
  <c r="N150" i="229"/>
  <c r="I150" i="229"/>
  <c r="H150" i="229"/>
  <c r="G150" i="229"/>
  <c r="F150" i="229"/>
  <c r="E150" i="229"/>
  <c r="D150" i="229"/>
  <c r="C150" i="229"/>
  <c r="B150" i="229"/>
  <c r="A150" i="229"/>
  <c r="AF149" i="229"/>
  <c r="AE149" i="229"/>
  <c r="AD149" i="229"/>
  <c r="AC149" i="229"/>
  <c r="AB149" i="229"/>
  <c r="AA149" i="229"/>
  <c r="Z149" i="229"/>
  <c r="Y149" i="229"/>
  <c r="X149" i="229"/>
  <c r="U149" i="229"/>
  <c r="R149" i="229"/>
  <c r="Q149" i="229"/>
  <c r="P149" i="229"/>
  <c r="S149" i="229" s="1"/>
  <c r="O149" i="229"/>
  <c r="N149" i="229"/>
  <c r="I149" i="229"/>
  <c r="H149" i="229"/>
  <c r="G149" i="229"/>
  <c r="F149" i="229"/>
  <c r="E149" i="229"/>
  <c r="D149" i="229"/>
  <c r="C149" i="229"/>
  <c r="B149" i="229"/>
  <c r="A149" i="229"/>
  <c r="AF148" i="229"/>
  <c r="AE148" i="229"/>
  <c r="AD148" i="229"/>
  <c r="AC148" i="229"/>
  <c r="AB148" i="229"/>
  <c r="AA148" i="229"/>
  <c r="Z148" i="229"/>
  <c r="Y148" i="229"/>
  <c r="X148" i="229"/>
  <c r="V148" i="229"/>
  <c r="U148" i="229"/>
  <c r="R148" i="229"/>
  <c r="Q148" i="229"/>
  <c r="P148" i="229"/>
  <c r="S148" i="229" s="1"/>
  <c r="O148" i="229"/>
  <c r="O146" i="229" s="1"/>
  <c r="O145" i="229" s="1"/>
  <c r="N148" i="229"/>
  <c r="I148" i="229"/>
  <c r="H148" i="229"/>
  <c r="G148" i="229"/>
  <c r="F148" i="229"/>
  <c r="E148" i="229"/>
  <c r="D148" i="229"/>
  <c r="C148" i="229"/>
  <c r="B148" i="229"/>
  <c r="A148" i="229"/>
  <c r="AF147" i="229"/>
  <c r="AE147" i="229"/>
  <c r="AD147" i="229"/>
  <c r="AC147" i="229"/>
  <c r="AB147" i="229"/>
  <c r="AA147" i="229"/>
  <c r="Z147" i="229"/>
  <c r="Y147" i="229"/>
  <c r="Y146" i="229" s="1"/>
  <c r="Y145" i="229" s="1"/>
  <c r="X147" i="229"/>
  <c r="V147" i="229"/>
  <c r="U147" i="229"/>
  <c r="R147" i="229"/>
  <c r="Q147" i="229"/>
  <c r="P147" i="229"/>
  <c r="O147" i="229"/>
  <c r="N147" i="229"/>
  <c r="I147" i="229"/>
  <c r="H147" i="229"/>
  <c r="G147" i="229"/>
  <c r="F147" i="229"/>
  <c r="E147" i="229"/>
  <c r="D147" i="229"/>
  <c r="C147" i="229"/>
  <c r="B147" i="229"/>
  <c r="A147" i="229"/>
  <c r="W146" i="229"/>
  <c r="R146" i="229"/>
  <c r="Q146" i="229"/>
  <c r="M146" i="229"/>
  <c r="L146" i="229"/>
  <c r="W145" i="229"/>
  <c r="R145" i="229"/>
  <c r="Q145" i="229"/>
  <c r="L145" i="229"/>
  <c r="AF144" i="229"/>
  <c r="AE144" i="229"/>
  <c r="AD144" i="229"/>
  <c r="AC144" i="229"/>
  <c r="AB144" i="229"/>
  <c r="AA144" i="229"/>
  <c r="Z144" i="229"/>
  <c r="Y144" i="229"/>
  <c r="X144" i="229"/>
  <c r="U144" i="229"/>
  <c r="R144" i="229"/>
  <c r="Q144" i="229"/>
  <c r="P144" i="229"/>
  <c r="O144" i="229"/>
  <c r="N144" i="229"/>
  <c r="I144" i="229"/>
  <c r="H144" i="229"/>
  <c r="G144" i="229"/>
  <c r="F144" i="229"/>
  <c r="E144" i="229"/>
  <c r="D144" i="229"/>
  <c r="C144" i="229"/>
  <c r="B144" i="229"/>
  <c r="A144" i="229"/>
  <c r="Y143" i="229"/>
  <c r="W143" i="229"/>
  <c r="R143" i="229"/>
  <c r="Q143" i="229"/>
  <c r="P143" i="229"/>
  <c r="O143" i="229"/>
  <c r="M143" i="229"/>
  <c r="L143" i="229"/>
  <c r="Y142" i="229"/>
  <c r="W142" i="229"/>
  <c r="R142" i="229"/>
  <c r="Q142" i="229"/>
  <c r="P142" i="229"/>
  <c r="O142" i="229"/>
  <c r="L142" i="229"/>
  <c r="AF141" i="229"/>
  <c r="AE141" i="229"/>
  <c r="AD141" i="229"/>
  <c r="AC141" i="229"/>
  <c r="AB141" i="229"/>
  <c r="AA141" i="229"/>
  <c r="Z141" i="229"/>
  <c r="Y141" i="229"/>
  <c r="X141" i="229"/>
  <c r="U141" i="229"/>
  <c r="R141" i="229"/>
  <c r="R139" i="229" s="1"/>
  <c r="R138" i="229" s="1"/>
  <c r="Q141" i="229"/>
  <c r="P141" i="229"/>
  <c r="S141" i="229" s="1"/>
  <c r="O141" i="229"/>
  <c r="O139" i="229" s="1"/>
  <c r="O138" i="229" s="1"/>
  <c r="N141" i="229"/>
  <c r="I141" i="229"/>
  <c r="H141" i="229"/>
  <c r="G141" i="229"/>
  <c r="F141" i="229"/>
  <c r="E141" i="229"/>
  <c r="D141" i="229"/>
  <c r="C141" i="229"/>
  <c r="B141" i="229"/>
  <c r="A141" i="229"/>
  <c r="AF140" i="229"/>
  <c r="AE140" i="229"/>
  <c r="AD140" i="229"/>
  <c r="AC140" i="229"/>
  <c r="AB140" i="229"/>
  <c r="AA140" i="229"/>
  <c r="Z140" i="229"/>
  <c r="Y140" i="229"/>
  <c r="X140" i="229"/>
  <c r="W140" i="229"/>
  <c r="W139" i="229" s="1"/>
  <c r="W138" i="229" s="1"/>
  <c r="U140" i="229"/>
  <c r="R140" i="229"/>
  <c r="Q140" i="229"/>
  <c r="P140" i="229"/>
  <c r="S140" i="229" s="1"/>
  <c r="O140" i="229"/>
  <c r="N140" i="229"/>
  <c r="I140" i="229"/>
  <c r="H140" i="229"/>
  <c r="G140" i="229"/>
  <c r="F140" i="229"/>
  <c r="E140" i="229"/>
  <c r="D140" i="229"/>
  <c r="C140" i="229"/>
  <c r="B140" i="229"/>
  <c r="A140" i="229"/>
  <c r="Y139" i="229"/>
  <c r="Q139" i="229"/>
  <c r="P139" i="229"/>
  <c r="M139" i="229"/>
  <c r="L139" i="229"/>
  <c r="Y138" i="229"/>
  <c r="Q138" i="229"/>
  <c r="P138" i="229"/>
  <c r="L138" i="229"/>
  <c r="AF137" i="229"/>
  <c r="AE137" i="229"/>
  <c r="AD137" i="229"/>
  <c r="AC137" i="229"/>
  <c r="AB137" i="229"/>
  <c r="AA137" i="229"/>
  <c r="Z137" i="229"/>
  <c r="Y137" i="229"/>
  <c r="X137" i="229"/>
  <c r="R137" i="229"/>
  <c r="Q137" i="229"/>
  <c r="P137" i="229"/>
  <c r="O137" i="229"/>
  <c r="N137" i="229"/>
  <c r="AF136" i="229"/>
  <c r="AE136" i="229"/>
  <c r="AD136" i="229"/>
  <c r="AC136" i="229"/>
  <c r="AB136" i="229"/>
  <c r="AA136" i="229"/>
  <c r="Z136" i="229"/>
  <c r="Y136" i="229"/>
  <c r="X136" i="229"/>
  <c r="R136" i="229"/>
  <c r="Q136" i="229"/>
  <c r="P136" i="229"/>
  <c r="S136" i="229" s="1"/>
  <c r="O136" i="229"/>
  <c r="N136" i="229"/>
  <c r="AF135" i="229"/>
  <c r="AE135" i="229"/>
  <c r="AD135" i="229"/>
  <c r="AC135" i="229"/>
  <c r="AB135" i="229"/>
  <c r="AA135" i="229"/>
  <c r="Z135" i="229"/>
  <c r="Y135" i="229"/>
  <c r="X135" i="229"/>
  <c r="R135" i="229"/>
  <c r="R133" i="229" s="1"/>
  <c r="Q135" i="229"/>
  <c r="P135" i="229"/>
  <c r="O135" i="229"/>
  <c r="N135" i="229"/>
  <c r="AF134" i="229"/>
  <c r="AE134" i="229"/>
  <c r="AD134" i="229"/>
  <c r="AC134" i="229"/>
  <c r="AB134" i="229"/>
  <c r="AA134" i="229"/>
  <c r="Z134" i="229"/>
  <c r="Y134" i="229"/>
  <c r="Y133" i="229" s="1"/>
  <c r="X134" i="229"/>
  <c r="R134" i="229"/>
  <c r="Q134" i="229"/>
  <c r="Q133" i="229" s="1"/>
  <c r="P134" i="229"/>
  <c r="S134" i="229" s="1"/>
  <c r="O134" i="229"/>
  <c r="N134" i="229"/>
  <c r="V133" i="229"/>
  <c r="O133" i="229"/>
  <c r="AF132" i="229"/>
  <c r="AE132" i="229"/>
  <c r="AD132" i="229"/>
  <c r="AC132" i="229"/>
  <c r="AB132" i="229"/>
  <c r="AA132" i="229"/>
  <c r="Z132" i="229"/>
  <c r="Y132" i="229"/>
  <c r="X132" i="229"/>
  <c r="R132" i="229"/>
  <c r="Q132" i="229"/>
  <c r="P132" i="229"/>
  <c r="O132" i="229"/>
  <c r="N132" i="229"/>
  <c r="AF131" i="229"/>
  <c r="AE131" i="229"/>
  <c r="AD131" i="229"/>
  <c r="AC131" i="229"/>
  <c r="AB131" i="229"/>
  <c r="AA131" i="229"/>
  <c r="Z131" i="229"/>
  <c r="Y131" i="229"/>
  <c r="X131" i="229"/>
  <c r="R131" i="229"/>
  <c r="Q131" i="229"/>
  <c r="P131" i="229"/>
  <c r="O131" i="229"/>
  <c r="N131" i="229"/>
  <c r="AF130" i="229"/>
  <c r="AE130" i="229"/>
  <c r="AD130" i="229"/>
  <c r="AC130" i="229"/>
  <c r="AB130" i="229"/>
  <c r="AA130" i="229"/>
  <c r="Z130" i="229"/>
  <c r="Y130" i="229"/>
  <c r="X130" i="229"/>
  <c r="R130" i="229"/>
  <c r="Q130" i="229"/>
  <c r="P130" i="229"/>
  <c r="O130" i="229"/>
  <c r="N130" i="229"/>
  <c r="AF129" i="229"/>
  <c r="AE129" i="229"/>
  <c r="AD129" i="229"/>
  <c r="AC129" i="229"/>
  <c r="AB129" i="229"/>
  <c r="AA129" i="229"/>
  <c r="Z129" i="229"/>
  <c r="Y129" i="229"/>
  <c r="X129" i="229"/>
  <c r="R129" i="229"/>
  <c r="Q129" i="229"/>
  <c r="P129" i="229"/>
  <c r="O129" i="229"/>
  <c r="N129" i="229"/>
  <c r="AF128" i="229"/>
  <c r="AE128" i="229"/>
  <c r="AD128" i="229"/>
  <c r="AC128" i="229"/>
  <c r="AB128" i="229"/>
  <c r="AA128" i="229"/>
  <c r="Z128" i="229"/>
  <c r="Y128" i="229"/>
  <c r="X128" i="229"/>
  <c r="U128" i="229"/>
  <c r="R128" i="229"/>
  <c r="P128" i="229"/>
  <c r="O128" i="229"/>
  <c r="N128" i="229"/>
  <c r="I128" i="229"/>
  <c r="H128" i="229"/>
  <c r="G128" i="229"/>
  <c r="F128" i="229"/>
  <c r="E128" i="229"/>
  <c r="D128" i="229"/>
  <c r="C128" i="229"/>
  <c r="B128" i="229"/>
  <c r="A128" i="229"/>
  <c r="AF127" i="229"/>
  <c r="AE127" i="229"/>
  <c r="AD127" i="229"/>
  <c r="AC127" i="229"/>
  <c r="AB127" i="229"/>
  <c r="AA127" i="229"/>
  <c r="Z127" i="229"/>
  <c r="Y127" i="229"/>
  <c r="X127" i="229"/>
  <c r="U127" i="229"/>
  <c r="R127" i="229"/>
  <c r="P127" i="229"/>
  <c r="O127" i="229"/>
  <c r="N127" i="229"/>
  <c r="I127" i="229"/>
  <c r="H127" i="229"/>
  <c r="G127" i="229"/>
  <c r="F127" i="229"/>
  <c r="E127" i="229"/>
  <c r="D127" i="229"/>
  <c r="C127" i="229"/>
  <c r="B127" i="229"/>
  <c r="A127" i="229"/>
  <c r="AF126" i="229"/>
  <c r="AE126" i="229"/>
  <c r="AB126" i="229"/>
  <c r="AA126" i="229"/>
  <c r="Z126" i="229"/>
  <c r="Y126" i="229"/>
  <c r="Y123" i="229" s="1"/>
  <c r="X126" i="229"/>
  <c r="R126" i="229"/>
  <c r="Q126" i="229"/>
  <c r="P126" i="229"/>
  <c r="O126" i="229"/>
  <c r="N126" i="229"/>
  <c r="AF125" i="229"/>
  <c r="AE125" i="229"/>
  <c r="AD125" i="229"/>
  <c r="AC125" i="229"/>
  <c r="AB125" i="229"/>
  <c r="AA125" i="229"/>
  <c r="Z125" i="229"/>
  <c r="Y125" i="229"/>
  <c r="X125" i="229"/>
  <c r="U125" i="229"/>
  <c r="R125" i="229"/>
  <c r="Q125" i="229"/>
  <c r="P125" i="229"/>
  <c r="S125" i="229" s="1"/>
  <c r="O125" i="229"/>
  <c r="N125" i="229"/>
  <c r="I125" i="229"/>
  <c r="H125" i="229"/>
  <c r="G125" i="229"/>
  <c r="F125" i="229"/>
  <c r="E125" i="229"/>
  <c r="D125" i="229"/>
  <c r="C125" i="229"/>
  <c r="B125" i="229"/>
  <c r="A125" i="229"/>
  <c r="AF124" i="229"/>
  <c r="AE124" i="229"/>
  <c r="AD124" i="229"/>
  <c r="AC124" i="229"/>
  <c r="AB124" i="229"/>
  <c r="AA124" i="229"/>
  <c r="Z124" i="229"/>
  <c r="Y124" i="229"/>
  <c r="X124" i="229"/>
  <c r="V124" i="229"/>
  <c r="U124" i="229"/>
  <c r="R124" i="229"/>
  <c r="Q124" i="229"/>
  <c r="P124" i="229"/>
  <c r="S124" i="229" s="1"/>
  <c r="O124" i="229"/>
  <c r="O123" i="229" s="1"/>
  <c r="O122" i="229" s="1"/>
  <c r="N124" i="229"/>
  <c r="I124" i="229"/>
  <c r="H124" i="229"/>
  <c r="G124" i="229"/>
  <c r="F124" i="229"/>
  <c r="E124" i="229"/>
  <c r="D124" i="229"/>
  <c r="C124" i="229"/>
  <c r="B124" i="229"/>
  <c r="A124" i="229"/>
  <c r="M123" i="229"/>
  <c r="L123" i="229"/>
  <c r="L122" i="229"/>
  <c r="K122" i="229"/>
  <c r="AF121" i="229"/>
  <c r="AE121" i="229"/>
  <c r="AD121" i="229"/>
  <c r="AC121" i="229"/>
  <c r="AB121" i="229"/>
  <c r="AA121" i="229"/>
  <c r="Z121" i="229"/>
  <c r="Y121" i="229"/>
  <c r="Y120" i="229" s="1"/>
  <c r="Y119" i="229" s="1"/>
  <c r="X121" i="229"/>
  <c r="V121" i="229"/>
  <c r="V120" i="229" s="1"/>
  <c r="V119" i="229" s="1"/>
  <c r="U121" i="229"/>
  <c r="P121" i="229"/>
  <c r="P120" i="229" s="1"/>
  <c r="O121" i="229"/>
  <c r="N121" i="229"/>
  <c r="I121" i="229"/>
  <c r="H121" i="229"/>
  <c r="G121" i="229"/>
  <c r="F121" i="229"/>
  <c r="E121" i="229"/>
  <c r="D121" i="229"/>
  <c r="C121" i="229"/>
  <c r="B121" i="229"/>
  <c r="A121" i="229"/>
  <c r="AA120" i="229"/>
  <c r="AA119" i="229" s="1"/>
  <c r="W120" i="229"/>
  <c r="W119" i="229" s="1"/>
  <c r="R120" i="229"/>
  <c r="O120" i="229"/>
  <c r="O119" i="229" s="1"/>
  <c r="M120" i="229"/>
  <c r="L120" i="229"/>
  <c r="Z119" i="229"/>
  <c r="X119" i="229"/>
  <c r="R119" i="229"/>
  <c r="L119" i="229"/>
  <c r="K119" i="229"/>
  <c r="AF118" i="229"/>
  <c r="AE118" i="229"/>
  <c r="AD118" i="229"/>
  <c r="AC118" i="229"/>
  <c r="AB118" i="229"/>
  <c r="AA118" i="229"/>
  <c r="AA117" i="229" s="1"/>
  <c r="Z118" i="229"/>
  <c r="Y118" i="229"/>
  <c r="X118" i="229"/>
  <c r="R118" i="229"/>
  <c r="Q118" i="229"/>
  <c r="P118" i="229"/>
  <c r="O118" i="229"/>
  <c r="N118" i="229"/>
  <c r="Y117" i="229"/>
  <c r="V117" i="229"/>
  <c r="R117" i="229"/>
  <c r="Q117" i="229"/>
  <c r="P117" i="229"/>
  <c r="O117" i="229"/>
  <c r="M117" i="229"/>
  <c r="AF116" i="229"/>
  <c r="AE116" i="229"/>
  <c r="AD116" i="229"/>
  <c r="AC116" i="229"/>
  <c r="AB116" i="229"/>
  <c r="AA116" i="229"/>
  <c r="Z116" i="229"/>
  <c r="Y116" i="229"/>
  <c r="Y115" i="229" s="1"/>
  <c r="X116" i="229"/>
  <c r="R116" i="229"/>
  <c r="Q116" i="229"/>
  <c r="P116" i="229"/>
  <c r="P115" i="229" s="1"/>
  <c r="O116" i="229"/>
  <c r="N116" i="229"/>
  <c r="R115" i="229"/>
  <c r="O115" i="229"/>
  <c r="AF114" i="229"/>
  <c r="AE114" i="229"/>
  <c r="AD114" i="229"/>
  <c r="AC114" i="229"/>
  <c r="AB114" i="229"/>
  <c r="AA114" i="229"/>
  <c r="Z114" i="229"/>
  <c r="Y114" i="229"/>
  <c r="X114" i="229"/>
  <c r="W114" i="229"/>
  <c r="U114" i="229"/>
  <c r="R114" i="229"/>
  <c r="Q114" i="229"/>
  <c r="S114" i="229" s="1"/>
  <c r="P114" i="229"/>
  <c r="O114" i="229"/>
  <c r="N114" i="229"/>
  <c r="I114" i="229"/>
  <c r="H114" i="229"/>
  <c r="G114" i="229"/>
  <c r="F114" i="229"/>
  <c r="E114" i="229"/>
  <c r="D114" i="229"/>
  <c r="C114" i="229"/>
  <c r="B114" i="229"/>
  <c r="A114" i="229"/>
  <c r="AF113" i="229"/>
  <c r="AE113" i="229"/>
  <c r="AD113" i="229"/>
  <c r="AC113" i="229"/>
  <c r="AB113" i="229"/>
  <c r="AA113" i="229"/>
  <c r="Z113" i="229"/>
  <c r="Y113" i="229"/>
  <c r="X113" i="229"/>
  <c r="U113" i="229"/>
  <c r="R113" i="229"/>
  <c r="Q113" i="229"/>
  <c r="S113" i="229" s="1"/>
  <c r="P113" i="229"/>
  <c r="P110" i="229" s="1"/>
  <c r="O113" i="229"/>
  <c r="N113" i="229"/>
  <c r="I113" i="229"/>
  <c r="H113" i="229"/>
  <c r="G113" i="229"/>
  <c r="F113" i="229"/>
  <c r="E113" i="229"/>
  <c r="D113" i="229"/>
  <c r="C113" i="229"/>
  <c r="B113" i="229"/>
  <c r="A113" i="229"/>
  <c r="AF112" i="229"/>
  <c r="AE112" i="229"/>
  <c r="AD112" i="229"/>
  <c r="AC112" i="229"/>
  <c r="AB112" i="229"/>
  <c r="AA112" i="229"/>
  <c r="Z112" i="229"/>
  <c r="Y112" i="229"/>
  <c r="AF111" i="229"/>
  <c r="AE111" i="229"/>
  <c r="AD111" i="229"/>
  <c r="AC111" i="229"/>
  <c r="AB111" i="229"/>
  <c r="AA111" i="229"/>
  <c r="Z111" i="229"/>
  <c r="Y111" i="229"/>
  <c r="Y110" i="229" s="1"/>
  <c r="X111" i="229"/>
  <c r="V111" i="229"/>
  <c r="U111" i="229"/>
  <c r="R111" i="229"/>
  <c r="Q111" i="229"/>
  <c r="P111" i="229"/>
  <c r="O111" i="229"/>
  <c r="N111" i="229"/>
  <c r="I111" i="229"/>
  <c r="H111" i="229"/>
  <c r="G111" i="229"/>
  <c r="F111" i="229"/>
  <c r="E111" i="229"/>
  <c r="D111" i="229"/>
  <c r="C111" i="229"/>
  <c r="B111" i="229"/>
  <c r="A111" i="229"/>
  <c r="W110" i="229"/>
  <c r="R110" i="229"/>
  <c r="O110" i="229"/>
  <c r="M110" i="229"/>
  <c r="AF109" i="229"/>
  <c r="AE109" i="229"/>
  <c r="AD109" i="229"/>
  <c r="AC109" i="229"/>
  <c r="AB109" i="229"/>
  <c r="AA109" i="229"/>
  <c r="Z109" i="229"/>
  <c r="X109" i="229"/>
  <c r="U109" i="229"/>
  <c r="AF108" i="229"/>
  <c r="AE108" i="229"/>
  <c r="AD108" i="229"/>
  <c r="AC108" i="229"/>
  <c r="AB108" i="229"/>
  <c r="AA108" i="229"/>
  <c r="Z108" i="229"/>
  <c r="Y108" i="229"/>
  <c r="X108" i="229"/>
  <c r="V108" i="229"/>
  <c r="U108" i="229"/>
  <c r="AF107" i="229"/>
  <c r="AE107" i="229"/>
  <c r="AD107" i="229"/>
  <c r="AC107" i="229"/>
  <c r="AB107" i="229"/>
  <c r="AA107" i="229"/>
  <c r="Z107" i="229"/>
  <c r="Y107" i="229"/>
  <c r="X107" i="229"/>
  <c r="V107" i="229"/>
  <c r="U107" i="229"/>
  <c r="R107" i="229"/>
  <c r="Q107" i="229"/>
  <c r="P107" i="229"/>
  <c r="O107" i="229"/>
  <c r="N107" i="229"/>
  <c r="I107" i="229"/>
  <c r="H107" i="229"/>
  <c r="G107" i="229"/>
  <c r="F107" i="229"/>
  <c r="E107" i="229"/>
  <c r="D107" i="229"/>
  <c r="C107" i="229"/>
  <c r="B107" i="229"/>
  <c r="A107" i="229"/>
  <c r="AF106" i="229"/>
  <c r="AE106" i="229"/>
  <c r="AD106" i="229"/>
  <c r="AC106" i="229"/>
  <c r="AB106" i="229"/>
  <c r="AA106" i="229"/>
  <c r="Z106" i="229"/>
  <c r="Y106" i="229"/>
  <c r="X106" i="229"/>
  <c r="U106" i="229"/>
  <c r="R106" i="229"/>
  <c r="R99" i="229" s="1"/>
  <c r="Q106" i="229"/>
  <c r="P106" i="229"/>
  <c r="O106" i="229"/>
  <c r="N106" i="229"/>
  <c r="I106" i="229"/>
  <c r="H106" i="229"/>
  <c r="G106" i="229"/>
  <c r="F106" i="229"/>
  <c r="E106" i="229"/>
  <c r="D106" i="229"/>
  <c r="C106" i="229"/>
  <c r="B106" i="229"/>
  <c r="A106" i="229"/>
  <c r="AF105" i="229"/>
  <c r="AE105" i="229"/>
  <c r="AD105" i="229"/>
  <c r="AC105" i="229"/>
  <c r="AB105" i="229"/>
  <c r="AA105" i="229"/>
  <c r="Z105" i="229"/>
  <c r="Y105" i="229"/>
  <c r="X105" i="229"/>
  <c r="V105" i="229"/>
  <c r="U105" i="229"/>
  <c r="R105" i="229"/>
  <c r="Q105" i="229"/>
  <c r="P105" i="229"/>
  <c r="S105" i="229" s="1"/>
  <c r="O105" i="229"/>
  <c r="N105" i="229"/>
  <c r="I105" i="229"/>
  <c r="H105" i="229"/>
  <c r="G105" i="229"/>
  <c r="F105" i="229"/>
  <c r="E105" i="229"/>
  <c r="D105" i="229"/>
  <c r="C105" i="229"/>
  <c r="B105" i="229"/>
  <c r="A105" i="229"/>
  <c r="AF104" i="229"/>
  <c r="AE104" i="229"/>
  <c r="AD104" i="229"/>
  <c r="AC104" i="229"/>
  <c r="AB104" i="229"/>
  <c r="AA104" i="229"/>
  <c r="Z104" i="229"/>
  <c r="Y104" i="229"/>
  <c r="X104" i="229"/>
  <c r="U104" i="229"/>
  <c r="R104" i="229"/>
  <c r="Q104" i="229"/>
  <c r="P104" i="229"/>
  <c r="S104" i="229" s="1"/>
  <c r="O104" i="229"/>
  <c r="N104" i="229"/>
  <c r="I104" i="229"/>
  <c r="H104" i="229"/>
  <c r="G104" i="229"/>
  <c r="F104" i="229"/>
  <c r="E104" i="229"/>
  <c r="D104" i="229"/>
  <c r="C104" i="229"/>
  <c r="B104" i="229"/>
  <c r="A104" i="229"/>
  <c r="AF103" i="229"/>
  <c r="AE103" i="229"/>
  <c r="AD103" i="229"/>
  <c r="AC103" i="229"/>
  <c r="AB103" i="229"/>
  <c r="AA103" i="229"/>
  <c r="Z103" i="229"/>
  <c r="Y103" i="229"/>
  <c r="X103" i="229"/>
  <c r="U103" i="229"/>
  <c r="R103" i="229"/>
  <c r="Q103" i="229"/>
  <c r="P103" i="229"/>
  <c r="S103" i="229" s="1"/>
  <c r="O103" i="229"/>
  <c r="N103" i="229"/>
  <c r="I103" i="229"/>
  <c r="H103" i="229"/>
  <c r="G103" i="229"/>
  <c r="F103" i="229"/>
  <c r="E103" i="229"/>
  <c r="D103" i="229"/>
  <c r="C103" i="229"/>
  <c r="B103" i="229"/>
  <c r="A103" i="229"/>
  <c r="AF102" i="229"/>
  <c r="AE102" i="229"/>
  <c r="AD102" i="229"/>
  <c r="AC102" i="229"/>
  <c r="AB102" i="229"/>
  <c r="AA102" i="229"/>
  <c r="Z102" i="229"/>
  <c r="Y102" i="229"/>
  <c r="X102" i="229"/>
  <c r="U102" i="229"/>
  <c r="R102" i="229"/>
  <c r="Q102" i="229"/>
  <c r="P102" i="229"/>
  <c r="S102" i="229" s="1"/>
  <c r="O102" i="229"/>
  <c r="N102" i="229"/>
  <c r="I102" i="229"/>
  <c r="H102" i="229"/>
  <c r="G102" i="229"/>
  <c r="F102" i="229"/>
  <c r="E102" i="229"/>
  <c r="D102" i="229"/>
  <c r="C102" i="229"/>
  <c r="B102" i="229"/>
  <c r="A102" i="229"/>
  <c r="AF101" i="229"/>
  <c r="AE101" i="229"/>
  <c r="AD101" i="229"/>
  <c r="AC101" i="229"/>
  <c r="AB101" i="229"/>
  <c r="AA101" i="229"/>
  <c r="Z101" i="229"/>
  <c r="Y101" i="229"/>
  <c r="X101" i="229"/>
  <c r="U101" i="229"/>
  <c r="R101" i="229"/>
  <c r="Q101" i="229"/>
  <c r="P101" i="229"/>
  <c r="S101" i="229" s="1"/>
  <c r="O101" i="229"/>
  <c r="N101" i="229"/>
  <c r="I101" i="229"/>
  <c r="H101" i="229"/>
  <c r="G101" i="229"/>
  <c r="F101" i="229"/>
  <c r="E101" i="229"/>
  <c r="D101" i="229"/>
  <c r="C101" i="229"/>
  <c r="B101" i="229"/>
  <c r="A101" i="229"/>
  <c r="AF100" i="229"/>
  <c r="AE100" i="229"/>
  <c r="AD100" i="229"/>
  <c r="AC100" i="229"/>
  <c r="AB100" i="229"/>
  <c r="AA100" i="229"/>
  <c r="Z100" i="229"/>
  <c r="Y100" i="229"/>
  <c r="X100" i="229"/>
  <c r="U100" i="229"/>
  <c r="R100" i="229"/>
  <c r="Q100" i="229"/>
  <c r="P100" i="229"/>
  <c r="S100" i="229" s="1"/>
  <c r="O100" i="229"/>
  <c r="O99" i="229" s="1"/>
  <c r="N100" i="229"/>
  <c r="I100" i="229"/>
  <c r="H100" i="229"/>
  <c r="G100" i="229"/>
  <c r="F100" i="229"/>
  <c r="E100" i="229"/>
  <c r="D100" i="229"/>
  <c r="C100" i="229"/>
  <c r="B100" i="229"/>
  <c r="A100" i="229"/>
  <c r="Q99" i="229"/>
  <c r="M99" i="229"/>
  <c r="AF98" i="229"/>
  <c r="AE98" i="229"/>
  <c r="AB98" i="229"/>
  <c r="AA98" i="229"/>
  <c r="Z98" i="229"/>
  <c r="Y98" i="229"/>
  <c r="X98" i="229"/>
  <c r="U98" i="229"/>
  <c r="AF97" i="229"/>
  <c r="AE97" i="229"/>
  <c r="AB97" i="229"/>
  <c r="AA97" i="229"/>
  <c r="Z97" i="229"/>
  <c r="Y97" i="229"/>
  <c r="X97" i="229"/>
  <c r="V97" i="229"/>
  <c r="U97" i="229"/>
  <c r="AF96" i="229"/>
  <c r="AE96" i="229"/>
  <c r="AD96" i="229"/>
  <c r="AC96" i="229"/>
  <c r="AB96" i="229"/>
  <c r="AA96" i="229"/>
  <c r="Z96" i="229"/>
  <c r="Y96" i="229"/>
  <c r="X96" i="229"/>
  <c r="V96" i="229"/>
  <c r="U96" i="229"/>
  <c r="R96" i="229"/>
  <c r="Q96" i="229"/>
  <c r="P96" i="229"/>
  <c r="O96" i="229"/>
  <c r="N96" i="229"/>
  <c r="AF95" i="229"/>
  <c r="AE95" i="229"/>
  <c r="AD95" i="229"/>
  <c r="AC95" i="229"/>
  <c r="AB95" i="229"/>
  <c r="AA95" i="229"/>
  <c r="Z95" i="229"/>
  <c r="Y95" i="229"/>
  <c r="X95" i="229"/>
  <c r="U95" i="229"/>
  <c r="R95" i="229"/>
  <c r="Q95" i="229"/>
  <c r="P95" i="229"/>
  <c r="O95" i="229"/>
  <c r="N95" i="229"/>
  <c r="I95" i="229"/>
  <c r="H95" i="229"/>
  <c r="G95" i="229"/>
  <c r="F95" i="229"/>
  <c r="E95" i="229"/>
  <c r="D95" i="229"/>
  <c r="C95" i="229"/>
  <c r="B95" i="229"/>
  <c r="A95" i="229"/>
  <c r="AF94" i="229"/>
  <c r="AE94" i="229"/>
  <c r="AD94" i="229"/>
  <c r="AC94" i="229"/>
  <c r="AB94" i="229"/>
  <c r="AA94" i="229"/>
  <c r="Z94" i="229"/>
  <c r="Y94" i="229"/>
  <c r="X94" i="229"/>
  <c r="U94" i="229"/>
  <c r="R94" i="229"/>
  <c r="Q94" i="229"/>
  <c r="P94" i="229"/>
  <c r="O94" i="229"/>
  <c r="N94" i="229"/>
  <c r="I94" i="229"/>
  <c r="H94" i="229"/>
  <c r="G94" i="229"/>
  <c r="F94" i="229"/>
  <c r="E94" i="229"/>
  <c r="D94" i="229"/>
  <c r="C94" i="229"/>
  <c r="B94" i="229"/>
  <c r="A94" i="229"/>
  <c r="AF93" i="229"/>
  <c r="AE93" i="229"/>
  <c r="AB93" i="229"/>
  <c r="AA93" i="229"/>
  <c r="Z93" i="229"/>
  <c r="Y93" i="229"/>
  <c r="X93" i="229"/>
  <c r="R93" i="229"/>
  <c r="Q93" i="229"/>
  <c r="P93" i="229"/>
  <c r="O93" i="229"/>
  <c r="N93" i="229"/>
  <c r="AF92" i="229"/>
  <c r="AE92" i="229"/>
  <c r="AD92" i="229"/>
  <c r="AC92" i="229"/>
  <c r="AB92" i="229"/>
  <c r="AA92" i="229"/>
  <c r="Z92" i="229"/>
  <c r="Y92" i="229"/>
  <c r="X92" i="229"/>
  <c r="U92" i="229"/>
  <c r="R92" i="229"/>
  <c r="Q92" i="229"/>
  <c r="P92" i="229"/>
  <c r="O92" i="229"/>
  <c r="N92" i="229"/>
  <c r="I92" i="229"/>
  <c r="H92" i="229"/>
  <c r="G92" i="229"/>
  <c r="F92" i="229"/>
  <c r="E92" i="229"/>
  <c r="D92" i="229"/>
  <c r="C92" i="229"/>
  <c r="B92" i="229"/>
  <c r="A92" i="229"/>
  <c r="AF91" i="229"/>
  <c r="AE91" i="229"/>
  <c r="AD91" i="229"/>
  <c r="AC91" i="229"/>
  <c r="AB91" i="229"/>
  <c r="AA91" i="229"/>
  <c r="Z91" i="229"/>
  <c r="Y91" i="229"/>
  <c r="X91" i="229"/>
  <c r="U91" i="229"/>
  <c r="R91" i="229"/>
  <c r="Q91" i="229"/>
  <c r="P91" i="229"/>
  <c r="O91" i="229"/>
  <c r="N91" i="229"/>
  <c r="I91" i="229"/>
  <c r="H91" i="229"/>
  <c r="G91" i="229"/>
  <c r="F91" i="229"/>
  <c r="E91" i="229"/>
  <c r="D91" i="229"/>
  <c r="C91" i="229"/>
  <c r="B91" i="229"/>
  <c r="A91" i="229"/>
  <c r="AF90" i="229"/>
  <c r="AE90" i="229"/>
  <c r="AD90" i="229"/>
  <c r="AC90" i="229"/>
  <c r="AB90" i="229"/>
  <c r="AA90" i="229"/>
  <c r="Z90" i="229"/>
  <c r="Y90" i="229"/>
  <c r="X90" i="229"/>
  <c r="U90" i="229"/>
  <c r="R90" i="229"/>
  <c r="Q90" i="229"/>
  <c r="P90" i="229"/>
  <c r="O90" i="229"/>
  <c r="N90" i="229"/>
  <c r="I90" i="229"/>
  <c r="H90" i="229"/>
  <c r="G90" i="229"/>
  <c r="F90" i="229"/>
  <c r="E90" i="229"/>
  <c r="D90" i="229"/>
  <c r="C90" i="229"/>
  <c r="B90" i="229"/>
  <c r="A90" i="229"/>
  <c r="AF89" i="229"/>
  <c r="AE89" i="229"/>
  <c r="AD89" i="229"/>
  <c r="AC89" i="229"/>
  <c r="AB89" i="229"/>
  <c r="AA89" i="229"/>
  <c r="Z89" i="229"/>
  <c r="Y89" i="229"/>
  <c r="X89" i="229"/>
  <c r="U89" i="229"/>
  <c r="R89" i="229"/>
  <c r="Q89" i="229"/>
  <c r="P89" i="229"/>
  <c r="O89" i="229"/>
  <c r="N89" i="229"/>
  <c r="I89" i="229"/>
  <c r="H89" i="229"/>
  <c r="G89" i="229"/>
  <c r="F89" i="229"/>
  <c r="E89" i="229"/>
  <c r="D89" i="229"/>
  <c r="C89" i="229"/>
  <c r="B89" i="229"/>
  <c r="A89" i="229"/>
  <c r="AF88" i="229"/>
  <c r="AE88" i="229"/>
  <c r="AD88" i="229"/>
  <c r="AC88" i="229"/>
  <c r="AB88" i="229"/>
  <c r="AA88" i="229"/>
  <c r="Z88" i="229"/>
  <c r="Z85" i="229" s="1"/>
  <c r="Y88" i="229"/>
  <c r="X88" i="229"/>
  <c r="X85" i="229" s="1"/>
  <c r="U88" i="229"/>
  <c r="R88" i="229"/>
  <c r="Q88" i="229"/>
  <c r="Q85" i="229" s="1"/>
  <c r="P88" i="229"/>
  <c r="O88" i="229"/>
  <c r="N88" i="229"/>
  <c r="I88" i="229"/>
  <c r="H88" i="229"/>
  <c r="G88" i="229"/>
  <c r="F88" i="229"/>
  <c r="E88" i="229"/>
  <c r="D88" i="229"/>
  <c r="C88" i="229"/>
  <c r="B88" i="229"/>
  <c r="A88" i="229"/>
  <c r="AF87" i="229"/>
  <c r="AE87" i="229"/>
  <c r="AD87" i="229"/>
  <c r="AC87" i="229"/>
  <c r="AB87" i="229"/>
  <c r="AA87" i="229"/>
  <c r="Z87" i="229"/>
  <c r="Y87" i="229"/>
  <c r="Y85" i="229" s="1"/>
  <c r="X87" i="229"/>
  <c r="R87" i="229"/>
  <c r="Q87" i="229"/>
  <c r="P87" i="229"/>
  <c r="O87" i="229"/>
  <c r="N87" i="229"/>
  <c r="AF86" i="229"/>
  <c r="AE86" i="229"/>
  <c r="AD86" i="229"/>
  <c r="AC86" i="229"/>
  <c r="AB86" i="229"/>
  <c r="AA86" i="229"/>
  <c r="Z86" i="229"/>
  <c r="Y86" i="229"/>
  <c r="X86" i="229"/>
  <c r="W86" i="229"/>
  <c r="R86" i="229"/>
  <c r="Q86" i="229"/>
  <c r="P86" i="229"/>
  <c r="S86" i="229" s="1"/>
  <c r="O86" i="229"/>
  <c r="N86" i="229"/>
  <c r="O85" i="229"/>
  <c r="M85" i="229"/>
  <c r="AF84" i="229"/>
  <c r="AE84" i="229"/>
  <c r="AD84" i="229"/>
  <c r="AC84" i="229"/>
  <c r="AB84" i="229"/>
  <c r="AA84" i="229"/>
  <c r="Z84" i="229"/>
  <c r="Y84" i="229"/>
  <c r="X84" i="229"/>
  <c r="U84" i="229"/>
  <c r="R84" i="229"/>
  <c r="Q84" i="229"/>
  <c r="P84" i="229"/>
  <c r="O84" i="229"/>
  <c r="N84" i="229"/>
  <c r="I84" i="229"/>
  <c r="H84" i="229"/>
  <c r="G84" i="229"/>
  <c r="F84" i="229"/>
  <c r="E84" i="229"/>
  <c r="D84" i="229"/>
  <c r="C84" i="229"/>
  <c r="B84" i="229"/>
  <c r="A84" i="229"/>
  <c r="AF83" i="229"/>
  <c r="AE83" i="229"/>
  <c r="AD83" i="229"/>
  <c r="AC83" i="229"/>
  <c r="AB83" i="229"/>
  <c r="AA83" i="229"/>
  <c r="Z83" i="229"/>
  <c r="Y83" i="229"/>
  <c r="X83" i="229"/>
  <c r="U83" i="229"/>
  <c r="R83" i="229"/>
  <c r="R81" i="229" s="1"/>
  <c r="Q83" i="229"/>
  <c r="P83" i="229"/>
  <c r="O83" i="229"/>
  <c r="N83" i="229"/>
  <c r="I83" i="229"/>
  <c r="H83" i="229"/>
  <c r="G83" i="229"/>
  <c r="F83" i="229"/>
  <c r="E83" i="229"/>
  <c r="D83" i="229"/>
  <c r="C83" i="229"/>
  <c r="B83" i="229"/>
  <c r="A83" i="229"/>
  <c r="AF82" i="229"/>
  <c r="AE82" i="229"/>
  <c r="AD82" i="229"/>
  <c r="AC82" i="229"/>
  <c r="AB82" i="229"/>
  <c r="AA82" i="229"/>
  <c r="Z82" i="229"/>
  <c r="Z81" i="229" s="1"/>
  <c r="Y82" i="229"/>
  <c r="X82" i="229"/>
  <c r="V82" i="229"/>
  <c r="U82" i="229"/>
  <c r="R82" i="229"/>
  <c r="Q82" i="229"/>
  <c r="P82" i="229"/>
  <c r="S82" i="229" s="1"/>
  <c r="O82" i="229"/>
  <c r="O81" i="229" s="1"/>
  <c r="N82" i="229"/>
  <c r="I82" i="229"/>
  <c r="H82" i="229"/>
  <c r="G82" i="229"/>
  <c r="F82" i="229"/>
  <c r="E82" i="229"/>
  <c r="D82" i="229"/>
  <c r="C82" i="229"/>
  <c r="B82" i="229"/>
  <c r="A82" i="229"/>
  <c r="Y81" i="229"/>
  <c r="X81" i="229"/>
  <c r="W81" i="229"/>
  <c r="Q81" i="229"/>
  <c r="P81" i="229"/>
  <c r="M81" i="229"/>
  <c r="AF80" i="229"/>
  <c r="AE80" i="229"/>
  <c r="AD80" i="229"/>
  <c r="AC80" i="229"/>
  <c r="AB80" i="229"/>
  <c r="AA80" i="229"/>
  <c r="Z80" i="229"/>
  <c r="Y80" i="229"/>
  <c r="X80" i="229"/>
  <c r="U80" i="229"/>
  <c r="Q80" i="229"/>
  <c r="P80" i="229"/>
  <c r="S80" i="229" s="1"/>
  <c r="O80" i="229"/>
  <c r="N80" i="229"/>
  <c r="I80" i="229"/>
  <c r="H80" i="229"/>
  <c r="G80" i="229"/>
  <c r="F80" i="229"/>
  <c r="E80" i="229"/>
  <c r="D80" i="229"/>
  <c r="C80" i="229"/>
  <c r="B80" i="229"/>
  <c r="A80" i="229"/>
  <c r="AF79" i="229"/>
  <c r="AE79" i="229"/>
  <c r="AD79" i="229"/>
  <c r="AC79" i="229"/>
  <c r="AB79" i="229"/>
  <c r="AA79" i="229"/>
  <c r="Z79" i="229"/>
  <c r="Y79" i="229"/>
  <c r="X79" i="229"/>
  <c r="U79" i="229"/>
  <c r="R79" i="229"/>
  <c r="Q79" i="229"/>
  <c r="P79" i="229"/>
  <c r="S79" i="229" s="1"/>
  <c r="O79" i="229"/>
  <c r="N79" i="229"/>
  <c r="I79" i="229"/>
  <c r="H79" i="229"/>
  <c r="G79" i="229"/>
  <c r="F79" i="229"/>
  <c r="E79" i="229"/>
  <c r="D79" i="229"/>
  <c r="C79" i="229"/>
  <c r="B79" i="229"/>
  <c r="A79" i="229"/>
  <c r="AF78" i="229"/>
  <c r="AE78" i="229"/>
  <c r="AD78" i="229"/>
  <c r="AC78" i="229"/>
  <c r="AB78" i="229"/>
  <c r="AA78" i="229"/>
  <c r="Z78" i="229"/>
  <c r="Y78" i="229"/>
  <c r="X78" i="229"/>
  <c r="V78" i="229"/>
  <c r="U78" i="229"/>
  <c r="R78" i="229"/>
  <c r="Q78" i="229"/>
  <c r="P78" i="229"/>
  <c r="S78" i="229" s="1"/>
  <c r="O78" i="229"/>
  <c r="N78" i="229"/>
  <c r="I78" i="229"/>
  <c r="H78" i="229"/>
  <c r="G78" i="229"/>
  <c r="F78" i="229"/>
  <c r="E78" i="229"/>
  <c r="D78" i="229"/>
  <c r="C78" i="229"/>
  <c r="B78" i="229"/>
  <c r="A78" i="229"/>
  <c r="AF77" i="229"/>
  <c r="AE77" i="229"/>
  <c r="AD77" i="229"/>
  <c r="AC77" i="229"/>
  <c r="AB77" i="229"/>
  <c r="AA77" i="229"/>
  <c r="Z77" i="229"/>
  <c r="Y77" i="229"/>
  <c r="X77" i="229"/>
  <c r="U77" i="229"/>
  <c r="R77" i="229"/>
  <c r="Q77" i="229"/>
  <c r="P77" i="229"/>
  <c r="S77" i="229" s="1"/>
  <c r="O77" i="229"/>
  <c r="N77" i="229"/>
  <c r="I77" i="229"/>
  <c r="H77" i="229"/>
  <c r="G77" i="229"/>
  <c r="F77" i="229"/>
  <c r="E77" i="229"/>
  <c r="D77" i="229"/>
  <c r="C77" i="229"/>
  <c r="B77" i="229"/>
  <c r="A77" i="229"/>
  <c r="AF76" i="229"/>
  <c r="AE76" i="229"/>
  <c r="AD76" i="229"/>
  <c r="AC76" i="229"/>
  <c r="AB76" i="229"/>
  <c r="AA76" i="229"/>
  <c r="Z76" i="229"/>
  <c r="Y76" i="229"/>
  <c r="X76" i="229"/>
  <c r="U76" i="229"/>
  <c r="R76" i="229"/>
  <c r="Q76" i="229"/>
  <c r="P76" i="229"/>
  <c r="S76" i="229" s="1"/>
  <c r="O76" i="229"/>
  <c r="N76" i="229"/>
  <c r="I76" i="229"/>
  <c r="H76" i="229"/>
  <c r="G76" i="229"/>
  <c r="F76" i="229"/>
  <c r="E76" i="229"/>
  <c r="D76" i="229"/>
  <c r="C76" i="229"/>
  <c r="B76" i="229"/>
  <c r="A76" i="229"/>
  <c r="AF75" i="229"/>
  <c r="AE75" i="229"/>
  <c r="AD75" i="229"/>
  <c r="AC75" i="229"/>
  <c r="AB75" i="229"/>
  <c r="AA75" i="229"/>
  <c r="Z75" i="229"/>
  <c r="Y75" i="229"/>
  <c r="X75" i="229"/>
  <c r="U75" i="229"/>
  <c r="R75" i="229"/>
  <c r="Q75" i="229"/>
  <c r="P75" i="229"/>
  <c r="S75" i="229" s="1"/>
  <c r="O75" i="229"/>
  <c r="N75" i="229"/>
  <c r="I75" i="229"/>
  <c r="H75" i="229"/>
  <c r="G75" i="229"/>
  <c r="F75" i="229"/>
  <c r="E75" i="229"/>
  <c r="D75" i="229"/>
  <c r="C75" i="229"/>
  <c r="B75" i="229"/>
  <c r="A75" i="229"/>
  <c r="AF74" i="229"/>
  <c r="AE74" i="229"/>
  <c r="AD74" i="229"/>
  <c r="AC74" i="229"/>
  <c r="AB74" i="229"/>
  <c r="AA74" i="229"/>
  <c r="Z74" i="229"/>
  <c r="Y74" i="229"/>
  <c r="X74" i="229"/>
  <c r="U74" i="229"/>
  <c r="R74" i="229"/>
  <c r="Q74" i="229"/>
  <c r="P74" i="229"/>
  <c r="S74" i="229" s="1"/>
  <c r="O74" i="229"/>
  <c r="N74" i="229"/>
  <c r="I74" i="229"/>
  <c r="H74" i="229"/>
  <c r="G74" i="229"/>
  <c r="F74" i="229"/>
  <c r="E74" i="229"/>
  <c r="D74" i="229"/>
  <c r="C74" i="229"/>
  <c r="B74" i="229"/>
  <c r="A74" i="229"/>
  <c r="AF73" i="229"/>
  <c r="AE73" i="229"/>
  <c r="AD73" i="229"/>
  <c r="AC73" i="229"/>
  <c r="AB73" i="229"/>
  <c r="AA73" i="229"/>
  <c r="Z73" i="229"/>
  <c r="Y73" i="229"/>
  <c r="X73" i="229"/>
  <c r="U73" i="229"/>
  <c r="R73" i="229"/>
  <c r="Q73" i="229"/>
  <c r="P73" i="229"/>
  <c r="S73" i="229" s="1"/>
  <c r="O73" i="229"/>
  <c r="N73" i="229"/>
  <c r="I73" i="229"/>
  <c r="H73" i="229"/>
  <c r="G73" i="229"/>
  <c r="F73" i="229"/>
  <c r="E73" i="229"/>
  <c r="D73" i="229"/>
  <c r="C73" i="229"/>
  <c r="B73" i="229"/>
  <c r="A73" i="229"/>
  <c r="AF72" i="229"/>
  <c r="AE72" i="229"/>
  <c r="AD72" i="229"/>
  <c r="AC72" i="229"/>
  <c r="AB72" i="229"/>
  <c r="AA72" i="229"/>
  <c r="Z72" i="229"/>
  <c r="Y72" i="229"/>
  <c r="X72" i="229"/>
  <c r="U72" i="229"/>
  <c r="R72" i="229"/>
  <c r="Q72" i="229"/>
  <c r="P72" i="229"/>
  <c r="S72" i="229" s="1"/>
  <c r="O72" i="229"/>
  <c r="N72" i="229"/>
  <c r="I72" i="229"/>
  <c r="H72" i="229"/>
  <c r="G72" i="229"/>
  <c r="F72" i="229"/>
  <c r="E72" i="229"/>
  <c r="D72" i="229"/>
  <c r="C72" i="229"/>
  <c r="B72" i="229"/>
  <c r="A72" i="229"/>
  <c r="AF71" i="229"/>
  <c r="AE71" i="229"/>
  <c r="AB71" i="229"/>
  <c r="AA71" i="229"/>
  <c r="Z71" i="229"/>
  <c r="Y71" i="229"/>
  <c r="AF70" i="229"/>
  <c r="AE70" i="229"/>
  <c r="AD70" i="229"/>
  <c r="AC70" i="229"/>
  <c r="AB70" i="229"/>
  <c r="AA70" i="229"/>
  <c r="AA67" i="229" s="1"/>
  <c r="Z70" i="229"/>
  <c r="Y70" i="229"/>
  <c r="X70" i="229"/>
  <c r="V70" i="229"/>
  <c r="U70" i="229"/>
  <c r="R70" i="229"/>
  <c r="Q70" i="229"/>
  <c r="P70" i="229"/>
  <c r="O70" i="229"/>
  <c r="N70" i="229"/>
  <c r="I70" i="229"/>
  <c r="H70" i="229"/>
  <c r="G70" i="229"/>
  <c r="F70" i="229"/>
  <c r="E70" i="229"/>
  <c r="D70" i="229"/>
  <c r="C70" i="229"/>
  <c r="B70" i="229"/>
  <c r="A70" i="229"/>
  <c r="AF69" i="229"/>
  <c r="AE69" i="229"/>
  <c r="AB69" i="229"/>
  <c r="AA69" i="229"/>
  <c r="Z69" i="229"/>
  <c r="Y69" i="229"/>
  <c r="X69" i="229"/>
  <c r="V69" i="229"/>
  <c r="U69" i="229"/>
  <c r="I69" i="229"/>
  <c r="H69" i="229"/>
  <c r="G69" i="229"/>
  <c r="F69" i="229"/>
  <c r="E69" i="229"/>
  <c r="D69" i="229"/>
  <c r="C69" i="229"/>
  <c r="B69" i="229"/>
  <c r="A69" i="229"/>
  <c r="AF68" i="229"/>
  <c r="AE68" i="229"/>
  <c r="AD68" i="229"/>
  <c r="AC68" i="229"/>
  <c r="AB68" i="229"/>
  <c r="AA68" i="229"/>
  <c r="Z68" i="229"/>
  <c r="Y68" i="229"/>
  <c r="Y67" i="229" s="1"/>
  <c r="X68" i="229"/>
  <c r="V68" i="229"/>
  <c r="U68" i="229"/>
  <c r="R68" i="229"/>
  <c r="R67" i="229" s="1"/>
  <c r="Q68" i="229"/>
  <c r="P68" i="229"/>
  <c r="O68" i="229"/>
  <c r="O67" i="229" s="1"/>
  <c r="N68" i="229"/>
  <c r="I68" i="229"/>
  <c r="H68" i="229"/>
  <c r="G68" i="229"/>
  <c r="F68" i="229"/>
  <c r="E68" i="229"/>
  <c r="D68" i="229"/>
  <c r="C68" i="229"/>
  <c r="B68" i="229"/>
  <c r="A68" i="229"/>
  <c r="W67" i="229"/>
  <c r="Q67" i="229"/>
  <c r="M67" i="229"/>
  <c r="AF66" i="229"/>
  <c r="AE66" i="229"/>
  <c r="AD66" i="229"/>
  <c r="AC66" i="229"/>
  <c r="AB66" i="229"/>
  <c r="AA66" i="229"/>
  <c r="Z66" i="229"/>
  <c r="Y66" i="229"/>
  <c r="Y65" i="229" s="1"/>
  <c r="X66" i="229"/>
  <c r="R66" i="229"/>
  <c r="Q66" i="229"/>
  <c r="Q65" i="229" s="1"/>
  <c r="P66" i="229"/>
  <c r="O66" i="229"/>
  <c r="O65" i="229" s="1"/>
  <c r="N66" i="229"/>
  <c r="V65" i="229"/>
  <c r="R65" i="229"/>
  <c r="P65" i="229"/>
  <c r="AF64" i="229"/>
  <c r="AE64" i="229"/>
  <c r="AD64" i="229"/>
  <c r="AC64" i="229"/>
  <c r="AB64" i="229"/>
  <c r="AA64" i="229"/>
  <c r="Z64" i="229"/>
  <c r="Y64" i="229"/>
  <c r="X64" i="229"/>
  <c r="U64" i="229"/>
  <c r="R64" i="229"/>
  <c r="P64" i="229"/>
  <c r="O64" i="229"/>
  <c r="N64" i="229"/>
  <c r="I64" i="229"/>
  <c r="H64" i="229"/>
  <c r="G64" i="229"/>
  <c r="F64" i="229"/>
  <c r="E64" i="229"/>
  <c r="D64" i="229"/>
  <c r="C64" i="229"/>
  <c r="B64" i="229"/>
  <c r="A64" i="229"/>
  <c r="AF63" i="229"/>
  <c r="AE63" i="229"/>
  <c r="AD63" i="229"/>
  <c r="AC63" i="229"/>
  <c r="AB63" i="229"/>
  <c r="AA63" i="229"/>
  <c r="Z63" i="229"/>
  <c r="Y63" i="229"/>
  <c r="X63" i="229"/>
  <c r="U63" i="229"/>
  <c r="R63" i="229"/>
  <c r="P63" i="229"/>
  <c r="O63" i="229"/>
  <c r="N63" i="229"/>
  <c r="I63" i="229"/>
  <c r="H63" i="229"/>
  <c r="G63" i="229"/>
  <c r="F63" i="229"/>
  <c r="E63" i="229"/>
  <c r="D63" i="229"/>
  <c r="C63" i="229"/>
  <c r="B63" i="229"/>
  <c r="A63" i="229"/>
  <c r="AF62" i="229"/>
  <c r="AE62" i="229"/>
  <c r="AD62" i="229"/>
  <c r="AC62" i="229"/>
  <c r="AB62" i="229"/>
  <c r="AA62" i="229"/>
  <c r="Z62" i="229"/>
  <c r="Y62" i="229"/>
  <c r="X62" i="229"/>
  <c r="V62" i="229"/>
  <c r="AF61" i="229"/>
  <c r="AE61" i="229"/>
  <c r="AD61" i="229"/>
  <c r="AC61" i="229"/>
  <c r="AB61" i="229"/>
  <c r="AA61" i="229"/>
  <c r="Z61" i="229"/>
  <c r="Y61" i="229"/>
  <c r="AF60" i="229"/>
  <c r="AE60" i="229"/>
  <c r="AD60" i="229"/>
  <c r="AC60" i="229"/>
  <c r="AB60" i="229"/>
  <c r="AA60" i="229"/>
  <c r="Z60" i="229"/>
  <c r="Y60" i="229"/>
  <c r="AH60" i="229" s="1"/>
  <c r="X60" i="229"/>
  <c r="V60" i="229"/>
  <c r="U60" i="229"/>
  <c r="R60" i="229"/>
  <c r="N60" i="229"/>
  <c r="I60" i="229"/>
  <c r="H60" i="229"/>
  <c r="G60" i="229"/>
  <c r="F60" i="229"/>
  <c r="E60" i="229"/>
  <c r="D60" i="229"/>
  <c r="C60" i="229"/>
  <c r="B60" i="229"/>
  <c r="A60" i="229"/>
  <c r="AF59" i="229"/>
  <c r="AE59" i="229"/>
  <c r="AD59" i="229"/>
  <c r="AC59" i="229"/>
  <c r="AB59" i="229"/>
  <c r="AA59" i="229"/>
  <c r="Z59" i="229"/>
  <c r="Y59" i="229"/>
  <c r="X59" i="229"/>
  <c r="V59" i="229"/>
  <c r="U59" i="229"/>
  <c r="R59" i="229"/>
  <c r="P59" i="229"/>
  <c r="O59" i="229"/>
  <c r="N59" i="229"/>
  <c r="I59" i="229"/>
  <c r="H59" i="229"/>
  <c r="G59" i="229"/>
  <c r="F59" i="229"/>
  <c r="E59" i="229"/>
  <c r="D59" i="229"/>
  <c r="C59" i="229"/>
  <c r="B59" i="229"/>
  <c r="A59" i="229"/>
  <c r="W58" i="229"/>
  <c r="O58" i="229"/>
  <c r="M58" i="229"/>
  <c r="L58" i="229"/>
  <c r="AF57" i="229"/>
  <c r="AE57" i="229"/>
  <c r="AD57" i="229"/>
  <c r="AC57" i="229"/>
  <c r="AB57" i="229"/>
  <c r="AA57" i="229"/>
  <c r="Z57" i="229"/>
  <c r="Y57" i="229"/>
  <c r="X57" i="229"/>
  <c r="V57" i="229"/>
  <c r="U57" i="229"/>
  <c r="R57" i="229"/>
  <c r="P57" i="229"/>
  <c r="P55" i="229" s="1"/>
  <c r="O57" i="229"/>
  <c r="N57" i="229"/>
  <c r="I57" i="229"/>
  <c r="H57" i="229"/>
  <c r="G57" i="229"/>
  <c r="F57" i="229"/>
  <c r="E57" i="229"/>
  <c r="D57" i="229"/>
  <c r="C57" i="229"/>
  <c r="B57" i="229"/>
  <c r="A57" i="229"/>
  <c r="AF56" i="229"/>
  <c r="AE56" i="229"/>
  <c r="AD56" i="229"/>
  <c r="AC56" i="229"/>
  <c r="AB56" i="229"/>
  <c r="AA56" i="229"/>
  <c r="Z56" i="229"/>
  <c r="Y56" i="229"/>
  <c r="Y55" i="229" s="1"/>
  <c r="X56" i="229"/>
  <c r="U56" i="229"/>
  <c r="R56" i="229"/>
  <c r="P56" i="229"/>
  <c r="O56" i="229"/>
  <c r="O55" i="229" s="1"/>
  <c r="N56" i="229"/>
  <c r="I56" i="229"/>
  <c r="H56" i="229"/>
  <c r="G56" i="229"/>
  <c r="F56" i="229"/>
  <c r="E56" i="229"/>
  <c r="D56" i="229"/>
  <c r="C56" i="229"/>
  <c r="B56" i="229"/>
  <c r="A56" i="229"/>
  <c r="W55" i="229"/>
  <c r="R55" i="229"/>
  <c r="M55" i="229"/>
  <c r="L55" i="229"/>
  <c r="AF54" i="229"/>
  <c r="AE54" i="229"/>
  <c r="AD54" i="229"/>
  <c r="AC54" i="229"/>
  <c r="AB54" i="229"/>
  <c r="AA54" i="229"/>
  <c r="Z54" i="229"/>
  <c r="Y54" i="229"/>
  <c r="X54" i="229"/>
  <c r="V54" i="229"/>
  <c r="U54" i="229"/>
  <c r="P54" i="229"/>
  <c r="O54" i="229"/>
  <c r="N54" i="229"/>
  <c r="AF53" i="229"/>
  <c r="AE53" i="229"/>
  <c r="AD53" i="229"/>
  <c r="AC53" i="229"/>
  <c r="AB53" i="229"/>
  <c r="AA53" i="229"/>
  <c r="Z53" i="229"/>
  <c r="Y53" i="229"/>
  <c r="X53" i="229"/>
  <c r="U53" i="229"/>
  <c r="Q53" i="229"/>
  <c r="P53" i="229"/>
  <c r="O53" i="229"/>
  <c r="N53" i="229"/>
  <c r="I53" i="229"/>
  <c r="H53" i="229"/>
  <c r="G53" i="229"/>
  <c r="F53" i="229"/>
  <c r="E53" i="229"/>
  <c r="D53" i="229"/>
  <c r="C53" i="229"/>
  <c r="B53" i="229"/>
  <c r="A53" i="229"/>
  <c r="AF52" i="229"/>
  <c r="AE52" i="229"/>
  <c r="AD52" i="229"/>
  <c r="AC52" i="229"/>
  <c r="AB52" i="229"/>
  <c r="AA52" i="229"/>
  <c r="Z52" i="229"/>
  <c r="Y52" i="229"/>
  <c r="X52" i="229"/>
  <c r="U52" i="229"/>
  <c r="P52" i="229"/>
  <c r="O52" i="229"/>
  <c r="N52" i="229"/>
  <c r="I52" i="229"/>
  <c r="H52" i="229"/>
  <c r="G52" i="229"/>
  <c r="F52" i="229"/>
  <c r="E52" i="229"/>
  <c r="D52" i="229"/>
  <c r="C52" i="229"/>
  <c r="B52" i="229"/>
  <c r="A52" i="229"/>
  <c r="AE51" i="229"/>
  <c r="AB51" i="229"/>
  <c r="AA51" i="229"/>
  <c r="Z51" i="229"/>
  <c r="Y51" i="229"/>
  <c r="X51" i="229"/>
  <c r="V51" i="229"/>
  <c r="U51" i="229"/>
  <c r="I51" i="229"/>
  <c r="H51" i="229"/>
  <c r="G51" i="229"/>
  <c r="F51" i="229"/>
  <c r="E51" i="229"/>
  <c r="D51" i="229"/>
  <c r="C51" i="229"/>
  <c r="B51" i="229"/>
  <c r="A51" i="229"/>
  <c r="AE50" i="229"/>
  <c r="AB50" i="229"/>
  <c r="AA50" i="229"/>
  <c r="Z50" i="229"/>
  <c r="Y50" i="229"/>
  <c r="X50" i="229"/>
  <c r="V50" i="229"/>
  <c r="U50" i="229"/>
  <c r="I50" i="229"/>
  <c r="H50" i="229"/>
  <c r="G50" i="229"/>
  <c r="F50" i="229"/>
  <c r="E50" i="229"/>
  <c r="D50" i="229"/>
  <c r="C50" i="229"/>
  <c r="B50" i="229"/>
  <c r="A50" i="229"/>
  <c r="AE49" i="229"/>
  <c r="AB49" i="229"/>
  <c r="AA49" i="229"/>
  <c r="Z49" i="229"/>
  <c r="Y49" i="229"/>
  <c r="AF48" i="229"/>
  <c r="AE48" i="229"/>
  <c r="AD48" i="229"/>
  <c r="AC48" i="229"/>
  <c r="AB48" i="229"/>
  <c r="AA48" i="229"/>
  <c r="Z48" i="229"/>
  <c r="Y48" i="229"/>
  <c r="X48" i="229"/>
  <c r="V48" i="229"/>
  <c r="U48" i="229"/>
  <c r="O48" i="229"/>
  <c r="N48" i="229"/>
  <c r="I48" i="229"/>
  <c r="H48" i="229"/>
  <c r="G48" i="229"/>
  <c r="F48" i="229"/>
  <c r="E48" i="229"/>
  <c r="D48" i="229"/>
  <c r="C48" i="229"/>
  <c r="B48" i="229"/>
  <c r="A48" i="229"/>
  <c r="AF47" i="229"/>
  <c r="AE47" i="229"/>
  <c r="AD47" i="229"/>
  <c r="AC47" i="229"/>
  <c r="AB47" i="229"/>
  <c r="AA47" i="229"/>
  <c r="Z47" i="229"/>
  <c r="Y47" i="229"/>
  <c r="X47" i="229"/>
  <c r="V47" i="229"/>
  <c r="U47" i="229"/>
  <c r="P47" i="229"/>
  <c r="O47" i="229"/>
  <c r="N47" i="229"/>
  <c r="I47" i="229"/>
  <c r="H47" i="229"/>
  <c r="G47" i="229"/>
  <c r="F47" i="229"/>
  <c r="E47" i="229"/>
  <c r="D47" i="229"/>
  <c r="C47" i="229"/>
  <c r="B47" i="229"/>
  <c r="A47" i="229"/>
  <c r="AF46" i="229"/>
  <c r="AE46" i="229"/>
  <c r="AD46" i="229"/>
  <c r="AC46" i="229"/>
  <c r="AB46" i="229"/>
  <c r="AA46" i="229"/>
  <c r="Z46" i="229"/>
  <c r="Y46" i="229"/>
  <c r="X46" i="229"/>
  <c r="U46" i="229"/>
  <c r="P46" i="229"/>
  <c r="O46" i="229"/>
  <c r="N46" i="229"/>
  <c r="I46" i="229"/>
  <c r="H46" i="229"/>
  <c r="G46" i="229"/>
  <c r="F46" i="229"/>
  <c r="E46" i="229"/>
  <c r="D46" i="229"/>
  <c r="C46" i="229"/>
  <c r="B46" i="229"/>
  <c r="A46" i="229"/>
  <c r="AF45" i="229"/>
  <c r="AE45" i="229"/>
  <c r="AB45" i="229"/>
  <c r="AA45" i="229"/>
  <c r="Z45" i="229"/>
  <c r="Y45" i="229"/>
  <c r="Y43" i="229" s="1"/>
  <c r="X45" i="229"/>
  <c r="V45" i="229"/>
  <c r="U45" i="229"/>
  <c r="AF44" i="229"/>
  <c r="AE44" i="229"/>
  <c r="AD44" i="229"/>
  <c r="AC44" i="229"/>
  <c r="AB44" i="229"/>
  <c r="AA44" i="229"/>
  <c r="Z44" i="229"/>
  <c r="Y44" i="229"/>
  <c r="X44" i="229"/>
  <c r="V44" i="229"/>
  <c r="U44" i="229"/>
  <c r="R44" i="229"/>
  <c r="R43" i="229" s="1"/>
  <c r="P44" i="229"/>
  <c r="O44" i="229"/>
  <c r="N44" i="229"/>
  <c r="W43" i="229"/>
  <c r="O43" i="229"/>
  <c r="M43" i="229"/>
  <c r="L43" i="229"/>
  <c r="AF42" i="229"/>
  <c r="AE42" i="229"/>
  <c r="AD42" i="229"/>
  <c r="AC42" i="229"/>
  <c r="AB42" i="229"/>
  <c r="AA42" i="229"/>
  <c r="Z42" i="229"/>
  <c r="Y42" i="229"/>
  <c r="X42" i="229"/>
  <c r="V42" i="229"/>
  <c r="U42" i="229"/>
  <c r="R42" i="229"/>
  <c r="Q42" i="229"/>
  <c r="P42" i="229"/>
  <c r="O42" i="229"/>
  <c r="N42" i="229"/>
  <c r="AF41" i="229"/>
  <c r="AE41" i="229"/>
  <c r="AD41" i="229"/>
  <c r="AC41" i="229"/>
  <c r="AB41" i="229"/>
  <c r="AA41" i="229"/>
  <c r="Z41" i="229"/>
  <c r="Y41" i="229"/>
  <c r="X41" i="229"/>
  <c r="V41" i="229"/>
  <c r="U41" i="229"/>
  <c r="R41" i="229"/>
  <c r="Q41" i="229"/>
  <c r="S41" i="229" s="1"/>
  <c r="N41" i="229"/>
  <c r="AF40" i="229"/>
  <c r="AE40" i="229"/>
  <c r="AD40" i="229"/>
  <c r="AC40" i="229"/>
  <c r="AB40" i="229"/>
  <c r="AA40" i="229"/>
  <c r="Z40" i="229"/>
  <c r="Y40" i="229"/>
  <c r="X40" i="229"/>
  <c r="V40" i="229"/>
  <c r="U40" i="229"/>
  <c r="R40" i="229"/>
  <c r="Q40" i="229"/>
  <c r="P40" i="229"/>
  <c r="O40" i="229"/>
  <c r="N40" i="229"/>
  <c r="I40" i="229"/>
  <c r="H40" i="229"/>
  <c r="G40" i="229"/>
  <c r="F40" i="229"/>
  <c r="E40" i="229"/>
  <c r="D40" i="229"/>
  <c r="C40" i="229"/>
  <c r="B40" i="229"/>
  <c r="A40" i="229"/>
  <c r="AF39" i="229"/>
  <c r="AE39" i="229"/>
  <c r="AD39" i="229"/>
  <c r="AC39" i="229"/>
  <c r="AB39" i="229"/>
  <c r="AA39" i="229"/>
  <c r="Z39" i="229"/>
  <c r="Y39" i="229"/>
  <c r="X39" i="229"/>
  <c r="V39" i="229"/>
  <c r="U39" i="229"/>
  <c r="R39" i="229"/>
  <c r="Q39" i="229"/>
  <c r="P39" i="229"/>
  <c r="O39" i="229"/>
  <c r="N39" i="229"/>
  <c r="I39" i="229"/>
  <c r="H39" i="229"/>
  <c r="G39" i="229"/>
  <c r="F39" i="229"/>
  <c r="E39" i="229"/>
  <c r="D39" i="229"/>
  <c r="C39" i="229"/>
  <c r="B39" i="229"/>
  <c r="A39" i="229"/>
  <c r="AF38" i="229"/>
  <c r="AE38" i="229"/>
  <c r="AD38" i="229"/>
  <c r="AC38" i="229"/>
  <c r="AB38" i="229"/>
  <c r="AA38" i="229"/>
  <c r="Z38" i="229"/>
  <c r="Y38" i="229"/>
  <c r="X38" i="229"/>
  <c r="V38" i="229"/>
  <c r="U38" i="229"/>
  <c r="R38" i="229"/>
  <c r="Q38" i="229"/>
  <c r="P38" i="229"/>
  <c r="O38" i="229"/>
  <c r="N38" i="229"/>
  <c r="I38" i="229"/>
  <c r="H38" i="229"/>
  <c r="G38" i="229"/>
  <c r="F38" i="229"/>
  <c r="E38" i="229"/>
  <c r="D38" i="229"/>
  <c r="C38" i="229"/>
  <c r="B38" i="229"/>
  <c r="A38" i="229"/>
  <c r="AF37" i="229"/>
  <c r="AE37" i="229"/>
  <c r="AD37" i="229"/>
  <c r="AC37" i="229"/>
  <c r="AB37" i="229"/>
  <c r="AA37" i="229"/>
  <c r="Z37" i="229"/>
  <c r="Y37" i="229"/>
  <c r="X37" i="229"/>
  <c r="V37" i="229"/>
  <c r="U37" i="229"/>
  <c r="R37" i="229"/>
  <c r="Q37" i="229"/>
  <c r="S37" i="229" s="1"/>
  <c r="P37" i="229"/>
  <c r="O37" i="229"/>
  <c r="N37" i="229"/>
  <c r="I37" i="229"/>
  <c r="H37" i="229"/>
  <c r="G37" i="229"/>
  <c r="F37" i="229"/>
  <c r="E37" i="229"/>
  <c r="D37" i="229"/>
  <c r="C37" i="229"/>
  <c r="B37" i="229"/>
  <c r="A37" i="229"/>
  <c r="AF36" i="229"/>
  <c r="AE36" i="229"/>
  <c r="AD36" i="229"/>
  <c r="AC36" i="229"/>
  <c r="AB36" i="229"/>
  <c r="AA36" i="229"/>
  <c r="Z36" i="229"/>
  <c r="X36" i="229"/>
  <c r="U36" i="229"/>
  <c r="R36" i="229"/>
  <c r="Q36" i="229"/>
  <c r="P36" i="229"/>
  <c r="O36" i="229"/>
  <c r="N36" i="229"/>
  <c r="I36" i="229"/>
  <c r="H36" i="229"/>
  <c r="G36" i="229"/>
  <c r="F36" i="229"/>
  <c r="E36" i="229"/>
  <c r="D36" i="229"/>
  <c r="C36" i="229"/>
  <c r="B36" i="229"/>
  <c r="A36" i="229"/>
  <c r="AF35" i="229"/>
  <c r="AE35" i="229"/>
  <c r="AD35" i="229"/>
  <c r="AC35" i="229"/>
  <c r="AB35" i="229"/>
  <c r="AA35" i="229"/>
  <c r="Z35" i="229"/>
  <c r="Y35" i="229"/>
  <c r="X35" i="229"/>
  <c r="V35" i="229"/>
  <c r="U35" i="229"/>
  <c r="R35" i="229"/>
  <c r="Q35" i="229"/>
  <c r="S35" i="229" s="1"/>
  <c r="P35" i="229"/>
  <c r="O35" i="229"/>
  <c r="N35" i="229"/>
  <c r="I35" i="229"/>
  <c r="H35" i="229"/>
  <c r="G35" i="229"/>
  <c r="F35" i="229"/>
  <c r="E35" i="229"/>
  <c r="D35" i="229"/>
  <c r="C35" i="229"/>
  <c r="B35" i="229"/>
  <c r="A35" i="229"/>
  <c r="AF34" i="229"/>
  <c r="AE34" i="229"/>
  <c r="AD34" i="229"/>
  <c r="AC34" i="229"/>
  <c r="AB34" i="229"/>
  <c r="AA34" i="229"/>
  <c r="Z34" i="229"/>
  <c r="Y34" i="229"/>
  <c r="X34" i="229"/>
  <c r="V34" i="229"/>
  <c r="U34" i="229"/>
  <c r="R34" i="229"/>
  <c r="Q34" i="229"/>
  <c r="P34" i="229"/>
  <c r="O34" i="229"/>
  <c r="N34" i="229"/>
  <c r="I34" i="229"/>
  <c r="H34" i="229"/>
  <c r="G34" i="229"/>
  <c r="F34" i="229"/>
  <c r="E34" i="229"/>
  <c r="D34" i="229"/>
  <c r="C34" i="229"/>
  <c r="B34" i="229"/>
  <c r="A34" i="229"/>
  <c r="AF33" i="229"/>
  <c r="AE33" i="229"/>
  <c r="AD33" i="229"/>
  <c r="AC33" i="229"/>
  <c r="AB33" i="229"/>
  <c r="AA33" i="229"/>
  <c r="Z33" i="229"/>
  <c r="Y33" i="229"/>
  <c r="X33" i="229"/>
  <c r="V33" i="229"/>
  <c r="U33" i="229"/>
  <c r="R33" i="229"/>
  <c r="Q33" i="229"/>
  <c r="P33" i="229"/>
  <c r="O33" i="229"/>
  <c r="O30" i="229" s="1"/>
  <c r="N33" i="229"/>
  <c r="I33" i="229"/>
  <c r="H33" i="229"/>
  <c r="G33" i="229"/>
  <c r="F33" i="229"/>
  <c r="E33" i="229"/>
  <c r="D33" i="229"/>
  <c r="C33" i="229"/>
  <c r="B33" i="229"/>
  <c r="A33" i="229"/>
  <c r="AF32" i="229"/>
  <c r="AE32" i="229"/>
  <c r="AD32" i="229"/>
  <c r="AC32" i="229"/>
  <c r="AB32" i="229"/>
  <c r="AA32" i="229"/>
  <c r="Z32" i="229"/>
  <c r="Y32" i="229"/>
  <c r="X32" i="229"/>
  <c r="V32" i="229"/>
  <c r="U32" i="229"/>
  <c r="R32" i="229"/>
  <c r="Q32" i="229"/>
  <c r="P32" i="229"/>
  <c r="O32" i="229"/>
  <c r="N32" i="229"/>
  <c r="I32" i="229"/>
  <c r="H32" i="229"/>
  <c r="G32" i="229"/>
  <c r="F32" i="229"/>
  <c r="E32" i="229"/>
  <c r="D32" i="229"/>
  <c r="C32" i="229"/>
  <c r="B32" i="229"/>
  <c r="A32" i="229"/>
  <c r="AF31" i="229"/>
  <c r="AE31" i="229"/>
  <c r="AD31" i="229"/>
  <c r="AC31" i="229"/>
  <c r="AB31" i="229"/>
  <c r="AA31" i="229"/>
  <c r="Z31" i="229"/>
  <c r="Y31" i="229"/>
  <c r="X31" i="229"/>
  <c r="V31" i="229"/>
  <c r="U31" i="229"/>
  <c r="R31" i="229"/>
  <c r="R30" i="229" s="1"/>
  <c r="Q31" i="229"/>
  <c r="S31" i="229" s="1"/>
  <c r="P31" i="229"/>
  <c r="O31" i="229"/>
  <c r="N31" i="229"/>
  <c r="I31" i="229"/>
  <c r="H31" i="229"/>
  <c r="G31" i="229"/>
  <c r="F31" i="229"/>
  <c r="E31" i="229"/>
  <c r="D31" i="229"/>
  <c r="C31" i="229"/>
  <c r="B31" i="229"/>
  <c r="A31" i="229"/>
  <c r="W30" i="229"/>
  <c r="P30" i="229"/>
  <c r="M30" i="229"/>
  <c r="L30" i="229"/>
  <c r="AF29" i="229"/>
  <c r="AE29" i="229"/>
  <c r="AD29" i="229"/>
  <c r="AC29" i="229"/>
  <c r="AB29" i="229"/>
  <c r="AA29" i="229"/>
  <c r="Z29" i="229"/>
  <c r="Y29" i="229"/>
  <c r="X29" i="229"/>
  <c r="V29" i="229"/>
  <c r="U29" i="229"/>
  <c r="R29" i="229"/>
  <c r="Q29" i="229"/>
  <c r="S29" i="229" s="1"/>
  <c r="P29" i="229"/>
  <c r="O29" i="229"/>
  <c r="N29" i="229"/>
  <c r="AF28" i="229"/>
  <c r="AE28" i="229"/>
  <c r="AD28" i="229"/>
  <c r="AC28" i="229"/>
  <c r="AB28" i="229"/>
  <c r="AA28" i="229"/>
  <c r="Z28" i="229"/>
  <c r="Y28" i="229"/>
  <c r="X28" i="229"/>
  <c r="U28" i="229"/>
  <c r="R28" i="229"/>
  <c r="Q28" i="229"/>
  <c r="P28" i="229"/>
  <c r="S28" i="229" s="1"/>
  <c r="O28" i="229"/>
  <c r="N28" i="229"/>
  <c r="I28" i="229"/>
  <c r="H28" i="229"/>
  <c r="G28" i="229"/>
  <c r="F28" i="229"/>
  <c r="E28" i="229"/>
  <c r="D28" i="229"/>
  <c r="C28" i="229"/>
  <c r="B28" i="229"/>
  <c r="A28" i="229"/>
  <c r="AF27" i="229"/>
  <c r="AE27" i="229"/>
  <c r="AD27" i="229"/>
  <c r="AC27" i="229"/>
  <c r="AB27" i="229"/>
  <c r="AA27" i="229"/>
  <c r="Z27" i="229"/>
  <c r="Y27" i="229"/>
  <c r="X27" i="229"/>
  <c r="V27" i="229"/>
  <c r="U27" i="229"/>
  <c r="R27" i="229"/>
  <c r="Q27" i="229"/>
  <c r="P27" i="229"/>
  <c r="O27" i="229"/>
  <c r="N27" i="229"/>
  <c r="I27" i="229"/>
  <c r="H27" i="229"/>
  <c r="G27" i="229"/>
  <c r="F27" i="229"/>
  <c r="E27" i="229"/>
  <c r="D27" i="229"/>
  <c r="C27" i="229"/>
  <c r="B27" i="229"/>
  <c r="A27" i="229"/>
  <c r="AF26" i="229"/>
  <c r="AE26" i="229"/>
  <c r="AD26" i="229"/>
  <c r="AC26" i="229"/>
  <c r="AB26" i="229"/>
  <c r="AA26" i="229"/>
  <c r="Z26" i="229"/>
  <c r="Y26" i="229"/>
  <c r="X26" i="229"/>
  <c r="V26" i="229"/>
  <c r="U26" i="229"/>
  <c r="R26" i="229"/>
  <c r="Q26" i="229"/>
  <c r="P26" i="229"/>
  <c r="O26" i="229"/>
  <c r="N26" i="229"/>
  <c r="I26" i="229"/>
  <c r="H26" i="229"/>
  <c r="G26" i="229"/>
  <c r="F26" i="229"/>
  <c r="E26" i="229"/>
  <c r="D26" i="229"/>
  <c r="C26" i="229"/>
  <c r="B26" i="229"/>
  <c r="A26" i="229"/>
  <c r="AF25" i="229"/>
  <c r="AE25" i="229"/>
  <c r="AD25" i="229"/>
  <c r="AC25" i="229"/>
  <c r="AB25" i="229"/>
  <c r="AA25" i="229"/>
  <c r="Z25" i="229"/>
  <c r="Y25" i="229"/>
  <c r="X25" i="229"/>
  <c r="V25" i="229"/>
  <c r="U25" i="229"/>
  <c r="R25" i="229"/>
  <c r="Q25" i="229"/>
  <c r="P25" i="229"/>
  <c r="O25" i="229"/>
  <c r="N25" i="229"/>
  <c r="I25" i="229"/>
  <c r="H25" i="229"/>
  <c r="G25" i="229"/>
  <c r="F25" i="229"/>
  <c r="E25" i="229"/>
  <c r="D25" i="229"/>
  <c r="C25" i="229"/>
  <c r="B25" i="229"/>
  <c r="A25" i="229"/>
  <c r="AF24" i="229"/>
  <c r="AE24" i="229"/>
  <c r="AD24" i="229"/>
  <c r="AC24" i="229"/>
  <c r="AB24" i="229"/>
  <c r="AA24" i="229"/>
  <c r="Z24" i="229"/>
  <c r="Y24" i="229"/>
  <c r="X24" i="229"/>
  <c r="V24" i="229"/>
  <c r="U24" i="229"/>
  <c r="R24" i="229"/>
  <c r="Q24" i="229"/>
  <c r="P24" i="229"/>
  <c r="S24" i="229" s="1"/>
  <c r="O24" i="229"/>
  <c r="N24" i="229"/>
  <c r="I24" i="229"/>
  <c r="H24" i="229"/>
  <c r="G24" i="229"/>
  <c r="F24" i="229"/>
  <c r="E24" i="229"/>
  <c r="D24" i="229"/>
  <c r="C24" i="229"/>
  <c r="B24" i="229"/>
  <c r="A24" i="229"/>
  <c r="AF23" i="229"/>
  <c r="AE23" i="229"/>
  <c r="AD23" i="229"/>
  <c r="AC23" i="229"/>
  <c r="AB23" i="229"/>
  <c r="AA23" i="229"/>
  <c r="Z23" i="229"/>
  <c r="Y23" i="229"/>
  <c r="X23" i="229"/>
  <c r="V23" i="229"/>
  <c r="U23" i="229"/>
  <c r="R23" i="229"/>
  <c r="Q23" i="229"/>
  <c r="P23" i="229"/>
  <c r="O23" i="229"/>
  <c r="N23" i="229"/>
  <c r="I23" i="229"/>
  <c r="H23" i="229"/>
  <c r="G23" i="229"/>
  <c r="F23" i="229"/>
  <c r="E23" i="229"/>
  <c r="D23" i="229"/>
  <c r="C23" i="229"/>
  <c r="B23" i="229"/>
  <c r="A23" i="229"/>
  <c r="AF22" i="229"/>
  <c r="AE22" i="229"/>
  <c r="AD22" i="229"/>
  <c r="AC22" i="229"/>
  <c r="AB22" i="229"/>
  <c r="AA22" i="229"/>
  <c r="Z22" i="229"/>
  <c r="Y22" i="229"/>
  <c r="X22" i="229"/>
  <c r="U22" i="229"/>
  <c r="R22" i="229"/>
  <c r="Q22" i="229"/>
  <c r="P22" i="229"/>
  <c r="O22" i="229"/>
  <c r="N22" i="229"/>
  <c r="I22" i="229"/>
  <c r="H22" i="229"/>
  <c r="G22" i="229"/>
  <c r="F22" i="229"/>
  <c r="E22" i="229"/>
  <c r="D22" i="229"/>
  <c r="C22" i="229"/>
  <c r="B22" i="229"/>
  <c r="A22" i="229"/>
  <c r="AF21" i="229"/>
  <c r="AE21" i="229"/>
  <c r="AD21" i="229"/>
  <c r="AC21" i="229"/>
  <c r="AB21" i="229"/>
  <c r="AA21" i="229"/>
  <c r="Z21" i="229"/>
  <c r="Y21" i="229"/>
  <c r="Y20" i="229" s="1"/>
  <c r="X21" i="229"/>
  <c r="U21" i="229"/>
  <c r="R21" i="229"/>
  <c r="Q21" i="229"/>
  <c r="Q20" i="229" s="1"/>
  <c r="P21" i="229"/>
  <c r="O21" i="229"/>
  <c r="N21" i="229"/>
  <c r="AA20" i="229"/>
  <c r="W20" i="229"/>
  <c r="O20" i="229"/>
  <c r="M20" i="229"/>
  <c r="L20" i="229"/>
  <c r="AF19" i="229"/>
  <c r="AE19" i="229"/>
  <c r="AD19" i="229"/>
  <c r="AC19" i="229"/>
  <c r="AB19" i="229"/>
  <c r="AA19" i="229"/>
  <c r="Z19" i="229"/>
  <c r="Y19" i="229"/>
  <c r="X19" i="229"/>
  <c r="V19" i="229"/>
  <c r="U19" i="229"/>
  <c r="R19" i="229"/>
  <c r="P19" i="229"/>
  <c r="O19" i="229"/>
  <c r="N19" i="229"/>
  <c r="I19" i="229"/>
  <c r="H19" i="229"/>
  <c r="G19" i="229"/>
  <c r="F19" i="229"/>
  <c r="E19" i="229"/>
  <c r="D19" i="229"/>
  <c r="C19" i="229"/>
  <c r="B19" i="229"/>
  <c r="A19" i="229"/>
  <c r="AF18" i="229"/>
  <c r="AE18" i="229"/>
  <c r="AD18" i="229"/>
  <c r="AC18" i="229"/>
  <c r="AB18" i="229"/>
  <c r="AA18" i="229"/>
  <c r="Z18" i="229"/>
  <c r="Y18" i="229"/>
  <c r="X18" i="229"/>
  <c r="V18" i="229"/>
  <c r="U18" i="229"/>
  <c r="R18" i="229"/>
  <c r="P18" i="229"/>
  <c r="O18" i="229"/>
  <c r="N18" i="229"/>
  <c r="I18" i="229"/>
  <c r="H18" i="229"/>
  <c r="G18" i="229"/>
  <c r="F18" i="229"/>
  <c r="E18" i="229"/>
  <c r="D18" i="229"/>
  <c r="C18" i="229"/>
  <c r="B18" i="229"/>
  <c r="A18" i="229"/>
  <c r="AF17" i="229"/>
  <c r="AE17" i="229"/>
  <c r="AD17" i="229"/>
  <c r="AC17" i="229"/>
  <c r="AB17" i="229"/>
  <c r="AA17" i="229"/>
  <c r="Z17" i="229"/>
  <c r="Y17" i="229"/>
  <c r="X17" i="229"/>
  <c r="V17" i="229"/>
  <c r="U17" i="229"/>
  <c r="R17" i="229"/>
  <c r="Q17" i="229"/>
  <c r="P17" i="229"/>
  <c r="O17" i="229"/>
  <c r="N17" i="229"/>
  <c r="I17" i="229"/>
  <c r="H17" i="229"/>
  <c r="G17" i="229"/>
  <c r="F17" i="229"/>
  <c r="E17" i="229"/>
  <c r="D17" i="229"/>
  <c r="C17" i="229"/>
  <c r="B17" i="229"/>
  <c r="A17" i="229"/>
  <c r="AF16" i="229"/>
  <c r="AE16" i="229"/>
  <c r="AD16" i="229"/>
  <c r="AC16" i="229"/>
  <c r="AB16" i="229"/>
  <c r="AA16" i="229"/>
  <c r="Z16" i="229"/>
  <c r="Y16" i="229"/>
  <c r="X16" i="229"/>
  <c r="V16" i="229"/>
  <c r="U16" i="229"/>
  <c r="R16" i="229"/>
  <c r="Q16" i="229"/>
  <c r="S16" i="229" s="1"/>
  <c r="P16" i="229"/>
  <c r="P14" i="229" s="1"/>
  <c r="O16" i="229"/>
  <c r="N16" i="229"/>
  <c r="I16" i="229"/>
  <c r="H16" i="229"/>
  <c r="G16" i="229"/>
  <c r="F16" i="229"/>
  <c r="E16" i="229"/>
  <c r="D16" i="229"/>
  <c r="C16" i="229"/>
  <c r="B16" i="229"/>
  <c r="A16" i="229"/>
  <c r="AF15" i="229"/>
  <c r="AE15" i="229"/>
  <c r="AD15" i="229"/>
  <c r="AC15" i="229"/>
  <c r="AB15" i="229"/>
  <c r="AA15" i="229"/>
  <c r="Z15" i="229"/>
  <c r="Y15" i="229"/>
  <c r="Y14" i="229" s="1"/>
  <c r="X15" i="229"/>
  <c r="X14" i="229" s="1"/>
  <c r="V15" i="229"/>
  <c r="U15" i="229"/>
  <c r="R15" i="229"/>
  <c r="R14" i="229" s="1"/>
  <c r="Q15" i="229"/>
  <c r="P15" i="229"/>
  <c r="O15" i="229"/>
  <c r="N15" i="229"/>
  <c r="I15" i="229"/>
  <c r="H15" i="229"/>
  <c r="G15" i="229"/>
  <c r="F15" i="229"/>
  <c r="E15" i="229"/>
  <c r="D15" i="229"/>
  <c r="C15" i="229"/>
  <c r="B15" i="229"/>
  <c r="A15" i="229"/>
  <c r="W14" i="229"/>
  <c r="V14" i="229"/>
  <c r="M14" i="229"/>
  <c r="L14" i="229"/>
  <c r="AA13" i="229"/>
  <c r="Z13" i="229"/>
  <c r="Y13" i="229"/>
  <c r="Y11" i="229" s="1"/>
  <c r="X13" i="229"/>
  <c r="U13" i="229"/>
  <c r="I13" i="229"/>
  <c r="H13" i="229"/>
  <c r="G13" i="229"/>
  <c r="F13" i="229"/>
  <c r="E13" i="229"/>
  <c r="D13" i="229"/>
  <c r="C13" i="229"/>
  <c r="B13" i="229"/>
  <c r="A13" i="229"/>
  <c r="AF12" i="229"/>
  <c r="AE12" i="229"/>
  <c r="AD12" i="229"/>
  <c r="AC12" i="229"/>
  <c r="AB12" i="229"/>
  <c r="AA12" i="229"/>
  <c r="Z12" i="229"/>
  <c r="Y12" i="229"/>
  <c r="X12" i="229"/>
  <c r="U12" i="229"/>
  <c r="R12" i="229"/>
  <c r="R11" i="229" s="1"/>
  <c r="Q12" i="229"/>
  <c r="P12" i="229"/>
  <c r="S12" i="229" s="1"/>
  <c r="S11" i="229" s="1"/>
  <c r="O12" i="229"/>
  <c r="O11" i="229" s="1"/>
  <c r="N12" i="229"/>
  <c r="I12" i="229"/>
  <c r="H12" i="229"/>
  <c r="G12" i="229"/>
  <c r="F12" i="229"/>
  <c r="E12" i="229"/>
  <c r="D12" i="229"/>
  <c r="C12" i="229"/>
  <c r="B12" i="229"/>
  <c r="A12" i="229"/>
  <c r="W11" i="229"/>
  <c r="Q11" i="229"/>
  <c r="M11" i="229"/>
  <c r="L11" i="229"/>
  <c r="L10" i="229"/>
  <c r="K10" i="229"/>
  <c r="K9" i="229"/>
  <c r="J9" i="229"/>
  <c r="N226" i="2"/>
  <c r="M226" i="2"/>
  <c r="AT218" i="2"/>
  <c r="M214" i="2"/>
  <c r="N213" i="2"/>
  <c r="O211" i="2"/>
  <c r="N211" i="2"/>
  <c r="AU210" i="2"/>
  <c r="AA209" i="2"/>
  <c r="X209" i="2"/>
  <c r="AA208" i="2"/>
  <c r="X208" i="2"/>
  <c r="AV207" i="2"/>
  <c r="X207" i="2"/>
  <c r="AV206" i="2"/>
  <c r="AA206" i="2"/>
  <c r="X206" i="2"/>
  <c r="AA205" i="2"/>
  <c r="W224" i="254" s="1"/>
  <c r="X205" i="2"/>
  <c r="AA204" i="2"/>
  <c r="W222" i="254" s="1"/>
  <c r="X204" i="2"/>
  <c r="AA203" i="2"/>
  <c r="W220" i="254" s="1"/>
  <c r="X203" i="2"/>
  <c r="AA202" i="2"/>
  <c r="W219" i="254" s="1"/>
  <c r="X202" i="2"/>
  <c r="AV201" i="2"/>
  <c r="AG201" i="2"/>
  <c r="X201" i="2"/>
  <c r="AV200" i="2"/>
  <c r="AG200" i="2"/>
  <c r="AA200" i="2"/>
  <c r="X200" i="2"/>
  <c r="AV199" i="2"/>
  <c r="X199" i="2"/>
  <c r="AV198" i="2"/>
  <c r="AA198" i="2"/>
  <c r="X198" i="2"/>
  <c r="AV197" i="2"/>
  <c r="AG197" i="2"/>
  <c r="AA197" i="2"/>
  <c r="X197" i="2"/>
  <c r="Q197" i="2"/>
  <c r="P197" i="2"/>
  <c r="M197" i="2"/>
  <c r="AV196" i="2"/>
  <c r="X196" i="2"/>
  <c r="Q196" i="2"/>
  <c r="P196" i="2"/>
  <c r="M196" i="2"/>
  <c r="AV195" i="2"/>
  <c r="X195" i="2"/>
  <c r="Q195" i="2"/>
  <c r="P195" i="2"/>
  <c r="M195" i="2"/>
  <c r="AT194" i="2"/>
  <c r="AG194" i="2"/>
  <c r="X194" i="2"/>
  <c r="AV193" i="2"/>
  <c r="AG193" i="2"/>
  <c r="AA193" i="2"/>
  <c r="X193" i="2"/>
  <c r="Q193" i="2"/>
  <c r="P193" i="2"/>
  <c r="M193" i="2"/>
  <c r="AV192" i="2"/>
  <c r="X192" i="2"/>
  <c r="Q192" i="2"/>
  <c r="P192" i="2"/>
  <c r="M192" i="2"/>
  <c r="AV191" i="2"/>
  <c r="X191" i="2"/>
  <c r="Q191" i="2"/>
  <c r="P191" i="2"/>
  <c r="M191" i="2"/>
  <c r="AT190" i="2"/>
  <c r="AA190" i="2"/>
  <c r="X190" i="2"/>
  <c r="AV189" i="2"/>
  <c r="AA189" i="2"/>
  <c r="V204" i="229" s="1"/>
  <c r="V203" i="229" s="1"/>
  <c r="V202" i="229" s="1"/>
  <c r="X189" i="2"/>
  <c r="AV188" i="2"/>
  <c r="AG188" i="2"/>
  <c r="AA188" i="2"/>
  <c r="W201" i="229" s="1"/>
  <c r="W198" i="229" s="1"/>
  <c r="Q188" i="2"/>
  <c r="P188" i="2"/>
  <c r="M188" i="2"/>
  <c r="AV187" i="2"/>
  <c r="Q187" i="2"/>
  <c r="P187" i="2"/>
  <c r="M187" i="2"/>
  <c r="AV186" i="2"/>
  <c r="V186" i="2"/>
  <c r="X186" i="2" s="1"/>
  <c r="V194" i="99" s="1"/>
  <c r="Q186" i="2"/>
  <c r="P186" i="2"/>
  <c r="M186" i="2"/>
  <c r="AT185" i="2"/>
  <c r="AG185" i="2"/>
  <c r="AA185" i="2"/>
  <c r="V185" i="2"/>
  <c r="X185" i="2" s="1"/>
  <c r="V193" i="99" s="1"/>
  <c r="V192" i="99" s="1"/>
  <c r="AV184" i="2"/>
  <c r="AA184" i="2"/>
  <c r="V197" i="229" s="1"/>
  <c r="V196" i="229" s="1"/>
  <c r="V184" i="2"/>
  <c r="Q197" i="229" s="1"/>
  <c r="AV183" i="2"/>
  <c r="V183" i="2"/>
  <c r="AV182" i="2"/>
  <c r="X182" i="2"/>
  <c r="V182" i="2"/>
  <c r="AV181" i="2"/>
  <c r="AV180" i="2"/>
  <c r="AA180" i="2"/>
  <c r="W178" i="254" s="1"/>
  <c r="W169" i="254" s="1"/>
  <c r="W168" i="254" s="1"/>
  <c r="X180" i="2"/>
  <c r="AV179" i="2"/>
  <c r="X179" i="2"/>
  <c r="Q179" i="2"/>
  <c r="P179" i="2"/>
  <c r="AV178" i="2"/>
  <c r="X178" i="2"/>
  <c r="Q178" i="2"/>
  <c r="P178" i="2"/>
  <c r="AV177" i="2"/>
  <c r="X177" i="2"/>
  <c r="Q177" i="2"/>
  <c r="P177" i="2"/>
  <c r="AV176" i="2"/>
  <c r="X176" i="2"/>
  <c r="Q176" i="2"/>
  <c r="P176" i="2"/>
  <c r="AV175" i="2"/>
  <c r="X175" i="2"/>
  <c r="Q175" i="2"/>
  <c r="P175" i="2"/>
  <c r="AV174" i="2"/>
  <c r="X174" i="2"/>
  <c r="Q174" i="2"/>
  <c r="P174" i="2"/>
  <c r="AT173" i="2"/>
  <c r="AA173" i="2"/>
  <c r="X173" i="2"/>
  <c r="W173" i="2"/>
  <c r="V173" i="2"/>
  <c r="U173" i="2"/>
  <c r="S174" i="40" s="1"/>
  <c r="S173" i="40" s="1"/>
  <c r="S172" i="40" s="1"/>
  <c r="T173" i="2"/>
  <c r="AA172" i="2"/>
  <c r="W167" i="254" s="1"/>
  <c r="X172" i="2"/>
  <c r="AA171" i="2"/>
  <c r="W166" i="254" s="1"/>
  <c r="X171" i="2"/>
  <c r="AA170" i="2"/>
  <c r="W165" i="254" s="1"/>
  <c r="X170" i="2"/>
  <c r="AA169" i="2"/>
  <c r="W164" i="254" s="1"/>
  <c r="X169" i="2"/>
  <c r="AA168" i="2"/>
  <c r="W163" i="254" s="1"/>
  <c r="X168" i="2"/>
  <c r="AV167" i="2"/>
  <c r="X167" i="2"/>
  <c r="Q167" i="2"/>
  <c r="P167" i="2"/>
  <c r="AV166" i="2"/>
  <c r="X166" i="2"/>
  <c r="Q166" i="2"/>
  <c r="P166" i="2"/>
  <c r="AV165" i="2"/>
  <c r="X165" i="2"/>
  <c r="Q165" i="2"/>
  <c r="P165" i="2"/>
  <c r="X164" i="2"/>
  <c r="Q164" i="2"/>
  <c r="P164" i="2"/>
  <c r="X163" i="2"/>
  <c r="Q163" i="2"/>
  <c r="P163" i="2"/>
  <c r="X162" i="2"/>
  <c r="Q162" i="2"/>
  <c r="P162" i="2"/>
  <c r="X161" i="2"/>
  <c r="Q161" i="2"/>
  <c r="P161" i="2"/>
  <c r="AT160" i="2"/>
  <c r="AA160" i="2"/>
  <c r="W160" i="2"/>
  <c r="V160" i="2"/>
  <c r="U160" i="2"/>
  <c r="S164" i="40" s="1"/>
  <c r="S163" i="40" s="1"/>
  <c r="S162" i="40" s="1"/>
  <c r="S161" i="40" s="1"/>
  <c r="T160" i="2"/>
  <c r="AV159" i="2"/>
  <c r="X159" i="2"/>
  <c r="AA159" i="2" s="1"/>
  <c r="AV158" i="2"/>
  <c r="AA158" i="2"/>
  <c r="X158" i="2"/>
  <c r="AV157" i="2"/>
  <c r="X157" i="2"/>
  <c r="AA157" i="2" s="1"/>
  <c r="W165" i="229" s="1"/>
  <c r="X156" i="2"/>
  <c r="AV155" i="2"/>
  <c r="AA155" i="2"/>
  <c r="X155" i="2"/>
  <c r="AV154" i="2"/>
  <c r="AA154" i="2"/>
  <c r="X154" i="2"/>
  <c r="X153" i="2"/>
  <c r="AV152" i="2"/>
  <c r="AA152" i="2"/>
  <c r="W150" i="254" s="1"/>
  <c r="W149" i="254" s="1"/>
  <c r="W148" i="254" s="1"/>
  <c r="X152" i="2"/>
  <c r="AV151" i="2"/>
  <c r="AA151" i="2"/>
  <c r="X151" i="2"/>
  <c r="AV150" i="2"/>
  <c r="X150" i="2"/>
  <c r="AV149" i="2"/>
  <c r="AG149" i="2"/>
  <c r="X149" i="2"/>
  <c r="AV148" i="2"/>
  <c r="X148" i="2"/>
  <c r="AV147" i="2"/>
  <c r="AA147" i="2"/>
  <c r="X147" i="2"/>
  <c r="AV146" i="2"/>
  <c r="AA146" i="2"/>
  <c r="X146" i="2"/>
  <c r="AV145" i="2"/>
  <c r="AA145" i="2"/>
  <c r="X145" i="2"/>
  <c r="AV144" i="2"/>
  <c r="X144" i="2"/>
  <c r="AF143" i="2"/>
  <c r="X143" i="2"/>
  <c r="AT142" i="2"/>
  <c r="AA142" i="2"/>
  <c r="W142" i="2"/>
  <c r="V142" i="2"/>
  <c r="U142" i="2"/>
  <c r="S152" i="40" s="1"/>
  <c r="T142" i="2"/>
  <c r="AV141" i="2"/>
  <c r="X141" i="2"/>
  <c r="AF140" i="2"/>
  <c r="X140" i="2"/>
  <c r="X139" i="2" s="1"/>
  <c r="V150" i="99" s="1"/>
  <c r="AT139" i="2"/>
  <c r="AA139" i="2"/>
  <c r="W139" i="2"/>
  <c r="V139" i="2"/>
  <c r="U139" i="2"/>
  <c r="S149" i="40" s="1"/>
  <c r="S148" i="40" s="1"/>
  <c r="S147" i="40" s="1"/>
  <c r="T139" i="2"/>
  <c r="AV138" i="2"/>
  <c r="AG138" i="2"/>
  <c r="AA138" i="2"/>
  <c r="V144" i="229" s="1"/>
  <c r="V143" i="229" s="1"/>
  <c r="V142" i="229" s="1"/>
  <c r="X138" i="2"/>
  <c r="AG137" i="2"/>
  <c r="AF137" i="2"/>
  <c r="X137" i="2"/>
  <c r="AV136" i="2"/>
  <c r="AA136" i="2"/>
  <c r="X136" i="2"/>
  <c r="AV135" i="2"/>
  <c r="AG135" i="2"/>
  <c r="X135" i="2"/>
  <c r="AV134" i="2"/>
  <c r="AA134" i="2"/>
  <c r="W137" i="229" s="1"/>
  <c r="X134" i="2"/>
  <c r="AV133" i="2"/>
  <c r="AA133" i="2"/>
  <c r="X133" i="2"/>
  <c r="AV132" i="2"/>
  <c r="AA132" i="2"/>
  <c r="W135" i="229" s="1"/>
  <c r="X132" i="2"/>
  <c r="AV131" i="2"/>
  <c r="AA131" i="2"/>
  <c r="X131" i="2"/>
  <c r="AF130" i="2"/>
  <c r="AA130" i="2"/>
  <c r="X130" i="2"/>
  <c r="AV129" i="2"/>
  <c r="AA129" i="2"/>
  <c r="W120" i="254" s="1"/>
  <c r="X129" i="2"/>
  <c r="AV128" i="2"/>
  <c r="AA128" i="2"/>
  <c r="W119" i="254" s="1"/>
  <c r="X128" i="2"/>
  <c r="AV127" i="2"/>
  <c r="AA127" i="2"/>
  <c r="W118" i="254" s="1"/>
  <c r="X127" i="2"/>
  <c r="AV126" i="2"/>
  <c r="AA126" i="2"/>
  <c r="W117" i="254" s="1"/>
  <c r="X126" i="2"/>
  <c r="AF125" i="2"/>
  <c r="AA125" i="2"/>
  <c r="X125" i="2"/>
  <c r="AV124" i="2"/>
  <c r="AA124" i="2"/>
  <c r="X124" i="2"/>
  <c r="V124" i="2"/>
  <c r="AV123" i="2"/>
  <c r="AA123" i="2"/>
  <c r="X123" i="2"/>
  <c r="V123" i="2"/>
  <c r="AV122" i="2"/>
  <c r="AA122" i="2"/>
  <c r="W114" i="254" s="1"/>
  <c r="X122" i="2"/>
  <c r="AV121" i="2"/>
  <c r="X121" i="2"/>
  <c r="X119" i="2" s="1"/>
  <c r="V131" i="99" s="1"/>
  <c r="V130" i="99" s="1"/>
  <c r="V129" i="99" s="1"/>
  <c r="AV120" i="2"/>
  <c r="X120" i="2"/>
  <c r="AT119" i="2"/>
  <c r="AG119" i="2"/>
  <c r="W119" i="2"/>
  <c r="V119" i="2"/>
  <c r="U119" i="2"/>
  <c r="S130" i="40" s="1"/>
  <c r="S129" i="40" s="1"/>
  <c r="S128" i="40" s="1"/>
  <c r="T119" i="2"/>
  <c r="AA121" i="2" s="1"/>
  <c r="AV118" i="2"/>
  <c r="V118" i="2"/>
  <c r="AV117" i="2"/>
  <c r="AG117" i="2"/>
  <c r="X117" i="2"/>
  <c r="AV116" i="2"/>
  <c r="AA116" i="2"/>
  <c r="X116" i="2"/>
  <c r="AV115" i="2"/>
  <c r="AA115" i="2"/>
  <c r="X115" i="2"/>
  <c r="AV114" i="2"/>
  <c r="AG114" i="2"/>
  <c r="X114" i="2"/>
  <c r="AV113" i="2"/>
  <c r="AA113" i="2"/>
  <c r="X113" i="2"/>
  <c r="AV112" i="2"/>
  <c r="AA112" i="2"/>
  <c r="X112" i="2"/>
  <c r="AV111" i="2"/>
  <c r="AG111" i="2"/>
  <c r="X111" i="2"/>
  <c r="AG110" i="2"/>
  <c r="X110" i="2"/>
  <c r="AV109" i="2"/>
  <c r="X109" i="2"/>
  <c r="AV108" i="2"/>
  <c r="X108" i="2"/>
  <c r="X107" i="2" s="1"/>
  <c r="V117" i="99" s="1"/>
  <c r="V110" i="99" s="1"/>
  <c r="AT107" i="2"/>
  <c r="W107" i="2"/>
  <c r="V107" i="2"/>
  <c r="U107" i="2"/>
  <c r="S116" i="40" s="1"/>
  <c r="S109" i="40" s="1"/>
  <c r="T107" i="2"/>
  <c r="AA108" i="2" s="1"/>
  <c r="AT106" i="2"/>
  <c r="AH100" i="254" s="1"/>
  <c r="X106" i="2"/>
  <c r="AV105" i="2"/>
  <c r="X105" i="2"/>
  <c r="AV104" i="2"/>
  <c r="X104" i="2"/>
  <c r="AA103" i="2"/>
  <c r="AA106" i="2" s="1"/>
  <c r="X103" i="2"/>
  <c r="AV102" i="2"/>
  <c r="AA102" i="2"/>
  <c r="X102" i="2"/>
  <c r="AV101" i="2"/>
  <c r="AA101" i="2"/>
  <c r="X101" i="2"/>
  <c r="AV100" i="2"/>
  <c r="AA100" i="2"/>
  <c r="X100" i="2"/>
  <c r="AV99" i="2"/>
  <c r="AA99" i="2"/>
  <c r="AG99" i="2" s="1"/>
  <c r="X99" i="2"/>
  <c r="AV98" i="2"/>
  <c r="AA98" i="2"/>
  <c r="AG98" i="2" s="1"/>
  <c r="X98" i="2"/>
  <c r="AV97" i="2"/>
  <c r="AA97" i="2"/>
  <c r="V90" i="254" s="1"/>
  <c r="X97" i="2"/>
  <c r="AV96" i="2"/>
  <c r="AA96" i="2"/>
  <c r="W92" i="254" s="1"/>
  <c r="W80" i="254" s="1"/>
  <c r="X96" i="2"/>
  <c r="AV95" i="2"/>
  <c r="X95" i="2"/>
  <c r="AV94" i="2"/>
  <c r="X94" i="2"/>
  <c r="AA93" i="2"/>
  <c r="X93" i="2"/>
  <c r="AV92" i="2"/>
  <c r="AA92" i="2"/>
  <c r="V89" i="254" s="1"/>
  <c r="X92" i="2"/>
  <c r="AV91" i="2"/>
  <c r="AF91" i="2"/>
  <c r="AA91" i="2"/>
  <c r="X91" i="2"/>
  <c r="AV90" i="2"/>
  <c r="AA90" i="2"/>
  <c r="X90" i="2"/>
  <c r="AV89" i="2"/>
  <c r="AA89" i="2"/>
  <c r="X89" i="2"/>
  <c r="AV88" i="2"/>
  <c r="AA88" i="2"/>
  <c r="X88" i="2"/>
  <c r="AV87" i="2"/>
  <c r="AA87" i="2"/>
  <c r="X87" i="2"/>
  <c r="AV86" i="2"/>
  <c r="AF86" i="2"/>
  <c r="AA86" i="2"/>
  <c r="X86" i="2"/>
  <c r="AV85" i="2"/>
  <c r="AF85" i="2"/>
  <c r="AA85" i="2"/>
  <c r="X85" i="2"/>
  <c r="AV84" i="2"/>
  <c r="AF84" i="2"/>
  <c r="AA84" i="2"/>
  <c r="X84" i="2"/>
  <c r="AV83" i="2"/>
  <c r="AA83" i="2"/>
  <c r="X83" i="2"/>
  <c r="AV82" i="2"/>
  <c r="AA82" i="2"/>
  <c r="X82" i="2"/>
  <c r="AV81" i="2"/>
  <c r="AG81" i="2"/>
  <c r="X81" i="2"/>
  <c r="AV80" i="2"/>
  <c r="AA80" i="2"/>
  <c r="X80" i="2"/>
  <c r="AV79" i="2"/>
  <c r="AA79" i="2"/>
  <c r="X79" i="2"/>
  <c r="AV78" i="2"/>
  <c r="AG78" i="2"/>
  <c r="X78" i="2"/>
  <c r="AV77" i="2"/>
  <c r="AA77" i="2"/>
  <c r="X77" i="2"/>
  <c r="AV76" i="2"/>
  <c r="AA76" i="2"/>
  <c r="X76" i="2"/>
  <c r="AV75" i="2"/>
  <c r="AA75" i="2"/>
  <c r="X75" i="2"/>
  <c r="AV74" i="2"/>
  <c r="AA74" i="2"/>
  <c r="X74" i="2"/>
  <c r="AV73" i="2"/>
  <c r="AA73" i="2"/>
  <c r="X73" i="2"/>
  <c r="AV72" i="2"/>
  <c r="AA72" i="2"/>
  <c r="X72" i="2"/>
  <c r="AV71" i="2"/>
  <c r="X71" i="2"/>
  <c r="AV70" i="2"/>
  <c r="X70" i="2"/>
  <c r="X69" i="2"/>
  <c r="AV68" i="2"/>
  <c r="X68" i="2"/>
  <c r="AV67" i="2"/>
  <c r="X67" i="2"/>
  <c r="X66" i="2"/>
  <c r="AT65" i="2"/>
  <c r="AA65" i="2"/>
  <c r="W65" i="2"/>
  <c r="V65" i="2"/>
  <c r="U65" i="2"/>
  <c r="S77" i="40" s="1"/>
  <c r="S76" i="40" s="1"/>
  <c r="T65" i="2"/>
  <c r="AV64" i="2"/>
  <c r="AA64" i="2"/>
  <c r="W43" i="318" s="1"/>
  <c r="W42" i="318" s="1"/>
  <c r="X64" i="2"/>
  <c r="AV63" i="2"/>
  <c r="AA63" i="2"/>
  <c r="V63" i="2"/>
  <c r="AV62" i="2"/>
  <c r="AA62" i="2"/>
  <c r="V62" i="2"/>
  <c r="AV61" i="2"/>
  <c r="X61" i="2"/>
  <c r="V61" i="2"/>
  <c r="Q61" i="2"/>
  <c r="P61" i="2"/>
  <c r="M61" i="2"/>
  <c r="AV60" i="2"/>
  <c r="V60" i="2"/>
  <c r="X60" i="2" s="1"/>
  <c r="Q60" i="2"/>
  <c r="P60" i="2"/>
  <c r="M60" i="2"/>
  <c r="AV59" i="2"/>
  <c r="X59" i="2"/>
  <c r="V59" i="2"/>
  <c r="Q59" i="2"/>
  <c r="P59" i="2"/>
  <c r="M59" i="2"/>
  <c r="V58" i="2"/>
  <c r="Q58" i="2"/>
  <c r="P58" i="2"/>
  <c r="M58" i="2"/>
  <c r="AT57" i="2"/>
  <c r="AG57" i="2"/>
  <c r="AA57" i="2"/>
  <c r="V57" i="2"/>
  <c r="AV56" i="2"/>
  <c r="AG56" i="2"/>
  <c r="V56" i="2"/>
  <c r="AV55" i="2"/>
  <c r="AG55" i="2"/>
  <c r="V55" i="2"/>
  <c r="AV54" i="2"/>
  <c r="AG54" i="2"/>
  <c r="AA54" i="2"/>
  <c r="V55" i="254" s="1"/>
  <c r="V54" i="2"/>
  <c r="Q55" i="254" s="1"/>
  <c r="AV53" i="2"/>
  <c r="X53" i="2"/>
  <c r="AV52" i="2"/>
  <c r="AA52" i="2"/>
  <c r="V52" i="2"/>
  <c r="AV51" i="2"/>
  <c r="AA51" i="2"/>
  <c r="V52" i="254" s="1"/>
  <c r="X51" i="2"/>
  <c r="V51" i="2"/>
  <c r="AV50" i="2"/>
  <c r="AB50" i="2"/>
  <c r="X50" i="2"/>
  <c r="Q50" i="2"/>
  <c r="P50" i="2"/>
  <c r="M50" i="2"/>
  <c r="AV49" i="2"/>
  <c r="X49" i="2"/>
  <c r="Q49" i="2"/>
  <c r="P49" i="2"/>
  <c r="M49" i="2"/>
  <c r="AV48" i="2"/>
  <c r="X48" i="2"/>
  <c r="Q48" i="2"/>
  <c r="P48" i="2"/>
  <c r="M48" i="2"/>
  <c r="AV47" i="2"/>
  <c r="V47" i="2"/>
  <c r="X47" i="2" s="1"/>
  <c r="Q47" i="2"/>
  <c r="P47" i="2"/>
  <c r="M47" i="2"/>
  <c r="AT46" i="2"/>
  <c r="AG46" i="2"/>
  <c r="AA46" i="2"/>
  <c r="V46" i="2"/>
  <c r="AV45" i="2"/>
  <c r="AG45" i="2"/>
  <c r="V45" i="2"/>
  <c r="AV44" i="2"/>
  <c r="AG44" i="2"/>
  <c r="AA44" i="2"/>
  <c r="V45" i="254" s="1"/>
  <c r="V44" i="2"/>
  <c r="Q46" i="229" s="1"/>
  <c r="AV43" i="2"/>
  <c r="V43" i="2"/>
  <c r="AV42" i="2"/>
  <c r="V42" i="2"/>
  <c r="X42" i="2" s="1"/>
  <c r="AT41" i="2"/>
  <c r="AA41" i="2"/>
  <c r="V41" i="2"/>
  <c r="Q43" i="254" s="1"/>
  <c r="AV40" i="2"/>
  <c r="AG39" i="2"/>
  <c r="X39" i="2"/>
  <c r="AG38" i="2"/>
  <c r="X38" i="2"/>
  <c r="AT37" i="2"/>
  <c r="AA37" i="2"/>
  <c r="AA35" i="2" s="1"/>
  <c r="Y48" i="99" s="1"/>
  <c r="X37" i="2"/>
  <c r="AV36" i="2"/>
  <c r="AG36" i="2"/>
  <c r="X36" i="2"/>
  <c r="AT35" i="2"/>
  <c r="W35" i="2"/>
  <c r="V35" i="2"/>
  <c r="U35" i="2"/>
  <c r="S47" i="40" s="1"/>
  <c r="T35" i="2"/>
  <c r="AV34" i="2"/>
  <c r="AG34" i="2"/>
  <c r="X34" i="2"/>
  <c r="AV33" i="2"/>
  <c r="AG33" i="2"/>
  <c r="X33" i="2"/>
  <c r="AV32" i="2"/>
  <c r="AG32" i="2"/>
  <c r="X32" i="2"/>
  <c r="AT31" i="2"/>
  <c r="AA31" i="2"/>
  <c r="X31" i="2"/>
  <c r="AV30" i="2"/>
  <c r="X30" i="2"/>
  <c r="AV29" i="2"/>
  <c r="AG29" i="2"/>
  <c r="X29" i="2"/>
  <c r="AV28" i="2"/>
  <c r="AG28" i="2"/>
  <c r="X28" i="2"/>
  <c r="AV27" i="2"/>
  <c r="AG27" i="2"/>
  <c r="X27" i="2"/>
  <c r="X26" i="2" s="1"/>
  <c r="V39" i="99" s="1"/>
  <c r="W26" i="2"/>
  <c r="V26" i="2"/>
  <c r="U26" i="2"/>
  <c r="S38" i="40" s="1"/>
  <c r="T26" i="2"/>
  <c r="AV25" i="2"/>
  <c r="AG25" i="2"/>
  <c r="X25" i="2"/>
  <c r="X24" i="2"/>
  <c r="AV23" i="2"/>
  <c r="AV22" i="2"/>
  <c r="AA22" i="2"/>
  <c r="X22" i="2"/>
  <c r="AV21" i="2"/>
  <c r="AV213" i="2" s="1"/>
  <c r="AG21" i="2"/>
  <c r="X21" i="2"/>
  <c r="AV20" i="2"/>
  <c r="AG20" i="2"/>
  <c r="X20" i="2"/>
  <c r="AV19" i="2"/>
  <c r="AG19" i="2"/>
  <c r="X19" i="2"/>
  <c r="AV18" i="2"/>
  <c r="AG18" i="2"/>
  <c r="X18" i="2"/>
  <c r="AV17" i="2"/>
  <c r="AG17" i="2"/>
  <c r="X17" i="2"/>
  <c r="AV16" i="2"/>
  <c r="AA16" i="2"/>
  <c r="AG16" i="2" s="1"/>
  <c r="X16" i="2"/>
  <c r="AV15" i="2"/>
  <c r="AE15" i="2"/>
  <c r="AA15" i="2"/>
  <c r="X15" i="2"/>
  <c r="AV14" i="2"/>
  <c r="AG14" i="2"/>
  <c r="X14" i="2"/>
  <c r="V14" i="2"/>
  <c r="Q19" i="229" s="1"/>
  <c r="S19" i="229" s="1"/>
  <c r="AV13" i="2"/>
  <c r="AG13" i="2"/>
  <c r="X13" i="2"/>
  <c r="V13" i="2"/>
  <c r="Q18" i="254" s="1"/>
  <c r="AV12" i="2"/>
  <c r="AG12" i="2"/>
  <c r="X12" i="2"/>
  <c r="AV11" i="2"/>
  <c r="AG11" i="2"/>
  <c r="X11" i="2"/>
  <c r="AV10" i="2"/>
  <c r="AG10" i="2"/>
  <c r="X10" i="2"/>
  <c r="AF9" i="2"/>
  <c r="X9" i="2"/>
  <c r="X8" i="2"/>
  <c r="AF7" i="2"/>
  <c r="X7" i="2"/>
  <c r="X6" i="2"/>
  <c r="AV5" i="2"/>
  <c r="AT5" i="2"/>
  <c r="AA5" i="2"/>
  <c r="W5" i="2"/>
  <c r="V5" i="2"/>
  <c r="U5" i="2"/>
  <c r="T5" i="2"/>
  <c r="X4" i="2"/>
  <c r="X3" i="2"/>
  <c r="AV2" i="2"/>
  <c r="AT2" i="2"/>
  <c r="AG2" i="2"/>
  <c r="AA2" i="2"/>
  <c r="X2" i="2"/>
  <c r="Y126" i="101"/>
  <c r="Y127" i="101" s="1"/>
  <c r="AU125" i="101"/>
  <c r="AV116" i="101"/>
  <c r="AV115" i="101" s="1"/>
  <c r="AU116" i="101"/>
  <c r="AT116" i="101"/>
  <c r="AS116" i="101"/>
  <c r="AS115" i="101" s="1"/>
  <c r="AR116" i="101"/>
  <c r="AR115" i="101" s="1"/>
  <c r="AQ116" i="101"/>
  <c r="AP116" i="101"/>
  <c r="AO116" i="101"/>
  <c r="AO115" i="101" s="1"/>
  <c r="AN116" i="101"/>
  <c r="AN115" i="101" s="1"/>
  <c r="AM116" i="101"/>
  <c r="AL116" i="101"/>
  <c r="AK116" i="101"/>
  <c r="AK115" i="101" s="1"/>
  <c r="AJ116" i="101"/>
  <c r="AI116" i="101"/>
  <c r="AH116" i="101"/>
  <c r="AG116" i="101"/>
  <c r="AF116" i="101"/>
  <c r="AE116" i="101"/>
  <c r="AD116" i="101"/>
  <c r="AC116" i="101"/>
  <c r="AC115" i="101" s="1"/>
  <c r="AB116" i="101"/>
  <c r="AB115" i="101" s="1"/>
  <c r="AA116" i="101"/>
  <c r="Y116" i="101"/>
  <c r="Y115" i="101" s="1"/>
  <c r="X116" i="101"/>
  <c r="W116" i="101"/>
  <c r="W115" i="101" s="1"/>
  <c r="V116" i="101"/>
  <c r="U116" i="101"/>
  <c r="U115" i="101" s="1"/>
  <c r="T116" i="101"/>
  <c r="T115" i="101" s="1"/>
  <c r="S116" i="101"/>
  <c r="S115" i="101" s="1"/>
  <c r="R116" i="101"/>
  <c r="Q116" i="101"/>
  <c r="P116" i="101"/>
  <c r="O116" i="101"/>
  <c r="N116" i="101"/>
  <c r="I116" i="101"/>
  <c r="H116" i="101"/>
  <c r="G116" i="101"/>
  <c r="F116" i="101"/>
  <c r="E116" i="101"/>
  <c r="D116" i="101"/>
  <c r="C116" i="101"/>
  <c r="B116" i="101"/>
  <c r="A116" i="101"/>
  <c r="AT115" i="101"/>
  <c r="AQ115" i="101"/>
  <c r="AP115" i="101"/>
  <c r="AM115" i="101"/>
  <c r="AL115" i="101"/>
  <c r="Z115" i="101"/>
  <c r="X115" i="101"/>
  <c r="V115" i="101"/>
  <c r="R115" i="101"/>
  <c r="M115" i="101"/>
  <c r="L115" i="101"/>
  <c r="AV114" i="101"/>
  <c r="AU114" i="101"/>
  <c r="AT114" i="101"/>
  <c r="AT111" i="101" s="1"/>
  <c r="AS114" i="101"/>
  <c r="AR114" i="101"/>
  <c r="AQ114" i="101"/>
  <c r="AP114" i="101"/>
  <c r="AO114" i="101"/>
  <c r="AN114" i="101"/>
  <c r="AM114" i="101"/>
  <c r="AL114" i="101"/>
  <c r="AL111" i="101" s="1"/>
  <c r="AK114" i="101"/>
  <c r="AJ114" i="101"/>
  <c r="AI114" i="101"/>
  <c r="AH114" i="101"/>
  <c r="AG114" i="101"/>
  <c r="AF114" i="101"/>
  <c r="AE114" i="101"/>
  <c r="AD114" i="101"/>
  <c r="AC114" i="101"/>
  <c r="AB114" i="101"/>
  <c r="AA114" i="101"/>
  <c r="Z114" i="101"/>
  <c r="Z111" i="101" s="1"/>
  <c r="X114" i="101"/>
  <c r="W114" i="101"/>
  <c r="V114" i="101"/>
  <c r="U114" i="101"/>
  <c r="U111" i="101" s="1"/>
  <c r="T114" i="101"/>
  <c r="S114" i="101"/>
  <c r="R114" i="101"/>
  <c r="Q114" i="101"/>
  <c r="P114" i="101"/>
  <c r="O114" i="101"/>
  <c r="N114" i="101"/>
  <c r="I114" i="101"/>
  <c r="H114" i="101"/>
  <c r="G114" i="101"/>
  <c r="F114" i="101"/>
  <c r="E114" i="101"/>
  <c r="D114" i="101"/>
  <c r="C114" i="101"/>
  <c r="B114" i="101"/>
  <c r="A114" i="101"/>
  <c r="AV113" i="101"/>
  <c r="AU113" i="101"/>
  <c r="AT113" i="101"/>
  <c r="AS113" i="101"/>
  <c r="AR113" i="101"/>
  <c r="AQ113" i="101"/>
  <c r="AP113" i="101"/>
  <c r="AO113" i="101"/>
  <c r="AN113" i="101"/>
  <c r="AM113" i="101"/>
  <c r="AL113" i="101"/>
  <c r="AK113" i="101"/>
  <c r="AJ113" i="101"/>
  <c r="AI113" i="101"/>
  <c r="AH113" i="101"/>
  <c r="AG113" i="101"/>
  <c r="AF113" i="101"/>
  <c r="AE113" i="101"/>
  <c r="AD113" i="101"/>
  <c r="AC113" i="101"/>
  <c r="AB113" i="101"/>
  <c r="AA113" i="101"/>
  <c r="Y113" i="101"/>
  <c r="X113" i="101"/>
  <c r="W113" i="101"/>
  <c r="V113" i="101"/>
  <c r="U113" i="101"/>
  <c r="T113" i="101"/>
  <c r="S113" i="101"/>
  <c r="R113" i="101"/>
  <c r="Q113" i="101"/>
  <c r="P113" i="101"/>
  <c r="O113" i="101"/>
  <c r="N113" i="101"/>
  <c r="I113" i="101"/>
  <c r="H113" i="101"/>
  <c r="G113" i="101"/>
  <c r="F113" i="101"/>
  <c r="E113" i="101"/>
  <c r="D113" i="101"/>
  <c r="C113" i="101"/>
  <c r="B113" i="101"/>
  <c r="A113" i="101"/>
  <c r="AV112" i="101"/>
  <c r="AU112" i="101"/>
  <c r="AT112" i="101"/>
  <c r="AS112" i="101"/>
  <c r="AR112" i="101"/>
  <c r="AQ112" i="101"/>
  <c r="AQ111" i="101" s="1"/>
  <c r="AP112" i="101"/>
  <c r="AO112" i="101"/>
  <c r="AN112" i="101"/>
  <c r="AN111" i="101" s="1"/>
  <c r="AM112" i="101"/>
  <c r="AM111" i="101" s="1"/>
  <c r="AL112" i="101"/>
  <c r="AK112" i="101"/>
  <c r="AJ112" i="101"/>
  <c r="AI112" i="101"/>
  <c r="AH112" i="101"/>
  <c r="AG112" i="101"/>
  <c r="AF112" i="101"/>
  <c r="AE112" i="101"/>
  <c r="AD112" i="101"/>
  <c r="AC112" i="101"/>
  <c r="AB112" i="101"/>
  <c r="AB111" i="101" s="1"/>
  <c r="AA112" i="101"/>
  <c r="Y112" i="101"/>
  <c r="X112" i="101"/>
  <c r="W112" i="101"/>
  <c r="W111" i="101" s="1"/>
  <c r="V112" i="101"/>
  <c r="V111" i="101" s="1"/>
  <c r="U112" i="101"/>
  <c r="T112" i="101"/>
  <c r="S112" i="101"/>
  <c r="S111" i="101" s="1"/>
  <c r="R112" i="101"/>
  <c r="R111" i="101" s="1"/>
  <c r="Q112" i="101"/>
  <c r="P112" i="101"/>
  <c r="O112" i="101"/>
  <c r="N112" i="101"/>
  <c r="I112" i="101"/>
  <c r="H112" i="101"/>
  <c r="G112" i="101"/>
  <c r="F112" i="101"/>
  <c r="E112" i="101"/>
  <c r="D112" i="101"/>
  <c r="C112" i="101"/>
  <c r="B112" i="101"/>
  <c r="A112" i="101"/>
  <c r="AR111" i="101"/>
  <c r="AP111" i="101"/>
  <c r="AC111" i="101"/>
  <c r="Y111" i="101"/>
  <c r="X111" i="101"/>
  <c r="T111" i="101"/>
  <c r="M111" i="101"/>
  <c r="L111" i="101"/>
  <c r="AV110" i="101"/>
  <c r="AU110" i="101"/>
  <c r="AT110" i="101"/>
  <c r="AS110" i="101"/>
  <c r="AR110" i="101"/>
  <c r="AQ110" i="101"/>
  <c r="AP110" i="101"/>
  <c r="AO110" i="101"/>
  <c r="AN110" i="101"/>
  <c r="AM110" i="101"/>
  <c r="AL110" i="101"/>
  <c r="AK110" i="101"/>
  <c r="AJ110" i="101"/>
  <c r="AI110" i="101"/>
  <c r="AH110" i="101"/>
  <c r="AG110" i="101"/>
  <c r="AF110" i="101"/>
  <c r="AE110" i="101"/>
  <c r="AD110" i="101"/>
  <c r="AC110" i="101"/>
  <c r="AB110" i="101"/>
  <c r="AA110" i="101"/>
  <c r="Y110" i="101"/>
  <c r="X110" i="101"/>
  <c r="W110" i="101"/>
  <c r="V110" i="101"/>
  <c r="U110" i="101"/>
  <c r="T110" i="101"/>
  <c r="S110" i="101"/>
  <c r="R110" i="101"/>
  <c r="Q110" i="101"/>
  <c r="P110" i="101"/>
  <c r="O110" i="101"/>
  <c r="N110" i="101"/>
  <c r="I110" i="101"/>
  <c r="H110" i="101"/>
  <c r="G110" i="101"/>
  <c r="F110" i="101"/>
  <c r="E110" i="101"/>
  <c r="D110" i="101"/>
  <c r="C110" i="101"/>
  <c r="B110" i="101"/>
  <c r="A110" i="101"/>
  <c r="AV109" i="101"/>
  <c r="AU109" i="101"/>
  <c r="AT109" i="101"/>
  <c r="AS109" i="101"/>
  <c r="AR109" i="101"/>
  <c r="AQ109" i="101"/>
  <c r="AP109" i="101"/>
  <c r="AO109" i="101"/>
  <c r="AN109" i="101"/>
  <c r="AM109" i="101"/>
  <c r="AL109" i="101"/>
  <c r="AK109" i="101"/>
  <c r="AJ109" i="101"/>
  <c r="AI109" i="101"/>
  <c r="AH109" i="101"/>
  <c r="AG109" i="101"/>
  <c r="AF109" i="101"/>
  <c r="AE109" i="101"/>
  <c r="AD109" i="101"/>
  <c r="AC109" i="101"/>
  <c r="AA109" i="101"/>
  <c r="X109" i="101"/>
  <c r="W109" i="101"/>
  <c r="V109" i="101"/>
  <c r="U109" i="101"/>
  <c r="T109" i="101"/>
  <c r="S109" i="101"/>
  <c r="R109" i="101"/>
  <c r="Q109" i="101"/>
  <c r="P109" i="101"/>
  <c r="O109" i="101"/>
  <c r="N109" i="101"/>
  <c r="I109" i="101"/>
  <c r="H109" i="101"/>
  <c r="G109" i="101"/>
  <c r="F109" i="101"/>
  <c r="E109" i="101"/>
  <c r="D109" i="101"/>
  <c r="C109" i="101"/>
  <c r="B109" i="101"/>
  <c r="A109" i="101"/>
  <c r="AV108" i="101"/>
  <c r="AU108" i="101"/>
  <c r="AT108" i="101"/>
  <c r="AS108" i="101"/>
  <c r="AR108" i="101"/>
  <c r="AQ108" i="101"/>
  <c r="AP108" i="101"/>
  <c r="AO108" i="101"/>
  <c r="AN108" i="101"/>
  <c r="AM108" i="101"/>
  <c r="AL108" i="101"/>
  <c r="AK108" i="101"/>
  <c r="AJ108" i="101"/>
  <c r="AI108" i="101"/>
  <c r="AH108" i="101"/>
  <c r="AG108" i="101"/>
  <c r="AF108" i="101"/>
  <c r="AE108" i="101"/>
  <c r="AD108" i="101"/>
  <c r="AC108" i="101"/>
  <c r="AB108" i="101"/>
  <c r="AA108" i="101"/>
  <c r="Y108" i="101"/>
  <c r="X108" i="101"/>
  <c r="W108" i="101"/>
  <c r="V108" i="101"/>
  <c r="U108" i="101"/>
  <c r="T108" i="101"/>
  <c r="S108" i="101"/>
  <c r="R108" i="101"/>
  <c r="Q108" i="101"/>
  <c r="P108" i="101"/>
  <c r="O108" i="101"/>
  <c r="N108" i="101"/>
  <c r="I108" i="101"/>
  <c r="H108" i="101"/>
  <c r="G108" i="101"/>
  <c r="F108" i="101"/>
  <c r="E108" i="101"/>
  <c r="D108" i="101"/>
  <c r="C108" i="101"/>
  <c r="B108" i="101"/>
  <c r="A108" i="101"/>
  <c r="AV107" i="101"/>
  <c r="AU107" i="101"/>
  <c r="AT107" i="101"/>
  <c r="AS107" i="101"/>
  <c r="AR107" i="101"/>
  <c r="AQ107" i="101"/>
  <c r="AP107" i="101"/>
  <c r="AO107" i="101"/>
  <c r="AN107" i="101"/>
  <c r="AM107" i="101"/>
  <c r="AL107" i="101"/>
  <c r="AK107" i="101"/>
  <c r="AJ107" i="101"/>
  <c r="AI107" i="101"/>
  <c r="AH107" i="101"/>
  <c r="AG107" i="101"/>
  <c r="AF107" i="101"/>
  <c r="AE107" i="101"/>
  <c r="AD107" i="101"/>
  <c r="AC107" i="101"/>
  <c r="AB107" i="101"/>
  <c r="AA107" i="101"/>
  <c r="Y107" i="101"/>
  <c r="X107" i="101"/>
  <c r="W107" i="101"/>
  <c r="V107" i="101"/>
  <c r="U107" i="101"/>
  <c r="T107" i="101"/>
  <c r="S107" i="101"/>
  <c r="R107" i="101"/>
  <c r="Q107" i="101"/>
  <c r="P107" i="101"/>
  <c r="O107" i="101"/>
  <c r="N107" i="101"/>
  <c r="I107" i="101"/>
  <c r="H107" i="101"/>
  <c r="G107" i="101"/>
  <c r="F107" i="101"/>
  <c r="E107" i="101"/>
  <c r="D107" i="101"/>
  <c r="C107" i="101"/>
  <c r="B107" i="101"/>
  <c r="A107" i="101"/>
  <c r="AV106" i="101"/>
  <c r="AU106" i="101"/>
  <c r="AT106" i="101"/>
  <c r="AS106" i="101"/>
  <c r="AR106" i="101"/>
  <c r="AQ106" i="101"/>
  <c r="AP106" i="101"/>
  <c r="AO106" i="101"/>
  <c r="AN106" i="101"/>
  <c r="AM106" i="101"/>
  <c r="AL106" i="101"/>
  <c r="AK106" i="101"/>
  <c r="AJ106" i="101"/>
  <c r="AI106" i="101"/>
  <c r="AH106" i="101"/>
  <c r="AG106" i="101"/>
  <c r="AF106" i="101"/>
  <c r="AE106" i="101"/>
  <c r="AD106" i="101"/>
  <c r="AC106" i="101"/>
  <c r="AB106" i="101"/>
  <c r="AA106" i="101"/>
  <c r="Y106" i="101"/>
  <c r="X106" i="101"/>
  <c r="W106" i="101"/>
  <c r="V106" i="101"/>
  <c r="U106" i="101"/>
  <c r="T106" i="101"/>
  <c r="S106" i="101"/>
  <c r="R106" i="101"/>
  <c r="Q106" i="101"/>
  <c r="P106" i="101"/>
  <c r="O106" i="101"/>
  <c r="N106" i="101"/>
  <c r="I106" i="101"/>
  <c r="H106" i="101"/>
  <c r="G106" i="101"/>
  <c r="F106" i="101"/>
  <c r="E106" i="101"/>
  <c r="D106" i="101"/>
  <c r="C106" i="101"/>
  <c r="B106" i="101"/>
  <c r="A106" i="101"/>
  <c r="AV105" i="101"/>
  <c r="AU105" i="101"/>
  <c r="AT105" i="101"/>
  <c r="AS105" i="101"/>
  <c r="AR105" i="101"/>
  <c r="AQ105" i="101"/>
  <c r="AQ102" i="101" s="1"/>
  <c r="AP105" i="101"/>
  <c r="AO105" i="101"/>
  <c r="AN105" i="101"/>
  <c r="AM105" i="101"/>
  <c r="AM102" i="101" s="1"/>
  <c r="AL105" i="101"/>
  <c r="AK105" i="101"/>
  <c r="AJ105" i="101"/>
  <c r="AI105" i="101"/>
  <c r="AH105" i="101"/>
  <c r="AG105" i="101"/>
  <c r="AF105" i="101"/>
  <c r="AE105" i="101"/>
  <c r="AD105" i="101"/>
  <c r="AC105" i="101"/>
  <c r="AB105" i="101"/>
  <c r="AA105" i="101"/>
  <c r="Y105" i="101"/>
  <c r="X105" i="101"/>
  <c r="W105" i="101"/>
  <c r="V105" i="101"/>
  <c r="V102" i="101" s="1"/>
  <c r="U105" i="101"/>
  <c r="T105" i="101"/>
  <c r="S105" i="101"/>
  <c r="R105" i="101"/>
  <c r="R102" i="101" s="1"/>
  <c r="Q105" i="101"/>
  <c r="P105" i="101"/>
  <c r="O105" i="101"/>
  <c r="N105" i="101"/>
  <c r="I105" i="101"/>
  <c r="H105" i="101"/>
  <c r="G105" i="101"/>
  <c r="F105" i="101"/>
  <c r="E105" i="101"/>
  <c r="D105" i="101"/>
  <c r="C105" i="101"/>
  <c r="B105" i="101"/>
  <c r="A105" i="101"/>
  <c r="AV104" i="101"/>
  <c r="AU104" i="101"/>
  <c r="AT104" i="101"/>
  <c r="AS104" i="101"/>
  <c r="AR104" i="101"/>
  <c r="AQ104" i="101"/>
  <c r="AP104" i="101"/>
  <c r="AO104" i="101"/>
  <c r="AN104" i="101"/>
  <c r="AM104" i="101"/>
  <c r="AL104" i="101"/>
  <c r="AK104" i="101"/>
  <c r="AJ104" i="101"/>
  <c r="AI104" i="101"/>
  <c r="AH104" i="101"/>
  <c r="AG104" i="101"/>
  <c r="AF104" i="101"/>
  <c r="AE104" i="101"/>
  <c r="AD104" i="101"/>
  <c r="AC104" i="101"/>
  <c r="AA104" i="101"/>
  <c r="Y104" i="101"/>
  <c r="X104" i="101"/>
  <c r="W104" i="101"/>
  <c r="V104" i="101"/>
  <c r="U104" i="101"/>
  <c r="T104" i="101"/>
  <c r="S104" i="101"/>
  <c r="R104" i="101"/>
  <c r="Q104" i="101"/>
  <c r="P104" i="101"/>
  <c r="O104" i="101"/>
  <c r="N104" i="101"/>
  <c r="I104" i="101"/>
  <c r="H104" i="101"/>
  <c r="G104" i="101"/>
  <c r="F104" i="101"/>
  <c r="E104" i="101"/>
  <c r="D104" i="101"/>
  <c r="C104" i="101"/>
  <c r="B104" i="101"/>
  <c r="A104" i="101"/>
  <c r="AV103" i="101"/>
  <c r="AU103" i="101"/>
  <c r="AT103" i="101"/>
  <c r="AS103" i="101"/>
  <c r="AS102" i="101" s="1"/>
  <c r="AR103" i="101"/>
  <c r="AR102" i="101" s="1"/>
  <c r="AQ103" i="101"/>
  <c r="AP103" i="101"/>
  <c r="AO103" i="101"/>
  <c r="AO102" i="101" s="1"/>
  <c r="AN103" i="101"/>
  <c r="AN102" i="101" s="1"/>
  <c r="AM103" i="101"/>
  <c r="AL103" i="101"/>
  <c r="AK103" i="101"/>
  <c r="AK102" i="101" s="1"/>
  <c r="AJ103" i="101"/>
  <c r="AI103" i="101"/>
  <c r="AH103" i="101"/>
  <c r="AG103" i="101"/>
  <c r="AF103" i="101"/>
  <c r="AE103" i="101"/>
  <c r="AD103" i="101"/>
  <c r="AC103" i="101"/>
  <c r="AC102" i="101" s="1"/>
  <c r="AA103" i="101"/>
  <c r="Y103" i="101"/>
  <c r="X103" i="101"/>
  <c r="X102" i="101" s="1"/>
  <c r="W103" i="101"/>
  <c r="W102" i="101" s="1"/>
  <c r="V103" i="101"/>
  <c r="U103" i="101"/>
  <c r="T103" i="101"/>
  <c r="T102" i="101" s="1"/>
  <c r="S103" i="101"/>
  <c r="S102" i="101" s="1"/>
  <c r="R103" i="101"/>
  <c r="Q103" i="101"/>
  <c r="P103" i="101"/>
  <c r="O103" i="101"/>
  <c r="N103" i="101"/>
  <c r="I103" i="101"/>
  <c r="H103" i="101"/>
  <c r="G103" i="101"/>
  <c r="F103" i="101"/>
  <c r="E103" i="101"/>
  <c r="D103" i="101"/>
  <c r="C103" i="101"/>
  <c r="B103" i="101"/>
  <c r="A103" i="101"/>
  <c r="AT102" i="101"/>
  <c r="AP102" i="101"/>
  <c r="AL102" i="101"/>
  <c r="Y102" i="101"/>
  <c r="U102" i="101"/>
  <c r="M102" i="101"/>
  <c r="L102" i="101"/>
  <c r="AV101" i="101"/>
  <c r="AU101" i="101"/>
  <c r="AT101" i="101"/>
  <c r="AS101" i="101"/>
  <c r="AR101" i="101"/>
  <c r="AQ101" i="101"/>
  <c r="AP101" i="101"/>
  <c r="AO101" i="101"/>
  <c r="AN101" i="101"/>
  <c r="AM101" i="101"/>
  <c r="AL101" i="101"/>
  <c r="AK101" i="101"/>
  <c r="AJ101" i="101"/>
  <c r="AI101" i="101"/>
  <c r="AH101" i="101"/>
  <c r="AG101" i="101"/>
  <c r="AF101" i="101"/>
  <c r="AE101" i="101"/>
  <c r="AD101" i="101"/>
  <c r="AC101" i="101"/>
  <c r="AA101" i="101"/>
  <c r="Y101" i="101"/>
  <c r="X101" i="101"/>
  <c r="W101" i="101"/>
  <c r="V101" i="101"/>
  <c r="U101" i="101"/>
  <c r="T101" i="101"/>
  <c r="S101" i="101"/>
  <c r="R101" i="101"/>
  <c r="Q101" i="101"/>
  <c r="P101" i="101"/>
  <c r="O101" i="101"/>
  <c r="N101" i="101"/>
  <c r="I101" i="101"/>
  <c r="H101" i="101"/>
  <c r="G101" i="101"/>
  <c r="F101" i="101"/>
  <c r="E101" i="101"/>
  <c r="D101" i="101"/>
  <c r="C101" i="101"/>
  <c r="B101" i="101"/>
  <c r="A101" i="101"/>
  <c r="AV100" i="101"/>
  <c r="AU100" i="101"/>
  <c r="AT100" i="101"/>
  <c r="AR100" i="101"/>
  <c r="AJ100" i="101"/>
  <c r="AI100" i="101"/>
  <c r="AH100" i="101"/>
  <c r="AG100" i="101"/>
  <c r="AF100" i="101"/>
  <c r="AE100" i="101"/>
  <c r="AD100" i="101"/>
  <c r="AC100" i="101"/>
  <c r="AA100" i="101"/>
  <c r="Z100" i="101"/>
  <c r="X100" i="101"/>
  <c r="W100" i="101"/>
  <c r="V100" i="101"/>
  <c r="U100" i="101"/>
  <c r="T100" i="101"/>
  <c r="S100" i="101"/>
  <c r="AV99" i="101"/>
  <c r="AU99" i="101"/>
  <c r="AT99" i="101"/>
  <c r="AS99" i="101"/>
  <c r="AR99" i="101"/>
  <c r="AQ99" i="101"/>
  <c r="AP99" i="101"/>
  <c r="AO99" i="101"/>
  <c r="AN99" i="101"/>
  <c r="AM99" i="101"/>
  <c r="AL99" i="101"/>
  <c r="AK99" i="101"/>
  <c r="AJ99" i="101"/>
  <c r="AI99" i="101"/>
  <c r="AH99" i="101"/>
  <c r="AG99" i="101"/>
  <c r="AF99" i="101"/>
  <c r="AE99" i="101"/>
  <c r="AD99" i="101"/>
  <c r="AC99" i="101"/>
  <c r="AB99" i="101"/>
  <c r="AA99" i="101"/>
  <c r="Y99" i="101"/>
  <c r="X99" i="101"/>
  <c r="W99" i="101"/>
  <c r="V99" i="101"/>
  <c r="U99" i="101"/>
  <c r="T99" i="101"/>
  <c r="S99" i="101"/>
  <c r="AV98" i="101"/>
  <c r="AU98" i="101"/>
  <c r="AT98" i="101"/>
  <c r="AS98" i="101"/>
  <c r="AR98" i="101"/>
  <c r="AQ98" i="101"/>
  <c r="AP98" i="101"/>
  <c r="AO98" i="101"/>
  <c r="AN98" i="101"/>
  <c r="AM98" i="101"/>
  <c r="AL98" i="101"/>
  <c r="AK98" i="101"/>
  <c r="AJ98" i="101"/>
  <c r="AI98" i="101"/>
  <c r="AH98" i="101"/>
  <c r="AG98" i="101"/>
  <c r="AF98" i="101"/>
  <c r="AE98" i="101"/>
  <c r="AD98" i="101"/>
  <c r="AC98" i="101"/>
  <c r="AB98" i="101"/>
  <c r="AA98" i="101"/>
  <c r="Y98" i="101"/>
  <c r="X98" i="101"/>
  <c r="W98" i="101"/>
  <c r="V98" i="101"/>
  <c r="U98" i="101"/>
  <c r="T98" i="101"/>
  <c r="S98" i="101"/>
  <c r="R98" i="101"/>
  <c r="Q98" i="101"/>
  <c r="P98" i="101"/>
  <c r="O98" i="101"/>
  <c r="N98" i="101"/>
  <c r="AV97" i="101"/>
  <c r="AU97" i="101"/>
  <c r="AT97" i="101"/>
  <c r="AS97" i="101"/>
  <c r="AR97" i="101"/>
  <c r="AQ97" i="101"/>
  <c r="AP97" i="101"/>
  <c r="AO97" i="101"/>
  <c r="AN97" i="101"/>
  <c r="AM97" i="101"/>
  <c r="AL97" i="101"/>
  <c r="AK97" i="101"/>
  <c r="AJ97" i="101"/>
  <c r="AI97" i="101"/>
  <c r="AH97" i="101"/>
  <c r="AG97" i="101"/>
  <c r="AF97" i="101"/>
  <c r="AE97" i="101"/>
  <c r="AD97" i="101"/>
  <c r="AC97" i="101"/>
  <c r="AB97" i="101"/>
  <c r="AA97" i="101"/>
  <c r="Y97" i="101"/>
  <c r="X97" i="101"/>
  <c r="W97" i="101"/>
  <c r="V97" i="101"/>
  <c r="U97" i="101"/>
  <c r="T97" i="101"/>
  <c r="S97" i="101"/>
  <c r="R97" i="101"/>
  <c r="Q97" i="101"/>
  <c r="P97" i="101"/>
  <c r="O97" i="101"/>
  <c r="N97" i="101"/>
  <c r="I97" i="101"/>
  <c r="H97" i="101"/>
  <c r="G97" i="101"/>
  <c r="F97" i="101"/>
  <c r="E97" i="101"/>
  <c r="D97" i="101"/>
  <c r="C97" i="101"/>
  <c r="B97" i="101"/>
  <c r="A97" i="101"/>
  <c r="AV96" i="101"/>
  <c r="AU96" i="101"/>
  <c r="AT96" i="101"/>
  <c r="AS96" i="101"/>
  <c r="AR96" i="101"/>
  <c r="AQ96" i="101"/>
  <c r="AP96" i="101"/>
  <c r="AO96" i="101"/>
  <c r="AN96" i="101"/>
  <c r="AM96" i="101"/>
  <c r="AL96" i="101"/>
  <c r="AK96" i="101"/>
  <c r="AJ96" i="101"/>
  <c r="AI96" i="101"/>
  <c r="AH96" i="101"/>
  <c r="AG96" i="101"/>
  <c r="AF96" i="101"/>
  <c r="AE96" i="101"/>
  <c r="AD96" i="101"/>
  <c r="AC96" i="101"/>
  <c r="AA96" i="101"/>
  <c r="Y96" i="101"/>
  <c r="X96" i="101"/>
  <c r="W96" i="101"/>
  <c r="V96" i="101"/>
  <c r="U96" i="101"/>
  <c r="T96" i="101"/>
  <c r="S96" i="101"/>
  <c r="R96" i="101"/>
  <c r="Q96" i="101"/>
  <c r="P96" i="101"/>
  <c r="O96" i="101"/>
  <c r="N96" i="101"/>
  <c r="I96" i="101"/>
  <c r="H96" i="101"/>
  <c r="G96" i="101"/>
  <c r="F96" i="101"/>
  <c r="E96" i="101"/>
  <c r="D96" i="101"/>
  <c r="C96" i="101"/>
  <c r="B96" i="101"/>
  <c r="A96" i="101"/>
  <c r="AV95" i="101"/>
  <c r="AU95" i="101"/>
  <c r="AT95" i="101"/>
  <c r="AS95" i="101"/>
  <c r="AR95" i="101"/>
  <c r="AQ95" i="101"/>
  <c r="AP95" i="101"/>
  <c r="AO95" i="101"/>
  <c r="AN95" i="101"/>
  <c r="AM95" i="101"/>
  <c r="AL95" i="101"/>
  <c r="AK95" i="101"/>
  <c r="AJ95" i="101"/>
  <c r="AI95" i="101"/>
  <c r="AH95" i="101"/>
  <c r="AG95" i="101"/>
  <c r="AF95" i="101"/>
  <c r="AE95" i="101"/>
  <c r="AD95" i="101"/>
  <c r="AC95" i="101"/>
  <c r="AA95" i="101"/>
  <c r="Y95" i="101"/>
  <c r="X95" i="101"/>
  <c r="W95" i="101"/>
  <c r="V95" i="101"/>
  <c r="U95" i="101"/>
  <c r="T95" i="101"/>
  <c r="S95" i="101"/>
  <c r="R95" i="101"/>
  <c r="Q95" i="101"/>
  <c r="P95" i="101"/>
  <c r="O95" i="101"/>
  <c r="N95" i="101"/>
  <c r="I95" i="101"/>
  <c r="H95" i="101"/>
  <c r="G95" i="101"/>
  <c r="F95" i="101"/>
  <c r="E95" i="101"/>
  <c r="D95" i="101"/>
  <c r="C95" i="101"/>
  <c r="B95" i="101"/>
  <c r="A95" i="101"/>
  <c r="AV94" i="101"/>
  <c r="AU94" i="101"/>
  <c r="AT94" i="101"/>
  <c r="AS94" i="101"/>
  <c r="AR94" i="101"/>
  <c r="AQ94" i="101"/>
  <c r="AP94" i="101"/>
  <c r="AO94" i="101"/>
  <c r="AN94" i="101"/>
  <c r="AM94" i="101"/>
  <c r="AL94" i="101"/>
  <c r="AK94" i="101"/>
  <c r="AJ94" i="101"/>
  <c r="AI94" i="101"/>
  <c r="AH94" i="101"/>
  <c r="AG94" i="101"/>
  <c r="AF94" i="101"/>
  <c r="AE94" i="101"/>
  <c r="AD94" i="101"/>
  <c r="AC94" i="101"/>
  <c r="AA94" i="101"/>
  <c r="Y94" i="101"/>
  <c r="X94" i="101"/>
  <c r="W94" i="101"/>
  <c r="V94" i="101"/>
  <c r="U94" i="101"/>
  <c r="T94" i="101"/>
  <c r="S94" i="101"/>
  <c r="R94" i="101"/>
  <c r="Q94" i="101"/>
  <c r="P94" i="101"/>
  <c r="O94" i="101"/>
  <c r="N94" i="101"/>
  <c r="I94" i="101"/>
  <c r="H94" i="101"/>
  <c r="G94" i="101"/>
  <c r="F94" i="101"/>
  <c r="E94" i="101"/>
  <c r="D94" i="101"/>
  <c r="C94" i="101"/>
  <c r="B94" i="101"/>
  <c r="A94" i="101"/>
  <c r="AV93" i="101"/>
  <c r="AU93" i="101"/>
  <c r="AT93" i="101"/>
  <c r="AS93" i="101"/>
  <c r="AR93" i="101"/>
  <c r="AQ93" i="101"/>
  <c r="AP93" i="101"/>
  <c r="AO93" i="101"/>
  <c r="AN93" i="101"/>
  <c r="AM93" i="101"/>
  <c r="AL93" i="101"/>
  <c r="AK93" i="101"/>
  <c r="AJ93" i="101"/>
  <c r="AI93" i="101"/>
  <c r="AH93" i="101"/>
  <c r="AG93" i="101"/>
  <c r="AF93" i="101"/>
  <c r="AE93" i="101"/>
  <c r="AD93" i="101"/>
  <c r="AC93" i="101"/>
  <c r="AA93" i="101"/>
  <c r="Y93" i="101"/>
  <c r="X93" i="101"/>
  <c r="W93" i="101"/>
  <c r="V93" i="101"/>
  <c r="U93" i="101"/>
  <c r="T93" i="101"/>
  <c r="S93" i="101"/>
  <c r="R93" i="101"/>
  <c r="Q93" i="101"/>
  <c r="P93" i="101"/>
  <c r="O93" i="101"/>
  <c r="N93" i="101"/>
  <c r="I93" i="101"/>
  <c r="H93" i="101"/>
  <c r="G93" i="101"/>
  <c r="F93" i="101"/>
  <c r="E93" i="101"/>
  <c r="D93" i="101"/>
  <c r="C93" i="101"/>
  <c r="B93" i="101"/>
  <c r="A93" i="101"/>
  <c r="AV92" i="101"/>
  <c r="AU92" i="101"/>
  <c r="AT92" i="101"/>
  <c r="AS92" i="101"/>
  <c r="AR92" i="101"/>
  <c r="AQ92" i="101"/>
  <c r="AP92" i="101"/>
  <c r="AO92" i="101"/>
  <c r="AN92" i="101"/>
  <c r="AM92" i="101"/>
  <c r="AL92" i="101"/>
  <c r="AK92" i="101"/>
  <c r="AJ92" i="101"/>
  <c r="AI92" i="101"/>
  <c r="AH92" i="101"/>
  <c r="AG92" i="101"/>
  <c r="AF92" i="101"/>
  <c r="AE92" i="101"/>
  <c r="AD92" i="101"/>
  <c r="AC92" i="101"/>
  <c r="AA92" i="101"/>
  <c r="Y92" i="101"/>
  <c r="X92" i="101"/>
  <c r="W92" i="101"/>
  <c r="V92" i="101"/>
  <c r="U92" i="101"/>
  <c r="T92" i="101"/>
  <c r="S92" i="101"/>
  <c r="R92" i="101"/>
  <c r="Q92" i="101"/>
  <c r="P92" i="101"/>
  <c r="O92" i="101"/>
  <c r="N92" i="101"/>
  <c r="I92" i="101"/>
  <c r="H92" i="101"/>
  <c r="G92" i="101"/>
  <c r="F92" i="101"/>
  <c r="E92" i="101"/>
  <c r="D92" i="101"/>
  <c r="C92" i="101"/>
  <c r="B92" i="101"/>
  <c r="A92" i="101"/>
  <c r="AV91" i="101"/>
  <c r="AU91" i="101"/>
  <c r="AT91" i="101"/>
  <c r="AS91" i="101"/>
  <c r="AR91" i="101"/>
  <c r="AQ91" i="101"/>
  <c r="AP91" i="101"/>
  <c r="AO91" i="101"/>
  <c r="AN91" i="101"/>
  <c r="AM91" i="101"/>
  <c r="AL91" i="101"/>
  <c r="AK91" i="101"/>
  <c r="AJ91" i="101"/>
  <c r="AI91" i="101"/>
  <c r="AH91" i="101"/>
  <c r="AG91" i="101"/>
  <c r="AF91" i="101"/>
  <c r="AE91" i="101"/>
  <c r="AD91" i="101"/>
  <c r="AC91" i="101"/>
  <c r="AA91" i="101"/>
  <c r="Y91" i="101"/>
  <c r="X91" i="101"/>
  <c r="W91" i="101"/>
  <c r="V91" i="101"/>
  <c r="U91" i="101"/>
  <c r="T91" i="101"/>
  <c r="S91" i="101"/>
  <c r="R91" i="101"/>
  <c r="Q91" i="101"/>
  <c r="P91" i="101"/>
  <c r="O91" i="101"/>
  <c r="N91" i="101"/>
  <c r="I91" i="101"/>
  <c r="H91" i="101"/>
  <c r="G91" i="101"/>
  <c r="F91" i="101"/>
  <c r="E91" i="101"/>
  <c r="D91" i="101"/>
  <c r="C91" i="101"/>
  <c r="B91" i="101"/>
  <c r="A91" i="101"/>
  <c r="AV90" i="101"/>
  <c r="AU90" i="101"/>
  <c r="AT90" i="101"/>
  <c r="AS90" i="101"/>
  <c r="AR90" i="101"/>
  <c r="AQ90" i="101"/>
  <c r="AP90" i="101"/>
  <c r="AO90" i="101"/>
  <c r="AN90" i="101"/>
  <c r="AM90" i="101"/>
  <c r="AL90" i="101"/>
  <c r="AK90" i="101"/>
  <c r="AJ90" i="101"/>
  <c r="AI90" i="101"/>
  <c r="AH90" i="101"/>
  <c r="AG90" i="101"/>
  <c r="AF90" i="101"/>
  <c r="AE90" i="101"/>
  <c r="AD90" i="101"/>
  <c r="AC90" i="101"/>
  <c r="AB90" i="101"/>
  <c r="AA90" i="101"/>
  <c r="Y90" i="101"/>
  <c r="X90" i="101"/>
  <c r="W90" i="101"/>
  <c r="V90" i="101"/>
  <c r="U90" i="101"/>
  <c r="T90" i="101"/>
  <c r="S90" i="101"/>
  <c r="R90" i="101"/>
  <c r="Q90" i="101"/>
  <c r="P90" i="101"/>
  <c r="O90" i="101"/>
  <c r="N90" i="101"/>
  <c r="I90" i="101"/>
  <c r="H90" i="101"/>
  <c r="G90" i="101"/>
  <c r="F90" i="101"/>
  <c r="E90" i="101"/>
  <c r="D90" i="101"/>
  <c r="C90" i="101"/>
  <c r="B90" i="101"/>
  <c r="A90" i="101"/>
  <c r="AV89" i="101"/>
  <c r="AU89" i="101"/>
  <c r="AU88" i="101" s="1"/>
  <c r="AT89" i="101"/>
  <c r="AT88" i="101" s="1"/>
  <c r="AS89" i="101"/>
  <c r="AR89" i="101"/>
  <c r="AQ89" i="101"/>
  <c r="AQ88" i="101" s="1"/>
  <c r="AP89" i="101"/>
  <c r="AP88" i="101" s="1"/>
  <c r="AO89" i="101"/>
  <c r="AN89" i="101"/>
  <c r="AM89" i="101"/>
  <c r="AM88" i="101" s="1"/>
  <c r="AL89" i="101"/>
  <c r="AL88" i="101" s="1"/>
  <c r="AK89" i="101"/>
  <c r="AJ89" i="101"/>
  <c r="AI89" i="101"/>
  <c r="AI88" i="101" s="1"/>
  <c r="AH89" i="101"/>
  <c r="AH88" i="101" s="1"/>
  <c r="AG89" i="101"/>
  <c r="AF89" i="101"/>
  <c r="AE89" i="101"/>
  <c r="AE88" i="101" s="1"/>
  <c r="AD89" i="101"/>
  <c r="AD88" i="101" s="1"/>
  <c r="AC89" i="101"/>
  <c r="AA89" i="101"/>
  <c r="Y89" i="101"/>
  <c r="Y88" i="101" s="1"/>
  <c r="X89" i="101"/>
  <c r="X88" i="101" s="1"/>
  <c r="W89" i="101"/>
  <c r="V89" i="101"/>
  <c r="U89" i="101"/>
  <c r="U88" i="101" s="1"/>
  <c r="T89" i="101"/>
  <c r="T88" i="101" s="1"/>
  <c r="S89" i="101"/>
  <c r="R89" i="101"/>
  <c r="Q89" i="101"/>
  <c r="P89" i="101"/>
  <c r="O89" i="101"/>
  <c r="N89" i="101"/>
  <c r="I89" i="101"/>
  <c r="H89" i="101"/>
  <c r="G89" i="101"/>
  <c r="F89" i="101"/>
  <c r="E89" i="101"/>
  <c r="D89" i="101"/>
  <c r="C89" i="101"/>
  <c r="B89" i="101"/>
  <c r="A89" i="101"/>
  <c r="AS88" i="101"/>
  <c r="AR88" i="101"/>
  <c r="AO88" i="101"/>
  <c r="AN88" i="101"/>
  <c r="AK88" i="101"/>
  <c r="AJ88" i="101"/>
  <c r="AG88" i="101"/>
  <c r="AF88" i="101"/>
  <c r="AC88" i="101"/>
  <c r="AA88" i="101"/>
  <c r="Z88" i="101"/>
  <c r="W88" i="101"/>
  <c r="V88" i="101"/>
  <c r="S88" i="101"/>
  <c r="R88" i="101"/>
  <c r="M88" i="101"/>
  <c r="L88" i="101"/>
  <c r="AV87" i="101"/>
  <c r="AU87" i="101"/>
  <c r="AT87" i="101"/>
  <c r="AS87" i="101"/>
  <c r="AR87" i="101"/>
  <c r="AQ87" i="101"/>
  <c r="AP87" i="101"/>
  <c r="AO87" i="101"/>
  <c r="AN87" i="101"/>
  <c r="AM87" i="101"/>
  <c r="AL87" i="101"/>
  <c r="AK87" i="101"/>
  <c r="AJ87" i="101"/>
  <c r="AI87" i="101"/>
  <c r="AH87" i="101"/>
  <c r="AG87" i="101"/>
  <c r="AF87" i="101"/>
  <c r="AE87" i="101"/>
  <c r="AD87" i="101"/>
  <c r="AC87" i="101"/>
  <c r="AA87" i="101"/>
  <c r="Y87" i="101"/>
  <c r="X87" i="101"/>
  <c r="W87" i="101"/>
  <c r="V87" i="101"/>
  <c r="U87" i="101"/>
  <c r="T87" i="101"/>
  <c r="S87" i="101"/>
  <c r="R87" i="101"/>
  <c r="Q87" i="101"/>
  <c r="P87" i="101"/>
  <c r="O87" i="101"/>
  <c r="N87" i="101"/>
  <c r="I87" i="101"/>
  <c r="H87" i="101"/>
  <c r="G87" i="101"/>
  <c r="F87" i="101"/>
  <c r="E87" i="101"/>
  <c r="D87" i="101"/>
  <c r="C87" i="101"/>
  <c r="B87" i="101"/>
  <c r="A87" i="101"/>
  <c r="AV86" i="101"/>
  <c r="AU86" i="101"/>
  <c r="AT86" i="101"/>
  <c r="AS86" i="101"/>
  <c r="AR86" i="101"/>
  <c r="AQ86" i="101"/>
  <c r="AP86" i="101"/>
  <c r="AO86" i="101"/>
  <c r="AN86" i="101"/>
  <c r="AM86" i="101"/>
  <c r="AL86" i="101"/>
  <c r="AK86" i="101"/>
  <c r="AJ86" i="101"/>
  <c r="AI86" i="101"/>
  <c r="AH86" i="101"/>
  <c r="AG86" i="101"/>
  <c r="AF86" i="101"/>
  <c r="AE86" i="101"/>
  <c r="AD86" i="101"/>
  <c r="AC86" i="101"/>
  <c r="AA86" i="101"/>
  <c r="Y86" i="101"/>
  <c r="X86" i="101"/>
  <c r="W86" i="101"/>
  <c r="V86" i="101"/>
  <c r="U86" i="101"/>
  <c r="T86" i="101"/>
  <c r="S86" i="101"/>
  <c r="R86" i="101"/>
  <c r="Q86" i="101"/>
  <c r="P86" i="101"/>
  <c r="O86" i="101"/>
  <c r="N86" i="101"/>
  <c r="I86" i="101"/>
  <c r="H86" i="101"/>
  <c r="G86" i="101"/>
  <c r="F86" i="101"/>
  <c r="E86" i="101"/>
  <c r="D86" i="101"/>
  <c r="C86" i="101"/>
  <c r="B86" i="101"/>
  <c r="A86" i="101"/>
  <c r="AV85" i="101"/>
  <c r="AU85" i="101"/>
  <c r="AU84" i="101" s="1"/>
  <c r="AT85" i="101"/>
  <c r="AT84" i="101" s="1"/>
  <c r="AS85" i="101"/>
  <c r="AR85" i="101"/>
  <c r="AQ85" i="101"/>
  <c r="AQ84" i="101" s="1"/>
  <c r="AP85" i="101"/>
  <c r="AP84" i="101" s="1"/>
  <c r="AO85" i="101"/>
  <c r="AN85" i="101"/>
  <c r="AM85" i="101"/>
  <c r="AM84" i="101" s="1"/>
  <c r="AL85" i="101"/>
  <c r="AL84" i="101" s="1"/>
  <c r="AK85" i="101"/>
  <c r="AJ85" i="101"/>
  <c r="AI85" i="101"/>
  <c r="AI84" i="101" s="1"/>
  <c r="AH85" i="101"/>
  <c r="AH84" i="101" s="1"/>
  <c r="AG85" i="101"/>
  <c r="AF85" i="101"/>
  <c r="AE85" i="101"/>
  <c r="AE84" i="101" s="1"/>
  <c r="AD85" i="101"/>
  <c r="AD84" i="101" s="1"/>
  <c r="AC85" i="101"/>
  <c r="AB85" i="101"/>
  <c r="AA85" i="101"/>
  <c r="Y85" i="101"/>
  <c r="Y84" i="101" s="1"/>
  <c r="X85" i="101"/>
  <c r="W85" i="101"/>
  <c r="W84" i="101" s="1"/>
  <c r="V85" i="101"/>
  <c r="U85" i="101"/>
  <c r="T85" i="101"/>
  <c r="S85" i="101"/>
  <c r="S84" i="101" s="1"/>
  <c r="R85" i="101"/>
  <c r="Q85" i="101"/>
  <c r="P85" i="101"/>
  <c r="O85" i="101"/>
  <c r="N85" i="101"/>
  <c r="I85" i="101"/>
  <c r="H85" i="101"/>
  <c r="G85" i="101"/>
  <c r="F85" i="101"/>
  <c r="E85" i="101"/>
  <c r="D85" i="101"/>
  <c r="C85" i="101"/>
  <c r="B85" i="101"/>
  <c r="A85" i="101"/>
  <c r="AS84" i="101"/>
  <c r="AR84" i="101"/>
  <c r="AO84" i="101"/>
  <c r="AN84" i="101"/>
  <c r="AK84" i="101"/>
  <c r="AJ84" i="101"/>
  <c r="AG84" i="101"/>
  <c r="AF84" i="101"/>
  <c r="AC84" i="101"/>
  <c r="AA84" i="101"/>
  <c r="Z84" i="101"/>
  <c r="U84" i="101"/>
  <c r="M84" i="101"/>
  <c r="L84" i="101"/>
  <c r="AV83" i="101"/>
  <c r="AU83" i="101"/>
  <c r="AT83" i="101"/>
  <c r="AS83" i="101"/>
  <c r="AR83" i="101"/>
  <c r="AQ83" i="101"/>
  <c r="AP83" i="101"/>
  <c r="AO83" i="101"/>
  <c r="AN83" i="101"/>
  <c r="AM83" i="101"/>
  <c r="AL83" i="101"/>
  <c r="AK83" i="101"/>
  <c r="AJ83" i="101"/>
  <c r="AI83" i="101"/>
  <c r="AH83" i="101"/>
  <c r="AG83" i="101"/>
  <c r="AF83" i="101"/>
  <c r="AE83" i="101"/>
  <c r="AD83" i="101"/>
  <c r="AC83" i="101"/>
  <c r="AB83" i="101"/>
  <c r="AA83" i="101"/>
  <c r="Y83" i="101"/>
  <c r="X83" i="101"/>
  <c r="W83" i="101"/>
  <c r="V83" i="101"/>
  <c r="U83" i="101"/>
  <c r="T83" i="101"/>
  <c r="S83" i="101"/>
  <c r="R83" i="101"/>
  <c r="Q83" i="101"/>
  <c r="P83" i="101"/>
  <c r="O83" i="101"/>
  <c r="N83" i="101"/>
  <c r="I83" i="101"/>
  <c r="H83" i="101"/>
  <c r="G83" i="101"/>
  <c r="F83" i="101"/>
  <c r="E83" i="101"/>
  <c r="D83" i="101"/>
  <c r="C83" i="101"/>
  <c r="B83" i="101"/>
  <c r="A83" i="101"/>
  <c r="AV82" i="101"/>
  <c r="AU82" i="101"/>
  <c r="AT82" i="101"/>
  <c r="AS82" i="101"/>
  <c r="AR82" i="101"/>
  <c r="AQ82" i="101"/>
  <c r="AP82" i="101"/>
  <c r="AO82" i="101"/>
  <c r="AN82" i="101"/>
  <c r="AM82" i="101"/>
  <c r="AL82" i="101"/>
  <c r="AK82" i="101"/>
  <c r="AJ82" i="101"/>
  <c r="AI82" i="101"/>
  <c r="AH82" i="101"/>
  <c r="AG82" i="101"/>
  <c r="AF82" i="101"/>
  <c r="AE82" i="101"/>
  <c r="AD82" i="101"/>
  <c r="AC82" i="101"/>
  <c r="AB82" i="101"/>
  <c r="AA82" i="101"/>
  <c r="Y82" i="101"/>
  <c r="X82" i="101"/>
  <c r="W82" i="101"/>
  <c r="V82" i="101"/>
  <c r="U82" i="101"/>
  <c r="T82" i="101"/>
  <c r="S82" i="101"/>
  <c r="R82" i="101"/>
  <c r="Q82" i="101"/>
  <c r="P82" i="101"/>
  <c r="O82" i="101"/>
  <c r="N82" i="101"/>
  <c r="I82" i="101"/>
  <c r="H82" i="101"/>
  <c r="G82" i="101"/>
  <c r="F82" i="101"/>
  <c r="E82" i="101"/>
  <c r="D82" i="101"/>
  <c r="C82" i="101"/>
  <c r="B82" i="101"/>
  <c r="A82" i="101"/>
  <c r="AV81" i="101"/>
  <c r="AU81" i="101"/>
  <c r="AT81" i="101"/>
  <c r="AS81" i="101"/>
  <c r="AR81" i="101"/>
  <c r="AQ81" i="101"/>
  <c r="AP81" i="101"/>
  <c r="AO81" i="101"/>
  <c r="AN81" i="101"/>
  <c r="AM81" i="101"/>
  <c r="AL81" i="101"/>
  <c r="AK81" i="101"/>
  <c r="AJ81" i="101"/>
  <c r="AI81" i="101"/>
  <c r="AH81" i="101"/>
  <c r="AG81" i="101"/>
  <c r="AF81" i="101"/>
  <c r="AE81" i="101"/>
  <c r="AD81" i="101"/>
  <c r="AC81" i="101"/>
  <c r="AB81" i="101"/>
  <c r="AA81" i="101"/>
  <c r="Y81" i="101"/>
  <c r="X81" i="101"/>
  <c r="W81" i="101"/>
  <c r="V81" i="101"/>
  <c r="U81" i="101"/>
  <c r="T81" i="101"/>
  <c r="S81" i="101"/>
  <c r="R81" i="101"/>
  <c r="Q81" i="101"/>
  <c r="P81" i="101"/>
  <c r="O81" i="101"/>
  <c r="N81" i="101"/>
  <c r="I81" i="101"/>
  <c r="H81" i="101"/>
  <c r="G81" i="101"/>
  <c r="F81" i="101"/>
  <c r="E81" i="101"/>
  <c r="D81" i="101"/>
  <c r="C81" i="101"/>
  <c r="B81" i="101"/>
  <c r="A81" i="101"/>
  <c r="AV80" i="101"/>
  <c r="AU80" i="101"/>
  <c r="AT80" i="101"/>
  <c r="AS80" i="101"/>
  <c r="AR80" i="101"/>
  <c r="AQ80" i="101"/>
  <c r="AP80" i="101"/>
  <c r="AO80" i="101"/>
  <c r="AN80" i="101"/>
  <c r="AM80" i="101"/>
  <c r="AL80" i="101"/>
  <c r="AK80" i="101"/>
  <c r="AJ80" i="101"/>
  <c r="AI80" i="101"/>
  <c r="AH80" i="101"/>
  <c r="AG80" i="101"/>
  <c r="AF80" i="101"/>
  <c r="AE80" i="101"/>
  <c r="AD80" i="101"/>
  <c r="AC80" i="101"/>
  <c r="AB80" i="101"/>
  <c r="AA80" i="101"/>
  <c r="Y80" i="101"/>
  <c r="X80" i="101"/>
  <c r="W80" i="101"/>
  <c r="V80" i="101"/>
  <c r="U80" i="101"/>
  <c r="T80" i="101"/>
  <c r="S80" i="101"/>
  <c r="R80" i="101"/>
  <c r="Q80" i="101"/>
  <c r="P80" i="101"/>
  <c r="O80" i="101"/>
  <c r="N80" i="101"/>
  <c r="I80" i="101"/>
  <c r="H80" i="101"/>
  <c r="G80" i="101"/>
  <c r="F80" i="101"/>
  <c r="E80" i="101"/>
  <c r="D80" i="101"/>
  <c r="C80" i="101"/>
  <c r="B80" i="101"/>
  <c r="A80" i="101"/>
  <c r="AV79" i="101"/>
  <c r="AU79" i="101"/>
  <c r="AT79" i="101"/>
  <c r="AS79" i="101"/>
  <c r="AR79" i="101"/>
  <c r="AQ79" i="101"/>
  <c r="AP79" i="101"/>
  <c r="AO79" i="101"/>
  <c r="AN79" i="101"/>
  <c r="AM79" i="101"/>
  <c r="AL79" i="101"/>
  <c r="AK79" i="101"/>
  <c r="AJ79" i="101"/>
  <c r="AI79" i="101"/>
  <c r="AH79" i="101"/>
  <c r="AG79" i="101"/>
  <c r="AF79" i="101"/>
  <c r="AE79" i="101"/>
  <c r="AD79" i="101"/>
  <c r="AC79" i="101"/>
  <c r="AB79" i="101"/>
  <c r="AA79" i="101"/>
  <c r="Y79" i="101"/>
  <c r="X79" i="101"/>
  <c r="W79" i="101"/>
  <c r="V79" i="101"/>
  <c r="U79" i="101"/>
  <c r="T79" i="101"/>
  <c r="S79" i="101"/>
  <c r="R79" i="101"/>
  <c r="Q79" i="101"/>
  <c r="P79" i="101"/>
  <c r="O79" i="101"/>
  <c r="N79" i="101"/>
  <c r="I79" i="101"/>
  <c r="H79" i="101"/>
  <c r="G79" i="101"/>
  <c r="F79" i="101"/>
  <c r="E79" i="101"/>
  <c r="D79" i="101"/>
  <c r="C79" i="101"/>
  <c r="B79" i="101"/>
  <c r="A79" i="101"/>
  <c r="AV78" i="101"/>
  <c r="AU78" i="101"/>
  <c r="AT78" i="101"/>
  <c r="AS78" i="101"/>
  <c r="AR78" i="101"/>
  <c r="AQ78" i="101"/>
  <c r="AP78" i="101"/>
  <c r="AO78" i="101"/>
  <c r="AN78" i="101"/>
  <c r="AM78" i="101"/>
  <c r="AL78" i="101"/>
  <c r="AK78" i="101"/>
  <c r="AJ78" i="101"/>
  <c r="AI78" i="101"/>
  <c r="AH78" i="101"/>
  <c r="AG78" i="101"/>
  <c r="AF78" i="101"/>
  <c r="AE78" i="101"/>
  <c r="AD78" i="101"/>
  <c r="AC78" i="101"/>
  <c r="AB78" i="101"/>
  <c r="AA78" i="101"/>
  <c r="Y78" i="101"/>
  <c r="X78" i="101"/>
  <c r="W78" i="101"/>
  <c r="V78" i="101"/>
  <c r="U78" i="101"/>
  <c r="T78" i="101"/>
  <c r="S78" i="101"/>
  <c r="R78" i="101"/>
  <c r="Q78" i="101"/>
  <c r="P78" i="101"/>
  <c r="O78" i="101"/>
  <c r="N78" i="101"/>
  <c r="I78" i="101"/>
  <c r="H78" i="101"/>
  <c r="G78" i="101"/>
  <c r="F78" i="101"/>
  <c r="E78" i="101"/>
  <c r="D78" i="101"/>
  <c r="C78" i="101"/>
  <c r="B78" i="101"/>
  <c r="A78" i="101"/>
  <c r="AV77" i="101"/>
  <c r="AU77" i="101"/>
  <c r="AT77" i="101"/>
  <c r="AS77" i="101"/>
  <c r="AR77" i="101"/>
  <c r="AQ77" i="101"/>
  <c r="AP77" i="101"/>
  <c r="AO77" i="101"/>
  <c r="AN77" i="101"/>
  <c r="AM77" i="101"/>
  <c r="AL77" i="101"/>
  <c r="AK77" i="101"/>
  <c r="AJ77" i="101"/>
  <c r="AI77" i="101"/>
  <c r="AH77" i="101"/>
  <c r="AG77" i="101"/>
  <c r="AF77" i="101"/>
  <c r="AE77" i="101"/>
  <c r="AD77" i="101"/>
  <c r="AC77" i="101"/>
  <c r="AB77" i="101"/>
  <c r="AA77" i="101"/>
  <c r="Y77" i="101"/>
  <c r="X77" i="101"/>
  <c r="W77" i="101"/>
  <c r="V77" i="101"/>
  <c r="U77" i="101"/>
  <c r="T77" i="101"/>
  <c r="S77" i="101"/>
  <c r="R77" i="101"/>
  <c r="Q77" i="101"/>
  <c r="P77" i="101"/>
  <c r="O77" i="101"/>
  <c r="N77" i="101"/>
  <c r="I77" i="101"/>
  <c r="H77" i="101"/>
  <c r="G77" i="101"/>
  <c r="F77" i="101"/>
  <c r="E77" i="101"/>
  <c r="D77" i="101"/>
  <c r="C77" i="101"/>
  <c r="B77" i="101"/>
  <c r="A77" i="101"/>
  <c r="AV76" i="101"/>
  <c r="AU76" i="101"/>
  <c r="AT76" i="101"/>
  <c r="AS76" i="101"/>
  <c r="AR76" i="101"/>
  <c r="AQ76" i="101"/>
  <c r="AP76" i="101"/>
  <c r="AO76" i="101"/>
  <c r="AN76" i="101"/>
  <c r="AM76" i="101"/>
  <c r="AL76" i="101"/>
  <c r="AK76" i="101"/>
  <c r="AJ76" i="101"/>
  <c r="AI76" i="101"/>
  <c r="AH76" i="101"/>
  <c r="AG76" i="101"/>
  <c r="AF76" i="101"/>
  <c r="AE76" i="101"/>
  <c r="AD76" i="101"/>
  <c r="AC76" i="101"/>
  <c r="AB76" i="101"/>
  <c r="AA76" i="101"/>
  <c r="Y76" i="101"/>
  <c r="X76" i="101"/>
  <c r="W76" i="101"/>
  <c r="V76" i="101"/>
  <c r="U76" i="101"/>
  <c r="T76" i="101"/>
  <c r="S76" i="101"/>
  <c r="R76" i="101"/>
  <c r="Q76" i="101"/>
  <c r="P76" i="101"/>
  <c r="O76" i="101"/>
  <c r="N76" i="101"/>
  <c r="I76" i="101"/>
  <c r="H76" i="101"/>
  <c r="G76" i="101"/>
  <c r="F76" i="101"/>
  <c r="E76" i="101"/>
  <c r="D76" i="101"/>
  <c r="C76" i="101"/>
  <c r="B76" i="101"/>
  <c r="A76" i="101"/>
  <c r="AV75" i="101"/>
  <c r="AV70" i="101" s="1"/>
  <c r="AU75" i="101"/>
  <c r="AT75" i="101"/>
  <c r="AS75" i="101"/>
  <c r="AR75" i="101"/>
  <c r="AQ75" i="101"/>
  <c r="AP75" i="101"/>
  <c r="AO75" i="101"/>
  <c r="AN75" i="101"/>
  <c r="AN70" i="101" s="1"/>
  <c r="AM75" i="101"/>
  <c r="AL75" i="101"/>
  <c r="AK75" i="101"/>
  <c r="AJ75" i="101"/>
  <c r="AJ70" i="101" s="1"/>
  <c r="AI75" i="101"/>
  <c r="AH75" i="101"/>
  <c r="AG75" i="101"/>
  <c r="AF75" i="101"/>
  <c r="AF70" i="101" s="1"/>
  <c r="AE75" i="101"/>
  <c r="AD75" i="101"/>
  <c r="AC75" i="101"/>
  <c r="AB75" i="101"/>
  <c r="AB70" i="101" s="1"/>
  <c r="AA75" i="101"/>
  <c r="Y75" i="101"/>
  <c r="X75" i="101"/>
  <c r="W75" i="101"/>
  <c r="W70" i="101" s="1"/>
  <c r="V75" i="101"/>
  <c r="U75" i="101"/>
  <c r="T75" i="101"/>
  <c r="S75" i="101"/>
  <c r="S70" i="101" s="1"/>
  <c r="R75" i="101"/>
  <c r="Q75" i="101"/>
  <c r="P75" i="101"/>
  <c r="O75" i="101"/>
  <c r="N75" i="101"/>
  <c r="I75" i="101"/>
  <c r="H75" i="101"/>
  <c r="G75" i="101"/>
  <c r="F75" i="101"/>
  <c r="E75" i="101"/>
  <c r="D75" i="101"/>
  <c r="C75" i="101"/>
  <c r="B75" i="101"/>
  <c r="A75" i="101"/>
  <c r="AV74" i="101"/>
  <c r="AU74" i="101"/>
  <c r="AT74" i="101"/>
  <c r="AV73" i="101"/>
  <c r="AU73" i="101"/>
  <c r="AT73" i="101"/>
  <c r="AS73" i="101"/>
  <c r="AR73" i="101"/>
  <c r="AQ73" i="101"/>
  <c r="AP73" i="101"/>
  <c r="AO73" i="101"/>
  <c r="AN73" i="101"/>
  <c r="AM73" i="101"/>
  <c r="AL73" i="101"/>
  <c r="AK73" i="101"/>
  <c r="AJ73" i="101"/>
  <c r="AI73" i="101"/>
  <c r="AH73" i="101"/>
  <c r="AG73" i="101"/>
  <c r="AF73" i="101"/>
  <c r="AE73" i="101"/>
  <c r="AD73" i="101"/>
  <c r="AC73" i="101"/>
  <c r="AB73" i="101"/>
  <c r="AA73" i="101"/>
  <c r="Y73" i="101"/>
  <c r="Y70" i="101" s="1"/>
  <c r="X73" i="101"/>
  <c r="W73" i="101"/>
  <c r="V73" i="101"/>
  <c r="U73" i="101"/>
  <c r="U70" i="101" s="1"/>
  <c r="T73" i="101"/>
  <c r="S73" i="101"/>
  <c r="R73" i="101"/>
  <c r="Q73" i="101"/>
  <c r="P73" i="101"/>
  <c r="O73" i="101"/>
  <c r="N73" i="101"/>
  <c r="I73" i="101"/>
  <c r="H73" i="101"/>
  <c r="G73" i="101"/>
  <c r="F73" i="101"/>
  <c r="E73" i="101"/>
  <c r="D73" i="101"/>
  <c r="C73" i="101"/>
  <c r="B73" i="101"/>
  <c r="A73" i="101"/>
  <c r="AV72" i="101"/>
  <c r="AU72" i="101"/>
  <c r="AT72" i="101"/>
  <c r="AS72" i="101"/>
  <c r="AS70" i="101" s="1"/>
  <c r="AR72" i="101"/>
  <c r="AQ72" i="101"/>
  <c r="AP72" i="101"/>
  <c r="AO72" i="101"/>
  <c r="AO70" i="101" s="1"/>
  <c r="AN72" i="101"/>
  <c r="AM72" i="101"/>
  <c r="AL72" i="101"/>
  <c r="AK72" i="101"/>
  <c r="AK70" i="101" s="1"/>
  <c r="AJ72" i="101"/>
  <c r="AI72" i="101"/>
  <c r="AH72" i="101"/>
  <c r="AG72" i="101"/>
  <c r="AG70" i="101" s="1"/>
  <c r="AF72" i="101"/>
  <c r="AE72" i="101"/>
  <c r="AD72" i="101"/>
  <c r="AC72" i="101"/>
  <c r="AC70" i="101" s="1"/>
  <c r="AB72" i="101"/>
  <c r="AA72" i="101"/>
  <c r="Y72" i="101"/>
  <c r="X72" i="101"/>
  <c r="X70" i="101" s="1"/>
  <c r="W72" i="101"/>
  <c r="V72" i="101"/>
  <c r="U72" i="101"/>
  <c r="T72" i="101"/>
  <c r="T70" i="101" s="1"/>
  <c r="S72" i="101"/>
  <c r="I72" i="101"/>
  <c r="H72" i="101"/>
  <c r="G72" i="101"/>
  <c r="F72" i="101"/>
  <c r="E72" i="101"/>
  <c r="D72" i="101"/>
  <c r="C72" i="101"/>
  <c r="B72" i="101"/>
  <c r="A72" i="101"/>
  <c r="AV71" i="101"/>
  <c r="AU71" i="101"/>
  <c r="AU70" i="101" s="1"/>
  <c r="AT71" i="101"/>
  <c r="AS71" i="101"/>
  <c r="AR71" i="101"/>
  <c r="AQ71" i="101"/>
  <c r="AQ70" i="101" s="1"/>
  <c r="AP71" i="101"/>
  <c r="AO71" i="101"/>
  <c r="AN71" i="101"/>
  <c r="AM71" i="101"/>
  <c r="AM70" i="101" s="1"/>
  <c r="AL71" i="101"/>
  <c r="AK71" i="101"/>
  <c r="AJ71" i="101"/>
  <c r="AI71" i="101"/>
  <c r="AI70" i="101" s="1"/>
  <c r="AH71" i="101"/>
  <c r="AG71" i="101"/>
  <c r="AF71" i="101"/>
  <c r="AE71" i="101"/>
  <c r="AE70" i="101" s="1"/>
  <c r="AD71" i="101"/>
  <c r="AC71" i="101"/>
  <c r="AB71" i="101"/>
  <c r="AA71" i="101"/>
  <c r="AA70" i="101" s="1"/>
  <c r="Y71" i="101"/>
  <c r="X71" i="101"/>
  <c r="W71" i="101"/>
  <c r="V71" i="101"/>
  <c r="U71" i="101"/>
  <c r="T71" i="101"/>
  <c r="S71" i="101"/>
  <c r="R71" i="101"/>
  <c r="Q71" i="101"/>
  <c r="P71" i="101"/>
  <c r="O71" i="101"/>
  <c r="N71" i="101"/>
  <c r="I71" i="101"/>
  <c r="H71" i="101"/>
  <c r="G71" i="101"/>
  <c r="F71" i="101"/>
  <c r="E71" i="101"/>
  <c r="D71" i="101"/>
  <c r="C71" i="101"/>
  <c r="B71" i="101"/>
  <c r="A71" i="101"/>
  <c r="AT70" i="101"/>
  <c r="AR70" i="101"/>
  <c r="AP70" i="101"/>
  <c r="AL70" i="101"/>
  <c r="AH70" i="101"/>
  <c r="AD70" i="101"/>
  <c r="Z70" i="101"/>
  <c r="V70" i="101"/>
  <c r="R70" i="101"/>
  <c r="M70" i="101"/>
  <c r="L70" i="101"/>
  <c r="AV69" i="101"/>
  <c r="AU69" i="101"/>
  <c r="AT69" i="101"/>
  <c r="AS69" i="101"/>
  <c r="AR69" i="101"/>
  <c r="AQ69" i="101"/>
  <c r="AQ63" i="101" s="1"/>
  <c r="AP69" i="101"/>
  <c r="AO69" i="101"/>
  <c r="AN69" i="101"/>
  <c r="AM69" i="101"/>
  <c r="AM63" i="101" s="1"/>
  <c r="AL69" i="101"/>
  <c r="AK69" i="101"/>
  <c r="AJ69" i="101"/>
  <c r="AI69" i="101"/>
  <c r="AH69" i="101"/>
  <c r="AG69" i="101"/>
  <c r="AF69" i="101"/>
  <c r="AE69" i="101"/>
  <c r="AD69" i="101"/>
  <c r="AC69" i="101"/>
  <c r="AB69" i="101"/>
  <c r="AA69" i="101"/>
  <c r="Y69" i="101"/>
  <c r="X69" i="101"/>
  <c r="W69" i="101"/>
  <c r="U69" i="101"/>
  <c r="T69" i="101"/>
  <c r="S69" i="101"/>
  <c r="R69" i="101"/>
  <c r="Q69" i="101"/>
  <c r="P69" i="101"/>
  <c r="O69" i="101"/>
  <c r="N69" i="101"/>
  <c r="I69" i="101"/>
  <c r="H69" i="101"/>
  <c r="G69" i="101"/>
  <c r="F69" i="101"/>
  <c r="E69" i="101"/>
  <c r="D69" i="101"/>
  <c r="C69" i="101"/>
  <c r="B69" i="101"/>
  <c r="A69" i="101"/>
  <c r="AV68" i="101"/>
  <c r="AU68" i="101"/>
  <c r="AT68" i="101"/>
  <c r="AS68" i="101"/>
  <c r="AS63" i="101" s="1"/>
  <c r="AR68" i="101"/>
  <c r="AQ68" i="101"/>
  <c r="AP68" i="101"/>
  <c r="AO68" i="101"/>
  <c r="AO63" i="101" s="1"/>
  <c r="AN68" i="101"/>
  <c r="AM68" i="101"/>
  <c r="AL68" i="101"/>
  <c r="AK68" i="101"/>
  <c r="AK63" i="101" s="1"/>
  <c r="AJ68" i="101"/>
  <c r="AI68" i="101"/>
  <c r="AH68" i="101"/>
  <c r="AG68" i="101"/>
  <c r="AF68" i="101"/>
  <c r="AE68" i="101"/>
  <c r="AD68" i="101"/>
  <c r="AC68" i="101"/>
  <c r="AC63" i="101" s="1"/>
  <c r="AB68" i="101"/>
  <c r="AA68" i="101"/>
  <c r="Y68" i="101"/>
  <c r="X68" i="101"/>
  <c r="X63" i="101" s="1"/>
  <c r="W68" i="101"/>
  <c r="U68" i="101"/>
  <c r="T68" i="101"/>
  <c r="S68" i="101"/>
  <c r="S63" i="101" s="1"/>
  <c r="R68" i="101"/>
  <c r="Q68" i="101"/>
  <c r="P68" i="101"/>
  <c r="O68" i="101"/>
  <c r="N68" i="101"/>
  <c r="I68" i="101"/>
  <c r="H68" i="101"/>
  <c r="G68" i="101"/>
  <c r="F68" i="101"/>
  <c r="E68" i="101"/>
  <c r="D68" i="101"/>
  <c r="C68" i="101"/>
  <c r="B68" i="101"/>
  <c r="A68" i="101"/>
  <c r="AV67" i="101"/>
  <c r="AU67" i="101"/>
  <c r="AT67" i="101"/>
  <c r="AV66" i="101"/>
  <c r="AU66" i="101"/>
  <c r="AT66" i="101"/>
  <c r="AS66" i="101"/>
  <c r="AR66" i="101"/>
  <c r="AQ66" i="101"/>
  <c r="AP66" i="101"/>
  <c r="AO66" i="101"/>
  <c r="AN66" i="101"/>
  <c r="AM66" i="101"/>
  <c r="AL66" i="101"/>
  <c r="AK66" i="101"/>
  <c r="AJ66" i="101"/>
  <c r="AI66" i="101"/>
  <c r="AH66" i="101"/>
  <c r="AG66" i="101"/>
  <c r="AF66" i="101"/>
  <c r="AE66" i="101"/>
  <c r="AD66" i="101"/>
  <c r="AC66" i="101"/>
  <c r="AB66" i="101"/>
  <c r="AA66" i="101"/>
  <c r="Y66" i="101"/>
  <c r="X66" i="101"/>
  <c r="W66" i="101"/>
  <c r="V66" i="101"/>
  <c r="U66" i="101"/>
  <c r="T66" i="101"/>
  <c r="S66" i="101"/>
  <c r="I66" i="101"/>
  <c r="H66" i="101"/>
  <c r="G66" i="101"/>
  <c r="F66" i="101"/>
  <c r="E66" i="101"/>
  <c r="D66" i="101"/>
  <c r="C66" i="101"/>
  <c r="B66" i="101"/>
  <c r="A66" i="101"/>
  <c r="AV65" i="101"/>
  <c r="AU65" i="101"/>
  <c r="AT65" i="101"/>
  <c r="AS65" i="101"/>
  <c r="AR65" i="101"/>
  <c r="AR63" i="101" s="1"/>
  <c r="AQ65" i="101"/>
  <c r="AP65" i="101"/>
  <c r="AO65" i="101"/>
  <c r="AN65" i="101"/>
  <c r="AN63" i="101" s="1"/>
  <c r="AM65" i="101"/>
  <c r="AL65" i="101"/>
  <c r="AK65" i="101"/>
  <c r="AJ65" i="101"/>
  <c r="AI65" i="101"/>
  <c r="AH65" i="101"/>
  <c r="AG65" i="101"/>
  <c r="AF65" i="101"/>
  <c r="AE65" i="101"/>
  <c r="AD65" i="101"/>
  <c r="AC65" i="101"/>
  <c r="AB65" i="101"/>
  <c r="AB63" i="101" s="1"/>
  <c r="AA65" i="101"/>
  <c r="Y65" i="101"/>
  <c r="X65" i="101"/>
  <c r="W65" i="101"/>
  <c r="W63" i="101" s="1"/>
  <c r="U65" i="101"/>
  <c r="T65" i="101"/>
  <c r="S65" i="101"/>
  <c r="R65" i="101"/>
  <c r="R63" i="101" s="1"/>
  <c r="Q65" i="101"/>
  <c r="P65" i="101"/>
  <c r="O65" i="101"/>
  <c r="N65" i="101"/>
  <c r="I65" i="101"/>
  <c r="H65" i="101"/>
  <c r="G65" i="101"/>
  <c r="F65" i="101"/>
  <c r="E65" i="101"/>
  <c r="D65" i="101"/>
  <c r="C65" i="101"/>
  <c r="B65" i="101"/>
  <c r="A65" i="101"/>
  <c r="AV64" i="101"/>
  <c r="AU64" i="101"/>
  <c r="AT64" i="101"/>
  <c r="AS64" i="101"/>
  <c r="AR64" i="101"/>
  <c r="AQ64" i="101"/>
  <c r="AP64" i="101"/>
  <c r="AO64" i="101"/>
  <c r="AN64" i="101"/>
  <c r="AM64" i="101"/>
  <c r="AL64" i="101"/>
  <c r="AK64" i="101"/>
  <c r="AJ64" i="101"/>
  <c r="AI64" i="101"/>
  <c r="AH64" i="101"/>
  <c r="AG64" i="101"/>
  <c r="AF64" i="101"/>
  <c r="AE64" i="101"/>
  <c r="AD64" i="101"/>
  <c r="AC64" i="101"/>
  <c r="AB64" i="101"/>
  <c r="AA64" i="101"/>
  <c r="Y64" i="101"/>
  <c r="Y63" i="101" s="1"/>
  <c r="X64" i="101"/>
  <c r="W64" i="101"/>
  <c r="U64" i="101"/>
  <c r="T64" i="101"/>
  <c r="T63" i="101" s="1"/>
  <c r="S64" i="101"/>
  <c r="R64" i="101"/>
  <c r="Q64" i="101"/>
  <c r="P64" i="101"/>
  <c r="O64" i="101"/>
  <c r="N64" i="101"/>
  <c r="I64" i="101"/>
  <c r="H64" i="101"/>
  <c r="G64" i="101"/>
  <c r="F64" i="101"/>
  <c r="E64" i="101"/>
  <c r="D64" i="101"/>
  <c r="C64" i="101"/>
  <c r="B64" i="101"/>
  <c r="A64" i="101"/>
  <c r="AT63" i="101"/>
  <c r="AP63" i="101"/>
  <c r="AL63" i="101"/>
  <c r="Z63" i="101"/>
  <c r="U63" i="101"/>
  <c r="M63" i="101"/>
  <c r="L63" i="101"/>
  <c r="AV62" i="101"/>
  <c r="AU62" i="101"/>
  <c r="AT62" i="101"/>
  <c r="AT60" i="101" s="1"/>
  <c r="AS62" i="101"/>
  <c r="AR62" i="101"/>
  <c r="AQ62" i="101"/>
  <c r="AP62" i="101"/>
  <c r="AP60" i="101" s="1"/>
  <c r="AO62" i="101"/>
  <c r="AN62" i="101"/>
  <c r="AM62" i="101"/>
  <c r="AL62" i="101"/>
  <c r="AL60" i="101" s="1"/>
  <c r="AK62" i="101"/>
  <c r="AJ62" i="101"/>
  <c r="AI62" i="101"/>
  <c r="AH62" i="101"/>
  <c r="AG62" i="101"/>
  <c r="AF62" i="101"/>
  <c r="AE62" i="101"/>
  <c r="AD62" i="101"/>
  <c r="AC62" i="101"/>
  <c r="AB62" i="101"/>
  <c r="AA62" i="101"/>
  <c r="Y62" i="101"/>
  <c r="X62" i="101"/>
  <c r="W62" i="101"/>
  <c r="U62" i="101"/>
  <c r="T62" i="101"/>
  <c r="S62" i="101"/>
  <c r="R62" i="101"/>
  <c r="Q62" i="101"/>
  <c r="P62" i="101"/>
  <c r="O62" i="101"/>
  <c r="N62" i="101"/>
  <c r="I62" i="101"/>
  <c r="H62" i="101"/>
  <c r="G62" i="101"/>
  <c r="F62" i="101"/>
  <c r="E62" i="101"/>
  <c r="D62" i="101"/>
  <c r="C62" i="101"/>
  <c r="B62" i="101"/>
  <c r="A62" i="101"/>
  <c r="AV61" i="101"/>
  <c r="AU61" i="101"/>
  <c r="AT61" i="101"/>
  <c r="AS61" i="101"/>
  <c r="AR61" i="101"/>
  <c r="AR60" i="101" s="1"/>
  <c r="AQ61" i="101"/>
  <c r="AP61" i="101"/>
  <c r="AO61" i="101"/>
  <c r="AN61" i="101"/>
  <c r="AN60" i="101" s="1"/>
  <c r="AM61" i="101"/>
  <c r="AL61" i="101"/>
  <c r="AK61" i="101"/>
  <c r="AJ61" i="101"/>
  <c r="AI61" i="101"/>
  <c r="AH61" i="101"/>
  <c r="AG61" i="101"/>
  <c r="AF61" i="101"/>
  <c r="AE61" i="101"/>
  <c r="AD61" i="101"/>
  <c r="AC61" i="101"/>
  <c r="AB61" i="101"/>
  <c r="AB60" i="101" s="1"/>
  <c r="AA61" i="101"/>
  <c r="Y61" i="101"/>
  <c r="X61" i="101"/>
  <c r="W61" i="101"/>
  <c r="W60" i="101" s="1"/>
  <c r="U61" i="101"/>
  <c r="T61" i="101"/>
  <c r="S61" i="101"/>
  <c r="S60" i="101" s="1"/>
  <c r="R61" i="101"/>
  <c r="Q61" i="101"/>
  <c r="P61" i="101"/>
  <c r="O61" i="101"/>
  <c r="N61" i="101"/>
  <c r="I61" i="101"/>
  <c r="H61" i="101"/>
  <c r="G61" i="101"/>
  <c r="F61" i="101"/>
  <c r="E61" i="101"/>
  <c r="D61" i="101"/>
  <c r="C61" i="101"/>
  <c r="B61" i="101"/>
  <c r="A61" i="101"/>
  <c r="AS60" i="101"/>
  <c r="AQ60" i="101"/>
  <c r="AO60" i="101"/>
  <c r="AM60" i="101"/>
  <c r="AK60" i="101"/>
  <c r="AC60" i="101"/>
  <c r="Z60" i="101"/>
  <c r="Y60" i="101"/>
  <c r="X60" i="101"/>
  <c r="U60" i="101"/>
  <c r="T60" i="101"/>
  <c r="R60" i="101"/>
  <c r="M60" i="101"/>
  <c r="L60" i="101"/>
  <c r="AV59" i="101"/>
  <c r="AU59" i="101"/>
  <c r="AT59" i="101"/>
  <c r="AR59" i="101"/>
  <c r="AJ59" i="101"/>
  <c r="AI59" i="101"/>
  <c r="AH59" i="101"/>
  <c r="AG59" i="101"/>
  <c r="AF59" i="101"/>
  <c r="AE59" i="101"/>
  <c r="AD59" i="101"/>
  <c r="AC59" i="101"/>
  <c r="AB59" i="101"/>
  <c r="AA59" i="101"/>
  <c r="Y59" i="101"/>
  <c r="X59" i="101"/>
  <c r="W59" i="101"/>
  <c r="V59" i="101"/>
  <c r="U59" i="101"/>
  <c r="T59" i="101"/>
  <c r="S59" i="101"/>
  <c r="R59" i="101"/>
  <c r="Q59" i="101"/>
  <c r="P59" i="101"/>
  <c r="O59" i="101"/>
  <c r="N59" i="101"/>
  <c r="AV58" i="101"/>
  <c r="AU58" i="101"/>
  <c r="AT58" i="101"/>
  <c r="AS58" i="101"/>
  <c r="AR58" i="101"/>
  <c r="AQ58" i="101"/>
  <c r="AP58" i="101"/>
  <c r="AO58" i="101"/>
  <c r="AN58" i="101"/>
  <c r="AM58" i="101"/>
  <c r="AL58" i="101"/>
  <c r="AK58" i="101"/>
  <c r="AJ58" i="101"/>
  <c r="AI58" i="101"/>
  <c r="AH58" i="101"/>
  <c r="AG58" i="101"/>
  <c r="AF58" i="101"/>
  <c r="AE58" i="101"/>
  <c r="AD58" i="101"/>
  <c r="AC58" i="101"/>
  <c r="AA58" i="101"/>
  <c r="Y58" i="101"/>
  <c r="X58" i="101"/>
  <c r="W58" i="101"/>
  <c r="U58" i="101"/>
  <c r="T58" i="101"/>
  <c r="T48" i="101" s="1"/>
  <c r="S58" i="101"/>
  <c r="R58" i="101"/>
  <c r="Q58" i="101"/>
  <c r="P58" i="101"/>
  <c r="O58" i="101"/>
  <c r="N58" i="101"/>
  <c r="I58" i="101"/>
  <c r="H58" i="101"/>
  <c r="G58" i="101"/>
  <c r="F58" i="101"/>
  <c r="E58" i="101"/>
  <c r="D58" i="101"/>
  <c r="C58" i="101"/>
  <c r="B58" i="101"/>
  <c r="A58" i="101"/>
  <c r="AV57" i="101"/>
  <c r="AU57" i="101"/>
  <c r="AT57" i="101"/>
  <c r="AS57" i="101"/>
  <c r="AR57" i="101"/>
  <c r="AQ57" i="101"/>
  <c r="AP57" i="101"/>
  <c r="AO57" i="101"/>
  <c r="AN57" i="101"/>
  <c r="AM57" i="101"/>
  <c r="AL57" i="101"/>
  <c r="AK57" i="101"/>
  <c r="AJ57" i="101"/>
  <c r="AI57" i="101"/>
  <c r="AH57" i="101"/>
  <c r="AG57" i="101"/>
  <c r="AF57" i="101"/>
  <c r="AE57" i="101"/>
  <c r="AD57" i="101"/>
  <c r="AC57" i="101"/>
  <c r="AA57" i="101"/>
  <c r="Y57" i="101"/>
  <c r="X57" i="101"/>
  <c r="W57" i="101"/>
  <c r="V57" i="101"/>
  <c r="U57" i="101"/>
  <c r="T57" i="101"/>
  <c r="S57" i="101"/>
  <c r="R57" i="101"/>
  <c r="Q57" i="101"/>
  <c r="P57" i="101"/>
  <c r="O57" i="101"/>
  <c r="N57" i="101"/>
  <c r="I57" i="101"/>
  <c r="H57" i="101"/>
  <c r="G57" i="101"/>
  <c r="F57" i="101"/>
  <c r="E57" i="101"/>
  <c r="D57" i="101"/>
  <c r="C57" i="101"/>
  <c r="B57" i="101"/>
  <c r="A57" i="101"/>
  <c r="AV56" i="101"/>
  <c r="AU56" i="101"/>
  <c r="AT56" i="101"/>
  <c r="AS56" i="101"/>
  <c r="AR56" i="101"/>
  <c r="AQ56" i="101"/>
  <c r="AP56" i="101"/>
  <c r="AO56" i="101"/>
  <c r="AN56" i="101"/>
  <c r="AM56" i="101"/>
  <c r="AL56" i="101"/>
  <c r="AK56" i="101"/>
  <c r="AJ56" i="101"/>
  <c r="AI56" i="101"/>
  <c r="AH56" i="101"/>
  <c r="AG56" i="101"/>
  <c r="AF56" i="101"/>
  <c r="AE56" i="101"/>
  <c r="AD56" i="101"/>
  <c r="AC56" i="101"/>
  <c r="AB56" i="101"/>
  <c r="AA56" i="101"/>
  <c r="Y56" i="101"/>
  <c r="X56" i="101"/>
  <c r="W56" i="101"/>
  <c r="V56" i="101"/>
  <c r="U56" i="101"/>
  <c r="T56" i="101"/>
  <c r="S56" i="101"/>
  <c r="I56" i="101"/>
  <c r="H56" i="101"/>
  <c r="G56" i="101"/>
  <c r="F56" i="101"/>
  <c r="E56" i="101"/>
  <c r="D56" i="101"/>
  <c r="C56" i="101"/>
  <c r="B56" i="101"/>
  <c r="A56" i="101"/>
  <c r="AV55" i="101"/>
  <c r="AU55" i="101"/>
  <c r="AT55" i="101"/>
  <c r="AS55" i="101"/>
  <c r="AR55" i="101"/>
  <c r="AQ55" i="101"/>
  <c r="AP55" i="101"/>
  <c r="AO55" i="101"/>
  <c r="AN55" i="101"/>
  <c r="AM55" i="101"/>
  <c r="AL55" i="101"/>
  <c r="AK55" i="101"/>
  <c r="AJ55" i="101"/>
  <c r="AI55" i="101"/>
  <c r="AH55" i="101"/>
  <c r="AG55" i="101"/>
  <c r="AF55" i="101"/>
  <c r="AE55" i="101"/>
  <c r="AD55" i="101"/>
  <c r="AC55" i="101"/>
  <c r="AB55" i="101"/>
  <c r="AA55" i="101"/>
  <c r="Y55" i="101"/>
  <c r="X55" i="101"/>
  <c r="W55" i="101"/>
  <c r="V55" i="101"/>
  <c r="U55" i="101"/>
  <c r="T55" i="101"/>
  <c r="S55" i="101"/>
  <c r="I55" i="101"/>
  <c r="H55" i="101"/>
  <c r="G55" i="101"/>
  <c r="F55" i="101"/>
  <c r="E55" i="101"/>
  <c r="D55" i="101"/>
  <c r="C55" i="101"/>
  <c r="B55" i="101"/>
  <c r="A55" i="101"/>
  <c r="AV54" i="101"/>
  <c r="AU54" i="101"/>
  <c r="AT54" i="101"/>
  <c r="AV53" i="101"/>
  <c r="AU53" i="101"/>
  <c r="AT53" i="101"/>
  <c r="AS53" i="101"/>
  <c r="AR53" i="101"/>
  <c r="AQ53" i="101"/>
  <c r="AP53" i="101"/>
  <c r="AO53" i="101"/>
  <c r="AN53" i="101"/>
  <c r="AM53" i="101"/>
  <c r="AL53" i="101"/>
  <c r="AK53" i="101"/>
  <c r="AJ53" i="101"/>
  <c r="AI53" i="101"/>
  <c r="AH53" i="101"/>
  <c r="AG53" i="101"/>
  <c r="AF53" i="101"/>
  <c r="AE53" i="101"/>
  <c r="AD53" i="101"/>
  <c r="AC53" i="101"/>
  <c r="AB53" i="101"/>
  <c r="AA53" i="101"/>
  <c r="Y53" i="101"/>
  <c r="X53" i="101"/>
  <c r="W53" i="101"/>
  <c r="U53" i="101"/>
  <c r="T53" i="101"/>
  <c r="S53" i="101"/>
  <c r="R53" i="101"/>
  <c r="Q53" i="101"/>
  <c r="P53" i="101"/>
  <c r="O53" i="101"/>
  <c r="N53" i="101"/>
  <c r="I53" i="101"/>
  <c r="H53" i="101"/>
  <c r="G53" i="101"/>
  <c r="F53" i="101"/>
  <c r="E53" i="101"/>
  <c r="D53" i="101"/>
  <c r="C53" i="101"/>
  <c r="B53" i="101"/>
  <c r="A53" i="101"/>
  <c r="AV52" i="101"/>
  <c r="AU52" i="101"/>
  <c r="AT52" i="101"/>
  <c r="AS52" i="101"/>
  <c r="AS48" i="101" s="1"/>
  <c r="AR52" i="101"/>
  <c r="AQ52" i="101"/>
  <c r="AP52" i="101"/>
  <c r="AO52" i="101"/>
  <c r="AO48" i="101" s="1"/>
  <c r="AN52" i="101"/>
  <c r="AM52" i="101"/>
  <c r="AL52" i="101"/>
  <c r="AK52" i="101"/>
  <c r="AK48" i="101" s="1"/>
  <c r="AJ52" i="101"/>
  <c r="AI52" i="101"/>
  <c r="AH52" i="101"/>
  <c r="AG52" i="101"/>
  <c r="AG48" i="101" s="1"/>
  <c r="AF52" i="101"/>
  <c r="AE52" i="101"/>
  <c r="AD52" i="101"/>
  <c r="AC52" i="101"/>
  <c r="AC48" i="101" s="1"/>
  <c r="AB52" i="101"/>
  <c r="AA52" i="101"/>
  <c r="Y52" i="101"/>
  <c r="X52" i="101"/>
  <c r="X48" i="101" s="1"/>
  <c r="W52" i="101"/>
  <c r="U52" i="101"/>
  <c r="T52" i="101"/>
  <c r="S52" i="101"/>
  <c r="S48" i="101" s="1"/>
  <c r="R52" i="101"/>
  <c r="Q52" i="101"/>
  <c r="P52" i="101"/>
  <c r="O52" i="101"/>
  <c r="N52" i="101"/>
  <c r="I52" i="101"/>
  <c r="H52" i="101"/>
  <c r="G52" i="101"/>
  <c r="F52" i="101"/>
  <c r="E52" i="101"/>
  <c r="D52" i="101"/>
  <c r="C52" i="101"/>
  <c r="B52" i="101"/>
  <c r="A52" i="101"/>
  <c r="AV51" i="101"/>
  <c r="AU51" i="101"/>
  <c r="AU48" i="101" s="1"/>
  <c r="AT51" i="101"/>
  <c r="AS51" i="101"/>
  <c r="AR51" i="101"/>
  <c r="AQ51" i="101"/>
  <c r="AQ48" i="101" s="1"/>
  <c r="AP51" i="101"/>
  <c r="AO51" i="101"/>
  <c r="AN51" i="101"/>
  <c r="AM51" i="101"/>
  <c r="AM48" i="101" s="1"/>
  <c r="AL51" i="101"/>
  <c r="AK51" i="101"/>
  <c r="AJ51" i="101"/>
  <c r="AI51" i="101"/>
  <c r="AI48" i="101" s="1"/>
  <c r="AH51" i="101"/>
  <c r="AG51" i="101"/>
  <c r="AF51" i="101"/>
  <c r="AE51" i="101"/>
  <c r="AE48" i="101" s="1"/>
  <c r="AD51" i="101"/>
  <c r="AC51" i="101"/>
  <c r="AB51" i="101"/>
  <c r="AA51" i="101"/>
  <c r="Y51" i="101"/>
  <c r="X51" i="101"/>
  <c r="W51" i="101"/>
  <c r="U51" i="101"/>
  <c r="T51" i="101"/>
  <c r="S51" i="101"/>
  <c r="R51" i="101"/>
  <c r="Q51" i="101"/>
  <c r="P51" i="101"/>
  <c r="O51" i="101"/>
  <c r="N51" i="101"/>
  <c r="I51" i="101"/>
  <c r="H51" i="101"/>
  <c r="G51" i="101"/>
  <c r="F51" i="101"/>
  <c r="E51" i="101"/>
  <c r="D51" i="101"/>
  <c r="C51" i="101"/>
  <c r="B51" i="101"/>
  <c r="A51" i="101"/>
  <c r="AV50" i="101"/>
  <c r="AU50" i="101"/>
  <c r="AT50" i="101"/>
  <c r="AS50" i="101"/>
  <c r="AR50" i="101"/>
  <c r="AQ50" i="101"/>
  <c r="AP50" i="101"/>
  <c r="AO50" i="101"/>
  <c r="AN50" i="101"/>
  <c r="AM50" i="101"/>
  <c r="AL50" i="101"/>
  <c r="AK50" i="101"/>
  <c r="AJ50" i="101"/>
  <c r="AI50" i="101"/>
  <c r="AH50" i="101"/>
  <c r="AG50" i="101"/>
  <c r="AF50" i="101"/>
  <c r="AE50" i="101"/>
  <c r="AD50" i="101"/>
  <c r="AC50" i="101"/>
  <c r="AB50" i="101"/>
  <c r="AA50" i="101"/>
  <c r="Y50" i="101"/>
  <c r="X50" i="101"/>
  <c r="W50" i="101"/>
  <c r="U50" i="101"/>
  <c r="T50" i="101"/>
  <c r="S50" i="101"/>
  <c r="AV49" i="101"/>
  <c r="AU49" i="101"/>
  <c r="AT49" i="101"/>
  <c r="AT48" i="101" s="1"/>
  <c r="AS49" i="101"/>
  <c r="AR49" i="101"/>
  <c r="AQ49" i="101"/>
  <c r="AP49" i="101"/>
  <c r="AP48" i="101" s="1"/>
  <c r="AO49" i="101"/>
  <c r="AN49" i="101"/>
  <c r="AM49" i="101"/>
  <c r="AL49" i="101"/>
  <c r="AL48" i="101" s="1"/>
  <c r="AK49" i="101"/>
  <c r="AJ49" i="101"/>
  <c r="AI49" i="101"/>
  <c r="AH49" i="101"/>
  <c r="AH48" i="101" s="1"/>
  <c r="AG49" i="101"/>
  <c r="AF49" i="101"/>
  <c r="AE49" i="101"/>
  <c r="AD49" i="101"/>
  <c r="AD48" i="101" s="1"/>
  <c r="AC49" i="101"/>
  <c r="AB49" i="101"/>
  <c r="AA49" i="101"/>
  <c r="Y49" i="101"/>
  <c r="Y48" i="101" s="1"/>
  <c r="X49" i="101"/>
  <c r="W49" i="101"/>
  <c r="U49" i="101"/>
  <c r="U48" i="101" s="1"/>
  <c r="T49" i="101"/>
  <c r="S49" i="101"/>
  <c r="R49" i="101"/>
  <c r="Q49" i="101"/>
  <c r="P49" i="101"/>
  <c r="O49" i="101"/>
  <c r="N49" i="101"/>
  <c r="AV48" i="101"/>
  <c r="AR48" i="101"/>
  <c r="AN48" i="101"/>
  <c r="AJ48" i="101"/>
  <c r="AF48" i="101"/>
  <c r="AA48" i="101"/>
  <c r="Z48" i="101"/>
  <c r="W48" i="101"/>
  <c r="R48" i="101"/>
  <c r="M48" i="101"/>
  <c r="L48" i="101"/>
  <c r="AV47" i="101"/>
  <c r="AU47" i="101"/>
  <c r="AT47" i="101"/>
  <c r="AR47" i="101"/>
  <c r="AJ47" i="101"/>
  <c r="AI47" i="101"/>
  <c r="AH47" i="101"/>
  <c r="AG47" i="101"/>
  <c r="AF47" i="101"/>
  <c r="AE47" i="101"/>
  <c r="AD47" i="101"/>
  <c r="AC47" i="101"/>
  <c r="AB47" i="101"/>
  <c r="AA47" i="101"/>
  <c r="Y47" i="101"/>
  <c r="X47" i="101"/>
  <c r="W47" i="101"/>
  <c r="V47" i="101"/>
  <c r="U47" i="101"/>
  <c r="T47" i="101"/>
  <c r="S47" i="101"/>
  <c r="R47" i="101"/>
  <c r="Q47" i="101"/>
  <c r="P47" i="101"/>
  <c r="O47" i="101"/>
  <c r="N47" i="101"/>
  <c r="AV46" i="101"/>
  <c r="AU46" i="101"/>
  <c r="AT46" i="101"/>
  <c r="AS46" i="101"/>
  <c r="AR46" i="101"/>
  <c r="AQ46" i="101"/>
  <c r="AP46" i="101"/>
  <c r="AO46" i="101"/>
  <c r="AN46" i="101"/>
  <c r="AM46" i="101"/>
  <c r="AL46" i="101"/>
  <c r="AK46" i="101"/>
  <c r="AJ46" i="101"/>
  <c r="AI46" i="101"/>
  <c r="AH46" i="101"/>
  <c r="AG46" i="101"/>
  <c r="AF46" i="101"/>
  <c r="AE46" i="101"/>
  <c r="AD46" i="101"/>
  <c r="AC46" i="101"/>
  <c r="AB46" i="101"/>
  <c r="AA46" i="101"/>
  <c r="Y46" i="101"/>
  <c r="X46" i="101"/>
  <c r="W46" i="101"/>
  <c r="V46" i="101"/>
  <c r="U46" i="101"/>
  <c r="T46" i="101"/>
  <c r="S46" i="101"/>
  <c r="Q46" i="101"/>
  <c r="P46" i="101"/>
  <c r="O46" i="101"/>
  <c r="AV45" i="101"/>
  <c r="AU45" i="101"/>
  <c r="AT45" i="101"/>
  <c r="AS45" i="101"/>
  <c r="AR45" i="101"/>
  <c r="AQ45" i="101"/>
  <c r="AP45" i="101"/>
  <c r="AO45" i="101"/>
  <c r="AN45" i="101"/>
  <c r="AM45" i="101"/>
  <c r="AL45" i="101"/>
  <c r="AK45" i="101"/>
  <c r="AJ45" i="101"/>
  <c r="AI45" i="101"/>
  <c r="AH45" i="101"/>
  <c r="AG45" i="101"/>
  <c r="AF45" i="101"/>
  <c r="AE45" i="101"/>
  <c r="AD45" i="101"/>
  <c r="AC45" i="101"/>
  <c r="AB45" i="101"/>
  <c r="AA45" i="101"/>
  <c r="Y45" i="101"/>
  <c r="X45" i="101"/>
  <c r="W45" i="101"/>
  <c r="V45" i="101"/>
  <c r="U45" i="101"/>
  <c r="T45" i="101"/>
  <c r="S45" i="101"/>
  <c r="R45" i="101"/>
  <c r="Q45" i="101"/>
  <c r="P45" i="101"/>
  <c r="O45" i="101"/>
  <c r="N45" i="101"/>
  <c r="I45" i="101"/>
  <c r="H45" i="101"/>
  <c r="G45" i="101"/>
  <c r="F45" i="101"/>
  <c r="E45" i="101"/>
  <c r="D45" i="101"/>
  <c r="C45" i="101"/>
  <c r="B45" i="101"/>
  <c r="A45" i="101"/>
  <c r="AV44" i="101"/>
  <c r="AU44" i="101"/>
  <c r="AT44" i="101"/>
  <c r="AS44" i="101"/>
  <c r="AR44" i="101"/>
  <c r="AQ44" i="101"/>
  <c r="AP44" i="101"/>
  <c r="AO44" i="101"/>
  <c r="AN44" i="101"/>
  <c r="AM44" i="101"/>
  <c r="AL44" i="101"/>
  <c r="AK44" i="101"/>
  <c r="AJ44" i="101"/>
  <c r="AI44" i="101"/>
  <c r="AH44" i="101"/>
  <c r="AG44" i="101"/>
  <c r="AF44" i="101"/>
  <c r="AE44" i="101"/>
  <c r="AD44" i="101"/>
  <c r="AC44" i="101"/>
  <c r="AB44" i="101"/>
  <c r="AA44" i="101"/>
  <c r="Y44" i="101"/>
  <c r="X44" i="101"/>
  <c r="W44" i="101"/>
  <c r="V44" i="101"/>
  <c r="U44" i="101"/>
  <c r="T44" i="101"/>
  <c r="S44" i="101"/>
  <c r="R44" i="101"/>
  <c r="Q44" i="101"/>
  <c r="P44" i="101"/>
  <c r="O44" i="101"/>
  <c r="N44" i="101"/>
  <c r="I44" i="101"/>
  <c r="H44" i="101"/>
  <c r="G44" i="101"/>
  <c r="F44" i="101"/>
  <c r="E44" i="101"/>
  <c r="D44" i="101"/>
  <c r="C44" i="101"/>
  <c r="B44" i="101"/>
  <c r="A44" i="101"/>
  <c r="AV43" i="101"/>
  <c r="AU43" i="101"/>
  <c r="AT43" i="101"/>
  <c r="AS43" i="101"/>
  <c r="AR43" i="101"/>
  <c r="AQ43" i="101"/>
  <c r="AP43" i="101"/>
  <c r="AO43" i="101"/>
  <c r="AN43" i="101"/>
  <c r="AM43" i="101"/>
  <c r="AL43" i="101"/>
  <c r="AK43" i="101"/>
  <c r="AJ43" i="101"/>
  <c r="AI43" i="101"/>
  <c r="AH43" i="101"/>
  <c r="AG43" i="101"/>
  <c r="AF43" i="101"/>
  <c r="AE43" i="101"/>
  <c r="AD43" i="101"/>
  <c r="AC43" i="101"/>
  <c r="AB43" i="101"/>
  <c r="AA43" i="101"/>
  <c r="Y43" i="101"/>
  <c r="X43" i="101"/>
  <c r="W43" i="101"/>
  <c r="V43" i="101"/>
  <c r="U43" i="101"/>
  <c r="T43" i="101"/>
  <c r="S43" i="101"/>
  <c r="R43" i="101"/>
  <c r="Q43" i="101"/>
  <c r="P43" i="101"/>
  <c r="O43" i="101"/>
  <c r="N43" i="101"/>
  <c r="I43" i="101"/>
  <c r="H43" i="101"/>
  <c r="G43" i="101"/>
  <c r="F43" i="101"/>
  <c r="E43" i="101"/>
  <c r="D43" i="101"/>
  <c r="C43" i="101"/>
  <c r="B43" i="101"/>
  <c r="A43" i="101"/>
  <c r="AV42" i="101"/>
  <c r="AU42" i="101"/>
  <c r="AT42" i="101"/>
  <c r="AS42" i="101"/>
  <c r="AR42" i="101"/>
  <c r="AQ42" i="101"/>
  <c r="AP42" i="101"/>
  <c r="AO42" i="101"/>
  <c r="AN42" i="101"/>
  <c r="AM42" i="101"/>
  <c r="AL42" i="101"/>
  <c r="AK42" i="101"/>
  <c r="AJ42" i="101"/>
  <c r="AI42" i="101"/>
  <c r="AH42" i="101"/>
  <c r="AG42" i="101"/>
  <c r="AF42" i="101"/>
  <c r="AE42" i="101"/>
  <c r="AD42" i="101"/>
  <c r="AC42" i="101"/>
  <c r="AB42" i="101"/>
  <c r="AA42" i="101"/>
  <c r="Y42" i="101"/>
  <c r="X42" i="101"/>
  <c r="W42" i="101"/>
  <c r="V42" i="101"/>
  <c r="U42" i="101"/>
  <c r="T42" i="101"/>
  <c r="S42" i="101"/>
  <c r="R42" i="101"/>
  <c r="Q42" i="101"/>
  <c r="P42" i="101"/>
  <c r="O42" i="101"/>
  <c r="N42" i="101"/>
  <c r="I42" i="101"/>
  <c r="H42" i="101"/>
  <c r="G42" i="101"/>
  <c r="F42" i="101"/>
  <c r="E42" i="101"/>
  <c r="D42" i="101"/>
  <c r="C42" i="101"/>
  <c r="B42" i="101"/>
  <c r="A42" i="101"/>
  <c r="AV41" i="101"/>
  <c r="AU41" i="101"/>
  <c r="AT41" i="101"/>
  <c r="AS41" i="101"/>
  <c r="AR41" i="101"/>
  <c r="AQ41" i="101"/>
  <c r="AP41" i="101"/>
  <c r="AO41" i="101"/>
  <c r="AN41" i="101"/>
  <c r="AM41" i="101"/>
  <c r="AL41" i="101"/>
  <c r="AK41" i="101"/>
  <c r="AJ41" i="101"/>
  <c r="AI41" i="101"/>
  <c r="AH41" i="101"/>
  <c r="AG41" i="101"/>
  <c r="AF41" i="101"/>
  <c r="AE41" i="101"/>
  <c r="AD41" i="101"/>
  <c r="AC41" i="101"/>
  <c r="AB41" i="101"/>
  <c r="AA41" i="101"/>
  <c r="Y41" i="101"/>
  <c r="X41" i="101"/>
  <c r="W41" i="101"/>
  <c r="V41" i="101"/>
  <c r="U41" i="101"/>
  <c r="T41" i="101"/>
  <c r="S41" i="101"/>
  <c r="R41" i="101"/>
  <c r="Q41" i="101"/>
  <c r="P41" i="101"/>
  <c r="O41" i="101"/>
  <c r="N41" i="101"/>
  <c r="I41" i="101"/>
  <c r="H41" i="101"/>
  <c r="G41" i="101"/>
  <c r="F41" i="101"/>
  <c r="E41" i="101"/>
  <c r="D41" i="101"/>
  <c r="C41" i="101"/>
  <c r="B41" i="101"/>
  <c r="A41" i="101"/>
  <c r="AV40" i="101"/>
  <c r="AU40" i="101"/>
  <c r="AT40" i="101"/>
  <c r="AS40" i="101"/>
  <c r="AR40" i="101"/>
  <c r="AQ40" i="101"/>
  <c r="AP40" i="101"/>
  <c r="AO40" i="101"/>
  <c r="AN40" i="101"/>
  <c r="AM40" i="101"/>
  <c r="AL40" i="101"/>
  <c r="AK40" i="101"/>
  <c r="AJ40" i="101"/>
  <c r="AI40" i="101"/>
  <c r="AH40" i="101"/>
  <c r="AG40" i="101"/>
  <c r="AF40" i="101"/>
  <c r="AE40" i="101"/>
  <c r="AD40" i="101"/>
  <c r="AC40" i="101"/>
  <c r="AA40" i="101"/>
  <c r="Y40" i="101"/>
  <c r="X40" i="101"/>
  <c r="W40" i="101"/>
  <c r="V40" i="101"/>
  <c r="U40" i="101"/>
  <c r="T40" i="101"/>
  <c r="S40" i="101"/>
  <c r="R40" i="101"/>
  <c r="Q40" i="101"/>
  <c r="P40" i="101"/>
  <c r="O40" i="101"/>
  <c r="N40" i="101"/>
  <c r="I40" i="101"/>
  <c r="H40" i="101"/>
  <c r="G40" i="101"/>
  <c r="F40" i="101"/>
  <c r="E40" i="101"/>
  <c r="D40" i="101"/>
  <c r="C40" i="101"/>
  <c r="B40" i="101"/>
  <c r="A40" i="101"/>
  <c r="AV39" i="101"/>
  <c r="AU39" i="101"/>
  <c r="AT39" i="101"/>
  <c r="AS39" i="101"/>
  <c r="AR39" i="101"/>
  <c r="AQ39" i="101"/>
  <c r="AP39" i="101"/>
  <c r="AO39" i="101"/>
  <c r="AN39" i="101"/>
  <c r="AM39" i="101"/>
  <c r="AL39" i="101"/>
  <c r="AK39" i="101"/>
  <c r="AJ39" i="101"/>
  <c r="AI39" i="101"/>
  <c r="AH39" i="101"/>
  <c r="AG39" i="101"/>
  <c r="AF39" i="101"/>
  <c r="AE39" i="101"/>
  <c r="AD39" i="101"/>
  <c r="AC39" i="101"/>
  <c r="AB39" i="101"/>
  <c r="AA39" i="101"/>
  <c r="Y39" i="101"/>
  <c r="X39" i="101"/>
  <c r="W39" i="101"/>
  <c r="V39" i="101"/>
  <c r="U39" i="101"/>
  <c r="T39" i="101"/>
  <c r="S39" i="101"/>
  <c r="R39" i="101"/>
  <c r="Q39" i="101"/>
  <c r="P39" i="101"/>
  <c r="O39" i="101"/>
  <c r="N39" i="101"/>
  <c r="I39" i="101"/>
  <c r="H39" i="101"/>
  <c r="G39" i="101"/>
  <c r="F39" i="101"/>
  <c r="E39" i="101"/>
  <c r="D39" i="101"/>
  <c r="C39" i="101"/>
  <c r="B39" i="101"/>
  <c r="A39" i="101"/>
  <c r="AV38" i="101"/>
  <c r="AU38" i="101"/>
  <c r="AT38" i="101"/>
  <c r="AS38" i="101"/>
  <c r="AR38" i="101"/>
  <c r="AQ38" i="101"/>
  <c r="AP38" i="101"/>
  <c r="AO38" i="101"/>
  <c r="AN38" i="101"/>
  <c r="AM38" i="101"/>
  <c r="AL38" i="101"/>
  <c r="AK38" i="101"/>
  <c r="AJ38" i="101"/>
  <c r="AI38" i="101"/>
  <c r="AH38" i="101"/>
  <c r="AG38" i="101"/>
  <c r="AF38" i="101"/>
  <c r="AE38" i="101"/>
  <c r="AD38" i="101"/>
  <c r="AC38" i="101"/>
  <c r="AB38" i="101"/>
  <c r="AA38" i="101"/>
  <c r="Y38" i="101"/>
  <c r="X38" i="101"/>
  <c r="W38" i="101"/>
  <c r="V38" i="101"/>
  <c r="U38" i="101"/>
  <c r="T38" i="101"/>
  <c r="S38" i="101"/>
  <c r="R38" i="101"/>
  <c r="Q38" i="101"/>
  <c r="P38" i="101"/>
  <c r="O38" i="101"/>
  <c r="N38" i="101"/>
  <c r="I38" i="101"/>
  <c r="H38" i="101"/>
  <c r="G38" i="101"/>
  <c r="F38" i="101"/>
  <c r="E38" i="101"/>
  <c r="D38" i="101"/>
  <c r="C38" i="101"/>
  <c r="B38" i="101"/>
  <c r="A38" i="101"/>
  <c r="AV37" i="101"/>
  <c r="AU37" i="101"/>
  <c r="AT37" i="101"/>
  <c r="AS37" i="101"/>
  <c r="AR37" i="101"/>
  <c r="AR33" i="101" s="1"/>
  <c r="AQ37" i="101"/>
  <c r="AP37" i="101"/>
  <c r="AO37" i="101"/>
  <c r="AN37" i="101"/>
  <c r="AN33" i="101" s="1"/>
  <c r="AM37" i="101"/>
  <c r="AL37" i="101"/>
  <c r="AK37" i="101"/>
  <c r="AJ37" i="101"/>
  <c r="AI37" i="101"/>
  <c r="AH37" i="101"/>
  <c r="AG37" i="101"/>
  <c r="AF37" i="101"/>
  <c r="AE37" i="101"/>
  <c r="AD37" i="101"/>
  <c r="AC37" i="101"/>
  <c r="AB37" i="101"/>
  <c r="AA37" i="101"/>
  <c r="Y37" i="101"/>
  <c r="X37" i="101"/>
  <c r="W37" i="101"/>
  <c r="W33" i="101" s="1"/>
  <c r="V37" i="101"/>
  <c r="U37" i="101"/>
  <c r="T37" i="101"/>
  <c r="S37" i="101"/>
  <c r="S33" i="101" s="1"/>
  <c r="R37" i="101"/>
  <c r="Q37" i="101"/>
  <c r="P37" i="101"/>
  <c r="O37" i="101"/>
  <c r="N37" i="101"/>
  <c r="I37" i="101"/>
  <c r="H37" i="101"/>
  <c r="G37" i="101"/>
  <c r="F37" i="101"/>
  <c r="E37" i="101"/>
  <c r="D37" i="101"/>
  <c r="C37" i="101"/>
  <c r="B37" i="101"/>
  <c r="A37" i="101"/>
  <c r="AV36" i="101"/>
  <c r="AU36" i="101"/>
  <c r="AT36" i="101"/>
  <c r="AS36" i="101"/>
  <c r="AR36" i="101"/>
  <c r="AQ36" i="101"/>
  <c r="AQ33" i="101" s="1"/>
  <c r="AP36" i="101"/>
  <c r="AO36" i="101"/>
  <c r="AN36" i="101"/>
  <c r="AM36" i="101"/>
  <c r="AM33" i="101" s="1"/>
  <c r="AL36" i="101"/>
  <c r="AK36" i="101"/>
  <c r="AJ36" i="101"/>
  <c r="AI36" i="101"/>
  <c r="AH36" i="101"/>
  <c r="AG36" i="101"/>
  <c r="AF36" i="101"/>
  <c r="AE36" i="101"/>
  <c r="AD36" i="101"/>
  <c r="AC36" i="101"/>
  <c r="AB36" i="101"/>
  <c r="AA36" i="101"/>
  <c r="Y36" i="101"/>
  <c r="X36" i="101"/>
  <c r="W36" i="101"/>
  <c r="V36" i="101"/>
  <c r="V33" i="101" s="1"/>
  <c r="U36" i="101"/>
  <c r="T36" i="101"/>
  <c r="S36" i="101"/>
  <c r="R36" i="101"/>
  <c r="R33" i="101" s="1"/>
  <c r="Q36" i="101"/>
  <c r="P36" i="101"/>
  <c r="O36" i="101"/>
  <c r="N36" i="101"/>
  <c r="I36" i="101"/>
  <c r="H36" i="101"/>
  <c r="G36" i="101"/>
  <c r="F36" i="101"/>
  <c r="E36" i="101"/>
  <c r="D36" i="101"/>
  <c r="C36" i="101"/>
  <c r="B36" i="101"/>
  <c r="A36" i="101"/>
  <c r="AV35" i="101"/>
  <c r="AU35" i="101"/>
  <c r="AT35" i="101"/>
  <c r="AS35" i="101"/>
  <c r="AR35" i="101"/>
  <c r="AQ35" i="101"/>
  <c r="AP35" i="101"/>
  <c r="AO35" i="101"/>
  <c r="AN35" i="101"/>
  <c r="AM35" i="101"/>
  <c r="AL35" i="101"/>
  <c r="AK35" i="101"/>
  <c r="AJ35" i="101"/>
  <c r="AI35" i="101"/>
  <c r="AH35" i="101"/>
  <c r="AG35" i="101"/>
  <c r="AF35" i="101"/>
  <c r="AE35" i="101"/>
  <c r="AD35" i="101"/>
  <c r="AC35" i="101"/>
  <c r="AB35" i="101"/>
  <c r="AA35" i="101"/>
  <c r="Y35" i="101"/>
  <c r="X35" i="101"/>
  <c r="W35" i="101"/>
  <c r="V35" i="101"/>
  <c r="U35" i="101"/>
  <c r="T35" i="101"/>
  <c r="S35" i="101"/>
  <c r="R35" i="101"/>
  <c r="Q35" i="101"/>
  <c r="P35" i="101"/>
  <c r="O35" i="101"/>
  <c r="N35" i="101"/>
  <c r="I35" i="101"/>
  <c r="H35" i="101"/>
  <c r="G35" i="101"/>
  <c r="F35" i="101"/>
  <c r="E35" i="101"/>
  <c r="D35" i="101"/>
  <c r="C35" i="101"/>
  <c r="B35" i="101"/>
  <c r="A35" i="101"/>
  <c r="AV34" i="101"/>
  <c r="AU34" i="101"/>
  <c r="AT34" i="101"/>
  <c r="AS34" i="101"/>
  <c r="AS33" i="101" s="1"/>
  <c r="AR34" i="101"/>
  <c r="AQ34" i="101"/>
  <c r="AP34" i="101"/>
  <c r="AO34" i="101"/>
  <c r="AO33" i="101" s="1"/>
  <c r="AN34" i="101"/>
  <c r="AM34" i="101"/>
  <c r="AL34" i="101"/>
  <c r="AK34" i="101"/>
  <c r="AK33" i="101" s="1"/>
  <c r="AJ34" i="101"/>
  <c r="AI34" i="101"/>
  <c r="AH34" i="101"/>
  <c r="AG34" i="101"/>
  <c r="AF34" i="101"/>
  <c r="AE34" i="101"/>
  <c r="AD34" i="101"/>
  <c r="AC34" i="101"/>
  <c r="AC33" i="101" s="1"/>
  <c r="AB34" i="101"/>
  <c r="AA34" i="101"/>
  <c r="Y34" i="101"/>
  <c r="X34" i="101"/>
  <c r="X33" i="101" s="1"/>
  <c r="W34" i="101"/>
  <c r="V34" i="101"/>
  <c r="U34" i="101"/>
  <c r="T34" i="101"/>
  <c r="T33" i="101" s="1"/>
  <c r="S34" i="101"/>
  <c r="R34" i="101"/>
  <c r="Q34" i="101"/>
  <c r="P34" i="101"/>
  <c r="O34" i="101"/>
  <c r="N34" i="101"/>
  <c r="I34" i="101"/>
  <c r="H34" i="101"/>
  <c r="G34" i="101"/>
  <c r="F34" i="101"/>
  <c r="E34" i="101"/>
  <c r="D34" i="101"/>
  <c r="C34" i="101"/>
  <c r="B34" i="101"/>
  <c r="A34" i="101"/>
  <c r="AT33" i="101"/>
  <c r="AP33" i="101"/>
  <c r="AL33" i="101"/>
  <c r="Z33" i="101"/>
  <c r="Y33" i="101"/>
  <c r="U33" i="101"/>
  <c r="M33" i="101"/>
  <c r="L33" i="101"/>
  <c r="AV32" i="101"/>
  <c r="AU32" i="101"/>
  <c r="AT32" i="101"/>
  <c r="AR32" i="101"/>
  <c r="AJ32" i="101"/>
  <c r="AI32" i="101"/>
  <c r="AH32" i="101"/>
  <c r="AG32" i="101"/>
  <c r="AF32" i="101"/>
  <c r="AE32" i="101"/>
  <c r="AD32" i="101"/>
  <c r="AC32" i="101"/>
  <c r="AB32" i="101"/>
  <c r="AA32" i="101"/>
  <c r="Y32" i="101"/>
  <c r="X32" i="101"/>
  <c r="W32" i="101"/>
  <c r="V32" i="101"/>
  <c r="U32" i="101"/>
  <c r="T32" i="101"/>
  <c r="S32" i="101"/>
  <c r="R32" i="101"/>
  <c r="Q32" i="101"/>
  <c r="P32" i="101"/>
  <c r="O32" i="101"/>
  <c r="N32" i="101"/>
  <c r="AV31" i="101"/>
  <c r="AU31" i="101"/>
  <c r="AT31" i="101"/>
  <c r="AS31" i="101"/>
  <c r="AR31" i="101"/>
  <c r="AQ31" i="101"/>
  <c r="AP31" i="101"/>
  <c r="AO31" i="101"/>
  <c r="AN31" i="101"/>
  <c r="AM31" i="101"/>
  <c r="AL31" i="101"/>
  <c r="AK31" i="101"/>
  <c r="AJ31" i="101"/>
  <c r="AI31" i="101"/>
  <c r="AH31" i="101"/>
  <c r="AG31" i="101"/>
  <c r="AF31" i="101"/>
  <c r="AE31" i="101"/>
  <c r="AD31" i="101"/>
  <c r="AC31" i="101"/>
  <c r="AA31" i="101"/>
  <c r="Y31" i="101"/>
  <c r="X31" i="101"/>
  <c r="W31" i="101"/>
  <c r="V31" i="101"/>
  <c r="U31" i="101"/>
  <c r="T31" i="101"/>
  <c r="S31" i="101"/>
  <c r="R31" i="101"/>
  <c r="Q31" i="101"/>
  <c r="P31" i="101"/>
  <c r="O31" i="101"/>
  <c r="N31" i="101"/>
  <c r="I31" i="101"/>
  <c r="H31" i="101"/>
  <c r="G31" i="101"/>
  <c r="F31" i="101"/>
  <c r="E31" i="101"/>
  <c r="D31" i="101"/>
  <c r="C31" i="101"/>
  <c r="B31" i="101"/>
  <c r="A31" i="101"/>
  <c r="AV30" i="101"/>
  <c r="AU30" i="101"/>
  <c r="AT30" i="101"/>
  <c r="AS30" i="101"/>
  <c r="AR30" i="101"/>
  <c r="AQ30" i="101"/>
  <c r="AP30" i="101"/>
  <c r="AO30" i="101"/>
  <c r="AN30" i="101"/>
  <c r="AM30" i="101"/>
  <c r="AL30" i="101"/>
  <c r="AK30" i="101"/>
  <c r="AJ30" i="101"/>
  <c r="AI30" i="101"/>
  <c r="AH30" i="101"/>
  <c r="AG30" i="101"/>
  <c r="AF30" i="101"/>
  <c r="AE30" i="101"/>
  <c r="AD30" i="101"/>
  <c r="AC30" i="101"/>
  <c r="AB30" i="101"/>
  <c r="AA30" i="101"/>
  <c r="Y30" i="101"/>
  <c r="X30" i="101"/>
  <c r="W30" i="101"/>
  <c r="V30" i="101"/>
  <c r="U30" i="101"/>
  <c r="T30" i="101"/>
  <c r="S30" i="101"/>
  <c r="R30" i="101"/>
  <c r="Q30" i="101"/>
  <c r="P30" i="101"/>
  <c r="O30" i="101"/>
  <c r="N30" i="101"/>
  <c r="I30" i="101"/>
  <c r="H30" i="101"/>
  <c r="G30" i="101"/>
  <c r="F30" i="101"/>
  <c r="E30" i="101"/>
  <c r="D30" i="101"/>
  <c r="C30" i="101"/>
  <c r="B30" i="101"/>
  <c r="A30" i="101"/>
  <c r="AV29" i="101"/>
  <c r="AU29" i="101"/>
  <c r="AT29" i="101"/>
  <c r="AS29" i="101"/>
  <c r="AR29" i="101"/>
  <c r="AQ29" i="101"/>
  <c r="AP29" i="101"/>
  <c r="AO29" i="101"/>
  <c r="AN29" i="101"/>
  <c r="AM29" i="101"/>
  <c r="AL29" i="101"/>
  <c r="AK29" i="101"/>
  <c r="AJ29" i="101"/>
  <c r="AI29" i="101"/>
  <c r="AH29" i="101"/>
  <c r="AG29" i="101"/>
  <c r="AF29" i="101"/>
  <c r="AE29" i="101"/>
  <c r="AD29" i="101"/>
  <c r="AC29" i="101"/>
  <c r="AB29" i="101"/>
  <c r="AA29" i="101"/>
  <c r="Y29" i="101"/>
  <c r="X29" i="101"/>
  <c r="W29" i="101"/>
  <c r="V29" i="101"/>
  <c r="U29" i="101"/>
  <c r="T29" i="101"/>
  <c r="S29" i="101"/>
  <c r="R29" i="101"/>
  <c r="Q29" i="101"/>
  <c r="P29" i="101"/>
  <c r="O29" i="101"/>
  <c r="N29" i="101"/>
  <c r="I29" i="101"/>
  <c r="H29" i="101"/>
  <c r="G29" i="101"/>
  <c r="F29" i="101"/>
  <c r="E29" i="101"/>
  <c r="D29" i="101"/>
  <c r="C29" i="101"/>
  <c r="B29" i="101"/>
  <c r="A29" i="101"/>
  <c r="AV28" i="101"/>
  <c r="AU28" i="101"/>
  <c r="AT28" i="101"/>
  <c r="AS28" i="101"/>
  <c r="AR28" i="101"/>
  <c r="AQ28" i="101"/>
  <c r="AP28" i="101"/>
  <c r="AO28" i="101"/>
  <c r="AN28" i="101"/>
  <c r="AN23" i="101" s="1"/>
  <c r="AM28" i="101"/>
  <c r="AL28" i="101"/>
  <c r="AK28" i="101"/>
  <c r="AJ28" i="101"/>
  <c r="AI28" i="101"/>
  <c r="AH28" i="101"/>
  <c r="AG28" i="101"/>
  <c r="AF28" i="101"/>
  <c r="AE28" i="101"/>
  <c r="AD28" i="101"/>
  <c r="AC28" i="101"/>
  <c r="AB28" i="101"/>
  <c r="AA28" i="101"/>
  <c r="Y28" i="101"/>
  <c r="X28" i="101"/>
  <c r="W28" i="101"/>
  <c r="W23" i="101" s="1"/>
  <c r="V28" i="101"/>
  <c r="U28" i="101"/>
  <c r="T28" i="101"/>
  <c r="S28" i="101"/>
  <c r="S23" i="101" s="1"/>
  <c r="R28" i="101"/>
  <c r="Q28" i="101"/>
  <c r="P28" i="101"/>
  <c r="O28" i="101"/>
  <c r="N28" i="101"/>
  <c r="I28" i="101"/>
  <c r="H28" i="101"/>
  <c r="G28" i="101"/>
  <c r="F28" i="101"/>
  <c r="E28" i="101"/>
  <c r="D28" i="101"/>
  <c r="C28" i="101"/>
  <c r="B28" i="101"/>
  <c r="A28" i="101"/>
  <c r="AV27" i="101"/>
  <c r="AU27" i="101"/>
  <c r="AT27" i="101"/>
  <c r="AS27" i="101"/>
  <c r="AR27" i="101"/>
  <c r="AQ27" i="101"/>
  <c r="AQ23" i="101" s="1"/>
  <c r="AP27" i="101"/>
  <c r="AO27" i="101"/>
  <c r="AN27" i="101"/>
  <c r="AM27" i="101"/>
  <c r="AM23" i="101" s="1"/>
  <c r="AL27" i="101"/>
  <c r="AK27" i="101"/>
  <c r="AJ27" i="101"/>
  <c r="AI27" i="101"/>
  <c r="AH27" i="101"/>
  <c r="AG27" i="101"/>
  <c r="AF27" i="101"/>
  <c r="AE27" i="101"/>
  <c r="AD27" i="101"/>
  <c r="AC27" i="101"/>
  <c r="AB27" i="101"/>
  <c r="AA27" i="101"/>
  <c r="Y27" i="101"/>
  <c r="X27" i="101"/>
  <c r="W27" i="101"/>
  <c r="V27" i="101"/>
  <c r="U27" i="101"/>
  <c r="T27" i="101"/>
  <c r="S27" i="101"/>
  <c r="R27" i="101"/>
  <c r="Q27" i="101"/>
  <c r="P27" i="101"/>
  <c r="O27" i="101"/>
  <c r="N27" i="101"/>
  <c r="I27" i="101"/>
  <c r="H27" i="101"/>
  <c r="G27" i="101"/>
  <c r="F27" i="101"/>
  <c r="E27" i="101"/>
  <c r="D27" i="101"/>
  <c r="C27" i="101"/>
  <c r="B27" i="101"/>
  <c r="A27" i="101"/>
  <c r="AV26" i="101"/>
  <c r="AU26" i="101"/>
  <c r="AT26" i="101"/>
  <c r="AT23" i="101" s="1"/>
  <c r="AS26" i="101"/>
  <c r="AR26" i="101"/>
  <c r="AQ26" i="101"/>
  <c r="AP26" i="101"/>
  <c r="AO26" i="101"/>
  <c r="AN26" i="101"/>
  <c r="AM26" i="101"/>
  <c r="AL26" i="101"/>
  <c r="AL23" i="101" s="1"/>
  <c r="AK26" i="101"/>
  <c r="AJ26" i="101"/>
  <c r="AI26" i="101"/>
  <c r="AH26" i="101"/>
  <c r="AH23" i="101" s="1"/>
  <c r="AG26" i="101"/>
  <c r="AF26" i="101"/>
  <c r="AE26" i="101"/>
  <c r="AD26" i="101"/>
  <c r="AD23" i="101" s="1"/>
  <c r="AC26" i="101"/>
  <c r="AB26" i="101"/>
  <c r="AA26" i="101"/>
  <c r="Y26" i="101"/>
  <c r="X26" i="101"/>
  <c r="W26" i="101"/>
  <c r="V26" i="101"/>
  <c r="U26" i="101"/>
  <c r="T26" i="101"/>
  <c r="S26" i="101"/>
  <c r="R26" i="101"/>
  <c r="Q26" i="101"/>
  <c r="P26" i="101"/>
  <c r="O26" i="101"/>
  <c r="N26" i="101"/>
  <c r="I26" i="101"/>
  <c r="H26" i="101"/>
  <c r="G26" i="101"/>
  <c r="F26" i="101"/>
  <c r="E26" i="101"/>
  <c r="D26" i="101"/>
  <c r="C26" i="101"/>
  <c r="B26" i="101"/>
  <c r="A26" i="101"/>
  <c r="AV25" i="101"/>
  <c r="AU25" i="101"/>
  <c r="AT25" i="101"/>
  <c r="AS25" i="101"/>
  <c r="AR25" i="101"/>
  <c r="AQ25" i="101"/>
  <c r="AP25" i="101"/>
  <c r="AO25" i="101"/>
  <c r="AN25" i="101"/>
  <c r="AM25" i="101"/>
  <c r="AL25" i="101"/>
  <c r="AK25" i="101"/>
  <c r="AJ25" i="101"/>
  <c r="AI25" i="101"/>
  <c r="AH25" i="101"/>
  <c r="AG25" i="101"/>
  <c r="AF25" i="101"/>
  <c r="AE25" i="101"/>
  <c r="AD25" i="101"/>
  <c r="AC25" i="101"/>
  <c r="AA25" i="101"/>
  <c r="Y25" i="101"/>
  <c r="X25" i="101"/>
  <c r="W25" i="101"/>
  <c r="V25" i="101"/>
  <c r="U25" i="101"/>
  <c r="T25" i="101"/>
  <c r="S25" i="101"/>
  <c r="R25" i="101"/>
  <c r="Q25" i="101"/>
  <c r="P25" i="101"/>
  <c r="O25" i="101"/>
  <c r="N25" i="101"/>
  <c r="I25" i="101"/>
  <c r="H25" i="101"/>
  <c r="G25" i="101"/>
  <c r="F25" i="101"/>
  <c r="E25" i="101"/>
  <c r="D25" i="101"/>
  <c r="C25" i="101"/>
  <c r="B25" i="101"/>
  <c r="A25" i="101"/>
  <c r="AV24" i="101"/>
  <c r="AV23" i="101" s="1"/>
  <c r="AU24" i="101"/>
  <c r="AU23" i="101" s="1"/>
  <c r="AT24" i="101"/>
  <c r="AR24" i="101"/>
  <c r="AJ24" i="101"/>
  <c r="AJ23" i="101" s="1"/>
  <c r="AI24" i="101"/>
  <c r="AI23" i="101" s="1"/>
  <c r="AH24" i="101"/>
  <c r="AG24" i="101"/>
  <c r="AF24" i="101"/>
  <c r="AF23" i="101" s="1"/>
  <c r="AE24" i="101"/>
  <c r="AE23" i="101" s="1"/>
  <c r="AD24" i="101"/>
  <c r="AC24" i="101"/>
  <c r="AA24" i="101"/>
  <c r="AA23" i="101" s="1"/>
  <c r="Y24" i="101"/>
  <c r="Y23" i="101" s="1"/>
  <c r="X24" i="101"/>
  <c r="W24" i="101"/>
  <c r="V24" i="101"/>
  <c r="V23" i="101" s="1"/>
  <c r="U24" i="101"/>
  <c r="U23" i="101" s="1"/>
  <c r="T24" i="101"/>
  <c r="S24" i="101"/>
  <c r="R24" i="101"/>
  <c r="R23" i="101" s="1"/>
  <c r="Q24" i="101"/>
  <c r="P24" i="101"/>
  <c r="O24" i="101"/>
  <c r="N24" i="101"/>
  <c r="AS23" i="101"/>
  <c r="AR23" i="101"/>
  <c r="AP23" i="101"/>
  <c r="AO23" i="101"/>
  <c r="AK23" i="101"/>
  <c r="AG23" i="101"/>
  <c r="AC23" i="101"/>
  <c r="Z23" i="101"/>
  <c r="X23" i="101"/>
  <c r="T23" i="101"/>
  <c r="M23" i="101"/>
  <c r="L23" i="101"/>
  <c r="AV22" i="101"/>
  <c r="AU22" i="101"/>
  <c r="AT22" i="101"/>
  <c r="AS22" i="101"/>
  <c r="AR22" i="101"/>
  <c r="AQ22" i="101"/>
  <c r="AP22" i="101"/>
  <c r="AO22" i="101"/>
  <c r="AN22" i="101"/>
  <c r="AM22" i="101"/>
  <c r="AL22" i="101"/>
  <c r="AK22" i="101"/>
  <c r="AJ22" i="101"/>
  <c r="AI22" i="101"/>
  <c r="AH22" i="101"/>
  <c r="AG22" i="101"/>
  <c r="AF22" i="101"/>
  <c r="AE22" i="101"/>
  <c r="AD22" i="101"/>
  <c r="AC22" i="101"/>
  <c r="AB22" i="101"/>
  <c r="AA22" i="101"/>
  <c r="Y22" i="101"/>
  <c r="X22" i="101"/>
  <c r="W22" i="101"/>
  <c r="V22" i="101"/>
  <c r="U22" i="101"/>
  <c r="T22" i="101"/>
  <c r="S22" i="101"/>
  <c r="R22" i="101"/>
  <c r="Q22" i="101"/>
  <c r="P22" i="101"/>
  <c r="O22" i="101"/>
  <c r="N22" i="101"/>
  <c r="I22" i="101"/>
  <c r="H22" i="101"/>
  <c r="G22" i="101"/>
  <c r="F22" i="101"/>
  <c r="E22" i="101"/>
  <c r="D22" i="101"/>
  <c r="C22" i="101"/>
  <c r="B22" i="101"/>
  <c r="A22" i="101"/>
  <c r="AV21" i="101"/>
  <c r="AU21" i="101"/>
  <c r="AT21" i="101"/>
  <c r="AS21" i="101"/>
  <c r="AR21" i="101"/>
  <c r="AQ21" i="101"/>
  <c r="AP21" i="101"/>
  <c r="AO21" i="101"/>
  <c r="AN21" i="101"/>
  <c r="AM21" i="101"/>
  <c r="AL21" i="101"/>
  <c r="AK21" i="101"/>
  <c r="AJ21" i="101"/>
  <c r="AI21" i="101"/>
  <c r="AH21" i="101"/>
  <c r="AG21" i="101"/>
  <c r="AF21" i="101"/>
  <c r="AE21" i="101"/>
  <c r="AD21" i="101"/>
  <c r="AC21" i="101"/>
  <c r="AB21" i="101"/>
  <c r="AA21" i="101"/>
  <c r="Y21" i="101"/>
  <c r="X21" i="101"/>
  <c r="W21" i="101"/>
  <c r="V21" i="101"/>
  <c r="U21" i="101"/>
  <c r="T21" i="101"/>
  <c r="S21" i="101"/>
  <c r="R21" i="101"/>
  <c r="Q21" i="101"/>
  <c r="P21" i="101"/>
  <c r="O21" i="101"/>
  <c r="N21" i="101"/>
  <c r="I21" i="101"/>
  <c r="H21" i="101"/>
  <c r="G21" i="101"/>
  <c r="F21" i="101"/>
  <c r="E21" i="101"/>
  <c r="D21" i="101"/>
  <c r="C21" i="101"/>
  <c r="B21" i="101"/>
  <c r="A21" i="101"/>
  <c r="AV20" i="101"/>
  <c r="AU20" i="101"/>
  <c r="AT20" i="101"/>
  <c r="AS20" i="101"/>
  <c r="AR20" i="101"/>
  <c r="AQ20" i="101"/>
  <c r="AP20" i="101"/>
  <c r="AO20" i="101"/>
  <c r="AN20" i="101"/>
  <c r="AM20" i="101"/>
  <c r="AL20" i="101"/>
  <c r="AK20" i="101"/>
  <c r="AJ20" i="101"/>
  <c r="AI20" i="101"/>
  <c r="AH20" i="101"/>
  <c r="AG20" i="101"/>
  <c r="AF20" i="101"/>
  <c r="AE20" i="101"/>
  <c r="AD20" i="101"/>
  <c r="AC20" i="101"/>
  <c r="AB20" i="101"/>
  <c r="AA20" i="101"/>
  <c r="Y20" i="101"/>
  <c r="X20" i="101"/>
  <c r="W20" i="101"/>
  <c r="V20" i="101"/>
  <c r="V17" i="101" s="1"/>
  <c r="U20" i="101"/>
  <c r="T20" i="101"/>
  <c r="S20" i="101"/>
  <c r="R20" i="101"/>
  <c r="R17" i="101" s="1"/>
  <c r="Q20" i="101"/>
  <c r="P20" i="101"/>
  <c r="O20" i="101"/>
  <c r="N20" i="101"/>
  <c r="I20" i="101"/>
  <c r="H20" i="101"/>
  <c r="G20" i="101"/>
  <c r="F20" i="101"/>
  <c r="E20" i="101"/>
  <c r="D20" i="101"/>
  <c r="C20" i="101"/>
  <c r="B20" i="101"/>
  <c r="A20" i="101"/>
  <c r="AV19" i="101"/>
  <c r="AU19" i="101"/>
  <c r="AT19" i="101"/>
  <c r="AT17" i="101" s="1"/>
  <c r="AS19" i="101"/>
  <c r="AR19" i="101"/>
  <c r="AQ19" i="101"/>
  <c r="AP19" i="101"/>
  <c r="AO19" i="101"/>
  <c r="AN19" i="101"/>
  <c r="AM19" i="101"/>
  <c r="AL19" i="101"/>
  <c r="AL17" i="101" s="1"/>
  <c r="AK19" i="101"/>
  <c r="AJ19" i="101"/>
  <c r="AI19" i="101"/>
  <c r="AH19" i="101"/>
  <c r="AH17" i="101" s="1"/>
  <c r="AG19" i="101"/>
  <c r="AF19" i="101"/>
  <c r="AE19" i="101"/>
  <c r="AD19" i="101"/>
  <c r="AD17" i="101" s="1"/>
  <c r="AC19" i="101"/>
  <c r="AB19" i="101"/>
  <c r="AA19" i="101"/>
  <c r="Y19" i="101"/>
  <c r="Y17" i="101" s="1"/>
  <c r="X19" i="101"/>
  <c r="W19" i="101"/>
  <c r="V19" i="101"/>
  <c r="U19" i="101"/>
  <c r="U17" i="101" s="1"/>
  <c r="T19" i="101"/>
  <c r="S19" i="101"/>
  <c r="R19" i="101"/>
  <c r="Q19" i="101"/>
  <c r="P19" i="101"/>
  <c r="O19" i="101"/>
  <c r="N19" i="101"/>
  <c r="I19" i="101"/>
  <c r="H19" i="101"/>
  <c r="G19" i="101"/>
  <c r="F19" i="101"/>
  <c r="E19" i="101"/>
  <c r="D19" i="101"/>
  <c r="C19" i="101"/>
  <c r="B19" i="101"/>
  <c r="A19" i="101"/>
  <c r="AV18" i="101"/>
  <c r="AU18" i="101"/>
  <c r="AT18" i="101"/>
  <c r="AS18" i="101"/>
  <c r="AS17" i="101" s="1"/>
  <c r="AR18" i="101"/>
  <c r="AR17" i="101" s="1"/>
  <c r="AQ18" i="101"/>
  <c r="AP18" i="101"/>
  <c r="AO18" i="101"/>
  <c r="AO17" i="101" s="1"/>
  <c r="AN18" i="101"/>
  <c r="AN17" i="101" s="1"/>
  <c r="AM18" i="101"/>
  <c r="AL18" i="101"/>
  <c r="AK18" i="101"/>
  <c r="AK17" i="101" s="1"/>
  <c r="AJ18" i="101"/>
  <c r="AJ17" i="101" s="1"/>
  <c r="AI18" i="101"/>
  <c r="AH18" i="101"/>
  <c r="AG18" i="101"/>
  <c r="AG17" i="101" s="1"/>
  <c r="AF18" i="101"/>
  <c r="AF17" i="101" s="1"/>
  <c r="AE18" i="101"/>
  <c r="AD18" i="101"/>
  <c r="AC18" i="101"/>
  <c r="AC17" i="101" s="1"/>
  <c r="AB18" i="101"/>
  <c r="AB17" i="101" s="1"/>
  <c r="AA18" i="101"/>
  <c r="Y18" i="101"/>
  <c r="X18" i="101"/>
  <c r="X17" i="101" s="1"/>
  <c r="W18" i="101"/>
  <c r="V18" i="101"/>
  <c r="U18" i="101"/>
  <c r="T18" i="101"/>
  <c r="T17" i="101" s="1"/>
  <c r="S18" i="101"/>
  <c r="R18" i="101"/>
  <c r="Q18" i="101"/>
  <c r="P18" i="101"/>
  <c r="O18" i="101"/>
  <c r="N18" i="101"/>
  <c r="I18" i="101"/>
  <c r="H18" i="101"/>
  <c r="G18" i="101"/>
  <c r="F18" i="101"/>
  <c r="E18" i="101"/>
  <c r="D18" i="101"/>
  <c r="C18" i="101"/>
  <c r="B18" i="101"/>
  <c r="A18" i="101"/>
  <c r="AU17" i="101"/>
  <c r="AQ17" i="101"/>
  <c r="AP17" i="101"/>
  <c r="AM17" i="101"/>
  <c r="AI17" i="101"/>
  <c r="AE17" i="101"/>
  <c r="AA17" i="101"/>
  <c r="Z17" i="101"/>
  <c r="W17" i="101"/>
  <c r="S17" i="101"/>
  <c r="M17" i="101"/>
  <c r="L17" i="101"/>
  <c r="AV16" i="101"/>
  <c r="AU16" i="101"/>
  <c r="AT16" i="101"/>
  <c r="AS16" i="101"/>
  <c r="AR16" i="101"/>
  <c r="AQ16" i="101"/>
  <c r="AP16" i="101"/>
  <c r="AO16" i="101"/>
  <c r="AN16" i="101"/>
  <c r="AM16" i="101"/>
  <c r="AL16" i="101"/>
  <c r="AK16" i="101"/>
  <c r="AJ16" i="101"/>
  <c r="AI16" i="101"/>
  <c r="AH16" i="101"/>
  <c r="AG16" i="101"/>
  <c r="AF16" i="101"/>
  <c r="AE16" i="101"/>
  <c r="AD16" i="101"/>
  <c r="AC16" i="101"/>
  <c r="AB16" i="101"/>
  <c r="AA16" i="101"/>
  <c r="Y16" i="101"/>
  <c r="X16" i="101"/>
  <c r="W16" i="101"/>
  <c r="V16" i="101"/>
  <c r="U16" i="101"/>
  <c r="T16" i="101"/>
  <c r="S16" i="101"/>
  <c r="R16" i="101"/>
  <c r="Q16" i="101"/>
  <c r="P16" i="101"/>
  <c r="O16" i="101"/>
  <c r="N16" i="101"/>
  <c r="I16" i="101"/>
  <c r="H16" i="101"/>
  <c r="G16" i="101"/>
  <c r="F16" i="101"/>
  <c r="E16" i="101"/>
  <c r="D16" i="101"/>
  <c r="C16" i="101"/>
  <c r="B16" i="101"/>
  <c r="A16" i="101"/>
  <c r="AV15" i="101"/>
  <c r="AU15" i="101"/>
  <c r="AT15" i="101"/>
  <c r="AS15" i="101"/>
  <c r="AR15" i="101"/>
  <c r="AQ15" i="101"/>
  <c r="AP15" i="101"/>
  <c r="AO15" i="101"/>
  <c r="AN15" i="101"/>
  <c r="AM15" i="101"/>
  <c r="AL15" i="101"/>
  <c r="AK15" i="101"/>
  <c r="AJ15" i="101"/>
  <c r="AI15" i="101"/>
  <c r="AH15" i="101"/>
  <c r="AG15" i="101"/>
  <c r="AF15" i="101"/>
  <c r="AE15" i="101"/>
  <c r="AD15" i="101"/>
  <c r="AC15" i="101"/>
  <c r="AB15" i="101"/>
  <c r="AA15" i="101"/>
  <c r="Y15" i="101"/>
  <c r="X15" i="101"/>
  <c r="W15" i="101"/>
  <c r="V15" i="101"/>
  <c r="U15" i="101"/>
  <c r="T15" i="101"/>
  <c r="S15" i="101"/>
  <c r="R15" i="101"/>
  <c r="Q15" i="101"/>
  <c r="P15" i="101"/>
  <c r="O15" i="101"/>
  <c r="N15" i="101"/>
  <c r="I15" i="101"/>
  <c r="H15" i="101"/>
  <c r="G15" i="101"/>
  <c r="F15" i="101"/>
  <c r="E15" i="101"/>
  <c r="D15" i="101"/>
  <c r="C15" i="101"/>
  <c r="B15" i="101"/>
  <c r="A15" i="101"/>
  <c r="AV14" i="101"/>
  <c r="AU14" i="101"/>
  <c r="AT14" i="101"/>
  <c r="AS14" i="101"/>
  <c r="AR14" i="101"/>
  <c r="AQ14" i="101"/>
  <c r="AP14" i="101"/>
  <c r="AO14" i="101"/>
  <c r="AN14" i="101"/>
  <c r="AM14" i="101"/>
  <c r="AL14" i="101"/>
  <c r="AK14" i="101"/>
  <c r="AJ14" i="101"/>
  <c r="AI14" i="101"/>
  <c r="AH14" i="101"/>
  <c r="AG14" i="101"/>
  <c r="AF14" i="101"/>
  <c r="AE14" i="101"/>
  <c r="AD14" i="101"/>
  <c r="AC14" i="101"/>
  <c r="AB14" i="101"/>
  <c r="AA14" i="101"/>
  <c r="Y14" i="101"/>
  <c r="X14" i="101"/>
  <c r="W14" i="101"/>
  <c r="V14" i="101"/>
  <c r="U14" i="101"/>
  <c r="T14" i="101"/>
  <c r="S14" i="101"/>
  <c r="R14" i="101"/>
  <c r="Q14" i="101"/>
  <c r="P14" i="101"/>
  <c r="O14" i="101"/>
  <c r="N14" i="101"/>
  <c r="I14" i="101"/>
  <c r="H14" i="101"/>
  <c r="G14" i="101"/>
  <c r="F14" i="101"/>
  <c r="E14" i="101"/>
  <c r="D14" i="101"/>
  <c r="C14" i="101"/>
  <c r="B14" i="101"/>
  <c r="A14" i="101"/>
  <c r="AV13" i="101"/>
  <c r="AU13" i="101"/>
  <c r="AT13" i="101"/>
  <c r="AS13" i="101"/>
  <c r="AR13" i="101"/>
  <c r="AQ13" i="101"/>
  <c r="AP13" i="101"/>
  <c r="AO13" i="101"/>
  <c r="AN13" i="101"/>
  <c r="AM13" i="101"/>
  <c r="AL13" i="101"/>
  <c r="AK13" i="101"/>
  <c r="AJ13" i="101"/>
  <c r="AI13" i="101"/>
  <c r="AH13" i="101"/>
  <c r="AG13" i="101"/>
  <c r="AF13" i="101"/>
  <c r="AE13" i="101"/>
  <c r="AD13" i="101"/>
  <c r="AC13" i="101"/>
  <c r="AC10" i="101" s="1"/>
  <c r="AB13" i="101"/>
  <c r="AA13" i="101"/>
  <c r="Y13" i="101"/>
  <c r="X13" i="101"/>
  <c r="X10" i="101" s="1"/>
  <c r="W13" i="101"/>
  <c r="V13" i="101"/>
  <c r="U13" i="101"/>
  <c r="T13" i="101"/>
  <c r="T10" i="101" s="1"/>
  <c r="S13" i="101"/>
  <c r="R13" i="101"/>
  <c r="Q13" i="101"/>
  <c r="P13" i="101"/>
  <c r="O13" i="101"/>
  <c r="N13" i="101"/>
  <c r="I13" i="101"/>
  <c r="H13" i="101"/>
  <c r="G13" i="101"/>
  <c r="F13" i="101"/>
  <c r="E13" i="101"/>
  <c r="D13" i="101"/>
  <c r="C13" i="101"/>
  <c r="B13" i="101"/>
  <c r="A13" i="101"/>
  <c r="AV12" i="101"/>
  <c r="AU12" i="101"/>
  <c r="AT12" i="101"/>
  <c r="AS12" i="101"/>
  <c r="AR12" i="101"/>
  <c r="AQ12" i="101"/>
  <c r="AP12" i="101"/>
  <c r="AO12" i="101"/>
  <c r="AN12" i="101"/>
  <c r="AM12" i="101"/>
  <c r="AL12" i="101"/>
  <c r="AK12" i="101"/>
  <c r="AJ12" i="101"/>
  <c r="AI12" i="101"/>
  <c r="AH12" i="101"/>
  <c r="AG12" i="101"/>
  <c r="AF12" i="101"/>
  <c r="AE12" i="101"/>
  <c r="AD12" i="101"/>
  <c r="AC12" i="101"/>
  <c r="AB12" i="101"/>
  <c r="AA12" i="101"/>
  <c r="X12" i="101"/>
  <c r="W12" i="101"/>
  <c r="V12" i="101"/>
  <c r="U12" i="101"/>
  <c r="T12" i="101"/>
  <c r="S12" i="101"/>
  <c r="Q12" i="101"/>
  <c r="P12" i="101"/>
  <c r="O12" i="101"/>
  <c r="I12" i="101"/>
  <c r="H12" i="101"/>
  <c r="G12" i="101"/>
  <c r="F12" i="101"/>
  <c r="E12" i="101"/>
  <c r="D12" i="101"/>
  <c r="C12" i="101"/>
  <c r="B12" i="101"/>
  <c r="A12" i="101"/>
  <c r="AV11" i="101"/>
  <c r="AU11" i="101"/>
  <c r="AT11" i="101"/>
  <c r="AT10" i="101" s="1"/>
  <c r="AS11" i="101"/>
  <c r="AR11" i="101"/>
  <c r="AR10" i="101" s="1"/>
  <c r="AQ11" i="101"/>
  <c r="AQ10" i="101" s="1"/>
  <c r="AP11" i="101"/>
  <c r="AP10" i="101" s="1"/>
  <c r="AO11" i="101"/>
  <c r="AN11" i="101"/>
  <c r="AN10" i="101" s="1"/>
  <c r="AM11" i="101"/>
  <c r="AM10" i="101" s="1"/>
  <c r="AL11" i="101"/>
  <c r="AL10" i="101" s="1"/>
  <c r="AK11" i="101"/>
  <c r="AJ11" i="101"/>
  <c r="AI11" i="101"/>
  <c r="AH11" i="101"/>
  <c r="AG11" i="101"/>
  <c r="AF11" i="101"/>
  <c r="AE11" i="101"/>
  <c r="AD11" i="101"/>
  <c r="AC11" i="101"/>
  <c r="AB11" i="101"/>
  <c r="AB10" i="101" s="1"/>
  <c r="AA11" i="101"/>
  <c r="Y11" i="101"/>
  <c r="X11" i="101"/>
  <c r="W11" i="101"/>
  <c r="W10" i="101" s="1"/>
  <c r="V11" i="101"/>
  <c r="V10" i="101" s="1"/>
  <c r="U11" i="101"/>
  <c r="T11" i="101"/>
  <c r="S11" i="101"/>
  <c r="S10" i="101" s="1"/>
  <c r="R11" i="101"/>
  <c r="R10" i="101" s="1"/>
  <c r="Q11" i="101"/>
  <c r="P11" i="101"/>
  <c r="O11" i="101"/>
  <c r="N11" i="101"/>
  <c r="I11" i="101"/>
  <c r="H11" i="101"/>
  <c r="G11" i="101"/>
  <c r="F11" i="101"/>
  <c r="E11" i="101"/>
  <c r="D11" i="101"/>
  <c r="C11" i="101"/>
  <c r="B11" i="101"/>
  <c r="A11" i="101"/>
  <c r="AS10" i="101"/>
  <c r="AO10" i="101"/>
  <c r="AK10" i="101"/>
  <c r="Z10" i="101"/>
  <c r="Y10" i="101"/>
  <c r="U10" i="101"/>
  <c r="M10" i="101"/>
  <c r="L10" i="101"/>
  <c r="L9" i="101"/>
  <c r="K9" i="101"/>
  <c r="X8" i="101"/>
  <c r="AQ224" i="99"/>
  <c r="AP224" i="99"/>
  <c r="AO224" i="99"/>
  <c r="AN224" i="99"/>
  <c r="AM224" i="99"/>
  <c r="AL224" i="99"/>
  <c r="AK224" i="99"/>
  <c r="AJ224" i="99"/>
  <c r="AI224" i="99"/>
  <c r="AH224" i="99"/>
  <c r="AG224" i="99"/>
  <c r="AF224" i="99"/>
  <c r="AE224" i="99"/>
  <c r="AD224" i="99"/>
  <c r="AC224" i="99"/>
  <c r="AB224" i="99"/>
  <c r="AA224" i="99"/>
  <c r="Z224" i="99"/>
  <c r="Y224" i="99"/>
  <c r="Y223" i="99" s="1"/>
  <c r="Y222" i="99" s="1"/>
  <c r="X224" i="99"/>
  <c r="W224" i="99"/>
  <c r="V224" i="99"/>
  <c r="U224" i="99"/>
  <c r="U223" i="99" s="1"/>
  <c r="U222" i="99" s="1"/>
  <c r="T224" i="99"/>
  <c r="T223" i="99" s="1"/>
  <c r="T222" i="99" s="1"/>
  <c r="S224" i="99"/>
  <c r="R224" i="99"/>
  <c r="Q224" i="99"/>
  <c r="P224" i="99"/>
  <c r="O224" i="99"/>
  <c r="N224" i="99"/>
  <c r="M224" i="99"/>
  <c r="I224" i="99"/>
  <c r="H224" i="99"/>
  <c r="G224" i="99"/>
  <c r="F224" i="99"/>
  <c r="E224" i="99"/>
  <c r="D224" i="99"/>
  <c r="C224" i="99"/>
  <c r="B224" i="99"/>
  <c r="A224" i="99"/>
  <c r="Z223" i="99"/>
  <c r="X223" i="99"/>
  <c r="V223" i="99"/>
  <c r="V222" i="99" s="1"/>
  <c r="S223" i="99"/>
  <c r="S222" i="99" s="1"/>
  <c r="R223" i="99"/>
  <c r="R222" i="99" s="1"/>
  <c r="M223" i="99"/>
  <c r="L223" i="99"/>
  <c r="Z222" i="99"/>
  <c r="L222" i="99"/>
  <c r="K222" i="99"/>
  <c r="AQ221" i="99"/>
  <c r="AP221" i="99"/>
  <c r="AO221" i="99"/>
  <c r="AN221" i="99"/>
  <c r="AM221" i="99"/>
  <c r="AL221" i="99"/>
  <c r="AK221" i="99"/>
  <c r="AJ221" i="99"/>
  <c r="AI221" i="99"/>
  <c r="AH221" i="99"/>
  <c r="AG221" i="99"/>
  <c r="AF221" i="99"/>
  <c r="AE221" i="99"/>
  <c r="AD221" i="99"/>
  <c r="AC221" i="99"/>
  <c r="AB221" i="99"/>
  <c r="AA221" i="99"/>
  <c r="Y221" i="99"/>
  <c r="Y220" i="99" s="1"/>
  <c r="Y219" i="99" s="1"/>
  <c r="X221" i="99"/>
  <c r="W221" i="99"/>
  <c r="V221" i="99"/>
  <c r="U221" i="99"/>
  <c r="U220" i="99" s="1"/>
  <c r="U219" i="99" s="1"/>
  <c r="T221" i="99"/>
  <c r="T220" i="99" s="1"/>
  <c r="T219" i="99" s="1"/>
  <c r="S221" i="99"/>
  <c r="S220" i="99" s="1"/>
  <c r="S219" i="99" s="1"/>
  <c r="R221" i="99"/>
  <c r="R220" i="99" s="1"/>
  <c r="R219" i="99" s="1"/>
  <c r="Q221" i="99"/>
  <c r="P221" i="99"/>
  <c r="O221" i="99"/>
  <c r="N221" i="99"/>
  <c r="M221" i="99"/>
  <c r="I221" i="99"/>
  <c r="H221" i="99"/>
  <c r="G221" i="99"/>
  <c r="F221" i="99"/>
  <c r="E221" i="99"/>
  <c r="D221" i="99"/>
  <c r="C221" i="99"/>
  <c r="B221" i="99"/>
  <c r="A221" i="99"/>
  <c r="V220" i="99"/>
  <c r="V219" i="99" s="1"/>
  <c r="M220" i="99"/>
  <c r="L220" i="99"/>
  <c r="X219" i="99"/>
  <c r="W219" i="99"/>
  <c r="L219" i="99"/>
  <c r="K219" i="99"/>
  <c r="AQ218" i="99"/>
  <c r="AP218" i="99"/>
  <c r="AO218" i="99"/>
  <c r="AN218" i="99"/>
  <c r="AM218" i="99"/>
  <c r="AL218" i="99"/>
  <c r="AK218" i="99"/>
  <c r="AJ218" i="99"/>
  <c r="AI218" i="99"/>
  <c r="AH218" i="99"/>
  <c r="AG218" i="99"/>
  <c r="AF218" i="99"/>
  <c r="AE218" i="99"/>
  <c r="AD218" i="99"/>
  <c r="AC218" i="99"/>
  <c r="AB218" i="99"/>
  <c r="AA218" i="99"/>
  <c r="Z218" i="99"/>
  <c r="Y218" i="99"/>
  <c r="Y217" i="99" s="1"/>
  <c r="Y216" i="99" s="1"/>
  <c r="X218" i="99"/>
  <c r="X217" i="99" s="1"/>
  <c r="X216" i="99" s="1"/>
  <c r="W218" i="99"/>
  <c r="V218" i="99"/>
  <c r="U218" i="99"/>
  <c r="U217" i="99" s="1"/>
  <c r="U216" i="99" s="1"/>
  <c r="T218" i="99"/>
  <c r="T217" i="99" s="1"/>
  <c r="T216" i="99" s="1"/>
  <c r="S218" i="99"/>
  <c r="S217" i="99" s="1"/>
  <c r="S216" i="99" s="1"/>
  <c r="R218" i="99"/>
  <c r="Q218" i="99"/>
  <c r="P218" i="99"/>
  <c r="O218" i="99"/>
  <c r="N218" i="99"/>
  <c r="M218" i="99"/>
  <c r="I218" i="99"/>
  <c r="H218" i="99"/>
  <c r="G218" i="99"/>
  <c r="F218" i="99"/>
  <c r="E218" i="99"/>
  <c r="D218" i="99"/>
  <c r="C218" i="99"/>
  <c r="B218" i="99"/>
  <c r="A218" i="99"/>
  <c r="Z217" i="99"/>
  <c r="Z216" i="99" s="1"/>
  <c r="V217" i="99"/>
  <c r="V216" i="99" s="1"/>
  <c r="R217" i="99"/>
  <c r="R216" i="99" s="1"/>
  <c r="M217" i="99"/>
  <c r="L217" i="99"/>
  <c r="L216" i="99"/>
  <c r="K216" i="99"/>
  <c r="AQ215" i="99"/>
  <c r="AP215" i="99"/>
  <c r="AO215" i="99"/>
  <c r="AN215" i="99"/>
  <c r="AM215" i="99"/>
  <c r="AL215" i="99"/>
  <c r="AK215" i="99"/>
  <c r="AJ215" i="99"/>
  <c r="AI215" i="99"/>
  <c r="AH215" i="99"/>
  <c r="AG215" i="99"/>
  <c r="AF215" i="99"/>
  <c r="AE215" i="99"/>
  <c r="AD215" i="99"/>
  <c r="AC215" i="99"/>
  <c r="AB215" i="99"/>
  <c r="AA215" i="99"/>
  <c r="Z215" i="99"/>
  <c r="Y215" i="99"/>
  <c r="Y214" i="99" s="1"/>
  <c r="Y213" i="99" s="1"/>
  <c r="X215" i="99"/>
  <c r="W215" i="99"/>
  <c r="V215" i="99"/>
  <c r="V214" i="99" s="1"/>
  <c r="V213" i="99" s="1"/>
  <c r="U215" i="99"/>
  <c r="U214" i="99" s="1"/>
  <c r="U213" i="99" s="1"/>
  <c r="T215" i="99"/>
  <c r="S215" i="99"/>
  <c r="S214" i="99" s="1"/>
  <c r="S213" i="99" s="1"/>
  <c r="R215" i="99"/>
  <c r="R214" i="99" s="1"/>
  <c r="R213" i="99" s="1"/>
  <c r="Q215" i="99"/>
  <c r="P215" i="99"/>
  <c r="O215" i="99"/>
  <c r="N215" i="99"/>
  <c r="M215" i="99"/>
  <c r="I215" i="99"/>
  <c r="H215" i="99"/>
  <c r="G215" i="99"/>
  <c r="F215" i="99"/>
  <c r="E215" i="99"/>
  <c r="D215" i="99"/>
  <c r="C215" i="99"/>
  <c r="B215" i="99"/>
  <c r="A215" i="99"/>
  <c r="Z214" i="99"/>
  <c r="Z213" i="99" s="1"/>
  <c r="X214" i="99"/>
  <c r="X213" i="99" s="1"/>
  <c r="T214" i="99"/>
  <c r="T213" i="99" s="1"/>
  <c r="M214" i="99"/>
  <c r="L214" i="99"/>
  <c r="W213" i="99"/>
  <c r="L213" i="99"/>
  <c r="K213" i="99"/>
  <c r="AQ212" i="99"/>
  <c r="AP212" i="99"/>
  <c r="AO212" i="99"/>
  <c r="AN212" i="99"/>
  <c r="AM212" i="99"/>
  <c r="AL212" i="99"/>
  <c r="AK212" i="99"/>
  <c r="AJ212" i="99"/>
  <c r="AI212" i="99"/>
  <c r="AH212" i="99"/>
  <c r="AG212" i="99"/>
  <c r="AF212" i="99"/>
  <c r="AE212" i="99"/>
  <c r="AD212" i="99"/>
  <c r="AC212" i="99"/>
  <c r="AB212" i="99"/>
  <c r="AA212" i="99"/>
  <c r="Z212" i="99"/>
  <c r="Y212" i="99"/>
  <c r="X212" i="99"/>
  <c r="W212" i="99"/>
  <c r="V212" i="99"/>
  <c r="U212" i="99"/>
  <c r="T212" i="99"/>
  <c r="S212" i="99"/>
  <c r="R212" i="99"/>
  <c r="Q212" i="99"/>
  <c r="P212" i="99"/>
  <c r="O212" i="99"/>
  <c r="N212" i="99"/>
  <c r="M212" i="99"/>
  <c r="I212" i="99"/>
  <c r="H212" i="99"/>
  <c r="G212" i="99"/>
  <c r="F212" i="99"/>
  <c r="E212" i="99"/>
  <c r="D212" i="99"/>
  <c r="C212" i="99"/>
  <c r="B212" i="99"/>
  <c r="A212" i="99"/>
  <c r="AQ211" i="99"/>
  <c r="AP211" i="99"/>
  <c r="AO211" i="99"/>
  <c r="AN211" i="99"/>
  <c r="AM211" i="99"/>
  <c r="AL211" i="99"/>
  <c r="AK211" i="99"/>
  <c r="AJ211" i="99"/>
  <c r="AI211" i="99"/>
  <c r="AH211" i="99"/>
  <c r="AG211" i="99"/>
  <c r="AF211" i="99"/>
  <c r="AE211" i="99"/>
  <c r="AD211" i="99"/>
  <c r="AC211" i="99"/>
  <c r="AB211" i="99"/>
  <c r="AA211" i="99"/>
  <c r="Z211" i="99"/>
  <c r="Y211" i="99"/>
  <c r="X211" i="99"/>
  <c r="W211" i="99"/>
  <c r="V211" i="99"/>
  <c r="U211" i="99"/>
  <c r="T211" i="99"/>
  <c r="T210" i="99" s="1"/>
  <c r="T200" i="99" s="1"/>
  <c r="S211" i="99"/>
  <c r="R211" i="99"/>
  <c r="Q211" i="99"/>
  <c r="P211" i="99"/>
  <c r="O211" i="99"/>
  <c r="N211" i="99"/>
  <c r="M211" i="99"/>
  <c r="I211" i="99"/>
  <c r="H211" i="99"/>
  <c r="G211" i="99"/>
  <c r="F211" i="99"/>
  <c r="E211" i="99"/>
  <c r="D211" i="99"/>
  <c r="C211" i="99"/>
  <c r="B211" i="99"/>
  <c r="A211" i="99"/>
  <c r="AG210" i="99"/>
  <c r="Z210" i="99"/>
  <c r="Y210" i="99"/>
  <c r="X210" i="99"/>
  <c r="V210" i="99"/>
  <c r="U210" i="99"/>
  <c r="S210" i="99"/>
  <c r="R210" i="99"/>
  <c r="M210" i="99"/>
  <c r="L210" i="99"/>
  <c r="AQ209" i="99"/>
  <c r="AP209" i="99"/>
  <c r="AO209" i="99"/>
  <c r="AN209" i="99"/>
  <c r="AM209" i="99"/>
  <c r="AL209" i="99"/>
  <c r="AK209" i="99"/>
  <c r="AJ209" i="99"/>
  <c r="AI209" i="99"/>
  <c r="AH209" i="99"/>
  <c r="AG209" i="99"/>
  <c r="AF209" i="99"/>
  <c r="AE209" i="99"/>
  <c r="AD209" i="99"/>
  <c r="AC209" i="99"/>
  <c r="AB209" i="99"/>
  <c r="AA209" i="99"/>
  <c r="Z209" i="99"/>
  <c r="Y209" i="99"/>
  <c r="X209" i="99"/>
  <c r="W209" i="99"/>
  <c r="V209" i="99"/>
  <c r="U209" i="99"/>
  <c r="T209" i="99"/>
  <c r="S209" i="99"/>
  <c r="R209" i="99"/>
  <c r="Q209" i="99"/>
  <c r="P209" i="99"/>
  <c r="O209" i="99"/>
  <c r="N209" i="99"/>
  <c r="I209" i="99"/>
  <c r="H209" i="99"/>
  <c r="G209" i="99"/>
  <c r="F209" i="99"/>
  <c r="E209" i="99"/>
  <c r="D209" i="99"/>
  <c r="C209" i="99"/>
  <c r="B209" i="99"/>
  <c r="A209" i="99"/>
  <c r="AQ208" i="99"/>
  <c r="AP208" i="99"/>
  <c r="AO208" i="99"/>
  <c r="AN208" i="99"/>
  <c r="AM208" i="99"/>
  <c r="AL208" i="99"/>
  <c r="AK208" i="99"/>
  <c r="AJ208" i="99"/>
  <c r="AI208" i="99"/>
  <c r="AH208" i="99"/>
  <c r="AG208" i="99"/>
  <c r="AF208" i="99"/>
  <c r="AE208" i="99"/>
  <c r="AD208" i="99"/>
  <c r="AC208" i="99"/>
  <c r="AB208" i="99"/>
  <c r="AA208" i="99"/>
  <c r="Z208" i="99"/>
  <c r="Y208" i="99"/>
  <c r="X208" i="99"/>
  <c r="W208" i="99"/>
  <c r="V208" i="99"/>
  <c r="U208" i="99"/>
  <c r="T208" i="99"/>
  <c r="S208" i="99"/>
  <c r="R208" i="99"/>
  <c r="Q208" i="99"/>
  <c r="P208" i="99"/>
  <c r="O208" i="99"/>
  <c r="N208" i="99"/>
  <c r="I208" i="99"/>
  <c r="H208" i="99"/>
  <c r="G208" i="99"/>
  <c r="F208" i="99"/>
  <c r="E208" i="99"/>
  <c r="D208" i="99"/>
  <c r="C208" i="99"/>
  <c r="B208" i="99"/>
  <c r="A208" i="99"/>
  <c r="AQ207" i="99"/>
  <c r="AP207" i="99"/>
  <c r="AO207" i="99"/>
  <c r="AN207" i="99"/>
  <c r="AM207" i="99"/>
  <c r="AL207" i="99"/>
  <c r="AK207" i="99"/>
  <c r="AJ207" i="99"/>
  <c r="AI207" i="99"/>
  <c r="AH207" i="99"/>
  <c r="AG207" i="99"/>
  <c r="AF207" i="99"/>
  <c r="AE207" i="99"/>
  <c r="AD207" i="99"/>
  <c r="AC207" i="99"/>
  <c r="AB207" i="99"/>
  <c r="AA207" i="99"/>
  <c r="Z207" i="99"/>
  <c r="Y207" i="99"/>
  <c r="X207" i="99"/>
  <c r="W207" i="99"/>
  <c r="V207" i="99"/>
  <c r="U207" i="99"/>
  <c r="T207" i="99"/>
  <c r="S207" i="99"/>
  <c r="R207" i="99"/>
  <c r="Q207" i="99"/>
  <c r="P207" i="99"/>
  <c r="O207" i="99"/>
  <c r="N207" i="99"/>
  <c r="I207" i="99"/>
  <c r="H207" i="99"/>
  <c r="G207" i="99"/>
  <c r="F207" i="99"/>
  <c r="E207" i="99"/>
  <c r="D207" i="99"/>
  <c r="C207" i="99"/>
  <c r="B207" i="99"/>
  <c r="A207" i="99"/>
  <c r="AQ206" i="99"/>
  <c r="AP206" i="99"/>
  <c r="AO206" i="99"/>
  <c r="AN206" i="99"/>
  <c r="AM206" i="99"/>
  <c r="AL206" i="99"/>
  <c r="AK206" i="99"/>
  <c r="AJ206" i="99"/>
  <c r="AI206" i="99"/>
  <c r="AH206" i="99"/>
  <c r="AG206" i="99"/>
  <c r="AF206" i="99"/>
  <c r="AE206" i="99"/>
  <c r="AD206" i="99"/>
  <c r="AC206" i="99"/>
  <c r="AB206" i="99"/>
  <c r="AA206" i="99"/>
  <c r="Z206" i="99"/>
  <c r="X206" i="99"/>
  <c r="W206" i="99"/>
  <c r="V206" i="99"/>
  <c r="U206" i="99"/>
  <c r="T206" i="99"/>
  <c r="S206" i="99"/>
  <c r="R206" i="99"/>
  <c r="Q206" i="99"/>
  <c r="P206" i="99"/>
  <c r="O206" i="99"/>
  <c r="N206" i="99"/>
  <c r="M206" i="99"/>
  <c r="I206" i="99"/>
  <c r="H206" i="99"/>
  <c r="G206" i="99"/>
  <c r="F206" i="99"/>
  <c r="E206" i="99"/>
  <c r="D206" i="99"/>
  <c r="C206" i="99"/>
  <c r="B206" i="99"/>
  <c r="A206" i="99"/>
  <c r="AQ205" i="99"/>
  <c r="AP205" i="99"/>
  <c r="AO205" i="99"/>
  <c r="AN205" i="99"/>
  <c r="AM205" i="99"/>
  <c r="AL205" i="99"/>
  <c r="AK205" i="99"/>
  <c r="AJ205" i="99"/>
  <c r="AI205" i="99"/>
  <c r="AH205" i="99"/>
  <c r="AG205" i="99"/>
  <c r="AF205" i="99"/>
  <c r="AE205" i="99"/>
  <c r="AD205" i="99"/>
  <c r="AC205" i="99"/>
  <c r="AB205" i="99"/>
  <c r="AA205" i="99"/>
  <c r="Z205" i="99"/>
  <c r="Y205" i="99"/>
  <c r="X205" i="99"/>
  <c r="W205" i="99"/>
  <c r="V205" i="99"/>
  <c r="U205" i="99"/>
  <c r="T205" i="99"/>
  <c r="S205" i="99"/>
  <c r="R205" i="99"/>
  <c r="Q205" i="99"/>
  <c r="P205" i="99"/>
  <c r="O205" i="99"/>
  <c r="N205" i="99"/>
  <c r="I205" i="99"/>
  <c r="H205" i="99"/>
  <c r="G205" i="99"/>
  <c r="F205" i="99"/>
  <c r="E205" i="99"/>
  <c r="D205" i="99"/>
  <c r="C205" i="99"/>
  <c r="B205" i="99"/>
  <c r="A205" i="99"/>
  <c r="AQ204" i="99"/>
  <c r="AP204" i="99"/>
  <c r="AO204" i="99"/>
  <c r="AN204" i="99"/>
  <c r="AM204" i="99"/>
  <c r="AL204" i="99"/>
  <c r="AK204" i="99"/>
  <c r="AJ204" i="99"/>
  <c r="AI204" i="99"/>
  <c r="AH204" i="99"/>
  <c r="AG204" i="99"/>
  <c r="AF204" i="99"/>
  <c r="AE204" i="99"/>
  <c r="AD204" i="99"/>
  <c r="AC204" i="99"/>
  <c r="AB204" i="99"/>
  <c r="AA204" i="99"/>
  <c r="Z204" i="99"/>
  <c r="Y204" i="99"/>
  <c r="X204" i="99"/>
  <c r="W204" i="99"/>
  <c r="V204" i="99"/>
  <c r="U204" i="99"/>
  <c r="T204" i="99"/>
  <c r="S204" i="99"/>
  <c r="R204" i="99"/>
  <c r="Q204" i="99"/>
  <c r="P204" i="99"/>
  <c r="O204" i="99"/>
  <c r="N204" i="99"/>
  <c r="I204" i="99"/>
  <c r="H204" i="99"/>
  <c r="G204" i="99"/>
  <c r="F204" i="99"/>
  <c r="E204" i="99"/>
  <c r="D204" i="99"/>
  <c r="C204" i="99"/>
  <c r="B204" i="99"/>
  <c r="A204" i="99"/>
  <c r="AQ203" i="99"/>
  <c r="AP203" i="99"/>
  <c r="AO203" i="99"/>
  <c r="AN203" i="99"/>
  <c r="AM203" i="99"/>
  <c r="AL203" i="99"/>
  <c r="AK203" i="99"/>
  <c r="AJ203" i="99"/>
  <c r="AI203" i="99"/>
  <c r="AH203" i="99"/>
  <c r="AG203" i="99"/>
  <c r="AF203" i="99"/>
  <c r="AE203" i="99"/>
  <c r="AD203" i="99"/>
  <c r="AC203" i="99"/>
  <c r="AB203" i="99"/>
  <c r="AA203" i="99"/>
  <c r="Z203" i="99"/>
  <c r="Y203" i="99"/>
  <c r="X203" i="99"/>
  <c r="W203" i="99"/>
  <c r="V203" i="99"/>
  <c r="U203" i="99"/>
  <c r="T203" i="99"/>
  <c r="S203" i="99"/>
  <c r="R203" i="99"/>
  <c r="Q203" i="99"/>
  <c r="P203" i="99"/>
  <c r="O203" i="99"/>
  <c r="N203" i="99"/>
  <c r="I203" i="99"/>
  <c r="H203" i="99"/>
  <c r="G203" i="99"/>
  <c r="F203" i="99"/>
  <c r="E203" i="99"/>
  <c r="D203" i="99"/>
  <c r="C203" i="99"/>
  <c r="B203" i="99"/>
  <c r="A203" i="99"/>
  <c r="AQ202" i="99"/>
  <c r="AP202" i="99"/>
  <c r="AO202" i="99"/>
  <c r="AN202" i="99"/>
  <c r="AM202" i="99"/>
  <c r="AL202" i="99"/>
  <c r="AK202" i="99"/>
  <c r="AJ202" i="99"/>
  <c r="AI202" i="99"/>
  <c r="AH202" i="99"/>
  <c r="AG202" i="99"/>
  <c r="AF202" i="99"/>
  <c r="AE202" i="99"/>
  <c r="AD202" i="99"/>
  <c r="AC202" i="99"/>
  <c r="AB202" i="99"/>
  <c r="AA202" i="99"/>
  <c r="Y202" i="99"/>
  <c r="X202" i="99"/>
  <c r="W202" i="99"/>
  <c r="V202" i="99"/>
  <c r="U202" i="99"/>
  <c r="T202" i="99"/>
  <c r="S202" i="99"/>
  <c r="R202" i="99"/>
  <c r="Q202" i="99"/>
  <c r="P202" i="99"/>
  <c r="O202" i="99"/>
  <c r="N202" i="99"/>
  <c r="M202" i="99"/>
  <c r="I202" i="99"/>
  <c r="H202" i="99"/>
  <c r="G202" i="99"/>
  <c r="F202" i="99"/>
  <c r="E202" i="99"/>
  <c r="D202" i="99"/>
  <c r="C202" i="99"/>
  <c r="B202" i="99"/>
  <c r="A202" i="99"/>
  <c r="X201" i="99"/>
  <c r="V201" i="99"/>
  <c r="U201" i="99"/>
  <c r="T201" i="99"/>
  <c r="S201" i="99"/>
  <c r="R201" i="99"/>
  <c r="M201" i="99"/>
  <c r="L201" i="99"/>
  <c r="X200" i="99"/>
  <c r="V200" i="99"/>
  <c r="U200" i="99"/>
  <c r="S200" i="99"/>
  <c r="R200" i="99"/>
  <c r="L200" i="99"/>
  <c r="K200" i="99"/>
  <c r="AQ199" i="99"/>
  <c r="AP199" i="99"/>
  <c r="AO199" i="99"/>
  <c r="AN199" i="99"/>
  <c r="AM199" i="99"/>
  <c r="AL199" i="99"/>
  <c r="AK199" i="99"/>
  <c r="AJ199" i="99"/>
  <c r="AI199" i="99"/>
  <c r="AH199" i="99"/>
  <c r="AG199" i="99"/>
  <c r="AF199" i="99"/>
  <c r="AE199" i="99"/>
  <c r="AD199" i="99"/>
  <c r="AC199" i="99"/>
  <c r="AB199" i="99"/>
  <c r="AA199" i="99"/>
  <c r="Z199" i="99"/>
  <c r="Y199" i="99"/>
  <c r="X199" i="99"/>
  <c r="W199" i="99"/>
  <c r="V199" i="99"/>
  <c r="V198" i="99" s="1"/>
  <c r="V197" i="99" s="1"/>
  <c r="U199" i="99"/>
  <c r="T199" i="99"/>
  <c r="S199" i="99"/>
  <c r="S198" i="99" s="1"/>
  <c r="S197" i="99" s="1"/>
  <c r="R199" i="99"/>
  <c r="R198" i="99" s="1"/>
  <c r="R197" i="99" s="1"/>
  <c r="Q199" i="99"/>
  <c r="P199" i="99"/>
  <c r="O199" i="99"/>
  <c r="N199" i="99"/>
  <c r="M199" i="99"/>
  <c r="I199" i="99"/>
  <c r="H199" i="99"/>
  <c r="G199" i="99"/>
  <c r="F199" i="99"/>
  <c r="E199" i="99"/>
  <c r="D199" i="99"/>
  <c r="C199" i="99"/>
  <c r="B199" i="99"/>
  <c r="A199" i="99"/>
  <c r="Z198" i="99"/>
  <c r="Z197" i="99" s="1"/>
  <c r="Y198" i="99"/>
  <c r="Y197" i="99" s="1"/>
  <c r="X198" i="99"/>
  <c r="U198" i="99"/>
  <c r="U197" i="99" s="1"/>
  <c r="T198" i="99"/>
  <c r="T197" i="99" s="1"/>
  <c r="M198" i="99"/>
  <c r="L198" i="99"/>
  <c r="X197" i="99"/>
  <c r="L197" i="99"/>
  <c r="K197" i="99"/>
  <c r="AQ196" i="99"/>
  <c r="AP196" i="99"/>
  <c r="AO196" i="99"/>
  <c r="AN196" i="99"/>
  <c r="AM196" i="99"/>
  <c r="AL196" i="99"/>
  <c r="AK196" i="99"/>
  <c r="AJ196" i="99"/>
  <c r="AI196" i="99"/>
  <c r="AH196" i="99"/>
  <c r="AG196" i="99"/>
  <c r="AF196" i="99"/>
  <c r="AE196" i="99"/>
  <c r="AD196" i="99"/>
  <c r="AC196" i="99"/>
  <c r="AB196" i="99"/>
  <c r="AA196" i="99"/>
  <c r="Z196" i="99"/>
  <c r="Y196" i="99"/>
  <c r="X196" i="99"/>
  <c r="W196" i="99"/>
  <c r="V196" i="99"/>
  <c r="U196" i="99"/>
  <c r="T196" i="99"/>
  <c r="S196" i="99"/>
  <c r="R196" i="99"/>
  <c r="Q196" i="99"/>
  <c r="P196" i="99"/>
  <c r="O196" i="99"/>
  <c r="N196" i="99"/>
  <c r="I196" i="99"/>
  <c r="H196" i="99"/>
  <c r="G196" i="99"/>
  <c r="F196" i="99"/>
  <c r="E196" i="99"/>
  <c r="D196" i="99"/>
  <c r="C196" i="99"/>
  <c r="B196" i="99"/>
  <c r="A196" i="99"/>
  <c r="AQ195" i="99"/>
  <c r="AP195" i="99"/>
  <c r="AO195" i="99"/>
  <c r="AN195" i="99"/>
  <c r="AM195" i="99"/>
  <c r="AL195" i="99"/>
  <c r="AK195" i="99"/>
  <c r="AJ195" i="99"/>
  <c r="AI195" i="99"/>
  <c r="AH195" i="99"/>
  <c r="AG195" i="99"/>
  <c r="AF195" i="99"/>
  <c r="AE195" i="99"/>
  <c r="AD195" i="99"/>
  <c r="AC195" i="99"/>
  <c r="AB195" i="99"/>
  <c r="AA195" i="99"/>
  <c r="Z195" i="99"/>
  <c r="Y195" i="99"/>
  <c r="X195" i="99"/>
  <c r="W195" i="99"/>
  <c r="V195" i="99"/>
  <c r="U195" i="99"/>
  <c r="T195" i="99"/>
  <c r="S195" i="99"/>
  <c r="R195" i="99"/>
  <c r="Q195" i="99"/>
  <c r="P195" i="99"/>
  <c r="O195" i="99"/>
  <c r="N195" i="99"/>
  <c r="I195" i="99"/>
  <c r="H195" i="99"/>
  <c r="G195" i="99"/>
  <c r="F195" i="99"/>
  <c r="E195" i="99"/>
  <c r="D195" i="99"/>
  <c r="C195" i="99"/>
  <c r="B195" i="99"/>
  <c r="A195" i="99"/>
  <c r="AQ194" i="99"/>
  <c r="AP194" i="99"/>
  <c r="AO194" i="99"/>
  <c r="AN194" i="99"/>
  <c r="AM194" i="99"/>
  <c r="AL194" i="99"/>
  <c r="AK194" i="99"/>
  <c r="AJ194" i="99"/>
  <c r="AI194" i="99"/>
  <c r="AH194" i="99"/>
  <c r="AG194" i="99"/>
  <c r="AF194" i="99"/>
  <c r="AE194" i="99"/>
  <c r="AD194" i="99"/>
  <c r="AC194" i="99"/>
  <c r="AB194" i="99"/>
  <c r="AA194" i="99"/>
  <c r="Z194" i="99"/>
  <c r="Y194" i="99"/>
  <c r="X194" i="99"/>
  <c r="W194" i="99"/>
  <c r="U194" i="99"/>
  <c r="T194" i="99"/>
  <c r="S194" i="99"/>
  <c r="R194" i="99"/>
  <c r="Q194" i="99"/>
  <c r="P194" i="99"/>
  <c r="O194" i="99"/>
  <c r="N194" i="99"/>
  <c r="I194" i="99"/>
  <c r="H194" i="99"/>
  <c r="G194" i="99"/>
  <c r="F194" i="99"/>
  <c r="E194" i="99"/>
  <c r="D194" i="99"/>
  <c r="C194" i="99"/>
  <c r="B194" i="99"/>
  <c r="A194" i="99"/>
  <c r="AQ193" i="99"/>
  <c r="AP193" i="99"/>
  <c r="AO193" i="99"/>
  <c r="AN193" i="99"/>
  <c r="AM193" i="99"/>
  <c r="AL193" i="99"/>
  <c r="AK193" i="99"/>
  <c r="AJ193" i="99"/>
  <c r="AI193" i="99"/>
  <c r="AH193" i="99"/>
  <c r="AG193" i="99"/>
  <c r="AF193" i="99"/>
  <c r="AE193" i="99"/>
  <c r="AD193" i="99"/>
  <c r="AC193" i="99"/>
  <c r="AB193" i="99"/>
  <c r="AA193" i="99"/>
  <c r="Z193" i="99"/>
  <c r="Y193" i="99"/>
  <c r="X193" i="99"/>
  <c r="X192" i="99" s="1"/>
  <c r="W193" i="99"/>
  <c r="U193" i="99"/>
  <c r="T193" i="99"/>
  <c r="T192" i="99" s="1"/>
  <c r="S193" i="99"/>
  <c r="R193" i="99"/>
  <c r="Q193" i="99"/>
  <c r="P193" i="99"/>
  <c r="O193" i="99"/>
  <c r="N193" i="99"/>
  <c r="M193" i="99"/>
  <c r="I193" i="99"/>
  <c r="H193" i="99"/>
  <c r="G193" i="99"/>
  <c r="F193" i="99"/>
  <c r="E193" i="99"/>
  <c r="D193" i="99"/>
  <c r="C193" i="99"/>
  <c r="B193" i="99"/>
  <c r="A193" i="99"/>
  <c r="Z192" i="99"/>
  <c r="Y192" i="99"/>
  <c r="U192" i="99"/>
  <c r="S192" i="99"/>
  <c r="R192" i="99"/>
  <c r="M192" i="99"/>
  <c r="L192" i="99"/>
  <c r="AQ191" i="99"/>
  <c r="AP191" i="99"/>
  <c r="AO191" i="99"/>
  <c r="AN191" i="99"/>
  <c r="AM191" i="99"/>
  <c r="AL191" i="99"/>
  <c r="AK191" i="99"/>
  <c r="AJ191" i="99"/>
  <c r="AI191" i="99"/>
  <c r="AH191" i="99"/>
  <c r="AG191" i="99"/>
  <c r="AF191" i="99"/>
  <c r="AE191" i="99"/>
  <c r="AD191" i="99"/>
  <c r="AC191" i="99"/>
  <c r="AB191" i="99"/>
  <c r="AA191" i="99"/>
  <c r="Z191" i="99"/>
  <c r="Z190" i="99" s="1"/>
  <c r="Y191" i="99"/>
  <c r="X191" i="99"/>
  <c r="W191" i="99"/>
  <c r="U191" i="99"/>
  <c r="T191" i="99"/>
  <c r="S191" i="99"/>
  <c r="R191" i="99"/>
  <c r="R190" i="99" s="1"/>
  <c r="Q191" i="99"/>
  <c r="P191" i="99"/>
  <c r="O191" i="99"/>
  <c r="N191" i="99"/>
  <c r="M191" i="99"/>
  <c r="I191" i="99"/>
  <c r="H191" i="99"/>
  <c r="G191" i="99"/>
  <c r="F191" i="99"/>
  <c r="E191" i="99"/>
  <c r="D191" i="99"/>
  <c r="C191" i="99"/>
  <c r="B191" i="99"/>
  <c r="A191" i="99"/>
  <c r="Y190" i="99"/>
  <c r="X190" i="99"/>
  <c r="U190" i="99"/>
  <c r="T190" i="99"/>
  <c r="S190" i="99"/>
  <c r="M190" i="99"/>
  <c r="L190" i="99"/>
  <c r="AQ189" i="99"/>
  <c r="AP189" i="99"/>
  <c r="AO189" i="99"/>
  <c r="AN189" i="99"/>
  <c r="AM189" i="99"/>
  <c r="AL189" i="99"/>
  <c r="AK189" i="99"/>
  <c r="AJ189" i="99"/>
  <c r="AI189" i="99"/>
  <c r="AH189" i="99"/>
  <c r="AG189" i="99"/>
  <c r="AF189" i="99"/>
  <c r="AE189" i="99"/>
  <c r="AD189" i="99"/>
  <c r="AC189" i="99"/>
  <c r="AB189" i="99"/>
  <c r="AA189" i="99"/>
  <c r="Z189" i="99"/>
  <c r="Y189" i="99"/>
  <c r="X189" i="99"/>
  <c r="X188" i="99" s="1"/>
  <c r="W189" i="99"/>
  <c r="U189" i="99"/>
  <c r="T189" i="99"/>
  <c r="S189" i="99"/>
  <c r="S188" i="99" s="1"/>
  <c r="R189" i="99"/>
  <c r="Q189" i="99"/>
  <c r="P189" i="99"/>
  <c r="O189" i="99"/>
  <c r="N189" i="99"/>
  <c r="M189" i="99"/>
  <c r="I189" i="99"/>
  <c r="H189" i="99"/>
  <c r="G189" i="99"/>
  <c r="F189" i="99"/>
  <c r="E189" i="99"/>
  <c r="D189" i="99"/>
  <c r="C189" i="99"/>
  <c r="B189" i="99"/>
  <c r="A189" i="99"/>
  <c r="Z188" i="99"/>
  <c r="Y188" i="99"/>
  <c r="U188" i="99"/>
  <c r="T188" i="99"/>
  <c r="R188" i="99"/>
  <c r="M188" i="99"/>
  <c r="L188" i="99"/>
  <c r="AQ187" i="99"/>
  <c r="AP187" i="99"/>
  <c r="AO187" i="99"/>
  <c r="AN187" i="99"/>
  <c r="AM187" i="99"/>
  <c r="AL187" i="99"/>
  <c r="AK187" i="99"/>
  <c r="AJ187" i="99"/>
  <c r="AI187" i="99"/>
  <c r="AH187" i="99"/>
  <c r="AG187" i="99"/>
  <c r="AF187" i="99"/>
  <c r="AE187" i="99"/>
  <c r="AD187" i="99"/>
  <c r="AC187" i="99"/>
  <c r="AB187" i="99"/>
  <c r="AA187" i="99"/>
  <c r="Z187" i="99"/>
  <c r="Y187" i="99"/>
  <c r="X187" i="99"/>
  <c r="X186" i="99" s="1"/>
  <c r="X185" i="99" s="1"/>
  <c r="W187" i="99"/>
  <c r="V187" i="99"/>
  <c r="U187" i="99"/>
  <c r="T187" i="99"/>
  <c r="T186" i="99" s="1"/>
  <c r="T185" i="99" s="1"/>
  <c r="S187" i="99"/>
  <c r="S186" i="99" s="1"/>
  <c r="R187" i="99"/>
  <c r="Q187" i="99"/>
  <c r="P187" i="99"/>
  <c r="O187" i="99"/>
  <c r="N187" i="99"/>
  <c r="M187" i="99"/>
  <c r="I187" i="99"/>
  <c r="H187" i="99"/>
  <c r="G187" i="99"/>
  <c r="F187" i="99"/>
  <c r="E187" i="99"/>
  <c r="D187" i="99"/>
  <c r="C187" i="99"/>
  <c r="B187" i="99"/>
  <c r="A187" i="99"/>
  <c r="Z186" i="99"/>
  <c r="Y186" i="99"/>
  <c r="V186" i="99"/>
  <c r="U186" i="99"/>
  <c r="U185" i="99" s="1"/>
  <c r="R186" i="99"/>
  <c r="R185" i="99" s="1"/>
  <c r="M186" i="99"/>
  <c r="L186" i="99"/>
  <c r="Y185" i="99"/>
  <c r="L185" i="99"/>
  <c r="K185" i="99"/>
  <c r="AQ184" i="99"/>
  <c r="AP184" i="99"/>
  <c r="AO184" i="99"/>
  <c r="AN184" i="99"/>
  <c r="AM184" i="99"/>
  <c r="AL184" i="99"/>
  <c r="AK184" i="99"/>
  <c r="AJ184" i="99"/>
  <c r="AI184" i="99"/>
  <c r="AH184" i="99"/>
  <c r="AG184" i="99"/>
  <c r="AF184" i="99"/>
  <c r="AE184" i="99"/>
  <c r="AD184" i="99"/>
  <c r="AC184" i="99"/>
  <c r="AB184" i="99"/>
  <c r="AA184" i="99"/>
  <c r="Z184" i="99"/>
  <c r="Y184" i="99"/>
  <c r="Y183" i="99" s="1"/>
  <c r="Y182" i="99" s="1"/>
  <c r="X184" i="99"/>
  <c r="W184" i="99"/>
  <c r="V184" i="99"/>
  <c r="U184" i="99"/>
  <c r="U183" i="99" s="1"/>
  <c r="U182" i="99" s="1"/>
  <c r="T184" i="99"/>
  <c r="S184" i="99"/>
  <c r="S183" i="99" s="1"/>
  <c r="S182" i="99" s="1"/>
  <c r="R184" i="99"/>
  <c r="Q184" i="99"/>
  <c r="P184" i="99"/>
  <c r="O184" i="99"/>
  <c r="N184" i="99"/>
  <c r="M184" i="99"/>
  <c r="I184" i="99"/>
  <c r="H184" i="99"/>
  <c r="G184" i="99"/>
  <c r="F184" i="99"/>
  <c r="E184" i="99"/>
  <c r="D184" i="99"/>
  <c r="C184" i="99"/>
  <c r="B184" i="99"/>
  <c r="A184" i="99"/>
  <c r="Z183" i="99"/>
  <c r="Z182" i="99" s="1"/>
  <c r="X183" i="99"/>
  <c r="V183" i="99"/>
  <c r="V182" i="99" s="1"/>
  <c r="T183" i="99"/>
  <c r="T182" i="99" s="1"/>
  <c r="R183" i="99"/>
  <c r="R182" i="99" s="1"/>
  <c r="M183" i="99"/>
  <c r="L183" i="99"/>
  <c r="X182" i="99"/>
  <c r="L182" i="99"/>
  <c r="K182" i="99"/>
  <c r="AQ181" i="99"/>
  <c r="AP181" i="99"/>
  <c r="AO181" i="99"/>
  <c r="AN181" i="99"/>
  <c r="AM181" i="99"/>
  <c r="AL181" i="99"/>
  <c r="AK181" i="99"/>
  <c r="AJ181" i="99"/>
  <c r="AI181" i="99"/>
  <c r="AH181" i="99"/>
  <c r="AG181" i="99"/>
  <c r="AF181" i="99"/>
  <c r="AE181" i="99"/>
  <c r="AD181" i="99"/>
  <c r="AC181" i="99"/>
  <c r="AB181" i="99"/>
  <c r="AA181" i="99"/>
  <c r="Z181" i="99"/>
  <c r="Y181" i="99"/>
  <c r="X181" i="99"/>
  <c r="W181" i="99"/>
  <c r="V181" i="99"/>
  <c r="U181" i="99"/>
  <c r="T181" i="99"/>
  <c r="S181" i="99"/>
  <c r="R181" i="99"/>
  <c r="Q181" i="99"/>
  <c r="P181" i="99"/>
  <c r="O181" i="99"/>
  <c r="N181" i="99"/>
  <c r="I181" i="99"/>
  <c r="H181" i="99"/>
  <c r="G181" i="99"/>
  <c r="F181" i="99"/>
  <c r="E181" i="99"/>
  <c r="D181" i="99"/>
  <c r="C181" i="99"/>
  <c r="B181" i="99"/>
  <c r="A181" i="99"/>
  <c r="AQ180" i="99"/>
  <c r="AP180" i="99"/>
  <c r="AO180" i="99"/>
  <c r="AN180" i="99"/>
  <c r="AM180" i="99"/>
  <c r="AL180" i="99"/>
  <c r="AK180" i="99"/>
  <c r="AJ180" i="99"/>
  <c r="AI180" i="99"/>
  <c r="AH180" i="99"/>
  <c r="AG180" i="99"/>
  <c r="AF180" i="99"/>
  <c r="AE180" i="99"/>
  <c r="AD180" i="99"/>
  <c r="AC180" i="99"/>
  <c r="AB180" i="99"/>
  <c r="AA180" i="99"/>
  <c r="Z180" i="99"/>
  <c r="Y180" i="99"/>
  <c r="X180" i="99"/>
  <c r="W180" i="99"/>
  <c r="V180" i="99"/>
  <c r="U180" i="99"/>
  <c r="T180" i="99"/>
  <c r="S180" i="99"/>
  <c r="R180" i="99"/>
  <c r="Q180" i="99"/>
  <c r="P180" i="99"/>
  <c r="O180" i="99"/>
  <c r="N180" i="99"/>
  <c r="I180" i="99"/>
  <c r="H180" i="99"/>
  <c r="G180" i="99"/>
  <c r="F180" i="99"/>
  <c r="E180" i="99"/>
  <c r="D180" i="99"/>
  <c r="C180" i="99"/>
  <c r="B180" i="99"/>
  <c r="A180" i="99"/>
  <c r="AQ179" i="99"/>
  <c r="AP179" i="99"/>
  <c r="AO179" i="99"/>
  <c r="AN179" i="99"/>
  <c r="AM179" i="99"/>
  <c r="AL179" i="99"/>
  <c r="AK179" i="99"/>
  <c r="AJ179" i="99"/>
  <c r="AI179" i="99"/>
  <c r="AH179" i="99"/>
  <c r="AG179" i="99"/>
  <c r="AF179" i="99"/>
  <c r="AE179" i="99"/>
  <c r="AD179" i="99"/>
  <c r="AC179" i="99"/>
  <c r="AB179" i="99"/>
  <c r="AA179" i="99"/>
  <c r="Z179" i="99"/>
  <c r="Y179" i="99"/>
  <c r="X179" i="99"/>
  <c r="W179" i="99"/>
  <c r="V179" i="99"/>
  <c r="U179" i="99"/>
  <c r="T179" i="99"/>
  <c r="S179" i="99"/>
  <c r="R179" i="99"/>
  <c r="Q179" i="99"/>
  <c r="P179" i="99"/>
  <c r="O179" i="99"/>
  <c r="N179" i="99"/>
  <c r="I179" i="99"/>
  <c r="H179" i="99"/>
  <c r="G179" i="99"/>
  <c r="F179" i="99"/>
  <c r="E179" i="99"/>
  <c r="D179" i="99"/>
  <c r="C179" i="99"/>
  <c r="B179" i="99"/>
  <c r="A179" i="99"/>
  <c r="AQ178" i="99"/>
  <c r="AP178" i="99"/>
  <c r="AO178" i="99"/>
  <c r="AN178" i="99"/>
  <c r="AM178" i="99"/>
  <c r="AL178" i="99"/>
  <c r="AK178" i="99"/>
  <c r="AJ178" i="99"/>
  <c r="AI178" i="99"/>
  <c r="AH178" i="99"/>
  <c r="AG178" i="99"/>
  <c r="AF178" i="99"/>
  <c r="AE178" i="99"/>
  <c r="AD178" i="99"/>
  <c r="AC178" i="99"/>
  <c r="AB178" i="99"/>
  <c r="AA178" i="99"/>
  <c r="Z178" i="99"/>
  <c r="Y178" i="99"/>
  <c r="X178" i="99"/>
  <c r="W178" i="99"/>
  <c r="V178" i="99"/>
  <c r="U178" i="99"/>
  <c r="T178" i="99"/>
  <c r="S178" i="99"/>
  <c r="R178" i="99"/>
  <c r="Q178" i="99"/>
  <c r="P178" i="99"/>
  <c r="O178" i="99"/>
  <c r="N178" i="99"/>
  <c r="I178" i="99"/>
  <c r="H178" i="99"/>
  <c r="G178" i="99"/>
  <c r="F178" i="99"/>
  <c r="E178" i="99"/>
  <c r="D178" i="99"/>
  <c r="C178" i="99"/>
  <c r="B178" i="99"/>
  <c r="A178" i="99"/>
  <c r="AQ177" i="99"/>
  <c r="AP177" i="99"/>
  <c r="AO177" i="99"/>
  <c r="AN177" i="99"/>
  <c r="AM177" i="99"/>
  <c r="AL177" i="99"/>
  <c r="AK177" i="99"/>
  <c r="AJ177" i="99"/>
  <c r="AI177" i="99"/>
  <c r="AH177" i="99"/>
  <c r="AG177" i="99"/>
  <c r="AF177" i="99"/>
  <c r="AE177" i="99"/>
  <c r="AD177" i="99"/>
  <c r="AC177" i="99"/>
  <c r="AB177" i="99"/>
  <c r="AA177" i="99"/>
  <c r="Z177" i="99"/>
  <c r="Y177" i="99"/>
  <c r="X177" i="99"/>
  <c r="W177" i="99"/>
  <c r="V177" i="99"/>
  <c r="U177" i="99"/>
  <c r="T177" i="99"/>
  <c r="S177" i="99"/>
  <c r="R177" i="99"/>
  <c r="Q177" i="99"/>
  <c r="P177" i="99"/>
  <c r="O177" i="99"/>
  <c r="N177" i="99"/>
  <c r="I177" i="99"/>
  <c r="H177" i="99"/>
  <c r="G177" i="99"/>
  <c r="F177" i="99"/>
  <c r="E177" i="99"/>
  <c r="D177" i="99"/>
  <c r="C177" i="99"/>
  <c r="B177" i="99"/>
  <c r="A177" i="99"/>
  <c r="AQ176" i="99"/>
  <c r="AP176" i="99"/>
  <c r="AO176" i="99"/>
  <c r="AN176" i="99"/>
  <c r="AM176" i="99"/>
  <c r="AL176" i="99"/>
  <c r="AK176" i="99"/>
  <c r="AJ176" i="99"/>
  <c r="AI176" i="99"/>
  <c r="AH176" i="99"/>
  <c r="AG176" i="99"/>
  <c r="AF176" i="99"/>
  <c r="AE176" i="99"/>
  <c r="AD176" i="99"/>
  <c r="AC176" i="99"/>
  <c r="AB176" i="99"/>
  <c r="AA176" i="99"/>
  <c r="Z176" i="99"/>
  <c r="Y176" i="99"/>
  <c r="X176" i="99"/>
  <c r="W176" i="99"/>
  <c r="V176" i="99"/>
  <c r="U176" i="99"/>
  <c r="T176" i="99"/>
  <c r="S176" i="99"/>
  <c r="R176" i="99"/>
  <c r="Q176" i="99"/>
  <c r="P176" i="99"/>
  <c r="O176" i="99"/>
  <c r="N176" i="99"/>
  <c r="I176" i="99"/>
  <c r="H176" i="99"/>
  <c r="G176" i="99"/>
  <c r="F176" i="99"/>
  <c r="E176" i="99"/>
  <c r="D176" i="99"/>
  <c r="C176" i="99"/>
  <c r="B176" i="99"/>
  <c r="A176" i="99"/>
  <c r="AQ175" i="99"/>
  <c r="AP175" i="99"/>
  <c r="AO175" i="99"/>
  <c r="AN175" i="99"/>
  <c r="AM175" i="99"/>
  <c r="AL175" i="99"/>
  <c r="AK175" i="99"/>
  <c r="AJ175" i="99"/>
  <c r="AI175" i="99"/>
  <c r="AH175" i="99"/>
  <c r="AG175" i="99"/>
  <c r="AF175" i="99"/>
  <c r="AE175" i="99"/>
  <c r="AD175" i="99"/>
  <c r="AC175" i="99"/>
  <c r="AB175" i="99"/>
  <c r="AA175" i="99"/>
  <c r="Y175" i="99"/>
  <c r="Y174" i="99" s="1"/>
  <c r="Y173" i="99" s="1"/>
  <c r="X175" i="99"/>
  <c r="X174" i="99" s="1"/>
  <c r="X173" i="99" s="1"/>
  <c r="W175" i="99"/>
  <c r="V175" i="99"/>
  <c r="U175" i="99"/>
  <c r="T175" i="99"/>
  <c r="S175" i="99"/>
  <c r="R175" i="99"/>
  <c r="Q175" i="99"/>
  <c r="P175" i="99"/>
  <c r="O175" i="99"/>
  <c r="N175" i="99"/>
  <c r="M175" i="99"/>
  <c r="I175" i="99"/>
  <c r="H175" i="99"/>
  <c r="G175" i="99"/>
  <c r="F175" i="99"/>
  <c r="E175" i="99"/>
  <c r="D175" i="99"/>
  <c r="C175" i="99"/>
  <c r="B175" i="99"/>
  <c r="A175" i="99"/>
  <c r="V174" i="99"/>
  <c r="U174" i="99"/>
  <c r="T174" i="99"/>
  <c r="S174" i="99"/>
  <c r="R174" i="99"/>
  <c r="M174" i="99"/>
  <c r="L174" i="99"/>
  <c r="V173" i="99"/>
  <c r="U173" i="99"/>
  <c r="T173" i="99"/>
  <c r="S173" i="99"/>
  <c r="R173" i="99"/>
  <c r="L173" i="99"/>
  <c r="K173" i="99"/>
  <c r="AQ172" i="99"/>
  <c r="AP172" i="99"/>
  <c r="AO172" i="99"/>
  <c r="AN172" i="99"/>
  <c r="AM172" i="99"/>
  <c r="AL172" i="99"/>
  <c r="AK172" i="99"/>
  <c r="AJ172" i="99"/>
  <c r="AI172" i="99"/>
  <c r="AH172" i="99"/>
  <c r="AG172" i="99"/>
  <c r="AF172" i="99"/>
  <c r="AE172" i="99"/>
  <c r="AD172" i="99"/>
  <c r="AC172" i="99"/>
  <c r="AB172" i="99"/>
  <c r="AA172" i="99"/>
  <c r="Z172" i="99"/>
  <c r="Y172" i="99"/>
  <c r="X172" i="99"/>
  <c r="W172" i="99"/>
  <c r="V172" i="99"/>
  <c r="U172" i="99"/>
  <c r="T172" i="99"/>
  <c r="S172" i="99"/>
  <c r="R172" i="99"/>
  <c r="Q172" i="99"/>
  <c r="P172" i="99"/>
  <c r="O172" i="99"/>
  <c r="N172" i="99"/>
  <c r="I172" i="99"/>
  <c r="H172" i="99"/>
  <c r="G172" i="99"/>
  <c r="F172" i="99"/>
  <c r="E172" i="99"/>
  <c r="D172" i="99"/>
  <c r="C172" i="99"/>
  <c r="B172" i="99"/>
  <c r="A172" i="99"/>
  <c r="AQ171" i="99"/>
  <c r="AP171" i="99"/>
  <c r="AO171" i="99"/>
  <c r="AN171" i="99"/>
  <c r="AM171" i="99"/>
  <c r="AL171" i="99"/>
  <c r="AK171" i="99"/>
  <c r="AJ171" i="99"/>
  <c r="AI171" i="99"/>
  <c r="AH171" i="99"/>
  <c r="AG171" i="99"/>
  <c r="AF171" i="99"/>
  <c r="AE171" i="99"/>
  <c r="AD171" i="99"/>
  <c r="AC171" i="99"/>
  <c r="AB171" i="99"/>
  <c r="AA171" i="99"/>
  <c r="Z171" i="99"/>
  <c r="Y171" i="99"/>
  <c r="X171" i="99"/>
  <c r="W171" i="99"/>
  <c r="V171" i="99"/>
  <c r="U171" i="99"/>
  <c r="T171" i="99"/>
  <c r="S171" i="99"/>
  <c r="R171" i="99"/>
  <c r="Q171" i="99"/>
  <c r="P171" i="99"/>
  <c r="O171" i="99"/>
  <c r="N171" i="99"/>
  <c r="I171" i="99"/>
  <c r="H171" i="99"/>
  <c r="G171" i="99"/>
  <c r="F171" i="99"/>
  <c r="E171" i="99"/>
  <c r="D171" i="99"/>
  <c r="C171" i="99"/>
  <c r="B171" i="99"/>
  <c r="A171" i="99"/>
  <c r="AQ170" i="99"/>
  <c r="AP170" i="99"/>
  <c r="AO170" i="99"/>
  <c r="AN170" i="99"/>
  <c r="AM170" i="99"/>
  <c r="AL170" i="99"/>
  <c r="AK170" i="99"/>
  <c r="AJ170" i="99"/>
  <c r="AI170" i="99"/>
  <c r="AH170" i="99"/>
  <c r="AG170" i="99"/>
  <c r="AF170" i="99"/>
  <c r="AE170" i="99"/>
  <c r="AD170" i="99"/>
  <c r="AC170" i="99"/>
  <c r="AB170" i="99"/>
  <c r="AA170" i="99"/>
  <c r="Z170" i="99"/>
  <c r="Y170" i="99"/>
  <c r="X170" i="99"/>
  <c r="W170" i="99"/>
  <c r="V170" i="99"/>
  <c r="U170" i="99"/>
  <c r="T170" i="99"/>
  <c r="S170" i="99"/>
  <c r="R170" i="99"/>
  <c r="Q170" i="99"/>
  <c r="P170" i="99"/>
  <c r="O170" i="99"/>
  <c r="N170" i="99"/>
  <c r="I170" i="99"/>
  <c r="H170" i="99"/>
  <c r="G170" i="99"/>
  <c r="F170" i="99"/>
  <c r="E170" i="99"/>
  <c r="D170" i="99"/>
  <c r="C170" i="99"/>
  <c r="B170" i="99"/>
  <c r="A170" i="99"/>
  <c r="AQ169" i="99"/>
  <c r="AP169" i="99"/>
  <c r="AO169" i="99"/>
  <c r="AN169" i="99"/>
  <c r="AM169" i="99"/>
  <c r="AL169" i="99"/>
  <c r="AK169" i="99"/>
  <c r="AJ169" i="99"/>
  <c r="AI169" i="99"/>
  <c r="AH169" i="99"/>
  <c r="AG169" i="99"/>
  <c r="AF169" i="99"/>
  <c r="AE169" i="99"/>
  <c r="AD169" i="99"/>
  <c r="AC169" i="99"/>
  <c r="AB169" i="99"/>
  <c r="AA169" i="99"/>
  <c r="Z169" i="99"/>
  <c r="Y169" i="99"/>
  <c r="X169" i="99"/>
  <c r="W169" i="99"/>
  <c r="V169" i="99"/>
  <c r="U169" i="99"/>
  <c r="T169" i="99"/>
  <c r="S169" i="99"/>
  <c r="R169" i="99"/>
  <c r="Q169" i="99"/>
  <c r="P169" i="99"/>
  <c r="O169" i="99"/>
  <c r="N169" i="99"/>
  <c r="I169" i="99"/>
  <c r="H169" i="99"/>
  <c r="G169" i="99"/>
  <c r="F169" i="99"/>
  <c r="E169" i="99"/>
  <c r="D169" i="99"/>
  <c r="C169" i="99"/>
  <c r="B169" i="99"/>
  <c r="A169" i="99"/>
  <c r="AQ168" i="99"/>
  <c r="AP168" i="99"/>
  <c r="AO168" i="99"/>
  <c r="AN168" i="99"/>
  <c r="AM168" i="99"/>
  <c r="AL168" i="99"/>
  <c r="AK168" i="99"/>
  <c r="AJ168" i="99"/>
  <c r="AI168" i="99"/>
  <c r="AH168" i="99"/>
  <c r="AG168" i="99"/>
  <c r="AF168" i="99"/>
  <c r="AE168" i="99"/>
  <c r="AD168" i="99"/>
  <c r="AC168" i="99"/>
  <c r="AB168" i="99"/>
  <c r="AA168" i="99"/>
  <c r="Z168" i="99"/>
  <c r="Y168" i="99"/>
  <c r="X168" i="99"/>
  <c r="W168" i="99"/>
  <c r="V168" i="99"/>
  <c r="U168" i="99"/>
  <c r="T168" i="99"/>
  <c r="S168" i="99"/>
  <c r="R168" i="99"/>
  <c r="Q168" i="99"/>
  <c r="P168" i="99"/>
  <c r="O168" i="99"/>
  <c r="N168" i="99"/>
  <c r="I168" i="99"/>
  <c r="H168" i="99"/>
  <c r="G168" i="99"/>
  <c r="F168" i="99"/>
  <c r="E168" i="99"/>
  <c r="D168" i="99"/>
  <c r="C168" i="99"/>
  <c r="B168" i="99"/>
  <c r="A168" i="99"/>
  <c r="AQ167" i="99"/>
  <c r="AP167" i="99"/>
  <c r="AO167" i="99"/>
  <c r="AN167" i="99"/>
  <c r="AM167" i="99"/>
  <c r="AL167" i="99"/>
  <c r="AK167" i="99"/>
  <c r="AJ167" i="99"/>
  <c r="AI167" i="99"/>
  <c r="AH167" i="99"/>
  <c r="AG167" i="99"/>
  <c r="AF167" i="99"/>
  <c r="AE167" i="99"/>
  <c r="AD167" i="99"/>
  <c r="AC167" i="99"/>
  <c r="AB167" i="99"/>
  <c r="AA167" i="99"/>
  <c r="Z167" i="99"/>
  <c r="Y167" i="99"/>
  <c r="X167" i="99"/>
  <c r="W167" i="99"/>
  <c r="V167" i="99"/>
  <c r="U167" i="99"/>
  <c r="T167" i="99"/>
  <c r="S167" i="99"/>
  <c r="R167" i="99"/>
  <c r="Q167" i="99"/>
  <c r="P167" i="99"/>
  <c r="O167" i="99"/>
  <c r="N167" i="99"/>
  <c r="I167" i="99"/>
  <c r="H167" i="99"/>
  <c r="G167" i="99"/>
  <c r="F167" i="99"/>
  <c r="E167" i="99"/>
  <c r="D167" i="99"/>
  <c r="C167" i="99"/>
  <c r="B167" i="99"/>
  <c r="A167" i="99"/>
  <c r="AQ166" i="99"/>
  <c r="AP166" i="99"/>
  <c r="AO166" i="99"/>
  <c r="AN166" i="99"/>
  <c r="AM166" i="99"/>
  <c r="AL166" i="99"/>
  <c r="AK166" i="99"/>
  <c r="AJ166" i="99"/>
  <c r="AI166" i="99"/>
  <c r="AH166" i="99"/>
  <c r="AG166" i="99"/>
  <c r="AF166" i="99"/>
  <c r="AE166" i="99"/>
  <c r="AD166" i="99"/>
  <c r="AC166" i="99"/>
  <c r="AB166" i="99"/>
  <c r="AA166" i="99"/>
  <c r="Z166" i="99"/>
  <c r="Y166" i="99"/>
  <c r="X166" i="99"/>
  <c r="W166" i="99"/>
  <c r="V166" i="99"/>
  <c r="U166" i="99"/>
  <c r="T166" i="99"/>
  <c r="S166" i="99"/>
  <c r="R166" i="99"/>
  <c r="Q166" i="99"/>
  <c r="P166" i="99"/>
  <c r="O166" i="99"/>
  <c r="N166" i="99"/>
  <c r="I166" i="99"/>
  <c r="H166" i="99"/>
  <c r="G166" i="99"/>
  <c r="F166" i="99"/>
  <c r="E166" i="99"/>
  <c r="D166" i="99"/>
  <c r="C166" i="99"/>
  <c r="B166" i="99"/>
  <c r="A166" i="99"/>
  <c r="AQ165" i="99"/>
  <c r="AP165" i="99"/>
  <c r="AO165" i="99"/>
  <c r="AN165" i="99"/>
  <c r="AM165" i="99"/>
  <c r="AL165" i="99"/>
  <c r="AK165" i="99"/>
  <c r="AJ165" i="99"/>
  <c r="AI165" i="99"/>
  <c r="AH165" i="99"/>
  <c r="AG165" i="99"/>
  <c r="AF165" i="99"/>
  <c r="AE165" i="99"/>
  <c r="AD165" i="99"/>
  <c r="AC165" i="99"/>
  <c r="AB165" i="99"/>
  <c r="AA165" i="99"/>
  <c r="Y165" i="99"/>
  <c r="Y164" i="99" s="1"/>
  <c r="Y163" i="99" s="1"/>
  <c r="X165" i="99"/>
  <c r="X164" i="99" s="1"/>
  <c r="X163" i="99" s="1"/>
  <c r="W165" i="99"/>
  <c r="U165" i="99"/>
  <c r="U164" i="99" s="1"/>
  <c r="U163" i="99" s="1"/>
  <c r="T165" i="99"/>
  <c r="S165" i="99"/>
  <c r="R165" i="99"/>
  <c r="Q165" i="99"/>
  <c r="P165" i="99"/>
  <c r="O165" i="99"/>
  <c r="N165" i="99"/>
  <c r="M165" i="99"/>
  <c r="I165" i="99"/>
  <c r="H165" i="99"/>
  <c r="G165" i="99"/>
  <c r="F165" i="99"/>
  <c r="E165" i="99"/>
  <c r="D165" i="99"/>
  <c r="C165" i="99"/>
  <c r="B165" i="99"/>
  <c r="A165" i="99"/>
  <c r="T164" i="99"/>
  <c r="T163" i="99" s="1"/>
  <c r="S164" i="99"/>
  <c r="R164" i="99"/>
  <c r="M164" i="99"/>
  <c r="L164" i="99"/>
  <c r="S163" i="99"/>
  <c r="R163" i="99"/>
  <c r="L163" i="99"/>
  <c r="K163" i="99"/>
  <c r="K162" i="99"/>
  <c r="J162" i="99"/>
  <c r="AQ161" i="99"/>
  <c r="AP161" i="99"/>
  <c r="AO161" i="99"/>
  <c r="AN161" i="99"/>
  <c r="AM161" i="99"/>
  <c r="AL161" i="99"/>
  <c r="AK161" i="99"/>
  <c r="AJ161" i="99"/>
  <c r="AI161" i="99"/>
  <c r="AH161" i="99"/>
  <c r="AG161" i="99"/>
  <c r="AF161" i="99"/>
  <c r="AE161" i="99"/>
  <c r="AD161" i="99"/>
  <c r="AC161" i="99"/>
  <c r="AB161" i="99"/>
  <c r="AA161" i="99"/>
  <c r="Z161" i="99"/>
  <c r="Y161" i="99"/>
  <c r="X161" i="99"/>
  <c r="W161" i="99"/>
  <c r="V161" i="99"/>
  <c r="U161" i="99"/>
  <c r="T161" i="99"/>
  <c r="S161" i="99"/>
  <c r="R161" i="99"/>
  <c r="Q161" i="99"/>
  <c r="P161" i="99"/>
  <c r="O161" i="99"/>
  <c r="N161" i="99"/>
  <c r="M161" i="99"/>
  <c r="I161" i="99"/>
  <c r="H161" i="99"/>
  <c r="G161" i="99"/>
  <c r="F161" i="99"/>
  <c r="E161" i="99"/>
  <c r="D161" i="99"/>
  <c r="C161" i="99"/>
  <c r="B161" i="99"/>
  <c r="A161" i="99"/>
  <c r="AQ160" i="99"/>
  <c r="AP160" i="99"/>
  <c r="AO160" i="99"/>
  <c r="AN160" i="99"/>
  <c r="AM160" i="99"/>
  <c r="AL160" i="99"/>
  <c r="AK160" i="99"/>
  <c r="AJ160" i="99"/>
  <c r="AI160" i="99"/>
  <c r="AH160" i="99"/>
  <c r="AG160" i="99"/>
  <c r="AF160" i="99"/>
  <c r="AE160" i="99"/>
  <c r="AD160" i="99"/>
  <c r="AC160" i="99"/>
  <c r="AB160" i="99"/>
  <c r="AA160" i="99"/>
  <c r="Z160" i="99"/>
  <c r="Y160" i="99"/>
  <c r="X160" i="99"/>
  <c r="W160" i="99"/>
  <c r="V160" i="99"/>
  <c r="U160" i="99"/>
  <c r="T160" i="99"/>
  <c r="S160" i="99"/>
  <c r="R160" i="99"/>
  <c r="Q160" i="99"/>
  <c r="P160" i="99"/>
  <c r="O160" i="99"/>
  <c r="N160" i="99"/>
  <c r="M160" i="99"/>
  <c r="I160" i="99"/>
  <c r="H160" i="99"/>
  <c r="G160" i="99"/>
  <c r="F160" i="99"/>
  <c r="E160" i="99"/>
  <c r="D160" i="99"/>
  <c r="C160" i="99"/>
  <c r="B160" i="99"/>
  <c r="A160" i="99"/>
  <c r="AQ159" i="99"/>
  <c r="AP159" i="99"/>
  <c r="AO159" i="99"/>
  <c r="AN159" i="99"/>
  <c r="AM159" i="99"/>
  <c r="AL159" i="99"/>
  <c r="AK159" i="99"/>
  <c r="AJ159" i="99"/>
  <c r="AI159" i="99"/>
  <c r="AH159" i="99"/>
  <c r="AG159" i="99"/>
  <c r="AF159" i="99"/>
  <c r="AE159" i="99"/>
  <c r="AD159" i="99"/>
  <c r="AC159" i="99"/>
  <c r="AB159" i="99"/>
  <c r="AA159" i="99"/>
  <c r="Z159" i="99"/>
  <c r="Y159" i="99"/>
  <c r="X159" i="99"/>
  <c r="W159" i="99"/>
  <c r="V159" i="99"/>
  <c r="U159" i="99"/>
  <c r="T159" i="99"/>
  <c r="S159" i="99"/>
  <c r="R159" i="99"/>
  <c r="Q159" i="99"/>
  <c r="P159" i="99"/>
  <c r="O159" i="99"/>
  <c r="N159" i="99"/>
  <c r="M159" i="99"/>
  <c r="I159" i="99"/>
  <c r="H159" i="99"/>
  <c r="G159" i="99"/>
  <c r="F159" i="99"/>
  <c r="E159" i="99"/>
  <c r="D159" i="99"/>
  <c r="C159" i="99"/>
  <c r="B159" i="99"/>
  <c r="A159" i="99"/>
  <c r="AQ158" i="99"/>
  <c r="AP158" i="99"/>
  <c r="AO158" i="99"/>
  <c r="AN158" i="99"/>
  <c r="AM158" i="99"/>
  <c r="AL158" i="99"/>
  <c r="AK158" i="99"/>
  <c r="AJ158" i="99"/>
  <c r="AI158" i="99"/>
  <c r="AH158" i="99"/>
  <c r="AG158" i="99"/>
  <c r="AF158" i="99"/>
  <c r="AE158" i="99"/>
  <c r="AD158" i="99"/>
  <c r="AC158" i="99"/>
  <c r="AB158" i="99"/>
  <c r="AA158" i="99"/>
  <c r="Z158" i="99"/>
  <c r="Y158" i="99"/>
  <c r="X158" i="99"/>
  <c r="W158" i="99"/>
  <c r="V158" i="99"/>
  <c r="U158" i="99"/>
  <c r="T158" i="99"/>
  <c r="S158" i="99"/>
  <c r="R158" i="99"/>
  <c r="Q158" i="99"/>
  <c r="P158" i="99"/>
  <c r="O158" i="99"/>
  <c r="N158" i="99"/>
  <c r="M158" i="99"/>
  <c r="I158" i="99"/>
  <c r="H158" i="99"/>
  <c r="G158" i="99"/>
  <c r="F158" i="99"/>
  <c r="E158" i="99"/>
  <c r="D158" i="99"/>
  <c r="C158" i="99"/>
  <c r="B158" i="99"/>
  <c r="A158" i="99"/>
  <c r="AQ157" i="99"/>
  <c r="AP157" i="99"/>
  <c r="AO157" i="99"/>
  <c r="AN157" i="99"/>
  <c r="AM157" i="99"/>
  <c r="AL157" i="99"/>
  <c r="AK157" i="99"/>
  <c r="AJ157" i="99"/>
  <c r="AI157" i="99"/>
  <c r="AH157" i="99"/>
  <c r="AG157" i="99"/>
  <c r="AF157" i="99"/>
  <c r="AE157" i="99"/>
  <c r="AD157" i="99"/>
  <c r="AC157" i="99"/>
  <c r="AB157" i="99"/>
  <c r="AA157" i="99"/>
  <c r="Z157" i="99"/>
  <c r="Y157" i="99"/>
  <c r="X157" i="99"/>
  <c r="W157" i="99"/>
  <c r="V157" i="99"/>
  <c r="U157" i="99"/>
  <c r="T157" i="99"/>
  <c r="S157" i="99"/>
  <c r="R157" i="99"/>
  <c r="Q157" i="99"/>
  <c r="P157" i="99"/>
  <c r="O157" i="99"/>
  <c r="N157" i="99"/>
  <c r="M157" i="99"/>
  <c r="I157" i="99"/>
  <c r="H157" i="99"/>
  <c r="G157" i="99"/>
  <c r="F157" i="99"/>
  <c r="E157" i="99"/>
  <c r="D157" i="99"/>
  <c r="C157" i="99"/>
  <c r="B157" i="99"/>
  <c r="A157" i="99"/>
  <c r="AQ156" i="99"/>
  <c r="AP156" i="99"/>
  <c r="AO156" i="99"/>
  <c r="AN156" i="99"/>
  <c r="AM156" i="99"/>
  <c r="AL156" i="99"/>
  <c r="AK156" i="99"/>
  <c r="AJ156" i="99"/>
  <c r="AI156" i="99"/>
  <c r="AH156" i="99"/>
  <c r="AG156" i="99"/>
  <c r="AF156" i="99"/>
  <c r="AE156" i="99"/>
  <c r="AD156" i="99"/>
  <c r="AC156" i="99"/>
  <c r="AB156" i="99"/>
  <c r="AA156" i="99"/>
  <c r="Z156" i="99"/>
  <c r="Y156" i="99"/>
  <c r="X156" i="99"/>
  <c r="W156" i="99"/>
  <c r="V156" i="99"/>
  <c r="U156" i="99"/>
  <c r="T156" i="99"/>
  <c r="S156" i="99"/>
  <c r="R156" i="99"/>
  <c r="Q156" i="99"/>
  <c r="P156" i="99"/>
  <c r="O156" i="99"/>
  <c r="N156" i="99"/>
  <c r="M156" i="99"/>
  <c r="I156" i="99"/>
  <c r="H156" i="99"/>
  <c r="G156" i="99"/>
  <c r="F156" i="99"/>
  <c r="E156" i="99"/>
  <c r="D156" i="99"/>
  <c r="C156" i="99"/>
  <c r="B156" i="99"/>
  <c r="A156" i="99"/>
  <c r="AQ155" i="99"/>
  <c r="AP155" i="99"/>
  <c r="AO155" i="99"/>
  <c r="AN155" i="99"/>
  <c r="AM155" i="99"/>
  <c r="AL155" i="99"/>
  <c r="AK155" i="99"/>
  <c r="AJ155" i="99"/>
  <c r="AI155" i="99"/>
  <c r="AH155" i="99"/>
  <c r="AG155" i="99"/>
  <c r="AF155" i="99"/>
  <c r="AE155" i="99"/>
  <c r="AD155" i="99"/>
  <c r="AC155" i="99"/>
  <c r="AB155" i="99"/>
  <c r="AA155" i="99"/>
  <c r="Z155" i="99"/>
  <c r="Y155" i="99"/>
  <c r="X155" i="99"/>
  <c r="W155" i="99"/>
  <c r="V155" i="99"/>
  <c r="U155" i="99"/>
  <c r="T155" i="99"/>
  <c r="S155" i="99"/>
  <c r="R155" i="99"/>
  <c r="Q155" i="99"/>
  <c r="P155" i="99"/>
  <c r="O155" i="99"/>
  <c r="N155" i="99"/>
  <c r="I155" i="99"/>
  <c r="H155" i="99"/>
  <c r="G155" i="99"/>
  <c r="F155" i="99"/>
  <c r="E155" i="99"/>
  <c r="D155" i="99"/>
  <c r="C155" i="99"/>
  <c r="B155" i="99"/>
  <c r="A155" i="99"/>
  <c r="AQ154" i="99"/>
  <c r="AP154" i="99"/>
  <c r="AO154" i="99"/>
  <c r="AN154" i="99"/>
  <c r="AM154" i="99"/>
  <c r="AL154" i="99"/>
  <c r="AK154" i="99"/>
  <c r="AJ154" i="99"/>
  <c r="AI154" i="99"/>
  <c r="AH154" i="99"/>
  <c r="AG154" i="99"/>
  <c r="AF154" i="99"/>
  <c r="AE154" i="99"/>
  <c r="AD154" i="99"/>
  <c r="AC154" i="99"/>
  <c r="AB154" i="99"/>
  <c r="AA154" i="99"/>
  <c r="Z154" i="99"/>
  <c r="Y154" i="99"/>
  <c r="X154" i="99"/>
  <c r="W154" i="99"/>
  <c r="V154" i="99"/>
  <c r="U154" i="99"/>
  <c r="T154" i="99"/>
  <c r="S154" i="99"/>
  <c r="R154" i="99"/>
  <c r="Q154" i="99"/>
  <c r="P154" i="99"/>
  <c r="O154" i="99"/>
  <c r="N154" i="99"/>
  <c r="I154" i="99"/>
  <c r="H154" i="99"/>
  <c r="G154" i="99"/>
  <c r="F154" i="99"/>
  <c r="E154" i="99"/>
  <c r="D154" i="99"/>
  <c r="C154" i="99"/>
  <c r="B154" i="99"/>
  <c r="A154" i="99"/>
  <c r="AQ153" i="99"/>
  <c r="AP153" i="99"/>
  <c r="AO153" i="99"/>
  <c r="AN153" i="99"/>
  <c r="AM153" i="99"/>
  <c r="AL153" i="99"/>
  <c r="AK153" i="99"/>
  <c r="AJ153" i="99"/>
  <c r="AI153" i="99"/>
  <c r="AH153" i="99"/>
  <c r="AG153" i="99"/>
  <c r="AF153" i="99"/>
  <c r="AE153" i="99"/>
  <c r="AD153" i="99"/>
  <c r="AC153" i="99"/>
  <c r="AB153" i="99"/>
  <c r="AA153" i="99"/>
  <c r="Y153" i="99"/>
  <c r="X153" i="99"/>
  <c r="W153" i="99"/>
  <c r="U153" i="99"/>
  <c r="T153" i="99"/>
  <c r="S153" i="99"/>
  <c r="R153" i="99"/>
  <c r="Q153" i="99"/>
  <c r="P153" i="99"/>
  <c r="O153" i="99"/>
  <c r="N153" i="99"/>
  <c r="M153" i="99"/>
  <c r="I153" i="99"/>
  <c r="H153" i="99"/>
  <c r="G153" i="99"/>
  <c r="F153" i="99"/>
  <c r="E153" i="99"/>
  <c r="D153" i="99"/>
  <c r="C153" i="99"/>
  <c r="B153" i="99"/>
  <c r="A153" i="99"/>
  <c r="AQ152" i="99"/>
  <c r="AP152" i="99"/>
  <c r="AO152" i="99"/>
  <c r="AN152" i="99"/>
  <c r="AM152" i="99"/>
  <c r="AL152" i="99"/>
  <c r="AK152" i="99"/>
  <c r="AJ152" i="99"/>
  <c r="AI152" i="99"/>
  <c r="AH152" i="99"/>
  <c r="AG152" i="99"/>
  <c r="AF152" i="99"/>
  <c r="AE152" i="99"/>
  <c r="AD152" i="99"/>
  <c r="AC152" i="99"/>
  <c r="AB152" i="99"/>
  <c r="AA152" i="99"/>
  <c r="Z152" i="99"/>
  <c r="Y152" i="99"/>
  <c r="X152" i="99"/>
  <c r="W152" i="99"/>
  <c r="V152" i="99"/>
  <c r="U152" i="99"/>
  <c r="T152" i="99"/>
  <c r="S152" i="99"/>
  <c r="R152" i="99"/>
  <c r="Q152" i="99"/>
  <c r="P152" i="99"/>
  <c r="O152" i="99"/>
  <c r="N152" i="99"/>
  <c r="I152" i="99"/>
  <c r="H152" i="99"/>
  <c r="G152" i="99"/>
  <c r="F152" i="99"/>
  <c r="E152" i="99"/>
  <c r="D152" i="99"/>
  <c r="C152" i="99"/>
  <c r="B152" i="99"/>
  <c r="A152" i="99"/>
  <c r="AQ151" i="99"/>
  <c r="AP151" i="99"/>
  <c r="AO151" i="99"/>
  <c r="AN151" i="99"/>
  <c r="AM151" i="99"/>
  <c r="AL151" i="99"/>
  <c r="AK151" i="99"/>
  <c r="AJ151" i="99"/>
  <c r="AI151" i="99"/>
  <c r="AH151" i="99"/>
  <c r="AG151" i="99"/>
  <c r="AF151" i="99"/>
  <c r="AE151" i="99"/>
  <c r="AD151" i="99"/>
  <c r="AC151" i="99"/>
  <c r="AB151" i="99"/>
  <c r="AA151" i="99"/>
  <c r="Z151" i="99"/>
  <c r="Y151" i="99"/>
  <c r="X151" i="99"/>
  <c r="W151" i="99"/>
  <c r="V151" i="99"/>
  <c r="U151" i="99"/>
  <c r="T151" i="99"/>
  <c r="S151" i="99"/>
  <c r="R151" i="99"/>
  <c r="Q151" i="99"/>
  <c r="P151" i="99"/>
  <c r="O151" i="99"/>
  <c r="N151" i="99"/>
  <c r="I151" i="99"/>
  <c r="H151" i="99"/>
  <c r="G151" i="99"/>
  <c r="F151" i="99"/>
  <c r="E151" i="99"/>
  <c r="D151" i="99"/>
  <c r="C151" i="99"/>
  <c r="B151" i="99"/>
  <c r="A151" i="99"/>
  <c r="AQ150" i="99"/>
  <c r="AP150" i="99"/>
  <c r="AO150" i="99"/>
  <c r="AN150" i="99"/>
  <c r="AM150" i="99"/>
  <c r="AL150" i="99"/>
  <c r="AK150" i="99"/>
  <c r="AJ150" i="99"/>
  <c r="AI150" i="99"/>
  <c r="AH150" i="99"/>
  <c r="AG150" i="99"/>
  <c r="AF150" i="99"/>
  <c r="AE150" i="99"/>
  <c r="AD150" i="99"/>
  <c r="AC150" i="99"/>
  <c r="AB150" i="99"/>
  <c r="AA150" i="99"/>
  <c r="Y150" i="99"/>
  <c r="X150" i="99"/>
  <c r="X149" i="99" s="1"/>
  <c r="X148" i="99" s="1"/>
  <c r="W150" i="99"/>
  <c r="U150" i="99"/>
  <c r="T150" i="99"/>
  <c r="T149" i="99" s="1"/>
  <c r="T148" i="99" s="1"/>
  <c r="S150" i="99"/>
  <c r="R150" i="99"/>
  <c r="R149" i="99" s="1"/>
  <c r="R148" i="99" s="1"/>
  <c r="Q150" i="99"/>
  <c r="P150" i="99"/>
  <c r="O150" i="99"/>
  <c r="N150" i="99"/>
  <c r="M150" i="99"/>
  <c r="I150" i="99"/>
  <c r="H150" i="99"/>
  <c r="G150" i="99"/>
  <c r="F150" i="99"/>
  <c r="E150" i="99"/>
  <c r="D150" i="99"/>
  <c r="C150" i="99"/>
  <c r="B150" i="99"/>
  <c r="A150" i="99"/>
  <c r="U149" i="99"/>
  <c r="U148" i="99" s="1"/>
  <c r="S149" i="99"/>
  <c r="S148" i="99" s="1"/>
  <c r="M149" i="99"/>
  <c r="L149" i="99"/>
  <c r="L148" i="99"/>
  <c r="K148" i="99"/>
  <c r="AQ147" i="99"/>
  <c r="AP147" i="99"/>
  <c r="AO147" i="99"/>
  <c r="AN147" i="99"/>
  <c r="AM147" i="99"/>
  <c r="AL147" i="99"/>
  <c r="AK147" i="99"/>
  <c r="AJ147" i="99"/>
  <c r="AI147" i="99"/>
  <c r="AH147" i="99"/>
  <c r="AG147" i="99"/>
  <c r="AF147" i="99"/>
  <c r="AE147" i="99"/>
  <c r="AD147" i="99"/>
  <c r="AC147" i="99"/>
  <c r="AB147" i="99"/>
  <c r="AA147" i="99"/>
  <c r="Z147" i="99"/>
  <c r="Z146" i="99" s="1"/>
  <c r="Z145" i="99" s="1"/>
  <c r="Y147" i="99"/>
  <c r="Y146" i="99" s="1"/>
  <c r="Y145" i="99" s="1"/>
  <c r="X147" i="99"/>
  <c r="X146" i="99" s="1"/>
  <c r="X145" i="99" s="1"/>
  <c r="W147" i="99"/>
  <c r="V147" i="99"/>
  <c r="V146" i="99" s="1"/>
  <c r="V145" i="99" s="1"/>
  <c r="U147" i="99"/>
  <c r="T147" i="99"/>
  <c r="T146" i="99" s="1"/>
  <c r="T145" i="99" s="1"/>
  <c r="S147" i="99"/>
  <c r="R147" i="99"/>
  <c r="R146" i="99" s="1"/>
  <c r="R145" i="99" s="1"/>
  <c r="Q147" i="99"/>
  <c r="P147" i="99"/>
  <c r="O147" i="99"/>
  <c r="N147" i="99"/>
  <c r="M147" i="99"/>
  <c r="I147" i="99"/>
  <c r="H147" i="99"/>
  <c r="G147" i="99"/>
  <c r="F147" i="99"/>
  <c r="E147" i="99"/>
  <c r="D147" i="99"/>
  <c r="C147" i="99"/>
  <c r="B147" i="99"/>
  <c r="A147" i="99"/>
  <c r="U146" i="99"/>
  <c r="U145" i="99" s="1"/>
  <c r="S146" i="99"/>
  <c r="S145" i="99" s="1"/>
  <c r="M146" i="99"/>
  <c r="L146" i="99"/>
  <c r="L145" i="99"/>
  <c r="K145" i="99"/>
  <c r="AQ144" i="99"/>
  <c r="AP144" i="99"/>
  <c r="AO144" i="99"/>
  <c r="AN144" i="99"/>
  <c r="AM144" i="99"/>
  <c r="AL144" i="99"/>
  <c r="AK144" i="99"/>
  <c r="AJ144" i="99"/>
  <c r="AI144" i="99"/>
  <c r="AH144" i="99"/>
  <c r="AG144" i="99"/>
  <c r="AF144" i="99"/>
  <c r="AE144" i="99"/>
  <c r="AD144" i="99"/>
  <c r="AC144" i="99"/>
  <c r="AB144" i="99"/>
  <c r="AA144" i="99"/>
  <c r="Z144" i="99"/>
  <c r="Y144" i="99"/>
  <c r="X144" i="99"/>
  <c r="W144" i="99"/>
  <c r="V144" i="99"/>
  <c r="U144" i="99"/>
  <c r="T144" i="99"/>
  <c r="S144" i="99"/>
  <c r="R144" i="99"/>
  <c r="Q144" i="99"/>
  <c r="P144" i="99"/>
  <c r="O144" i="99"/>
  <c r="N144" i="99"/>
  <c r="M144" i="99"/>
  <c r="I144" i="99"/>
  <c r="H144" i="99"/>
  <c r="G144" i="99"/>
  <c r="F144" i="99"/>
  <c r="E144" i="99"/>
  <c r="D144" i="99"/>
  <c r="C144" i="99"/>
  <c r="B144" i="99"/>
  <c r="A144" i="99"/>
  <c r="AQ143" i="99"/>
  <c r="AP143" i="99"/>
  <c r="AO143" i="99"/>
  <c r="AN143" i="99"/>
  <c r="AM143" i="99"/>
  <c r="AL143" i="99"/>
  <c r="AK143" i="99"/>
  <c r="AJ143" i="99"/>
  <c r="AI143" i="99"/>
  <c r="AH143" i="99"/>
  <c r="AG143" i="99"/>
  <c r="AF143" i="99"/>
  <c r="AE143" i="99"/>
  <c r="AD143" i="99"/>
  <c r="AC143" i="99"/>
  <c r="AB143" i="99"/>
  <c r="AA143" i="99"/>
  <c r="Z143" i="99"/>
  <c r="Y143" i="99"/>
  <c r="X143" i="99"/>
  <c r="W143" i="99"/>
  <c r="V143" i="99"/>
  <c r="U143" i="99"/>
  <c r="T143" i="99"/>
  <c r="S143" i="99"/>
  <c r="R143" i="99"/>
  <c r="Q143" i="99"/>
  <c r="P143" i="99"/>
  <c r="O143" i="99"/>
  <c r="N143" i="99"/>
  <c r="M143" i="99"/>
  <c r="I143" i="99"/>
  <c r="H143" i="99"/>
  <c r="G143" i="99"/>
  <c r="F143" i="99"/>
  <c r="E143" i="99"/>
  <c r="D143" i="99"/>
  <c r="C143" i="99"/>
  <c r="B143" i="99"/>
  <c r="A143" i="99"/>
  <c r="AQ142" i="99"/>
  <c r="AP142" i="99"/>
  <c r="AO142" i="99"/>
  <c r="AN142" i="99"/>
  <c r="AM142" i="99"/>
  <c r="AL142" i="99"/>
  <c r="AK142" i="99"/>
  <c r="AJ142" i="99"/>
  <c r="AI142" i="99"/>
  <c r="AH142" i="99"/>
  <c r="AG142" i="99"/>
  <c r="AF142" i="99"/>
  <c r="AE142" i="99"/>
  <c r="AD142" i="99"/>
  <c r="AC142" i="99"/>
  <c r="AB142" i="99"/>
  <c r="AA142" i="99"/>
  <c r="Z142" i="99"/>
  <c r="Z141" i="99" s="1"/>
  <c r="Z140" i="99" s="1"/>
  <c r="Y142" i="99"/>
  <c r="Y141" i="99" s="1"/>
  <c r="Y140" i="99" s="1"/>
  <c r="X142" i="99"/>
  <c r="W142" i="99"/>
  <c r="V142" i="99"/>
  <c r="V141" i="99" s="1"/>
  <c r="V140" i="99" s="1"/>
  <c r="U142" i="99"/>
  <c r="T142" i="99"/>
  <c r="S142" i="99"/>
  <c r="R142" i="99"/>
  <c r="R141" i="99" s="1"/>
  <c r="R140" i="99" s="1"/>
  <c r="Q142" i="99"/>
  <c r="P142" i="99"/>
  <c r="O142" i="99"/>
  <c r="N142" i="99"/>
  <c r="M142" i="99"/>
  <c r="I142" i="99"/>
  <c r="H142" i="99"/>
  <c r="G142" i="99"/>
  <c r="F142" i="99"/>
  <c r="E142" i="99"/>
  <c r="D142" i="99"/>
  <c r="C142" i="99"/>
  <c r="B142" i="99"/>
  <c r="A142" i="99"/>
  <c r="X141" i="99"/>
  <c r="X140" i="99" s="1"/>
  <c r="U141" i="99"/>
  <c r="T141" i="99"/>
  <c r="S141" i="99"/>
  <c r="S140" i="99" s="1"/>
  <c r="M141" i="99"/>
  <c r="L141" i="99"/>
  <c r="U140" i="99"/>
  <c r="T140" i="99"/>
  <c r="L140" i="99"/>
  <c r="K140" i="99"/>
  <c r="AQ139" i="99"/>
  <c r="AP139" i="99"/>
  <c r="AO139" i="99"/>
  <c r="AN139" i="99"/>
  <c r="AM139" i="99"/>
  <c r="AL139" i="99"/>
  <c r="AK139" i="99"/>
  <c r="AJ139" i="99"/>
  <c r="AI139" i="99"/>
  <c r="AH139" i="99"/>
  <c r="AG139" i="99"/>
  <c r="AF139" i="99"/>
  <c r="AE139" i="99"/>
  <c r="AD139" i="99"/>
  <c r="AC139" i="99"/>
  <c r="AB139" i="99"/>
  <c r="AA139" i="99"/>
  <c r="Z139" i="99"/>
  <c r="Z138" i="99" s="1"/>
  <c r="Z137" i="99" s="1"/>
  <c r="Y139" i="99"/>
  <c r="Y138" i="99" s="1"/>
  <c r="Y137" i="99" s="1"/>
  <c r="X139" i="99"/>
  <c r="X138" i="99" s="1"/>
  <c r="X137" i="99" s="1"/>
  <c r="W139" i="99"/>
  <c r="V139" i="99"/>
  <c r="U139" i="99"/>
  <c r="T139" i="99"/>
  <c r="T138" i="99" s="1"/>
  <c r="T137" i="99" s="1"/>
  <c r="S139" i="99"/>
  <c r="R139" i="99"/>
  <c r="Q139" i="99"/>
  <c r="P139" i="99"/>
  <c r="O139" i="99"/>
  <c r="N139" i="99"/>
  <c r="M139" i="99"/>
  <c r="I139" i="99"/>
  <c r="H139" i="99"/>
  <c r="G139" i="99"/>
  <c r="F139" i="99"/>
  <c r="E139" i="99"/>
  <c r="D139" i="99"/>
  <c r="C139" i="99"/>
  <c r="B139" i="99"/>
  <c r="A139" i="99"/>
  <c r="V138" i="99"/>
  <c r="U138" i="99"/>
  <c r="U137" i="99" s="1"/>
  <c r="S138" i="99"/>
  <c r="R138" i="99"/>
  <c r="M138" i="99"/>
  <c r="L138" i="99"/>
  <c r="V137" i="99"/>
  <c r="S137" i="99"/>
  <c r="R137" i="99"/>
  <c r="L137" i="99"/>
  <c r="K137" i="99"/>
  <c r="AQ136" i="99"/>
  <c r="AP136" i="99"/>
  <c r="AO136" i="99"/>
  <c r="AN136" i="99"/>
  <c r="AM136" i="99"/>
  <c r="AL136" i="99"/>
  <c r="AK136" i="99"/>
  <c r="AJ136" i="99"/>
  <c r="AI136" i="99"/>
  <c r="AH136" i="99"/>
  <c r="AG136" i="99"/>
  <c r="AF136" i="99"/>
  <c r="AE136" i="99"/>
  <c r="AD136" i="99"/>
  <c r="AC136" i="99"/>
  <c r="AB136" i="99"/>
  <c r="AA136" i="99"/>
  <c r="Z136" i="99"/>
  <c r="Y136" i="99"/>
  <c r="X136" i="99"/>
  <c r="W136" i="99"/>
  <c r="V136" i="99"/>
  <c r="U136" i="99"/>
  <c r="T136" i="99"/>
  <c r="S136" i="99"/>
  <c r="R136" i="99"/>
  <c r="Q136" i="99"/>
  <c r="P136" i="99"/>
  <c r="O136" i="99"/>
  <c r="N136" i="99"/>
  <c r="M136" i="99"/>
  <c r="I136" i="99"/>
  <c r="H136" i="99"/>
  <c r="G136" i="99"/>
  <c r="F136" i="99"/>
  <c r="E136" i="99"/>
  <c r="D136" i="99"/>
  <c r="C136" i="99"/>
  <c r="B136" i="99"/>
  <c r="A136" i="99"/>
  <c r="AQ135" i="99"/>
  <c r="AP135" i="99"/>
  <c r="AO135" i="99"/>
  <c r="AN135" i="99"/>
  <c r="AM135" i="99"/>
  <c r="AL135" i="99"/>
  <c r="AK135" i="99"/>
  <c r="AJ135" i="99"/>
  <c r="AI135" i="99"/>
  <c r="AH135" i="99"/>
  <c r="AG135" i="99"/>
  <c r="AF135" i="99"/>
  <c r="AE135" i="99"/>
  <c r="AD135" i="99"/>
  <c r="AC135" i="99"/>
  <c r="AB135" i="99"/>
  <c r="AA135" i="99"/>
  <c r="Z135" i="99"/>
  <c r="Y135" i="99"/>
  <c r="X135" i="99"/>
  <c r="W135" i="99"/>
  <c r="V135" i="99"/>
  <c r="U135" i="99"/>
  <c r="T135" i="99"/>
  <c r="S135" i="99"/>
  <c r="R135" i="99"/>
  <c r="Q135" i="99"/>
  <c r="P135" i="99"/>
  <c r="O135" i="99"/>
  <c r="N135" i="99"/>
  <c r="M135" i="99"/>
  <c r="I135" i="99"/>
  <c r="H135" i="99"/>
  <c r="G135" i="99"/>
  <c r="F135" i="99"/>
  <c r="E135" i="99"/>
  <c r="D135" i="99"/>
  <c r="C135" i="99"/>
  <c r="B135" i="99"/>
  <c r="A135" i="99"/>
  <c r="AQ134" i="99"/>
  <c r="AP134" i="99"/>
  <c r="AO134" i="99"/>
  <c r="AN134" i="99"/>
  <c r="AM134" i="99"/>
  <c r="AL134" i="99"/>
  <c r="AK134" i="99"/>
  <c r="AJ134" i="99"/>
  <c r="AI134" i="99"/>
  <c r="AH134" i="99"/>
  <c r="AG134" i="99"/>
  <c r="AF134" i="99"/>
  <c r="AE134" i="99"/>
  <c r="AD134" i="99"/>
  <c r="AC134" i="99"/>
  <c r="AB134" i="99"/>
  <c r="AA134" i="99"/>
  <c r="Z134" i="99"/>
  <c r="Z130" i="99" s="1"/>
  <c r="Z129" i="99" s="1"/>
  <c r="Y134" i="99"/>
  <c r="X134" i="99"/>
  <c r="W134" i="99"/>
  <c r="V134" i="99"/>
  <c r="U134" i="99"/>
  <c r="T134" i="99"/>
  <c r="S134" i="99"/>
  <c r="R134" i="99"/>
  <c r="R130" i="99" s="1"/>
  <c r="R129" i="99" s="1"/>
  <c r="Q134" i="99"/>
  <c r="P134" i="99"/>
  <c r="O134" i="99"/>
  <c r="N134" i="99"/>
  <c r="M134" i="99"/>
  <c r="I134" i="99"/>
  <c r="H134" i="99"/>
  <c r="G134" i="99"/>
  <c r="F134" i="99"/>
  <c r="E134" i="99"/>
  <c r="D134" i="99"/>
  <c r="C134" i="99"/>
  <c r="B134" i="99"/>
  <c r="A134" i="99"/>
  <c r="AQ133" i="99"/>
  <c r="AP133" i="99"/>
  <c r="AO133" i="99"/>
  <c r="AN133" i="99"/>
  <c r="AM133" i="99"/>
  <c r="AL133" i="99"/>
  <c r="AK133" i="99"/>
  <c r="AJ133" i="99"/>
  <c r="AI133" i="99"/>
  <c r="AH133" i="99"/>
  <c r="AG133" i="99"/>
  <c r="AF133" i="99"/>
  <c r="AE133" i="99"/>
  <c r="AD133" i="99"/>
  <c r="AC133" i="99"/>
  <c r="AB133" i="99"/>
  <c r="AA133" i="99"/>
  <c r="Z133" i="99"/>
  <c r="X133" i="99"/>
  <c r="W133" i="99"/>
  <c r="V133" i="99"/>
  <c r="U133" i="99"/>
  <c r="T133" i="99"/>
  <c r="S133" i="99"/>
  <c r="R133" i="99"/>
  <c r="Q133" i="99"/>
  <c r="P133" i="99"/>
  <c r="O133" i="99"/>
  <c r="N133" i="99"/>
  <c r="I133" i="99"/>
  <c r="H133" i="99"/>
  <c r="G133" i="99"/>
  <c r="F133" i="99"/>
  <c r="E133" i="99"/>
  <c r="D133" i="99"/>
  <c r="C133" i="99"/>
  <c r="B133" i="99"/>
  <c r="A133" i="99"/>
  <c r="AQ132" i="99"/>
  <c r="AP132" i="99"/>
  <c r="AO132" i="99"/>
  <c r="AN132" i="99"/>
  <c r="AM132" i="99"/>
  <c r="AL132" i="99"/>
  <c r="AK132" i="99"/>
  <c r="AJ132" i="99"/>
  <c r="AI132" i="99"/>
  <c r="AH132" i="99"/>
  <c r="AG132" i="99"/>
  <c r="AF132" i="99"/>
  <c r="AE132" i="99"/>
  <c r="AD132" i="99"/>
  <c r="AC132" i="99"/>
  <c r="AB132" i="99"/>
  <c r="AA132" i="99"/>
  <c r="Z132" i="99"/>
  <c r="Y132" i="99"/>
  <c r="X132" i="99"/>
  <c r="W132" i="99"/>
  <c r="V132" i="99"/>
  <c r="U132" i="99"/>
  <c r="T132" i="99"/>
  <c r="S132" i="99"/>
  <c r="R132" i="99"/>
  <c r="Q132" i="99"/>
  <c r="P132" i="99"/>
  <c r="O132" i="99"/>
  <c r="N132" i="99"/>
  <c r="I132" i="99"/>
  <c r="H132" i="99"/>
  <c r="G132" i="99"/>
  <c r="F132" i="99"/>
  <c r="E132" i="99"/>
  <c r="D132" i="99"/>
  <c r="C132" i="99"/>
  <c r="B132" i="99"/>
  <c r="A132" i="99"/>
  <c r="AQ131" i="99"/>
  <c r="AP131" i="99"/>
  <c r="AO131" i="99"/>
  <c r="AN131" i="99"/>
  <c r="AM131" i="99"/>
  <c r="AL131" i="99"/>
  <c r="AK131" i="99"/>
  <c r="AJ131" i="99"/>
  <c r="AI131" i="99"/>
  <c r="AH131" i="99"/>
  <c r="AG131" i="99"/>
  <c r="AF131" i="99"/>
  <c r="AE131" i="99"/>
  <c r="AD131" i="99"/>
  <c r="AC131" i="99"/>
  <c r="AB131" i="99"/>
  <c r="AA131" i="99"/>
  <c r="Z131" i="99"/>
  <c r="X131" i="99"/>
  <c r="X130" i="99" s="1"/>
  <c r="X129" i="99" s="1"/>
  <c r="W131" i="99"/>
  <c r="U131" i="99"/>
  <c r="T131" i="99"/>
  <c r="T130" i="99" s="1"/>
  <c r="T129" i="99" s="1"/>
  <c r="S131" i="99"/>
  <c r="R131" i="99"/>
  <c r="Q131" i="99"/>
  <c r="P131" i="99"/>
  <c r="O131" i="99"/>
  <c r="N131" i="99"/>
  <c r="M131" i="99"/>
  <c r="I131" i="99"/>
  <c r="H131" i="99"/>
  <c r="G131" i="99"/>
  <c r="F131" i="99"/>
  <c r="E131" i="99"/>
  <c r="D131" i="99"/>
  <c r="C131" i="99"/>
  <c r="B131" i="99"/>
  <c r="A131" i="99"/>
  <c r="U130" i="99"/>
  <c r="U129" i="99" s="1"/>
  <c r="S130" i="99"/>
  <c r="M130" i="99"/>
  <c r="L130" i="99"/>
  <c r="S129" i="99"/>
  <c r="L129" i="99"/>
  <c r="K129" i="99"/>
  <c r="AQ128" i="99"/>
  <c r="AP128" i="99"/>
  <c r="AO128" i="99"/>
  <c r="AN128" i="99"/>
  <c r="AM128" i="99"/>
  <c r="AL128" i="99"/>
  <c r="AK128" i="99"/>
  <c r="AJ128" i="99"/>
  <c r="AI128" i="99"/>
  <c r="AH128" i="99"/>
  <c r="AG128" i="99"/>
  <c r="AF128" i="99"/>
  <c r="AE128" i="99"/>
  <c r="AD128" i="99"/>
  <c r="AC128" i="99"/>
  <c r="AB128" i="99"/>
  <c r="AA128" i="99"/>
  <c r="Z128" i="99"/>
  <c r="Z127" i="99" s="1"/>
  <c r="Z126" i="99" s="1"/>
  <c r="Y128" i="99"/>
  <c r="Y127" i="99" s="1"/>
  <c r="Y126" i="99" s="1"/>
  <c r="X128" i="99"/>
  <c r="W128" i="99"/>
  <c r="U128" i="99"/>
  <c r="T128" i="99"/>
  <c r="S128" i="99"/>
  <c r="R128" i="99"/>
  <c r="Q128" i="99"/>
  <c r="P128" i="99"/>
  <c r="O128" i="99"/>
  <c r="N128" i="99"/>
  <c r="M128" i="99"/>
  <c r="I128" i="99"/>
  <c r="H128" i="99"/>
  <c r="G128" i="99"/>
  <c r="F128" i="99"/>
  <c r="E128" i="99"/>
  <c r="D128" i="99"/>
  <c r="C128" i="99"/>
  <c r="B128" i="99"/>
  <c r="A128" i="99"/>
  <c r="X127" i="99"/>
  <c r="U127" i="99"/>
  <c r="T127" i="99"/>
  <c r="S127" i="99"/>
  <c r="R127" i="99"/>
  <c r="M127" i="99"/>
  <c r="L127" i="99"/>
  <c r="X126" i="99"/>
  <c r="U126" i="99"/>
  <c r="T126" i="99"/>
  <c r="S126" i="99"/>
  <c r="R126" i="99"/>
  <c r="L126" i="99"/>
  <c r="K126" i="99"/>
  <c r="AQ125" i="99"/>
  <c r="AP125" i="99"/>
  <c r="AO125" i="99"/>
  <c r="AN125" i="99"/>
  <c r="AM125" i="99"/>
  <c r="AL125" i="99"/>
  <c r="AK125" i="99"/>
  <c r="AJ125" i="99"/>
  <c r="AI125" i="99"/>
  <c r="AH125" i="99"/>
  <c r="AG125" i="99"/>
  <c r="AF125" i="99"/>
  <c r="AE125" i="99"/>
  <c r="AD125" i="99"/>
  <c r="AC125" i="99"/>
  <c r="AB125" i="99"/>
  <c r="AA125" i="99"/>
  <c r="Z125" i="99"/>
  <c r="Z124" i="99" s="1"/>
  <c r="Y125" i="99"/>
  <c r="Y124" i="99" s="1"/>
  <c r="X125" i="99"/>
  <c r="W125" i="99"/>
  <c r="V125" i="99"/>
  <c r="U125" i="99"/>
  <c r="U124" i="99" s="1"/>
  <c r="T125" i="99"/>
  <c r="S125" i="99"/>
  <c r="R125" i="99"/>
  <c r="Q125" i="99"/>
  <c r="P125" i="99"/>
  <c r="O125" i="99"/>
  <c r="N125" i="99"/>
  <c r="M125" i="99"/>
  <c r="I125" i="99"/>
  <c r="H125" i="99"/>
  <c r="G125" i="99"/>
  <c r="F125" i="99"/>
  <c r="E125" i="99"/>
  <c r="D125" i="99"/>
  <c r="C125" i="99"/>
  <c r="B125" i="99"/>
  <c r="A125" i="99"/>
  <c r="X124" i="99"/>
  <c r="V124" i="99"/>
  <c r="T124" i="99"/>
  <c r="S124" i="99"/>
  <c r="R124" i="99"/>
  <c r="M124" i="99"/>
  <c r="L124" i="99"/>
  <c r="AQ123" i="99"/>
  <c r="AP123" i="99"/>
  <c r="AO123" i="99"/>
  <c r="AN123" i="99"/>
  <c r="AM123" i="99"/>
  <c r="AL123" i="99"/>
  <c r="AK123" i="99"/>
  <c r="AJ123" i="99"/>
  <c r="AI123" i="99"/>
  <c r="AH123" i="99"/>
  <c r="AG123" i="99"/>
  <c r="AF123" i="99"/>
  <c r="AE123" i="99"/>
  <c r="AD123" i="99"/>
  <c r="AC123" i="99"/>
  <c r="AB123" i="99"/>
  <c r="AA123" i="99"/>
  <c r="Z123" i="99"/>
  <c r="Y123" i="99"/>
  <c r="X123" i="99"/>
  <c r="W123" i="99"/>
  <c r="V123" i="99"/>
  <c r="U123" i="99"/>
  <c r="T123" i="99"/>
  <c r="S123" i="99"/>
  <c r="R123" i="99"/>
  <c r="Q123" i="99"/>
  <c r="P123" i="99"/>
  <c r="O123" i="99"/>
  <c r="N123" i="99"/>
  <c r="M123" i="99"/>
  <c r="I123" i="99"/>
  <c r="H123" i="99"/>
  <c r="G123" i="99"/>
  <c r="F123" i="99"/>
  <c r="E123" i="99"/>
  <c r="D123" i="99"/>
  <c r="C123" i="99"/>
  <c r="B123" i="99"/>
  <c r="A123" i="99"/>
  <c r="AQ122" i="99"/>
  <c r="AP122" i="99"/>
  <c r="AO122" i="99"/>
  <c r="AN122" i="99"/>
  <c r="AM122" i="99"/>
  <c r="AL122" i="99"/>
  <c r="AK122" i="99"/>
  <c r="AJ122" i="99"/>
  <c r="AI122" i="99"/>
  <c r="AH122" i="99"/>
  <c r="AG122" i="99"/>
  <c r="AF122" i="99"/>
  <c r="AE122" i="99"/>
  <c r="AD122" i="99"/>
  <c r="AC122" i="99"/>
  <c r="AB122" i="99"/>
  <c r="AA122" i="99"/>
  <c r="Z122" i="99"/>
  <c r="Y122" i="99"/>
  <c r="X122" i="99"/>
  <c r="W122" i="99"/>
  <c r="V122" i="99"/>
  <c r="U122" i="99"/>
  <c r="T122" i="99"/>
  <c r="S122" i="99"/>
  <c r="R122" i="99"/>
  <c r="Q122" i="99"/>
  <c r="P122" i="99"/>
  <c r="O122" i="99"/>
  <c r="N122" i="99"/>
  <c r="M122" i="99"/>
  <c r="I122" i="99"/>
  <c r="H122" i="99"/>
  <c r="G122" i="99"/>
  <c r="F122" i="99"/>
  <c r="E122" i="99"/>
  <c r="D122" i="99"/>
  <c r="C122" i="99"/>
  <c r="B122" i="99"/>
  <c r="A122" i="99"/>
  <c r="AQ121" i="99"/>
  <c r="AP121" i="99"/>
  <c r="AO121" i="99"/>
  <c r="AN121" i="99"/>
  <c r="AM121" i="99"/>
  <c r="AL121" i="99"/>
  <c r="AK121" i="99"/>
  <c r="AJ121" i="99"/>
  <c r="AI121" i="99"/>
  <c r="AH121" i="99"/>
  <c r="AG121" i="99"/>
  <c r="AF121" i="99"/>
  <c r="AE121" i="99"/>
  <c r="AD121" i="99"/>
  <c r="AC121" i="99"/>
  <c r="AB121" i="99"/>
  <c r="AA121" i="99"/>
  <c r="Z121" i="99"/>
  <c r="Z120" i="99" s="1"/>
  <c r="Y121" i="99"/>
  <c r="Y120" i="99" s="1"/>
  <c r="X121" i="99"/>
  <c r="W121" i="99"/>
  <c r="V121" i="99"/>
  <c r="V120" i="99" s="1"/>
  <c r="U121" i="99"/>
  <c r="T121" i="99"/>
  <c r="S121" i="99"/>
  <c r="R121" i="99"/>
  <c r="R120" i="99" s="1"/>
  <c r="Q121" i="99"/>
  <c r="P121" i="99"/>
  <c r="O121" i="99"/>
  <c r="N121" i="99"/>
  <c r="M121" i="99"/>
  <c r="I121" i="99"/>
  <c r="H121" i="99"/>
  <c r="G121" i="99"/>
  <c r="F121" i="99"/>
  <c r="E121" i="99"/>
  <c r="D121" i="99"/>
  <c r="C121" i="99"/>
  <c r="B121" i="99"/>
  <c r="A121" i="99"/>
  <c r="X120" i="99"/>
  <c r="U120" i="99"/>
  <c r="T120" i="99"/>
  <c r="S120" i="99"/>
  <c r="M120" i="99"/>
  <c r="L120" i="99"/>
  <c r="AQ119" i="99"/>
  <c r="AP119" i="99"/>
  <c r="AO119" i="99"/>
  <c r="AN119" i="99"/>
  <c r="AM119" i="99"/>
  <c r="AL119" i="99"/>
  <c r="AK119" i="99"/>
  <c r="AJ119" i="99"/>
  <c r="AI119" i="99"/>
  <c r="AH119" i="99"/>
  <c r="AG119" i="99"/>
  <c r="AF119" i="99"/>
  <c r="AE119" i="99"/>
  <c r="AD119" i="99"/>
  <c r="AC119" i="99"/>
  <c r="AB119" i="99"/>
  <c r="AA119" i="99"/>
  <c r="Z119" i="99"/>
  <c r="Y119" i="99"/>
  <c r="X119" i="99"/>
  <c r="W119" i="99"/>
  <c r="V119" i="99"/>
  <c r="U119" i="99"/>
  <c r="T119" i="99"/>
  <c r="S119" i="99"/>
  <c r="R119" i="99"/>
  <c r="Q119" i="99"/>
  <c r="P119" i="99"/>
  <c r="O119" i="99"/>
  <c r="N119" i="99"/>
  <c r="I119" i="99"/>
  <c r="H119" i="99"/>
  <c r="G119" i="99"/>
  <c r="F119" i="99"/>
  <c r="E119" i="99"/>
  <c r="D119" i="99"/>
  <c r="C119" i="99"/>
  <c r="B119" i="99"/>
  <c r="A119" i="99"/>
  <c r="AQ118" i="99"/>
  <c r="AP118" i="99"/>
  <c r="AO118" i="99"/>
  <c r="AN118" i="99"/>
  <c r="AM118" i="99"/>
  <c r="AL118" i="99"/>
  <c r="AK118" i="99"/>
  <c r="AJ118" i="99"/>
  <c r="AI118" i="99"/>
  <c r="AH118" i="99"/>
  <c r="AG118" i="99"/>
  <c r="AF118" i="99"/>
  <c r="AE118" i="99"/>
  <c r="AD118" i="99"/>
  <c r="AC118" i="99"/>
  <c r="AB118" i="99"/>
  <c r="AA118" i="99"/>
  <c r="X118" i="99"/>
  <c r="W118" i="99"/>
  <c r="V118" i="99"/>
  <c r="U118" i="99"/>
  <c r="T118" i="99"/>
  <c r="S118" i="99"/>
  <c r="R118" i="99"/>
  <c r="Q118" i="99"/>
  <c r="P118" i="99"/>
  <c r="O118" i="99"/>
  <c r="N118" i="99"/>
  <c r="I118" i="99"/>
  <c r="H118" i="99"/>
  <c r="G118" i="99"/>
  <c r="F118" i="99"/>
  <c r="E118" i="99"/>
  <c r="D118" i="99"/>
  <c r="C118" i="99"/>
  <c r="B118" i="99"/>
  <c r="A118" i="99"/>
  <c r="AQ117" i="99"/>
  <c r="AP117" i="99"/>
  <c r="AO117" i="99"/>
  <c r="AN117" i="99"/>
  <c r="AM117" i="99"/>
  <c r="AL117" i="99"/>
  <c r="AK117" i="99"/>
  <c r="AJ117" i="99"/>
  <c r="AI117" i="99"/>
  <c r="AH117" i="99"/>
  <c r="AG117" i="99"/>
  <c r="AF117" i="99"/>
  <c r="AE117" i="99"/>
  <c r="AD117" i="99"/>
  <c r="AC117" i="99"/>
  <c r="AB117" i="99"/>
  <c r="AA117" i="99"/>
  <c r="X117" i="99"/>
  <c r="W117" i="99"/>
  <c r="U117" i="99"/>
  <c r="T117" i="99"/>
  <c r="S117" i="99"/>
  <c r="R117" i="99"/>
  <c r="Q117" i="99"/>
  <c r="P117" i="99"/>
  <c r="O117" i="99"/>
  <c r="N117" i="99"/>
  <c r="M117" i="99"/>
  <c r="I117" i="99"/>
  <c r="H117" i="99"/>
  <c r="G117" i="99"/>
  <c r="F117" i="99"/>
  <c r="E117" i="99"/>
  <c r="D117" i="99"/>
  <c r="C117" i="99"/>
  <c r="B117" i="99"/>
  <c r="A117" i="99"/>
  <c r="AQ116" i="99"/>
  <c r="AP116" i="99"/>
  <c r="AO116" i="99"/>
  <c r="AN116" i="99"/>
  <c r="AM116" i="99"/>
  <c r="AL116" i="99"/>
  <c r="AK116" i="99"/>
  <c r="AJ116" i="99"/>
  <c r="AI116" i="99"/>
  <c r="AH116" i="99"/>
  <c r="AG116" i="99"/>
  <c r="AF116" i="99"/>
  <c r="AE116" i="99"/>
  <c r="AD116" i="99"/>
  <c r="AC116" i="99"/>
  <c r="AB116" i="99"/>
  <c r="AA116" i="99"/>
  <c r="Z116" i="99"/>
  <c r="Y116" i="99"/>
  <c r="X116" i="99"/>
  <c r="W116" i="99"/>
  <c r="V116" i="99"/>
  <c r="U116" i="99"/>
  <c r="T116" i="99"/>
  <c r="S116" i="99"/>
  <c r="R116" i="99"/>
  <c r="Q116" i="99"/>
  <c r="P116" i="99"/>
  <c r="O116" i="99"/>
  <c r="N116" i="99"/>
  <c r="M116" i="99"/>
  <c r="I116" i="99"/>
  <c r="H116" i="99"/>
  <c r="G116" i="99"/>
  <c r="F116" i="99"/>
  <c r="E116" i="99"/>
  <c r="D116" i="99"/>
  <c r="C116" i="99"/>
  <c r="B116" i="99"/>
  <c r="A116" i="99"/>
  <c r="AQ115" i="99"/>
  <c r="AP115" i="99"/>
  <c r="AO115" i="99"/>
  <c r="AN115" i="99"/>
  <c r="AM115" i="99"/>
  <c r="AL115" i="99"/>
  <c r="AK115" i="99"/>
  <c r="AJ115" i="99"/>
  <c r="AI115" i="99"/>
  <c r="AH115" i="99"/>
  <c r="AG115" i="99"/>
  <c r="AF115" i="99"/>
  <c r="AE115" i="99"/>
  <c r="AD115" i="99"/>
  <c r="AC115" i="99"/>
  <c r="AB115" i="99"/>
  <c r="AA115" i="99"/>
  <c r="Z115" i="99"/>
  <c r="Y115" i="99"/>
  <c r="X115" i="99"/>
  <c r="W115" i="99"/>
  <c r="V115" i="99"/>
  <c r="U115" i="99"/>
  <c r="T115" i="99"/>
  <c r="S115" i="99"/>
  <c r="R115" i="99"/>
  <c r="Q115" i="99"/>
  <c r="P115" i="99"/>
  <c r="O115" i="99"/>
  <c r="N115" i="99"/>
  <c r="M115" i="99"/>
  <c r="I115" i="99"/>
  <c r="H115" i="99"/>
  <c r="G115" i="99"/>
  <c r="F115" i="99"/>
  <c r="E115" i="99"/>
  <c r="D115" i="99"/>
  <c r="C115" i="99"/>
  <c r="B115" i="99"/>
  <c r="A115" i="99"/>
  <c r="AQ114" i="99"/>
  <c r="AP114" i="99"/>
  <c r="AO114" i="99"/>
  <c r="AN114" i="99"/>
  <c r="AM114" i="99"/>
  <c r="AL114" i="99"/>
  <c r="AK114" i="99"/>
  <c r="AJ114" i="99"/>
  <c r="AI114" i="99"/>
  <c r="AH114" i="99"/>
  <c r="AG114" i="99"/>
  <c r="AF114" i="99"/>
  <c r="AE114" i="99"/>
  <c r="AD114" i="99"/>
  <c r="AC114" i="99"/>
  <c r="AB114" i="99"/>
  <c r="AA114" i="99"/>
  <c r="Z114" i="99"/>
  <c r="Y114" i="99"/>
  <c r="X114" i="99"/>
  <c r="W114" i="99"/>
  <c r="V114" i="99"/>
  <c r="U114" i="99"/>
  <c r="T114" i="99"/>
  <c r="S114" i="99"/>
  <c r="R114" i="99"/>
  <c r="Q114" i="99"/>
  <c r="P114" i="99"/>
  <c r="O114" i="99"/>
  <c r="N114" i="99"/>
  <c r="M114" i="99"/>
  <c r="I114" i="99"/>
  <c r="H114" i="99"/>
  <c r="G114" i="99"/>
  <c r="F114" i="99"/>
  <c r="E114" i="99"/>
  <c r="D114" i="99"/>
  <c r="C114" i="99"/>
  <c r="B114" i="99"/>
  <c r="A114" i="99"/>
  <c r="AQ113" i="99"/>
  <c r="AP113" i="99"/>
  <c r="AO113" i="99"/>
  <c r="AN113" i="99"/>
  <c r="AM113" i="99"/>
  <c r="AL113" i="99"/>
  <c r="AK113" i="99"/>
  <c r="AJ113" i="99"/>
  <c r="AI113" i="99"/>
  <c r="AH113" i="99"/>
  <c r="AG113" i="99"/>
  <c r="AF113" i="99"/>
  <c r="AE113" i="99"/>
  <c r="AD113" i="99"/>
  <c r="AC113" i="99"/>
  <c r="AB113" i="99"/>
  <c r="AA113" i="99"/>
  <c r="Z113" i="99"/>
  <c r="Y113" i="99"/>
  <c r="X113" i="99"/>
  <c r="W113" i="99"/>
  <c r="V113" i="99"/>
  <c r="U113" i="99"/>
  <c r="T113" i="99"/>
  <c r="S113" i="99"/>
  <c r="R113" i="99"/>
  <c r="Q113" i="99"/>
  <c r="P113" i="99"/>
  <c r="O113" i="99"/>
  <c r="N113" i="99"/>
  <c r="M113" i="99"/>
  <c r="I113" i="99"/>
  <c r="H113" i="99"/>
  <c r="G113" i="99"/>
  <c r="F113" i="99"/>
  <c r="E113" i="99"/>
  <c r="D113" i="99"/>
  <c r="C113" i="99"/>
  <c r="B113" i="99"/>
  <c r="A113" i="99"/>
  <c r="AQ112" i="99"/>
  <c r="AP112" i="99"/>
  <c r="AO112" i="99"/>
  <c r="AN112" i="99"/>
  <c r="AM112" i="99"/>
  <c r="AL112" i="99"/>
  <c r="AK112" i="99"/>
  <c r="AJ112" i="99"/>
  <c r="AI112" i="99"/>
  <c r="AH112" i="99"/>
  <c r="AG112" i="99"/>
  <c r="AF112" i="99"/>
  <c r="AE112" i="99"/>
  <c r="AD112" i="99"/>
  <c r="AC112" i="99"/>
  <c r="AB112" i="99"/>
  <c r="AA112" i="99"/>
  <c r="Y112" i="99"/>
  <c r="X112" i="99"/>
  <c r="W112" i="99"/>
  <c r="V112" i="99"/>
  <c r="U112" i="99"/>
  <c r="T112" i="99"/>
  <c r="S112" i="99"/>
  <c r="R112" i="99"/>
  <c r="Q112" i="99"/>
  <c r="P112" i="99"/>
  <c r="O112" i="99"/>
  <c r="N112" i="99"/>
  <c r="M112" i="99"/>
  <c r="I112" i="99"/>
  <c r="H112" i="99"/>
  <c r="G112" i="99"/>
  <c r="F112" i="99"/>
  <c r="E112" i="99"/>
  <c r="D112" i="99"/>
  <c r="C112" i="99"/>
  <c r="B112" i="99"/>
  <c r="A112" i="99"/>
  <c r="AQ111" i="99"/>
  <c r="AP111" i="99"/>
  <c r="AO111" i="99"/>
  <c r="AN111" i="99"/>
  <c r="AM111" i="99"/>
  <c r="AL111" i="99"/>
  <c r="AK111" i="99"/>
  <c r="AJ111" i="99"/>
  <c r="AI111" i="99"/>
  <c r="AH111" i="99"/>
  <c r="AG111" i="99"/>
  <c r="AF111" i="99"/>
  <c r="AE111" i="99"/>
  <c r="AD111" i="99"/>
  <c r="AC111" i="99"/>
  <c r="AB111" i="99"/>
  <c r="AA111" i="99"/>
  <c r="Y111" i="99"/>
  <c r="X111" i="99"/>
  <c r="W111" i="99"/>
  <c r="V111" i="99"/>
  <c r="U111" i="99"/>
  <c r="T111" i="99"/>
  <c r="S111" i="99"/>
  <c r="R111" i="99"/>
  <c r="Q111" i="99"/>
  <c r="P111" i="99"/>
  <c r="O111" i="99"/>
  <c r="N111" i="99"/>
  <c r="M111" i="99"/>
  <c r="I111" i="99"/>
  <c r="H111" i="99"/>
  <c r="G111" i="99"/>
  <c r="F111" i="99"/>
  <c r="E111" i="99"/>
  <c r="D111" i="99"/>
  <c r="C111" i="99"/>
  <c r="B111" i="99"/>
  <c r="A111" i="99"/>
  <c r="X110" i="99"/>
  <c r="U110" i="99"/>
  <c r="T110" i="99"/>
  <c r="S110" i="99"/>
  <c r="R110" i="99"/>
  <c r="M110" i="99"/>
  <c r="L110" i="99"/>
  <c r="AQ109" i="99"/>
  <c r="AP109" i="99"/>
  <c r="AO109" i="99"/>
  <c r="AN109" i="99"/>
  <c r="AM109" i="99"/>
  <c r="AL109" i="99"/>
  <c r="AK109" i="99"/>
  <c r="AJ109" i="99"/>
  <c r="AI109" i="99"/>
  <c r="AH109" i="99"/>
  <c r="AG109" i="99"/>
  <c r="AF109" i="99"/>
  <c r="AE109" i="99"/>
  <c r="AD109" i="99"/>
  <c r="AC109" i="99"/>
  <c r="AB109" i="99"/>
  <c r="AA109" i="99"/>
  <c r="Y109" i="99"/>
  <c r="X109" i="99"/>
  <c r="W109" i="99"/>
  <c r="V109" i="99"/>
  <c r="U109" i="99"/>
  <c r="T109" i="99"/>
  <c r="S109" i="99"/>
  <c r="R109" i="99"/>
  <c r="Q109" i="99"/>
  <c r="P109" i="99"/>
  <c r="O109" i="99"/>
  <c r="N109" i="99"/>
  <c r="M109" i="99"/>
  <c r="I109" i="99"/>
  <c r="H109" i="99"/>
  <c r="G109" i="99"/>
  <c r="F109" i="99"/>
  <c r="E109" i="99"/>
  <c r="D109" i="99"/>
  <c r="C109" i="99"/>
  <c r="B109" i="99"/>
  <c r="A109" i="99"/>
  <c r="AP108" i="99"/>
  <c r="AH108" i="99"/>
  <c r="AG108" i="99"/>
  <c r="AF108" i="99"/>
  <c r="AE108" i="99"/>
  <c r="AD108" i="99"/>
  <c r="AC108" i="99"/>
  <c r="AB108" i="99"/>
  <c r="AA108" i="99"/>
  <c r="Y108" i="99"/>
  <c r="X108" i="99"/>
  <c r="W108" i="99"/>
  <c r="V108" i="99"/>
  <c r="U108" i="99"/>
  <c r="T108" i="99"/>
  <c r="S108" i="99"/>
  <c r="R108" i="99"/>
  <c r="Q108" i="99"/>
  <c r="P108" i="99"/>
  <c r="O108" i="99"/>
  <c r="N108" i="99"/>
  <c r="AQ107" i="99"/>
  <c r="AP107" i="99"/>
  <c r="AO107" i="99"/>
  <c r="AN107" i="99"/>
  <c r="AM107" i="99"/>
  <c r="AL107" i="99"/>
  <c r="AK107" i="99"/>
  <c r="AJ107" i="99"/>
  <c r="AI107" i="99"/>
  <c r="AH107" i="99"/>
  <c r="AG107" i="99"/>
  <c r="AF107" i="99"/>
  <c r="AE107" i="99"/>
  <c r="AD107" i="99"/>
  <c r="AC107" i="99"/>
  <c r="AB107" i="99"/>
  <c r="AA107" i="99"/>
  <c r="Z107" i="99"/>
  <c r="Y107" i="99"/>
  <c r="X107" i="99"/>
  <c r="W107" i="99"/>
  <c r="V107" i="99"/>
  <c r="U107" i="99"/>
  <c r="T107" i="99"/>
  <c r="S107" i="99"/>
  <c r="R107" i="99"/>
  <c r="Q107" i="99"/>
  <c r="P107" i="99"/>
  <c r="O107" i="99"/>
  <c r="N107" i="99"/>
  <c r="AQ106" i="99"/>
  <c r="AP106" i="99"/>
  <c r="AO106" i="99"/>
  <c r="AN106" i="99"/>
  <c r="AM106" i="99"/>
  <c r="AL106" i="99"/>
  <c r="AK106" i="99"/>
  <c r="AJ106" i="99"/>
  <c r="AI106" i="99"/>
  <c r="AH106" i="99"/>
  <c r="AG106" i="99"/>
  <c r="AF106" i="99"/>
  <c r="AE106" i="99"/>
  <c r="AD106" i="99"/>
  <c r="AC106" i="99"/>
  <c r="AB106" i="99"/>
  <c r="AA106" i="99"/>
  <c r="Z106" i="99"/>
  <c r="Y106" i="99"/>
  <c r="X106" i="99"/>
  <c r="W106" i="99"/>
  <c r="V106" i="99"/>
  <c r="U106" i="99"/>
  <c r="T106" i="99"/>
  <c r="S106" i="99"/>
  <c r="R106" i="99"/>
  <c r="Q106" i="99"/>
  <c r="P106" i="99"/>
  <c r="O106" i="99"/>
  <c r="N106" i="99"/>
  <c r="AQ105" i="99"/>
  <c r="AP105" i="99"/>
  <c r="AO105" i="99"/>
  <c r="AN105" i="99"/>
  <c r="AM105" i="99"/>
  <c r="AL105" i="99"/>
  <c r="AK105" i="99"/>
  <c r="AJ105" i="99"/>
  <c r="AI105" i="99"/>
  <c r="AH105" i="99"/>
  <c r="AG105" i="99"/>
  <c r="AF105" i="99"/>
  <c r="AE105" i="99"/>
  <c r="AD105" i="99"/>
  <c r="AC105" i="99"/>
  <c r="AB105" i="99"/>
  <c r="AA105" i="99"/>
  <c r="Y105" i="99"/>
  <c r="X105" i="99"/>
  <c r="W105" i="99"/>
  <c r="V105" i="99"/>
  <c r="U105" i="99"/>
  <c r="T105" i="99"/>
  <c r="S105" i="99"/>
  <c r="R105" i="99"/>
  <c r="Q105" i="99"/>
  <c r="P105" i="99"/>
  <c r="O105" i="99"/>
  <c r="N105" i="99"/>
  <c r="M105" i="99"/>
  <c r="I105" i="99"/>
  <c r="H105" i="99"/>
  <c r="G105" i="99"/>
  <c r="F105" i="99"/>
  <c r="E105" i="99"/>
  <c r="D105" i="99"/>
  <c r="C105" i="99"/>
  <c r="B105" i="99"/>
  <c r="A105" i="99"/>
  <c r="AQ104" i="99"/>
  <c r="AP104" i="99"/>
  <c r="AO104" i="99"/>
  <c r="AN104" i="99"/>
  <c r="AM104" i="99"/>
  <c r="AL104" i="99"/>
  <c r="AK104" i="99"/>
  <c r="AJ104" i="99"/>
  <c r="AI104" i="99"/>
  <c r="AH104" i="99"/>
  <c r="AG104" i="99"/>
  <c r="AF104" i="99"/>
  <c r="AE104" i="99"/>
  <c r="AD104" i="99"/>
  <c r="AC104" i="99"/>
  <c r="AB104" i="99"/>
  <c r="AA104" i="99"/>
  <c r="Z104" i="99"/>
  <c r="Y104" i="99"/>
  <c r="X104" i="99"/>
  <c r="W104" i="99"/>
  <c r="V104" i="99"/>
  <c r="U104" i="99"/>
  <c r="T104" i="99"/>
  <c r="S104" i="99"/>
  <c r="R104" i="99"/>
  <c r="Q104" i="99"/>
  <c r="P104" i="99"/>
  <c r="O104" i="99"/>
  <c r="N104" i="99"/>
  <c r="M104" i="99"/>
  <c r="I104" i="99"/>
  <c r="H104" i="99"/>
  <c r="G104" i="99"/>
  <c r="F104" i="99"/>
  <c r="E104" i="99"/>
  <c r="D104" i="99"/>
  <c r="C104" i="99"/>
  <c r="B104" i="99"/>
  <c r="A104" i="99"/>
  <c r="AQ103" i="99"/>
  <c r="AP103" i="99"/>
  <c r="AO103" i="99"/>
  <c r="AN103" i="99"/>
  <c r="AM103" i="99"/>
  <c r="AL103" i="99"/>
  <c r="AK103" i="99"/>
  <c r="AJ103" i="99"/>
  <c r="AI103" i="99"/>
  <c r="AH103" i="99"/>
  <c r="AG103" i="99"/>
  <c r="AF103" i="99"/>
  <c r="AE103" i="99"/>
  <c r="AD103" i="99"/>
  <c r="AC103" i="99"/>
  <c r="AB103" i="99"/>
  <c r="AA103" i="99"/>
  <c r="Y103" i="99"/>
  <c r="X103" i="99"/>
  <c r="W103" i="99"/>
  <c r="V103" i="99"/>
  <c r="U103" i="99"/>
  <c r="T103" i="99"/>
  <c r="S103" i="99"/>
  <c r="R103" i="99"/>
  <c r="Q103" i="99"/>
  <c r="P103" i="99"/>
  <c r="O103" i="99"/>
  <c r="N103" i="99"/>
  <c r="M103" i="99"/>
  <c r="I103" i="99"/>
  <c r="H103" i="99"/>
  <c r="G103" i="99"/>
  <c r="F103" i="99"/>
  <c r="E103" i="99"/>
  <c r="D103" i="99"/>
  <c r="C103" i="99"/>
  <c r="B103" i="99"/>
  <c r="A103" i="99"/>
  <c r="AQ102" i="99"/>
  <c r="AP102" i="99"/>
  <c r="AO102" i="99"/>
  <c r="AN102" i="99"/>
  <c r="AM102" i="99"/>
  <c r="AL102" i="99"/>
  <c r="AK102" i="99"/>
  <c r="AJ102" i="99"/>
  <c r="AI102" i="99"/>
  <c r="AH102" i="99"/>
  <c r="AG102" i="99"/>
  <c r="AF102" i="99"/>
  <c r="AE102" i="99"/>
  <c r="AD102" i="99"/>
  <c r="AC102" i="99"/>
  <c r="AB102" i="99"/>
  <c r="AA102" i="99"/>
  <c r="Y102" i="99"/>
  <c r="X102" i="99"/>
  <c r="W102" i="99"/>
  <c r="V102" i="99"/>
  <c r="U102" i="99"/>
  <c r="T102" i="99"/>
  <c r="S102" i="99"/>
  <c r="R102" i="99"/>
  <c r="Q102" i="99"/>
  <c r="P102" i="99"/>
  <c r="O102" i="99"/>
  <c r="N102" i="99"/>
  <c r="M102" i="99"/>
  <c r="I102" i="99"/>
  <c r="H102" i="99"/>
  <c r="G102" i="99"/>
  <c r="F102" i="99"/>
  <c r="E102" i="99"/>
  <c r="D102" i="99"/>
  <c r="C102" i="99"/>
  <c r="B102" i="99"/>
  <c r="A102" i="99"/>
  <c r="AQ101" i="99"/>
  <c r="AP101" i="99"/>
  <c r="AO101" i="99"/>
  <c r="AN101" i="99"/>
  <c r="AM101" i="99"/>
  <c r="AL101" i="99"/>
  <c r="AK101" i="99"/>
  <c r="AJ101" i="99"/>
  <c r="AI101" i="99"/>
  <c r="AH101" i="99"/>
  <c r="AG101" i="99"/>
  <c r="AF101" i="99"/>
  <c r="AE101" i="99"/>
  <c r="AD101" i="99"/>
  <c r="AC101" i="99"/>
  <c r="AB101" i="99"/>
  <c r="AA101" i="99"/>
  <c r="Y101" i="99"/>
  <c r="X101" i="99"/>
  <c r="W101" i="99"/>
  <c r="V101" i="99"/>
  <c r="U101" i="99"/>
  <c r="T101" i="99"/>
  <c r="S101" i="99"/>
  <c r="R101" i="99"/>
  <c r="Q101" i="99"/>
  <c r="P101" i="99"/>
  <c r="O101" i="99"/>
  <c r="N101" i="99"/>
  <c r="M101" i="99"/>
  <c r="I101" i="99"/>
  <c r="H101" i="99"/>
  <c r="G101" i="99"/>
  <c r="F101" i="99"/>
  <c r="E101" i="99"/>
  <c r="D101" i="99"/>
  <c r="C101" i="99"/>
  <c r="B101" i="99"/>
  <c r="A101" i="99"/>
  <c r="AQ100" i="99"/>
  <c r="AP100" i="99"/>
  <c r="AO100" i="99"/>
  <c r="AN100" i="99"/>
  <c r="AM100" i="99"/>
  <c r="AL100" i="99"/>
  <c r="AK100" i="99"/>
  <c r="AJ100" i="99"/>
  <c r="AI100" i="99"/>
  <c r="AH100" i="99"/>
  <c r="AG100" i="99"/>
  <c r="AF100" i="99"/>
  <c r="AE100" i="99"/>
  <c r="AD100" i="99"/>
  <c r="AC100" i="99"/>
  <c r="AB100" i="99"/>
  <c r="AA100" i="99"/>
  <c r="Y100" i="99"/>
  <c r="X100" i="99"/>
  <c r="X95" i="99" s="1"/>
  <c r="W100" i="99"/>
  <c r="V100" i="99"/>
  <c r="U100" i="99"/>
  <c r="T100" i="99"/>
  <c r="T95" i="99" s="1"/>
  <c r="S100" i="99"/>
  <c r="R100" i="99"/>
  <c r="Q100" i="99"/>
  <c r="P100" i="99"/>
  <c r="O100" i="99"/>
  <c r="N100" i="99"/>
  <c r="M100" i="99"/>
  <c r="I100" i="99"/>
  <c r="H100" i="99"/>
  <c r="G100" i="99"/>
  <c r="F100" i="99"/>
  <c r="E100" i="99"/>
  <c r="D100" i="99"/>
  <c r="C100" i="99"/>
  <c r="B100" i="99"/>
  <c r="A100" i="99"/>
  <c r="AQ99" i="99"/>
  <c r="AP99" i="99"/>
  <c r="AO99" i="99"/>
  <c r="AN99" i="99"/>
  <c r="AM99" i="99"/>
  <c r="AL99" i="99"/>
  <c r="AK99" i="99"/>
  <c r="AJ99" i="99"/>
  <c r="AI99" i="99"/>
  <c r="AH99" i="99"/>
  <c r="AG99" i="99"/>
  <c r="AF99" i="99"/>
  <c r="AE99" i="99"/>
  <c r="AD99" i="99"/>
  <c r="AC99" i="99"/>
  <c r="AB99" i="99"/>
  <c r="AA99" i="99"/>
  <c r="Y99" i="99"/>
  <c r="X99" i="99"/>
  <c r="W99" i="99"/>
  <c r="V99" i="99"/>
  <c r="U99" i="99"/>
  <c r="T99" i="99"/>
  <c r="S99" i="99"/>
  <c r="S95" i="99" s="1"/>
  <c r="R99" i="99"/>
  <c r="Q99" i="99"/>
  <c r="P99" i="99"/>
  <c r="O99" i="99"/>
  <c r="N99" i="99"/>
  <c r="M99" i="99"/>
  <c r="I99" i="99"/>
  <c r="H99" i="99"/>
  <c r="G99" i="99"/>
  <c r="F99" i="99"/>
  <c r="E99" i="99"/>
  <c r="D99" i="99"/>
  <c r="C99" i="99"/>
  <c r="B99" i="99"/>
  <c r="A99" i="99"/>
  <c r="AQ98" i="99"/>
  <c r="AP98" i="99"/>
  <c r="AO98" i="99"/>
  <c r="AN98" i="99"/>
  <c r="AM98" i="99"/>
  <c r="AL98" i="99"/>
  <c r="AK98" i="99"/>
  <c r="AJ98" i="99"/>
  <c r="AI98" i="99"/>
  <c r="AH98" i="99"/>
  <c r="AG98" i="99"/>
  <c r="AF98" i="99"/>
  <c r="AE98" i="99"/>
  <c r="AD98" i="99"/>
  <c r="AC98" i="99"/>
  <c r="AB98" i="99"/>
  <c r="AA98" i="99"/>
  <c r="Y98" i="99"/>
  <c r="X98" i="99"/>
  <c r="W98" i="99"/>
  <c r="V98" i="99"/>
  <c r="U98" i="99"/>
  <c r="T98" i="99"/>
  <c r="S98" i="99"/>
  <c r="R98" i="99"/>
  <c r="Q98" i="99"/>
  <c r="P98" i="99"/>
  <c r="O98" i="99"/>
  <c r="N98" i="99"/>
  <c r="M98" i="99"/>
  <c r="I98" i="99"/>
  <c r="H98" i="99"/>
  <c r="G98" i="99"/>
  <c r="F98" i="99"/>
  <c r="E98" i="99"/>
  <c r="D98" i="99"/>
  <c r="C98" i="99"/>
  <c r="B98" i="99"/>
  <c r="A98" i="99"/>
  <c r="AQ97" i="99"/>
  <c r="AP97" i="99"/>
  <c r="AO97" i="99"/>
  <c r="AN97" i="99"/>
  <c r="AM97" i="99"/>
  <c r="AL97" i="99"/>
  <c r="AK97" i="99"/>
  <c r="AJ97" i="99"/>
  <c r="AI97" i="99"/>
  <c r="AH97" i="99"/>
  <c r="AG97" i="99"/>
  <c r="AF97" i="99"/>
  <c r="AE97" i="99"/>
  <c r="AD97" i="99"/>
  <c r="AC97" i="99"/>
  <c r="AB97" i="99"/>
  <c r="AA97" i="99"/>
  <c r="Z97" i="99"/>
  <c r="Y97" i="99"/>
  <c r="X97" i="99"/>
  <c r="W97" i="99"/>
  <c r="V97" i="99"/>
  <c r="V95" i="99" s="1"/>
  <c r="U97" i="99"/>
  <c r="T97" i="99"/>
  <c r="S97" i="99"/>
  <c r="R97" i="99"/>
  <c r="R95" i="99" s="1"/>
  <c r="Q97" i="99"/>
  <c r="P97" i="99"/>
  <c r="O97" i="99"/>
  <c r="N97" i="99"/>
  <c r="M97" i="99"/>
  <c r="I97" i="99"/>
  <c r="H97" i="99"/>
  <c r="G97" i="99"/>
  <c r="F97" i="99"/>
  <c r="E97" i="99"/>
  <c r="D97" i="99"/>
  <c r="C97" i="99"/>
  <c r="B97" i="99"/>
  <c r="A97" i="99"/>
  <c r="AQ96" i="99"/>
  <c r="AP96" i="99"/>
  <c r="AO96" i="99"/>
  <c r="AN96" i="99"/>
  <c r="AM96" i="99"/>
  <c r="AL96" i="99"/>
  <c r="AK96" i="99"/>
  <c r="AJ96" i="99"/>
  <c r="AI96" i="99"/>
  <c r="AH96" i="99"/>
  <c r="AG96" i="99"/>
  <c r="AF96" i="99"/>
  <c r="AE96" i="99"/>
  <c r="AD96" i="99"/>
  <c r="AC96" i="99"/>
  <c r="AB96" i="99"/>
  <c r="AA96" i="99"/>
  <c r="Y96" i="99"/>
  <c r="Y95" i="99" s="1"/>
  <c r="X96" i="99"/>
  <c r="W96" i="99"/>
  <c r="V96" i="99"/>
  <c r="U96" i="99"/>
  <c r="T96" i="99"/>
  <c r="S96" i="99"/>
  <c r="R96" i="99"/>
  <c r="Q96" i="99"/>
  <c r="P96" i="99"/>
  <c r="O96" i="99"/>
  <c r="N96" i="99"/>
  <c r="M96" i="99"/>
  <c r="I96" i="99"/>
  <c r="H96" i="99"/>
  <c r="G96" i="99"/>
  <c r="F96" i="99"/>
  <c r="E96" i="99"/>
  <c r="D96" i="99"/>
  <c r="C96" i="99"/>
  <c r="B96" i="99"/>
  <c r="A96" i="99"/>
  <c r="U95" i="99"/>
  <c r="M95" i="99"/>
  <c r="L95" i="99"/>
  <c r="AQ94" i="99"/>
  <c r="AP94" i="99"/>
  <c r="AO94" i="99"/>
  <c r="AN94" i="99"/>
  <c r="AM94" i="99"/>
  <c r="AL94" i="99"/>
  <c r="AK94" i="99"/>
  <c r="AJ94" i="99"/>
  <c r="AI94" i="99"/>
  <c r="AH94" i="99"/>
  <c r="AG94" i="99"/>
  <c r="AF94" i="99"/>
  <c r="AE94" i="99"/>
  <c r="AD94" i="99"/>
  <c r="AC94" i="99"/>
  <c r="AB94" i="99"/>
  <c r="AA94" i="99"/>
  <c r="Y94" i="99"/>
  <c r="X94" i="99"/>
  <c r="W94" i="99"/>
  <c r="V94" i="99"/>
  <c r="U94" i="99"/>
  <c r="T94" i="99"/>
  <c r="T91" i="99" s="1"/>
  <c r="S94" i="99"/>
  <c r="R94" i="99"/>
  <c r="Q94" i="99"/>
  <c r="P94" i="99"/>
  <c r="O94" i="99"/>
  <c r="N94" i="99"/>
  <c r="M94" i="99"/>
  <c r="I94" i="99"/>
  <c r="H94" i="99"/>
  <c r="G94" i="99"/>
  <c r="F94" i="99"/>
  <c r="E94" i="99"/>
  <c r="D94" i="99"/>
  <c r="C94" i="99"/>
  <c r="B94" i="99"/>
  <c r="A94" i="99"/>
  <c r="AQ93" i="99"/>
  <c r="AP93" i="99"/>
  <c r="AO93" i="99"/>
  <c r="AN93" i="99"/>
  <c r="AM93" i="99"/>
  <c r="AL93" i="99"/>
  <c r="AK93" i="99"/>
  <c r="AJ93" i="99"/>
  <c r="AI93" i="99"/>
  <c r="AH93" i="99"/>
  <c r="AG93" i="99"/>
  <c r="AF93" i="99"/>
  <c r="AE93" i="99"/>
  <c r="AD93" i="99"/>
  <c r="AC93" i="99"/>
  <c r="AB93" i="99"/>
  <c r="AA93" i="99"/>
  <c r="Y93" i="99"/>
  <c r="X93" i="99"/>
  <c r="W93" i="99"/>
  <c r="V93" i="99"/>
  <c r="U93" i="99"/>
  <c r="T93" i="99"/>
  <c r="S93" i="99"/>
  <c r="R93" i="99"/>
  <c r="Q93" i="99"/>
  <c r="P93" i="99"/>
  <c r="O93" i="99"/>
  <c r="N93" i="99"/>
  <c r="M93" i="99"/>
  <c r="I93" i="99"/>
  <c r="H93" i="99"/>
  <c r="G93" i="99"/>
  <c r="F93" i="99"/>
  <c r="E93" i="99"/>
  <c r="D93" i="99"/>
  <c r="C93" i="99"/>
  <c r="B93" i="99"/>
  <c r="A93" i="99"/>
  <c r="AQ92" i="99"/>
  <c r="AP92" i="99"/>
  <c r="AO92" i="99"/>
  <c r="AN92" i="99"/>
  <c r="AM92" i="99"/>
  <c r="AL92" i="99"/>
  <c r="AK92" i="99"/>
  <c r="AJ92" i="99"/>
  <c r="AI92" i="99"/>
  <c r="AH92" i="99"/>
  <c r="AG92" i="99"/>
  <c r="AF92" i="99"/>
  <c r="AE92" i="99"/>
  <c r="AD92" i="99"/>
  <c r="AC92" i="99"/>
  <c r="AB92" i="99"/>
  <c r="AA92" i="99"/>
  <c r="Z92" i="99"/>
  <c r="Y92" i="99"/>
  <c r="Y91" i="99" s="1"/>
  <c r="X92" i="99"/>
  <c r="W92" i="99"/>
  <c r="V92" i="99"/>
  <c r="U92" i="99"/>
  <c r="T92" i="99"/>
  <c r="S92" i="99"/>
  <c r="R92" i="99"/>
  <c r="Q92" i="99"/>
  <c r="P92" i="99"/>
  <c r="O92" i="99"/>
  <c r="N92" i="99"/>
  <c r="M92" i="99"/>
  <c r="I92" i="99"/>
  <c r="H92" i="99"/>
  <c r="G92" i="99"/>
  <c r="F92" i="99"/>
  <c r="E92" i="99"/>
  <c r="D92" i="99"/>
  <c r="C92" i="99"/>
  <c r="B92" i="99"/>
  <c r="A92" i="99"/>
  <c r="X91" i="99"/>
  <c r="V91" i="99"/>
  <c r="U91" i="99"/>
  <c r="S91" i="99"/>
  <c r="R91" i="99"/>
  <c r="M91" i="99"/>
  <c r="L91" i="99"/>
  <c r="AQ90" i="99"/>
  <c r="AP90" i="99"/>
  <c r="AO90" i="99"/>
  <c r="AN90" i="99"/>
  <c r="AM90" i="99"/>
  <c r="AL90" i="99"/>
  <c r="AK90" i="99"/>
  <c r="AJ90" i="99"/>
  <c r="AI90" i="99"/>
  <c r="AH90" i="99"/>
  <c r="AG90" i="99"/>
  <c r="AF90" i="99"/>
  <c r="AE90" i="99"/>
  <c r="AD90" i="99"/>
  <c r="AC90" i="99"/>
  <c r="AB90" i="99"/>
  <c r="AA90" i="99"/>
  <c r="Z90" i="99"/>
  <c r="Y90" i="99"/>
  <c r="X90" i="99"/>
  <c r="W90" i="99"/>
  <c r="V90" i="99"/>
  <c r="U90" i="99"/>
  <c r="T90" i="99"/>
  <c r="S90" i="99"/>
  <c r="R90" i="99"/>
  <c r="Q90" i="99"/>
  <c r="P90" i="99"/>
  <c r="O90" i="99"/>
  <c r="N90" i="99"/>
  <c r="M90" i="99"/>
  <c r="I90" i="99"/>
  <c r="H90" i="99"/>
  <c r="G90" i="99"/>
  <c r="F90" i="99"/>
  <c r="E90" i="99"/>
  <c r="D90" i="99"/>
  <c r="C90" i="99"/>
  <c r="B90" i="99"/>
  <c r="A90" i="99"/>
  <c r="AQ89" i="99"/>
  <c r="AP89" i="99"/>
  <c r="AO89" i="99"/>
  <c r="AN89" i="99"/>
  <c r="AM89" i="99"/>
  <c r="AL89" i="99"/>
  <c r="AK89" i="99"/>
  <c r="AJ89" i="99"/>
  <c r="AI89" i="99"/>
  <c r="AH89" i="99"/>
  <c r="AG89" i="99"/>
  <c r="AF89" i="99"/>
  <c r="AE89" i="99"/>
  <c r="AD89" i="99"/>
  <c r="AC89" i="99"/>
  <c r="AB89" i="99"/>
  <c r="AA89" i="99"/>
  <c r="Z89" i="99"/>
  <c r="Y89" i="99"/>
  <c r="X89" i="99"/>
  <c r="W89" i="99"/>
  <c r="V89" i="99"/>
  <c r="U89" i="99"/>
  <c r="T89" i="99"/>
  <c r="S89" i="99"/>
  <c r="R89" i="99"/>
  <c r="Q89" i="99"/>
  <c r="P89" i="99"/>
  <c r="O89" i="99"/>
  <c r="N89" i="99"/>
  <c r="M89" i="99"/>
  <c r="I89" i="99"/>
  <c r="H89" i="99"/>
  <c r="G89" i="99"/>
  <c r="F89" i="99"/>
  <c r="E89" i="99"/>
  <c r="D89" i="99"/>
  <c r="C89" i="99"/>
  <c r="B89" i="99"/>
  <c r="A89" i="99"/>
  <c r="AQ88" i="99"/>
  <c r="AP88" i="99"/>
  <c r="AO88" i="99"/>
  <c r="AN88" i="99"/>
  <c r="AM88" i="99"/>
  <c r="AL88" i="99"/>
  <c r="AK88" i="99"/>
  <c r="AJ88" i="99"/>
  <c r="AI88" i="99"/>
  <c r="AH88" i="99"/>
  <c r="AG88" i="99"/>
  <c r="AF88" i="99"/>
  <c r="AE88" i="99"/>
  <c r="AD88" i="99"/>
  <c r="AC88" i="99"/>
  <c r="AB88" i="99"/>
  <c r="AA88" i="99"/>
  <c r="Z88" i="99"/>
  <c r="Y88" i="99"/>
  <c r="X88" i="99"/>
  <c r="W88" i="99"/>
  <c r="V88" i="99"/>
  <c r="U88" i="99"/>
  <c r="T88" i="99"/>
  <c r="S88" i="99"/>
  <c r="R88" i="99"/>
  <c r="Q88" i="99"/>
  <c r="P88" i="99"/>
  <c r="O88" i="99"/>
  <c r="N88" i="99"/>
  <c r="M88" i="99"/>
  <c r="I88" i="99"/>
  <c r="H88" i="99"/>
  <c r="G88" i="99"/>
  <c r="F88" i="99"/>
  <c r="E88" i="99"/>
  <c r="D88" i="99"/>
  <c r="C88" i="99"/>
  <c r="B88" i="99"/>
  <c r="A88" i="99"/>
  <c r="AQ87" i="99"/>
  <c r="AP87" i="99"/>
  <c r="AO87" i="99"/>
  <c r="AN87" i="99"/>
  <c r="AM87" i="99"/>
  <c r="AL87" i="99"/>
  <c r="AK87" i="99"/>
  <c r="AJ87" i="99"/>
  <c r="AI87" i="99"/>
  <c r="AH87" i="99"/>
  <c r="AG87" i="99"/>
  <c r="AF87" i="99"/>
  <c r="AE87" i="99"/>
  <c r="AD87" i="99"/>
  <c r="AC87" i="99"/>
  <c r="AB87" i="99"/>
  <c r="AA87" i="99"/>
  <c r="Z87" i="99"/>
  <c r="Y87" i="99"/>
  <c r="X87" i="99"/>
  <c r="W87" i="99"/>
  <c r="V87" i="99"/>
  <c r="U87" i="99"/>
  <c r="T87" i="99"/>
  <c r="S87" i="99"/>
  <c r="R87" i="99"/>
  <c r="Q87" i="99"/>
  <c r="P87" i="99"/>
  <c r="O87" i="99"/>
  <c r="N87" i="99"/>
  <c r="M87" i="99"/>
  <c r="I87" i="99"/>
  <c r="H87" i="99"/>
  <c r="G87" i="99"/>
  <c r="F87" i="99"/>
  <c r="E87" i="99"/>
  <c r="D87" i="99"/>
  <c r="C87" i="99"/>
  <c r="B87" i="99"/>
  <c r="A87" i="99"/>
  <c r="AQ86" i="99"/>
  <c r="AP86" i="99"/>
  <c r="AO86" i="99"/>
  <c r="AN86" i="99"/>
  <c r="AM86" i="99"/>
  <c r="AL86" i="99"/>
  <c r="AK86" i="99"/>
  <c r="AJ86" i="99"/>
  <c r="AI86" i="99"/>
  <c r="AH86" i="99"/>
  <c r="AG86" i="99"/>
  <c r="AF86" i="99"/>
  <c r="AE86" i="99"/>
  <c r="AD86" i="99"/>
  <c r="AC86" i="99"/>
  <c r="AB86" i="99"/>
  <c r="AA86" i="99"/>
  <c r="Z86" i="99"/>
  <c r="Y86" i="99"/>
  <c r="X86" i="99"/>
  <c r="W86" i="99"/>
  <c r="V86" i="99"/>
  <c r="U86" i="99"/>
  <c r="T86" i="99"/>
  <c r="S86" i="99"/>
  <c r="R86" i="99"/>
  <c r="Q86" i="99"/>
  <c r="P86" i="99"/>
  <c r="O86" i="99"/>
  <c r="N86" i="99"/>
  <c r="M86" i="99"/>
  <c r="I86" i="99"/>
  <c r="H86" i="99"/>
  <c r="G86" i="99"/>
  <c r="F86" i="99"/>
  <c r="E86" i="99"/>
  <c r="D86" i="99"/>
  <c r="C86" i="99"/>
  <c r="B86" i="99"/>
  <c r="A86" i="99"/>
  <c r="AQ85" i="99"/>
  <c r="AP85" i="99"/>
  <c r="AO85" i="99"/>
  <c r="AN85" i="99"/>
  <c r="AM85" i="99"/>
  <c r="AL85" i="99"/>
  <c r="AK85" i="99"/>
  <c r="AJ85" i="99"/>
  <c r="AI85" i="99"/>
  <c r="AH85" i="99"/>
  <c r="AG85" i="99"/>
  <c r="AF85" i="99"/>
  <c r="AE85" i="99"/>
  <c r="AD85" i="99"/>
  <c r="AC85" i="99"/>
  <c r="AB85" i="99"/>
  <c r="AA85" i="99"/>
  <c r="Z85" i="99"/>
  <c r="Y85" i="99"/>
  <c r="X85" i="99"/>
  <c r="W85" i="99"/>
  <c r="V85" i="99"/>
  <c r="U85" i="99"/>
  <c r="T85" i="99"/>
  <c r="S85" i="99"/>
  <c r="R85" i="99"/>
  <c r="Q85" i="99"/>
  <c r="P85" i="99"/>
  <c r="O85" i="99"/>
  <c r="N85" i="99"/>
  <c r="M85" i="99"/>
  <c r="I85" i="99"/>
  <c r="H85" i="99"/>
  <c r="G85" i="99"/>
  <c r="F85" i="99"/>
  <c r="E85" i="99"/>
  <c r="D85" i="99"/>
  <c r="C85" i="99"/>
  <c r="B85" i="99"/>
  <c r="A85" i="99"/>
  <c r="AQ84" i="99"/>
  <c r="AP84" i="99"/>
  <c r="AO84" i="99"/>
  <c r="AN84" i="99"/>
  <c r="AM84" i="99"/>
  <c r="AL84" i="99"/>
  <c r="AK84" i="99"/>
  <c r="AJ84" i="99"/>
  <c r="AI84" i="99"/>
  <c r="AH84" i="99"/>
  <c r="AG84" i="99"/>
  <c r="AF84" i="99"/>
  <c r="AE84" i="99"/>
  <c r="AD84" i="99"/>
  <c r="AC84" i="99"/>
  <c r="AB84" i="99"/>
  <c r="AA84" i="99"/>
  <c r="Z84" i="99"/>
  <c r="Y84" i="99"/>
  <c r="X84" i="99"/>
  <c r="W84" i="99"/>
  <c r="V84" i="99"/>
  <c r="U84" i="99"/>
  <c r="T84" i="99"/>
  <c r="S84" i="99"/>
  <c r="R84" i="99"/>
  <c r="Q84" i="99"/>
  <c r="P84" i="99"/>
  <c r="O84" i="99"/>
  <c r="N84" i="99"/>
  <c r="M84" i="99"/>
  <c r="I84" i="99"/>
  <c r="H84" i="99"/>
  <c r="G84" i="99"/>
  <c r="F84" i="99"/>
  <c r="E84" i="99"/>
  <c r="D84" i="99"/>
  <c r="C84" i="99"/>
  <c r="B84" i="99"/>
  <c r="A84" i="99"/>
  <c r="AQ83" i="99"/>
  <c r="AP83" i="99"/>
  <c r="AO83" i="99"/>
  <c r="AN83" i="99"/>
  <c r="AM83" i="99"/>
  <c r="AL83" i="99"/>
  <c r="AK83" i="99"/>
  <c r="AJ83" i="99"/>
  <c r="AI83" i="99"/>
  <c r="AH83" i="99"/>
  <c r="AG83" i="99"/>
  <c r="AF83" i="99"/>
  <c r="AE83" i="99"/>
  <c r="AD83" i="99"/>
  <c r="AC83" i="99"/>
  <c r="AB83" i="99"/>
  <c r="AA83" i="99"/>
  <c r="Z83" i="99"/>
  <c r="Y83" i="99"/>
  <c r="X83" i="99"/>
  <c r="W83" i="99"/>
  <c r="V83" i="99"/>
  <c r="U83" i="99"/>
  <c r="T83" i="99"/>
  <c r="S83" i="99"/>
  <c r="R83" i="99"/>
  <c r="Q83" i="99"/>
  <c r="P83" i="99"/>
  <c r="O83" i="99"/>
  <c r="N83" i="99"/>
  <c r="M83" i="99"/>
  <c r="I83" i="99"/>
  <c r="H83" i="99"/>
  <c r="G83" i="99"/>
  <c r="F83" i="99"/>
  <c r="E83" i="99"/>
  <c r="D83" i="99"/>
  <c r="C83" i="99"/>
  <c r="B83" i="99"/>
  <c r="A83" i="99"/>
  <c r="AQ82" i="99"/>
  <c r="AP82" i="99"/>
  <c r="AO82" i="99"/>
  <c r="AN82" i="99"/>
  <c r="AM82" i="99"/>
  <c r="AL82" i="99"/>
  <c r="AK82" i="99"/>
  <c r="AJ82" i="99"/>
  <c r="AI82" i="99"/>
  <c r="AH82" i="99"/>
  <c r="AG82" i="99"/>
  <c r="AF82" i="99"/>
  <c r="AE82" i="99"/>
  <c r="AD82" i="99"/>
  <c r="AC82" i="99"/>
  <c r="AB82" i="99"/>
  <c r="AA82" i="99"/>
  <c r="Z82" i="99"/>
  <c r="Y82" i="99"/>
  <c r="X82" i="99"/>
  <c r="W82" i="99"/>
  <c r="V82" i="99"/>
  <c r="U82" i="99"/>
  <c r="T82" i="99"/>
  <c r="S82" i="99"/>
  <c r="S77" i="99" s="1"/>
  <c r="R82" i="99"/>
  <c r="Q82" i="99"/>
  <c r="P82" i="99"/>
  <c r="O82" i="99"/>
  <c r="N82" i="99"/>
  <c r="M82" i="99"/>
  <c r="I82" i="99"/>
  <c r="H82" i="99"/>
  <c r="G82" i="99"/>
  <c r="F82" i="99"/>
  <c r="E82" i="99"/>
  <c r="D82" i="99"/>
  <c r="C82" i="99"/>
  <c r="B82" i="99"/>
  <c r="A82" i="99"/>
  <c r="AQ81" i="99"/>
  <c r="AP81" i="99"/>
  <c r="AO81" i="99"/>
  <c r="AN81" i="99"/>
  <c r="AM81" i="99"/>
  <c r="AL81" i="99"/>
  <c r="AK81" i="99"/>
  <c r="AJ81" i="99"/>
  <c r="AI81" i="99"/>
  <c r="AH81" i="99"/>
  <c r="AG81" i="99"/>
  <c r="AF81" i="99"/>
  <c r="AE81" i="99"/>
  <c r="AD81" i="99"/>
  <c r="AC81" i="99"/>
  <c r="AB81" i="99"/>
  <c r="AA81" i="99"/>
  <c r="Z81" i="99"/>
  <c r="Y81" i="99"/>
  <c r="X81" i="99"/>
  <c r="W81" i="99"/>
  <c r="V81" i="99"/>
  <c r="U81" i="99"/>
  <c r="T81" i="99"/>
  <c r="S81" i="99"/>
  <c r="R81" i="99"/>
  <c r="Q81" i="99"/>
  <c r="P81" i="99"/>
  <c r="O81" i="99"/>
  <c r="N81" i="99"/>
  <c r="I81" i="99"/>
  <c r="H81" i="99"/>
  <c r="G81" i="99"/>
  <c r="F81" i="99"/>
  <c r="E81" i="99"/>
  <c r="D81" i="99"/>
  <c r="C81" i="99"/>
  <c r="B81" i="99"/>
  <c r="A81" i="99"/>
  <c r="AQ80" i="99"/>
  <c r="AP80" i="99"/>
  <c r="AO80" i="99"/>
  <c r="AN80" i="99"/>
  <c r="AM80" i="99"/>
  <c r="AL80" i="99"/>
  <c r="AK80" i="99"/>
  <c r="AJ80" i="99"/>
  <c r="AI80" i="99"/>
  <c r="AH80" i="99"/>
  <c r="AG80" i="99"/>
  <c r="AF80" i="99"/>
  <c r="AE80" i="99"/>
  <c r="AD80" i="99"/>
  <c r="AC80" i="99"/>
  <c r="AB80" i="99"/>
  <c r="AA80" i="99"/>
  <c r="Z80" i="99"/>
  <c r="Y80" i="99"/>
  <c r="X80" i="99"/>
  <c r="W80" i="99"/>
  <c r="V80" i="99"/>
  <c r="U80" i="99"/>
  <c r="T80" i="99"/>
  <c r="S80" i="99"/>
  <c r="R80" i="99"/>
  <c r="Q80" i="99"/>
  <c r="P80" i="99"/>
  <c r="O80" i="99"/>
  <c r="N80" i="99"/>
  <c r="I80" i="99"/>
  <c r="H80" i="99"/>
  <c r="G80" i="99"/>
  <c r="F80" i="99"/>
  <c r="E80" i="99"/>
  <c r="D80" i="99"/>
  <c r="C80" i="99"/>
  <c r="B80" i="99"/>
  <c r="A80" i="99"/>
  <c r="AQ79" i="99"/>
  <c r="AP79" i="99"/>
  <c r="AO79" i="99"/>
  <c r="AN79" i="99"/>
  <c r="AM79" i="99"/>
  <c r="AL79" i="99"/>
  <c r="AK79" i="99"/>
  <c r="AJ79" i="99"/>
  <c r="AI79" i="99"/>
  <c r="AH79" i="99"/>
  <c r="AG79" i="99"/>
  <c r="AF79" i="99"/>
  <c r="AE79" i="99"/>
  <c r="AD79" i="99"/>
  <c r="AC79" i="99"/>
  <c r="AB79" i="99"/>
  <c r="AA79" i="99"/>
  <c r="Z79" i="99"/>
  <c r="Y79" i="99"/>
  <c r="X79" i="99"/>
  <c r="W79" i="99"/>
  <c r="V79" i="99"/>
  <c r="U79" i="99"/>
  <c r="T79" i="99"/>
  <c r="S79" i="99"/>
  <c r="R79" i="99"/>
  <c r="Q79" i="99"/>
  <c r="P79" i="99"/>
  <c r="O79" i="99"/>
  <c r="N79" i="99"/>
  <c r="I79" i="99"/>
  <c r="H79" i="99"/>
  <c r="G79" i="99"/>
  <c r="F79" i="99"/>
  <c r="E79" i="99"/>
  <c r="D79" i="99"/>
  <c r="C79" i="99"/>
  <c r="B79" i="99"/>
  <c r="A79" i="99"/>
  <c r="AQ78" i="99"/>
  <c r="AP78" i="99"/>
  <c r="AO78" i="99"/>
  <c r="AN78" i="99"/>
  <c r="AM78" i="99"/>
  <c r="AL78" i="99"/>
  <c r="AK78" i="99"/>
  <c r="AJ78" i="99"/>
  <c r="AI78" i="99"/>
  <c r="AH78" i="99"/>
  <c r="AG78" i="99"/>
  <c r="AF78" i="99"/>
  <c r="AE78" i="99"/>
  <c r="AD78" i="99"/>
  <c r="AC78" i="99"/>
  <c r="AB78" i="99"/>
  <c r="AA78" i="99"/>
  <c r="Y78" i="99"/>
  <c r="Y77" i="99" s="1"/>
  <c r="X78" i="99"/>
  <c r="X77" i="99" s="1"/>
  <c r="W78" i="99"/>
  <c r="U78" i="99"/>
  <c r="T78" i="99"/>
  <c r="T77" i="99" s="1"/>
  <c r="S78" i="99"/>
  <c r="R78" i="99"/>
  <c r="R77" i="99" s="1"/>
  <c r="Q78" i="99"/>
  <c r="P78" i="99"/>
  <c r="O78" i="99"/>
  <c r="N78" i="99"/>
  <c r="M78" i="99"/>
  <c r="I78" i="99"/>
  <c r="H78" i="99"/>
  <c r="G78" i="99"/>
  <c r="F78" i="99"/>
  <c r="E78" i="99"/>
  <c r="D78" i="99"/>
  <c r="C78" i="99"/>
  <c r="B78" i="99"/>
  <c r="A78" i="99"/>
  <c r="U77" i="99"/>
  <c r="M77" i="99"/>
  <c r="L77" i="99"/>
  <c r="AQ76" i="99"/>
  <c r="AP76" i="99"/>
  <c r="AO76" i="99"/>
  <c r="AN76" i="99"/>
  <c r="AM76" i="99"/>
  <c r="AL76" i="99"/>
  <c r="AK76" i="99"/>
  <c r="AJ76" i="99"/>
  <c r="AI76" i="99"/>
  <c r="AH76" i="99"/>
  <c r="AG76" i="99"/>
  <c r="AF76" i="99"/>
  <c r="AE76" i="99"/>
  <c r="AD76" i="99"/>
  <c r="AC76" i="99"/>
  <c r="AB76" i="99"/>
  <c r="AA76" i="99"/>
  <c r="Z76" i="99"/>
  <c r="Y76" i="99"/>
  <c r="X76" i="99"/>
  <c r="W76" i="99"/>
  <c r="U76" i="99"/>
  <c r="T76" i="99"/>
  <c r="S76" i="99"/>
  <c r="R76" i="99"/>
  <c r="Q76" i="99"/>
  <c r="P76" i="99"/>
  <c r="O76" i="99"/>
  <c r="N76" i="99"/>
  <c r="M76" i="99"/>
  <c r="I76" i="99"/>
  <c r="H76" i="99"/>
  <c r="G76" i="99"/>
  <c r="F76" i="99"/>
  <c r="E76" i="99"/>
  <c r="D76" i="99"/>
  <c r="C76" i="99"/>
  <c r="B76" i="99"/>
  <c r="A76" i="99"/>
  <c r="AQ75" i="99"/>
  <c r="AP75" i="99"/>
  <c r="AO75" i="99"/>
  <c r="AN75" i="99"/>
  <c r="AM75" i="99"/>
  <c r="AL75" i="99"/>
  <c r="AK75" i="99"/>
  <c r="AJ75" i="99"/>
  <c r="AI75" i="99"/>
  <c r="AH75" i="99"/>
  <c r="AG75" i="99"/>
  <c r="AF75" i="99"/>
  <c r="AE75" i="99"/>
  <c r="AD75" i="99"/>
  <c r="AC75" i="99"/>
  <c r="AB75" i="99"/>
  <c r="AA75" i="99"/>
  <c r="Z75" i="99"/>
  <c r="Y75" i="99"/>
  <c r="X75" i="99"/>
  <c r="W75" i="99"/>
  <c r="U75" i="99"/>
  <c r="T75" i="99"/>
  <c r="S75" i="99"/>
  <c r="R75" i="99"/>
  <c r="Q75" i="99"/>
  <c r="P75" i="99"/>
  <c r="O75" i="99"/>
  <c r="N75" i="99"/>
  <c r="M75" i="99"/>
  <c r="I75" i="99"/>
  <c r="H75" i="99"/>
  <c r="G75" i="99"/>
  <c r="F75" i="99"/>
  <c r="E75" i="99"/>
  <c r="D75" i="99"/>
  <c r="C75" i="99"/>
  <c r="B75" i="99"/>
  <c r="A75" i="99"/>
  <c r="AQ74" i="99"/>
  <c r="AP74" i="99"/>
  <c r="AO74" i="99"/>
  <c r="AN74" i="99"/>
  <c r="AM74" i="99"/>
  <c r="AL74" i="99"/>
  <c r="AK74" i="99"/>
  <c r="AJ74" i="99"/>
  <c r="AI74" i="99"/>
  <c r="AH74" i="99"/>
  <c r="AG74" i="99"/>
  <c r="AF74" i="99"/>
  <c r="AE74" i="99"/>
  <c r="AD74" i="99"/>
  <c r="AC74" i="99"/>
  <c r="AB74" i="99"/>
  <c r="AA74" i="99"/>
  <c r="Z74" i="99"/>
  <c r="Y74" i="99"/>
  <c r="X74" i="99"/>
  <c r="W74" i="99"/>
  <c r="V74" i="99"/>
  <c r="U74" i="99"/>
  <c r="T74" i="99"/>
  <c r="S74" i="99"/>
  <c r="R74" i="99"/>
  <c r="Q74" i="99"/>
  <c r="P74" i="99"/>
  <c r="O74" i="99"/>
  <c r="N74" i="99"/>
  <c r="I74" i="99"/>
  <c r="H74" i="99"/>
  <c r="G74" i="99"/>
  <c r="F74" i="99"/>
  <c r="E74" i="99"/>
  <c r="D74" i="99"/>
  <c r="C74" i="99"/>
  <c r="B74" i="99"/>
  <c r="A74" i="99"/>
  <c r="AQ73" i="99"/>
  <c r="AP73" i="99"/>
  <c r="AO73" i="99"/>
  <c r="AN73" i="99"/>
  <c r="AM73" i="99"/>
  <c r="AL73" i="99"/>
  <c r="AK73" i="99"/>
  <c r="AJ73" i="99"/>
  <c r="AI73" i="99"/>
  <c r="AH73" i="99"/>
  <c r="AG73" i="99"/>
  <c r="AF73" i="99"/>
  <c r="AE73" i="99"/>
  <c r="AD73" i="99"/>
  <c r="AC73" i="99"/>
  <c r="AB73" i="99"/>
  <c r="AA73" i="99"/>
  <c r="Z73" i="99"/>
  <c r="Y73" i="99"/>
  <c r="X73" i="99"/>
  <c r="W73" i="99"/>
  <c r="U73" i="99"/>
  <c r="T73" i="99"/>
  <c r="S73" i="99"/>
  <c r="R73" i="99"/>
  <c r="Q73" i="99"/>
  <c r="P73" i="99"/>
  <c r="O73" i="99"/>
  <c r="N73" i="99"/>
  <c r="I73" i="99"/>
  <c r="H73" i="99"/>
  <c r="G73" i="99"/>
  <c r="F73" i="99"/>
  <c r="E73" i="99"/>
  <c r="D73" i="99"/>
  <c r="C73" i="99"/>
  <c r="B73" i="99"/>
  <c r="A73" i="99"/>
  <c r="AQ72" i="99"/>
  <c r="AP72" i="99"/>
  <c r="AO72" i="99"/>
  <c r="AN72" i="99"/>
  <c r="AM72" i="99"/>
  <c r="AL72" i="99"/>
  <c r="AK72" i="99"/>
  <c r="AJ72" i="99"/>
  <c r="AI72" i="99"/>
  <c r="AH72" i="99"/>
  <c r="AG72" i="99"/>
  <c r="AF72" i="99"/>
  <c r="AE72" i="99"/>
  <c r="AD72" i="99"/>
  <c r="AC72" i="99"/>
  <c r="AB72" i="99"/>
  <c r="AA72" i="99"/>
  <c r="Z72" i="99"/>
  <c r="Y72" i="99"/>
  <c r="X72" i="99"/>
  <c r="W72" i="99"/>
  <c r="U72" i="99"/>
  <c r="T72" i="99"/>
  <c r="S72" i="99"/>
  <c r="S70" i="99" s="1"/>
  <c r="R72" i="99"/>
  <c r="Q72" i="99"/>
  <c r="P72" i="99"/>
  <c r="O72" i="99"/>
  <c r="N72" i="99"/>
  <c r="M72" i="99"/>
  <c r="I72" i="99"/>
  <c r="H72" i="99"/>
  <c r="G72" i="99"/>
  <c r="F72" i="99"/>
  <c r="E72" i="99"/>
  <c r="D72" i="99"/>
  <c r="C72" i="99"/>
  <c r="B72" i="99"/>
  <c r="A72" i="99"/>
  <c r="AQ71" i="99"/>
  <c r="AP71" i="99"/>
  <c r="AO71" i="99"/>
  <c r="AN71" i="99"/>
  <c r="AM71" i="99"/>
  <c r="AL71" i="99"/>
  <c r="AK71" i="99"/>
  <c r="AJ71" i="99"/>
  <c r="AI71" i="99"/>
  <c r="AH71" i="99"/>
  <c r="AG71" i="99"/>
  <c r="AF71" i="99"/>
  <c r="AE71" i="99"/>
  <c r="AD71" i="99"/>
  <c r="AC71" i="99"/>
  <c r="AB71" i="99"/>
  <c r="AA71" i="99"/>
  <c r="Z71" i="99"/>
  <c r="Y71" i="99"/>
  <c r="Y70" i="99" s="1"/>
  <c r="X71" i="99"/>
  <c r="W71" i="99"/>
  <c r="U71" i="99"/>
  <c r="T71" i="99"/>
  <c r="T70" i="99" s="1"/>
  <c r="S71" i="99"/>
  <c r="R71" i="99"/>
  <c r="R70" i="99" s="1"/>
  <c r="Q71" i="99"/>
  <c r="P71" i="99"/>
  <c r="O71" i="99"/>
  <c r="N71" i="99"/>
  <c r="M71" i="99"/>
  <c r="I71" i="99"/>
  <c r="H71" i="99"/>
  <c r="G71" i="99"/>
  <c r="F71" i="99"/>
  <c r="E71" i="99"/>
  <c r="D71" i="99"/>
  <c r="C71" i="99"/>
  <c r="B71" i="99"/>
  <c r="A71" i="99"/>
  <c r="U70" i="99"/>
  <c r="M70" i="99"/>
  <c r="L70" i="99"/>
  <c r="AQ69" i="99"/>
  <c r="AP69" i="99"/>
  <c r="AO69" i="99"/>
  <c r="AN69" i="99"/>
  <c r="AM69" i="99"/>
  <c r="AL69" i="99"/>
  <c r="AK69" i="99"/>
  <c r="AJ69" i="99"/>
  <c r="AI69" i="99"/>
  <c r="AH69" i="99"/>
  <c r="AG69" i="99"/>
  <c r="AF69" i="99"/>
  <c r="AE69" i="99"/>
  <c r="AD69" i="99"/>
  <c r="AC69" i="99"/>
  <c r="AB69" i="99"/>
  <c r="AA69" i="99"/>
  <c r="Z69" i="99"/>
  <c r="Y69" i="99"/>
  <c r="Y67" i="99" s="1"/>
  <c r="X69" i="99"/>
  <c r="W69" i="99"/>
  <c r="U69" i="99"/>
  <c r="T69" i="99"/>
  <c r="S69" i="99"/>
  <c r="R69" i="99"/>
  <c r="Q69" i="99"/>
  <c r="P69" i="99"/>
  <c r="O69" i="99"/>
  <c r="N69" i="99"/>
  <c r="M69" i="99"/>
  <c r="I69" i="99"/>
  <c r="H69" i="99"/>
  <c r="G69" i="99"/>
  <c r="F69" i="99"/>
  <c r="E69" i="99"/>
  <c r="D69" i="99"/>
  <c r="C69" i="99"/>
  <c r="B69" i="99"/>
  <c r="A69" i="99"/>
  <c r="AQ68" i="99"/>
  <c r="AP68" i="99"/>
  <c r="AO68" i="99"/>
  <c r="AN68" i="99"/>
  <c r="AM68" i="99"/>
  <c r="AL68" i="99"/>
  <c r="AK68" i="99"/>
  <c r="AJ68" i="99"/>
  <c r="AI68" i="99"/>
  <c r="AH68" i="99"/>
  <c r="AG68" i="99"/>
  <c r="AF68" i="99"/>
  <c r="AE68" i="99"/>
  <c r="AD68" i="99"/>
  <c r="AC68" i="99"/>
  <c r="AB68" i="99"/>
  <c r="AA68" i="99"/>
  <c r="Z68" i="99"/>
  <c r="Z67" i="99" s="1"/>
  <c r="Y68" i="99"/>
  <c r="X68" i="99"/>
  <c r="X67" i="99" s="1"/>
  <c r="W68" i="99"/>
  <c r="U68" i="99"/>
  <c r="T68" i="99"/>
  <c r="T67" i="99" s="1"/>
  <c r="S68" i="99"/>
  <c r="R68" i="99"/>
  <c r="R67" i="99" s="1"/>
  <c r="Q68" i="99"/>
  <c r="P68" i="99"/>
  <c r="O68" i="99"/>
  <c r="N68" i="99"/>
  <c r="M68" i="99"/>
  <c r="I68" i="99"/>
  <c r="H68" i="99"/>
  <c r="G68" i="99"/>
  <c r="F68" i="99"/>
  <c r="E68" i="99"/>
  <c r="D68" i="99"/>
  <c r="C68" i="99"/>
  <c r="B68" i="99"/>
  <c r="A68" i="99"/>
  <c r="U67" i="99"/>
  <c r="S67" i="99"/>
  <c r="M67" i="99"/>
  <c r="L67" i="99"/>
  <c r="AP66" i="99"/>
  <c r="AH66" i="99"/>
  <c r="AG66" i="99"/>
  <c r="AF66" i="99"/>
  <c r="AE66" i="99"/>
  <c r="AD66" i="99"/>
  <c r="AC66" i="99"/>
  <c r="AB66" i="99"/>
  <c r="AA66" i="99"/>
  <c r="Z66" i="99"/>
  <c r="Y66" i="99"/>
  <c r="X66" i="99"/>
  <c r="W66" i="99"/>
  <c r="V66" i="99"/>
  <c r="U66" i="99"/>
  <c r="T66" i="99"/>
  <c r="S66" i="99"/>
  <c r="R66" i="99"/>
  <c r="Q66" i="99"/>
  <c r="P66" i="99"/>
  <c r="O66" i="99"/>
  <c r="N66" i="99"/>
  <c r="M66" i="99"/>
  <c r="AQ65" i="99"/>
  <c r="AP65" i="99"/>
  <c r="AO65" i="99"/>
  <c r="AN65" i="99"/>
  <c r="AM65" i="99"/>
  <c r="AL65" i="99"/>
  <c r="AK65" i="99"/>
  <c r="AJ65" i="99"/>
  <c r="AI65" i="99"/>
  <c r="AH65" i="99"/>
  <c r="AG65" i="99"/>
  <c r="AF65" i="99"/>
  <c r="AE65" i="99"/>
  <c r="AD65" i="99"/>
  <c r="AC65" i="99"/>
  <c r="AB65" i="99"/>
  <c r="AA65" i="99"/>
  <c r="Y65" i="99"/>
  <c r="X65" i="99"/>
  <c r="W65" i="99"/>
  <c r="U65" i="99"/>
  <c r="T65" i="99"/>
  <c r="S65" i="99"/>
  <c r="R65" i="99"/>
  <c r="Q65" i="99"/>
  <c r="P65" i="99"/>
  <c r="O65" i="99"/>
  <c r="N65" i="99"/>
  <c r="M65" i="99"/>
  <c r="I65" i="99"/>
  <c r="H65" i="99"/>
  <c r="G65" i="99"/>
  <c r="F65" i="99"/>
  <c r="E65" i="99"/>
  <c r="D65" i="99"/>
  <c r="C65" i="99"/>
  <c r="B65" i="99"/>
  <c r="A65" i="99"/>
  <c r="AQ64" i="99"/>
  <c r="AP64" i="99"/>
  <c r="AO64" i="99"/>
  <c r="AN64" i="99"/>
  <c r="AM64" i="99"/>
  <c r="AL64" i="99"/>
  <c r="AK64" i="99"/>
  <c r="AJ64" i="99"/>
  <c r="AI64" i="99"/>
  <c r="AH64" i="99"/>
  <c r="AG64" i="99"/>
  <c r="AF64" i="99"/>
  <c r="AE64" i="99"/>
  <c r="AD64" i="99"/>
  <c r="AC64" i="99"/>
  <c r="AB64" i="99"/>
  <c r="AA64" i="99"/>
  <c r="Y64" i="99"/>
  <c r="X64" i="99"/>
  <c r="W64" i="99"/>
  <c r="V64" i="99"/>
  <c r="U64" i="99"/>
  <c r="T64" i="99"/>
  <c r="S64" i="99"/>
  <c r="R64" i="99"/>
  <c r="Q64" i="99"/>
  <c r="P64" i="99"/>
  <c r="O64" i="99"/>
  <c r="N64" i="99"/>
  <c r="M64" i="99"/>
  <c r="I64" i="99"/>
  <c r="H64" i="99"/>
  <c r="G64" i="99"/>
  <c r="F64" i="99"/>
  <c r="E64" i="99"/>
  <c r="D64" i="99"/>
  <c r="C64" i="99"/>
  <c r="B64" i="99"/>
  <c r="A64" i="99"/>
  <c r="AQ63" i="99"/>
  <c r="AP63" i="99"/>
  <c r="AO63" i="99"/>
  <c r="AN63" i="99"/>
  <c r="AM63" i="99"/>
  <c r="AL63" i="99"/>
  <c r="AK63" i="99"/>
  <c r="AJ63" i="99"/>
  <c r="AI63" i="99"/>
  <c r="AH63" i="99"/>
  <c r="AG63" i="99"/>
  <c r="AF63" i="99"/>
  <c r="AE63" i="99"/>
  <c r="AD63" i="99"/>
  <c r="AC63" i="99"/>
  <c r="AB63" i="99"/>
  <c r="AA63" i="99"/>
  <c r="Z63" i="99"/>
  <c r="Y63" i="99"/>
  <c r="X63" i="99"/>
  <c r="W63" i="99"/>
  <c r="V63" i="99"/>
  <c r="U63" i="99"/>
  <c r="T63" i="99"/>
  <c r="S63" i="99"/>
  <c r="R63" i="99"/>
  <c r="Q63" i="99"/>
  <c r="P63" i="99"/>
  <c r="O63" i="99"/>
  <c r="N63" i="99"/>
  <c r="I63" i="99"/>
  <c r="H63" i="99"/>
  <c r="G63" i="99"/>
  <c r="F63" i="99"/>
  <c r="E63" i="99"/>
  <c r="D63" i="99"/>
  <c r="C63" i="99"/>
  <c r="B63" i="99"/>
  <c r="A63" i="99"/>
  <c r="AQ62" i="99"/>
  <c r="AP62" i="99"/>
  <c r="AO62" i="99"/>
  <c r="AN62" i="99"/>
  <c r="AM62" i="99"/>
  <c r="AL62" i="99"/>
  <c r="AK62" i="99"/>
  <c r="AJ62" i="99"/>
  <c r="AI62" i="99"/>
  <c r="AH62" i="99"/>
  <c r="AG62" i="99"/>
  <c r="AF62" i="99"/>
  <c r="AE62" i="99"/>
  <c r="AD62" i="99"/>
  <c r="AC62" i="99"/>
  <c r="AB62" i="99"/>
  <c r="AA62" i="99"/>
  <c r="Z62" i="99"/>
  <c r="Y62" i="99"/>
  <c r="X62" i="99"/>
  <c r="W62" i="99"/>
  <c r="V62" i="99"/>
  <c r="U62" i="99"/>
  <c r="T62" i="99"/>
  <c r="S62" i="99"/>
  <c r="R62" i="99"/>
  <c r="Q62" i="99"/>
  <c r="P62" i="99"/>
  <c r="O62" i="99"/>
  <c r="N62" i="99"/>
  <c r="I62" i="99"/>
  <c r="H62" i="99"/>
  <c r="G62" i="99"/>
  <c r="F62" i="99"/>
  <c r="E62" i="99"/>
  <c r="D62" i="99"/>
  <c r="C62" i="99"/>
  <c r="B62" i="99"/>
  <c r="A62" i="99"/>
  <c r="AQ61" i="99"/>
  <c r="AP61" i="99"/>
  <c r="AO61" i="99"/>
  <c r="AN61" i="99"/>
  <c r="AM61" i="99"/>
  <c r="AL61" i="99"/>
  <c r="AK61" i="99"/>
  <c r="AJ61" i="99"/>
  <c r="AI61" i="99"/>
  <c r="AH61" i="99"/>
  <c r="AG61" i="99"/>
  <c r="AF61" i="99"/>
  <c r="AE61" i="99"/>
  <c r="AD61" i="99"/>
  <c r="AC61" i="99"/>
  <c r="AB61" i="99"/>
  <c r="AA61" i="99"/>
  <c r="Z61" i="99"/>
  <c r="Y61" i="99"/>
  <c r="X61" i="99"/>
  <c r="W61" i="99"/>
  <c r="U61" i="99"/>
  <c r="T61" i="99"/>
  <c r="S61" i="99"/>
  <c r="R61" i="99"/>
  <c r="Q61" i="99"/>
  <c r="P61" i="99"/>
  <c r="O61" i="99"/>
  <c r="N61" i="99"/>
  <c r="I61" i="99"/>
  <c r="H61" i="99"/>
  <c r="G61" i="99"/>
  <c r="F61" i="99"/>
  <c r="E61" i="99"/>
  <c r="D61" i="99"/>
  <c r="C61" i="99"/>
  <c r="B61" i="99"/>
  <c r="A61" i="99"/>
  <c r="AQ60" i="99"/>
  <c r="AP60" i="99"/>
  <c r="AO60" i="99"/>
  <c r="AN60" i="99"/>
  <c r="AM60" i="99"/>
  <c r="AL60" i="99"/>
  <c r="AK60" i="99"/>
  <c r="AJ60" i="99"/>
  <c r="AI60" i="99"/>
  <c r="AH60" i="99"/>
  <c r="AG60" i="99"/>
  <c r="AF60" i="99"/>
  <c r="AE60" i="99"/>
  <c r="AD60" i="99"/>
  <c r="AC60" i="99"/>
  <c r="AB60" i="99"/>
  <c r="Z60" i="99"/>
  <c r="Y60" i="99"/>
  <c r="X60" i="99"/>
  <c r="X54" i="99" s="1"/>
  <c r="W60" i="99"/>
  <c r="U60" i="99"/>
  <c r="T60" i="99"/>
  <c r="S60" i="99"/>
  <c r="R60" i="99"/>
  <c r="Q60" i="99"/>
  <c r="P60" i="99"/>
  <c r="O60" i="99"/>
  <c r="N60" i="99"/>
  <c r="M60" i="99"/>
  <c r="I60" i="99"/>
  <c r="H60" i="99"/>
  <c r="G60" i="99"/>
  <c r="F60" i="99"/>
  <c r="E60" i="99"/>
  <c r="D60" i="99"/>
  <c r="C60" i="99"/>
  <c r="B60" i="99"/>
  <c r="A60" i="99"/>
  <c r="AQ59" i="99"/>
  <c r="AP59" i="99"/>
  <c r="AO59" i="99"/>
  <c r="AN59" i="99"/>
  <c r="AM59" i="99"/>
  <c r="AL59" i="99"/>
  <c r="AK59" i="99"/>
  <c r="AJ59" i="99"/>
  <c r="AI59" i="99"/>
  <c r="AH59" i="99"/>
  <c r="AG59" i="99"/>
  <c r="AF59" i="99"/>
  <c r="AE59" i="99"/>
  <c r="AD59" i="99"/>
  <c r="AC59" i="99"/>
  <c r="AB59" i="99"/>
  <c r="AA59" i="99"/>
  <c r="Z59" i="99"/>
  <c r="Y59" i="99"/>
  <c r="X59" i="99"/>
  <c r="W59" i="99"/>
  <c r="U59" i="99"/>
  <c r="T59" i="99"/>
  <c r="S59" i="99"/>
  <c r="R59" i="99"/>
  <c r="Q59" i="99"/>
  <c r="P59" i="99"/>
  <c r="O59" i="99"/>
  <c r="N59" i="99"/>
  <c r="M59" i="99"/>
  <c r="I59" i="99"/>
  <c r="H59" i="99"/>
  <c r="G59" i="99"/>
  <c r="F59" i="99"/>
  <c r="E59" i="99"/>
  <c r="D59" i="99"/>
  <c r="C59" i="99"/>
  <c r="B59" i="99"/>
  <c r="A59" i="99"/>
  <c r="AQ58" i="99"/>
  <c r="AP58" i="99"/>
  <c r="AO58" i="99"/>
  <c r="AN58" i="99"/>
  <c r="AM58" i="99"/>
  <c r="AL58" i="99"/>
  <c r="AK58" i="99"/>
  <c r="AJ58" i="99"/>
  <c r="AI58" i="99"/>
  <c r="AH58" i="99"/>
  <c r="AG58" i="99"/>
  <c r="AF58" i="99"/>
  <c r="AE58" i="99"/>
  <c r="AD58" i="99"/>
  <c r="AC58" i="99"/>
  <c r="AB58" i="99"/>
  <c r="AA58" i="99"/>
  <c r="Z58" i="99"/>
  <c r="Y58" i="99"/>
  <c r="X58" i="99"/>
  <c r="W58" i="99"/>
  <c r="U58" i="99"/>
  <c r="T58" i="99"/>
  <c r="S58" i="99"/>
  <c r="R58" i="99"/>
  <c r="R54" i="99" s="1"/>
  <c r="Q58" i="99"/>
  <c r="P58" i="99"/>
  <c r="O58" i="99"/>
  <c r="N58" i="99"/>
  <c r="M58" i="99"/>
  <c r="I58" i="99"/>
  <c r="H58" i="99"/>
  <c r="G58" i="99"/>
  <c r="F58" i="99"/>
  <c r="E58" i="99"/>
  <c r="D58" i="99"/>
  <c r="C58" i="99"/>
  <c r="B58" i="99"/>
  <c r="A58" i="99"/>
  <c r="AQ57" i="99"/>
  <c r="AP57" i="99"/>
  <c r="AO57" i="99"/>
  <c r="AN57" i="99"/>
  <c r="AM57" i="99"/>
  <c r="AL57" i="99"/>
  <c r="AK57" i="99"/>
  <c r="AJ57" i="99"/>
  <c r="AI57" i="99"/>
  <c r="AH57" i="99"/>
  <c r="AG57" i="99"/>
  <c r="AF57" i="99"/>
  <c r="AE57" i="99"/>
  <c r="AD57" i="99"/>
  <c r="AC57" i="99"/>
  <c r="AB57" i="99"/>
  <c r="AA57" i="99"/>
  <c r="Z57" i="99"/>
  <c r="Y57" i="99"/>
  <c r="X57" i="99"/>
  <c r="W57" i="99"/>
  <c r="U57" i="99"/>
  <c r="T57" i="99"/>
  <c r="S57" i="99"/>
  <c r="R57" i="99"/>
  <c r="Q57" i="99"/>
  <c r="P57" i="99"/>
  <c r="O57" i="99"/>
  <c r="N57" i="99"/>
  <c r="AQ56" i="99"/>
  <c r="AP56" i="99"/>
  <c r="AO56" i="99"/>
  <c r="AN56" i="99"/>
  <c r="AM56" i="99"/>
  <c r="AL56" i="99"/>
  <c r="AK56" i="99"/>
  <c r="AJ56" i="99"/>
  <c r="AI56" i="99"/>
  <c r="AH56" i="99"/>
  <c r="AG56" i="99"/>
  <c r="AF56" i="99"/>
  <c r="AE56" i="99"/>
  <c r="AD56" i="99"/>
  <c r="AC56" i="99"/>
  <c r="AB56" i="99"/>
  <c r="AA56" i="99"/>
  <c r="Z56" i="99"/>
  <c r="Y56" i="99"/>
  <c r="X56" i="99"/>
  <c r="W56" i="99"/>
  <c r="U56" i="99"/>
  <c r="T56" i="99"/>
  <c r="S56" i="99"/>
  <c r="R56" i="99"/>
  <c r="Q56" i="99"/>
  <c r="P56" i="99"/>
  <c r="O56" i="99"/>
  <c r="N56" i="99"/>
  <c r="AQ55" i="99"/>
  <c r="AP55" i="99"/>
  <c r="AO55" i="99"/>
  <c r="AN55" i="99"/>
  <c r="AM55" i="99"/>
  <c r="AL55" i="99"/>
  <c r="AK55" i="99"/>
  <c r="AJ55" i="99"/>
  <c r="AI55" i="99"/>
  <c r="AH55" i="99"/>
  <c r="AG55" i="99"/>
  <c r="AF55" i="99"/>
  <c r="AE55" i="99"/>
  <c r="AD55" i="99"/>
  <c r="AC55" i="99"/>
  <c r="AB55" i="99"/>
  <c r="AA55" i="99"/>
  <c r="Z55" i="99"/>
  <c r="Y55" i="99"/>
  <c r="Y54" i="99" s="1"/>
  <c r="X55" i="99"/>
  <c r="W55" i="99"/>
  <c r="U55" i="99"/>
  <c r="U54" i="99" s="1"/>
  <c r="T55" i="99"/>
  <c r="S55" i="99"/>
  <c r="S54" i="99" s="1"/>
  <c r="R55" i="99"/>
  <c r="Q55" i="99"/>
  <c r="P55" i="99"/>
  <c r="O55" i="99"/>
  <c r="N55" i="99"/>
  <c r="M55" i="99"/>
  <c r="I55" i="99"/>
  <c r="H55" i="99"/>
  <c r="G55" i="99"/>
  <c r="F55" i="99"/>
  <c r="E55" i="99"/>
  <c r="D55" i="99"/>
  <c r="C55" i="99"/>
  <c r="B55" i="99"/>
  <c r="A55" i="99"/>
  <c r="T54" i="99"/>
  <c r="M54" i="99"/>
  <c r="L54" i="99"/>
  <c r="AP53" i="99"/>
  <c r="AH53" i="99"/>
  <c r="AG53" i="99"/>
  <c r="AF53" i="99"/>
  <c r="AE53" i="99"/>
  <c r="AD53" i="99"/>
  <c r="AC53" i="99"/>
  <c r="AB53" i="99"/>
  <c r="AA53" i="99"/>
  <c r="Z53" i="99"/>
  <c r="Y53" i="99"/>
  <c r="X53" i="99"/>
  <c r="W53" i="99"/>
  <c r="V53" i="99"/>
  <c r="U53" i="99"/>
  <c r="T53" i="99"/>
  <c r="S53" i="99"/>
  <c r="R53" i="99"/>
  <c r="Q53" i="99"/>
  <c r="P53" i="99"/>
  <c r="O53" i="99"/>
  <c r="N53" i="99"/>
  <c r="M53" i="99"/>
  <c r="AQ52" i="99"/>
  <c r="AP52" i="99"/>
  <c r="AO52" i="99"/>
  <c r="AN52" i="99"/>
  <c r="AM52" i="99"/>
  <c r="AL52" i="99"/>
  <c r="AK52" i="99"/>
  <c r="AJ52" i="99"/>
  <c r="AI52" i="99"/>
  <c r="AH52" i="99"/>
  <c r="AG52" i="99"/>
  <c r="AF52" i="99"/>
  <c r="AE52" i="99"/>
  <c r="AD52" i="99"/>
  <c r="AC52" i="99"/>
  <c r="AB52" i="99"/>
  <c r="AA52" i="99"/>
  <c r="Z52" i="99"/>
  <c r="Y52" i="99"/>
  <c r="X52" i="99"/>
  <c r="W52" i="99"/>
  <c r="V52" i="99"/>
  <c r="U52" i="99"/>
  <c r="T52" i="99"/>
  <c r="S52" i="99"/>
  <c r="R52" i="99"/>
  <c r="Q52" i="99"/>
  <c r="P52" i="99"/>
  <c r="O52" i="99"/>
  <c r="N52" i="99"/>
  <c r="AQ51" i="99"/>
  <c r="AP51" i="99"/>
  <c r="AO51" i="99"/>
  <c r="AN51" i="99"/>
  <c r="AM51" i="99"/>
  <c r="AL51" i="99"/>
  <c r="AK51" i="99"/>
  <c r="AJ51" i="99"/>
  <c r="AI51" i="99"/>
  <c r="AH51" i="99"/>
  <c r="AG51" i="99"/>
  <c r="AF51" i="99"/>
  <c r="AE51" i="99"/>
  <c r="AD51" i="99"/>
  <c r="AC51" i="99"/>
  <c r="AB51" i="99"/>
  <c r="AA51" i="99"/>
  <c r="Z51" i="99"/>
  <c r="Y51" i="99"/>
  <c r="X51" i="99"/>
  <c r="W51" i="99"/>
  <c r="V51" i="99"/>
  <c r="U51" i="99"/>
  <c r="T51" i="99"/>
  <c r="S51" i="99"/>
  <c r="R51" i="99"/>
  <c r="Q51" i="99"/>
  <c r="P51" i="99"/>
  <c r="O51" i="99"/>
  <c r="N51" i="99"/>
  <c r="I51" i="99"/>
  <c r="H51" i="99"/>
  <c r="G51" i="99"/>
  <c r="F51" i="99"/>
  <c r="E51" i="99"/>
  <c r="D51" i="99"/>
  <c r="C51" i="99"/>
  <c r="B51" i="99"/>
  <c r="A51" i="99"/>
  <c r="AQ50" i="99"/>
  <c r="AP50" i="99"/>
  <c r="AO50" i="99"/>
  <c r="AN50" i="99"/>
  <c r="AM50" i="99"/>
  <c r="AL50" i="99"/>
  <c r="AK50" i="99"/>
  <c r="AJ50" i="99"/>
  <c r="AI50" i="99"/>
  <c r="AH50" i="99"/>
  <c r="AG50" i="99"/>
  <c r="AF50" i="99"/>
  <c r="AE50" i="99"/>
  <c r="AD50" i="99"/>
  <c r="AC50" i="99"/>
  <c r="AB50" i="99"/>
  <c r="AA50" i="99"/>
  <c r="Y50" i="99"/>
  <c r="X50" i="99"/>
  <c r="W50" i="99"/>
  <c r="V50" i="99"/>
  <c r="U50" i="99"/>
  <c r="T50" i="99"/>
  <c r="S50" i="99"/>
  <c r="R50" i="99"/>
  <c r="Q50" i="99"/>
  <c r="P50" i="99"/>
  <c r="O50" i="99"/>
  <c r="N50" i="99"/>
  <c r="AQ49" i="99"/>
  <c r="AP49" i="99"/>
  <c r="AO49" i="99"/>
  <c r="AN49" i="99"/>
  <c r="AM49" i="99"/>
  <c r="AL49" i="99"/>
  <c r="AK49" i="99"/>
  <c r="AJ49" i="99"/>
  <c r="AI49" i="99"/>
  <c r="AH49" i="99"/>
  <c r="AG49" i="99"/>
  <c r="AF49" i="99"/>
  <c r="AE49" i="99"/>
  <c r="AD49" i="99"/>
  <c r="AC49" i="99"/>
  <c r="AB49" i="99"/>
  <c r="AA49" i="99"/>
  <c r="Z49" i="99"/>
  <c r="Y49" i="99"/>
  <c r="X49" i="99"/>
  <c r="W49" i="99"/>
  <c r="V49" i="99"/>
  <c r="U49" i="99"/>
  <c r="T49" i="99"/>
  <c r="S49" i="99"/>
  <c r="R49" i="99"/>
  <c r="Q49" i="99"/>
  <c r="P49" i="99"/>
  <c r="O49" i="99"/>
  <c r="N49" i="99"/>
  <c r="I49" i="99"/>
  <c r="H49" i="99"/>
  <c r="G49" i="99"/>
  <c r="F49" i="99"/>
  <c r="E49" i="99"/>
  <c r="D49" i="99"/>
  <c r="C49" i="99"/>
  <c r="B49" i="99"/>
  <c r="A49" i="99"/>
  <c r="AQ48" i="99"/>
  <c r="AP48" i="99"/>
  <c r="AO48" i="99"/>
  <c r="AN48" i="99"/>
  <c r="AM48" i="99"/>
  <c r="AL48" i="99"/>
  <c r="AK48" i="99"/>
  <c r="AJ48" i="99"/>
  <c r="AI48" i="99"/>
  <c r="AH48" i="99"/>
  <c r="AG48" i="99"/>
  <c r="AF48" i="99"/>
  <c r="AE48" i="99"/>
  <c r="AD48" i="99"/>
  <c r="AC48" i="99"/>
  <c r="AB48" i="99"/>
  <c r="AA48" i="99"/>
  <c r="X48" i="99"/>
  <c r="W48" i="99"/>
  <c r="U48" i="99"/>
  <c r="T48" i="99"/>
  <c r="S48" i="99"/>
  <c r="S36" i="99" s="1"/>
  <c r="R48" i="99"/>
  <c r="Q48" i="99"/>
  <c r="P48" i="99"/>
  <c r="O48" i="99"/>
  <c r="N48" i="99"/>
  <c r="M48" i="99"/>
  <c r="I48" i="99"/>
  <c r="H48" i="99"/>
  <c r="G48" i="99"/>
  <c r="F48" i="99"/>
  <c r="E48" i="99"/>
  <c r="D48" i="99"/>
  <c r="C48" i="99"/>
  <c r="B48" i="99"/>
  <c r="A48" i="99"/>
  <c r="AQ47" i="99"/>
  <c r="AP47" i="99"/>
  <c r="AO47" i="99"/>
  <c r="AN47" i="99"/>
  <c r="AM47" i="99"/>
  <c r="AL47" i="99"/>
  <c r="AK47" i="99"/>
  <c r="AJ47" i="99"/>
  <c r="AI47" i="99"/>
  <c r="AH47" i="99"/>
  <c r="AG47" i="99"/>
  <c r="AF47" i="99"/>
  <c r="AE47" i="99"/>
  <c r="AD47" i="99"/>
  <c r="AC47" i="99"/>
  <c r="AB47" i="99"/>
  <c r="AA47" i="99"/>
  <c r="Z47" i="99"/>
  <c r="Y47" i="99"/>
  <c r="X47" i="99"/>
  <c r="W47" i="99"/>
  <c r="V47" i="99"/>
  <c r="U47" i="99"/>
  <c r="T47" i="99"/>
  <c r="S47" i="99"/>
  <c r="R47" i="99"/>
  <c r="Q47" i="99"/>
  <c r="P47" i="99"/>
  <c r="O47" i="99"/>
  <c r="N47" i="99"/>
  <c r="I47" i="99"/>
  <c r="H47" i="99"/>
  <c r="G47" i="99"/>
  <c r="F47" i="99"/>
  <c r="E47" i="99"/>
  <c r="D47" i="99"/>
  <c r="C47" i="99"/>
  <c r="B47" i="99"/>
  <c r="A47" i="99"/>
  <c r="AQ46" i="99"/>
  <c r="AP46" i="99"/>
  <c r="AO46" i="99"/>
  <c r="AN46" i="99"/>
  <c r="AM46" i="99"/>
  <c r="AL46" i="99"/>
  <c r="AK46" i="99"/>
  <c r="AJ46" i="99"/>
  <c r="AI46" i="99"/>
  <c r="AH46" i="99"/>
  <c r="AG46" i="99"/>
  <c r="AF46" i="99"/>
  <c r="AE46" i="99"/>
  <c r="AD46" i="99"/>
  <c r="AC46" i="99"/>
  <c r="AB46" i="99"/>
  <c r="AA46" i="99"/>
  <c r="Z46" i="99"/>
  <c r="Y46" i="99"/>
  <c r="X46" i="99"/>
  <c r="W46" i="99"/>
  <c r="V46" i="99"/>
  <c r="U46" i="99"/>
  <c r="T46" i="99"/>
  <c r="S46" i="99"/>
  <c r="R46" i="99"/>
  <c r="Q46" i="99"/>
  <c r="P46" i="99"/>
  <c r="O46" i="99"/>
  <c r="N46" i="99"/>
  <c r="I46" i="99"/>
  <c r="H46" i="99"/>
  <c r="G46" i="99"/>
  <c r="F46" i="99"/>
  <c r="E46" i="99"/>
  <c r="D46" i="99"/>
  <c r="C46" i="99"/>
  <c r="B46" i="99"/>
  <c r="A46" i="99"/>
  <c r="AQ45" i="99"/>
  <c r="AP45" i="99"/>
  <c r="AO45" i="99"/>
  <c r="AN45" i="99"/>
  <c r="AM45" i="99"/>
  <c r="AL45" i="99"/>
  <c r="AK45" i="99"/>
  <c r="AJ45" i="99"/>
  <c r="AI45" i="99"/>
  <c r="AH45" i="99"/>
  <c r="AG45" i="99"/>
  <c r="AF45" i="99"/>
  <c r="AE45" i="99"/>
  <c r="AD45" i="99"/>
  <c r="AC45" i="99"/>
  <c r="AB45" i="99"/>
  <c r="AA45" i="99"/>
  <c r="Z45" i="99"/>
  <c r="Y45" i="99"/>
  <c r="X45" i="99"/>
  <c r="W45" i="99"/>
  <c r="V45" i="99"/>
  <c r="U45" i="99"/>
  <c r="T45" i="99"/>
  <c r="S45" i="99"/>
  <c r="R45" i="99"/>
  <c r="Q45" i="99"/>
  <c r="P45" i="99"/>
  <c r="O45" i="99"/>
  <c r="N45" i="99"/>
  <c r="I45" i="99"/>
  <c r="H45" i="99"/>
  <c r="G45" i="99"/>
  <c r="F45" i="99"/>
  <c r="E45" i="99"/>
  <c r="D45" i="99"/>
  <c r="C45" i="99"/>
  <c r="B45" i="99"/>
  <c r="A45" i="99"/>
  <c r="AQ44" i="99"/>
  <c r="AP44" i="99"/>
  <c r="AO44" i="99"/>
  <c r="AN44" i="99"/>
  <c r="AM44" i="99"/>
  <c r="AL44" i="99"/>
  <c r="AK44" i="99"/>
  <c r="AJ44" i="99"/>
  <c r="AI44" i="99"/>
  <c r="AH44" i="99"/>
  <c r="AG44" i="99"/>
  <c r="AF44" i="99"/>
  <c r="AE44" i="99"/>
  <c r="AD44" i="99"/>
  <c r="AC44" i="99"/>
  <c r="AB44" i="99"/>
  <c r="AA44" i="99"/>
  <c r="Y44" i="99"/>
  <c r="X44" i="99"/>
  <c r="W44" i="99"/>
  <c r="V44" i="99"/>
  <c r="U44" i="99"/>
  <c r="T44" i="99"/>
  <c r="S44" i="99"/>
  <c r="R44" i="99"/>
  <c r="Q44" i="99"/>
  <c r="P44" i="99"/>
  <c r="O44" i="99"/>
  <c r="N44" i="99"/>
  <c r="I44" i="99"/>
  <c r="H44" i="99"/>
  <c r="G44" i="99"/>
  <c r="F44" i="99"/>
  <c r="E44" i="99"/>
  <c r="D44" i="99"/>
  <c r="C44" i="99"/>
  <c r="B44" i="99"/>
  <c r="A44" i="99"/>
  <c r="AQ43" i="99"/>
  <c r="AP43" i="99"/>
  <c r="AO43" i="99"/>
  <c r="AN43" i="99"/>
  <c r="AM43" i="99"/>
  <c r="AL43" i="99"/>
  <c r="AK43" i="99"/>
  <c r="AJ43" i="99"/>
  <c r="AI43" i="99"/>
  <c r="AH43" i="99"/>
  <c r="AG43" i="99"/>
  <c r="AF43" i="99"/>
  <c r="AE43" i="99"/>
  <c r="AD43" i="99"/>
  <c r="AC43" i="99"/>
  <c r="AB43" i="99"/>
  <c r="AA43" i="99"/>
  <c r="Z43" i="99"/>
  <c r="Y43" i="99"/>
  <c r="X43" i="99"/>
  <c r="W43" i="99"/>
  <c r="V43" i="99"/>
  <c r="U43" i="99"/>
  <c r="T43" i="99"/>
  <c r="S43" i="99"/>
  <c r="R43" i="99"/>
  <c r="Q43" i="99"/>
  <c r="P43" i="99"/>
  <c r="O43" i="99"/>
  <c r="N43" i="99"/>
  <c r="I43" i="99"/>
  <c r="H43" i="99"/>
  <c r="G43" i="99"/>
  <c r="F43" i="99"/>
  <c r="E43" i="99"/>
  <c r="D43" i="99"/>
  <c r="C43" i="99"/>
  <c r="B43" i="99"/>
  <c r="A43" i="99"/>
  <c r="AQ42" i="99"/>
  <c r="AP42" i="99"/>
  <c r="AO42" i="99"/>
  <c r="AN42" i="99"/>
  <c r="AM42" i="99"/>
  <c r="AL42" i="99"/>
  <c r="AK42" i="99"/>
  <c r="AJ42" i="99"/>
  <c r="AI42" i="99"/>
  <c r="AH42" i="99"/>
  <c r="AG42" i="99"/>
  <c r="AF42" i="99"/>
  <c r="AE42" i="99"/>
  <c r="AD42" i="99"/>
  <c r="AC42" i="99"/>
  <c r="AB42" i="99"/>
  <c r="AA42" i="99"/>
  <c r="Z42" i="99"/>
  <c r="Y42" i="99"/>
  <c r="X42" i="99"/>
  <c r="W42" i="99"/>
  <c r="V42" i="99"/>
  <c r="U42" i="99"/>
  <c r="T42" i="99"/>
  <c r="S42" i="99"/>
  <c r="R42" i="99"/>
  <c r="Q42" i="99"/>
  <c r="P42" i="99"/>
  <c r="O42" i="99"/>
  <c r="N42" i="99"/>
  <c r="I42" i="99"/>
  <c r="H42" i="99"/>
  <c r="G42" i="99"/>
  <c r="F42" i="99"/>
  <c r="E42" i="99"/>
  <c r="D42" i="99"/>
  <c r="C42" i="99"/>
  <c r="B42" i="99"/>
  <c r="A42" i="99"/>
  <c r="AQ41" i="99"/>
  <c r="AP41" i="99"/>
  <c r="AO41" i="99"/>
  <c r="AN41" i="99"/>
  <c r="AM41" i="99"/>
  <c r="AL41" i="99"/>
  <c r="AK41" i="99"/>
  <c r="AJ41" i="99"/>
  <c r="AI41" i="99"/>
  <c r="AH41" i="99"/>
  <c r="AG41" i="99"/>
  <c r="AF41" i="99"/>
  <c r="AE41" i="99"/>
  <c r="AD41" i="99"/>
  <c r="AC41" i="99"/>
  <c r="AB41" i="99"/>
  <c r="AA41" i="99"/>
  <c r="Z41" i="99"/>
  <c r="Y41" i="99"/>
  <c r="X41" i="99"/>
  <c r="W41" i="99"/>
  <c r="V41" i="99"/>
  <c r="U41" i="99"/>
  <c r="T41" i="99"/>
  <c r="S41" i="99"/>
  <c r="R41" i="99"/>
  <c r="Q41" i="99"/>
  <c r="P41" i="99"/>
  <c r="O41" i="99"/>
  <c r="N41" i="99"/>
  <c r="I41" i="99"/>
  <c r="H41" i="99"/>
  <c r="G41" i="99"/>
  <c r="F41" i="99"/>
  <c r="E41" i="99"/>
  <c r="D41" i="99"/>
  <c r="C41" i="99"/>
  <c r="B41" i="99"/>
  <c r="A41" i="99"/>
  <c r="AQ40" i="99"/>
  <c r="AP40" i="99"/>
  <c r="AO40" i="99"/>
  <c r="AN40" i="99"/>
  <c r="AM40" i="99"/>
  <c r="AL40" i="99"/>
  <c r="AK40" i="99"/>
  <c r="AJ40" i="99"/>
  <c r="AI40" i="99"/>
  <c r="AH40" i="99"/>
  <c r="AG40" i="99"/>
  <c r="AF40" i="99"/>
  <c r="AE40" i="99"/>
  <c r="AD40" i="99"/>
  <c r="AC40" i="99"/>
  <c r="AB40" i="99"/>
  <c r="AA40" i="99"/>
  <c r="Z40" i="99"/>
  <c r="Y40" i="99"/>
  <c r="X40" i="99"/>
  <c r="W40" i="99"/>
  <c r="V40" i="99"/>
  <c r="U40" i="99"/>
  <c r="T40" i="99"/>
  <c r="S40" i="99"/>
  <c r="R40" i="99"/>
  <c r="Q40" i="99"/>
  <c r="P40" i="99"/>
  <c r="O40" i="99"/>
  <c r="N40" i="99"/>
  <c r="I40" i="99"/>
  <c r="H40" i="99"/>
  <c r="G40" i="99"/>
  <c r="F40" i="99"/>
  <c r="E40" i="99"/>
  <c r="D40" i="99"/>
  <c r="C40" i="99"/>
  <c r="B40" i="99"/>
  <c r="A40" i="99"/>
  <c r="AQ39" i="99"/>
  <c r="AP39" i="99"/>
  <c r="AO39" i="99"/>
  <c r="AN39" i="99"/>
  <c r="AM39" i="99"/>
  <c r="AL39" i="99"/>
  <c r="AK39" i="99"/>
  <c r="AJ39" i="99"/>
  <c r="AI39" i="99"/>
  <c r="AH39" i="99"/>
  <c r="AG39" i="99"/>
  <c r="AF39" i="99"/>
  <c r="AE39" i="99"/>
  <c r="AD39" i="99"/>
  <c r="AC39" i="99"/>
  <c r="AB39" i="99"/>
  <c r="AA39" i="99"/>
  <c r="X39" i="99"/>
  <c r="W39" i="99"/>
  <c r="U39" i="99"/>
  <c r="T39" i="99"/>
  <c r="S39" i="99"/>
  <c r="R39" i="99"/>
  <c r="Q39" i="99"/>
  <c r="P39" i="99"/>
  <c r="O39" i="99"/>
  <c r="N39" i="99"/>
  <c r="M39" i="99"/>
  <c r="I39" i="99"/>
  <c r="H39" i="99"/>
  <c r="G39" i="99"/>
  <c r="F39" i="99"/>
  <c r="E39" i="99"/>
  <c r="D39" i="99"/>
  <c r="C39" i="99"/>
  <c r="B39" i="99"/>
  <c r="A39" i="99"/>
  <c r="AQ38" i="99"/>
  <c r="AP38" i="99"/>
  <c r="AO38" i="99"/>
  <c r="AN38" i="99"/>
  <c r="AM38" i="99"/>
  <c r="AL38" i="99"/>
  <c r="AK38" i="99"/>
  <c r="AJ38" i="99"/>
  <c r="AI38" i="99"/>
  <c r="AH38" i="99"/>
  <c r="AG38" i="99"/>
  <c r="AF38" i="99"/>
  <c r="AE38" i="99"/>
  <c r="AD38" i="99"/>
  <c r="AC38" i="99"/>
  <c r="AB38" i="99"/>
  <c r="AA38" i="99"/>
  <c r="Z38" i="99"/>
  <c r="Y38" i="99"/>
  <c r="X38" i="99"/>
  <c r="W38" i="99"/>
  <c r="V38" i="99"/>
  <c r="U38" i="99"/>
  <c r="T38" i="99"/>
  <c r="S38" i="99"/>
  <c r="R38" i="99"/>
  <c r="Q38" i="99"/>
  <c r="P38" i="99"/>
  <c r="O38" i="99"/>
  <c r="N38" i="99"/>
  <c r="M38" i="99"/>
  <c r="I38" i="99"/>
  <c r="H38" i="99"/>
  <c r="G38" i="99"/>
  <c r="F38" i="99"/>
  <c r="E38" i="99"/>
  <c r="D38" i="99"/>
  <c r="C38" i="99"/>
  <c r="B38" i="99"/>
  <c r="A38" i="99"/>
  <c r="AQ37" i="99"/>
  <c r="AP37" i="99"/>
  <c r="AO37" i="99"/>
  <c r="AN37" i="99"/>
  <c r="AM37" i="99"/>
  <c r="AL37" i="99"/>
  <c r="AK37" i="99"/>
  <c r="AJ37" i="99"/>
  <c r="AI37" i="99"/>
  <c r="AH37" i="99"/>
  <c r="AG37" i="99"/>
  <c r="AF37" i="99"/>
  <c r="AE37" i="99"/>
  <c r="AD37" i="99"/>
  <c r="AC37" i="99"/>
  <c r="AB37" i="99"/>
  <c r="AA37" i="99"/>
  <c r="Z37" i="99"/>
  <c r="Y37" i="99"/>
  <c r="X37" i="99"/>
  <c r="X36" i="99" s="1"/>
  <c r="W37" i="99"/>
  <c r="V37" i="99"/>
  <c r="U37" i="99"/>
  <c r="U36" i="99" s="1"/>
  <c r="T37" i="99"/>
  <c r="T36" i="99" s="1"/>
  <c r="S37" i="99"/>
  <c r="R37" i="99"/>
  <c r="Q37" i="99"/>
  <c r="P37" i="99"/>
  <c r="O37" i="99"/>
  <c r="N37" i="99"/>
  <c r="M37" i="99"/>
  <c r="I37" i="99"/>
  <c r="H37" i="99"/>
  <c r="G37" i="99"/>
  <c r="F37" i="99"/>
  <c r="E37" i="99"/>
  <c r="D37" i="99"/>
  <c r="C37" i="99"/>
  <c r="B37" i="99"/>
  <c r="A37" i="99"/>
  <c r="R36" i="99"/>
  <c r="M36" i="99"/>
  <c r="L36" i="99"/>
  <c r="AP35" i="99"/>
  <c r="AH35" i="99"/>
  <c r="AG35" i="99"/>
  <c r="AF35" i="99"/>
  <c r="AE35" i="99"/>
  <c r="AD35" i="99"/>
  <c r="AC35" i="99"/>
  <c r="AB35" i="99"/>
  <c r="AA35" i="99"/>
  <c r="Z35" i="99"/>
  <c r="Y35" i="99"/>
  <c r="X35" i="99"/>
  <c r="W35" i="99"/>
  <c r="V35" i="99"/>
  <c r="U35" i="99"/>
  <c r="T35" i="99"/>
  <c r="S35" i="99"/>
  <c r="R35" i="99"/>
  <c r="Q35" i="99"/>
  <c r="P35" i="99"/>
  <c r="O35" i="99"/>
  <c r="N35" i="99"/>
  <c r="M35" i="99"/>
  <c r="AQ34" i="99"/>
  <c r="AP34" i="99"/>
  <c r="AO34" i="99"/>
  <c r="AN34" i="99"/>
  <c r="AM34" i="99"/>
  <c r="AL34" i="99"/>
  <c r="AK34" i="99"/>
  <c r="AJ34" i="99"/>
  <c r="AI34" i="99"/>
  <c r="AH34" i="99"/>
  <c r="AG34" i="99"/>
  <c r="AF34" i="99"/>
  <c r="AE34" i="99"/>
  <c r="AD34" i="99"/>
  <c r="AC34" i="99"/>
  <c r="AB34" i="99"/>
  <c r="AA34" i="99"/>
  <c r="Y34" i="99"/>
  <c r="X34" i="99"/>
  <c r="W34" i="99"/>
  <c r="V34" i="99"/>
  <c r="U34" i="99"/>
  <c r="T34" i="99"/>
  <c r="S34" i="99"/>
  <c r="R34" i="99"/>
  <c r="Q34" i="99"/>
  <c r="P34" i="99"/>
  <c r="O34" i="99"/>
  <c r="N34" i="99"/>
  <c r="M34" i="99"/>
  <c r="I34" i="99"/>
  <c r="H34" i="99"/>
  <c r="G34" i="99"/>
  <c r="F34" i="99"/>
  <c r="E34" i="99"/>
  <c r="D34" i="99"/>
  <c r="C34" i="99"/>
  <c r="B34" i="99"/>
  <c r="A34" i="99"/>
  <c r="AQ33" i="99"/>
  <c r="AP33" i="99"/>
  <c r="AO33" i="99"/>
  <c r="AN33" i="99"/>
  <c r="AM33" i="99"/>
  <c r="AL33" i="99"/>
  <c r="AK33" i="99"/>
  <c r="AJ33" i="99"/>
  <c r="AI33" i="99"/>
  <c r="AH33" i="99"/>
  <c r="AG33" i="99"/>
  <c r="AF33" i="99"/>
  <c r="AE33" i="99"/>
  <c r="AD33" i="99"/>
  <c r="AC33" i="99"/>
  <c r="AB33" i="99"/>
  <c r="AA33" i="99"/>
  <c r="Z33" i="99"/>
  <c r="Y33" i="99"/>
  <c r="X33" i="99"/>
  <c r="W33" i="99"/>
  <c r="V33" i="99"/>
  <c r="U33" i="99"/>
  <c r="T33" i="99"/>
  <c r="S33" i="99"/>
  <c r="R33" i="99"/>
  <c r="Q33" i="99"/>
  <c r="P33" i="99"/>
  <c r="O33" i="99"/>
  <c r="N33" i="99"/>
  <c r="M33" i="99"/>
  <c r="I33" i="99"/>
  <c r="H33" i="99"/>
  <c r="G33" i="99"/>
  <c r="F33" i="99"/>
  <c r="E33" i="99"/>
  <c r="D33" i="99"/>
  <c r="C33" i="99"/>
  <c r="B33" i="99"/>
  <c r="A33" i="99"/>
  <c r="AQ32" i="99"/>
  <c r="AP32" i="99"/>
  <c r="AO32" i="99"/>
  <c r="AN32" i="99"/>
  <c r="AM32" i="99"/>
  <c r="AL32" i="99"/>
  <c r="AK32" i="99"/>
  <c r="AJ32" i="99"/>
  <c r="AI32" i="99"/>
  <c r="AH32" i="99"/>
  <c r="AG32" i="99"/>
  <c r="AF32" i="99"/>
  <c r="AE32" i="99"/>
  <c r="AD32" i="99"/>
  <c r="AC32" i="99"/>
  <c r="AB32" i="99"/>
  <c r="AA32" i="99"/>
  <c r="Z32" i="99"/>
  <c r="Y32" i="99"/>
  <c r="X32" i="99"/>
  <c r="W32" i="99"/>
  <c r="V32" i="99"/>
  <c r="U32" i="99"/>
  <c r="T32" i="99"/>
  <c r="S32" i="99"/>
  <c r="R32" i="99"/>
  <c r="Q32" i="99"/>
  <c r="P32" i="99"/>
  <c r="O32" i="99"/>
  <c r="N32" i="99"/>
  <c r="M32" i="99"/>
  <c r="I32" i="99"/>
  <c r="H32" i="99"/>
  <c r="G32" i="99"/>
  <c r="F32" i="99"/>
  <c r="E32" i="99"/>
  <c r="D32" i="99"/>
  <c r="C32" i="99"/>
  <c r="B32" i="99"/>
  <c r="A32" i="99"/>
  <c r="AQ31" i="99"/>
  <c r="AP31" i="99"/>
  <c r="AO31" i="99"/>
  <c r="AN31" i="99"/>
  <c r="AM31" i="99"/>
  <c r="AL31" i="99"/>
  <c r="AK31" i="99"/>
  <c r="AJ31" i="99"/>
  <c r="AI31" i="99"/>
  <c r="AH31" i="99"/>
  <c r="AG31" i="99"/>
  <c r="AF31" i="99"/>
  <c r="AE31" i="99"/>
  <c r="AD31" i="99"/>
  <c r="AC31" i="99"/>
  <c r="AB31" i="99"/>
  <c r="AA31" i="99"/>
  <c r="Z31" i="99"/>
  <c r="Y31" i="99"/>
  <c r="X31" i="99"/>
  <c r="W31" i="99"/>
  <c r="V31" i="99"/>
  <c r="U31" i="99"/>
  <c r="T31" i="99"/>
  <c r="S31" i="99"/>
  <c r="R31" i="99"/>
  <c r="Q31" i="99"/>
  <c r="P31" i="99"/>
  <c r="O31" i="99"/>
  <c r="N31" i="99"/>
  <c r="M31" i="99"/>
  <c r="I31" i="99"/>
  <c r="H31" i="99"/>
  <c r="G31" i="99"/>
  <c r="F31" i="99"/>
  <c r="E31" i="99"/>
  <c r="D31" i="99"/>
  <c r="C31" i="99"/>
  <c r="B31" i="99"/>
  <c r="A31" i="99"/>
  <c r="AQ30" i="99"/>
  <c r="AP30" i="99"/>
  <c r="AO30" i="99"/>
  <c r="AN30" i="99"/>
  <c r="AM30" i="99"/>
  <c r="AL30" i="99"/>
  <c r="AK30" i="99"/>
  <c r="AJ30" i="99"/>
  <c r="AI30" i="99"/>
  <c r="AH30" i="99"/>
  <c r="AG30" i="99"/>
  <c r="AF30" i="99"/>
  <c r="AE30" i="99"/>
  <c r="AD30" i="99"/>
  <c r="AC30" i="99"/>
  <c r="AB30" i="99"/>
  <c r="AA30" i="99"/>
  <c r="Z30" i="99"/>
  <c r="Y30" i="99"/>
  <c r="X30" i="99"/>
  <c r="W30" i="99"/>
  <c r="V30" i="99"/>
  <c r="U30" i="99"/>
  <c r="T30" i="99"/>
  <c r="S30" i="99"/>
  <c r="R30" i="99"/>
  <c r="Q30" i="99"/>
  <c r="P30" i="99"/>
  <c r="O30" i="99"/>
  <c r="N30" i="99"/>
  <c r="M30" i="99"/>
  <c r="I30" i="99"/>
  <c r="H30" i="99"/>
  <c r="G30" i="99"/>
  <c r="F30" i="99"/>
  <c r="E30" i="99"/>
  <c r="D30" i="99"/>
  <c r="C30" i="99"/>
  <c r="B30" i="99"/>
  <c r="A30" i="99"/>
  <c r="AQ29" i="99"/>
  <c r="AP29" i="99"/>
  <c r="AO29" i="99"/>
  <c r="AN29" i="99"/>
  <c r="AM29" i="99"/>
  <c r="AL29" i="99"/>
  <c r="AK29" i="99"/>
  <c r="AJ29" i="99"/>
  <c r="AI29" i="99"/>
  <c r="AH29" i="99"/>
  <c r="AG29" i="99"/>
  <c r="AF29" i="99"/>
  <c r="AE29" i="99"/>
  <c r="AD29" i="99"/>
  <c r="AC29" i="99"/>
  <c r="AB29" i="99"/>
  <c r="AA29" i="99"/>
  <c r="Z29" i="99"/>
  <c r="Y29" i="99"/>
  <c r="X29" i="99"/>
  <c r="W29" i="99"/>
  <c r="V29" i="99"/>
  <c r="U29" i="99"/>
  <c r="T29" i="99"/>
  <c r="S29" i="99"/>
  <c r="R29" i="99"/>
  <c r="Q29" i="99"/>
  <c r="P29" i="99"/>
  <c r="O29" i="99"/>
  <c r="N29" i="99"/>
  <c r="M29" i="99"/>
  <c r="I29" i="99"/>
  <c r="H29" i="99"/>
  <c r="G29" i="99"/>
  <c r="F29" i="99"/>
  <c r="E29" i="99"/>
  <c r="D29" i="99"/>
  <c r="C29" i="99"/>
  <c r="B29" i="99"/>
  <c r="A29" i="99"/>
  <c r="AQ28" i="99"/>
  <c r="AP28" i="99"/>
  <c r="AO28" i="99"/>
  <c r="AN28" i="99"/>
  <c r="AM28" i="99"/>
  <c r="AL28" i="99"/>
  <c r="AK28" i="99"/>
  <c r="AJ28" i="99"/>
  <c r="AI28" i="99"/>
  <c r="AH28" i="99"/>
  <c r="AG28" i="99"/>
  <c r="AF28" i="99"/>
  <c r="AE28" i="99"/>
  <c r="AD28" i="99"/>
  <c r="AC28" i="99"/>
  <c r="AB28" i="99"/>
  <c r="AA28" i="99"/>
  <c r="Y28" i="99"/>
  <c r="X28" i="99"/>
  <c r="W28" i="99"/>
  <c r="V28" i="99"/>
  <c r="U28" i="99"/>
  <c r="U26" i="99" s="1"/>
  <c r="T28" i="99"/>
  <c r="T26" i="99" s="1"/>
  <c r="S28" i="99"/>
  <c r="R28" i="99"/>
  <c r="Q28" i="99"/>
  <c r="P28" i="99"/>
  <c r="O28" i="99"/>
  <c r="N28" i="99"/>
  <c r="M28" i="99"/>
  <c r="I28" i="99"/>
  <c r="H28" i="99"/>
  <c r="G28" i="99"/>
  <c r="F28" i="99"/>
  <c r="E28" i="99"/>
  <c r="D28" i="99"/>
  <c r="C28" i="99"/>
  <c r="B28" i="99"/>
  <c r="A28" i="99"/>
  <c r="AP27" i="99"/>
  <c r="AH27" i="99"/>
  <c r="AG27" i="99"/>
  <c r="AF27" i="99"/>
  <c r="AE27" i="99"/>
  <c r="AD27" i="99"/>
  <c r="AC27" i="99"/>
  <c r="AB27" i="99"/>
  <c r="AA27" i="99"/>
  <c r="Y27" i="99"/>
  <c r="X27" i="99"/>
  <c r="W27" i="99"/>
  <c r="V27" i="99"/>
  <c r="U27" i="99"/>
  <c r="T27" i="99"/>
  <c r="S27" i="99"/>
  <c r="S26" i="99" s="1"/>
  <c r="R27" i="99"/>
  <c r="Q27" i="99"/>
  <c r="P27" i="99"/>
  <c r="O27" i="99"/>
  <c r="N27" i="99"/>
  <c r="M27" i="99"/>
  <c r="Y26" i="99"/>
  <c r="X26" i="99"/>
  <c r="V26" i="99"/>
  <c r="R26" i="99"/>
  <c r="M26" i="99"/>
  <c r="L26" i="99"/>
  <c r="AQ25" i="99"/>
  <c r="AP25" i="99"/>
  <c r="AO25" i="99"/>
  <c r="AN25" i="99"/>
  <c r="AM25" i="99"/>
  <c r="AL25" i="99"/>
  <c r="AK25" i="99"/>
  <c r="AJ25" i="99"/>
  <c r="AI25" i="99"/>
  <c r="AH25" i="99"/>
  <c r="AG25" i="99"/>
  <c r="AF25" i="99"/>
  <c r="AE25" i="99"/>
  <c r="AD25" i="99"/>
  <c r="AC25" i="99"/>
  <c r="AB25" i="99"/>
  <c r="AA25" i="99"/>
  <c r="Z25" i="99"/>
  <c r="Y25" i="99"/>
  <c r="X25" i="99"/>
  <c r="W25" i="99"/>
  <c r="V25" i="99"/>
  <c r="U25" i="99"/>
  <c r="T25" i="99"/>
  <c r="S25" i="99"/>
  <c r="R25" i="99"/>
  <c r="Q25" i="99"/>
  <c r="P25" i="99"/>
  <c r="O25" i="99"/>
  <c r="N25" i="99"/>
  <c r="M25" i="99"/>
  <c r="I25" i="99"/>
  <c r="H25" i="99"/>
  <c r="G25" i="99"/>
  <c r="F25" i="99"/>
  <c r="E25" i="99"/>
  <c r="D25" i="99"/>
  <c r="C25" i="99"/>
  <c r="B25" i="99"/>
  <c r="A25" i="99"/>
  <c r="AQ24" i="99"/>
  <c r="AP24" i="99"/>
  <c r="AO24" i="99"/>
  <c r="AN24" i="99"/>
  <c r="AM24" i="99"/>
  <c r="AL24" i="99"/>
  <c r="AK24" i="99"/>
  <c r="AJ24" i="99"/>
  <c r="AI24" i="99"/>
  <c r="AH24" i="99"/>
  <c r="AG24" i="99"/>
  <c r="AF24" i="99"/>
  <c r="AE24" i="99"/>
  <c r="AD24" i="99"/>
  <c r="AC24" i="99"/>
  <c r="AB24" i="99"/>
  <c r="AA24" i="99"/>
  <c r="Z24" i="99"/>
  <c r="Y24" i="99"/>
  <c r="X24" i="99"/>
  <c r="W24" i="99"/>
  <c r="V24" i="99"/>
  <c r="U24" i="99"/>
  <c r="T24" i="99"/>
  <c r="S24" i="99"/>
  <c r="R24" i="99"/>
  <c r="Q24" i="99"/>
  <c r="P24" i="99"/>
  <c r="O24" i="99"/>
  <c r="N24" i="99"/>
  <c r="M24" i="99"/>
  <c r="I24" i="99"/>
  <c r="H24" i="99"/>
  <c r="G24" i="99"/>
  <c r="F24" i="99"/>
  <c r="E24" i="99"/>
  <c r="D24" i="99"/>
  <c r="C24" i="99"/>
  <c r="B24" i="99"/>
  <c r="A24" i="99"/>
  <c r="AQ23" i="99"/>
  <c r="AP23" i="99"/>
  <c r="AO23" i="99"/>
  <c r="AN23" i="99"/>
  <c r="AM23" i="99"/>
  <c r="AL23" i="99"/>
  <c r="AK23" i="99"/>
  <c r="AJ23" i="99"/>
  <c r="AI23" i="99"/>
  <c r="AH23" i="99"/>
  <c r="AG23" i="99"/>
  <c r="AF23" i="99"/>
  <c r="AE23" i="99"/>
  <c r="AD23" i="99"/>
  <c r="AC23" i="99"/>
  <c r="AB23" i="99"/>
  <c r="AA23" i="99"/>
  <c r="Z23" i="99"/>
  <c r="Y23" i="99"/>
  <c r="X23" i="99"/>
  <c r="W23" i="99"/>
  <c r="V23" i="99"/>
  <c r="U23" i="99"/>
  <c r="T23" i="99"/>
  <c r="S23" i="99"/>
  <c r="R23" i="99"/>
  <c r="Q23" i="99"/>
  <c r="P23" i="99"/>
  <c r="O23" i="99"/>
  <c r="N23" i="99"/>
  <c r="M23" i="99"/>
  <c r="I23" i="99"/>
  <c r="H23" i="99"/>
  <c r="G23" i="99"/>
  <c r="F23" i="99"/>
  <c r="E23" i="99"/>
  <c r="D23" i="99"/>
  <c r="C23" i="99"/>
  <c r="B23" i="99"/>
  <c r="A23" i="99"/>
  <c r="AQ22" i="99"/>
  <c r="AP22" i="99"/>
  <c r="AO22" i="99"/>
  <c r="AN22" i="99"/>
  <c r="AM22" i="99"/>
  <c r="AL22" i="99"/>
  <c r="AK22" i="99"/>
  <c r="AJ22" i="99"/>
  <c r="AI22" i="99"/>
  <c r="AH22" i="99"/>
  <c r="AG22" i="99"/>
  <c r="AF22" i="99"/>
  <c r="AE22" i="99"/>
  <c r="AD22" i="99"/>
  <c r="AC22" i="99"/>
  <c r="AB22" i="99"/>
  <c r="AA22" i="99"/>
  <c r="Z22" i="99"/>
  <c r="Y22" i="99"/>
  <c r="X22" i="99"/>
  <c r="W22" i="99"/>
  <c r="V22" i="99"/>
  <c r="U22" i="99"/>
  <c r="T22" i="99"/>
  <c r="S22" i="99"/>
  <c r="R22" i="99"/>
  <c r="Q22" i="99"/>
  <c r="P22" i="99"/>
  <c r="O22" i="99"/>
  <c r="N22" i="99"/>
  <c r="M22" i="99"/>
  <c r="I22" i="99"/>
  <c r="H22" i="99"/>
  <c r="G22" i="99"/>
  <c r="F22" i="99"/>
  <c r="E22" i="99"/>
  <c r="D22" i="99"/>
  <c r="C22" i="99"/>
  <c r="B22" i="99"/>
  <c r="A22" i="99"/>
  <c r="AQ21" i="99"/>
  <c r="AP21" i="99"/>
  <c r="AO21" i="99"/>
  <c r="AN21" i="99"/>
  <c r="AM21" i="99"/>
  <c r="AL21" i="99"/>
  <c r="AK21" i="99"/>
  <c r="AJ21" i="99"/>
  <c r="AI21" i="99"/>
  <c r="AH21" i="99"/>
  <c r="AG21" i="99"/>
  <c r="AF21" i="99"/>
  <c r="AE21" i="99"/>
  <c r="AD21" i="99"/>
  <c r="AC21" i="99"/>
  <c r="AB21" i="99"/>
  <c r="AA21" i="99"/>
  <c r="Z21" i="99"/>
  <c r="Z20" i="99" s="1"/>
  <c r="Y21" i="99"/>
  <c r="Y20" i="99" s="1"/>
  <c r="X21" i="99"/>
  <c r="X20" i="99" s="1"/>
  <c r="W21" i="99"/>
  <c r="V21" i="99"/>
  <c r="U21" i="99"/>
  <c r="T21" i="99"/>
  <c r="S21" i="99"/>
  <c r="R21" i="99"/>
  <c r="Q21" i="99"/>
  <c r="P21" i="99"/>
  <c r="O21" i="99"/>
  <c r="N21" i="99"/>
  <c r="M21" i="99"/>
  <c r="I21" i="99"/>
  <c r="H21" i="99"/>
  <c r="G21" i="99"/>
  <c r="F21" i="99"/>
  <c r="E21" i="99"/>
  <c r="D21" i="99"/>
  <c r="C21" i="99"/>
  <c r="B21" i="99"/>
  <c r="A21" i="99"/>
  <c r="V20" i="99"/>
  <c r="U20" i="99"/>
  <c r="T20" i="99"/>
  <c r="S20" i="99"/>
  <c r="R20" i="99"/>
  <c r="M20" i="99"/>
  <c r="L20" i="99"/>
  <c r="AQ19" i="99"/>
  <c r="AP19" i="99"/>
  <c r="AO19" i="99"/>
  <c r="AN19" i="99"/>
  <c r="AM19" i="99"/>
  <c r="AL19" i="99"/>
  <c r="AK19" i="99"/>
  <c r="AJ19" i="99"/>
  <c r="AI19" i="99"/>
  <c r="AH19" i="99"/>
  <c r="AG19" i="99"/>
  <c r="AF19" i="99"/>
  <c r="AE19" i="99"/>
  <c r="AD19" i="99"/>
  <c r="AC19" i="99"/>
  <c r="AB19" i="99"/>
  <c r="AA19" i="99"/>
  <c r="Z19" i="99"/>
  <c r="Y19" i="99"/>
  <c r="X19" i="99"/>
  <c r="W19" i="99"/>
  <c r="V19" i="99"/>
  <c r="U19" i="99"/>
  <c r="T19" i="99"/>
  <c r="S19" i="99"/>
  <c r="R19" i="99"/>
  <c r="Q19" i="99"/>
  <c r="P19" i="99"/>
  <c r="O19" i="99"/>
  <c r="N19" i="99"/>
  <c r="I19" i="99"/>
  <c r="H19" i="99"/>
  <c r="G19" i="99"/>
  <c r="F19" i="99"/>
  <c r="E19" i="99"/>
  <c r="D19" i="99"/>
  <c r="C19" i="99"/>
  <c r="B19" i="99"/>
  <c r="A19" i="99"/>
  <c r="AQ18" i="99"/>
  <c r="AP18" i="99"/>
  <c r="AO18" i="99"/>
  <c r="AN18" i="99"/>
  <c r="AM18" i="99"/>
  <c r="AL18" i="99"/>
  <c r="AK18" i="99"/>
  <c r="AJ18" i="99"/>
  <c r="AI18" i="99"/>
  <c r="AH18" i="99"/>
  <c r="AG18" i="99"/>
  <c r="AF18" i="99"/>
  <c r="AE18" i="99"/>
  <c r="AD18" i="99"/>
  <c r="AC18" i="99"/>
  <c r="AB18" i="99"/>
  <c r="AA18" i="99"/>
  <c r="Z18" i="99"/>
  <c r="Y18" i="99"/>
  <c r="X18" i="99"/>
  <c r="W18" i="99"/>
  <c r="V18" i="99"/>
  <c r="U18" i="99"/>
  <c r="T18" i="99"/>
  <c r="S18" i="99"/>
  <c r="R18" i="99"/>
  <c r="Q18" i="99"/>
  <c r="P18" i="99"/>
  <c r="O18" i="99"/>
  <c r="N18" i="99"/>
  <c r="I18" i="99"/>
  <c r="H18" i="99"/>
  <c r="G18" i="99"/>
  <c r="F18" i="99"/>
  <c r="E18" i="99"/>
  <c r="D18" i="99"/>
  <c r="C18" i="99"/>
  <c r="B18" i="99"/>
  <c r="A18" i="99"/>
  <c r="AQ17" i="99"/>
  <c r="AP17" i="99"/>
  <c r="AO17" i="99"/>
  <c r="AN17" i="99"/>
  <c r="AM17" i="99"/>
  <c r="AL17" i="99"/>
  <c r="AK17" i="99"/>
  <c r="AJ17" i="99"/>
  <c r="AI17" i="99"/>
  <c r="AH17" i="99"/>
  <c r="AG17" i="99"/>
  <c r="AF17" i="99"/>
  <c r="AE17" i="99"/>
  <c r="AD17" i="99"/>
  <c r="AC17" i="99"/>
  <c r="AB17" i="99"/>
  <c r="AA17" i="99"/>
  <c r="Z17" i="99"/>
  <c r="Y17" i="99"/>
  <c r="X17" i="99"/>
  <c r="W17" i="99"/>
  <c r="V17" i="99"/>
  <c r="U17" i="99"/>
  <c r="T17" i="99"/>
  <c r="S17" i="99"/>
  <c r="R17" i="99"/>
  <c r="Q17" i="99"/>
  <c r="P17" i="99"/>
  <c r="O17" i="99"/>
  <c r="N17" i="99"/>
  <c r="I17" i="99"/>
  <c r="H17" i="99"/>
  <c r="G17" i="99"/>
  <c r="F17" i="99"/>
  <c r="E17" i="99"/>
  <c r="D17" i="99"/>
  <c r="C17" i="99"/>
  <c r="B17" i="99"/>
  <c r="A17" i="99"/>
  <c r="AQ16" i="99"/>
  <c r="AP16" i="99"/>
  <c r="AO16" i="99"/>
  <c r="AN16" i="99"/>
  <c r="AM16" i="99"/>
  <c r="AL16" i="99"/>
  <c r="AK16" i="99"/>
  <c r="AJ16" i="99"/>
  <c r="AI16" i="99"/>
  <c r="AH16" i="99"/>
  <c r="AG16" i="99"/>
  <c r="AF16" i="99"/>
  <c r="AE16" i="99"/>
  <c r="AD16" i="99"/>
  <c r="AC16" i="99"/>
  <c r="AB16" i="99"/>
  <c r="AA16" i="99"/>
  <c r="Z16" i="99"/>
  <c r="Y16" i="99"/>
  <c r="X16" i="99"/>
  <c r="W16" i="99"/>
  <c r="V16" i="99"/>
  <c r="U16" i="99"/>
  <c r="T16" i="99"/>
  <c r="S16" i="99"/>
  <c r="R16" i="99"/>
  <c r="Q16" i="99"/>
  <c r="P16" i="99"/>
  <c r="O16" i="99"/>
  <c r="N16" i="99"/>
  <c r="I16" i="99"/>
  <c r="H16" i="99"/>
  <c r="G16" i="99"/>
  <c r="F16" i="99"/>
  <c r="E16" i="99"/>
  <c r="D16" i="99"/>
  <c r="C16" i="99"/>
  <c r="B16" i="99"/>
  <c r="A16" i="99"/>
  <c r="AQ15" i="99"/>
  <c r="AP15" i="99"/>
  <c r="AO15" i="99"/>
  <c r="AN15" i="99"/>
  <c r="AM15" i="99"/>
  <c r="AL15" i="99"/>
  <c r="AK15" i="99"/>
  <c r="AJ15" i="99"/>
  <c r="AI15" i="99"/>
  <c r="AH15" i="99"/>
  <c r="AG15" i="99"/>
  <c r="AF15" i="99"/>
  <c r="AE15" i="99"/>
  <c r="AD15" i="99"/>
  <c r="AC15" i="99"/>
  <c r="AB15" i="99"/>
  <c r="AA15" i="99"/>
  <c r="Y15" i="99"/>
  <c r="X15" i="99"/>
  <c r="W15" i="99"/>
  <c r="U15" i="99"/>
  <c r="T15" i="99"/>
  <c r="S15" i="99"/>
  <c r="R15" i="99"/>
  <c r="Q15" i="99"/>
  <c r="P15" i="99"/>
  <c r="O15" i="99"/>
  <c r="N15" i="99"/>
  <c r="M15" i="99"/>
  <c r="I15" i="99"/>
  <c r="H15" i="99"/>
  <c r="G15" i="99"/>
  <c r="F15" i="99"/>
  <c r="E15" i="99"/>
  <c r="D15" i="99"/>
  <c r="C15" i="99"/>
  <c r="B15" i="99"/>
  <c r="A15" i="99"/>
  <c r="AQ14" i="99"/>
  <c r="AP14" i="99"/>
  <c r="AO14" i="99"/>
  <c r="AN14" i="99"/>
  <c r="AM14" i="99"/>
  <c r="AL14" i="99"/>
  <c r="AK14" i="99"/>
  <c r="AJ14" i="99"/>
  <c r="AI14" i="99"/>
  <c r="AH14" i="99"/>
  <c r="AG14" i="99"/>
  <c r="AF14" i="99"/>
  <c r="AE14" i="99"/>
  <c r="AD14" i="99"/>
  <c r="AC14" i="99"/>
  <c r="AB14" i="99"/>
  <c r="AA14" i="99"/>
  <c r="Z14" i="99"/>
  <c r="Y14" i="99"/>
  <c r="X14" i="99"/>
  <c r="W14" i="99"/>
  <c r="V14" i="99"/>
  <c r="U14" i="99"/>
  <c r="T14" i="99"/>
  <c r="S14" i="99"/>
  <c r="R14" i="99"/>
  <c r="Q14" i="99"/>
  <c r="P14" i="99"/>
  <c r="O14" i="99"/>
  <c r="N14" i="99"/>
  <c r="I14" i="99"/>
  <c r="H14" i="99"/>
  <c r="G14" i="99"/>
  <c r="F14" i="99"/>
  <c r="E14" i="99"/>
  <c r="D14" i="99"/>
  <c r="C14" i="99"/>
  <c r="B14" i="99"/>
  <c r="A14" i="99"/>
  <c r="AQ13" i="99"/>
  <c r="AP13" i="99"/>
  <c r="AO13" i="99"/>
  <c r="AN13" i="99"/>
  <c r="AM13" i="99"/>
  <c r="AL13" i="99"/>
  <c r="AK13" i="99"/>
  <c r="AJ13" i="99"/>
  <c r="AI13" i="99"/>
  <c r="AH13" i="99"/>
  <c r="AG13" i="99"/>
  <c r="AF13" i="99"/>
  <c r="AE13" i="99"/>
  <c r="AD13" i="99"/>
  <c r="AC13" i="99"/>
  <c r="AB13" i="99"/>
  <c r="AA13" i="99"/>
  <c r="Z13" i="99"/>
  <c r="Y13" i="99"/>
  <c r="X13" i="99"/>
  <c r="W13" i="99"/>
  <c r="V13" i="99"/>
  <c r="U13" i="99"/>
  <c r="T13" i="99"/>
  <c r="S13" i="99"/>
  <c r="R13" i="99"/>
  <c r="Q13" i="99"/>
  <c r="P13" i="99"/>
  <c r="O13" i="99"/>
  <c r="N13" i="99"/>
  <c r="I13" i="99"/>
  <c r="H13" i="99"/>
  <c r="G13" i="99"/>
  <c r="F13" i="99"/>
  <c r="E13" i="99"/>
  <c r="D13" i="99"/>
  <c r="C13" i="99"/>
  <c r="B13" i="99"/>
  <c r="A13" i="99"/>
  <c r="AQ12" i="99"/>
  <c r="AP12" i="99"/>
  <c r="AO12" i="99"/>
  <c r="AN12" i="99"/>
  <c r="AM12" i="99"/>
  <c r="AL12" i="99"/>
  <c r="AK12" i="99"/>
  <c r="AJ12" i="99"/>
  <c r="AI12" i="99"/>
  <c r="AH12" i="99"/>
  <c r="AG12" i="99"/>
  <c r="AF12" i="99"/>
  <c r="AE12" i="99"/>
  <c r="AD12" i="99"/>
  <c r="AC12" i="99"/>
  <c r="AB12" i="99"/>
  <c r="AA12" i="99"/>
  <c r="Z12" i="99"/>
  <c r="Y12" i="99"/>
  <c r="Y11" i="99" s="1"/>
  <c r="X12" i="99"/>
  <c r="W12" i="99"/>
  <c r="V12" i="99"/>
  <c r="U12" i="99"/>
  <c r="U11" i="99" s="1"/>
  <c r="T12" i="99"/>
  <c r="T11" i="99" s="1"/>
  <c r="S12" i="99"/>
  <c r="R12" i="99"/>
  <c r="R11" i="99" s="1"/>
  <c r="Q12" i="99"/>
  <c r="P12" i="99"/>
  <c r="O12" i="99"/>
  <c r="N12" i="99"/>
  <c r="M12" i="99"/>
  <c r="I12" i="99"/>
  <c r="H12" i="99"/>
  <c r="G12" i="99"/>
  <c r="F12" i="99"/>
  <c r="E12" i="99"/>
  <c r="D12" i="99"/>
  <c r="C12" i="99"/>
  <c r="B12" i="99"/>
  <c r="A12" i="99"/>
  <c r="S11" i="99"/>
  <c r="M11" i="99"/>
  <c r="L11" i="99"/>
  <c r="L10" i="99"/>
  <c r="K10" i="99"/>
  <c r="K9" i="99"/>
  <c r="J9" i="99"/>
  <c r="X8" i="99"/>
  <c r="P207" i="1"/>
  <c r="R206" i="1"/>
  <c r="Q206" i="1"/>
  <c r="O206" i="1"/>
  <c r="K206" i="1"/>
  <c r="J206" i="1"/>
  <c r="Q205" i="1"/>
  <c r="N205" i="1"/>
  <c r="N204" i="1" s="1"/>
  <c r="M205" i="1"/>
  <c r="M204" i="1" s="1"/>
  <c r="L205" i="1"/>
  <c r="I205" i="1"/>
  <c r="R204" i="1"/>
  <c r="Q204" i="1"/>
  <c r="H204" i="1"/>
  <c r="R201" i="1"/>
  <c r="Q201" i="1"/>
  <c r="Q200" i="1" s="1"/>
  <c r="O201" i="1"/>
  <c r="K201" i="1"/>
  <c r="J201" i="1"/>
  <c r="M200" i="1"/>
  <c r="M199" i="1" s="1"/>
  <c r="L200" i="1"/>
  <c r="I200" i="1"/>
  <c r="L199" i="1"/>
  <c r="H199" i="1"/>
  <c r="Q198" i="1"/>
  <c r="O198" i="1"/>
  <c r="K198" i="1"/>
  <c r="J198" i="1"/>
  <c r="Q197" i="1"/>
  <c r="N197" i="1"/>
  <c r="N196" i="1" s="1"/>
  <c r="M197" i="1"/>
  <c r="M196" i="1" s="1"/>
  <c r="L197" i="1"/>
  <c r="I197" i="1"/>
  <c r="H196" i="1"/>
  <c r="Q195" i="1"/>
  <c r="Q194" i="1" s="1"/>
  <c r="O195" i="1"/>
  <c r="K195" i="1"/>
  <c r="J195" i="1"/>
  <c r="N194" i="1"/>
  <c r="M194" i="1"/>
  <c r="L194" i="1"/>
  <c r="L193" i="1" s="1"/>
  <c r="I194" i="1"/>
  <c r="N193" i="1"/>
  <c r="H193" i="1"/>
  <c r="O192" i="1"/>
  <c r="K192" i="1"/>
  <c r="J192" i="1"/>
  <c r="Q191" i="1"/>
  <c r="O191" i="1"/>
  <c r="K191" i="1"/>
  <c r="J191" i="1"/>
  <c r="Q190" i="1"/>
  <c r="R190" i="1" s="1"/>
  <c r="N190" i="1"/>
  <c r="M190" i="1"/>
  <c r="L190" i="1"/>
  <c r="I190" i="1"/>
  <c r="K189" i="1"/>
  <c r="R188" i="1"/>
  <c r="O188" i="1"/>
  <c r="K188" i="1"/>
  <c r="J188" i="1"/>
  <c r="K187" i="1"/>
  <c r="R186" i="1"/>
  <c r="O186" i="1"/>
  <c r="K186" i="1"/>
  <c r="J186" i="1"/>
  <c r="Q185" i="1"/>
  <c r="R185" i="1" s="1"/>
  <c r="R184" i="1" s="1"/>
  <c r="N185" i="1"/>
  <c r="N184" i="1" s="1"/>
  <c r="M185" i="1"/>
  <c r="L185" i="1"/>
  <c r="I185" i="1"/>
  <c r="Q184" i="1"/>
  <c r="L184" i="1"/>
  <c r="H184" i="1"/>
  <c r="Q183" i="1"/>
  <c r="Q182" i="1" s="1"/>
  <c r="O183" i="1"/>
  <c r="K183" i="1"/>
  <c r="J183" i="1"/>
  <c r="N182" i="1"/>
  <c r="M182" i="1"/>
  <c r="L182" i="1"/>
  <c r="I182" i="1"/>
  <c r="N181" i="1"/>
  <c r="L181" i="1"/>
  <c r="K180" i="1"/>
  <c r="R179" i="1"/>
  <c r="M179" i="1"/>
  <c r="O179" i="1" s="1"/>
  <c r="K179" i="1"/>
  <c r="J179" i="1"/>
  <c r="Q178" i="1"/>
  <c r="R178" i="1" s="1"/>
  <c r="N178" i="1"/>
  <c r="L178" i="1"/>
  <c r="I178" i="1"/>
  <c r="Q177" i="1"/>
  <c r="M177" i="1"/>
  <c r="O177" i="1" s="1"/>
  <c r="K177" i="1"/>
  <c r="J177" i="1"/>
  <c r="R176" i="1"/>
  <c r="Q176" i="1"/>
  <c r="N176" i="1"/>
  <c r="L176" i="1"/>
  <c r="I176" i="1"/>
  <c r="O175" i="1"/>
  <c r="M175" i="1"/>
  <c r="K175" i="1"/>
  <c r="J175" i="1"/>
  <c r="Q174" i="1"/>
  <c r="N174" i="1"/>
  <c r="M174" i="1"/>
  <c r="L174" i="1"/>
  <c r="L171" i="1" s="1"/>
  <c r="I174" i="1"/>
  <c r="R173" i="1"/>
  <c r="M173" i="1"/>
  <c r="O173" i="1" s="1"/>
  <c r="K173" i="1"/>
  <c r="J173" i="1"/>
  <c r="Q172" i="1"/>
  <c r="R172" i="1" s="1"/>
  <c r="N172" i="1"/>
  <c r="N171" i="1" s="1"/>
  <c r="L172" i="1"/>
  <c r="I172" i="1"/>
  <c r="O170" i="1"/>
  <c r="K170" i="1"/>
  <c r="J170" i="1"/>
  <c r="Q169" i="1"/>
  <c r="R169" i="1" s="1"/>
  <c r="R168" i="1" s="1"/>
  <c r="N169" i="1"/>
  <c r="N168" i="1" s="1"/>
  <c r="M169" i="1"/>
  <c r="L169" i="1"/>
  <c r="I169" i="1"/>
  <c r="L168" i="1"/>
  <c r="Q161" i="1"/>
  <c r="R161" i="1" s="1"/>
  <c r="M161" i="1"/>
  <c r="M160" i="1" s="1"/>
  <c r="M159" i="1" s="1"/>
  <c r="L161" i="1"/>
  <c r="J161" i="1"/>
  <c r="N160" i="1"/>
  <c r="N159" i="1" s="1"/>
  <c r="L160" i="1"/>
  <c r="I160" i="1"/>
  <c r="Q151" i="1"/>
  <c r="Q150" i="1" s="1"/>
  <c r="R150" i="1" s="1"/>
  <c r="R149" i="1" s="1"/>
  <c r="M151" i="1"/>
  <c r="M150" i="1" s="1"/>
  <c r="M149" i="1" s="1"/>
  <c r="L151" i="1"/>
  <c r="J151" i="1"/>
  <c r="N150" i="1"/>
  <c r="N149" i="1" s="1"/>
  <c r="L150" i="1"/>
  <c r="I150" i="1"/>
  <c r="O147" i="1"/>
  <c r="K147" i="1"/>
  <c r="J147" i="1"/>
  <c r="R146" i="1"/>
  <c r="O146" i="1"/>
  <c r="K146" i="1"/>
  <c r="J146" i="1"/>
  <c r="O145" i="1"/>
  <c r="K145" i="1"/>
  <c r="J145" i="1"/>
  <c r="Q144" i="1"/>
  <c r="O144" i="1"/>
  <c r="K144" i="1"/>
  <c r="J144" i="1"/>
  <c r="Q143" i="1"/>
  <c r="O143" i="1"/>
  <c r="K143" i="1"/>
  <c r="J143" i="1"/>
  <c r="Q142" i="1"/>
  <c r="O142" i="1"/>
  <c r="K142" i="1"/>
  <c r="J142" i="1"/>
  <c r="M139" i="1"/>
  <c r="M135" i="1" s="1"/>
  <c r="L139" i="1"/>
  <c r="O139" i="1" s="1"/>
  <c r="J139" i="1"/>
  <c r="Q136" i="1"/>
  <c r="O136" i="1"/>
  <c r="J136" i="1"/>
  <c r="N135" i="1"/>
  <c r="I135" i="1"/>
  <c r="N134" i="1"/>
  <c r="Q133" i="1"/>
  <c r="Q132" i="1" s="1"/>
  <c r="O133" i="1"/>
  <c r="K133" i="1"/>
  <c r="J133" i="1"/>
  <c r="N132" i="1"/>
  <c r="M132" i="1"/>
  <c r="O132" i="1" s="1"/>
  <c r="L132" i="1"/>
  <c r="I132" i="1"/>
  <c r="N131" i="1"/>
  <c r="M131" i="1"/>
  <c r="L131" i="1"/>
  <c r="R130" i="1"/>
  <c r="O130" i="1"/>
  <c r="K130" i="1"/>
  <c r="J130" i="1"/>
  <c r="Q129" i="1"/>
  <c r="O129" i="1"/>
  <c r="K129" i="1"/>
  <c r="J129" i="1"/>
  <c r="R128" i="1"/>
  <c r="O128" i="1"/>
  <c r="K128" i="1"/>
  <c r="J128" i="1"/>
  <c r="Q127" i="1"/>
  <c r="N127" i="1"/>
  <c r="M127" i="1"/>
  <c r="L127" i="1"/>
  <c r="I127" i="1"/>
  <c r="N126" i="1"/>
  <c r="M126" i="1"/>
  <c r="O126" i="1" s="1"/>
  <c r="L126" i="1"/>
  <c r="Q125" i="1"/>
  <c r="Q124" i="1" s="1"/>
  <c r="O125" i="1"/>
  <c r="K125" i="1"/>
  <c r="J125" i="1"/>
  <c r="N124" i="1"/>
  <c r="M124" i="1"/>
  <c r="L124" i="1"/>
  <c r="I124" i="1"/>
  <c r="N123" i="1"/>
  <c r="M123" i="1"/>
  <c r="L123" i="1"/>
  <c r="O123" i="1" s="1"/>
  <c r="Q122" i="1"/>
  <c r="O122" i="1"/>
  <c r="K122" i="1"/>
  <c r="J122" i="1"/>
  <c r="Q121" i="1"/>
  <c r="M121" i="1"/>
  <c r="O121" i="1" s="1"/>
  <c r="K121" i="1"/>
  <c r="J121" i="1"/>
  <c r="Q120" i="1"/>
  <c r="M120" i="1"/>
  <c r="O120" i="1" s="1"/>
  <c r="K120" i="1"/>
  <c r="J120" i="1"/>
  <c r="M117" i="1"/>
  <c r="L117" i="1"/>
  <c r="O117" i="1" s="1"/>
  <c r="J117" i="1"/>
  <c r="N116" i="1"/>
  <c r="I116" i="1"/>
  <c r="N115" i="1"/>
  <c r="H115" i="1"/>
  <c r="M114" i="1"/>
  <c r="M113" i="1" s="1"/>
  <c r="O113" i="1" s="1"/>
  <c r="K114" i="1"/>
  <c r="J114" i="1"/>
  <c r="Q113" i="1"/>
  <c r="R113" i="1" s="1"/>
  <c r="R112" i="1" s="1"/>
  <c r="N113" i="1"/>
  <c r="L113" i="1"/>
  <c r="I113" i="1"/>
  <c r="Q112" i="1"/>
  <c r="N112" i="1"/>
  <c r="L112" i="1"/>
  <c r="H112" i="1"/>
  <c r="R111" i="1"/>
  <c r="O111" i="1"/>
  <c r="K111" i="1"/>
  <c r="J111" i="1"/>
  <c r="Q110" i="1"/>
  <c r="N110" i="1"/>
  <c r="M110" i="1"/>
  <c r="O110" i="1" s="1"/>
  <c r="L110" i="1"/>
  <c r="R110" i="1" s="1"/>
  <c r="I110" i="1"/>
  <c r="R109" i="1"/>
  <c r="O109" i="1"/>
  <c r="K109" i="1"/>
  <c r="J109" i="1"/>
  <c r="Q108" i="1"/>
  <c r="O108" i="1"/>
  <c r="K108" i="1"/>
  <c r="J108" i="1"/>
  <c r="R107" i="1"/>
  <c r="O107" i="1"/>
  <c r="K107" i="1"/>
  <c r="J107" i="1"/>
  <c r="Q106" i="1"/>
  <c r="R106" i="1" s="1"/>
  <c r="N106" i="1"/>
  <c r="M106" i="1"/>
  <c r="L106" i="1"/>
  <c r="I106" i="1"/>
  <c r="Q105" i="1"/>
  <c r="O105" i="1"/>
  <c r="Q104" i="1"/>
  <c r="O104" i="1"/>
  <c r="Q103" i="1"/>
  <c r="M103" i="1"/>
  <c r="L103" i="1"/>
  <c r="Q102" i="1"/>
  <c r="O102" i="1"/>
  <c r="K102" i="1"/>
  <c r="Q101" i="1"/>
  <c r="O101" i="1"/>
  <c r="K101" i="1"/>
  <c r="Q100" i="1"/>
  <c r="O100" i="1"/>
  <c r="K100" i="1"/>
  <c r="Q99" i="1"/>
  <c r="O99" i="1"/>
  <c r="K99" i="1"/>
  <c r="Q98" i="1"/>
  <c r="R98" i="1" s="1"/>
  <c r="O98" i="1"/>
  <c r="K98" i="1"/>
  <c r="Q97" i="1"/>
  <c r="R97" i="1" s="1"/>
  <c r="O97" i="1"/>
  <c r="K97" i="1"/>
  <c r="N96" i="1"/>
  <c r="M96" i="1"/>
  <c r="L96" i="1"/>
  <c r="I96" i="1"/>
  <c r="Q95" i="1"/>
  <c r="R95" i="1" s="1"/>
  <c r="O95" i="1"/>
  <c r="K95" i="1"/>
  <c r="J95" i="1"/>
  <c r="R94" i="1"/>
  <c r="Q94" i="1"/>
  <c r="O94" i="1"/>
  <c r="K94" i="1"/>
  <c r="J94" i="1"/>
  <c r="Q93" i="1"/>
  <c r="O93" i="1"/>
  <c r="K93" i="1"/>
  <c r="J93" i="1"/>
  <c r="Q92" i="1"/>
  <c r="R92" i="1" s="1"/>
  <c r="O92" i="1"/>
  <c r="K92" i="1"/>
  <c r="J92" i="1"/>
  <c r="R91" i="1"/>
  <c r="Q91" i="1"/>
  <c r="O91" i="1"/>
  <c r="K91" i="1"/>
  <c r="J91" i="1"/>
  <c r="Q90" i="1"/>
  <c r="R90" i="1" s="1"/>
  <c r="O90" i="1"/>
  <c r="K90" i="1"/>
  <c r="J90" i="1"/>
  <c r="Q89" i="1"/>
  <c r="R89" i="1" s="1"/>
  <c r="O89" i="1"/>
  <c r="K89" i="1"/>
  <c r="J89" i="1"/>
  <c r="Q88" i="1"/>
  <c r="R88" i="1" s="1"/>
  <c r="O88" i="1"/>
  <c r="K88" i="1"/>
  <c r="J88" i="1"/>
  <c r="Q87" i="1"/>
  <c r="R87" i="1" s="1"/>
  <c r="O87" i="1"/>
  <c r="K87" i="1"/>
  <c r="J87" i="1"/>
  <c r="Q86" i="1"/>
  <c r="Q84" i="1" s="1"/>
  <c r="R84" i="1" s="1"/>
  <c r="O86" i="1"/>
  <c r="K86" i="1"/>
  <c r="J86" i="1"/>
  <c r="R85" i="1"/>
  <c r="Q85" i="1"/>
  <c r="O85" i="1"/>
  <c r="K85" i="1"/>
  <c r="J85" i="1"/>
  <c r="N84" i="1"/>
  <c r="M84" i="1"/>
  <c r="L84" i="1"/>
  <c r="O84" i="1" s="1"/>
  <c r="I84" i="1"/>
  <c r="Q83" i="1"/>
  <c r="R83" i="1" s="1"/>
  <c r="O83" i="1"/>
  <c r="K83" i="1"/>
  <c r="J83" i="1"/>
  <c r="Q82" i="1"/>
  <c r="R82" i="1" s="1"/>
  <c r="O82" i="1"/>
  <c r="K82" i="1"/>
  <c r="J82" i="1"/>
  <c r="R81" i="1"/>
  <c r="O81" i="1"/>
  <c r="K81" i="1"/>
  <c r="J81" i="1"/>
  <c r="Q80" i="1"/>
  <c r="N80" i="1"/>
  <c r="M80" i="1"/>
  <c r="L80" i="1"/>
  <c r="I80" i="1"/>
  <c r="Q79" i="1"/>
  <c r="O79" i="1"/>
  <c r="K79" i="1"/>
  <c r="J79" i="1"/>
  <c r="Q78" i="1"/>
  <c r="O78" i="1"/>
  <c r="K78" i="1"/>
  <c r="J78" i="1"/>
  <c r="R77" i="1"/>
  <c r="O77" i="1"/>
  <c r="K77" i="1"/>
  <c r="J77" i="1"/>
  <c r="Q76" i="1"/>
  <c r="O76" i="1"/>
  <c r="K76" i="1"/>
  <c r="J76" i="1"/>
  <c r="Q75" i="1"/>
  <c r="O75" i="1"/>
  <c r="K75" i="1"/>
  <c r="J75" i="1"/>
  <c r="Q74" i="1"/>
  <c r="O74" i="1"/>
  <c r="K74" i="1"/>
  <c r="J74" i="1"/>
  <c r="Q73" i="1"/>
  <c r="O73" i="1"/>
  <c r="K73" i="1"/>
  <c r="J73" i="1"/>
  <c r="Q72" i="1"/>
  <c r="O72" i="1"/>
  <c r="K72" i="1"/>
  <c r="J72" i="1"/>
  <c r="Q71" i="1"/>
  <c r="O71" i="1"/>
  <c r="K71" i="1"/>
  <c r="J71" i="1"/>
  <c r="R67" i="1"/>
  <c r="Q67" i="1"/>
  <c r="O67" i="1"/>
  <c r="J67" i="1"/>
  <c r="Q66" i="1"/>
  <c r="N66" i="1"/>
  <c r="M66" i="1"/>
  <c r="L66" i="1"/>
  <c r="I66" i="1"/>
  <c r="Q65" i="1"/>
  <c r="O65" i="1"/>
  <c r="M65" i="1"/>
  <c r="K65" i="1"/>
  <c r="J65" i="1"/>
  <c r="Q64" i="1"/>
  <c r="M64" i="1"/>
  <c r="O64" i="1" s="1"/>
  <c r="K64" i="1"/>
  <c r="J64" i="1"/>
  <c r="K63" i="1"/>
  <c r="Q62" i="1"/>
  <c r="R62" i="1" s="1"/>
  <c r="M62" i="1"/>
  <c r="O62" i="1" s="1"/>
  <c r="K62" i="1"/>
  <c r="J62" i="1"/>
  <c r="M61" i="1"/>
  <c r="O61" i="1" s="1"/>
  <c r="K61" i="1"/>
  <c r="J61" i="1"/>
  <c r="N60" i="1"/>
  <c r="M60" i="1"/>
  <c r="O60" i="1" s="1"/>
  <c r="L60" i="1"/>
  <c r="I60" i="1"/>
  <c r="R59" i="1"/>
  <c r="O59" i="1"/>
  <c r="M59" i="1"/>
  <c r="K59" i="1"/>
  <c r="J59" i="1"/>
  <c r="R58" i="1"/>
  <c r="Q58" i="1"/>
  <c r="O58" i="1"/>
  <c r="M58" i="1"/>
  <c r="M57" i="1" s="1"/>
  <c r="O57" i="1" s="1"/>
  <c r="K58" i="1"/>
  <c r="J58" i="1"/>
  <c r="Q57" i="1"/>
  <c r="N57" i="1"/>
  <c r="L57" i="1"/>
  <c r="R57" i="1" s="1"/>
  <c r="I57" i="1"/>
  <c r="Q56" i="1"/>
  <c r="R56" i="1" s="1"/>
  <c r="M56" i="1"/>
  <c r="O56" i="1" s="1"/>
  <c r="K56" i="1"/>
  <c r="J56" i="1"/>
  <c r="Q55" i="1"/>
  <c r="R55" i="1" s="1"/>
  <c r="M55" i="1"/>
  <c r="O55" i="1" s="1"/>
  <c r="K55" i="1"/>
  <c r="J55" i="1"/>
  <c r="R54" i="1"/>
  <c r="K54" i="1"/>
  <c r="R53" i="1"/>
  <c r="K53" i="1"/>
  <c r="R52" i="1"/>
  <c r="M52" i="1"/>
  <c r="O52" i="1" s="1"/>
  <c r="K52" i="1"/>
  <c r="J52" i="1"/>
  <c r="R51" i="1"/>
  <c r="M51" i="1"/>
  <c r="O51" i="1" s="1"/>
  <c r="K51" i="1"/>
  <c r="J51" i="1"/>
  <c r="Q50" i="1"/>
  <c r="R50" i="1" s="1"/>
  <c r="M50" i="1"/>
  <c r="O50" i="1" s="1"/>
  <c r="K50" i="1"/>
  <c r="J50" i="1"/>
  <c r="R49" i="1"/>
  <c r="O49" i="1"/>
  <c r="M49" i="1"/>
  <c r="M48" i="1" s="1"/>
  <c r="O48" i="1" s="1"/>
  <c r="K49" i="1"/>
  <c r="J49" i="1"/>
  <c r="N48" i="1"/>
  <c r="L48" i="1"/>
  <c r="I48" i="1"/>
  <c r="R47" i="1"/>
  <c r="R46" i="1"/>
  <c r="Q45" i="1"/>
  <c r="M45" i="1"/>
  <c r="L45" i="1"/>
  <c r="O45" i="1" s="1"/>
  <c r="J45" i="1"/>
  <c r="R44" i="1"/>
  <c r="R43" i="1"/>
  <c r="R42" i="1"/>
  <c r="R39" i="1"/>
  <c r="R38" i="1"/>
  <c r="R37" i="1"/>
  <c r="Q36" i="1"/>
  <c r="Q33" i="1" s="1"/>
  <c r="M36" i="1"/>
  <c r="L36" i="1"/>
  <c r="O36" i="1" s="1"/>
  <c r="J36" i="1"/>
  <c r="R35" i="1"/>
  <c r="O35" i="1"/>
  <c r="K35" i="1"/>
  <c r="J35" i="1"/>
  <c r="O34" i="1"/>
  <c r="K34" i="1"/>
  <c r="J34" i="1"/>
  <c r="N33" i="1"/>
  <c r="N9" i="1" s="1"/>
  <c r="N8" i="1" s="1"/>
  <c r="M33" i="1"/>
  <c r="I33" i="1"/>
  <c r="Q32" i="1"/>
  <c r="R32" i="1" s="1"/>
  <c r="O32" i="1"/>
  <c r="K32" i="1"/>
  <c r="J32" i="1"/>
  <c r="R31" i="1"/>
  <c r="O31" i="1"/>
  <c r="K31" i="1"/>
  <c r="J31" i="1"/>
  <c r="R30" i="1"/>
  <c r="O30" i="1"/>
  <c r="K30" i="1"/>
  <c r="J30" i="1"/>
  <c r="R29" i="1"/>
  <c r="O29" i="1"/>
  <c r="K29" i="1"/>
  <c r="J29" i="1"/>
  <c r="R28" i="1"/>
  <c r="O28" i="1"/>
  <c r="K28" i="1"/>
  <c r="J28" i="1"/>
  <c r="R27" i="1"/>
  <c r="O27" i="1"/>
  <c r="K27" i="1"/>
  <c r="J27" i="1"/>
  <c r="R26" i="1"/>
  <c r="Q26" i="1"/>
  <c r="O26" i="1"/>
  <c r="K26" i="1"/>
  <c r="J26" i="1"/>
  <c r="Q25" i="1"/>
  <c r="R25" i="1" s="1"/>
  <c r="O25" i="1"/>
  <c r="K25" i="1"/>
  <c r="J25" i="1"/>
  <c r="N24" i="1"/>
  <c r="M24" i="1"/>
  <c r="O24" i="1" s="1"/>
  <c r="L24" i="1"/>
  <c r="I24" i="1"/>
  <c r="R23" i="1"/>
  <c r="O23" i="1"/>
  <c r="M23" i="1"/>
  <c r="K23" i="1"/>
  <c r="J23" i="1"/>
  <c r="R22" i="1"/>
  <c r="M22" i="1"/>
  <c r="O22" i="1" s="1"/>
  <c r="K22" i="1"/>
  <c r="J22" i="1"/>
  <c r="R21" i="1"/>
  <c r="O21" i="1"/>
  <c r="K21" i="1"/>
  <c r="J21" i="1"/>
  <c r="R20" i="1"/>
  <c r="O20" i="1"/>
  <c r="K20" i="1"/>
  <c r="J20" i="1"/>
  <c r="R19" i="1"/>
  <c r="O19" i="1"/>
  <c r="K19" i="1"/>
  <c r="J19" i="1"/>
  <c r="Q18" i="1"/>
  <c r="R18" i="1" s="1"/>
  <c r="N18" i="1"/>
  <c r="M18" i="1"/>
  <c r="L18" i="1"/>
  <c r="I18" i="1"/>
  <c r="R17" i="1"/>
  <c r="R16" i="1"/>
  <c r="R15" i="1"/>
  <c r="R14" i="1"/>
  <c r="M13" i="1"/>
  <c r="L13" i="1"/>
  <c r="O13" i="1" s="1"/>
  <c r="J13" i="1"/>
  <c r="R12" i="1"/>
  <c r="K12" i="1"/>
  <c r="R11" i="1"/>
  <c r="K11" i="1"/>
  <c r="J11" i="1"/>
  <c r="N10" i="1"/>
  <c r="L10" i="1"/>
  <c r="M11" i="1" s="1"/>
  <c r="I10" i="1"/>
  <c r="H9" i="1"/>
  <c r="P13" i="275" l="1"/>
  <c r="P18" i="276"/>
  <c r="P17" i="276" s="1"/>
  <c r="P12" i="279"/>
  <c r="F34" i="291"/>
  <c r="P34" i="274"/>
  <c r="AH101" i="254"/>
  <c r="V158" i="254"/>
  <c r="V157" i="254" s="1"/>
  <c r="P25" i="274"/>
  <c r="P8" i="274" s="1"/>
  <c r="R14" i="254"/>
  <c r="AH14" i="254"/>
  <c r="S17" i="254"/>
  <c r="C58" i="289"/>
  <c r="C15" i="287"/>
  <c r="O218" i="254"/>
  <c r="O217" i="254" s="1"/>
  <c r="P7" i="278"/>
  <c r="C13" i="293" s="1"/>
  <c r="P30" i="279"/>
  <c r="P29" i="279" s="1"/>
  <c r="P9" i="280"/>
  <c r="P8" i="280" s="1"/>
  <c r="P7" i="280" s="1"/>
  <c r="P29" i="281"/>
  <c r="P24" i="283"/>
  <c r="W218" i="254"/>
  <c r="W217" i="254" s="1"/>
  <c r="S41" i="254"/>
  <c r="O76" i="254"/>
  <c r="S139" i="254"/>
  <c r="V169" i="254"/>
  <c r="V168" i="254" s="1"/>
  <c r="R169" i="254"/>
  <c r="R168" i="254" s="1"/>
  <c r="P203" i="254"/>
  <c r="AH208" i="254"/>
  <c r="P9" i="281"/>
  <c r="P8" i="281" s="1"/>
  <c r="P7" i="281" s="1"/>
  <c r="C17" i="293" s="1"/>
  <c r="P15" i="283"/>
  <c r="C18" i="286"/>
  <c r="P65" i="254"/>
  <c r="AJ65" i="254"/>
  <c r="O65" i="254"/>
  <c r="X65" i="254"/>
  <c r="X80" i="254"/>
  <c r="S114" i="254"/>
  <c r="P128" i="254"/>
  <c r="P127" i="254" s="1"/>
  <c r="O128" i="254"/>
  <c r="O127" i="254" s="1"/>
  <c r="S162" i="254"/>
  <c r="S210" i="254"/>
  <c r="F38" i="291"/>
  <c r="P27" i="280"/>
  <c r="P26" i="280" s="1"/>
  <c r="P25" i="280" s="1"/>
  <c r="C5" i="287"/>
  <c r="Q20" i="254"/>
  <c r="M15" i="291" s="1"/>
  <c r="E15" i="291" s="1"/>
  <c r="F15" i="291" s="1"/>
  <c r="X20" i="254"/>
  <c r="O112" i="254"/>
  <c r="O121" i="254"/>
  <c r="Y151" i="254"/>
  <c r="S165" i="254"/>
  <c r="P35" i="282"/>
  <c r="P57" i="283"/>
  <c r="P56" i="283" s="1"/>
  <c r="S32" i="254"/>
  <c r="S36" i="254"/>
  <c r="S38" i="254"/>
  <c r="O54" i="254"/>
  <c r="F21" i="291"/>
  <c r="R135" i="254"/>
  <c r="R134" i="254" s="1"/>
  <c r="Y148" i="254"/>
  <c r="AH152" i="254"/>
  <c r="AH151" i="254" s="1"/>
  <c r="R188" i="254"/>
  <c r="R218" i="254"/>
  <c r="R217" i="254" s="1"/>
  <c r="C5" i="294"/>
  <c r="C18" i="294" s="1"/>
  <c r="C5" i="286"/>
  <c r="C74" i="289"/>
  <c r="R112" i="254"/>
  <c r="S133" i="254"/>
  <c r="S153" i="254"/>
  <c r="Q158" i="254"/>
  <c r="Q157" i="254" s="1"/>
  <c r="L31" i="290" s="1"/>
  <c r="E31" i="290" s="1"/>
  <c r="F31" i="290" s="1"/>
  <c r="S163" i="254"/>
  <c r="O188" i="254"/>
  <c r="F44" i="291"/>
  <c r="V54" i="254"/>
  <c r="AH93" i="254"/>
  <c r="S26" i="254"/>
  <c r="AI80" i="254"/>
  <c r="O80" i="254"/>
  <c r="P121" i="254"/>
  <c r="AH121" i="254"/>
  <c r="R121" i="254"/>
  <c r="R111" i="254" s="1"/>
  <c r="Q152" i="254"/>
  <c r="M22" i="291" s="1"/>
  <c r="E22" i="291" s="1"/>
  <c r="F22" i="291" s="1"/>
  <c r="O203" i="254"/>
  <c r="O202" i="254" s="1"/>
  <c r="AH203" i="254"/>
  <c r="AH202" i="254" s="1"/>
  <c r="V203" i="254"/>
  <c r="S235" i="254"/>
  <c r="P13" i="276"/>
  <c r="P9" i="279"/>
  <c r="P22" i="279"/>
  <c r="P35" i="281"/>
  <c r="P34" i="281" s="1"/>
  <c r="C18" i="293"/>
  <c r="X14" i="254"/>
  <c r="V14" i="254"/>
  <c r="S28" i="254"/>
  <c r="Q29" i="254"/>
  <c r="O29" i="254"/>
  <c r="X42" i="254"/>
  <c r="S149" i="254"/>
  <c r="S150" i="254"/>
  <c r="AH188" i="254"/>
  <c r="P188" i="254"/>
  <c r="P8" i="276"/>
  <c r="C89" i="289"/>
  <c r="S11" i="254"/>
  <c r="S10" i="254" s="1"/>
  <c r="AH10" i="254"/>
  <c r="O20" i="254"/>
  <c r="AJ20" i="254"/>
  <c r="R20" i="254"/>
  <c r="O57" i="254"/>
  <c r="P57" i="254"/>
  <c r="AH65" i="254"/>
  <c r="S67" i="254"/>
  <c r="S74" i="254"/>
  <c r="AH112" i="254"/>
  <c r="O158" i="254"/>
  <c r="O157" i="254" s="1"/>
  <c r="S167" i="254"/>
  <c r="S219" i="254"/>
  <c r="S224" i="254"/>
  <c r="C10" i="293"/>
  <c r="P15" i="279"/>
  <c r="P19" i="282"/>
  <c r="P67" i="283"/>
  <c r="O135" i="1"/>
  <c r="Z185" i="99"/>
  <c r="S185" i="99"/>
  <c r="S162" i="99" s="1"/>
  <c r="AL9" i="101"/>
  <c r="AP9" i="101"/>
  <c r="AT9" i="101"/>
  <c r="AA9" i="101"/>
  <c r="AY89" i="101"/>
  <c r="V53" i="101"/>
  <c r="V61" i="99"/>
  <c r="AA107" i="2"/>
  <c r="Y117" i="99" s="1"/>
  <c r="Z109" i="101"/>
  <c r="Z102" i="101" s="1"/>
  <c r="Z9" i="101" s="1"/>
  <c r="Y118" i="99"/>
  <c r="Y122" i="229"/>
  <c r="AH123" i="229"/>
  <c r="AH133" i="229" s="1"/>
  <c r="R162" i="99"/>
  <c r="AN9" i="101"/>
  <c r="AR9" i="101"/>
  <c r="AC9" i="101"/>
  <c r="AU9" i="101"/>
  <c r="V49" i="101"/>
  <c r="V56" i="99"/>
  <c r="AB104" i="101"/>
  <c r="Z112" i="99"/>
  <c r="U162" i="99"/>
  <c r="AB25" i="101"/>
  <c r="Z28" i="99"/>
  <c r="AB103" i="101"/>
  <c r="Z111" i="99"/>
  <c r="Y133" i="99"/>
  <c r="AA119" i="2"/>
  <c r="Y131" i="99" s="1"/>
  <c r="Y130" i="99" s="1"/>
  <c r="Y129" i="99" s="1"/>
  <c r="R174" i="1"/>
  <c r="R171" i="1" s="1"/>
  <c r="L33" i="1"/>
  <c r="O33" i="1" s="1"/>
  <c r="Q60" i="1"/>
  <c r="R60" i="1" s="1"/>
  <c r="R80" i="1"/>
  <c r="O96" i="1"/>
  <c r="O103" i="1"/>
  <c r="O106" i="1"/>
  <c r="M112" i="1"/>
  <c r="O114" i="1"/>
  <c r="M116" i="1"/>
  <c r="M115" i="1" s="1"/>
  <c r="Q116" i="1"/>
  <c r="R127" i="1"/>
  <c r="R126" i="1" s="1"/>
  <c r="Q139" i="1"/>
  <c r="Q135" i="1" s="1"/>
  <c r="O151" i="1"/>
  <c r="O161" i="1"/>
  <c r="O169" i="1"/>
  <c r="M172" i="1"/>
  <c r="O172" i="1" s="1"/>
  <c r="O190" i="1"/>
  <c r="O194" i="1"/>
  <c r="R197" i="1"/>
  <c r="R196" i="1" s="1"/>
  <c r="R195" i="1" s="1"/>
  <c r="R205" i="1"/>
  <c r="Y110" i="99"/>
  <c r="X162" i="99"/>
  <c r="S138" i="229"/>
  <c r="S139" i="229"/>
  <c r="O168" i="229"/>
  <c r="S189" i="229"/>
  <c r="S202" i="229"/>
  <c r="R11" i="271"/>
  <c r="R10" i="271" s="1"/>
  <c r="S100" i="272"/>
  <c r="P99" i="272"/>
  <c r="S99" i="272" s="1"/>
  <c r="O122" i="272"/>
  <c r="S144" i="272"/>
  <c r="Q143" i="272"/>
  <c r="S150" i="272"/>
  <c r="P146" i="272"/>
  <c r="S181" i="272"/>
  <c r="Q180" i="272"/>
  <c r="Q179" i="272" s="1"/>
  <c r="AQ239" i="254"/>
  <c r="AS12" i="254"/>
  <c r="K17" i="291"/>
  <c r="D17" i="291" s="1"/>
  <c r="P14" i="254"/>
  <c r="R11" i="270"/>
  <c r="O18" i="1"/>
  <c r="R45" i="1"/>
  <c r="O127" i="1"/>
  <c r="O131" i="1"/>
  <c r="N148" i="1"/>
  <c r="N207" i="1" s="1"/>
  <c r="Q168" i="1"/>
  <c r="Q171" i="1"/>
  <c r="O182" i="1"/>
  <c r="O185" i="1"/>
  <c r="O184" i="1" s="1"/>
  <c r="O197" i="1"/>
  <c r="O200" i="1"/>
  <c r="O205" i="1"/>
  <c r="T10" i="99"/>
  <c r="T9" i="99" s="1"/>
  <c r="Z70" i="99"/>
  <c r="Y149" i="99"/>
  <c r="Y148" i="99" s="1"/>
  <c r="T84" i="101"/>
  <c r="T9" i="101" s="1"/>
  <c r="X84" i="101"/>
  <c r="X9" i="101" s="1"/>
  <c r="AK111" i="101"/>
  <c r="AK9" i="101" s="1"/>
  <c r="AO111" i="101"/>
  <c r="AO9" i="101" s="1"/>
  <c r="AS111" i="101"/>
  <c r="AS9" i="101" s="1"/>
  <c r="U9" i="101"/>
  <c r="Y9" i="101"/>
  <c r="AG37" i="2"/>
  <c r="Z50" i="99" s="1"/>
  <c r="X41" i="2"/>
  <c r="V55" i="99" s="1"/>
  <c r="M211" i="2"/>
  <c r="AV106" i="2"/>
  <c r="X184" i="2"/>
  <c r="V191" i="99" s="1"/>
  <c r="V190" i="99" s="1"/>
  <c r="O14" i="229"/>
  <c r="O10" i="229" s="1"/>
  <c r="O9" i="229" s="1"/>
  <c r="O243" i="229" s="1"/>
  <c r="S17" i="229"/>
  <c r="R20" i="229"/>
  <c r="S25" i="229"/>
  <c r="Q30" i="229"/>
  <c r="S30" i="229" s="1"/>
  <c r="S32" i="229"/>
  <c r="S36" i="229"/>
  <c r="S38" i="229"/>
  <c r="S42" i="229"/>
  <c r="X43" i="229"/>
  <c r="Y58" i="229"/>
  <c r="R58" i="229"/>
  <c r="Z67" i="229"/>
  <c r="S70" i="229"/>
  <c r="S87" i="229"/>
  <c r="S116" i="229"/>
  <c r="S126" i="229"/>
  <c r="S130" i="229"/>
  <c r="S132" i="229"/>
  <c r="P133" i="229"/>
  <c r="S133" i="229" s="1"/>
  <c r="S142" i="229"/>
  <c r="S143" i="229"/>
  <c r="S144" i="229"/>
  <c r="P170" i="229"/>
  <c r="P169" i="229" s="1"/>
  <c r="S169" i="229" s="1"/>
  <c r="S175" i="229"/>
  <c r="S181" i="229"/>
  <c r="S185" i="229"/>
  <c r="S205" i="229"/>
  <c r="U11" i="271"/>
  <c r="U10" i="271" s="1"/>
  <c r="Z50" i="271"/>
  <c r="X90" i="271"/>
  <c r="V20" i="272"/>
  <c r="AA20" i="272"/>
  <c r="Q43" i="272"/>
  <c r="W123" i="272"/>
  <c r="Y123" i="272"/>
  <c r="AH123" i="272" s="1"/>
  <c r="AH133" i="272" s="1"/>
  <c r="O133" i="272"/>
  <c r="Y133" i="272"/>
  <c r="S215" i="272"/>
  <c r="P213" i="272"/>
  <c r="S213" i="272" s="1"/>
  <c r="K45" i="291"/>
  <c r="D45" i="291" s="1"/>
  <c r="F45" i="291" s="1"/>
  <c r="Y211" i="254"/>
  <c r="S216" i="254"/>
  <c r="Q215" i="254"/>
  <c r="S215" i="254" s="1"/>
  <c r="AB129" i="270"/>
  <c r="T128" i="270"/>
  <c r="Q160" i="1"/>
  <c r="R160" i="1" s="1"/>
  <c r="R159" i="1" s="1"/>
  <c r="R158" i="1" s="1"/>
  <c r="R157" i="1" s="1"/>
  <c r="R156" i="1" s="1"/>
  <c r="R155" i="1" s="1"/>
  <c r="R154" i="1" s="1"/>
  <c r="R153" i="1" s="1"/>
  <c r="R152" i="1" s="1"/>
  <c r="R151" i="1" s="1"/>
  <c r="O199" i="1"/>
  <c r="X44" i="2"/>
  <c r="P211" i="2"/>
  <c r="AG51" i="2"/>
  <c r="X54" i="2"/>
  <c r="X65" i="2"/>
  <c r="AG96" i="2"/>
  <c r="AG97" i="2"/>
  <c r="S26" i="229"/>
  <c r="S33" i="229"/>
  <c r="S39" i="229"/>
  <c r="S53" i="229"/>
  <c r="S68" i="229"/>
  <c r="S83" i="229"/>
  <c r="S84" i="229"/>
  <c r="S106" i="229"/>
  <c r="S107" i="229"/>
  <c r="R123" i="229"/>
  <c r="R122" i="229" s="1"/>
  <c r="S135" i="229"/>
  <c r="S137" i="229"/>
  <c r="S176" i="229"/>
  <c r="Y180" i="229"/>
  <c r="Y179" i="229" s="1"/>
  <c r="S182" i="229"/>
  <c r="S186" i="229"/>
  <c r="S203" i="229"/>
  <c r="S214" i="229"/>
  <c r="S215" i="229"/>
  <c r="S235" i="229"/>
  <c r="T173" i="271"/>
  <c r="T152" i="271" s="1"/>
  <c r="W188" i="271"/>
  <c r="W187" i="271" s="1"/>
  <c r="Q55" i="272"/>
  <c r="S55" i="272" s="1"/>
  <c r="P81" i="272"/>
  <c r="S81" i="272" s="1"/>
  <c r="O81" i="272"/>
  <c r="Z81" i="272"/>
  <c r="S140" i="272"/>
  <c r="P139" i="272"/>
  <c r="Y191" i="272"/>
  <c r="S193" i="272"/>
  <c r="P192" i="272"/>
  <c r="S192" i="272" s="1"/>
  <c r="V191" i="272"/>
  <c r="S130" i="254"/>
  <c r="Q128" i="254"/>
  <c r="S128" i="254" s="1"/>
  <c r="S10" i="99"/>
  <c r="S9" i="99" s="1"/>
  <c r="L9" i="1"/>
  <c r="R36" i="1"/>
  <c r="Q48" i="1"/>
  <c r="R48" i="1" s="1"/>
  <c r="R66" i="1"/>
  <c r="Q96" i="1"/>
  <c r="R96" i="1" s="1"/>
  <c r="O112" i="1"/>
  <c r="O124" i="1"/>
  <c r="L135" i="1"/>
  <c r="L134" i="1" s="1"/>
  <c r="O174" i="1"/>
  <c r="R10" i="99"/>
  <c r="R9" i="99" s="1"/>
  <c r="R225" i="99" s="1"/>
  <c r="U10" i="99"/>
  <c r="U9" i="99" s="1"/>
  <c r="U225" i="99" s="1"/>
  <c r="X70" i="99"/>
  <c r="X10" i="99" s="1"/>
  <c r="X9" i="99" s="1"/>
  <c r="X225" i="99" s="1"/>
  <c r="R84" i="101"/>
  <c r="R9" i="101" s="1"/>
  <c r="V84" i="101"/>
  <c r="AM9" i="101"/>
  <c r="AQ9" i="101"/>
  <c r="S9" i="101"/>
  <c r="W9" i="101"/>
  <c r="W158" i="254"/>
  <c r="W157" i="254" s="1"/>
  <c r="N227" i="2"/>
  <c r="O222" i="2" s="1"/>
  <c r="R10" i="229"/>
  <c r="S21" i="229"/>
  <c r="X20" i="229"/>
  <c r="X10" i="229" s="1"/>
  <c r="X9" i="229" s="1"/>
  <c r="S22" i="229"/>
  <c r="S23" i="229"/>
  <c r="S27" i="229"/>
  <c r="S34" i="229"/>
  <c r="S40" i="229"/>
  <c r="AA43" i="229"/>
  <c r="P48" i="229"/>
  <c r="S65" i="229"/>
  <c r="X67" i="229"/>
  <c r="S81" i="229"/>
  <c r="R85" i="229"/>
  <c r="S88" i="229"/>
  <c r="S89" i="229"/>
  <c r="S90" i="229"/>
  <c r="S91" i="229"/>
  <c r="S92" i="229"/>
  <c r="S93" i="229"/>
  <c r="S85" i="229" s="1"/>
  <c r="S94" i="229"/>
  <c r="S95" i="229"/>
  <c r="S96" i="229"/>
  <c r="P99" i="229"/>
  <c r="S99" i="229" s="1"/>
  <c r="Q110" i="229"/>
  <c r="S110" i="229" s="1"/>
  <c r="S111" i="229"/>
  <c r="Q115" i="229"/>
  <c r="S115" i="229" s="1"/>
  <c r="S117" i="229"/>
  <c r="S118" i="229"/>
  <c r="S129" i="229"/>
  <c r="S131" i="229"/>
  <c r="P146" i="229"/>
  <c r="S147" i="229"/>
  <c r="S152" i="229"/>
  <c r="S153" i="229"/>
  <c r="S154" i="229"/>
  <c r="R162" i="229"/>
  <c r="R161" i="229" s="1"/>
  <c r="S165" i="229"/>
  <c r="S177" i="229"/>
  <c r="Q180" i="229"/>
  <c r="S183" i="229"/>
  <c r="P188" i="229"/>
  <c r="S188" i="229" s="1"/>
  <c r="R191" i="229"/>
  <c r="R168" i="229" s="1"/>
  <c r="S204" i="229"/>
  <c r="P229" i="229"/>
  <c r="S234" i="229"/>
  <c r="T65" i="271"/>
  <c r="S15" i="272"/>
  <c r="X14" i="272"/>
  <c r="P14" i="272"/>
  <c r="S19" i="272"/>
  <c r="S31" i="272"/>
  <c r="Q30" i="272"/>
  <c r="S30" i="272" s="1"/>
  <c r="R30" i="272"/>
  <c r="V67" i="272"/>
  <c r="Y170" i="272"/>
  <c r="Y169" i="272" s="1"/>
  <c r="Y168" i="272" s="1"/>
  <c r="S189" i="272"/>
  <c r="P188" i="272"/>
  <c r="S188" i="272" s="1"/>
  <c r="Q191" i="272"/>
  <c r="S204" i="272"/>
  <c r="Q203" i="272"/>
  <c r="Y174" i="254"/>
  <c r="P23" i="281" s="1"/>
  <c r="AH169" i="254"/>
  <c r="AH168" i="254" s="1"/>
  <c r="S206" i="229"/>
  <c r="S210" i="229"/>
  <c r="S217" i="229"/>
  <c r="S225" i="229"/>
  <c r="S231" i="229"/>
  <c r="S232" i="229"/>
  <c r="S233" i="229"/>
  <c r="W35" i="271"/>
  <c r="W11" i="271" s="1"/>
  <c r="W10" i="271" s="1"/>
  <c r="W210" i="271" s="1"/>
  <c r="X72" i="271"/>
  <c r="R173" i="271"/>
  <c r="R152" i="271" s="1"/>
  <c r="W173" i="271"/>
  <c r="W152" i="271" s="1"/>
  <c r="U173" i="271"/>
  <c r="U152" i="271" s="1"/>
  <c r="S18" i="272"/>
  <c r="R20" i="272"/>
  <c r="S23" i="272"/>
  <c r="S27" i="272"/>
  <c r="V30" i="272"/>
  <c r="S34" i="272"/>
  <c r="S38" i="272"/>
  <c r="S41" i="272"/>
  <c r="S42" i="272"/>
  <c r="V43" i="272"/>
  <c r="AA43" i="272"/>
  <c r="P48" i="272"/>
  <c r="S48" i="272" s="1"/>
  <c r="S54" i="272"/>
  <c r="S56" i="272"/>
  <c r="Y58" i="272"/>
  <c r="S63" i="272"/>
  <c r="S68" i="272"/>
  <c r="S74" i="272"/>
  <c r="S78" i="272"/>
  <c r="S82" i="272"/>
  <c r="S87" i="272"/>
  <c r="X85" i="272"/>
  <c r="S89" i="272"/>
  <c r="S93" i="272"/>
  <c r="S103" i="272"/>
  <c r="S107" i="272"/>
  <c r="S114" i="272"/>
  <c r="S127" i="272"/>
  <c r="S131" i="272"/>
  <c r="P133" i="272"/>
  <c r="S133" i="272" s="1"/>
  <c r="S137" i="272"/>
  <c r="S149" i="272"/>
  <c r="O146" i="272"/>
  <c r="O145" i="272" s="1"/>
  <c r="S171" i="272"/>
  <c r="S172" i="272"/>
  <c r="S173" i="272"/>
  <c r="S174" i="272"/>
  <c r="S178" i="272"/>
  <c r="V180" i="272"/>
  <c r="V179" i="272" s="1"/>
  <c r="S184" i="272"/>
  <c r="S207" i="272"/>
  <c r="S214" i="272"/>
  <c r="S217" i="272"/>
  <c r="S218" i="272"/>
  <c r="O223" i="272"/>
  <c r="O222" i="272" s="1"/>
  <c r="O168" i="272" s="1"/>
  <c r="S226" i="272"/>
  <c r="S236" i="272"/>
  <c r="S16" i="254"/>
  <c r="O14" i="254"/>
  <c r="S23" i="254"/>
  <c r="AH111" i="254"/>
  <c r="R158" i="254"/>
  <c r="R157" i="254" s="1"/>
  <c r="O169" i="254"/>
  <c r="O168" i="254" s="1"/>
  <c r="S201" i="254"/>
  <c r="P200" i="254"/>
  <c r="Q203" i="254"/>
  <c r="S203" i="254" s="1"/>
  <c r="S209" i="254"/>
  <c r="P208" i="254"/>
  <c r="P202" i="254" s="1"/>
  <c r="M40" i="291"/>
  <c r="E40" i="291" s="1"/>
  <c r="Q230" i="254"/>
  <c r="L36" i="290" s="1"/>
  <c r="E36" i="290" s="1"/>
  <c r="F36" i="290" s="1"/>
  <c r="M37" i="291"/>
  <c r="E37" i="291" s="1"/>
  <c r="F37" i="291" s="1"/>
  <c r="Q233" i="254"/>
  <c r="L34" i="290" s="1"/>
  <c r="E34" i="290" s="1"/>
  <c r="F34" i="290" s="1"/>
  <c r="V11" i="270"/>
  <c r="V10" i="270" s="1"/>
  <c r="V261" i="270" s="1"/>
  <c r="W25" i="270"/>
  <c r="W11" i="270" s="1"/>
  <c r="W10" i="270" s="1"/>
  <c r="U212" i="270"/>
  <c r="W212" i="270"/>
  <c r="W180" i="270" s="1"/>
  <c r="S9" i="295"/>
  <c r="P8" i="295"/>
  <c r="P23" i="295" s="1"/>
  <c r="S23" i="295" s="1"/>
  <c r="V27" i="305"/>
  <c r="V28" i="305" s="1"/>
  <c r="Y8" i="306"/>
  <c r="Y25" i="306" s="1"/>
  <c r="S21" i="297"/>
  <c r="S29" i="272"/>
  <c r="Y30" i="272"/>
  <c r="Y10" i="272" s="1"/>
  <c r="S32" i="272"/>
  <c r="S36" i="272"/>
  <c r="S40" i="272"/>
  <c r="X43" i="272"/>
  <c r="V58" i="272"/>
  <c r="V10" i="272" s="1"/>
  <c r="V9" i="272" s="1"/>
  <c r="R67" i="272"/>
  <c r="V85" i="272"/>
  <c r="Z85" i="272"/>
  <c r="S111" i="272"/>
  <c r="S116" i="272"/>
  <c r="S118" i="272"/>
  <c r="S129" i="272"/>
  <c r="W133" i="272"/>
  <c r="W122" i="272" s="1"/>
  <c r="W9" i="272" s="1"/>
  <c r="W240" i="272" s="1"/>
  <c r="Q146" i="272"/>
  <c r="Q145" i="272" s="1"/>
  <c r="S176" i="272"/>
  <c r="Y180" i="272"/>
  <c r="Y179" i="272" s="1"/>
  <c r="S182" i="272"/>
  <c r="S186" i="272"/>
  <c r="S224" i="272"/>
  <c r="S228" i="272"/>
  <c r="S229" i="272"/>
  <c r="S230" i="272"/>
  <c r="S62" i="254"/>
  <c r="P28" i="277"/>
  <c r="Y158" i="254"/>
  <c r="S161" i="254"/>
  <c r="P158" i="254"/>
  <c r="Q169" i="254"/>
  <c r="S169" i="254" s="1"/>
  <c r="R212" i="270"/>
  <c r="S207" i="229"/>
  <c r="S218" i="229"/>
  <c r="S224" i="229"/>
  <c r="S236" i="229"/>
  <c r="T12" i="271"/>
  <c r="V50" i="271"/>
  <c r="V11" i="271" s="1"/>
  <c r="V10" i="271" s="1"/>
  <c r="V210" i="271" s="1"/>
  <c r="Y50" i="271"/>
  <c r="W65" i="271"/>
  <c r="R10" i="272"/>
  <c r="O14" i="272"/>
  <c r="O10" i="272" s="1"/>
  <c r="O9" i="272" s="1"/>
  <c r="S17" i="272"/>
  <c r="X20" i="272"/>
  <c r="S22" i="272"/>
  <c r="S26" i="272"/>
  <c r="S33" i="272"/>
  <c r="S37" i="272"/>
  <c r="S59" i="272"/>
  <c r="S66" i="272"/>
  <c r="Z67" i="272"/>
  <c r="S70" i="272"/>
  <c r="S73" i="272"/>
  <c r="S77" i="272"/>
  <c r="S86" i="272"/>
  <c r="S88" i="272"/>
  <c r="S92" i="272"/>
  <c r="S96" i="272"/>
  <c r="S102" i="272"/>
  <c r="S106" i="272"/>
  <c r="Q110" i="272"/>
  <c r="S110" i="272" s="1"/>
  <c r="Y110" i="272"/>
  <c r="S113" i="272"/>
  <c r="Q115" i="272"/>
  <c r="S115" i="272" s="1"/>
  <c r="R123" i="272"/>
  <c r="R122" i="272" s="1"/>
  <c r="S126" i="272"/>
  <c r="S132" i="272"/>
  <c r="V122" i="272"/>
  <c r="S134" i="272"/>
  <c r="S148" i="272"/>
  <c r="S157" i="272"/>
  <c r="S160" i="272"/>
  <c r="Y162" i="272"/>
  <c r="Y161" i="272" s="1"/>
  <c r="V170" i="272"/>
  <c r="V169" i="272" s="1"/>
  <c r="S175" i="272"/>
  <c r="S183" i="272"/>
  <c r="R180" i="272"/>
  <c r="R179" i="272" s="1"/>
  <c r="R168" i="272" s="1"/>
  <c r="W191" i="272"/>
  <c r="W168" i="272" s="1"/>
  <c r="S227" i="272"/>
  <c r="S231" i="272"/>
  <c r="S232" i="272"/>
  <c r="S233" i="272"/>
  <c r="S15" i="254"/>
  <c r="S21" i="254"/>
  <c r="AH20" i="254"/>
  <c r="S22" i="254"/>
  <c r="S34" i="254"/>
  <c r="K14" i="291"/>
  <c r="D14" i="291" s="1"/>
  <c r="Y111" i="254"/>
  <c r="S136" i="254"/>
  <c r="P135" i="254"/>
  <c r="O135" i="254"/>
  <c r="O134" i="254" s="1"/>
  <c r="S184" i="254"/>
  <c r="P183" i="254"/>
  <c r="P182" i="254" s="1"/>
  <c r="R202" i="254"/>
  <c r="O156" i="254"/>
  <c r="S222" i="254"/>
  <c r="P218" i="254"/>
  <c r="P217" i="254" s="1"/>
  <c r="C106" i="289"/>
  <c r="AS225" i="254"/>
  <c r="Y218" i="254"/>
  <c r="S226" i="254"/>
  <c r="K40" i="291"/>
  <c r="D40" i="291" s="1"/>
  <c r="Y230" i="254"/>
  <c r="U10" i="270"/>
  <c r="T67" i="270"/>
  <c r="T11" i="270" s="1"/>
  <c r="T10" i="270" s="1"/>
  <c r="T261" i="270" s="1"/>
  <c r="AB95" i="270"/>
  <c r="U180" i="270"/>
  <c r="T227" i="270"/>
  <c r="T226" i="270" s="1"/>
  <c r="T180" i="270"/>
  <c r="Y8" i="305"/>
  <c r="Y25" i="305" s="1"/>
  <c r="Y9" i="308"/>
  <c r="Y8" i="308" s="1"/>
  <c r="Y16" i="308" s="1"/>
  <c r="S38" i="297"/>
  <c r="S24" i="254"/>
  <c r="S30" i="254"/>
  <c r="S35" i="254"/>
  <c r="S37" i="254"/>
  <c r="AJ42" i="254"/>
  <c r="P48" i="254"/>
  <c r="R54" i="254"/>
  <c r="S66" i="254"/>
  <c r="S69" i="254"/>
  <c r="S70" i="254"/>
  <c r="S71" i="254"/>
  <c r="S72" i="254"/>
  <c r="S73" i="254"/>
  <c r="S77" i="254"/>
  <c r="S81" i="254"/>
  <c r="S88" i="254"/>
  <c r="S119" i="254"/>
  <c r="S122" i="254"/>
  <c r="S124" i="254"/>
  <c r="S137" i="254"/>
  <c r="S140" i="254"/>
  <c r="S164" i="254"/>
  <c r="S170" i="254"/>
  <c r="S174" i="254"/>
  <c r="S176" i="254"/>
  <c r="Q182" i="254"/>
  <c r="L32" i="290" s="1"/>
  <c r="E32" i="290" s="1"/>
  <c r="F32" i="290" s="1"/>
  <c r="Y182" i="254"/>
  <c r="Y203" i="254"/>
  <c r="S204" i="254"/>
  <c r="Q211" i="254"/>
  <c r="L39" i="290" s="1"/>
  <c r="E39" i="290" s="1"/>
  <c r="F39" i="290" s="1"/>
  <c r="S212" i="254"/>
  <c r="S213" i="254"/>
  <c r="Y214" i="254"/>
  <c r="S232" i="254"/>
  <c r="P228" i="273"/>
  <c r="N244" i="273"/>
  <c r="O239" i="273" s="1"/>
  <c r="S10" i="295"/>
  <c r="AH10" i="299"/>
  <c r="AH9" i="299" s="1"/>
  <c r="AH8" i="299" s="1"/>
  <c r="AH18" i="299" s="1"/>
  <c r="O10" i="299"/>
  <c r="O9" i="299" s="1"/>
  <c r="O8" i="299" s="1"/>
  <c r="O18" i="299" s="1"/>
  <c r="AS50" i="318"/>
  <c r="S15" i="318"/>
  <c r="AJ10" i="313"/>
  <c r="R21" i="313"/>
  <c r="R9" i="313" s="1"/>
  <c r="R8" i="313" s="1"/>
  <c r="R24" i="313" s="1"/>
  <c r="S13" i="314"/>
  <c r="S17" i="314"/>
  <c r="S20" i="314"/>
  <c r="S10" i="305"/>
  <c r="S9" i="305" s="1"/>
  <c r="S8" i="305" s="1"/>
  <c r="S15" i="306"/>
  <c r="S10" i="308"/>
  <c r="S9" i="308" s="1"/>
  <c r="S8" i="308" s="1"/>
  <c r="AS16" i="308"/>
  <c r="AS11" i="308"/>
  <c r="S10" i="297"/>
  <c r="S11" i="297"/>
  <c r="S14" i="297"/>
  <c r="V38" i="297"/>
  <c r="V9" i="309"/>
  <c r="V8" i="309" s="1"/>
  <c r="V32" i="309" s="1"/>
  <c r="V34" i="309" s="1"/>
  <c r="S17" i="309"/>
  <c r="Q14" i="309"/>
  <c r="Q9" i="309" s="1"/>
  <c r="Q8" i="309" s="1"/>
  <c r="Q32" i="309" s="1"/>
  <c r="X9" i="309"/>
  <c r="X8" i="309" s="1"/>
  <c r="Q20" i="309"/>
  <c r="X20" i="309"/>
  <c r="AH57" i="254"/>
  <c r="S78" i="254"/>
  <c r="S79" i="254"/>
  <c r="S95" i="254"/>
  <c r="S96" i="254"/>
  <c r="S97" i="254"/>
  <c r="S98" i="254"/>
  <c r="S113" i="254"/>
  <c r="S117" i="254"/>
  <c r="S138" i="254"/>
  <c r="AH135" i="254"/>
  <c r="AH134" i="254" s="1"/>
  <c r="Q135" i="254"/>
  <c r="Q134" i="254" s="1"/>
  <c r="L20" i="290" s="1"/>
  <c r="E20" i="290" s="1"/>
  <c r="S171" i="254"/>
  <c r="S228" i="254"/>
  <c r="S11" i="295"/>
  <c r="S15" i="295"/>
  <c r="P10" i="299"/>
  <c r="AJ23" i="318"/>
  <c r="P28" i="318"/>
  <c r="S33" i="318"/>
  <c r="S11" i="313"/>
  <c r="S13" i="317"/>
  <c r="P15" i="317"/>
  <c r="S15" i="301"/>
  <c r="S18" i="301"/>
  <c r="Y9" i="304"/>
  <c r="Y8" i="304" s="1"/>
  <c r="Y34" i="304" s="1"/>
  <c r="P9" i="305"/>
  <c r="P8" i="305" s="1"/>
  <c r="P25" i="305" s="1"/>
  <c r="S11" i="305"/>
  <c r="S13" i="306"/>
  <c r="AT16" i="308"/>
  <c r="AQ49" i="297"/>
  <c r="S12" i="297"/>
  <c r="S15" i="297"/>
  <c r="AH25" i="297"/>
  <c r="AH9" i="297" s="1"/>
  <c r="AH8" i="297" s="1"/>
  <c r="AH49" i="297" s="1"/>
  <c r="S30" i="297"/>
  <c r="O9" i="309"/>
  <c r="O8" i="309" s="1"/>
  <c r="O32" i="309" s="1"/>
  <c r="S10" i="310"/>
  <c r="P9" i="310"/>
  <c r="P40" i="279"/>
  <c r="P36" i="279" s="1"/>
  <c r="P38" i="283"/>
  <c r="S27" i="254"/>
  <c r="R29" i="254"/>
  <c r="S33" i="254"/>
  <c r="S39" i="254"/>
  <c r="O42" i="254"/>
  <c r="S63" i="254"/>
  <c r="Q65" i="254"/>
  <c r="M12" i="291" s="1"/>
  <c r="E12" i="291" s="1"/>
  <c r="F12" i="291" s="1"/>
  <c r="R76" i="254"/>
  <c r="S83" i="254"/>
  <c r="S84" i="254"/>
  <c r="S85" i="254"/>
  <c r="S86" i="254"/>
  <c r="S87" i="254"/>
  <c r="S89" i="254"/>
  <c r="S90" i="254"/>
  <c r="S103" i="254"/>
  <c r="S118" i="254"/>
  <c r="S120" i="254"/>
  <c r="S123" i="254"/>
  <c r="S125" i="254"/>
  <c r="S129" i="254"/>
  <c r="S146" i="254"/>
  <c r="S147" i="254"/>
  <c r="S159" i="254"/>
  <c r="S166" i="254"/>
  <c r="S172" i="254"/>
  <c r="S175" i="254"/>
  <c r="S178" i="254"/>
  <c r="S206" i="254"/>
  <c r="Q218" i="254"/>
  <c r="S220" i="254"/>
  <c r="S234" i="254"/>
  <c r="Q236" i="254"/>
  <c r="L37" i="290" s="1"/>
  <c r="E37" i="290" s="1"/>
  <c r="F37" i="290" s="1"/>
  <c r="X7" i="273"/>
  <c r="F14" i="265"/>
  <c r="F16" i="265"/>
  <c r="D19" i="265"/>
  <c r="Y9" i="295"/>
  <c r="Y8" i="295" s="1"/>
  <c r="Y23" i="295" s="1"/>
  <c r="AS23" i="295"/>
  <c r="S12" i="295"/>
  <c r="S14" i="295"/>
  <c r="S12" i="299"/>
  <c r="S14" i="299"/>
  <c r="S15" i="314"/>
  <c r="S22" i="314"/>
  <c r="S10" i="304"/>
  <c r="S9" i="304" s="1"/>
  <c r="S8" i="304" s="1"/>
  <c r="R9" i="297"/>
  <c r="R8" i="297" s="1"/>
  <c r="R49" i="297" s="1"/>
  <c r="S16" i="297"/>
  <c r="AH9" i="309"/>
  <c r="AH8" i="309" s="1"/>
  <c r="AH32" i="309" s="1"/>
  <c r="C25" i="286"/>
  <c r="AW231" i="273"/>
  <c r="M228" i="273"/>
  <c r="F7" i="265"/>
  <c r="AH8" i="295"/>
  <c r="AH23" i="295" s="1"/>
  <c r="V21" i="299"/>
  <c r="R8" i="318"/>
  <c r="R50" i="318" s="1"/>
  <c r="S14" i="318"/>
  <c r="S20" i="318"/>
  <c r="O23" i="318"/>
  <c r="O9" i="318" s="1"/>
  <c r="O8" i="318" s="1"/>
  <c r="O50" i="318" s="1"/>
  <c r="S10" i="313"/>
  <c r="S23" i="313"/>
  <c r="S10" i="317"/>
  <c r="V21" i="301"/>
  <c r="V22" i="301" s="1"/>
  <c r="S11" i="301"/>
  <c r="S13" i="301"/>
  <c r="S16" i="301"/>
  <c r="S11" i="304"/>
  <c r="S13" i="305"/>
  <c r="S15" i="305"/>
  <c r="P9" i="306"/>
  <c r="P8" i="306" s="1"/>
  <c r="P25" i="306" s="1"/>
  <c r="Q10" i="306"/>
  <c r="Q9" i="306" s="1"/>
  <c r="Q8" i="306" s="1"/>
  <c r="Q25" i="306" s="1"/>
  <c r="AS15" i="306"/>
  <c r="Q9" i="308"/>
  <c r="Q8" i="308" s="1"/>
  <c r="Q16" i="308" s="1"/>
  <c r="AQ11" i="308"/>
  <c r="AQ16" i="308" s="1"/>
  <c r="AS49" i="297"/>
  <c r="AI10" i="297"/>
  <c r="S17" i="297"/>
  <c r="S22" i="297"/>
  <c r="V21" i="297"/>
  <c r="V9" i="297" s="1"/>
  <c r="V8" i="297" s="1"/>
  <c r="V49" i="297" s="1"/>
  <c r="V51" i="297" s="1"/>
  <c r="O21" i="297"/>
  <c r="O9" i="297" s="1"/>
  <c r="O8" i="297" s="1"/>
  <c r="O49" i="297" s="1"/>
  <c r="S47" i="297"/>
  <c r="P46" i="297"/>
  <c r="S21" i="309"/>
  <c r="P20" i="309"/>
  <c r="S20" i="309" s="1"/>
  <c r="S29" i="309"/>
  <c r="S24" i="311"/>
  <c r="P8" i="275"/>
  <c r="P7" i="275" s="1"/>
  <c r="P33" i="275" s="1"/>
  <c r="S43" i="297"/>
  <c r="AQ32" i="309"/>
  <c r="S18" i="309"/>
  <c r="F10" i="296"/>
  <c r="W7" i="277"/>
  <c r="P9" i="282"/>
  <c r="D55" i="284"/>
  <c r="AD209" i="169"/>
  <c r="W172" i="100"/>
  <c r="AF172" i="100"/>
  <c r="AJ172" i="100"/>
  <c r="AN172" i="100"/>
  <c r="AR172" i="100"/>
  <c r="S19" i="297"/>
  <c r="S24" i="297"/>
  <c r="S26" i="297"/>
  <c r="S28" i="297"/>
  <c r="S32" i="297"/>
  <c r="S33" i="297"/>
  <c r="S35" i="297"/>
  <c r="S40" i="297"/>
  <c r="Y10" i="309"/>
  <c r="Y9" i="309" s="1"/>
  <c r="Y8" i="309" s="1"/>
  <c r="Y32" i="309" s="1"/>
  <c r="AR32" i="309"/>
  <c r="P14" i="309"/>
  <c r="S14" i="309" s="1"/>
  <c r="S16" i="309"/>
  <c r="S23" i="309"/>
  <c r="S28" i="309"/>
  <c r="AQ16" i="310"/>
  <c r="S12" i="310"/>
  <c r="S14" i="310"/>
  <c r="Q10" i="312"/>
  <c r="Q9" i="312" s="1"/>
  <c r="Q8" i="312" s="1"/>
  <c r="Q12" i="312" s="1"/>
  <c r="P9" i="311"/>
  <c r="AS40" i="311"/>
  <c r="S11" i="311"/>
  <c r="S21" i="311"/>
  <c r="S22" i="311"/>
  <c r="Y14" i="311"/>
  <c r="F11" i="296"/>
  <c r="F15" i="296"/>
  <c r="F19" i="296"/>
  <c r="F23" i="296"/>
  <c r="F27" i="296"/>
  <c r="F36" i="296"/>
  <c r="F40" i="296"/>
  <c r="F44" i="296"/>
  <c r="C34" i="287"/>
  <c r="C19" i="287"/>
  <c r="H47" i="291"/>
  <c r="V10" i="168"/>
  <c r="V9" i="168" s="1"/>
  <c r="V58" i="168" s="1"/>
  <c r="T18" i="168"/>
  <c r="AE50" i="168"/>
  <c r="T51" i="168"/>
  <c r="T50" i="168" s="1"/>
  <c r="W172" i="169"/>
  <c r="W151" i="169" s="1"/>
  <c r="S10" i="100"/>
  <c r="S9" i="100" s="1"/>
  <c r="R34" i="100"/>
  <c r="W34" i="100"/>
  <c r="AF34" i="100"/>
  <c r="AJ34" i="100"/>
  <c r="AN34" i="100"/>
  <c r="AN10" i="100" s="1"/>
  <c r="AN9" i="100" s="1"/>
  <c r="AN209" i="100" s="1"/>
  <c r="AR34" i="100"/>
  <c r="AR10" i="100" s="1"/>
  <c r="AR9" i="100" s="1"/>
  <c r="AR209" i="100" s="1"/>
  <c r="R49" i="100"/>
  <c r="R10" i="100" s="1"/>
  <c r="R9" i="100" s="1"/>
  <c r="R209" i="100" s="1"/>
  <c r="AU218" i="100" s="1"/>
  <c r="X49" i="100"/>
  <c r="X10" i="100" s="1"/>
  <c r="X9" i="100" s="1"/>
  <c r="X209" i="100" s="1"/>
  <c r="S41" i="297"/>
  <c r="S46" i="297"/>
  <c r="S11" i="309"/>
  <c r="S10" i="309" s="1"/>
  <c r="AS32" i="309"/>
  <c r="S24" i="309"/>
  <c r="S30" i="309"/>
  <c r="F12" i="296"/>
  <c r="F16" i="296"/>
  <c r="F20" i="296"/>
  <c r="F24" i="296"/>
  <c r="F28" i="296"/>
  <c r="F33" i="296"/>
  <c r="F37" i="296"/>
  <c r="F41" i="296"/>
  <c r="F45" i="296"/>
  <c r="P7" i="276"/>
  <c r="P14" i="278"/>
  <c r="P22" i="278" s="1"/>
  <c r="W7" i="283"/>
  <c r="C6" i="284"/>
  <c r="C55" i="284" s="1"/>
  <c r="C27" i="286"/>
  <c r="D27" i="286" s="1"/>
  <c r="D28" i="286" s="1"/>
  <c r="C5" i="288"/>
  <c r="C42" i="290"/>
  <c r="W26" i="168"/>
  <c r="U9" i="168"/>
  <c r="U58" i="168" s="1"/>
  <c r="T18" i="169"/>
  <c r="V18" i="169"/>
  <c r="R34" i="169"/>
  <c r="W34" i="169"/>
  <c r="Z49" i="169"/>
  <c r="R71" i="169"/>
  <c r="R103" i="169"/>
  <c r="W219" i="169"/>
  <c r="W122" i="169"/>
  <c r="W121" i="169" s="1"/>
  <c r="AL10" i="100"/>
  <c r="AP10" i="100"/>
  <c r="AE18" i="100"/>
  <c r="AI18" i="100"/>
  <c r="AM18" i="100"/>
  <c r="AM10" i="100" s="1"/>
  <c r="AM9" i="100" s="1"/>
  <c r="AQ18" i="100"/>
  <c r="AQ10" i="100" s="1"/>
  <c r="AQ9" i="100" s="1"/>
  <c r="AQ209" i="100" s="1"/>
  <c r="AD49" i="100"/>
  <c r="AH49" i="100"/>
  <c r="AL49" i="100"/>
  <c r="AT49" i="100"/>
  <c r="T103" i="100"/>
  <c r="AE103" i="100"/>
  <c r="AM103" i="100"/>
  <c r="AQ103" i="100"/>
  <c r="AF132" i="100"/>
  <c r="AF131" i="100" s="1"/>
  <c r="AJ132" i="100"/>
  <c r="AJ131" i="100" s="1"/>
  <c r="AK140" i="100"/>
  <c r="AK139" i="100" s="1"/>
  <c r="AO140" i="100"/>
  <c r="AO139" i="100" s="1"/>
  <c r="AS140" i="100"/>
  <c r="AS139" i="100" s="1"/>
  <c r="AF151" i="100"/>
  <c r="AF209" i="100" s="1"/>
  <c r="AJ151" i="100"/>
  <c r="AJ209" i="100" s="1"/>
  <c r="AN151" i="100"/>
  <c r="AR151" i="100"/>
  <c r="S31" i="309"/>
  <c r="AS16" i="310"/>
  <c r="S11" i="310"/>
  <c r="S13" i="310"/>
  <c r="AQ40" i="311"/>
  <c r="S17" i="311"/>
  <c r="S26" i="311"/>
  <c r="S35" i="311"/>
  <c r="Q37" i="311"/>
  <c r="S37" i="311" s="1"/>
  <c r="H47" i="296"/>
  <c r="P9" i="277"/>
  <c r="P8" i="277" s="1"/>
  <c r="P7" i="277" s="1"/>
  <c r="P42" i="277"/>
  <c r="P36" i="277"/>
  <c r="P35" i="277" s="1"/>
  <c r="P17" i="282"/>
  <c r="P20" i="283"/>
  <c r="C20" i="294"/>
  <c r="W51" i="168"/>
  <c r="W50" i="168" s="1"/>
  <c r="X151" i="169"/>
  <c r="W10" i="100"/>
  <c r="AC89" i="100"/>
  <c r="AC10" i="100" s="1"/>
  <c r="AC9" i="100" s="1"/>
  <c r="AC209" i="100" s="1"/>
  <c r="AG89" i="100"/>
  <c r="AK89" i="100"/>
  <c r="AK10" i="100" s="1"/>
  <c r="AK9" i="100" s="1"/>
  <c r="AO89" i="100"/>
  <c r="AO10" i="100" s="1"/>
  <c r="AO9" i="100" s="1"/>
  <c r="AO209" i="100" s="1"/>
  <c r="AS89" i="100"/>
  <c r="AS10" i="100" s="1"/>
  <c r="AS9" i="100" s="1"/>
  <c r="AK103" i="100"/>
  <c r="AO103" i="100"/>
  <c r="AS103" i="100"/>
  <c r="R122" i="100"/>
  <c r="R121" i="100" s="1"/>
  <c r="AD151" i="100"/>
  <c r="AD209" i="100" s="1"/>
  <c r="AP151" i="100"/>
  <c r="AM186" i="100"/>
  <c r="AM151" i="100" s="1"/>
  <c r="V24" i="169"/>
  <c r="AE172" i="100"/>
  <c r="AE151" i="100" s="1"/>
  <c r="AE209" i="100" s="1"/>
  <c r="AO172" i="100"/>
  <c r="AE186" i="100"/>
  <c r="AQ186" i="100"/>
  <c r="AC186" i="100"/>
  <c r="AG186" i="100"/>
  <c r="S35" i="92"/>
  <c r="S9" i="92" s="1"/>
  <c r="S8" i="92" s="1"/>
  <c r="R65" i="92"/>
  <c r="AY33" i="100"/>
  <c r="AD140" i="100"/>
  <c r="AD139" i="100" s="1"/>
  <c r="AL140" i="100"/>
  <c r="AL139" i="100" s="1"/>
  <c r="AP140" i="100"/>
  <c r="AP139" i="100" s="1"/>
  <c r="AT140" i="100"/>
  <c r="AT139" i="100" s="1"/>
  <c r="R140" i="100"/>
  <c r="R139" i="100" s="1"/>
  <c r="W140" i="100"/>
  <c r="W139" i="100" s="1"/>
  <c r="S151" i="100"/>
  <c r="AO151" i="100"/>
  <c r="AC151" i="100"/>
  <c r="AG151" i="100"/>
  <c r="AG209" i="100" s="1"/>
  <c r="AQ151" i="100"/>
  <c r="W151" i="100"/>
  <c r="AK186" i="100"/>
  <c r="AK151" i="100" s="1"/>
  <c r="AS186" i="100"/>
  <c r="AS151" i="100" s="1"/>
  <c r="U19" i="92"/>
  <c r="U9" i="92" s="1"/>
  <c r="U8" i="92" s="1"/>
  <c r="T77" i="92"/>
  <c r="U184" i="40"/>
  <c r="R166" i="81"/>
  <c r="R25" i="92"/>
  <c r="R9" i="92" s="1"/>
  <c r="R8" i="92" s="1"/>
  <c r="R193" i="92" s="1"/>
  <c r="S81" i="92"/>
  <c r="T199" i="40"/>
  <c r="U166" i="81"/>
  <c r="U122" i="92"/>
  <c r="U121" i="92" s="1"/>
  <c r="S162" i="92"/>
  <c r="U25" i="40"/>
  <c r="U185" i="75"/>
  <c r="R19" i="74"/>
  <c r="R90" i="74"/>
  <c r="X148" i="74"/>
  <c r="X147" i="74" s="1"/>
  <c r="R141" i="92"/>
  <c r="U162" i="92"/>
  <c r="R175" i="92"/>
  <c r="R174" i="92" s="1"/>
  <c r="X19" i="40"/>
  <c r="S25" i="40"/>
  <c r="X76" i="40"/>
  <c r="U15" i="81"/>
  <c r="T122" i="81"/>
  <c r="T121" i="81" s="1"/>
  <c r="U191" i="81"/>
  <c r="BA207" i="81"/>
  <c r="R95" i="75"/>
  <c r="R210" i="75"/>
  <c r="X53" i="74"/>
  <c r="T140" i="74"/>
  <c r="T139" i="74" s="1"/>
  <c r="T25" i="70"/>
  <c r="U174" i="92"/>
  <c r="X10" i="81"/>
  <c r="X9" i="81" s="1"/>
  <c r="X166" i="81"/>
  <c r="X143" i="81" s="1"/>
  <c r="U181" i="81"/>
  <c r="R26" i="75"/>
  <c r="U91" i="75"/>
  <c r="R200" i="75"/>
  <c r="X109" i="74"/>
  <c r="U119" i="74"/>
  <c r="X35" i="40"/>
  <c r="R191" i="81"/>
  <c r="R181" i="81" s="1"/>
  <c r="X184" i="74"/>
  <c r="X161" i="74" s="1"/>
  <c r="X110" i="75"/>
  <c r="T141" i="75"/>
  <c r="T140" i="75" s="1"/>
  <c r="U53" i="74"/>
  <c r="R140" i="74"/>
  <c r="R139" i="74" s="1"/>
  <c r="R200" i="74"/>
  <c r="R199" i="74" s="1"/>
  <c r="U19" i="70"/>
  <c r="X161" i="70"/>
  <c r="R25" i="69"/>
  <c r="X209" i="69"/>
  <c r="X199" i="69" s="1"/>
  <c r="R25" i="68"/>
  <c r="X109" i="68"/>
  <c r="X184" i="68"/>
  <c r="X161" i="68" s="1"/>
  <c r="U26" i="75"/>
  <c r="X70" i="75"/>
  <c r="T91" i="75"/>
  <c r="R120" i="75"/>
  <c r="T201" i="75"/>
  <c r="T200" i="75" s="1"/>
  <c r="U25" i="74"/>
  <c r="R69" i="70"/>
  <c r="U90" i="70"/>
  <c r="X94" i="70"/>
  <c r="X9" i="70" s="1"/>
  <c r="X8" i="70" s="1"/>
  <c r="X224" i="70" s="1"/>
  <c r="X19" i="69"/>
  <c r="X9" i="69" s="1"/>
  <c r="X8" i="69" s="1"/>
  <c r="R53" i="68"/>
  <c r="X66" i="68"/>
  <c r="R140" i="68"/>
  <c r="R139" i="68" s="1"/>
  <c r="R54" i="75"/>
  <c r="R70" i="75"/>
  <c r="X120" i="75"/>
  <c r="X10" i="75" s="1"/>
  <c r="X9" i="75" s="1"/>
  <c r="X210" i="75"/>
  <c r="X200" i="75" s="1"/>
  <c r="X162" i="75" s="1"/>
  <c r="X69" i="74"/>
  <c r="X9" i="74" s="1"/>
  <c r="X8" i="74" s="1"/>
  <c r="U140" i="74"/>
  <c r="U139" i="74" s="1"/>
  <c r="U199" i="74"/>
  <c r="U53" i="70"/>
  <c r="U69" i="70"/>
  <c r="X184" i="69"/>
  <c r="R199" i="69"/>
  <c r="U53" i="68"/>
  <c r="T90" i="68"/>
  <c r="R53" i="70"/>
  <c r="R19" i="69"/>
  <c r="X161" i="69"/>
  <c r="R184" i="69"/>
  <c r="U200" i="69"/>
  <c r="U199" i="69" s="1"/>
  <c r="R19" i="68"/>
  <c r="X19" i="68"/>
  <c r="X9" i="68" s="1"/>
  <c r="X8" i="68" s="1"/>
  <c r="T140" i="68"/>
  <c r="T139" i="68" s="1"/>
  <c r="R184" i="68"/>
  <c r="R200" i="68"/>
  <c r="R199" i="68" s="1"/>
  <c r="C69" i="289"/>
  <c r="C84" i="289"/>
  <c r="R132" i="1"/>
  <c r="R131" i="1" s="1"/>
  <c r="Q131" i="1"/>
  <c r="R194" i="1"/>
  <c r="R193" i="1" s="1"/>
  <c r="Q193" i="1"/>
  <c r="AA11" i="229"/>
  <c r="W191" i="229"/>
  <c r="T11" i="271"/>
  <c r="AB91" i="271"/>
  <c r="S43" i="254"/>
  <c r="P42" i="254"/>
  <c r="O11" i="1"/>
  <c r="M10" i="1"/>
  <c r="M9" i="1" s="1"/>
  <c r="Q115" i="1"/>
  <c r="R124" i="1"/>
  <c r="R123" i="1" s="1"/>
  <c r="Q123" i="1"/>
  <c r="R135" i="1"/>
  <c r="R134" i="1" s="1"/>
  <c r="R133" i="1" s="1"/>
  <c r="Q134" i="1"/>
  <c r="O150" i="1"/>
  <c r="O160" i="1"/>
  <c r="R182" i="1"/>
  <c r="R181" i="1" s="1"/>
  <c r="Q181" i="1"/>
  <c r="R200" i="1"/>
  <c r="R199" i="1" s="1"/>
  <c r="R198" i="1" s="1"/>
  <c r="Q199" i="1"/>
  <c r="T162" i="99"/>
  <c r="T225" i="99" s="1"/>
  <c r="V77" i="68"/>
  <c r="V77" i="69"/>
  <c r="V77" i="74"/>
  <c r="V77" i="70"/>
  <c r="V78" i="75"/>
  <c r="V59" i="81"/>
  <c r="V77" i="40"/>
  <c r="V78" i="99"/>
  <c r="V77" i="99" s="1"/>
  <c r="W100" i="254"/>
  <c r="W109" i="229"/>
  <c r="S197" i="229"/>
  <c r="Q196" i="229"/>
  <c r="S196" i="229" s="1"/>
  <c r="S46" i="229"/>
  <c r="P119" i="229"/>
  <c r="S156" i="229"/>
  <c r="V191" i="229"/>
  <c r="AB123" i="271"/>
  <c r="T122" i="271"/>
  <c r="S18" i="254"/>
  <c r="S55" i="254"/>
  <c r="O10" i="1"/>
  <c r="Q13" i="1"/>
  <c r="Q24" i="1"/>
  <c r="R24" i="1" s="1"/>
  <c r="O80" i="1"/>
  <c r="L116" i="1"/>
  <c r="R119" i="1"/>
  <c r="Q126" i="1"/>
  <c r="M134" i="1"/>
  <c r="O134" i="1" s="1"/>
  <c r="L149" i="1"/>
  <c r="Q149" i="1"/>
  <c r="L159" i="1"/>
  <c r="O159" i="1" s="1"/>
  <c r="Q159" i="1"/>
  <c r="M168" i="1"/>
  <c r="O168" i="1" s="1"/>
  <c r="M176" i="1"/>
  <c r="O176" i="1" s="1"/>
  <c r="M178" i="1"/>
  <c r="O178" i="1" s="1"/>
  <c r="M181" i="1"/>
  <c r="O181" i="1" s="1"/>
  <c r="M184" i="1"/>
  <c r="M193" i="1"/>
  <c r="O193" i="1" s="1"/>
  <c r="L196" i="1"/>
  <c r="O196" i="1" s="1"/>
  <c r="Q196" i="1"/>
  <c r="L204" i="1"/>
  <c r="O204" i="1" s="1"/>
  <c r="V11" i="68"/>
  <c r="V11" i="69"/>
  <c r="V11" i="70"/>
  <c r="V12" i="75"/>
  <c r="V11" i="74"/>
  <c r="V11" i="40"/>
  <c r="V11" i="92"/>
  <c r="Z11" i="68"/>
  <c r="Z11" i="69"/>
  <c r="Z11" i="70"/>
  <c r="Z12" i="75"/>
  <c r="Z11" i="74"/>
  <c r="Z11" i="40"/>
  <c r="V13" i="68"/>
  <c r="V13" i="69"/>
  <c r="V13" i="70"/>
  <c r="V14" i="75"/>
  <c r="V13" i="74"/>
  <c r="V13" i="40"/>
  <c r="V13" i="92"/>
  <c r="V13" i="100"/>
  <c r="S14" i="68"/>
  <c r="S14" i="69"/>
  <c r="S14" i="70"/>
  <c r="S14" i="74"/>
  <c r="S15" i="75"/>
  <c r="S14" i="40"/>
  <c r="S10" i="40" s="1"/>
  <c r="S14" i="92"/>
  <c r="U14" i="68"/>
  <c r="U10" i="68" s="1"/>
  <c r="U14" i="69"/>
  <c r="U10" i="69" s="1"/>
  <c r="U14" i="70"/>
  <c r="U10" i="70" s="1"/>
  <c r="U14" i="74"/>
  <c r="U10" i="74" s="1"/>
  <c r="U15" i="75"/>
  <c r="U11" i="75" s="1"/>
  <c r="U14" i="40"/>
  <c r="U10" i="40" s="1"/>
  <c r="U14" i="92"/>
  <c r="Y14" i="68"/>
  <c r="Y14" i="69"/>
  <c r="Y14" i="70"/>
  <c r="Y14" i="74"/>
  <c r="Y15" i="75"/>
  <c r="Y14" i="40"/>
  <c r="V15" i="68"/>
  <c r="V15" i="69"/>
  <c r="V15" i="70"/>
  <c r="V15" i="74"/>
  <c r="V16" i="75"/>
  <c r="V15" i="92"/>
  <c r="V15" i="40"/>
  <c r="V14" i="100"/>
  <c r="V18" i="68"/>
  <c r="V18" i="69"/>
  <c r="V18" i="70"/>
  <c r="V19" i="75"/>
  <c r="V18" i="74"/>
  <c r="V18" i="40"/>
  <c r="V18" i="92"/>
  <c r="V17" i="100"/>
  <c r="V20" i="68"/>
  <c r="V20" i="69"/>
  <c r="V20" i="70"/>
  <c r="V20" i="74"/>
  <c r="V21" i="75"/>
  <c r="V12" i="81"/>
  <c r="V20" i="40"/>
  <c r="V20" i="92"/>
  <c r="V19" i="100"/>
  <c r="Z21" i="68"/>
  <c r="Z21" i="69"/>
  <c r="Z21" i="70"/>
  <c r="Z21" i="74"/>
  <c r="Z22" i="75"/>
  <c r="Z21" i="40"/>
  <c r="AB20" i="100"/>
  <c r="V22" i="68"/>
  <c r="V22" i="69"/>
  <c r="V22" i="70"/>
  <c r="V22" i="74"/>
  <c r="V23" i="75"/>
  <c r="V22" i="40"/>
  <c r="V22" i="92"/>
  <c r="V21" i="100"/>
  <c r="V23" i="68"/>
  <c r="V23" i="69"/>
  <c r="V23" i="70"/>
  <c r="V23" i="74"/>
  <c r="V24" i="75"/>
  <c r="V13" i="81"/>
  <c r="V23" i="40"/>
  <c r="V23" i="92"/>
  <c r="V22" i="100"/>
  <c r="V24" i="68"/>
  <c r="V24" i="69"/>
  <c r="V24" i="70"/>
  <c r="V24" i="74"/>
  <c r="V25" i="75"/>
  <c r="V14" i="81"/>
  <c r="V24" i="40"/>
  <c r="V24" i="92"/>
  <c r="V23" i="100"/>
  <c r="Y26" i="68"/>
  <c r="Y26" i="69"/>
  <c r="Y26" i="70"/>
  <c r="Y27" i="75"/>
  <c r="Y26" i="74"/>
  <c r="Y26" i="40"/>
  <c r="Y16" i="81"/>
  <c r="Y25" i="100"/>
  <c r="T25" i="169"/>
  <c r="AG15" i="2"/>
  <c r="V27" i="68"/>
  <c r="V27" i="69"/>
  <c r="V27" i="70"/>
  <c r="V27" i="74"/>
  <c r="V28" i="75"/>
  <c r="V27" i="40"/>
  <c r="V27" i="92"/>
  <c r="V26" i="100"/>
  <c r="Z27" i="68"/>
  <c r="Z27" i="69"/>
  <c r="Z27" i="70"/>
  <c r="Z27" i="74"/>
  <c r="Z28" i="75"/>
  <c r="Z27" i="40"/>
  <c r="AB26" i="100"/>
  <c r="V28" i="68"/>
  <c r="V28" i="69"/>
  <c r="V28" i="70"/>
  <c r="V28" i="74"/>
  <c r="V29" i="75"/>
  <c r="V28" i="40"/>
  <c r="V28" i="92"/>
  <c r="V27" i="100"/>
  <c r="Z29" i="68"/>
  <c r="Z29" i="69"/>
  <c r="Z29" i="70"/>
  <c r="Z29" i="74"/>
  <c r="Z30" i="75"/>
  <c r="Z17" i="81"/>
  <c r="Z29" i="40"/>
  <c r="AB28" i="100"/>
  <c r="V30" i="68"/>
  <c r="V30" i="69"/>
  <c r="V30" i="70"/>
  <c r="V30" i="74"/>
  <c r="V31" i="75"/>
  <c r="V30" i="40"/>
  <c r="V30" i="92"/>
  <c r="V29" i="100"/>
  <c r="Z31" i="68"/>
  <c r="Z31" i="69"/>
  <c r="Z31" i="70"/>
  <c r="Z31" i="74"/>
  <c r="Z32" i="75"/>
  <c r="Z18" i="81"/>
  <c r="Z31" i="40"/>
  <c r="AB30" i="100"/>
  <c r="V32" i="68"/>
  <c r="V32" i="69"/>
  <c r="V32" i="70"/>
  <c r="V32" i="74"/>
  <c r="V33" i="75"/>
  <c r="V32" i="40"/>
  <c r="V32" i="92"/>
  <c r="V31" i="100"/>
  <c r="Y33" i="68"/>
  <c r="Y33" i="69"/>
  <c r="Y33" i="70"/>
  <c r="Y34" i="75"/>
  <c r="Y33" i="74"/>
  <c r="Y33" i="40"/>
  <c r="Y19" i="81"/>
  <c r="Y15" i="81" s="1"/>
  <c r="T32" i="169"/>
  <c r="Y32" i="100"/>
  <c r="V36" i="68"/>
  <c r="V36" i="69"/>
  <c r="V36" i="70"/>
  <c r="V37" i="75"/>
  <c r="V36" i="74"/>
  <c r="V36" i="40"/>
  <c r="V36" i="92"/>
  <c r="V35" i="100"/>
  <c r="Z37" i="68"/>
  <c r="Z37" i="69"/>
  <c r="Z37" i="70"/>
  <c r="Z37" i="74"/>
  <c r="Z38" i="75"/>
  <c r="Z37" i="40"/>
  <c r="AB36" i="100"/>
  <c r="R38" i="68"/>
  <c r="R38" i="69"/>
  <c r="R38" i="70"/>
  <c r="R38" i="74"/>
  <c r="R39" i="75"/>
  <c r="R38" i="40"/>
  <c r="T38" i="68"/>
  <c r="T38" i="69"/>
  <c r="T38" i="70"/>
  <c r="T39" i="75"/>
  <c r="T38" i="74"/>
  <c r="T38" i="40"/>
  <c r="V38" i="68"/>
  <c r="V38" i="69"/>
  <c r="V38" i="70"/>
  <c r="V39" i="75"/>
  <c r="V38" i="74"/>
  <c r="V38" i="40"/>
  <c r="V39" i="68"/>
  <c r="V39" i="69"/>
  <c r="V39" i="70"/>
  <c r="V40" i="75"/>
  <c r="V39" i="74"/>
  <c r="V22" i="81"/>
  <c r="V39" i="40"/>
  <c r="V38" i="92"/>
  <c r="V37" i="100"/>
  <c r="Z40" i="68"/>
  <c r="Z40" i="69"/>
  <c r="Z40" i="70"/>
  <c r="Z41" i="75"/>
  <c r="Z40" i="74"/>
  <c r="Z23" i="81"/>
  <c r="Z40" i="40"/>
  <c r="AB38" i="100"/>
  <c r="V41" i="68"/>
  <c r="V41" i="69"/>
  <c r="V41" i="70"/>
  <c r="V42" i="75"/>
  <c r="V41" i="74"/>
  <c r="V41" i="40"/>
  <c r="V40" i="92"/>
  <c r="V39" i="100"/>
  <c r="Y43" i="68"/>
  <c r="Y43" i="69"/>
  <c r="Y43" i="70"/>
  <c r="Y43" i="74"/>
  <c r="Y44" i="75"/>
  <c r="Y43" i="40"/>
  <c r="Y25" i="81"/>
  <c r="T41" i="169"/>
  <c r="T34" i="169" s="1"/>
  <c r="Y41" i="100"/>
  <c r="Y34" i="100" s="1"/>
  <c r="V17" i="318"/>
  <c r="V10" i="318" s="1"/>
  <c r="X41" i="169"/>
  <c r="X34" i="169" s="1"/>
  <c r="AT41" i="100"/>
  <c r="AT34" i="100" s="1"/>
  <c r="AT10" i="100" s="1"/>
  <c r="AT9" i="100" s="1"/>
  <c r="AT209" i="100" s="1"/>
  <c r="AH17" i="318"/>
  <c r="AH10" i="318" s="1"/>
  <c r="AH9" i="318" s="1"/>
  <c r="AH8" i="318" s="1"/>
  <c r="AH50" i="318" s="1"/>
  <c r="V44" i="68"/>
  <c r="V44" i="69"/>
  <c r="V44" i="70"/>
  <c r="V45" i="75"/>
  <c r="V44" i="74"/>
  <c r="V26" i="81"/>
  <c r="V44" i="40"/>
  <c r="V43" i="92"/>
  <c r="V42" i="100"/>
  <c r="Z45" i="68"/>
  <c r="Z45" i="69"/>
  <c r="Z45" i="70"/>
  <c r="Z46" i="75"/>
  <c r="Z45" i="74"/>
  <c r="Z27" i="81"/>
  <c r="Z45" i="40"/>
  <c r="AB43" i="100"/>
  <c r="V46" i="68"/>
  <c r="V46" i="69"/>
  <c r="V46" i="70"/>
  <c r="V47" i="75"/>
  <c r="V46" i="74"/>
  <c r="V28" i="81"/>
  <c r="V46" i="40"/>
  <c r="V45" i="92"/>
  <c r="V44" i="100"/>
  <c r="U47" i="68"/>
  <c r="U47" i="69"/>
  <c r="U47" i="70"/>
  <c r="U48" i="75"/>
  <c r="U47" i="74"/>
  <c r="U29" i="81"/>
  <c r="U21" i="81" s="1"/>
  <c r="U47" i="40"/>
  <c r="Y47" i="68"/>
  <c r="Y47" i="69"/>
  <c r="Y47" i="70"/>
  <c r="Y48" i="75"/>
  <c r="Y47" i="74"/>
  <c r="Y29" i="81"/>
  <c r="Y21" i="81" s="1"/>
  <c r="Y47" i="40"/>
  <c r="Z48" i="68"/>
  <c r="Z48" i="69"/>
  <c r="Z48" i="70"/>
  <c r="Z48" i="74"/>
  <c r="Z49" i="75"/>
  <c r="Z30" i="81"/>
  <c r="Z48" i="40"/>
  <c r="AB45" i="100"/>
  <c r="V49" i="68"/>
  <c r="V49" i="69"/>
  <c r="V49" i="70"/>
  <c r="V50" i="75"/>
  <c r="V49" i="74"/>
  <c r="V31" i="81"/>
  <c r="V47" i="92"/>
  <c r="V49" i="40"/>
  <c r="Z49" i="68"/>
  <c r="Z49" i="69"/>
  <c r="Z49" i="70"/>
  <c r="Z50" i="75"/>
  <c r="Z49" i="74"/>
  <c r="Z31" i="81"/>
  <c r="Z49" i="40"/>
  <c r="V50" i="68"/>
  <c r="V50" i="69"/>
  <c r="V50" i="70"/>
  <c r="V51" i="75"/>
  <c r="V50" i="74"/>
  <c r="V32" i="81"/>
  <c r="V50" i="40"/>
  <c r="V46" i="100"/>
  <c r="V51" i="68"/>
  <c r="V51" i="69"/>
  <c r="V51" i="70"/>
  <c r="V51" i="74"/>
  <c r="V52" i="75"/>
  <c r="V51" i="40"/>
  <c r="V33" i="81"/>
  <c r="V47" i="100"/>
  <c r="V54" i="68"/>
  <c r="V54" i="69"/>
  <c r="V54" i="70"/>
  <c r="V54" i="74"/>
  <c r="V55" i="75"/>
  <c r="V50" i="92"/>
  <c r="V36" i="81"/>
  <c r="V54" i="40"/>
  <c r="V55" i="68"/>
  <c r="V55" i="69"/>
  <c r="V55" i="70"/>
  <c r="V56" i="75"/>
  <c r="V55" i="74"/>
  <c r="V37" i="81"/>
  <c r="V55" i="40"/>
  <c r="V50" i="100"/>
  <c r="T56" i="68"/>
  <c r="T56" i="69"/>
  <c r="T56" i="70"/>
  <c r="T56" i="74"/>
  <c r="T57" i="75"/>
  <c r="T38" i="81"/>
  <c r="T56" i="40"/>
  <c r="T51" i="100"/>
  <c r="V57" i="68"/>
  <c r="V57" i="69"/>
  <c r="V57" i="70"/>
  <c r="V58" i="75"/>
  <c r="V57" i="74"/>
  <c r="V39" i="81"/>
  <c r="V51" i="92"/>
  <c r="V57" i="40"/>
  <c r="V52" i="100"/>
  <c r="Z57" i="68"/>
  <c r="Z57" i="69"/>
  <c r="Z57" i="70"/>
  <c r="Z58" i="75"/>
  <c r="Z57" i="74"/>
  <c r="Z39" i="81"/>
  <c r="Z57" i="40"/>
  <c r="AB52" i="100"/>
  <c r="T58" i="68"/>
  <c r="T58" i="69"/>
  <c r="T58" i="70"/>
  <c r="T58" i="74"/>
  <c r="T59" i="75"/>
  <c r="T52" i="92"/>
  <c r="T40" i="81"/>
  <c r="T58" i="40"/>
  <c r="T53" i="100"/>
  <c r="Q27" i="318"/>
  <c r="Z58" i="68"/>
  <c r="Z58" i="69"/>
  <c r="Z58" i="70"/>
  <c r="Z58" i="74"/>
  <c r="Z59" i="75"/>
  <c r="Z40" i="81"/>
  <c r="Z58" i="40"/>
  <c r="AB53" i="100"/>
  <c r="T59" i="68"/>
  <c r="T59" i="69"/>
  <c r="T59" i="70"/>
  <c r="T60" i="75"/>
  <c r="T59" i="74"/>
  <c r="T41" i="81"/>
  <c r="T59" i="40"/>
  <c r="T53" i="92"/>
  <c r="Q28" i="318"/>
  <c r="Y59" i="68"/>
  <c r="Y59" i="69"/>
  <c r="Y59" i="70"/>
  <c r="Y59" i="74"/>
  <c r="Y60" i="75"/>
  <c r="Y59" i="40"/>
  <c r="Y41" i="81"/>
  <c r="Z59" i="68"/>
  <c r="Z59" i="69"/>
  <c r="Z59" i="70"/>
  <c r="Z60" i="75"/>
  <c r="Z59" i="74"/>
  <c r="Z41" i="81"/>
  <c r="Z59" i="40"/>
  <c r="O60" i="68"/>
  <c r="O60" i="69"/>
  <c r="O60" i="70"/>
  <c r="O60" i="74"/>
  <c r="O61" i="75"/>
  <c r="O60" i="40"/>
  <c r="O42" i="81"/>
  <c r="O54" i="100"/>
  <c r="O54" i="169"/>
  <c r="V60" i="68"/>
  <c r="V60" i="69"/>
  <c r="V60" i="70"/>
  <c r="V60" i="74"/>
  <c r="V61" i="75"/>
  <c r="V42" i="81"/>
  <c r="V60" i="40"/>
  <c r="V54" i="100"/>
  <c r="V61" i="68"/>
  <c r="V61" i="69"/>
  <c r="V61" i="70"/>
  <c r="V61" i="74"/>
  <c r="V62" i="75"/>
  <c r="V61" i="40"/>
  <c r="V43" i="81"/>
  <c r="V56" i="100"/>
  <c r="O62" i="68"/>
  <c r="O62" i="69"/>
  <c r="O62" i="70"/>
  <c r="O62" i="74"/>
  <c r="O63" i="75"/>
  <c r="O62" i="40"/>
  <c r="O44" i="81"/>
  <c r="V63" i="68"/>
  <c r="V63" i="69"/>
  <c r="V63" i="70"/>
  <c r="V64" i="75"/>
  <c r="V63" i="74"/>
  <c r="V45" i="81"/>
  <c r="V54" i="92"/>
  <c r="V63" i="40"/>
  <c r="V58" i="100"/>
  <c r="Z63" i="68"/>
  <c r="Z63" i="69"/>
  <c r="Z63" i="70"/>
  <c r="Z64" i="75"/>
  <c r="Z63" i="74"/>
  <c r="Z45" i="81"/>
  <c r="Z63" i="40"/>
  <c r="AB58" i="100"/>
  <c r="T64" i="68"/>
  <c r="T64" i="69"/>
  <c r="T64" i="70"/>
  <c r="T64" i="74"/>
  <c r="T65" i="75"/>
  <c r="T55" i="92"/>
  <c r="T46" i="81"/>
  <c r="T64" i="40"/>
  <c r="T59" i="100"/>
  <c r="Y64" i="68"/>
  <c r="Y64" i="69"/>
  <c r="Y64" i="70"/>
  <c r="Y65" i="75"/>
  <c r="Y64" i="74"/>
  <c r="Y46" i="81"/>
  <c r="Y64" i="40"/>
  <c r="T59" i="169"/>
  <c r="V33" i="318"/>
  <c r="Y59" i="100"/>
  <c r="V67" i="68"/>
  <c r="V67" i="69"/>
  <c r="V67" i="70"/>
  <c r="V68" i="75"/>
  <c r="V67" i="74"/>
  <c r="V49" i="81"/>
  <c r="V67" i="40"/>
  <c r="V58" i="92"/>
  <c r="V62" i="100"/>
  <c r="Z67" i="68"/>
  <c r="Z67" i="69"/>
  <c r="Z67" i="70"/>
  <c r="Z68" i="75"/>
  <c r="Z67" i="74"/>
  <c r="Z49" i="81"/>
  <c r="Z67" i="40"/>
  <c r="AB62" i="100"/>
  <c r="T68" i="68"/>
  <c r="T68" i="69"/>
  <c r="T68" i="70"/>
  <c r="T68" i="74"/>
  <c r="T50" i="81"/>
  <c r="T69" i="75"/>
  <c r="T68" i="40"/>
  <c r="T59" i="92"/>
  <c r="T63" i="100"/>
  <c r="Q36" i="318"/>
  <c r="S36" i="318" s="1"/>
  <c r="Z68" i="68"/>
  <c r="Z68" i="69"/>
  <c r="Z68" i="70"/>
  <c r="Z68" i="74"/>
  <c r="Z50" i="81"/>
  <c r="Z69" i="75"/>
  <c r="Z68" i="40"/>
  <c r="AB63" i="100"/>
  <c r="T70" i="68"/>
  <c r="T70" i="69"/>
  <c r="T70" i="70"/>
  <c r="T70" i="74"/>
  <c r="T52" i="81"/>
  <c r="T71" i="75"/>
  <c r="T70" i="40"/>
  <c r="T61" i="92"/>
  <c r="Q38" i="318"/>
  <c r="T65" i="100"/>
  <c r="Z70" i="68"/>
  <c r="Z70" i="69"/>
  <c r="Z70" i="70"/>
  <c r="Z70" i="74"/>
  <c r="Z52" i="81"/>
  <c r="Z71" i="75"/>
  <c r="Z70" i="40"/>
  <c r="AB65" i="100"/>
  <c r="AB64" i="100" s="1"/>
  <c r="T71" i="68"/>
  <c r="T71" i="69"/>
  <c r="T71" i="70"/>
  <c r="T72" i="75"/>
  <c r="T71" i="74"/>
  <c r="T53" i="81"/>
  <c r="T71" i="40"/>
  <c r="T62" i="92"/>
  <c r="Y71" i="68"/>
  <c r="Y71" i="69"/>
  <c r="Y71" i="70"/>
  <c r="Y71" i="74"/>
  <c r="Y53" i="81"/>
  <c r="Y72" i="75"/>
  <c r="Y71" i="40"/>
  <c r="T72" i="68"/>
  <c r="T72" i="69"/>
  <c r="T72" i="70"/>
  <c r="T73" i="75"/>
  <c r="T72" i="74"/>
  <c r="T54" i="81"/>
  <c r="T72" i="40"/>
  <c r="T66" i="100"/>
  <c r="O73" i="68"/>
  <c r="O73" i="69"/>
  <c r="O73" i="70"/>
  <c r="O74" i="75"/>
  <c r="O73" i="74"/>
  <c r="O55" i="81"/>
  <c r="O73" i="40"/>
  <c r="V73" i="68"/>
  <c r="V73" i="69"/>
  <c r="V73" i="70"/>
  <c r="V74" i="75"/>
  <c r="V73" i="74"/>
  <c r="V55" i="81"/>
  <c r="V73" i="40"/>
  <c r="V67" i="100"/>
  <c r="T74" i="68"/>
  <c r="T74" i="69"/>
  <c r="T74" i="70"/>
  <c r="T74" i="74"/>
  <c r="T56" i="81"/>
  <c r="T75" i="75"/>
  <c r="T74" i="40"/>
  <c r="T63" i="92"/>
  <c r="T69" i="100"/>
  <c r="Q40" i="318"/>
  <c r="S40" i="318" s="1"/>
  <c r="Y74" i="68"/>
  <c r="Y74" i="69"/>
  <c r="Y74" i="70"/>
  <c r="Y75" i="75"/>
  <c r="Y74" i="74"/>
  <c r="Y56" i="81"/>
  <c r="Y69" i="100"/>
  <c r="Y74" i="40"/>
  <c r="T69" i="169"/>
  <c r="V40" i="318"/>
  <c r="T75" i="68"/>
  <c r="T75" i="69"/>
  <c r="T75" i="70"/>
  <c r="T76" i="75"/>
  <c r="T75" i="74"/>
  <c r="T57" i="81"/>
  <c r="T75" i="40"/>
  <c r="T70" i="100"/>
  <c r="T64" i="92"/>
  <c r="Q41" i="318"/>
  <c r="S41" i="318" s="1"/>
  <c r="Y75" i="68"/>
  <c r="Y75" i="69"/>
  <c r="Y75" i="70"/>
  <c r="Y75" i="74"/>
  <c r="Y57" i="81"/>
  <c r="Y76" i="75"/>
  <c r="Y75" i="40"/>
  <c r="Y70" i="100"/>
  <c r="T70" i="169"/>
  <c r="V41" i="318"/>
  <c r="U77" i="68"/>
  <c r="U76" i="68" s="1"/>
  <c r="U77" i="69"/>
  <c r="U76" i="69" s="1"/>
  <c r="U77" i="70"/>
  <c r="U76" i="70" s="1"/>
  <c r="U77" i="74"/>
  <c r="U76" i="74" s="1"/>
  <c r="U59" i="81"/>
  <c r="U58" i="81" s="1"/>
  <c r="U78" i="75"/>
  <c r="U77" i="75" s="1"/>
  <c r="U77" i="40"/>
  <c r="U76" i="40" s="1"/>
  <c r="Y77" i="68"/>
  <c r="Y77" i="69"/>
  <c r="Y77" i="70"/>
  <c r="Y77" i="74"/>
  <c r="Y59" i="81"/>
  <c r="Y78" i="75"/>
  <c r="Y77" i="40"/>
  <c r="V78" i="68"/>
  <c r="V78" i="69"/>
  <c r="V78" i="74"/>
  <c r="V78" i="70"/>
  <c r="V79" i="75"/>
  <c r="V60" i="81"/>
  <c r="V66" i="92"/>
  <c r="V72" i="100"/>
  <c r="V78" i="40"/>
  <c r="V79" i="68"/>
  <c r="V79" i="69"/>
  <c r="V79" i="74"/>
  <c r="V79" i="70"/>
  <c r="V80" i="75"/>
  <c r="V61" i="81"/>
  <c r="V79" i="40"/>
  <c r="V73" i="100"/>
  <c r="Y81" i="68"/>
  <c r="Y81" i="69"/>
  <c r="Y81" i="74"/>
  <c r="Y81" i="70"/>
  <c r="Y82" i="75"/>
  <c r="Y63" i="81"/>
  <c r="Y81" i="40"/>
  <c r="Y76" i="100"/>
  <c r="T76" i="169"/>
  <c r="T29" i="168"/>
  <c r="V82" i="68"/>
  <c r="V82" i="69"/>
  <c r="V82" i="74"/>
  <c r="V82" i="70"/>
  <c r="V83" i="75"/>
  <c r="V64" i="81"/>
  <c r="V69" i="92"/>
  <c r="V77" i="100"/>
  <c r="V82" i="40"/>
  <c r="Y83" i="68"/>
  <c r="Y83" i="69"/>
  <c r="Y83" i="74"/>
  <c r="Y83" i="70"/>
  <c r="Y84" i="75"/>
  <c r="Y65" i="81"/>
  <c r="Y83" i="40"/>
  <c r="Y78" i="100"/>
  <c r="T78" i="169"/>
  <c r="V84" i="68"/>
  <c r="V84" i="69"/>
  <c r="V84" i="74"/>
  <c r="V84" i="70"/>
  <c r="V85" i="75"/>
  <c r="V66" i="81"/>
  <c r="V71" i="92"/>
  <c r="V79" i="100"/>
  <c r="V84" i="40"/>
  <c r="Y85" i="68"/>
  <c r="Y85" i="69"/>
  <c r="Y85" i="74"/>
  <c r="Y85" i="70"/>
  <c r="Y86" i="75"/>
  <c r="Y67" i="81"/>
  <c r="Y85" i="40"/>
  <c r="Y80" i="100"/>
  <c r="T80" i="169"/>
  <c r="V86" i="68"/>
  <c r="V86" i="69"/>
  <c r="V86" i="74"/>
  <c r="V86" i="70"/>
  <c r="V87" i="75"/>
  <c r="V68" i="81"/>
  <c r="V73" i="92"/>
  <c r="V81" i="100"/>
  <c r="V86" i="40"/>
  <c r="Z87" i="68"/>
  <c r="Z87" i="69"/>
  <c r="Z87" i="70"/>
  <c r="Z87" i="74"/>
  <c r="Z69" i="81"/>
  <c r="Z88" i="75"/>
  <c r="AB82" i="100"/>
  <c r="AB71" i="100" s="1"/>
  <c r="Z87" i="40"/>
  <c r="V88" i="68"/>
  <c r="V88" i="69"/>
  <c r="V88" i="74"/>
  <c r="V88" i="70"/>
  <c r="V89" i="75"/>
  <c r="V70" i="81"/>
  <c r="V75" i="92"/>
  <c r="V83" i="100"/>
  <c r="V88" i="40"/>
  <c r="Y89" i="68"/>
  <c r="Y89" i="70"/>
  <c r="Y89" i="69"/>
  <c r="Y89" i="74"/>
  <c r="Y90" i="75"/>
  <c r="Y71" i="81"/>
  <c r="Y89" i="40"/>
  <c r="Y84" i="100"/>
  <c r="T30" i="168"/>
  <c r="T84" i="169"/>
  <c r="V91" i="68"/>
  <c r="V91" i="69"/>
  <c r="V91" i="70"/>
  <c r="V91" i="74"/>
  <c r="V73" i="81"/>
  <c r="V92" i="75"/>
  <c r="V86" i="100"/>
  <c r="V91" i="40"/>
  <c r="V78" i="92"/>
  <c r="Y92" i="68"/>
  <c r="Y92" i="69"/>
  <c r="Y92" i="70"/>
  <c r="Y92" i="74"/>
  <c r="Y74" i="81"/>
  <c r="Y93" i="75"/>
  <c r="Y92" i="40"/>
  <c r="Y87" i="100"/>
  <c r="T87" i="169"/>
  <c r="Y93" i="68"/>
  <c r="Y93" i="70"/>
  <c r="Y93" i="69"/>
  <c r="Y93" i="74"/>
  <c r="Y94" i="75"/>
  <c r="Y75" i="81"/>
  <c r="Y93" i="40"/>
  <c r="Y88" i="100"/>
  <c r="T88" i="169"/>
  <c r="T32" i="168"/>
  <c r="T31" i="168" s="1"/>
  <c r="Y95" i="68"/>
  <c r="Y95" i="70"/>
  <c r="Y95" i="69"/>
  <c r="Y95" i="74"/>
  <c r="Y96" i="75"/>
  <c r="Y77" i="81"/>
  <c r="Y95" i="40"/>
  <c r="Y90" i="100"/>
  <c r="T90" i="169"/>
  <c r="V81" i="254"/>
  <c r="AG84" i="2"/>
  <c r="V96" i="68"/>
  <c r="V96" i="70"/>
  <c r="V96" i="69"/>
  <c r="V96" i="74"/>
  <c r="V97" i="75"/>
  <c r="V78" i="81"/>
  <c r="V83" i="92"/>
  <c r="V96" i="40"/>
  <c r="V91" i="100"/>
  <c r="V97" i="68"/>
  <c r="V97" i="69"/>
  <c r="V97" i="70"/>
  <c r="V97" i="74"/>
  <c r="V79" i="81"/>
  <c r="V98" i="75"/>
  <c r="V84" i="92"/>
  <c r="V92" i="100"/>
  <c r="V97" i="40"/>
  <c r="Y98" i="68"/>
  <c r="Y98" i="69"/>
  <c r="Y98" i="70"/>
  <c r="Y98" i="74"/>
  <c r="Y80" i="81"/>
  <c r="Y99" i="75"/>
  <c r="Y98" i="40"/>
  <c r="Y93" i="100"/>
  <c r="T93" i="169"/>
  <c r="Y99" i="68"/>
  <c r="Y99" i="70"/>
  <c r="Y99" i="69"/>
  <c r="Y99" i="74"/>
  <c r="Y100" i="75"/>
  <c r="Y81" i="81"/>
  <c r="Y99" i="40"/>
  <c r="Y94" i="100"/>
  <c r="T94" i="169"/>
  <c r="Y100" i="68"/>
  <c r="Y100" i="69"/>
  <c r="Y100" i="70"/>
  <c r="Y100" i="74"/>
  <c r="Y82" i="81"/>
  <c r="Y101" i="75"/>
  <c r="Y100" i="40"/>
  <c r="Y95" i="100"/>
  <c r="T95" i="169"/>
  <c r="Y101" i="68"/>
  <c r="Y101" i="70"/>
  <c r="Y101" i="69"/>
  <c r="Y101" i="74"/>
  <c r="Y102" i="75"/>
  <c r="Y83" i="81"/>
  <c r="Y101" i="40"/>
  <c r="Y96" i="100"/>
  <c r="T96" i="169"/>
  <c r="Y102" i="68"/>
  <c r="Y102" i="69"/>
  <c r="Y102" i="70"/>
  <c r="Y102" i="74"/>
  <c r="Y84" i="81"/>
  <c r="Y103" i="75"/>
  <c r="Y102" i="40"/>
  <c r="Y97" i="100"/>
  <c r="T97" i="169"/>
  <c r="AG91" i="2"/>
  <c r="V103" i="68"/>
  <c r="V103" i="69"/>
  <c r="V103" i="70"/>
  <c r="V103" i="74"/>
  <c r="V85" i="81"/>
  <c r="V104" i="75"/>
  <c r="V90" i="92"/>
  <c r="V98" i="100"/>
  <c r="V103" i="40"/>
  <c r="Y104" i="68"/>
  <c r="Y104" i="69"/>
  <c r="Y104" i="70"/>
  <c r="Y104" i="74"/>
  <c r="Y86" i="81"/>
  <c r="Y105" i="75"/>
  <c r="Y104" i="40"/>
  <c r="V105" i="68"/>
  <c r="V105" i="69"/>
  <c r="V105" i="70"/>
  <c r="V105" i="74"/>
  <c r="V87" i="81"/>
  <c r="V106" i="75"/>
  <c r="V99" i="100"/>
  <c r="V105" i="40"/>
  <c r="V106" i="68"/>
  <c r="V106" i="70"/>
  <c r="V106" i="69"/>
  <c r="V106" i="74"/>
  <c r="V107" i="75"/>
  <c r="V88" i="81"/>
  <c r="V106" i="40"/>
  <c r="V100" i="100"/>
  <c r="V107" i="68"/>
  <c r="V107" i="69"/>
  <c r="V107" i="70"/>
  <c r="V107" i="74"/>
  <c r="V89" i="81"/>
  <c r="V108" i="75"/>
  <c r="V101" i="100"/>
  <c r="V107" i="40"/>
  <c r="Z107" i="68"/>
  <c r="Z107" i="69"/>
  <c r="Z107" i="70"/>
  <c r="Z107" i="74"/>
  <c r="Z89" i="81"/>
  <c r="Z108" i="75"/>
  <c r="Z107" i="40"/>
  <c r="AB101" i="100"/>
  <c r="V108" i="68"/>
  <c r="V108" i="70"/>
  <c r="V108" i="69"/>
  <c r="V108" i="74"/>
  <c r="V109" i="75"/>
  <c r="V90" i="81"/>
  <c r="V92" i="92"/>
  <c r="V108" i="40"/>
  <c r="V102" i="100"/>
  <c r="Z108" i="68"/>
  <c r="Z108" i="70"/>
  <c r="Z108" i="69"/>
  <c r="Z108" i="74"/>
  <c r="Z109" i="75"/>
  <c r="Z90" i="81"/>
  <c r="AB102" i="100"/>
  <c r="Z108" i="40"/>
  <c r="V110" i="68"/>
  <c r="V110" i="70"/>
  <c r="V110" i="69"/>
  <c r="V110" i="74"/>
  <c r="V111" i="75"/>
  <c r="V92" i="81"/>
  <c r="V104" i="100"/>
  <c r="V110" i="40"/>
  <c r="V94" i="92"/>
  <c r="Z110" i="68"/>
  <c r="Z110" i="70"/>
  <c r="Z110" i="69"/>
  <c r="Z110" i="74"/>
  <c r="Z111" i="75"/>
  <c r="Z92" i="81"/>
  <c r="Z110" i="40"/>
  <c r="AB104" i="100"/>
  <c r="V111" i="68"/>
  <c r="V111" i="69"/>
  <c r="V111" i="70"/>
  <c r="V111" i="74"/>
  <c r="V93" i="81"/>
  <c r="V112" i="75"/>
  <c r="V111" i="40"/>
  <c r="V95" i="92"/>
  <c r="V105" i="100"/>
  <c r="Z111" i="68"/>
  <c r="Z111" i="69"/>
  <c r="Z111" i="70"/>
  <c r="Z111" i="74"/>
  <c r="Z93" i="81"/>
  <c r="Z112" i="75"/>
  <c r="AB105" i="100"/>
  <c r="Z111" i="40"/>
  <c r="V112" i="68"/>
  <c r="V112" i="69"/>
  <c r="V112" i="70"/>
  <c r="V112" i="74"/>
  <c r="V113" i="75"/>
  <c r="V94" i="81"/>
  <c r="V106" i="100"/>
  <c r="V112" i="40"/>
  <c r="V96" i="92"/>
  <c r="Y113" i="68"/>
  <c r="Y113" i="69"/>
  <c r="Y113" i="70"/>
  <c r="Y113" i="74"/>
  <c r="Y114" i="75"/>
  <c r="Y95" i="81"/>
  <c r="Y113" i="40"/>
  <c r="Y107" i="100"/>
  <c r="T107" i="169"/>
  <c r="V96" i="254"/>
  <c r="V114" i="68"/>
  <c r="V114" i="69"/>
  <c r="V114" i="70"/>
  <c r="V114" i="74"/>
  <c r="V115" i="75"/>
  <c r="V96" i="81"/>
  <c r="V108" i="100"/>
  <c r="V114" i="40"/>
  <c r="V98" i="92"/>
  <c r="U116" i="68"/>
  <c r="U109" i="68" s="1"/>
  <c r="U116" i="69"/>
  <c r="U109" i="69" s="1"/>
  <c r="U116" i="70"/>
  <c r="U109" i="70" s="1"/>
  <c r="U116" i="74"/>
  <c r="U109" i="74" s="1"/>
  <c r="U98" i="81"/>
  <c r="U117" i="75"/>
  <c r="U116" i="40"/>
  <c r="U109" i="40" s="1"/>
  <c r="Y116" i="68"/>
  <c r="Y116" i="69"/>
  <c r="Y116" i="70"/>
  <c r="Y116" i="74"/>
  <c r="Y98" i="81"/>
  <c r="Y117" i="75"/>
  <c r="Y116" i="40"/>
  <c r="Y117" i="68"/>
  <c r="Y117" i="69"/>
  <c r="Y117" i="70"/>
  <c r="Y117" i="74"/>
  <c r="Y99" i="81"/>
  <c r="Y118" i="75"/>
  <c r="Y117" i="40"/>
  <c r="Z110" i="100"/>
  <c r="Z103" i="100" s="1"/>
  <c r="U110" i="169"/>
  <c r="U103" i="169" s="1"/>
  <c r="W98" i="254"/>
  <c r="Z120" i="68"/>
  <c r="Z120" i="69"/>
  <c r="Z120" i="70"/>
  <c r="Z120" i="74"/>
  <c r="Z121" i="75"/>
  <c r="Z102" i="81"/>
  <c r="Z120" i="40"/>
  <c r="AB113" i="100"/>
  <c r="Y121" i="68"/>
  <c r="Y119" i="68" s="1"/>
  <c r="Y121" i="69"/>
  <c r="Y119" i="69" s="1"/>
  <c r="Y121" i="70"/>
  <c r="Y119" i="70" s="1"/>
  <c r="Y121" i="74"/>
  <c r="Y119" i="74" s="1"/>
  <c r="Y122" i="75"/>
  <c r="Y120" i="75" s="1"/>
  <c r="Y103" i="81"/>
  <c r="Y101" i="81" s="1"/>
  <c r="Y121" i="40"/>
  <c r="Y114" i="100"/>
  <c r="Y112" i="100" s="1"/>
  <c r="T114" i="169"/>
  <c r="T112" i="169" s="1"/>
  <c r="V102" i="254"/>
  <c r="V101" i="254" s="1"/>
  <c r="V122" i="68"/>
  <c r="V122" i="69"/>
  <c r="V122" i="70"/>
  <c r="V122" i="74"/>
  <c r="V123" i="75"/>
  <c r="V104" i="81"/>
  <c r="V115" i="100"/>
  <c r="V122" i="40"/>
  <c r="V105" i="92"/>
  <c r="V11" i="312"/>
  <c r="V10" i="312" s="1"/>
  <c r="V9" i="312" s="1"/>
  <c r="V8" i="312" s="1"/>
  <c r="V12" i="312" s="1"/>
  <c r="V14" i="312" s="1"/>
  <c r="V15" i="312" s="1"/>
  <c r="V105" i="254"/>
  <c r="V104" i="254" s="1"/>
  <c r="Z124" i="68"/>
  <c r="Z123" i="68" s="1"/>
  <c r="Z124" i="69"/>
  <c r="Z123" i="69" s="1"/>
  <c r="Z124" i="70"/>
  <c r="Z123" i="70" s="1"/>
  <c r="Z124" i="74"/>
  <c r="Z123" i="74" s="1"/>
  <c r="Z125" i="75"/>
  <c r="Z124" i="75" s="1"/>
  <c r="Z106" i="81"/>
  <c r="Z105" i="81" s="1"/>
  <c r="Z124" i="40"/>
  <c r="Z123" i="40" s="1"/>
  <c r="AB117" i="100"/>
  <c r="AB116" i="100" s="1"/>
  <c r="T127" i="68"/>
  <c r="T126" i="68" s="1"/>
  <c r="T125" i="68" s="1"/>
  <c r="T127" i="69"/>
  <c r="T126" i="69" s="1"/>
  <c r="T125" i="69" s="1"/>
  <c r="T127" i="70"/>
  <c r="T126" i="70" s="1"/>
  <c r="T125" i="70" s="1"/>
  <c r="T127" i="74"/>
  <c r="T126" i="74" s="1"/>
  <c r="T125" i="74" s="1"/>
  <c r="T109" i="81"/>
  <c r="T108" i="81" s="1"/>
  <c r="T107" i="81" s="1"/>
  <c r="T128" i="75"/>
  <c r="T127" i="75" s="1"/>
  <c r="T126" i="75" s="1"/>
  <c r="T127" i="40"/>
  <c r="T126" i="40" s="1"/>
  <c r="T125" i="40" s="1"/>
  <c r="T110" i="92"/>
  <c r="T109" i="92" s="1"/>
  <c r="T108" i="92" s="1"/>
  <c r="T120" i="100"/>
  <c r="T119" i="100" s="1"/>
  <c r="T118" i="100" s="1"/>
  <c r="Q14" i="316"/>
  <c r="Q13" i="316" s="1"/>
  <c r="Q12" i="316" s="1"/>
  <c r="Q49" i="318"/>
  <c r="Q48" i="318" s="1"/>
  <c r="Q47" i="318" s="1"/>
  <c r="U130" i="68"/>
  <c r="U129" i="68" s="1"/>
  <c r="U128" i="68" s="1"/>
  <c r="U130" i="69"/>
  <c r="U129" i="69" s="1"/>
  <c r="U128" i="69" s="1"/>
  <c r="U130" i="70"/>
  <c r="U129" i="70" s="1"/>
  <c r="U128" i="70" s="1"/>
  <c r="U130" i="74"/>
  <c r="U129" i="74" s="1"/>
  <c r="U128" i="74" s="1"/>
  <c r="U112" i="81"/>
  <c r="U111" i="81" s="1"/>
  <c r="U110" i="81" s="1"/>
  <c r="U131" i="75"/>
  <c r="U130" i="75" s="1"/>
  <c r="U129" i="75" s="1"/>
  <c r="U130" i="40"/>
  <c r="U129" i="40" s="1"/>
  <c r="U128" i="40" s="1"/>
  <c r="Y130" i="68"/>
  <c r="Y130" i="69"/>
  <c r="Y130" i="70"/>
  <c r="Y130" i="74"/>
  <c r="Y112" i="81"/>
  <c r="Y131" i="75"/>
  <c r="Y130" i="40"/>
  <c r="Y132" i="68"/>
  <c r="Y132" i="69"/>
  <c r="Y132" i="70"/>
  <c r="Y132" i="74"/>
  <c r="Y114" i="81"/>
  <c r="Y133" i="75"/>
  <c r="Y132" i="40"/>
  <c r="Z124" i="100"/>
  <c r="Z122" i="100" s="1"/>
  <c r="Z121" i="100" s="1"/>
  <c r="U124" i="169"/>
  <c r="U122" i="169" s="1"/>
  <c r="U121" i="169" s="1"/>
  <c r="W113" i="254"/>
  <c r="W112" i="254" s="1"/>
  <c r="V133" i="68"/>
  <c r="V133" i="69"/>
  <c r="V133" i="70"/>
  <c r="V133" i="74"/>
  <c r="V115" i="81"/>
  <c r="V134" i="75"/>
  <c r="V133" i="40"/>
  <c r="V115" i="92"/>
  <c r="V125" i="100"/>
  <c r="V134" i="68"/>
  <c r="V134" i="69"/>
  <c r="V134" i="70"/>
  <c r="V134" i="74"/>
  <c r="V135" i="75"/>
  <c r="V116" i="81"/>
  <c r="V126" i="100"/>
  <c r="V134" i="40"/>
  <c r="V116" i="92"/>
  <c r="Y135" i="68"/>
  <c r="Y135" i="69"/>
  <c r="Y135" i="70"/>
  <c r="Y135" i="74"/>
  <c r="Y136" i="75"/>
  <c r="Y117" i="81"/>
  <c r="Y135" i="40"/>
  <c r="Y127" i="100"/>
  <c r="T127" i="169"/>
  <c r="T43" i="168"/>
  <c r="T41" i="168" s="1"/>
  <c r="T40" i="168" s="1"/>
  <c r="V138" i="68"/>
  <c r="V137" i="68" s="1"/>
  <c r="V136" i="68" s="1"/>
  <c r="V138" i="69"/>
  <c r="V137" i="69" s="1"/>
  <c r="V136" i="69" s="1"/>
  <c r="V138" i="70"/>
  <c r="V137" i="70" s="1"/>
  <c r="V136" i="70" s="1"/>
  <c r="V138" i="74"/>
  <c r="V137" i="74" s="1"/>
  <c r="V136" i="74" s="1"/>
  <c r="V139" i="75"/>
  <c r="V138" i="75" s="1"/>
  <c r="V137" i="75" s="1"/>
  <c r="V120" i="81"/>
  <c r="V119" i="81" s="1"/>
  <c r="V118" i="81" s="1"/>
  <c r="V120" i="92"/>
  <c r="V119" i="92" s="1"/>
  <c r="V118" i="92" s="1"/>
  <c r="V130" i="100"/>
  <c r="V129" i="100" s="1"/>
  <c r="V128" i="100" s="1"/>
  <c r="V138" i="40"/>
  <c r="V137" i="40" s="1"/>
  <c r="V136" i="40" s="1"/>
  <c r="W11" i="310"/>
  <c r="W122" i="254"/>
  <c r="W13" i="310"/>
  <c r="W124" i="254"/>
  <c r="Z141" i="68"/>
  <c r="Z141" i="69"/>
  <c r="Z141" i="70"/>
  <c r="Z141" i="74"/>
  <c r="Z123" i="81"/>
  <c r="Z142" i="75"/>
  <c r="AB133" i="100"/>
  <c r="Z141" i="40"/>
  <c r="V142" i="68"/>
  <c r="V142" i="69"/>
  <c r="V142" i="70"/>
  <c r="V142" i="74"/>
  <c r="V143" i="75"/>
  <c r="V124" i="81"/>
  <c r="V124" i="92"/>
  <c r="V134" i="100"/>
  <c r="V142" i="40"/>
  <c r="V146" i="68"/>
  <c r="V145" i="68" s="1"/>
  <c r="V144" i="68" s="1"/>
  <c r="V146" i="69"/>
  <c r="V145" i="69" s="1"/>
  <c r="V144" i="69" s="1"/>
  <c r="V146" i="70"/>
  <c r="V145" i="70" s="1"/>
  <c r="V144" i="70" s="1"/>
  <c r="V146" i="74"/>
  <c r="V145" i="74" s="1"/>
  <c r="V144" i="74" s="1"/>
  <c r="V147" i="75"/>
  <c r="V146" i="75" s="1"/>
  <c r="V145" i="75" s="1"/>
  <c r="V128" i="81"/>
  <c r="V127" i="81" s="1"/>
  <c r="V126" i="81" s="1"/>
  <c r="V128" i="92"/>
  <c r="V127" i="92" s="1"/>
  <c r="V126" i="92" s="1"/>
  <c r="V146" i="40"/>
  <c r="V145" i="40" s="1"/>
  <c r="V144" i="40" s="1"/>
  <c r="V138" i="100"/>
  <c r="V137" i="100" s="1"/>
  <c r="V136" i="100" s="1"/>
  <c r="Z146" i="68"/>
  <c r="Z145" i="68" s="1"/>
  <c r="Z144" i="68" s="1"/>
  <c r="Z146" i="69"/>
  <c r="Z145" i="69" s="1"/>
  <c r="Z144" i="69" s="1"/>
  <c r="Z146" i="70"/>
  <c r="Z145" i="70" s="1"/>
  <c r="Z144" i="70" s="1"/>
  <c r="Z146" i="74"/>
  <c r="Z145" i="74" s="1"/>
  <c r="Z144" i="74" s="1"/>
  <c r="Z147" i="75"/>
  <c r="Z146" i="75" s="1"/>
  <c r="Z145" i="75" s="1"/>
  <c r="Z128" i="81"/>
  <c r="Z127" i="81" s="1"/>
  <c r="Z126" i="81" s="1"/>
  <c r="Z146" i="40"/>
  <c r="Z145" i="40" s="1"/>
  <c r="Z144" i="40" s="1"/>
  <c r="R149" i="68"/>
  <c r="R149" i="69"/>
  <c r="R149" i="70"/>
  <c r="R149" i="74"/>
  <c r="R150" i="75"/>
  <c r="R131" i="81"/>
  <c r="R149" i="40"/>
  <c r="T149" i="68"/>
  <c r="T149" i="69"/>
  <c r="T149" i="70"/>
  <c r="T149" i="74"/>
  <c r="T131" i="81"/>
  <c r="T150" i="75"/>
  <c r="T149" i="40"/>
  <c r="V149" i="68"/>
  <c r="V149" i="69"/>
  <c r="V149" i="70"/>
  <c r="V149" i="74"/>
  <c r="V131" i="81"/>
  <c r="V150" i="75"/>
  <c r="V149" i="40"/>
  <c r="AG139" i="2"/>
  <c r="V150" i="68"/>
  <c r="V150" i="69"/>
  <c r="V150" i="70"/>
  <c r="V150" i="74"/>
  <c r="V132" i="81"/>
  <c r="V151" i="75"/>
  <c r="V150" i="40"/>
  <c r="V131" i="92"/>
  <c r="V141" i="100"/>
  <c r="V151" i="68"/>
  <c r="V151" i="69"/>
  <c r="V151" i="70"/>
  <c r="V151" i="74"/>
  <c r="V133" i="81"/>
  <c r="V152" i="75"/>
  <c r="V132" i="92"/>
  <c r="V151" i="40"/>
  <c r="V142" i="100"/>
  <c r="R152" i="68"/>
  <c r="R152" i="69"/>
  <c r="R152" i="70"/>
  <c r="R152" i="74"/>
  <c r="R134" i="81"/>
  <c r="R153" i="75"/>
  <c r="R152" i="40"/>
  <c r="T152" i="68"/>
  <c r="T152" i="69"/>
  <c r="T152" i="70"/>
  <c r="T152" i="74"/>
  <c r="T153" i="75"/>
  <c r="T134" i="81"/>
  <c r="T152" i="40"/>
  <c r="X142" i="2"/>
  <c r="AG142" i="2"/>
  <c r="V153" i="68"/>
  <c r="V153" i="69"/>
  <c r="V153" i="70"/>
  <c r="V153" i="74"/>
  <c r="V154" i="75"/>
  <c r="V135" i="81"/>
  <c r="V153" i="40"/>
  <c r="V133" i="92"/>
  <c r="V143" i="100"/>
  <c r="V154" i="68"/>
  <c r="V154" i="69"/>
  <c r="V154" i="70"/>
  <c r="V154" i="74"/>
  <c r="V155" i="75"/>
  <c r="V136" i="81"/>
  <c r="V134" i="92"/>
  <c r="V154" i="40"/>
  <c r="V144" i="100"/>
  <c r="V155" i="68"/>
  <c r="V155" i="69"/>
  <c r="V155" i="70"/>
  <c r="V155" i="74"/>
  <c r="V137" i="81"/>
  <c r="V156" i="75"/>
  <c r="V135" i="92"/>
  <c r="V145" i="100"/>
  <c r="V155" i="40"/>
  <c r="Y156" i="68"/>
  <c r="Y156" i="69"/>
  <c r="Y156" i="70"/>
  <c r="Y156" i="74"/>
  <c r="Y138" i="81"/>
  <c r="Y157" i="75"/>
  <c r="Y156" i="40"/>
  <c r="Y146" i="100"/>
  <c r="V139" i="254"/>
  <c r="T146" i="169"/>
  <c r="V14" i="295"/>
  <c r="V157" i="68"/>
  <c r="V157" i="69"/>
  <c r="V157" i="70"/>
  <c r="V157" i="74"/>
  <c r="V139" i="81"/>
  <c r="V158" i="75"/>
  <c r="V137" i="92"/>
  <c r="V147" i="100"/>
  <c r="V157" i="40"/>
  <c r="Z159" i="68"/>
  <c r="Z159" i="69"/>
  <c r="Z159" i="70"/>
  <c r="Z159" i="74"/>
  <c r="Z141" i="81"/>
  <c r="Z160" i="75"/>
  <c r="Z159" i="40"/>
  <c r="AB149" i="100"/>
  <c r="AB140" i="100" s="1"/>
  <c r="AB139" i="100" s="1"/>
  <c r="V160" i="68"/>
  <c r="V160" i="69"/>
  <c r="V160" i="70"/>
  <c r="V160" i="74"/>
  <c r="V161" i="75"/>
  <c r="V142" i="81"/>
  <c r="V140" i="92"/>
  <c r="V160" i="40"/>
  <c r="V150" i="100"/>
  <c r="W11" i="311"/>
  <c r="W10" i="311" s="1"/>
  <c r="W9" i="311" s="1"/>
  <c r="W8" i="311" s="1"/>
  <c r="W153" i="254"/>
  <c r="W152" i="254" s="1"/>
  <c r="W151" i="254" s="1"/>
  <c r="U164" i="68"/>
  <c r="U163" i="68" s="1"/>
  <c r="U162" i="68" s="1"/>
  <c r="U164" i="69"/>
  <c r="U163" i="69" s="1"/>
  <c r="U162" i="69" s="1"/>
  <c r="U164" i="70"/>
  <c r="U163" i="70" s="1"/>
  <c r="U162" i="70" s="1"/>
  <c r="U164" i="74"/>
  <c r="U163" i="74" s="1"/>
  <c r="U162" i="74" s="1"/>
  <c r="U146" i="81"/>
  <c r="U145" i="81" s="1"/>
  <c r="U144" i="81" s="1"/>
  <c r="U165" i="75"/>
  <c r="U164" i="75" s="1"/>
  <c r="U163" i="75" s="1"/>
  <c r="U164" i="40"/>
  <c r="U163" i="40" s="1"/>
  <c r="U162" i="40" s="1"/>
  <c r="Y164" i="68"/>
  <c r="Y163" i="68" s="1"/>
  <c r="Y162" i="68" s="1"/>
  <c r="Y164" i="69"/>
  <c r="Y163" i="69" s="1"/>
  <c r="Y162" i="69" s="1"/>
  <c r="Y164" i="70"/>
  <c r="Y163" i="70" s="1"/>
  <c r="Y162" i="70" s="1"/>
  <c r="Y164" i="74"/>
  <c r="Y163" i="74" s="1"/>
  <c r="Y162" i="74" s="1"/>
  <c r="Y146" i="81"/>
  <c r="Y145" i="81" s="1"/>
  <c r="Y144" i="81" s="1"/>
  <c r="Y165" i="75"/>
  <c r="Y164" i="75" s="1"/>
  <c r="Y163" i="75" s="1"/>
  <c r="Y164" i="40"/>
  <c r="Y163" i="40" s="1"/>
  <c r="Y162" i="40" s="1"/>
  <c r="O165" i="68"/>
  <c r="O165" i="69"/>
  <c r="O165" i="70"/>
  <c r="O165" i="74"/>
  <c r="O166" i="75"/>
  <c r="O147" i="81"/>
  <c r="O144" i="92"/>
  <c r="O154" i="100"/>
  <c r="O165" i="40"/>
  <c r="O154" i="169"/>
  <c r="V166" i="68"/>
  <c r="V166" i="69"/>
  <c r="V166" i="70"/>
  <c r="V166" i="74"/>
  <c r="V167" i="75"/>
  <c r="V148" i="81"/>
  <c r="V155" i="100"/>
  <c r="V166" i="40"/>
  <c r="V145" i="92"/>
  <c r="O167" i="68"/>
  <c r="O167" i="69"/>
  <c r="O167" i="70"/>
  <c r="O167" i="74"/>
  <c r="O168" i="75"/>
  <c r="O149" i="81"/>
  <c r="O146" i="92"/>
  <c r="O156" i="100"/>
  <c r="O167" i="40"/>
  <c r="O156" i="169"/>
  <c r="V168" i="68"/>
  <c r="V168" i="69"/>
  <c r="V168" i="70"/>
  <c r="V168" i="74"/>
  <c r="V169" i="75"/>
  <c r="V150" i="81"/>
  <c r="V157" i="100"/>
  <c r="V168" i="40"/>
  <c r="V147" i="92"/>
  <c r="O169" i="68"/>
  <c r="O169" i="69"/>
  <c r="O169" i="70"/>
  <c r="O169" i="74"/>
  <c r="O170" i="75"/>
  <c r="O151" i="81"/>
  <c r="O148" i="92"/>
  <c r="O158" i="100"/>
  <c r="O169" i="40"/>
  <c r="O158" i="169"/>
  <c r="O170" i="68"/>
  <c r="O170" i="69"/>
  <c r="O170" i="70"/>
  <c r="O170" i="74"/>
  <c r="O171" i="75"/>
  <c r="O152" i="81"/>
  <c r="O170" i="40"/>
  <c r="O149" i="92"/>
  <c r="O159" i="100"/>
  <c r="O159" i="169"/>
  <c r="O171" i="68"/>
  <c r="O171" i="69"/>
  <c r="O171" i="70"/>
  <c r="O171" i="74"/>
  <c r="O172" i="75"/>
  <c r="O153" i="81"/>
  <c r="O150" i="92"/>
  <c r="O160" i="100"/>
  <c r="O171" i="40"/>
  <c r="O160" i="169"/>
  <c r="U174" i="68"/>
  <c r="U173" i="68" s="1"/>
  <c r="U172" i="68" s="1"/>
  <c r="U174" i="69"/>
  <c r="U173" i="69" s="1"/>
  <c r="U172" i="69" s="1"/>
  <c r="U174" i="70"/>
  <c r="U173" i="70" s="1"/>
  <c r="U172" i="70" s="1"/>
  <c r="U174" i="74"/>
  <c r="U173" i="74" s="1"/>
  <c r="U172" i="74" s="1"/>
  <c r="U175" i="75"/>
  <c r="U174" i="75" s="1"/>
  <c r="U173" i="75" s="1"/>
  <c r="U156" i="81"/>
  <c r="U155" i="81" s="1"/>
  <c r="U154" i="81" s="1"/>
  <c r="U174" i="40"/>
  <c r="U173" i="40" s="1"/>
  <c r="U172" i="40" s="1"/>
  <c r="Y174" i="68"/>
  <c r="Y173" i="68" s="1"/>
  <c r="Y172" i="68" s="1"/>
  <c r="Y174" i="69"/>
  <c r="Y173" i="69" s="1"/>
  <c r="Y172" i="69" s="1"/>
  <c r="Y174" i="70"/>
  <c r="Y173" i="70" s="1"/>
  <c r="Y172" i="70" s="1"/>
  <c r="Y174" i="74"/>
  <c r="Y173" i="74" s="1"/>
  <c r="Y172" i="74" s="1"/>
  <c r="Y175" i="75"/>
  <c r="Y174" i="75" s="1"/>
  <c r="Y173" i="75" s="1"/>
  <c r="Y156" i="81"/>
  <c r="Y155" i="81" s="1"/>
  <c r="Y154" i="81" s="1"/>
  <c r="Y174" i="40"/>
  <c r="Y173" i="40" s="1"/>
  <c r="Y172" i="40" s="1"/>
  <c r="O175" i="68"/>
  <c r="O175" i="69"/>
  <c r="O175" i="70"/>
  <c r="O175" i="74"/>
  <c r="O157" i="81"/>
  <c r="O176" i="75"/>
  <c r="O175" i="40"/>
  <c r="O153" i="92"/>
  <c r="O163" i="100"/>
  <c r="O163" i="169"/>
  <c r="O176" i="68"/>
  <c r="O176" i="69"/>
  <c r="O176" i="70"/>
  <c r="O176" i="74"/>
  <c r="O158" i="81"/>
  <c r="O177" i="75"/>
  <c r="O154" i="92"/>
  <c r="O164" i="100"/>
  <c r="O176" i="40"/>
  <c r="O164" i="169"/>
  <c r="O177" i="68"/>
  <c r="O177" i="69"/>
  <c r="O177" i="70"/>
  <c r="O177" i="74"/>
  <c r="O159" i="81"/>
  <c r="O178" i="75"/>
  <c r="O177" i="40"/>
  <c r="O155" i="92"/>
  <c r="O165" i="100"/>
  <c r="O165" i="169"/>
  <c r="O178" i="68"/>
  <c r="O178" i="69"/>
  <c r="O178" i="70"/>
  <c r="O178" i="74"/>
  <c r="O160" i="81"/>
  <c r="O179" i="75"/>
  <c r="O156" i="92"/>
  <c r="O166" i="100"/>
  <c r="O178" i="40"/>
  <c r="O166" i="169"/>
  <c r="O179" i="68"/>
  <c r="O179" i="69"/>
  <c r="O179" i="70"/>
  <c r="O179" i="74"/>
  <c r="O161" i="81"/>
  <c r="O180" i="75"/>
  <c r="O179" i="40"/>
  <c r="O157" i="92"/>
  <c r="O167" i="100"/>
  <c r="O167" i="169"/>
  <c r="O180" i="68"/>
  <c r="O180" i="69"/>
  <c r="O180" i="70"/>
  <c r="O180" i="74"/>
  <c r="O162" i="81"/>
  <c r="O181" i="75"/>
  <c r="O158" i="92"/>
  <c r="O168" i="100"/>
  <c r="O180" i="40"/>
  <c r="O168" i="169"/>
  <c r="V186" i="68"/>
  <c r="V185" i="68" s="1"/>
  <c r="V186" i="69"/>
  <c r="V185" i="69" s="1"/>
  <c r="V186" i="70"/>
  <c r="V185" i="70" s="1"/>
  <c r="V186" i="74"/>
  <c r="V185" i="74" s="1"/>
  <c r="V168" i="81"/>
  <c r="V167" i="81" s="1"/>
  <c r="V187" i="75"/>
  <c r="V186" i="75" s="1"/>
  <c r="V186" i="40"/>
  <c r="V185" i="40" s="1"/>
  <c r="V174" i="100"/>
  <c r="V173" i="100" s="1"/>
  <c r="V164" i="92"/>
  <c r="V163" i="92" s="1"/>
  <c r="T188" i="68"/>
  <c r="T187" i="68" s="1"/>
  <c r="T188" i="69"/>
  <c r="T187" i="69" s="1"/>
  <c r="T188" i="70"/>
  <c r="T187" i="70" s="1"/>
  <c r="T188" i="74"/>
  <c r="T187" i="74" s="1"/>
  <c r="T170" i="81"/>
  <c r="T169" i="81" s="1"/>
  <c r="T189" i="75"/>
  <c r="T188" i="75" s="1"/>
  <c r="T188" i="40"/>
  <c r="T187" i="40" s="1"/>
  <c r="T166" i="92"/>
  <c r="T165" i="92" s="1"/>
  <c r="T176" i="100"/>
  <c r="T175" i="100" s="1"/>
  <c r="Q192" i="254"/>
  <c r="V190" i="68"/>
  <c r="V189" i="68" s="1"/>
  <c r="V190" i="69"/>
  <c r="V189" i="69" s="1"/>
  <c r="V190" i="70"/>
  <c r="V189" i="70" s="1"/>
  <c r="V190" i="74"/>
  <c r="V189" i="74" s="1"/>
  <c r="V172" i="81"/>
  <c r="V171" i="81" s="1"/>
  <c r="V191" i="75"/>
  <c r="V190" i="75" s="1"/>
  <c r="V190" i="40"/>
  <c r="V189" i="40" s="1"/>
  <c r="V168" i="92"/>
  <c r="V167" i="92" s="1"/>
  <c r="V178" i="100"/>
  <c r="V177" i="100" s="1"/>
  <c r="V192" i="68"/>
  <c r="V191" i="68" s="1"/>
  <c r="V192" i="69"/>
  <c r="V191" i="69" s="1"/>
  <c r="V192" i="70"/>
  <c r="V191" i="70" s="1"/>
  <c r="V192" i="74"/>
  <c r="V191" i="74" s="1"/>
  <c r="V174" i="81"/>
  <c r="V173" i="81" s="1"/>
  <c r="V193" i="75"/>
  <c r="V192" i="75" s="1"/>
  <c r="V192" i="40"/>
  <c r="V191" i="40" s="1"/>
  <c r="V170" i="92"/>
  <c r="V169" i="92" s="1"/>
  <c r="Z192" i="68"/>
  <c r="Z191" i="68" s="1"/>
  <c r="Z184" i="68" s="1"/>
  <c r="Z192" i="69"/>
  <c r="Z191" i="69" s="1"/>
  <c r="Z184" i="69" s="1"/>
  <c r="Z192" i="70"/>
  <c r="Z191" i="70" s="1"/>
  <c r="Z184" i="70" s="1"/>
  <c r="Z192" i="74"/>
  <c r="Z191" i="74" s="1"/>
  <c r="Z184" i="74" s="1"/>
  <c r="Z174" i="81"/>
  <c r="Z173" i="81" s="1"/>
  <c r="Z193" i="75"/>
  <c r="Z192" i="75" s="1"/>
  <c r="Z185" i="75" s="1"/>
  <c r="Z192" i="40"/>
  <c r="Z191" i="40" s="1"/>
  <c r="Z184" i="40" s="1"/>
  <c r="O193" i="68"/>
  <c r="O193" i="69"/>
  <c r="O193" i="70"/>
  <c r="O193" i="74"/>
  <c r="O175" i="81"/>
  <c r="O194" i="75"/>
  <c r="O193" i="40"/>
  <c r="O180" i="100"/>
  <c r="O180" i="169"/>
  <c r="V193" i="68"/>
  <c r="V193" i="69"/>
  <c r="V193" i="70"/>
  <c r="V193" i="74"/>
  <c r="V175" i="81"/>
  <c r="V194" i="75"/>
  <c r="V180" i="100"/>
  <c r="V193" i="40"/>
  <c r="O194" i="68"/>
  <c r="O194" i="69"/>
  <c r="O194" i="70"/>
  <c r="O194" i="74"/>
  <c r="O176" i="81"/>
  <c r="O195" i="75"/>
  <c r="O194" i="40"/>
  <c r="O195" i="68"/>
  <c r="O195" i="69"/>
  <c r="O195" i="70"/>
  <c r="O195" i="74"/>
  <c r="O177" i="81"/>
  <c r="O196" i="75"/>
  <c r="O195" i="40"/>
  <c r="Z195" i="68"/>
  <c r="Z195" i="69"/>
  <c r="Z195" i="70"/>
  <c r="Z195" i="74"/>
  <c r="Z177" i="81"/>
  <c r="Z196" i="75"/>
  <c r="Z195" i="40"/>
  <c r="AB182" i="100"/>
  <c r="AB179" i="100" s="1"/>
  <c r="AB172" i="100" s="1"/>
  <c r="V198" i="68"/>
  <c r="V197" i="68" s="1"/>
  <c r="V196" i="68" s="1"/>
  <c r="V198" i="69"/>
  <c r="V197" i="69" s="1"/>
  <c r="V196" i="69" s="1"/>
  <c r="V198" i="70"/>
  <c r="V197" i="70" s="1"/>
  <c r="V196" i="70" s="1"/>
  <c r="V198" i="74"/>
  <c r="V197" i="74" s="1"/>
  <c r="V196" i="74" s="1"/>
  <c r="V199" i="75"/>
  <c r="V198" i="75" s="1"/>
  <c r="V197" i="75" s="1"/>
  <c r="V180" i="81"/>
  <c r="V179" i="81" s="1"/>
  <c r="V178" i="81" s="1"/>
  <c r="V198" i="40"/>
  <c r="V197" i="40" s="1"/>
  <c r="V196" i="40" s="1"/>
  <c r="V173" i="92"/>
  <c r="V172" i="92" s="1"/>
  <c r="V171" i="92" s="1"/>
  <c r="V185" i="100"/>
  <c r="V184" i="100" s="1"/>
  <c r="V183" i="100" s="1"/>
  <c r="Y201" i="68"/>
  <c r="Y201" i="69"/>
  <c r="Y201" i="70"/>
  <c r="Y201" i="74"/>
  <c r="Y202" i="75"/>
  <c r="Y183" i="81"/>
  <c r="Y201" i="40"/>
  <c r="V202" i="68"/>
  <c r="V202" i="69"/>
  <c r="V202" i="70"/>
  <c r="V202" i="74"/>
  <c r="V184" i="81"/>
  <c r="V203" i="75"/>
  <c r="V202" i="40"/>
  <c r="V188" i="100"/>
  <c r="O203" i="68"/>
  <c r="O203" i="69"/>
  <c r="O203" i="70"/>
  <c r="O203" i="74"/>
  <c r="O185" i="81"/>
  <c r="O204" i="75"/>
  <c r="O203" i="40"/>
  <c r="V204" i="68"/>
  <c r="V204" i="69"/>
  <c r="V204" i="70"/>
  <c r="V204" i="74"/>
  <c r="V186" i="81"/>
  <c r="V205" i="75"/>
  <c r="V204" i="40"/>
  <c r="V190" i="100"/>
  <c r="Z204" i="68"/>
  <c r="Z204" i="69"/>
  <c r="Z204" i="70"/>
  <c r="Z204" i="74"/>
  <c r="Z186" i="81"/>
  <c r="Z205" i="75"/>
  <c r="Z204" i="40"/>
  <c r="AB190" i="100"/>
  <c r="V205" i="68"/>
  <c r="V205" i="69"/>
  <c r="V205" i="70"/>
  <c r="V205" i="74"/>
  <c r="V206" i="75"/>
  <c r="V187" i="81"/>
  <c r="V205" i="40"/>
  <c r="V177" i="92"/>
  <c r="Z205" i="68"/>
  <c r="Z205" i="69"/>
  <c r="Z205" i="70"/>
  <c r="Z205" i="74"/>
  <c r="Z206" i="75"/>
  <c r="Z187" i="81"/>
  <c r="Z205" i="40"/>
  <c r="O206" i="68"/>
  <c r="O206" i="69"/>
  <c r="O206" i="70"/>
  <c r="O206" i="74"/>
  <c r="O207" i="75"/>
  <c r="O188" i="81"/>
  <c r="O206" i="40"/>
  <c r="O191" i="100"/>
  <c r="O191" i="169"/>
  <c r="V207" i="68"/>
  <c r="V207" i="69"/>
  <c r="V207" i="70"/>
  <c r="V207" i="74"/>
  <c r="V208" i="75"/>
  <c r="V189" i="81"/>
  <c r="V207" i="40"/>
  <c r="V192" i="100"/>
  <c r="O208" i="68"/>
  <c r="O208" i="69"/>
  <c r="O208" i="70"/>
  <c r="O208" i="74"/>
  <c r="O209" i="75"/>
  <c r="O190" i="81"/>
  <c r="O208" i="40"/>
  <c r="Y208" i="68"/>
  <c r="Y208" i="69"/>
  <c r="Y208" i="70"/>
  <c r="Y208" i="74"/>
  <c r="Y190" i="81"/>
  <c r="Y209" i="75"/>
  <c r="Y208" i="40"/>
  <c r="Z193" i="100"/>
  <c r="U193" i="169"/>
  <c r="Y210" i="68"/>
  <c r="Y209" i="68" s="1"/>
  <c r="Y210" i="69"/>
  <c r="Y209" i="69" s="1"/>
  <c r="Y210" i="70"/>
  <c r="Y209" i="70" s="1"/>
  <c r="Y210" i="74"/>
  <c r="Y209" i="74" s="1"/>
  <c r="Y211" i="75"/>
  <c r="Y210" i="75" s="1"/>
  <c r="Y192" i="81"/>
  <c r="Y191" i="81" s="1"/>
  <c r="Y195" i="100"/>
  <c r="Y194" i="100" s="1"/>
  <c r="Y186" i="100" s="1"/>
  <c r="Y210" i="40"/>
  <c r="Y209" i="40" s="1"/>
  <c r="T195" i="169"/>
  <c r="T194" i="169" s="1"/>
  <c r="T186" i="169" s="1"/>
  <c r="V209" i="254"/>
  <c r="V208" i="254" s="1"/>
  <c r="V211" i="68"/>
  <c r="V211" i="69"/>
  <c r="V211" i="70"/>
  <c r="V211" i="74"/>
  <c r="V212" i="75"/>
  <c r="V193" i="81"/>
  <c r="V211" i="40"/>
  <c r="V180" i="92"/>
  <c r="V196" i="100"/>
  <c r="V214" i="68"/>
  <c r="V213" i="68" s="1"/>
  <c r="V212" i="68" s="1"/>
  <c r="V214" i="69"/>
  <c r="V213" i="69" s="1"/>
  <c r="V212" i="69" s="1"/>
  <c r="V214" i="70"/>
  <c r="V213" i="70" s="1"/>
  <c r="V212" i="70" s="1"/>
  <c r="V214" i="74"/>
  <c r="V213" i="74" s="1"/>
  <c r="V212" i="74" s="1"/>
  <c r="V215" i="75"/>
  <c r="V214" i="75" s="1"/>
  <c r="V213" i="75" s="1"/>
  <c r="V196" i="81"/>
  <c r="V195" i="81" s="1"/>
  <c r="V194" i="81" s="1"/>
  <c r="V199" i="100"/>
  <c r="V198" i="100" s="1"/>
  <c r="V197" i="100" s="1"/>
  <c r="V214" i="40"/>
  <c r="V213" i="40" s="1"/>
  <c r="V212" i="40" s="1"/>
  <c r="V183" i="92"/>
  <c r="V182" i="92" s="1"/>
  <c r="V181" i="92" s="1"/>
  <c r="Z214" i="68"/>
  <c r="Z213" i="68" s="1"/>
  <c r="Z212" i="68" s="1"/>
  <c r="Z214" i="69"/>
  <c r="Z213" i="69" s="1"/>
  <c r="Z212" i="69" s="1"/>
  <c r="Z214" i="70"/>
  <c r="Z213" i="70" s="1"/>
  <c r="Z212" i="70" s="1"/>
  <c r="Z214" i="74"/>
  <c r="Z213" i="74" s="1"/>
  <c r="Z212" i="74" s="1"/>
  <c r="Z215" i="75"/>
  <c r="Z214" i="75" s="1"/>
  <c r="Z213" i="75" s="1"/>
  <c r="Z196" i="81"/>
  <c r="Z195" i="81" s="1"/>
  <c r="Z194" i="81" s="1"/>
  <c r="AB199" i="100"/>
  <c r="AB198" i="100" s="1"/>
  <c r="AB197" i="100" s="1"/>
  <c r="Z199" i="100"/>
  <c r="Z198" i="100" s="1"/>
  <c r="Z197" i="100" s="1"/>
  <c r="Z214" i="40"/>
  <c r="Z213" i="40" s="1"/>
  <c r="Z212" i="40" s="1"/>
  <c r="U199" i="169"/>
  <c r="U198" i="169" s="1"/>
  <c r="U197" i="169" s="1"/>
  <c r="W23" i="311"/>
  <c r="W22" i="311" s="1"/>
  <c r="W21" i="311" s="1"/>
  <c r="W213" i="254"/>
  <c r="W212" i="254" s="1"/>
  <c r="W211" i="254" s="1"/>
  <c r="V217" i="68"/>
  <c r="V216" i="68" s="1"/>
  <c r="V215" i="68" s="1"/>
  <c r="V217" i="69"/>
  <c r="V216" i="69" s="1"/>
  <c r="V215" i="69" s="1"/>
  <c r="V217" i="70"/>
  <c r="V216" i="70" s="1"/>
  <c r="V215" i="70" s="1"/>
  <c r="V217" i="74"/>
  <c r="V216" i="74" s="1"/>
  <c r="V215" i="74" s="1"/>
  <c r="V199" i="81"/>
  <c r="V198" i="81" s="1"/>
  <c r="V197" i="81" s="1"/>
  <c r="V218" i="75"/>
  <c r="V217" i="75" s="1"/>
  <c r="V216" i="75" s="1"/>
  <c r="V186" i="92"/>
  <c r="V185" i="92" s="1"/>
  <c r="V184" i="92" s="1"/>
  <c r="V217" i="40"/>
  <c r="V216" i="40" s="1"/>
  <c r="V215" i="40" s="1"/>
  <c r="V202" i="100"/>
  <c r="V201" i="100" s="1"/>
  <c r="V200" i="100" s="1"/>
  <c r="Y220" i="68"/>
  <c r="Y219" i="68" s="1"/>
  <c r="Y218" i="68" s="1"/>
  <c r="Y220" i="69"/>
  <c r="Y219" i="69" s="1"/>
  <c r="Y218" i="69" s="1"/>
  <c r="Y220" i="70"/>
  <c r="Y219" i="70" s="1"/>
  <c r="Y218" i="70" s="1"/>
  <c r="Y220" i="74"/>
  <c r="Y219" i="74" s="1"/>
  <c r="Y218" i="74" s="1"/>
  <c r="Y202" i="81"/>
  <c r="Y201" i="81" s="1"/>
  <c r="Y200" i="81" s="1"/>
  <c r="Y221" i="75"/>
  <c r="Y220" i="75" s="1"/>
  <c r="Y219" i="75" s="1"/>
  <c r="Y220" i="40"/>
  <c r="Y219" i="40" s="1"/>
  <c r="Y218" i="40" s="1"/>
  <c r="Y205" i="100"/>
  <c r="Y204" i="100" s="1"/>
  <c r="Y203" i="100" s="1"/>
  <c r="V228" i="254"/>
  <c r="V227" i="254" s="1"/>
  <c r="V226" i="254" s="1"/>
  <c r="T205" i="169"/>
  <c r="T204" i="169" s="1"/>
  <c r="T203" i="169" s="1"/>
  <c r="V29" i="311"/>
  <c r="V28" i="311" s="1"/>
  <c r="V27" i="311" s="1"/>
  <c r="W235" i="254"/>
  <c r="W234" i="254" s="1"/>
  <c r="W233" i="254" s="1"/>
  <c r="W36" i="311"/>
  <c r="W35" i="311" s="1"/>
  <c r="W34" i="311" s="1"/>
  <c r="W238" i="254"/>
  <c r="W237" i="254" s="1"/>
  <c r="W236" i="254" s="1"/>
  <c r="W39" i="311"/>
  <c r="W38" i="311" s="1"/>
  <c r="W37" i="311" s="1"/>
  <c r="U210" i="2"/>
  <c r="Q211" i="2"/>
  <c r="V212" i="2"/>
  <c r="S15" i="229"/>
  <c r="Q18" i="229"/>
  <c r="S18" i="229" s="1"/>
  <c r="V36" i="229"/>
  <c r="V30" i="229" s="1"/>
  <c r="Y36" i="229"/>
  <c r="Y30" i="229" s="1"/>
  <c r="Q48" i="229"/>
  <c r="S48" i="229" s="1"/>
  <c r="Q52" i="229"/>
  <c r="S52" i="229" s="1"/>
  <c r="V53" i="229"/>
  <c r="Q56" i="229"/>
  <c r="V56" i="229"/>
  <c r="V55" i="229" s="1"/>
  <c r="Q57" i="229"/>
  <c r="S57" i="229" s="1"/>
  <c r="Q59" i="229"/>
  <c r="Q60" i="229"/>
  <c r="S60" i="229" s="1"/>
  <c r="S66" i="229"/>
  <c r="V80" i="229"/>
  <c r="V86" i="229"/>
  <c r="W98" i="229"/>
  <c r="W85" i="229" s="1"/>
  <c r="V113" i="229"/>
  <c r="V110" i="229" s="1"/>
  <c r="W134" i="229"/>
  <c r="W136" i="229"/>
  <c r="V150" i="229"/>
  <c r="S157" i="229"/>
  <c r="W160" i="229"/>
  <c r="W159" i="229" s="1"/>
  <c r="W158" i="229" s="1"/>
  <c r="W163" i="229"/>
  <c r="W162" i="229" s="1"/>
  <c r="W161" i="229" s="1"/>
  <c r="S170" i="229"/>
  <c r="W187" i="229"/>
  <c r="W180" i="229" s="1"/>
  <c r="W179" i="229" s="1"/>
  <c r="W212" i="229"/>
  <c r="Q216" i="229"/>
  <c r="S216" i="229" s="1"/>
  <c r="W218" i="229"/>
  <c r="W217" i="229" s="1"/>
  <c r="W216" i="229" s="1"/>
  <c r="P220" i="229"/>
  <c r="P223" i="229"/>
  <c r="V230" i="229"/>
  <c r="V229" i="229" s="1"/>
  <c r="V228" i="229" s="1"/>
  <c r="W236" i="229"/>
  <c r="W235" i="229" s="1"/>
  <c r="W234" i="229" s="1"/>
  <c r="P240" i="229"/>
  <c r="S240" i="229" s="1"/>
  <c r="Q14" i="272"/>
  <c r="P20" i="272"/>
  <c r="S20" i="272" s="1"/>
  <c r="P43" i="272"/>
  <c r="S43" i="272" s="1"/>
  <c r="P58" i="272"/>
  <c r="S58" i="272" s="1"/>
  <c r="Q65" i="272"/>
  <c r="S65" i="272" s="1"/>
  <c r="P67" i="272"/>
  <c r="S67" i="272" s="1"/>
  <c r="P85" i="272"/>
  <c r="P120" i="272"/>
  <c r="P123" i="272"/>
  <c r="P155" i="272"/>
  <c r="Q156" i="272"/>
  <c r="Q155" i="272" s="1"/>
  <c r="P159" i="272"/>
  <c r="P162" i="272"/>
  <c r="P170" i="272"/>
  <c r="P180" i="272"/>
  <c r="P191" i="272"/>
  <c r="S191" i="272" s="1"/>
  <c r="Q206" i="272"/>
  <c r="Q205" i="272" s="1"/>
  <c r="P216" i="272"/>
  <c r="S216" i="272" s="1"/>
  <c r="Q220" i="272"/>
  <c r="Q219" i="272" s="1"/>
  <c r="S219" i="272" s="1"/>
  <c r="Q223" i="272"/>
  <c r="Q222" i="272" s="1"/>
  <c r="S222" i="272" s="1"/>
  <c r="P234" i="272"/>
  <c r="Q235" i="272"/>
  <c r="Q234" i="272" s="1"/>
  <c r="P237" i="272"/>
  <c r="S237" i="272" s="1"/>
  <c r="C9" i="283"/>
  <c r="C9" i="276"/>
  <c r="C9" i="274"/>
  <c r="Q10" i="254"/>
  <c r="B6" i="289"/>
  <c r="B6" i="286"/>
  <c r="E10" i="283"/>
  <c r="AT239" i="254"/>
  <c r="C11" i="283"/>
  <c r="C9" i="278"/>
  <c r="C11" i="276"/>
  <c r="B12" i="289"/>
  <c r="E12" i="283"/>
  <c r="D13" i="283"/>
  <c r="D9" i="281"/>
  <c r="D9" i="279"/>
  <c r="B14" i="289"/>
  <c r="E10" i="279"/>
  <c r="B15" i="289"/>
  <c r="E11" i="279"/>
  <c r="B16" i="289"/>
  <c r="E10" i="282"/>
  <c r="D9" i="282"/>
  <c r="E10" i="281"/>
  <c r="B18" i="289"/>
  <c r="E14" i="283"/>
  <c r="E11" i="282"/>
  <c r="B19" i="289"/>
  <c r="B20" i="289"/>
  <c r="E11" i="281"/>
  <c r="D12" i="279"/>
  <c r="D9" i="277"/>
  <c r="P29" i="254"/>
  <c r="V36" i="254"/>
  <c r="V29" i="254" s="1"/>
  <c r="AH36" i="254"/>
  <c r="AH29" i="254" s="1"/>
  <c r="C12" i="277"/>
  <c r="C12" i="281"/>
  <c r="C9" i="280"/>
  <c r="Q47" i="254"/>
  <c r="S47" i="254" s="1"/>
  <c r="B26" i="289"/>
  <c r="B10" i="288"/>
  <c r="E14" i="281"/>
  <c r="E11" i="280"/>
  <c r="B7" i="287"/>
  <c r="E17" i="279"/>
  <c r="Q53" i="254"/>
  <c r="S53" i="254" s="1"/>
  <c r="P54" i="254"/>
  <c r="Q56" i="254"/>
  <c r="Q54" i="254" s="1"/>
  <c r="M26" i="291" s="1"/>
  <c r="E26" i="291" s="1"/>
  <c r="F26" i="291" s="1"/>
  <c r="E18" i="277"/>
  <c r="B9" i="287"/>
  <c r="Q60" i="254"/>
  <c r="S60" i="254" s="1"/>
  <c r="V60" i="254"/>
  <c r="Q61" i="254"/>
  <c r="S61" i="254" s="1"/>
  <c r="V61" i="254"/>
  <c r="F28" i="291"/>
  <c r="D20" i="283"/>
  <c r="D22" i="279"/>
  <c r="D13" i="275"/>
  <c r="D17" i="282"/>
  <c r="D12" i="280"/>
  <c r="B31" i="289"/>
  <c r="E18" i="282"/>
  <c r="E14" i="280"/>
  <c r="B8" i="294"/>
  <c r="E14" i="275"/>
  <c r="B33" i="289"/>
  <c r="E21" i="283"/>
  <c r="B34" i="289"/>
  <c r="E22" i="283"/>
  <c r="E23" i="279"/>
  <c r="B11" i="287"/>
  <c r="B10" i="287"/>
  <c r="E24" i="279"/>
  <c r="B35" i="289"/>
  <c r="E15" i="275"/>
  <c r="P76" i="254"/>
  <c r="S76" i="254" s="1"/>
  <c r="V78" i="254"/>
  <c r="V79" i="254"/>
  <c r="Q80" i="254"/>
  <c r="M13" i="291" s="1"/>
  <c r="E13" i="291" s="1"/>
  <c r="F13" i="291" s="1"/>
  <c r="AH80" i="254"/>
  <c r="S82" i="254"/>
  <c r="S80" i="254" s="1"/>
  <c r="P80" i="254"/>
  <c r="R80" i="254"/>
  <c r="V88" i="254"/>
  <c r="C47" i="289"/>
  <c r="P33" i="283"/>
  <c r="AS92" i="254"/>
  <c r="F24" i="291"/>
  <c r="B54" i="289"/>
  <c r="E18" i="280"/>
  <c r="S102" i="254"/>
  <c r="P101" i="254"/>
  <c r="S101" i="254" s="1"/>
  <c r="B55" i="289"/>
  <c r="E37" i="283"/>
  <c r="S104" i="254"/>
  <c r="L14" i="290"/>
  <c r="E14" i="290" s="1"/>
  <c r="F14" i="290" s="1"/>
  <c r="M25" i="291"/>
  <c r="E25" i="291" s="1"/>
  <c r="F25" i="291" s="1"/>
  <c r="S105" i="254"/>
  <c r="L15" i="290"/>
  <c r="E15" i="290" s="1"/>
  <c r="F15" i="290" s="1"/>
  <c r="B33" i="284"/>
  <c r="E28" i="279"/>
  <c r="S107" i="254"/>
  <c r="P106" i="254"/>
  <c r="S106" i="254" s="1"/>
  <c r="Q110" i="254"/>
  <c r="Q109" i="254" s="1"/>
  <c r="F14" i="291"/>
  <c r="E40" i="290"/>
  <c r="F40" i="290" s="1"/>
  <c r="F41" i="290"/>
  <c r="C24" i="288"/>
  <c r="R10" i="270"/>
  <c r="R261" i="270" s="1"/>
  <c r="R180" i="270"/>
  <c r="AU237" i="273"/>
  <c r="AU239" i="273" s="1"/>
  <c r="AT234" i="273"/>
  <c r="AU231" i="273"/>
  <c r="AA109" i="273"/>
  <c r="AG109" i="273"/>
  <c r="AG110" i="273" s="1"/>
  <c r="F13" i="265"/>
  <c r="S8" i="295"/>
  <c r="Y21" i="299"/>
  <c r="Z21" i="299"/>
  <c r="S27" i="318"/>
  <c r="S45" i="318"/>
  <c r="S49" i="318"/>
  <c r="Z27" i="313"/>
  <c r="Y27" i="313"/>
  <c r="V25" i="314"/>
  <c r="V26" i="314" s="1"/>
  <c r="S10" i="316"/>
  <c r="S9" i="316" s="1"/>
  <c r="V20" i="317"/>
  <c r="V21" i="317" s="1"/>
  <c r="V36" i="304"/>
  <c r="V37" i="304" s="1"/>
  <c r="S25" i="305"/>
  <c r="Y28" i="305"/>
  <c r="Z28" i="305"/>
  <c r="V27" i="306"/>
  <c r="V28" i="306" s="1"/>
  <c r="S16" i="308"/>
  <c r="Y35" i="309"/>
  <c r="Z35" i="309"/>
  <c r="S9" i="309"/>
  <c r="S8" i="309" s="1"/>
  <c r="Y19" i="310"/>
  <c r="Z19" i="310"/>
  <c r="S12" i="312"/>
  <c r="Y40" i="311"/>
  <c r="O14" i="311"/>
  <c r="O40" i="311" s="1"/>
  <c r="Q14" i="311"/>
  <c r="Q40" i="311" s="1"/>
  <c r="R14" i="311"/>
  <c r="F8" i="296"/>
  <c r="E7" i="296"/>
  <c r="F7" i="296" s="1"/>
  <c r="F31" i="296"/>
  <c r="V7" i="274"/>
  <c r="D7" i="293"/>
  <c r="C8" i="293"/>
  <c r="E8" i="293" s="1"/>
  <c r="P21" i="276"/>
  <c r="D13" i="293"/>
  <c r="E13" i="293" s="1"/>
  <c r="D16" i="293"/>
  <c r="E20" i="293"/>
  <c r="C32" i="287"/>
  <c r="AE58" i="168"/>
  <c r="W10" i="168"/>
  <c r="W9" i="168" s="1"/>
  <c r="W58" i="168" s="1"/>
  <c r="X64" i="168" s="1"/>
  <c r="R10" i="168"/>
  <c r="R9" i="168" s="1"/>
  <c r="R58" i="168" s="1"/>
  <c r="Y67" i="168" s="1"/>
  <c r="W10" i="169"/>
  <c r="W9" i="169" s="1"/>
  <c r="O66" i="1"/>
  <c r="Y11" i="68"/>
  <c r="Y10" i="68" s="1"/>
  <c r="Y11" i="69"/>
  <c r="Y10" i="69" s="1"/>
  <c r="Y11" i="70"/>
  <c r="Y10" i="70" s="1"/>
  <c r="Y11" i="74"/>
  <c r="Y10" i="74" s="1"/>
  <c r="Y12" i="75"/>
  <c r="Y11" i="75" s="1"/>
  <c r="Y11" i="40"/>
  <c r="Y10" i="40" s="1"/>
  <c r="Y12" i="100"/>
  <c r="Y11" i="100" s="1"/>
  <c r="T12" i="169"/>
  <c r="T11" i="169" s="1"/>
  <c r="V12" i="68"/>
  <c r="V12" i="69"/>
  <c r="V12" i="70"/>
  <c r="V12" i="74"/>
  <c r="V13" i="75"/>
  <c r="V12" i="92"/>
  <c r="V12" i="40"/>
  <c r="V12" i="100"/>
  <c r="R14" i="68"/>
  <c r="R10" i="68" s="1"/>
  <c r="R14" i="69"/>
  <c r="R10" i="69" s="1"/>
  <c r="R14" i="70"/>
  <c r="R10" i="70" s="1"/>
  <c r="R15" i="75"/>
  <c r="R11" i="75" s="1"/>
  <c r="R14" i="74"/>
  <c r="R10" i="74" s="1"/>
  <c r="R14" i="40"/>
  <c r="R14" i="92"/>
  <c r="T14" i="68"/>
  <c r="T10" i="68" s="1"/>
  <c r="T14" i="69"/>
  <c r="T10" i="69" s="1"/>
  <c r="T14" i="70"/>
  <c r="T10" i="70" s="1"/>
  <c r="T15" i="75"/>
  <c r="T11" i="75" s="1"/>
  <c r="T14" i="74"/>
  <c r="T10" i="74" s="1"/>
  <c r="T14" i="40"/>
  <c r="T14" i="92"/>
  <c r="X5" i="2"/>
  <c r="AG5" i="2"/>
  <c r="V16" i="68"/>
  <c r="V16" i="69"/>
  <c r="V16" i="70"/>
  <c r="V17" i="75"/>
  <c r="V16" i="74"/>
  <c r="V16" i="40"/>
  <c r="V16" i="92"/>
  <c r="V15" i="100"/>
  <c r="V17" i="68"/>
  <c r="V17" i="69"/>
  <c r="V17" i="70"/>
  <c r="V17" i="74"/>
  <c r="V18" i="75"/>
  <c r="V17" i="92"/>
  <c r="V17" i="40"/>
  <c r="V16" i="100"/>
  <c r="Z20" i="68"/>
  <c r="Z20" i="69"/>
  <c r="Z20" i="70"/>
  <c r="Z20" i="74"/>
  <c r="Z21" i="75"/>
  <c r="Z12" i="81"/>
  <c r="Z20" i="40"/>
  <c r="AB19" i="100"/>
  <c r="V21" i="68"/>
  <c r="V21" i="69"/>
  <c r="V21" i="70"/>
  <c r="V21" i="74"/>
  <c r="V22" i="75"/>
  <c r="V21" i="40"/>
  <c r="V21" i="92"/>
  <c r="V20" i="100"/>
  <c r="Z22" i="68"/>
  <c r="Z22" i="69"/>
  <c r="Z22" i="70"/>
  <c r="Z22" i="74"/>
  <c r="Z23" i="75"/>
  <c r="Z22" i="40"/>
  <c r="AB21" i="100"/>
  <c r="T23" i="68"/>
  <c r="T23" i="69"/>
  <c r="T23" i="70"/>
  <c r="T23" i="74"/>
  <c r="T24" i="75"/>
  <c r="T13" i="81"/>
  <c r="T23" i="40"/>
  <c r="T23" i="92"/>
  <c r="T22" i="100"/>
  <c r="T18" i="100" s="1"/>
  <c r="Z23" i="68"/>
  <c r="Z23" i="69"/>
  <c r="Z23" i="70"/>
  <c r="Z23" i="74"/>
  <c r="Z24" i="75"/>
  <c r="Z13" i="81"/>
  <c r="Z23" i="40"/>
  <c r="AB22" i="100"/>
  <c r="T24" i="68"/>
  <c r="T24" i="69"/>
  <c r="T24" i="70"/>
  <c r="T24" i="74"/>
  <c r="T25" i="75"/>
  <c r="T14" i="81"/>
  <c r="T24" i="40"/>
  <c r="T24" i="92"/>
  <c r="T23" i="100"/>
  <c r="Z24" i="68"/>
  <c r="Z24" i="69"/>
  <c r="Z24" i="70"/>
  <c r="Z24" i="74"/>
  <c r="Z25" i="75"/>
  <c r="Z14" i="81"/>
  <c r="Z24" i="40"/>
  <c r="AB23" i="100"/>
  <c r="V26" i="68"/>
  <c r="V26" i="69"/>
  <c r="V26" i="70"/>
  <c r="V26" i="74"/>
  <c r="V27" i="75"/>
  <c r="V16" i="81"/>
  <c r="V26" i="40"/>
  <c r="V26" i="92"/>
  <c r="V25" i="100"/>
  <c r="Y27" i="68"/>
  <c r="Y25" i="68" s="1"/>
  <c r="Y27" i="69"/>
  <c r="Y25" i="69" s="1"/>
  <c r="Y27" i="70"/>
  <c r="Y25" i="70" s="1"/>
  <c r="Y28" i="75"/>
  <c r="Y26" i="75" s="1"/>
  <c r="Y27" i="74"/>
  <c r="Y25" i="74" s="1"/>
  <c r="Y27" i="40"/>
  <c r="Y25" i="40" s="1"/>
  <c r="T26" i="169"/>
  <c r="Y26" i="100"/>
  <c r="Z28" i="68"/>
  <c r="Z28" i="69"/>
  <c r="Z28" i="70"/>
  <c r="Z28" i="74"/>
  <c r="Z29" i="75"/>
  <c r="Z28" i="40"/>
  <c r="AB27" i="100"/>
  <c r="V29" i="68"/>
  <c r="V29" i="69"/>
  <c r="V29" i="70"/>
  <c r="V29" i="74"/>
  <c r="V30" i="75"/>
  <c r="V17" i="81"/>
  <c r="V29" i="40"/>
  <c r="V29" i="92"/>
  <c r="V28" i="100"/>
  <c r="Z30" i="68"/>
  <c r="Z30" i="69"/>
  <c r="Z30" i="70"/>
  <c r="Z30" i="74"/>
  <c r="Z31" i="75"/>
  <c r="Z30" i="40"/>
  <c r="AB29" i="100"/>
  <c r="V31" i="68"/>
  <c r="V31" i="69"/>
  <c r="V31" i="70"/>
  <c r="V31" i="74"/>
  <c r="V32" i="75"/>
  <c r="V18" i="81"/>
  <c r="V31" i="40"/>
  <c r="V31" i="92"/>
  <c r="V30" i="100"/>
  <c r="Z32" i="68"/>
  <c r="Z32" i="69"/>
  <c r="Z32" i="70"/>
  <c r="Z32" i="74"/>
  <c r="Z33" i="75"/>
  <c r="Z32" i="40"/>
  <c r="AB31" i="100"/>
  <c r="V33" i="68"/>
  <c r="V33" i="69"/>
  <c r="V33" i="70"/>
  <c r="V33" i="74"/>
  <c r="V34" i="75"/>
  <c r="V19" i="81"/>
  <c r="V33" i="40"/>
  <c r="V33" i="92"/>
  <c r="V32" i="100"/>
  <c r="AG22" i="2"/>
  <c r="V37" i="68"/>
  <c r="V37" i="69"/>
  <c r="V37" i="70"/>
  <c r="V37" i="74"/>
  <c r="V38" i="75"/>
  <c r="V37" i="40"/>
  <c r="V37" i="92"/>
  <c r="V36" i="100"/>
  <c r="S35" i="40"/>
  <c r="U38" i="68"/>
  <c r="U38" i="69"/>
  <c r="U38" i="70"/>
  <c r="U35" i="70" s="1"/>
  <c r="U38" i="74"/>
  <c r="U35" i="74" s="1"/>
  <c r="U39" i="75"/>
  <c r="U36" i="75" s="1"/>
  <c r="U38" i="40"/>
  <c r="U35" i="40" s="1"/>
  <c r="AA26" i="2"/>
  <c r="AT26" i="2"/>
  <c r="Z39" i="68"/>
  <c r="Z39" i="69"/>
  <c r="Z39" i="70"/>
  <c r="Z40" i="75"/>
  <c r="Z39" i="74"/>
  <c r="Z22" i="81"/>
  <c r="Z39" i="40"/>
  <c r="AB37" i="100"/>
  <c r="V40" i="68"/>
  <c r="V40" i="69"/>
  <c r="V40" i="70"/>
  <c r="V41" i="75"/>
  <c r="V40" i="74"/>
  <c r="V23" i="81"/>
  <c r="V40" i="40"/>
  <c r="V39" i="92"/>
  <c r="V38" i="100"/>
  <c r="Z41" i="68"/>
  <c r="Z41" i="69"/>
  <c r="Z41" i="70"/>
  <c r="Z42" i="75"/>
  <c r="Z41" i="74"/>
  <c r="Z41" i="40"/>
  <c r="AB39" i="100"/>
  <c r="V42" i="68"/>
  <c r="V42" i="69"/>
  <c r="V42" i="70"/>
  <c r="V43" i="75"/>
  <c r="V42" i="74"/>
  <c r="V24" i="81"/>
  <c r="V42" i="40"/>
  <c r="V41" i="92"/>
  <c r="V40" i="100"/>
  <c r="V43" i="68"/>
  <c r="V43" i="69"/>
  <c r="V43" i="70"/>
  <c r="V44" i="75"/>
  <c r="V43" i="74"/>
  <c r="V25" i="81"/>
  <c r="V43" i="40"/>
  <c r="V42" i="92"/>
  <c r="V41" i="100"/>
  <c r="AG31" i="2"/>
  <c r="AV31" i="2"/>
  <c r="Z44" i="68"/>
  <c r="Z44" i="69"/>
  <c r="Z44" i="70"/>
  <c r="Z45" i="75"/>
  <c r="Z44" i="74"/>
  <c r="Z26" i="81"/>
  <c r="Z44" i="40"/>
  <c r="AB42" i="100"/>
  <c r="V45" i="68"/>
  <c r="V45" i="69"/>
  <c r="V45" i="70"/>
  <c r="V46" i="75"/>
  <c r="V45" i="74"/>
  <c r="V27" i="81"/>
  <c r="V45" i="40"/>
  <c r="V44" i="92"/>
  <c r="V43" i="100"/>
  <c r="Z46" i="68"/>
  <c r="Z46" i="69"/>
  <c r="Z46" i="70"/>
  <c r="Z47" i="75"/>
  <c r="Z46" i="74"/>
  <c r="Z28" i="81"/>
  <c r="Z46" i="40"/>
  <c r="AB44" i="100"/>
  <c r="R47" i="68"/>
  <c r="R47" i="69"/>
  <c r="R47" i="70"/>
  <c r="R48" i="75"/>
  <c r="R47" i="74"/>
  <c r="R29" i="81"/>
  <c r="R21" i="81" s="1"/>
  <c r="R47" i="40"/>
  <c r="T47" i="68"/>
  <c r="T47" i="69"/>
  <c r="T47" i="70"/>
  <c r="T47" i="74"/>
  <c r="T48" i="75"/>
  <c r="T47" i="40"/>
  <c r="T29" i="81"/>
  <c r="T21" i="81" s="1"/>
  <c r="X35" i="2"/>
  <c r="AG35" i="2"/>
  <c r="V48" i="68"/>
  <c r="V48" i="69"/>
  <c r="V48" i="70"/>
  <c r="V48" i="74"/>
  <c r="V49" i="75"/>
  <c r="V30" i="81"/>
  <c r="V48" i="40"/>
  <c r="V46" i="92"/>
  <c r="V45" i="100"/>
  <c r="Y49" i="68"/>
  <c r="Y49" i="69"/>
  <c r="Y49" i="70"/>
  <c r="Y49" i="74"/>
  <c r="Y50" i="75"/>
  <c r="Y49" i="40"/>
  <c r="Y31" i="81"/>
  <c r="Z50" i="68"/>
  <c r="Z50" i="69"/>
  <c r="Z50" i="70"/>
  <c r="Z51" i="75"/>
  <c r="Z50" i="74"/>
  <c r="Z32" i="81"/>
  <c r="Z50" i="40"/>
  <c r="AB46" i="100"/>
  <c r="Z51" i="68"/>
  <c r="Z51" i="69"/>
  <c r="Z51" i="70"/>
  <c r="Z51" i="74"/>
  <c r="Z52" i="75"/>
  <c r="Z51" i="40"/>
  <c r="Z33" i="81"/>
  <c r="AB47" i="100"/>
  <c r="T54" i="68"/>
  <c r="T54" i="69"/>
  <c r="T54" i="70"/>
  <c r="T54" i="74"/>
  <c r="T55" i="75"/>
  <c r="T50" i="92"/>
  <c r="T36" i="81"/>
  <c r="T54" i="40"/>
  <c r="Q24" i="318"/>
  <c r="Y54" i="68"/>
  <c r="Y54" i="69"/>
  <c r="Y54" i="70"/>
  <c r="Y55" i="75"/>
  <c r="Y54" i="74"/>
  <c r="Y36" i="81"/>
  <c r="Y54" i="40"/>
  <c r="T55" i="68"/>
  <c r="T55" i="69"/>
  <c r="T55" i="70"/>
  <c r="T56" i="75"/>
  <c r="T55" i="74"/>
  <c r="T37" i="81"/>
  <c r="T55" i="40"/>
  <c r="T50" i="100"/>
  <c r="X43" i="2"/>
  <c r="T57" i="68"/>
  <c r="T57" i="69"/>
  <c r="T57" i="70"/>
  <c r="T58" i="75"/>
  <c r="T57" i="74"/>
  <c r="T39" i="81"/>
  <c r="T51" i="92"/>
  <c r="T57" i="40"/>
  <c r="Q26" i="318"/>
  <c r="S26" i="318" s="1"/>
  <c r="T52" i="100"/>
  <c r="Y57" i="68"/>
  <c r="Y57" i="69"/>
  <c r="Y57" i="70"/>
  <c r="Y57" i="74"/>
  <c r="Y58" i="75"/>
  <c r="Y57" i="40"/>
  <c r="Y39" i="81"/>
  <c r="Y52" i="100"/>
  <c r="T52" i="169"/>
  <c r="V26" i="318"/>
  <c r="X45" i="2"/>
  <c r="X46" i="2"/>
  <c r="AB46" i="2"/>
  <c r="T60" i="68"/>
  <c r="T60" i="69"/>
  <c r="T60" i="70"/>
  <c r="T60" i="74"/>
  <c r="T61" i="75"/>
  <c r="T42" i="81"/>
  <c r="T60" i="40"/>
  <c r="T54" i="100"/>
  <c r="AB47" i="2"/>
  <c r="O61" i="68"/>
  <c r="O61" i="69"/>
  <c r="O61" i="70"/>
  <c r="O61" i="74"/>
  <c r="O62" i="75"/>
  <c r="O43" i="81"/>
  <c r="O61" i="40"/>
  <c r="V62" i="68"/>
  <c r="V62" i="69"/>
  <c r="V62" i="70"/>
  <c r="V62" i="74"/>
  <c r="V63" i="75"/>
  <c r="V44" i="81"/>
  <c r="V62" i="40"/>
  <c r="V57" i="100"/>
  <c r="T63" i="68"/>
  <c r="T63" i="69"/>
  <c r="T63" i="70"/>
  <c r="T64" i="75"/>
  <c r="T63" i="74"/>
  <c r="T45" i="81"/>
  <c r="T54" i="92"/>
  <c r="T63" i="40"/>
  <c r="T58" i="100"/>
  <c r="Y63" i="68"/>
  <c r="Y63" i="69"/>
  <c r="Y63" i="70"/>
  <c r="Y63" i="74"/>
  <c r="Y64" i="75"/>
  <c r="Y63" i="40"/>
  <c r="Y45" i="81"/>
  <c r="Y58" i="100"/>
  <c r="T58" i="169"/>
  <c r="V32" i="318"/>
  <c r="X52" i="2"/>
  <c r="AG52" i="2"/>
  <c r="V65" i="68"/>
  <c r="V65" i="69"/>
  <c r="V65" i="70"/>
  <c r="V66" i="75"/>
  <c r="V65" i="74"/>
  <c r="V47" i="81"/>
  <c r="V65" i="40"/>
  <c r="V56" i="92"/>
  <c r="V60" i="100"/>
  <c r="T67" i="68"/>
  <c r="T66" i="68" s="1"/>
  <c r="T67" i="69"/>
  <c r="T66" i="69" s="1"/>
  <c r="T67" i="70"/>
  <c r="T66" i="70" s="1"/>
  <c r="T68" i="75"/>
  <c r="T67" i="75" s="1"/>
  <c r="T67" i="74"/>
  <c r="T66" i="74" s="1"/>
  <c r="T49" i="81"/>
  <c r="T48" i="81" s="1"/>
  <c r="T67" i="40"/>
  <c r="T66" i="40" s="1"/>
  <c r="T58" i="92"/>
  <c r="T57" i="92" s="1"/>
  <c r="T62" i="100"/>
  <c r="T61" i="100" s="1"/>
  <c r="Q35" i="318"/>
  <c r="Y67" i="68"/>
  <c r="Y66" i="68" s="1"/>
  <c r="Y67" i="69"/>
  <c r="Y66" i="69" s="1"/>
  <c r="Y67" i="70"/>
  <c r="Y66" i="70" s="1"/>
  <c r="Y67" i="74"/>
  <c r="Y66" i="74" s="1"/>
  <c r="Y68" i="75"/>
  <c r="Y67" i="75" s="1"/>
  <c r="Y49" i="81"/>
  <c r="Y48" i="81" s="1"/>
  <c r="Y67" i="40"/>
  <c r="Y66" i="40" s="1"/>
  <c r="Y62" i="100"/>
  <c r="Y61" i="100" s="1"/>
  <c r="T62" i="169"/>
  <c r="T61" i="169" s="1"/>
  <c r="V35" i="318"/>
  <c r="V34" i="318" s="1"/>
  <c r="X55" i="2"/>
  <c r="X56" i="2"/>
  <c r="X57" i="2"/>
  <c r="Z71" i="68"/>
  <c r="Z71" i="69"/>
  <c r="Z71" i="70"/>
  <c r="Z72" i="75"/>
  <c r="Z71" i="74"/>
  <c r="Z53" i="81"/>
  <c r="Z71" i="40"/>
  <c r="O72" i="68"/>
  <c r="O72" i="69"/>
  <c r="O72" i="70"/>
  <c r="O73" i="75"/>
  <c r="O72" i="74"/>
  <c r="O54" i="81"/>
  <c r="O72" i="40"/>
  <c r="O66" i="100"/>
  <c r="O66" i="169"/>
  <c r="X58" i="2"/>
  <c r="T73" i="68"/>
  <c r="T73" i="69"/>
  <c r="T73" i="70"/>
  <c r="T74" i="75"/>
  <c r="T73" i="74"/>
  <c r="T55" i="81"/>
  <c r="T73" i="40"/>
  <c r="T67" i="100"/>
  <c r="X62" i="2"/>
  <c r="X63" i="2"/>
  <c r="R77" i="68"/>
  <c r="R76" i="68" s="1"/>
  <c r="R77" i="69"/>
  <c r="R76" i="69" s="1"/>
  <c r="R77" i="70"/>
  <c r="R76" i="70" s="1"/>
  <c r="R59" i="81"/>
  <c r="R58" i="81" s="1"/>
  <c r="R77" i="74"/>
  <c r="R76" i="74" s="1"/>
  <c r="R78" i="75"/>
  <c r="R77" i="75" s="1"/>
  <c r="R77" i="40"/>
  <c r="R76" i="40" s="1"/>
  <c r="T77" i="68"/>
  <c r="T76" i="68" s="1"/>
  <c r="T77" i="69"/>
  <c r="T76" i="69" s="1"/>
  <c r="T77" i="74"/>
  <c r="T76" i="74" s="1"/>
  <c r="T77" i="70"/>
  <c r="T76" i="70" s="1"/>
  <c r="T78" i="75"/>
  <c r="T77" i="75" s="1"/>
  <c r="T59" i="81"/>
  <c r="T58" i="81" s="1"/>
  <c r="T77" i="40"/>
  <c r="T76" i="40" s="1"/>
  <c r="AG65" i="2"/>
  <c r="V80" i="68"/>
  <c r="V80" i="69"/>
  <c r="V80" i="74"/>
  <c r="V80" i="70"/>
  <c r="V81" i="75"/>
  <c r="V62" i="81"/>
  <c r="V67" i="92"/>
  <c r="V80" i="40"/>
  <c r="V74" i="100"/>
  <c r="V81" i="68"/>
  <c r="V81" i="69"/>
  <c r="V81" i="70"/>
  <c r="V81" i="74"/>
  <c r="V63" i="81"/>
  <c r="V82" i="75"/>
  <c r="V68" i="92"/>
  <c r="V81" i="40"/>
  <c r="V76" i="100"/>
  <c r="Y82" i="68"/>
  <c r="Y82" i="69"/>
  <c r="Y82" i="70"/>
  <c r="Y82" i="74"/>
  <c r="Y64" i="81"/>
  <c r="Y83" i="75"/>
  <c r="Y82" i="40"/>
  <c r="Y77" i="100"/>
  <c r="T77" i="169"/>
  <c r="V83" i="68"/>
  <c r="V83" i="69"/>
  <c r="V83" i="70"/>
  <c r="V83" i="74"/>
  <c r="V65" i="81"/>
  <c r="V84" i="75"/>
  <c r="V70" i="92"/>
  <c r="V83" i="40"/>
  <c r="V78" i="100"/>
  <c r="Y84" i="68"/>
  <c r="Y84" i="69"/>
  <c r="Y84" i="70"/>
  <c r="Y84" i="74"/>
  <c r="Y66" i="81"/>
  <c r="Y85" i="75"/>
  <c r="Y84" i="40"/>
  <c r="Y79" i="100"/>
  <c r="T79" i="169"/>
  <c r="V85" i="68"/>
  <c r="V85" i="69"/>
  <c r="V85" i="70"/>
  <c r="V85" i="74"/>
  <c r="V67" i="81"/>
  <c r="V86" i="75"/>
  <c r="V72" i="92"/>
  <c r="V85" i="40"/>
  <c r="V80" i="100"/>
  <c r="Y86" i="68"/>
  <c r="Y86" i="69"/>
  <c r="Y86" i="70"/>
  <c r="Y86" i="74"/>
  <c r="Y68" i="81"/>
  <c r="Y87" i="75"/>
  <c r="Y86" i="40"/>
  <c r="Y81" i="100"/>
  <c r="T81" i="169"/>
  <c r="V87" i="68"/>
  <c r="V87" i="69"/>
  <c r="V87" i="70"/>
  <c r="V87" i="74"/>
  <c r="V69" i="81"/>
  <c r="V88" i="75"/>
  <c r="V74" i="92"/>
  <c r="V87" i="40"/>
  <c r="V82" i="100"/>
  <c r="Y88" i="68"/>
  <c r="Y88" i="69"/>
  <c r="Y88" i="70"/>
  <c r="Y88" i="74"/>
  <c r="Y70" i="81"/>
  <c r="Y89" i="75"/>
  <c r="Y88" i="40"/>
  <c r="Y83" i="100"/>
  <c r="T83" i="169"/>
  <c r="V89" i="68"/>
  <c r="V89" i="69"/>
  <c r="V89" i="70"/>
  <c r="V89" i="74"/>
  <c r="V71" i="81"/>
  <c r="V90" i="75"/>
  <c r="V76" i="92"/>
  <c r="V89" i="40"/>
  <c r="V84" i="100"/>
  <c r="Z91" i="68"/>
  <c r="Z91" i="69"/>
  <c r="Z91" i="70"/>
  <c r="Z91" i="74"/>
  <c r="Z73" i="81"/>
  <c r="Z92" i="75"/>
  <c r="Z91" i="40"/>
  <c r="AB86" i="100"/>
  <c r="V92" i="68"/>
  <c r="V92" i="70"/>
  <c r="V92" i="69"/>
  <c r="V92" i="74"/>
  <c r="V93" i="75"/>
  <c r="V74" i="81"/>
  <c r="V92" i="40"/>
  <c r="V79" i="92"/>
  <c r="V87" i="100"/>
  <c r="AG82" i="2"/>
  <c r="V93" i="68"/>
  <c r="V93" i="69"/>
  <c r="V93" i="70"/>
  <c r="V93" i="74"/>
  <c r="V75" i="81"/>
  <c r="V94" i="75"/>
  <c r="V88" i="100"/>
  <c r="V93" i="40"/>
  <c r="V80" i="92"/>
  <c r="AG83" i="2"/>
  <c r="V95" i="68"/>
  <c r="V95" i="69"/>
  <c r="V95" i="70"/>
  <c r="V95" i="74"/>
  <c r="V77" i="81"/>
  <c r="V96" i="75"/>
  <c r="V82" i="92"/>
  <c r="V95" i="40"/>
  <c r="V90" i="100"/>
  <c r="Y96" i="68"/>
  <c r="Y96" i="69"/>
  <c r="Y96" i="70"/>
  <c r="Y96" i="74"/>
  <c r="Y78" i="81"/>
  <c r="Y97" i="75"/>
  <c r="Y96" i="40"/>
  <c r="Y91" i="100"/>
  <c r="T91" i="169"/>
  <c r="Y97" i="68"/>
  <c r="Y97" i="70"/>
  <c r="Y97" i="69"/>
  <c r="Y97" i="74"/>
  <c r="Y98" i="75"/>
  <c r="Y79" i="81"/>
  <c r="Y97" i="40"/>
  <c r="Y92" i="100"/>
  <c r="T92" i="169"/>
  <c r="AG86" i="2"/>
  <c r="V98" i="68"/>
  <c r="V98" i="70"/>
  <c r="V98" i="69"/>
  <c r="V98" i="74"/>
  <c r="V99" i="75"/>
  <c r="V80" i="81"/>
  <c r="V85" i="92"/>
  <c r="V98" i="40"/>
  <c r="V93" i="100"/>
  <c r="AG87" i="2"/>
  <c r="V99" i="68"/>
  <c r="V99" i="69"/>
  <c r="V99" i="70"/>
  <c r="V99" i="74"/>
  <c r="V81" i="81"/>
  <c r="V100" i="75"/>
  <c r="V86" i="92"/>
  <c r="V94" i="100"/>
  <c r="V99" i="40"/>
  <c r="AG88" i="2"/>
  <c r="V100" i="68"/>
  <c r="V100" i="70"/>
  <c r="V100" i="69"/>
  <c r="V100" i="74"/>
  <c r="V101" i="75"/>
  <c r="V82" i="81"/>
  <c r="V87" i="92"/>
  <c r="V100" i="40"/>
  <c r="V95" i="100"/>
  <c r="AG89" i="2"/>
  <c r="V101" i="68"/>
  <c r="V101" i="69"/>
  <c r="V101" i="70"/>
  <c r="V101" i="74"/>
  <c r="V83" i="81"/>
  <c r="V102" i="75"/>
  <c r="V88" i="92"/>
  <c r="V96" i="100"/>
  <c r="V101" i="40"/>
  <c r="AG90" i="2"/>
  <c r="V102" i="68"/>
  <c r="V102" i="70"/>
  <c r="V102" i="69"/>
  <c r="V102" i="74"/>
  <c r="V103" i="75"/>
  <c r="V84" i="81"/>
  <c r="V89" i="92"/>
  <c r="V102" i="40"/>
  <c r="V97" i="100"/>
  <c r="Y103" i="68"/>
  <c r="Y103" i="70"/>
  <c r="Y103" i="69"/>
  <c r="Y103" i="74"/>
  <c r="Y104" i="75"/>
  <c r="Y85" i="81"/>
  <c r="Y103" i="40"/>
  <c r="Y98" i="100"/>
  <c r="T98" i="169"/>
  <c r="V104" i="68"/>
  <c r="V104" i="70"/>
  <c r="V104" i="69"/>
  <c r="V104" i="74"/>
  <c r="V105" i="75"/>
  <c r="V86" i="81"/>
  <c r="V91" i="92"/>
  <c r="V104" i="40"/>
  <c r="AG93" i="2"/>
  <c r="Y107" i="68"/>
  <c r="Y107" i="70"/>
  <c r="Y107" i="69"/>
  <c r="Y107" i="74"/>
  <c r="Y108" i="75"/>
  <c r="Y89" i="81"/>
  <c r="Y107" i="40"/>
  <c r="Z101" i="100"/>
  <c r="Z89" i="100" s="1"/>
  <c r="Z10" i="100" s="1"/>
  <c r="Z9" i="100" s="1"/>
  <c r="U101" i="169"/>
  <c r="U89" i="169" s="1"/>
  <c r="U10" i="169" s="1"/>
  <c r="U9" i="169" s="1"/>
  <c r="U35" i="168"/>
  <c r="Y108" i="68"/>
  <c r="Y108" i="69"/>
  <c r="Y108" i="70"/>
  <c r="Y108" i="74"/>
  <c r="Y90" i="81"/>
  <c r="Y109" i="75"/>
  <c r="Y108" i="40"/>
  <c r="Y102" i="100"/>
  <c r="T102" i="169"/>
  <c r="T36" i="168"/>
  <c r="Y110" i="68"/>
  <c r="Y110" i="69"/>
  <c r="Y110" i="70"/>
  <c r="Y110" i="74"/>
  <c r="Y92" i="81"/>
  <c r="Y111" i="75"/>
  <c r="Y110" i="40"/>
  <c r="Y104" i="100"/>
  <c r="T104" i="169"/>
  <c r="V94" i="254"/>
  <c r="Y111" i="68"/>
  <c r="Y111" i="70"/>
  <c r="Y111" i="69"/>
  <c r="Y111" i="74"/>
  <c r="Y112" i="75"/>
  <c r="Y93" i="81"/>
  <c r="Y111" i="40"/>
  <c r="Y105" i="100"/>
  <c r="T105" i="169"/>
  <c r="V95" i="254"/>
  <c r="Y112" i="68"/>
  <c r="Y112" i="69"/>
  <c r="Y112" i="70"/>
  <c r="Y112" i="74"/>
  <c r="Y94" i="81"/>
  <c r="Y113" i="75"/>
  <c r="Y112" i="40"/>
  <c r="Y106" i="100"/>
  <c r="T106" i="169"/>
  <c r="V113" i="68"/>
  <c r="V113" i="69"/>
  <c r="V113" i="70"/>
  <c r="V113" i="74"/>
  <c r="V95" i="81"/>
  <c r="V114" i="75"/>
  <c r="V113" i="40"/>
  <c r="V97" i="92"/>
  <c r="V107" i="100"/>
  <c r="Y114" i="68"/>
  <c r="Y114" i="69"/>
  <c r="Y114" i="70"/>
  <c r="Y114" i="74"/>
  <c r="Y96" i="81"/>
  <c r="Y115" i="75"/>
  <c r="Y114" i="40"/>
  <c r="Y108" i="100"/>
  <c r="T108" i="169"/>
  <c r="V97" i="254"/>
  <c r="V115" i="68"/>
  <c r="V115" i="69"/>
  <c r="V115" i="70"/>
  <c r="V115" i="74"/>
  <c r="V97" i="81"/>
  <c r="V116" i="75"/>
  <c r="V115" i="40"/>
  <c r="V99" i="92"/>
  <c r="V109" i="100"/>
  <c r="R116" i="68"/>
  <c r="R109" i="68" s="1"/>
  <c r="R116" i="69"/>
  <c r="R109" i="69" s="1"/>
  <c r="R116" i="70"/>
  <c r="R109" i="70" s="1"/>
  <c r="R116" i="74"/>
  <c r="R109" i="74" s="1"/>
  <c r="R98" i="81"/>
  <c r="R117" i="75"/>
  <c r="R116" i="40"/>
  <c r="R109" i="40" s="1"/>
  <c r="T116" i="68"/>
  <c r="T109" i="68" s="1"/>
  <c r="T116" i="69"/>
  <c r="T109" i="69" s="1"/>
  <c r="T116" i="70"/>
  <c r="T109" i="70" s="1"/>
  <c r="T116" i="74"/>
  <c r="T109" i="74" s="1"/>
  <c r="T117" i="75"/>
  <c r="T110" i="75" s="1"/>
  <c r="T98" i="81"/>
  <c r="T91" i="81" s="1"/>
  <c r="T116" i="40"/>
  <c r="T109" i="40" s="1"/>
  <c r="V116" i="68"/>
  <c r="V116" i="69"/>
  <c r="V116" i="70"/>
  <c r="V116" i="74"/>
  <c r="V117" i="75"/>
  <c r="V98" i="81"/>
  <c r="V116" i="40"/>
  <c r="AG107" i="2"/>
  <c r="V117" i="68"/>
  <c r="V117" i="69"/>
  <c r="V117" i="70"/>
  <c r="V117" i="74"/>
  <c r="V118" i="75"/>
  <c r="V99" i="81"/>
  <c r="V117" i="40"/>
  <c r="V110" i="100"/>
  <c r="V100" i="92"/>
  <c r="V118" i="68"/>
  <c r="V118" i="69"/>
  <c r="V118" i="70"/>
  <c r="V118" i="74"/>
  <c r="V119" i="75"/>
  <c r="V100" i="81"/>
  <c r="V118" i="40"/>
  <c r="V101" i="92"/>
  <c r="V111" i="100"/>
  <c r="V120" i="68"/>
  <c r="V120" i="69"/>
  <c r="V120" i="70"/>
  <c r="V120" i="74"/>
  <c r="V121" i="75"/>
  <c r="V102" i="81"/>
  <c r="V103" i="92"/>
  <c r="V113" i="100"/>
  <c r="V120" i="40"/>
  <c r="V121" i="68"/>
  <c r="V121" i="69"/>
  <c r="V121" i="70"/>
  <c r="V121" i="74"/>
  <c r="V103" i="81"/>
  <c r="V122" i="75"/>
  <c r="V121" i="40"/>
  <c r="V104" i="92"/>
  <c r="V114" i="100"/>
  <c r="Z122" i="68"/>
  <c r="Z122" i="69"/>
  <c r="Z122" i="70"/>
  <c r="Z122" i="74"/>
  <c r="Z123" i="75"/>
  <c r="Z104" i="81"/>
  <c r="Z122" i="40"/>
  <c r="AB115" i="100"/>
  <c r="W11" i="316"/>
  <c r="W10" i="316" s="1"/>
  <c r="W9" i="316" s="1"/>
  <c r="W8" i="316" s="1"/>
  <c r="W15" i="316" s="1"/>
  <c r="W46" i="318"/>
  <c r="W45" i="318" s="1"/>
  <c r="W9" i="318" s="1"/>
  <c r="W8" i="318" s="1"/>
  <c r="W50" i="318" s="1"/>
  <c r="V124" i="68"/>
  <c r="V123" i="68" s="1"/>
  <c r="V124" i="69"/>
  <c r="V123" i="69" s="1"/>
  <c r="V124" i="70"/>
  <c r="V123" i="70" s="1"/>
  <c r="V124" i="74"/>
  <c r="V123" i="74" s="1"/>
  <c r="V125" i="75"/>
  <c r="V124" i="75" s="1"/>
  <c r="V106" i="81"/>
  <c r="V105" i="81" s="1"/>
  <c r="V107" i="92"/>
  <c r="V106" i="92" s="1"/>
  <c r="V117" i="100"/>
  <c r="V116" i="100" s="1"/>
  <c r="V124" i="40"/>
  <c r="V123" i="40" s="1"/>
  <c r="X118" i="2"/>
  <c r="R130" i="68"/>
  <c r="R129" i="68" s="1"/>
  <c r="R128" i="68" s="1"/>
  <c r="R130" i="69"/>
  <c r="R129" i="69" s="1"/>
  <c r="R128" i="69" s="1"/>
  <c r="R130" i="70"/>
  <c r="R129" i="70" s="1"/>
  <c r="R128" i="70" s="1"/>
  <c r="R130" i="74"/>
  <c r="R129" i="74" s="1"/>
  <c r="R128" i="74" s="1"/>
  <c r="R112" i="81"/>
  <c r="R111" i="81" s="1"/>
  <c r="R110" i="81" s="1"/>
  <c r="R131" i="75"/>
  <c r="R130" i="75" s="1"/>
  <c r="R129" i="75" s="1"/>
  <c r="R130" i="40"/>
  <c r="R129" i="40" s="1"/>
  <c r="R128" i="40" s="1"/>
  <c r="T130" i="68"/>
  <c r="T130" i="69"/>
  <c r="T130" i="70"/>
  <c r="T130" i="74"/>
  <c r="T131" i="75"/>
  <c r="T112" i="81"/>
  <c r="T130" i="40"/>
  <c r="V130" i="68"/>
  <c r="V130" i="69"/>
  <c r="V130" i="70"/>
  <c r="V130" i="74"/>
  <c r="V131" i="75"/>
  <c r="V112" i="81"/>
  <c r="V130" i="40"/>
  <c r="Z130" i="68"/>
  <c r="Z129" i="68" s="1"/>
  <c r="Z128" i="68" s="1"/>
  <c r="Z130" i="69"/>
  <c r="Z129" i="69" s="1"/>
  <c r="Z128" i="69" s="1"/>
  <c r="Z130" i="70"/>
  <c r="Z129" i="70" s="1"/>
  <c r="Z128" i="70" s="1"/>
  <c r="Z130" i="74"/>
  <c r="Z129" i="74" s="1"/>
  <c r="Z128" i="74" s="1"/>
  <c r="Z131" i="75"/>
  <c r="Z130" i="75" s="1"/>
  <c r="Z129" i="75" s="1"/>
  <c r="Z112" i="81"/>
  <c r="Z111" i="81" s="1"/>
  <c r="Z110" i="81" s="1"/>
  <c r="Z130" i="40"/>
  <c r="Z129" i="40" s="1"/>
  <c r="Z128" i="40" s="1"/>
  <c r="V131" i="68"/>
  <c r="V131" i="69"/>
  <c r="V131" i="70"/>
  <c r="V131" i="74"/>
  <c r="V132" i="75"/>
  <c r="V113" i="81"/>
  <c r="V131" i="40"/>
  <c r="V113" i="92"/>
  <c r="V123" i="100"/>
  <c r="V132" i="68"/>
  <c r="V132" i="69"/>
  <c r="V132" i="70"/>
  <c r="V132" i="74"/>
  <c r="V133" i="75"/>
  <c r="V114" i="81"/>
  <c r="V124" i="100"/>
  <c r="V132" i="40"/>
  <c r="V114" i="92"/>
  <c r="T133" i="68"/>
  <c r="T133" i="69"/>
  <c r="T133" i="70"/>
  <c r="T133" i="74"/>
  <c r="T115" i="81"/>
  <c r="T134" i="75"/>
  <c r="T133" i="40"/>
  <c r="T115" i="92"/>
  <c r="T125" i="100"/>
  <c r="Q115" i="254"/>
  <c r="Y133" i="68"/>
  <c r="Y133" i="69"/>
  <c r="Y133" i="70"/>
  <c r="Y133" i="74"/>
  <c r="Y134" i="75"/>
  <c r="Y115" i="81"/>
  <c r="Y133" i="40"/>
  <c r="Y125" i="100"/>
  <c r="T125" i="169"/>
  <c r="V115" i="254"/>
  <c r="T134" i="68"/>
  <c r="T134" i="69"/>
  <c r="T134" i="70"/>
  <c r="T134" i="74"/>
  <c r="T135" i="75"/>
  <c r="T116" i="81"/>
  <c r="T126" i="100"/>
  <c r="T134" i="40"/>
  <c r="T116" i="92"/>
  <c r="Q116" i="254"/>
  <c r="S116" i="254" s="1"/>
  <c r="Y134" i="68"/>
  <c r="Y134" i="69"/>
  <c r="Y134" i="70"/>
  <c r="Y134" i="74"/>
  <c r="Y116" i="81"/>
  <c r="Y135" i="75"/>
  <c r="Y134" i="40"/>
  <c r="Y126" i="100"/>
  <c r="V116" i="254"/>
  <c r="T126" i="169"/>
  <c r="V135" i="68"/>
  <c r="V135" i="69"/>
  <c r="V135" i="70"/>
  <c r="V135" i="74"/>
  <c r="V117" i="81"/>
  <c r="V136" i="75"/>
  <c r="V135" i="40"/>
  <c r="V117" i="92"/>
  <c r="V127" i="100"/>
  <c r="Y138" i="68"/>
  <c r="Y137" i="68" s="1"/>
  <c r="Y136" i="68" s="1"/>
  <c r="Y138" i="69"/>
  <c r="Y137" i="69" s="1"/>
  <c r="Y136" i="69" s="1"/>
  <c r="Y138" i="70"/>
  <c r="Y137" i="70" s="1"/>
  <c r="Y136" i="70" s="1"/>
  <c r="Y138" i="74"/>
  <c r="Y137" i="74" s="1"/>
  <c r="Y136" i="74" s="1"/>
  <c r="Y120" i="81"/>
  <c r="Y119" i="81" s="1"/>
  <c r="Y118" i="81" s="1"/>
  <c r="Y139" i="75"/>
  <c r="Y138" i="75" s="1"/>
  <c r="Y137" i="75" s="1"/>
  <c r="Y138" i="40"/>
  <c r="Y137" i="40" s="1"/>
  <c r="Y136" i="40" s="1"/>
  <c r="Y130" i="100"/>
  <c r="Y129" i="100" s="1"/>
  <c r="Y128" i="100" s="1"/>
  <c r="T130" i="169"/>
  <c r="T129" i="169" s="1"/>
  <c r="T128" i="169" s="1"/>
  <c r="T46" i="168"/>
  <c r="T45" i="168" s="1"/>
  <c r="T44" i="168" s="1"/>
  <c r="W12" i="310"/>
  <c r="W123" i="254"/>
  <c r="W14" i="310"/>
  <c r="W125" i="254"/>
  <c r="V141" i="68"/>
  <c r="V141" i="69"/>
  <c r="V141" i="70"/>
  <c r="V141" i="74"/>
  <c r="V123" i="81"/>
  <c r="V142" i="75"/>
  <c r="V141" i="40"/>
  <c r="V123" i="92"/>
  <c r="V133" i="100"/>
  <c r="Y142" i="68"/>
  <c r="Y140" i="68" s="1"/>
  <c r="Y139" i="68" s="1"/>
  <c r="Y142" i="69"/>
  <c r="Y140" i="69" s="1"/>
  <c r="Y139" i="69" s="1"/>
  <c r="Y142" i="70"/>
  <c r="Y140" i="70" s="1"/>
  <c r="Y139" i="70" s="1"/>
  <c r="Y142" i="74"/>
  <c r="Y140" i="74" s="1"/>
  <c r="Y139" i="74" s="1"/>
  <c r="Y124" i="81"/>
  <c r="Y122" i="81" s="1"/>
  <c r="Y121" i="81" s="1"/>
  <c r="Y143" i="75"/>
  <c r="Y141" i="75" s="1"/>
  <c r="Y140" i="75" s="1"/>
  <c r="Y142" i="40"/>
  <c r="Y134" i="100"/>
  <c r="Y132" i="100" s="1"/>
  <c r="Y131" i="100" s="1"/>
  <c r="T134" i="169"/>
  <c r="T132" i="169" s="1"/>
  <c r="T131" i="169" s="1"/>
  <c r="V130" i="254"/>
  <c r="V128" i="254" s="1"/>
  <c r="V127" i="254" s="1"/>
  <c r="V143" i="68"/>
  <c r="V143" i="69"/>
  <c r="V143" i="70"/>
  <c r="V143" i="74"/>
  <c r="V125" i="81"/>
  <c r="V144" i="75"/>
  <c r="V143" i="40"/>
  <c r="V125" i="92"/>
  <c r="V135" i="100"/>
  <c r="Z143" i="68"/>
  <c r="Z143" i="69"/>
  <c r="Z143" i="70"/>
  <c r="Z143" i="74"/>
  <c r="Z125" i="81"/>
  <c r="Z144" i="75"/>
  <c r="AB135" i="100"/>
  <c r="Z143" i="40"/>
  <c r="Y146" i="68"/>
  <c r="Y145" i="68" s="1"/>
  <c r="Y144" i="68" s="1"/>
  <c r="Y146" i="69"/>
  <c r="Y145" i="69" s="1"/>
  <c r="Y144" i="69" s="1"/>
  <c r="Y146" i="70"/>
  <c r="Y145" i="70" s="1"/>
  <c r="Y144" i="70" s="1"/>
  <c r="Y146" i="74"/>
  <c r="Y145" i="74" s="1"/>
  <c r="Y144" i="74" s="1"/>
  <c r="Y128" i="81"/>
  <c r="Y127" i="81" s="1"/>
  <c r="Y126" i="81" s="1"/>
  <c r="Y147" i="75"/>
  <c r="Y146" i="75" s="1"/>
  <c r="Y145" i="75" s="1"/>
  <c r="Y146" i="40"/>
  <c r="Y145" i="40" s="1"/>
  <c r="Y144" i="40" s="1"/>
  <c r="Y138" i="100"/>
  <c r="Y137" i="100" s="1"/>
  <c r="Y136" i="100" s="1"/>
  <c r="T138" i="169"/>
  <c r="T137" i="169" s="1"/>
  <c r="T136" i="169" s="1"/>
  <c r="T49" i="168"/>
  <c r="T48" i="168" s="1"/>
  <c r="T47" i="168" s="1"/>
  <c r="V133" i="254"/>
  <c r="V132" i="254" s="1"/>
  <c r="V131" i="254" s="1"/>
  <c r="U149" i="68"/>
  <c r="U149" i="69"/>
  <c r="U149" i="70"/>
  <c r="U149" i="74"/>
  <c r="U150" i="75"/>
  <c r="U131" i="81"/>
  <c r="U149" i="40"/>
  <c r="Y149" i="68"/>
  <c r="Y149" i="69"/>
  <c r="Y149" i="70"/>
  <c r="Y149" i="74"/>
  <c r="Y150" i="75"/>
  <c r="Y131" i="81"/>
  <c r="Y149" i="40"/>
  <c r="U152" i="68"/>
  <c r="U152" i="69"/>
  <c r="U152" i="70"/>
  <c r="U152" i="74"/>
  <c r="U134" i="81"/>
  <c r="U153" i="75"/>
  <c r="U152" i="40"/>
  <c r="Y152" i="68"/>
  <c r="Y152" i="69"/>
  <c r="Y152" i="70"/>
  <c r="Y152" i="74"/>
  <c r="Y134" i="81"/>
  <c r="Y153" i="75"/>
  <c r="Y152" i="40"/>
  <c r="Y155" i="68"/>
  <c r="Y155" i="69"/>
  <c r="Y155" i="70"/>
  <c r="Y155" i="74"/>
  <c r="Y156" i="75"/>
  <c r="Y137" i="81"/>
  <c r="Y155" i="40"/>
  <c r="Y145" i="100"/>
  <c r="T145" i="169"/>
  <c r="V13" i="295"/>
  <c r="V138" i="254"/>
  <c r="V156" i="68"/>
  <c r="V156" i="69"/>
  <c r="V156" i="70"/>
  <c r="V156" i="74"/>
  <c r="V157" i="75"/>
  <c r="V138" i="81"/>
  <c r="V136" i="92"/>
  <c r="V156" i="40"/>
  <c r="V146" i="100"/>
  <c r="Y157" i="68"/>
  <c r="Y157" i="69"/>
  <c r="Y157" i="70"/>
  <c r="Y157" i="74"/>
  <c r="Y158" i="75"/>
  <c r="Y139" i="81"/>
  <c r="Y157" i="40"/>
  <c r="Y147" i="100"/>
  <c r="T147" i="169"/>
  <c r="V15" i="295"/>
  <c r="V140" i="254"/>
  <c r="V158" i="68"/>
  <c r="V158" i="69"/>
  <c r="V158" i="70"/>
  <c r="V158" i="74"/>
  <c r="V159" i="75"/>
  <c r="V140" i="81"/>
  <c r="V138" i="92"/>
  <c r="V158" i="40"/>
  <c r="V148" i="100"/>
  <c r="V159" i="68"/>
  <c r="V159" i="69"/>
  <c r="V159" i="70"/>
  <c r="V159" i="74"/>
  <c r="V141" i="81"/>
  <c r="V160" i="75"/>
  <c r="V139" i="92"/>
  <c r="V149" i="100"/>
  <c r="V159" i="40"/>
  <c r="W147" i="254"/>
  <c r="W146" i="254" s="1"/>
  <c r="W145" i="254" s="1"/>
  <c r="W22" i="295"/>
  <c r="W21" i="295" s="1"/>
  <c r="W20" i="295" s="1"/>
  <c r="W8" i="295" s="1"/>
  <c r="W23" i="295" s="1"/>
  <c r="R164" i="68"/>
  <c r="R163" i="68" s="1"/>
  <c r="R162" i="68" s="1"/>
  <c r="R164" i="69"/>
  <c r="R163" i="69" s="1"/>
  <c r="R162" i="69" s="1"/>
  <c r="R164" i="70"/>
  <c r="R163" i="70" s="1"/>
  <c r="R162" i="70" s="1"/>
  <c r="R164" i="74"/>
  <c r="R163" i="74" s="1"/>
  <c r="R162" i="74" s="1"/>
  <c r="R146" i="81"/>
  <c r="R145" i="81" s="1"/>
  <c r="R144" i="81" s="1"/>
  <c r="R165" i="75"/>
  <c r="R164" i="75" s="1"/>
  <c r="R163" i="75" s="1"/>
  <c r="R164" i="40"/>
  <c r="R163" i="40" s="1"/>
  <c r="R162" i="40" s="1"/>
  <c r="T164" i="68"/>
  <c r="T163" i="68" s="1"/>
  <c r="T162" i="68" s="1"/>
  <c r="T164" i="69"/>
  <c r="T163" i="69" s="1"/>
  <c r="T162" i="69" s="1"/>
  <c r="T164" i="70"/>
  <c r="T163" i="70" s="1"/>
  <c r="T162" i="70" s="1"/>
  <c r="T164" i="74"/>
  <c r="T163" i="74" s="1"/>
  <c r="T162" i="74" s="1"/>
  <c r="T165" i="75"/>
  <c r="T164" i="75" s="1"/>
  <c r="T163" i="75" s="1"/>
  <c r="T146" i="81"/>
  <c r="T145" i="81" s="1"/>
  <c r="T144" i="81" s="1"/>
  <c r="T164" i="40"/>
  <c r="T163" i="40" s="1"/>
  <c r="T162" i="40" s="1"/>
  <c r="X160" i="2"/>
  <c r="AG160" i="2"/>
  <c r="V165" i="68"/>
  <c r="V165" i="69"/>
  <c r="V165" i="70"/>
  <c r="V165" i="74"/>
  <c r="V166" i="75"/>
  <c r="V147" i="81"/>
  <c r="V165" i="40"/>
  <c r="V144" i="92"/>
  <c r="V154" i="100"/>
  <c r="O166" i="68"/>
  <c r="O166" i="69"/>
  <c r="O166" i="70"/>
  <c r="O166" i="74"/>
  <c r="O167" i="75"/>
  <c r="O148" i="81"/>
  <c r="O166" i="40"/>
  <c r="O145" i="92"/>
  <c r="O155" i="100"/>
  <c r="O155" i="169"/>
  <c r="V167" i="68"/>
  <c r="V167" i="69"/>
  <c r="V167" i="70"/>
  <c r="V167" i="74"/>
  <c r="V168" i="75"/>
  <c r="V149" i="81"/>
  <c r="V167" i="40"/>
  <c r="V146" i="92"/>
  <c r="V156" i="100"/>
  <c r="O168" i="68"/>
  <c r="O168" i="69"/>
  <c r="O168" i="70"/>
  <c r="O168" i="74"/>
  <c r="O169" i="75"/>
  <c r="O150" i="81"/>
  <c r="O168" i="40"/>
  <c r="O147" i="92"/>
  <c r="O157" i="100"/>
  <c r="O157" i="169"/>
  <c r="V169" i="68"/>
  <c r="V169" i="69"/>
  <c r="V169" i="70"/>
  <c r="V169" i="74"/>
  <c r="V170" i="75"/>
  <c r="V151" i="81"/>
  <c r="V169" i="40"/>
  <c r="V148" i="92"/>
  <c r="V158" i="100"/>
  <c r="V170" i="68"/>
  <c r="V170" i="69"/>
  <c r="V170" i="70"/>
  <c r="V170" i="74"/>
  <c r="V171" i="75"/>
  <c r="V152" i="81"/>
  <c r="V159" i="100"/>
  <c r="V170" i="40"/>
  <c r="V149" i="92"/>
  <c r="V171" i="68"/>
  <c r="V171" i="69"/>
  <c r="V171" i="70"/>
  <c r="V171" i="74"/>
  <c r="V172" i="75"/>
  <c r="V153" i="81"/>
  <c r="V171" i="40"/>
  <c r="V150" i="92"/>
  <c r="V160" i="100"/>
  <c r="AT168" i="2"/>
  <c r="AT169" i="2"/>
  <c r="AT170" i="2"/>
  <c r="AT171" i="2"/>
  <c r="AT172" i="2"/>
  <c r="R174" i="68"/>
  <c r="R173" i="68" s="1"/>
  <c r="R172" i="68" s="1"/>
  <c r="R174" i="69"/>
  <c r="R173" i="69" s="1"/>
  <c r="R172" i="69" s="1"/>
  <c r="R174" i="70"/>
  <c r="R173" i="70" s="1"/>
  <c r="R172" i="70" s="1"/>
  <c r="R174" i="74"/>
  <c r="R173" i="74" s="1"/>
  <c r="R172" i="74" s="1"/>
  <c r="R175" i="75"/>
  <c r="R174" i="75" s="1"/>
  <c r="R173" i="75" s="1"/>
  <c r="R156" i="81"/>
  <c r="R155" i="81" s="1"/>
  <c r="R154" i="81" s="1"/>
  <c r="R174" i="40"/>
  <c r="R173" i="40" s="1"/>
  <c r="R172" i="40" s="1"/>
  <c r="T174" i="68"/>
  <c r="T173" i="68" s="1"/>
  <c r="T172" i="68" s="1"/>
  <c r="T174" i="69"/>
  <c r="T173" i="69" s="1"/>
  <c r="T172" i="69" s="1"/>
  <c r="T174" i="70"/>
  <c r="T173" i="70" s="1"/>
  <c r="T172" i="70" s="1"/>
  <c r="T174" i="74"/>
  <c r="T173" i="74" s="1"/>
  <c r="T172" i="74" s="1"/>
  <c r="T156" i="81"/>
  <c r="T155" i="81" s="1"/>
  <c r="T154" i="81" s="1"/>
  <c r="T175" i="75"/>
  <c r="T174" i="75" s="1"/>
  <c r="T173" i="75" s="1"/>
  <c r="T174" i="40"/>
  <c r="T173" i="40" s="1"/>
  <c r="T172" i="40" s="1"/>
  <c r="V174" i="68"/>
  <c r="V173" i="68" s="1"/>
  <c r="V172" i="68" s="1"/>
  <c r="V174" i="69"/>
  <c r="V173" i="69" s="1"/>
  <c r="V172" i="69" s="1"/>
  <c r="V174" i="70"/>
  <c r="V173" i="70" s="1"/>
  <c r="V172" i="70" s="1"/>
  <c r="V174" i="74"/>
  <c r="V173" i="74" s="1"/>
  <c r="V172" i="74" s="1"/>
  <c r="V156" i="81"/>
  <c r="V155" i="81" s="1"/>
  <c r="V154" i="81" s="1"/>
  <c r="V175" i="75"/>
  <c r="V174" i="75" s="1"/>
  <c r="V173" i="75" s="1"/>
  <c r="V174" i="40"/>
  <c r="V173" i="40" s="1"/>
  <c r="V172" i="40" s="1"/>
  <c r="AG173" i="2"/>
  <c r="V175" i="68"/>
  <c r="V175" i="69"/>
  <c r="V175" i="70"/>
  <c r="V175" i="74"/>
  <c r="V157" i="81"/>
  <c r="V176" i="75"/>
  <c r="V163" i="100"/>
  <c r="V175" i="40"/>
  <c r="V153" i="92"/>
  <c r="V176" i="68"/>
  <c r="V176" i="69"/>
  <c r="V176" i="70"/>
  <c r="V176" i="74"/>
  <c r="V158" i="81"/>
  <c r="V177" i="75"/>
  <c r="V176" i="40"/>
  <c r="V154" i="92"/>
  <c r="V164" i="100"/>
  <c r="V177" i="68"/>
  <c r="V177" i="69"/>
  <c r="V177" i="70"/>
  <c r="V177" i="74"/>
  <c r="V159" i="81"/>
  <c r="V178" i="75"/>
  <c r="V165" i="100"/>
  <c r="V177" i="40"/>
  <c r="V155" i="92"/>
  <c r="V178" i="68"/>
  <c r="V178" i="69"/>
  <c r="V178" i="70"/>
  <c r="V178" i="74"/>
  <c r="V160" i="81"/>
  <c r="V179" i="75"/>
  <c r="V178" i="40"/>
  <c r="V156" i="92"/>
  <c r="V166" i="100"/>
  <c r="V179" i="68"/>
  <c r="V179" i="69"/>
  <c r="V179" i="70"/>
  <c r="V179" i="74"/>
  <c r="V161" i="81"/>
  <c r="V180" i="75"/>
  <c r="V167" i="100"/>
  <c r="V179" i="40"/>
  <c r="V157" i="92"/>
  <c r="V180" i="68"/>
  <c r="V180" i="69"/>
  <c r="V180" i="70"/>
  <c r="V180" i="74"/>
  <c r="V162" i="81"/>
  <c r="V181" i="75"/>
  <c r="V180" i="40"/>
  <c r="V158" i="92"/>
  <c r="V168" i="100"/>
  <c r="T186" i="68"/>
  <c r="T185" i="68" s="1"/>
  <c r="T186" i="69"/>
  <c r="T185" i="69" s="1"/>
  <c r="T186" i="70"/>
  <c r="T185" i="70" s="1"/>
  <c r="T186" i="74"/>
  <c r="T185" i="74" s="1"/>
  <c r="T168" i="81"/>
  <c r="T167" i="81" s="1"/>
  <c r="T187" i="75"/>
  <c r="T186" i="75" s="1"/>
  <c r="T186" i="40"/>
  <c r="T185" i="40" s="1"/>
  <c r="T174" i="100"/>
  <c r="T173" i="100" s="1"/>
  <c r="T164" i="92"/>
  <c r="T163" i="92" s="1"/>
  <c r="Q190" i="254"/>
  <c r="Q189" i="254" s="1"/>
  <c r="X183" i="2"/>
  <c r="T190" i="68"/>
  <c r="T189" i="68" s="1"/>
  <c r="T190" i="69"/>
  <c r="T189" i="69" s="1"/>
  <c r="T190" i="70"/>
  <c r="T189" i="70" s="1"/>
  <c r="T190" i="74"/>
  <c r="T189" i="74" s="1"/>
  <c r="T172" i="81"/>
  <c r="T171" i="81" s="1"/>
  <c r="T191" i="75"/>
  <c r="T190" i="75" s="1"/>
  <c r="T190" i="40"/>
  <c r="T189" i="40" s="1"/>
  <c r="T168" i="92"/>
  <c r="T167" i="92" s="1"/>
  <c r="T178" i="100"/>
  <c r="T177" i="100" s="1"/>
  <c r="Q194" i="254"/>
  <c r="Y190" i="68"/>
  <c r="Y189" i="68" s="1"/>
  <c r="Y190" i="69"/>
  <c r="Y189" i="69" s="1"/>
  <c r="Y190" i="70"/>
  <c r="Y189" i="70" s="1"/>
  <c r="Y190" i="74"/>
  <c r="Y189" i="74" s="1"/>
  <c r="Y191" i="75"/>
  <c r="Y190" i="75" s="1"/>
  <c r="Y172" i="81"/>
  <c r="Y171" i="81" s="1"/>
  <c r="Y178" i="100"/>
  <c r="Y177" i="100" s="1"/>
  <c r="Y172" i="100" s="1"/>
  <c r="Y190" i="40"/>
  <c r="Y189" i="40" s="1"/>
  <c r="T178" i="169"/>
  <c r="T177" i="169" s="1"/>
  <c r="T172" i="169" s="1"/>
  <c r="V194" i="254"/>
  <c r="V193" i="254" s="1"/>
  <c r="V188" i="254" s="1"/>
  <c r="T192" i="68"/>
  <c r="T191" i="68" s="1"/>
  <c r="T192" i="69"/>
  <c r="T191" i="69" s="1"/>
  <c r="T192" i="70"/>
  <c r="T191" i="70" s="1"/>
  <c r="T192" i="74"/>
  <c r="T191" i="74" s="1"/>
  <c r="T174" i="81"/>
  <c r="T173" i="81" s="1"/>
  <c r="T193" i="75"/>
  <c r="T192" i="75" s="1"/>
  <c r="T192" i="40"/>
  <c r="T191" i="40" s="1"/>
  <c r="T170" i="92"/>
  <c r="T169" i="92" s="1"/>
  <c r="Q196" i="254"/>
  <c r="Q195" i="254" s="1"/>
  <c r="M30" i="291" s="1"/>
  <c r="E30" i="291" s="1"/>
  <c r="Y192" i="68"/>
  <c r="Y191" i="68" s="1"/>
  <c r="Y192" i="69"/>
  <c r="Y191" i="69" s="1"/>
  <c r="Y192" i="70"/>
  <c r="Y191" i="70" s="1"/>
  <c r="Y192" i="74"/>
  <c r="Y191" i="74" s="1"/>
  <c r="Y193" i="75"/>
  <c r="Y192" i="75" s="1"/>
  <c r="Y174" i="81"/>
  <c r="Y173" i="81" s="1"/>
  <c r="Y192" i="40"/>
  <c r="Y191" i="40" s="1"/>
  <c r="T193" i="68"/>
  <c r="T193" i="69"/>
  <c r="T193" i="70"/>
  <c r="T193" i="74"/>
  <c r="T175" i="81"/>
  <c r="T194" i="75"/>
  <c r="T180" i="100"/>
  <c r="T193" i="40"/>
  <c r="Y195" i="68"/>
  <c r="Y195" i="69"/>
  <c r="Y195" i="70"/>
  <c r="Y195" i="74"/>
  <c r="Y196" i="75"/>
  <c r="Y177" i="81"/>
  <c r="Y195" i="40"/>
  <c r="Z182" i="100"/>
  <c r="Z179" i="100" s="1"/>
  <c r="Z172" i="100" s="1"/>
  <c r="U182" i="169"/>
  <c r="U179" i="169" s="1"/>
  <c r="U172" i="169" s="1"/>
  <c r="W198" i="254"/>
  <c r="W195" i="254" s="1"/>
  <c r="W188" i="254" s="1"/>
  <c r="Y198" i="68"/>
  <c r="Y197" i="68" s="1"/>
  <c r="Y196" i="68" s="1"/>
  <c r="Y198" i="69"/>
  <c r="Y197" i="69" s="1"/>
  <c r="Y196" i="69" s="1"/>
  <c r="Y198" i="70"/>
  <c r="Y197" i="70" s="1"/>
  <c r="Y196" i="70" s="1"/>
  <c r="Y198" i="74"/>
  <c r="Y197" i="74" s="1"/>
  <c r="Y196" i="74" s="1"/>
  <c r="Y180" i="81"/>
  <c r="Y179" i="81" s="1"/>
  <c r="Y178" i="81" s="1"/>
  <c r="Y199" i="75"/>
  <c r="Y198" i="75" s="1"/>
  <c r="Y197" i="75" s="1"/>
  <c r="Y198" i="40"/>
  <c r="Y197" i="40" s="1"/>
  <c r="Y196" i="40" s="1"/>
  <c r="Y185" i="100"/>
  <c r="Y184" i="100" s="1"/>
  <c r="Y183" i="100" s="1"/>
  <c r="T185" i="169"/>
  <c r="T184" i="169" s="1"/>
  <c r="T183" i="169" s="1"/>
  <c r="T57" i="168"/>
  <c r="T56" i="168" s="1"/>
  <c r="T55" i="168" s="1"/>
  <c r="T54" i="168" s="1"/>
  <c r="V201" i="254"/>
  <c r="V200" i="254" s="1"/>
  <c r="V199" i="254" s="1"/>
  <c r="V201" i="68"/>
  <c r="V200" i="68" s="1"/>
  <c r="V201" i="69"/>
  <c r="V200" i="69" s="1"/>
  <c r="V201" i="70"/>
  <c r="V200" i="70" s="1"/>
  <c r="V201" i="74"/>
  <c r="V200" i="74" s="1"/>
  <c r="V183" i="81"/>
  <c r="V182" i="81" s="1"/>
  <c r="V202" i="75"/>
  <c r="V201" i="75" s="1"/>
  <c r="V176" i="92"/>
  <c r="V175" i="92" s="1"/>
  <c r="V201" i="40"/>
  <c r="V200" i="40" s="1"/>
  <c r="AG190" i="2"/>
  <c r="O202" i="68"/>
  <c r="O202" i="69"/>
  <c r="O202" i="70"/>
  <c r="O202" i="74"/>
  <c r="O184" i="81"/>
  <c r="O203" i="75"/>
  <c r="O188" i="100"/>
  <c r="O202" i="40"/>
  <c r="O188" i="169"/>
  <c r="V203" i="68"/>
  <c r="V203" i="69"/>
  <c r="V203" i="70"/>
  <c r="V203" i="74"/>
  <c r="V185" i="81"/>
  <c r="V204" i="75"/>
  <c r="V189" i="100"/>
  <c r="V203" i="40"/>
  <c r="O204" i="68"/>
  <c r="O204" i="69"/>
  <c r="O204" i="70"/>
  <c r="O204" i="74"/>
  <c r="O186" i="81"/>
  <c r="O205" i="75"/>
  <c r="O204" i="40"/>
  <c r="Y204" i="68"/>
  <c r="Y204" i="69"/>
  <c r="Y204" i="70"/>
  <c r="Y204" i="74"/>
  <c r="Y205" i="75"/>
  <c r="Y186" i="81"/>
  <c r="Y204" i="40"/>
  <c r="Z190" i="100"/>
  <c r="Z187" i="100" s="1"/>
  <c r="Z186" i="100" s="1"/>
  <c r="U190" i="169"/>
  <c r="U187" i="169" s="1"/>
  <c r="U186" i="169" s="1"/>
  <c r="AA194" i="2"/>
  <c r="V206" i="68"/>
  <c r="V206" i="69"/>
  <c r="V206" i="70"/>
  <c r="V206" i="74"/>
  <c r="V207" i="75"/>
  <c r="V188" i="81"/>
  <c r="V206" i="40"/>
  <c r="V191" i="100"/>
  <c r="O207" i="68"/>
  <c r="O207" i="69"/>
  <c r="O207" i="70"/>
  <c r="O207" i="74"/>
  <c r="O208" i="75"/>
  <c r="O189" i="81"/>
  <c r="O207" i="40"/>
  <c r="V208" i="68"/>
  <c r="V208" i="69"/>
  <c r="V208" i="70"/>
  <c r="V208" i="74"/>
  <c r="V209" i="75"/>
  <c r="V190" i="81"/>
  <c r="V208" i="40"/>
  <c r="V193" i="100"/>
  <c r="Z208" i="68"/>
  <c r="Z208" i="69"/>
  <c r="Z208" i="70"/>
  <c r="Z208" i="74"/>
  <c r="Z209" i="75"/>
  <c r="Z190" i="81"/>
  <c r="AB193" i="100"/>
  <c r="Z208" i="40"/>
  <c r="V210" i="68"/>
  <c r="V209" i="68" s="1"/>
  <c r="V210" i="69"/>
  <c r="V209" i="69" s="1"/>
  <c r="V210" i="70"/>
  <c r="V209" i="70" s="1"/>
  <c r="V210" i="74"/>
  <c r="V209" i="74" s="1"/>
  <c r="V192" i="81"/>
  <c r="V191" i="81" s="1"/>
  <c r="V211" i="75"/>
  <c r="V210" i="75" s="1"/>
  <c r="V210" i="40"/>
  <c r="V209" i="40" s="1"/>
  <c r="V179" i="92"/>
  <c r="V178" i="92" s="1"/>
  <c r="V195" i="100"/>
  <c r="V194" i="100" s="1"/>
  <c r="V186" i="100" s="1"/>
  <c r="Y214" i="68"/>
  <c r="Y213" i="68" s="1"/>
  <c r="Y212" i="68" s="1"/>
  <c r="Y214" i="69"/>
  <c r="Y213" i="69" s="1"/>
  <c r="Y212" i="69" s="1"/>
  <c r="Y214" i="70"/>
  <c r="Y213" i="70" s="1"/>
  <c r="Y212" i="70" s="1"/>
  <c r="Y214" i="74"/>
  <c r="Y213" i="74" s="1"/>
  <c r="Y212" i="74" s="1"/>
  <c r="Y196" i="81"/>
  <c r="Y195" i="81" s="1"/>
  <c r="Y194" i="81" s="1"/>
  <c r="Y215" i="75"/>
  <c r="Y214" i="75" s="1"/>
  <c r="Y213" i="75" s="1"/>
  <c r="Y214" i="40"/>
  <c r="Y213" i="40" s="1"/>
  <c r="Y212" i="40" s="1"/>
  <c r="Y199" i="100"/>
  <c r="Y198" i="100" s="1"/>
  <c r="Y197" i="100" s="1"/>
  <c r="V23" i="311"/>
  <c r="V22" i="311" s="1"/>
  <c r="V21" i="311" s="1"/>
  <c r="V14" i="311" s="1"/>
  <c r="V40" i="311" s="1"/>
  <c r="V213" i="254"/>
  <c r="V212" i="254" s="1"/>
  <c r="V211" i="254" s="1"/>
  <c r="T199" i="169"/>
  <c r="T198" i="169" s="1"/>
  <c r="T197" i="169" s="1"/>
  <c r="Z217" i="68"/>
  <c r="Z216" i="68" s="1"/>
  <c r="Z215" i="68" s="1"/>
  <c r="Z217" i="69"/>
  <c r="Z216" i="69" s="1"/>
  <c r="Z215" i="69" s="1"/>
  <c r="Z217" i="70"/>
  <c r="Z216" i="70" s="1"/>
  <c r="Z215" i="70" s="1"/>
  <c r="Z217" i="74"/>
  <c r="Z216" i="74" s="1"/>
  <c r="Z215" i="74" s="1"/>
  <c r="Z199" i="81"/>
  <c r="Z198" i="81" s="1"/>
  <c r="Z197" i="81" s="1"/>
  <c r="Z218" i="75"/>
  <c r="Z217" i="75" s="1"/>
  <c r="Z216" i="75" s="1"/>
  <c r="Z217" i="40"/>
  <c r="Z216" i="40" s="1"/>
  <c r="Z215" i="40" s="1"/>
  <c r="AT202" i="2"/>
  <c r="AT203" i="2"/>
  <c r="AT204" i="2"/>
  <c r="AT205" i="2"/>
  <c r="V220" i="68"/>
  <c r="V219" i="68" s="1"/>
  <c r="V218" i="68" s="1"/>
  <c r="V220" i="69"/>
  <c r="V219" i="69" s="1"/>
  <c r="V218" i="69" s="1"/>
  <c r="V220" i="70"/>
  <c r="V219" i="70" s="1"/>
  <c r="V218" i="70" s="1"/>
  <c r="V220" i="74"/>
  <c r="V219" i="74" s="1"/>
  <c r="V218" i="74" s="1"/>
  <c r="V221" i="75"/>
  <c r="V220" i="75" s="1"/>
  <c r="V219" i="75" s="1"/>
  <c r="V202" i="81"/>
  <c r="V201" i="81" s="1"/>
  <c r="V200" i="81" s="1"/>
  <c r="V220" i="40"/>
  <c r="V219" i="40" s="1"/>
  <c r="V218" i="40" s="1"/>
  <c r="V189" i="92"/>
  <c r="V188" i="92" s="1"/>
  <c r="V187" i="92" s="1"/>
  <c r="V205" i="100"/>
  <c r="V204" i="100" s="1"/>
  <c r="V203" i="100" s="1"/>
  <c r="AG206" i="2"/>
  <c r="V223" i="68"/>
  <c r="V222" i="68" s="1"/>
  <c r="V221" i="68" s="1"/>
  <c r="V223" i="69"/>
  <c r="V222" i="69" s="1"/>
  <c r="V221" i="69" s="1"/>
  <c r="V223" i="70"/>
  <c r="V222" i="70" s="1"/>
  <c r="V221" i="70" s="1"/>
  <c r="V223" i="74"/>
  <c r="V222" i="74" s="1"/>
  <c r="V221" i="74" s="1"/>
  <c r="V224" i="75"/>
  <c r="V223" i="75" s="1"/>
  <c r="V222" i="75" s="1"/>
  <c r="V205" i="81"/>
  <c r="V204" i="81" s="1"/>
  <c r="V203" i="81" s="1"/>
  <c r="V223" i="40"/>
  <c r="V222" i="40" s="1"/>
  <c r="V221" i="40" s="1"/>
  <c r="V192" i="92"/>
  <c r="V191" i="92" s="1"/>
  <c r="V190" i="92" s="1"/>
  <c r="V208" i="100"/>
  <c r="V207" i="100" s="1"/>
  <c r="V206" i="100" s="1"/>
  <c r="AT208" i="2"/>
  <c r="AT209" i="2"/>
  <c r="T210" i="2"/>
  <c r="T215" i="2" s="1"/>
  <c r="AW211" i="2"/>
  <c r="AC216" i="2"/>
  <c r="P11" i="229"/>
  <c r="V12" i="229"/>
  <c r="V11" i="229" s="1"/>
  <c r="P20" i="229"/>
  <c r="S20" i="229" s="1"/>
  <c r="V21" i="229"/>
  <c r="V22" i="229"/>
  <c r="V28" i="229"/>
  <c r="P43" i="229"/>
  <c r="Q44" i="229"/>
  <c r="V46" i="229"/>
  <c r="Q47" i="229"/>
  <c r="S47" i="229" s="1"/>
  <c r="V52" i="229"/>
  <c r="Q54" i="229"/>
  <c r="S54" i="229" s="1"/>
  <c r="P58" i="229"/>
  <c r="Q63" i="229"/>
  <c r="S63" i="229" s="1"/>
  <c r="V63" i="229"/>
  <c r="V58" i="229" s="1"/>
  <c r="Q64" i="229"/>
  <c r="S64" i="229" s="1"/>
  <c r="V64" i="229"/>
  <c r="W66" i="229"/>
  <c r="W65" i="229" s="1"/>
  <c r="P67" i="229"/>
  <c r="S67" i="229" s="1"/>
  <c r="V72" i="229"/>
  <c r="V73" i="229"/>
  <c r="V74" i="229"/>
  <c r="V75" i="229"/>
  <c r="V76" i="229"/>
  <c r="V77" i="229"/>
  <c r="V79" i="229"/>
  <c r="V83" i="229"/>
  <c r="V84" i="229"/>
  <c r="P85" i="229"/>
  <c r="V87" i="229"/>
  <c r="V88" i="229"/>
  <c r="V89" i="229"/>
  <c r="V90" i="229"/>
  <c r="V91" i="229"/>
  <c r="V92" i="229"/>
  <c r="V93" i="229"/>
  <c r="V94" i="229"/>
  <c r="V95" i="229"/>
  <c r="V100" i="229"/>
  <c r="V101" i="229"/>
  <c r="V102" i="229"/>
  <c r="V103" i="229"/>
  <c r="V104" i="229"/>
  <c r="W106" i="229"/>
  <c r="W99" i="229" s="1"/>
  <c r="Y109" i="229"/>
  <c r="Y99" i="229" s="1"/>
  <c r="V116" i="229"/>
  <c r="V115" i="229" s="1"/>
  <c r="W118" i="229"/>
  <c r="W117" i="229" s="1"/>
  <c r="Q121" i="229"/>
  <c r="Q120" i="229" s="1"/>
  <c r="Q119" i="229" s="1"/>
  <c r="P123" i="229"/>
  <c r="W125" i="229"/>
  <c r="W126" i="229"/>
  <c r="Q127" i="229"/>
  <c r="V127" i="229"/>
  <c r="Q128" i="229"/>
  <c r="S128" i="229" s="1"/>
  <c r="V128" i="229"/>
  <c r="W129" i="229"/>
  <c r="W130" i="229"/>
  <c r="W131" i="229"/>
  <c r="W132" i="229"/>
  <c r="V141" i="229"/>
  <c r="V139" i="229" s="1"/>
  <c r="V138" i="229" s="1"/>
  <c r="V149" i="229"/>
  <c r="V151" i="229"/>
  <c r="P155" i="229"/>
  <c r="W157" i="229"/>
  <c r="W156" i="229" s="1"/>
  <c r="W155" i="229" s="1"/>
  <c r="P159" i="229"/>
  <c r="P162" i="229"/>
  <c r="W174" i="229"/>
  <c r="W175" i="229"/>
  <c r="W176" i="229"/>
  <c r="W177" i="229"/>
  <c r="W178" i="229"/>
  <c r="P191" i="229"/>
  <c r="Q193" i="229"/>
  <c r="Q192" i="229" s="1"/>
  <c r="Q195" i="229"/>
  <c r="Q194" i="229" s="1"/>
  <c r="S194" i="229" s="1"/>
  <c r="Q199" i="229"/>
  <c r="Q198" i="229" s="1"/>
  <c r="S198" i="229" s="1"/>
  <c r="W209" i="229"/>
  <c r="W206" i="229" s="1"/>
  <c r="W205" i="229" s="1"/>
  <c r="V214" i="229"/>
  <c r="V213" i="229" s="1"/>
  <c r="V205" i="229" s="1"/>
  <c r="V218" i="229"/>
  <c r="V217" i="229" s="1"/>
  <c r="V216" i="229" s="1"/>
  <c r="W224" i="229"/>
  <c r="W225" i="229"/>
  <c r="W226" i="229"/>
  <c r="W227" i="229"/>
  <c r="W242" i="229"/>
  <c r="W241" i="229" s="1"/>
  <c r="W240" i="229" s="1"/>
  <c r="S210" i="272"/>
  <c r="B10" i="290"/>
  <c r="A5" i="289"/>
  <c r="A5" i="287"/>
  <c r="A5" i="294"/>
  <c r="C8" i="277"/>
  <c r="A5" i="288"/>
  <c r="A5" i="286"/>
  <c r="A6" i="284"/>
  <c r="D9" i="283"/>
  <c r="D9" i="276"/>
  <c r="D9" i="274"/>
  <c r="V11" i="254"/>
  <c r="V10" i="254" s="1"/>
  <c r="P10" i="283"/>
  <c r="P9" i="283" s="1"/>
  <c r="C6" i="289"/>
  <c r="D9" i="278"/>
  <c r="D11" i="276"/>
  <c r="D9" i="275"/>
  <c r="D11" i="283"/>
  <c r="E10" i="278"/>
  <c r="B8" i="289"/>
  <c r="B11" i="289"/>
  <c r="E12" i="276"/>
  <c r="Q19" i="254"/>
  <c r="S19" i="254" s="1"/>
  <c r="C9" i="282"/>
  <c r="C9" i="281"/>
  <c r="C9" i="279"/>
  <c r="C13" i="283"/>
  <c r="V21" i="254"/>
  <c r="V28" i="254"/>
  <c r="C12" i="279"/>
  <c r="C9" i="277"/>
  <c r="M19" i="291"/>
  <c r="E19" i="291" s="1"/>
  <c r="F19" i="291" s="1"/>
  <c r="B7" i="286"/>
  <c r="E13" i="279"/>
  <c r="E14" i="279"/>
  <c r="B6" i="288"/>
  <c r="E10" i="277"/>
  <c r="B8" i="288"/>
  <c r="B21" i="289"/>
  <c r="E16" i="283"/>
  <c r="B22" i="289"/>
  <c r="E17" i="283"/>
  <c r="B23" i="289"/>
  <c r="E12" i="275"/>
  <c r="B7" i="288"/>
  <c r="E11" i="277"/>
  <c r="D12" i="281"/>
  <c r="D9" i="280"/>
  <c r="B14" i="288"/>
  <c r="E13" i="281"/>
  <c r="E10" i="280"/>
  <c r="Q45" i="254"/>
  <c r="B25" i="289"/>
  <c r="E16" i="279"/>
  <c r="Q48" i="254"/>
  <c r="S48" i="254" s="1"/>
  <c r="Q52" i="254"/>
  <c r="S52" i="254" s="1"/>
  <c r="E14" i="277"/>
  <c r="B11" i="288"/>
  <c r="V53" i="254"/>
  <c r="V42" i="254" s="1"/>
  <c r="C18" i="279"/>
  <c r="C15" i="277"/>
  <c r="B12" i="288"/>
  <c r="E16" i="277"/>
  <c r="E19" i="279"/>
  <c r="B28" i="289"/>
  <c r="Q58" i="254"/>
  <c r="B29" i="289"/>
  <c r="E16" i="282"/>
  <c r="B30" i="289"/>
  <c r="B9" i="286"/>
  <c r="E19" i="283"/>
  <c r="E21" i="279"/>
  <c r="W63" i="254"/>
  <c r="W62" i="254" s="1"/>
  <c r="C30" i="289"/>
  <c r="P19" i="283"/>
  <c r="P18" i="283" s="1"/>
  <c r="S65" i="254"/>
  <c r="V69" i="254"/>
  <c r="V70" i="254"/>
  <c r="V71" i="254"/>
  <c r="V72" i="254"/>
  <c r="V74" i="254"/>
  <c r="B37" i="289"/>
  <c r="E25" i="283"/>
  <c r="B38" i="289"/>
  <c r="E17" i="275"/>
  <c r="B39" i="289"/>
  <c r="E26" i="283"/>
  <c r="V82" i="254"/>
  <c r="V83" i="254"/>
  <c r="V84" i="254"/>
  <c r="V85" i="254"/>
  <c r="V86" i="254"/>
  <c r="V87" i="254"/>
  <c r="B45" i="289"/>
  <c r="E31" i="283"/>
  <c r="E26" i="274"/>
  <c r="B48" i="289"/>
  <c r="S94" i="254"/>
  <c r="P93" i="254"/>
  <c r="S93" i="254" s="1"/>
  <c r="B49" i="289"/>
  <c r="E27" i="274"/>
  <c r="E28" i="274"/>
  <c r="B50" i="289"/>
  <c r="B51" i="289"/>
  <c r="E29" i="274"/>
  <c r="E16" i="280"/>
  <c r="B52" i="289"/>
  <c r="C53" i="289"/>
  <c r="P35" i="283"/>
  <c r="P34" i="283" s="1"/>
  <c r="AS100" i="254"/>
  <c r="AS239" i="254" s="1"/>
  <c r="Y93" i="254"/>
  <c r="K18" i="291" s="1"/>
  <c r="D18" i="291" s="1"/>
  <c r="D7" i="291" s="1"/>
  <c r="W107" i="254"/>
  <c r="W106" i="254" s="1"/>
  <c r="S110" i="254"/>
  <c r="A58" i="289"/>
  <c r="C38" i="283"/>
  <c r="C19" i="277"/>
  <c r="C17" i="276"/>
  <c r="A13" i="287"/>
  <c r="A10" i="286"/>
  <c r="C22" i="275"/>
  <c r="C33" i="274"/>
  <c r="F24" i="290"/>
  <c r="E23" i="290"/>
  <c r="F23" i="290" s="1"/>
  <c r="P27" i="277"/>
  <c r="P26" i="277" s="1"/>
  <c r="P25" i="277" s="1"/>
  <c r="D10" i="293"/>
  <c r="Q41" i="277"/>
  <c r="P21" i="281"/>
  <c r="C29" i="287"/>
  <c r="C28" i="287" s="1"/>
  <c r="P30" i="282"/>
  <c r="P29" i="282" s="1"/>
  <c r="P28" i="282" s="1"/>
  <c r="AP172" i="254"/>
  <c r="S196" i="254"/>
  <c r="F21" i="265"/>
  <c r="Y53" i="318"/>
  <c r="Z53" i="318"/>
  <c r="S24" i="318"/>
  <c r="P23" i="318"/>
  <c r="S28" i="318"/>
  <c r="S38" i="318"/>
  <c r="S47" i="318"/>
  <c r="S48" i="318"/>
  <c r="V26" i="313"/>
  <c r="V27" i="313" s="1"/>
  <c r="Z26" i="314"/>
  <c r="Y26" i="314"/>
  <c r="V17" i="316"/>
  <c r="V18" i="316" s="1"/>
  <c r="Y18" i="316"/>
  <c r="Z18" i="316"/>
  <c r="Q8" i="316"/>
  <c r="Q15" i="316" s="1"/>
  <c r="S15" i="316" s="1"/>
  <c r="S12" i="316"/>
  <c r="S13" i="316"/>
  <c r="S14" i="316"/>
  <c r="Z21" i="317"/>
  <c r="Y21" i="317"/>
  <c r="Z22" i="301"/>
  <c r="Y22" i="301"/>
  <c r="Z37" i="304"/>
  <c r="Y37" i="304"/>
  <c r="Z28" i="306"/>
  <c r="Y28" i="306"/>
  <c r="Y19" i="308"/>
  <c r="Z19" i="308"/>
  <c r="V18" i="308"/>
  <c r="AJ8" i="308"/>
  <c r="AH16" i="308"/>
  <c r="Z52" i="297"/>
  <c r="Y52" i="297"/>
  <c r="Z15" i="312"/>
  <c r="Y15" i="312"/>
  <c r="R40" i="311"/>
  <c r="F30" i="296"/>
  <c r="E29" i="296"/>
  <c r="C9" i="293"/>
  <c r="E9" i="293" s="1"/>
  <c r="P27" i="283"/>
  <c r="X10" i="169"/>
  <c r="X9" i="169" s="1"/>
  <c r="X209" i="169" s="1"/>
  <c r="P112" i="254"/>
  <c r="AR126" i="254"/>
  <c r="Q127" i="254"/>
  <c r="L17" i="290" s="1"/>
  <c r="E17" i="290" s="1"/>
  <c r="F17" i="290" s="1"/>
  <c r="AJ128" i="254"/>
  <c r="P132" i="254"/>
  <c r="P134" i="254"/>
  <c r="Y134" i="254"/>
  <c r="AR141" i="254"/>
  <c r="S145" i="254"/>
  <c r="Q151" i="254"/>
  <c r="L21" i="290" s="1"/>
  <c r="E21" i="290" s="1"/>
  <c r="F21" i="290" s="1"/>
  <c r="S183" i="254"/>
  <c r="AJ195" i="254"/>
  <c r="S208" i="254"/>
  <c r="S218" i="254"/>
  <c r="S227" i="254"/>
  <c r="S231" i="254"/>
  <c r="S233" i="254"/>
  <c r="S236" i="254"/>
  <c r="S237" i="254"/>
  <c r="AT226" i="273"/>
  <c r="D7" i="265"/>
  <c r="D13" i="265"/>
  <c r="AJ8" i="295"/>
  <c r="P9" i="299"/>
  <c r="Q10" i="299"/>
  <c r="Q9" i="299" s="1"/>
  <c r="Q8" i="299" s="1"/>
  <c r="Q18" i="299" s="1"/>
  <c r="P10" i="318"/>
  <c r="S46" i="318"/>
  <c r="S11" i="316"/>
  <c r="S9" i="301"/>
  <c r="S8" i="301" s="1"/>
  <c r="P19" i="301"/>
  <c r="S19" i="301" s="1"/>
  <c r="AQ11" i="304"/>
  <c r="AQ34" i="304" s="1"/>
  <c r="AS11" i="304"/>
  <c r="AS34" i="304" s="1"/>
  <c r="P34" i="304"/>
  <c r="S34" i="304" s="1"/>
  <c r="AR11" i="305"/>
  <c r="AT11" i="305"/>
  <c r="AT25" i="305" s="1"/>
  <c r="AR13" i="305"/>
  <c r="AT13" i="305"/>
  <c r="AQ15" i="305"/>
  <c r="AS15" i="305"/>
  <c r="AS25" i="305" s="1"/>
  <c r="AQ17" i="305"/>
  <c r="AS17" i="305"/>
  <c r="AJ8" i="306"/>
  <c r="AQ11" i="306"/>
  <c r="AS11" i="306"/>
  <c r="AS25" i="306" s="1"/>
  <c r="AQ13" i="306"/>
  <c r="AS13" i="306"/>
  <c r="AR15" i="306"/>
  <c r="AT15" i="306"/>
  <c r="AT25" i="306" s="1"/>
  <c r="AR17" i="306"/>
  <c r="AT17" i="306"/>
  <c r="AR11" i="308"/>
  <c r="AR16" i="308" s="1"/>
  <c r="P9" i="297"/>
  <c r="P8" i="297" s="1"/>
  <c r="AJ8" i="312"/>
  <c r="S16" i="311"/>
  <c r="S25" i="311"/>
  <c r="S29" i="311"/>
  <c r="S33" i="311"/>
  <c r="C34" i="274"/>
  <c r="E38" i="274"/>
  <c r="E42" i="274"/>
  <c r="E43" i="274"/>
  <c r="E44" i="274"/>
  <c r="E45" i="274"/>
  <c r="P46" i="274"/>
  <c r="P41" i="274" s="1"/>
  <c r="P40" i="274" s="1"/>
  <c r="C48" i="274"/>
  <c r="C49" i="274"/>
  <c r="D20" i="275"/>
  <c r="C26" i="275"/>
  <c r="C27" i="275"/>
  <c r="C29" i="275"/>
  <c r="D13" i="276"/>
  <c r="E14" i="276"/>
  <c r="E15" i="276"/>
  <c r="E16" i="276"/>
  <c r="D18" i="276"/>
  <c r="E19" i="276"/>
  <c r="E20" i="276"/>
  <c r="B19" i="277"/>
  <c r="D20" i="277"/>
  <c r="E21" i="277"/>
  <c r="E32" i="277"/>
  <c r="E34" i="277"/>
  <c r="C35" i="277"/>
  <c r="Q42" i="277"/>
  <c r="D12" i="278"/>
  <c r="E13" i="278"/>
  <c r="E20" i="278"/>
  <c r="E26" i="279"/>
  <c r="C29" i="279"/>
  <c r="C30" i="279"/>
  <c r="C37" i="279"/>
  <c r="C38" i="279"/>
  <c r="C40" i="279"/>
  <c r="D43" i="279"/>
  <c r="E44" i="279"/>
  <c r="D17" i="280"/>
  <c r="C20" i="280"/>
  <c r="C26" i="280"/>
  <c r="C27" i="280"/>
  <c r="D15" i="281"/>
  <c r="E16" i="281"/>
  <c r="D19" i="281"/>
  <c r="E22" i="281"/>
  <c r="P25" i="281"/>
  <c r="C32" i="281"/>
  <c r="C34" i="281"/>
  <c r="C35" i="281"/>
  <c r="E22" i="282"/>
  <c r="C24" i="282"/>
  <c r="C25" i="282"/>
  <c r="E27" i="282"/>
  <c r="D29" i="282"/>
  <c r="E30" i="282"/>
  <c r="D32" i="282"/>
  <c r="E33" i="282"/>
  <c r="P34" i="282"/>
  <c r="E29" i="283"/>
  <c r="E32" i="283"/>
  <c r="B38" i="283"/>
  <c r="D39" i="283"/>
  <c r="E40" i="283"/>
  <c r="C43" i="283"/>
  <c r="C44" i="283"/>
  <c r="E48" i="283"/>
  <c r="E51" i="283"/>
  <c r="D54" i="283"/>
  <c r="C63" i="283"/>
  <c r="C64" i="283"/>
  <c r="C67" i="283"/>
  <c r="C72" i="283"/>
  <c r="E76" i="283"/>
  <c r="C77" i="283"/>
  <c r="C78" i="283"/>
  <c r="E82" i="283"/>
  <c r="P83" i="283"/>
  <c r="E84" i="283"/>
  <c r="B7" i="294"/>
  <c r="A14" i="286"/>
  <c r="B15" i="286"/>
  <c r="B19" i="286"/>
  <c r="B21" i="286"/>
  <c r="A19" i="287"/>
  <c r="B20" i="287"/>
  <c r="B22" i="287"/>
  <c r="B24" i="287"/>
  <c r="A24" i="288"/>
  <c r="B25" i="288"/>
  <c r="B29" i="288"/>
  <c r="B33" i="288"/>
  <c r="B40" i="289"/>
  <c r="B44" i="289"/>
  <c r="B57" i="289"/>
  <c r="B60" i="289"/>
  <c r="B66" i="289"/>
  <c r="B68" i="289"/>
  <c r="B71" i="289"/>
  <c r="A74" i="289"/>
  <c r="B77" i="289"/>
  <c r="B79" i="289"/>
  <c r="A96" i="289"/>
  <c r="C105" i="289"/>
  <c r="C102" i="289" s="1"/>
  <c r="D11" i="293"/>
  <c r="E11" i="293" s="1"/>
  <c r="C12" i="293"/>
  <c r="E12" i="293" s="1"/>
  <c r="C19" i="293"/>
  <c r="E19" i="293" s="1"/>
  <c r="D9" i="290"/>
  <c r="D8" i="290" s="1"/>
  <c r="L35" i="290"/>
  <c r="E35" i="290" s="1"/>
  <c r="F35" i="290" s="1"/>
  <c r="M23" i="291"/>
  <c r="E23" i="291" s="1"/>
  <c r="F23" i="291" s="1"/>
  <c r="M27" i="291"/>
  <c r="E27" i="291" s="1"/>
  <c r="F27" i="291" s="1"/>
  <c r="AY188" i="100"/>
  <c r="Y119" i="40"/>
  <c r="Y184" i="40"/>
  <c r="AJ135" i="254"/>
  <c r="S148" i="254"/>
  <c r="S152" i="254"/>
  <c r="AG88" i="273"/>
  <c r="P21" i="313"/>
  <c r="P10" i="314"/>
  <c r="AJ8" i="316"/>
  <c r="S10" i="301"/>
  <c r="AR11" i="304"/>
  <c r="AR34" i="304" s="1"/>
  <c r="AJ8" i="305"/>
  <c r="AQ11" i="305"/>
  <c r="AQ25" i="305" s="1"/>
  <c r="AQ13" i="305"/>
  <c r="AR15" i="305"/>
  <c r="AR17" i="305"/>
  <c r="AR11" i="306"/>
  <c r="AR25" i="306" s="1"/>
  <c r="AR13" i="306"/>
  <c r="AQ15" i="306"/>
  <c r="AQ17" i="306"/>
  <c r="P27" i="311"/>
  <c r="P31" i="311"/>
  <c r="S31" i="311" s="1"/>
  <c r="B33" i="274"/>
  <c r="P39" i="274"/>
  <c r="P37" i="274" s="1"/>
  <c r="P33" i="274" s="1"/>
  <c r="C40" i="274"/>
  <c r="E50" i="274"/>
  <c r="D18" i="275"/>
  <c r="E24" i="275"/>
  <c r="E25" i="275"/>
  <c r="E31" i="275"/>
  <c r="C18" i="276"/>
  <c r="C20" i="277"/>
  <c r="E24" i="277"/>
  <c r="C26" i="277"/>
  <c r="C27" i="277"/>
  <c r="E31" i="277"/>
  <c r="E33" i="277"/>
  <c r="P41" i="277"/>
  <c r="C11" i="278"/>
  <c r="D16" i="278"/>
  <c r="E17" i="278"/>
  <c r="C18" i="278"/>
  <c r="D30" i="279"/>
  <c r="E35" i="279"/>
  <c r="D38" i="279"/>
  <c r="E39" i="279"/>
  <c r="E42" i="279"/>
  <c r="D15" i="280"/>
  <c r="C19" i="280"/>
  <c r="D20" i="280"/>
  <c r="E21" i="280"/>
  <c r="E24" i="280"/>
  <c r="D27" i="280"/>
  <c r="E29" i="280"/>
  <c r="E31" i="280"/>
  <c r="C18" i="281"/>
  <c r="C19" i="281"/>
  <c r="E25" i="281"/>
  <c r="C26" i="281"/>
  <c r="C29" i="281"/>
  <c r="D32" i="281"/>
  <c r="E33" i="281"/>
  <c r="E37" i="281"/>
  <c r="E21" i="282"/>
  <c r="C28" i="282"/>
  <c r="C29" i="282"/>
  <c r="P33" i="282"/>
  <c r="P32" i="282" s="1"/>
  <c r="P31" i="282" s="1"/>
  <c r="E34" i="282"/>
  <c r="E35" i="283"/>
  <c r="E45" i="283"/>
  <c r="C53" i="283"/>
  <c r="E69" i="283"/>
  <c r="E73" i="283"/>
  <c r="P82" i="283"/>
  <c r="E83" i="283"/>
  <c r="P84" i="283"/>
  <c r="C88" i="283"/>
  <c r="B52" i="284"/>
  <c r="A12" i="286"/>
  <c r="B13" i="286"/>
  <c r="A16" i="286"/>
  <c r="B20" i="286"/>
  <c r="A20" i="288"/>
  <c r="S141" i="92"/>
  <c r="U141" i="92"/>
  <c r="R10" i="40"/>
  <c r="T10" i="40"/>
  <c r="Y90" i="40"/>
  <c r="Y140" i="40"/>
  <c r="Y139" i="40" s="1"/>
  <c r="R110" i="75"/>
  <c r="U110" i="75"/>
  <c r="R91" i="81"/>
  <c r="R10" i="81" s="1"/>
  <c r="U91" i="81"/>
  <c r="U10" i="81" s="1"/>
  <c r="Z166" i="81"/>
  <c r="T36" i="75"/>
  <c r="T35" i="74"/>
  <c r="Y184" i="74"/>
  <c r="U184" i="74"/>
  <c r="Y184" i="70"/>
  <c r="U184" i="70"/>
  <c r="R35" i="69"/>
  <c r="U35" i="69"/>
  <c r="U184" i="69"/>
  <c r="Y184" i="69"/>
  <c r="R35" i="68"/>
  <c r="U35" i="68"/>
  <c r="Y184" i="68"/>
  <c r="U184" i="68"/>
  <c r="C16" i="293" l="1"/>
  <c r="E16" i="293" s="1"/>
  <c r="P32" i="280"/>
  <c r="P7" i="274"/>
  <c r="C7" i="293" s="1"/>
  <c r="Y247" i="254"/>
  <c r="S190" i="254"/>
  <c r="O111" i="254"/>
  <c r="AP171" i="254"/>
  <c r="Y245" i="254"/>
  <c r="Y169" i="254"/>
  <c r="M33" i="291"/>
  <c r="E33" i="291" s="1"/>
  <c r="S20" i="254"/>
  <c r="X9" i="254"/>
  <c r="X8" i="254" s="1"/>
  <c r="E10" i="293"/>
  <c r="S121" i="254"/>
  <c r="S134" i="254"/>
  <c r="S135" i="254"/>
  <c r="S182" i="254"/>
  <c r="S195" i="254"/>
  <c r="W93" i="254"/>
  <c r="S230" i="254"/>
  <c r="S211" i="254"/>
  <c r="P8" i="279"/>
  <c r="P7" i="279" s="1"/>
  <c r="C15" i="293" s="1"/>
  <c r="C14" i="293" s="1"/>
  <c r="M9" i="291"/>
  <c r="E9" i="291" s="1"/>
  <c r="F9" i="291" s="1"/>
  <c r="L13" i="290"/>
  <c r="E13" i="290" s="1"/>
  <c r="F13" i="290" s="1"/>
  <c r="P44" i="277"/>
  <c r="R9" i="254"/>
  <c r="R8" i="254" s="1"/>
  <c r="V202" i="254"/>
  <c r="V156" i="254" s="1"/>
  <c r="O9" i="254"/>
  <c r="AK209" i="100"/>
  <c r="AM209" i="100"/>
  <c r="T271" i="270"/>
  <c r="T272" i="270" s="1"/>
  <c r="X225" i="75"/>
  <c r="Y9" i="272"/>
  <c r="Y240" i="272" s="1"/>
  <c r="AS209" i="100"/>
  <c r="V52" i="297"/>
  <c r="W261" i="270"/>
  <c r="X270" i="270" s="1"/>
  <c r="S193" i="92"/>
  <c r="AQ25" i="306"/>
  <c r="W9" i="254"/>
  <c r="W10" i="229"/>
  <c r="Y35" i="81"/>
  <c r="T20" i="75"/>
  <c r="T19" i="68"/>
  <c r="Y10" i="229"/>
  <c r="Y9" i="229" s="1"/>
  <c r="V168" i="229"/>
  <c r="R148" i="1"/>
  <c r="AP9" i="100"/>
  <c r="AP209" i="100" s="1"/>
  <c r="V10" i="169"/>
  <c r="V9" i="169" s="1"/>
  <c r="V209" i="169" s="1"/>
  <c r="S9" i="311"/>
  <c r="S8" i="311" s="1"/>
  <c r="P8" i="311"/>
  <c r="AJ8" i="311" s="1"/>
  <c r="S25" i="297"/>
  <c r="S9" i="297" s="1"/>
  <c r="S8" i="297" s="1"/>
  <c r="P8" i="282"/>
  <c r="P7" i="282" s="1"/>
  <c r="K31" i="291"/>
  <c r="D31" i="291" s="1"/>
  <c r="Y202" i="254"/>
  <c r="V168" i="272"/>
  <c r="V240" i="272" s="1"/>
  <c r="V242" i="272" s="1"/>
  <c r="V243" i="272" s="1"/>
  <c r="O240" i="272"/>
  <c r="F40" i="291"/>
  <c r="S200" i="254"/>
  <c r="P199" i="254"/>
  <c r="S203" i="272"/>
  <c r="Q202" i="272"/>
  <c r="S202" i="272" s="1"/>
  <c r="X10" i="272"/>
  <c r="X9" i="272" s="1"/>
  <c r="AB101" i="101"/>
  <c r="Z109" i="99"/>
  <c r="AB57" i="101"/>
  <c r="Z64" i="99"/>
  <c r="M42" i="291"/>
  <c r="E42" i="291" s="1"/>
  <c r="F42" i="291" s="1"/>
  <c r="Q214" i="254"/>
  <c r="U210" i="271"/>
  <c r="U193" i="92"/>
  <c r="AR25" i="305"/>
  <c r="AR239" i="254"/>
  <c r="P19" i="281"/>
  <c r="P18" i="281" s="1"/>
  <c r="P17" i="281" s="1"/>
  <c r="P38" i="277"/>
  <c r="Q42" i="254"/>
  <c r="M10" i="291" s="1"/>
  <c r="E10" i="291" s="1"/>
  <c r="F10" i="291" s="1"/>
  <c r="V43" i="229"/>
  <c r="W209" i="169"/>
  <c r="AH9" i="254"/>
  <c r="AH8" i="254" s="1"/>
  <c r="X224" i="68"/>
  <c r="X206" i="81"/>
  <c r="AL9" i="100"/>
  <c r="AL209" i="100" s="1"/>
  <c r="C34" i="288"/>
  <c r="S209" i="100"/>
  <c r="P9" i="309"/>
  <c r="P8" i="309" s="1"/>
  <c r="S10" i="306"/>
  <c r="S9" i="306" s="1"/>
  <c r="S8" i="306" s="1"/>
  <c r="R9" i="272"/>
  <c r="R240" i="272" s="1"/>
  <c r="K33" i="291"/>
  <c r="D33" i="291" s="1"/>
  <c r="Y157" i="254"/>
  <c r="S229" i="229"/>
  <c r="P228" i="229"/>
  <c r="S228" i="229" s="1"/>
  <c r="R9" i="229"/>
  <c r="R243" i="229" s="1"/>
  <c r="AB100" i="101"/>
  <c r="Z108" i="99"/>
  <c r="P205" i="272"/>
  <c r="S205" i="272" s="1"/>
  <c r="S146" i="272"/>
  <c r="P145" i="272"/>
  <c r="S145" i="272" s="1"/>
  <c r="S23" i="318"/>
  <c r="V65" i="254"/>
  <c r="Y54" i="75"/>
  <c r="Q23" i="318"/>
  <c r="Q9" i="318" s="1"/>
  <c r="Q8" i="318" s="1"/>
  <c r="Q50" i="318" s="1"/>
  <c r="T19" i="40"/>
  <c r="T19" i="70"/>
  <c r="X224" i="74"/>
  <c r="W9" i="100"/>
  <c r="S25" i="306"/>
  <c r="M35" i="291"/>
  <c r="E35" i="291" s="1"/>
  <c r="Q217" i="254"/>
  <c r="L33" i="290" s="1"/>
  <c r="E33" i="290" s="1"/>
  <c r="F33" i="290" s="1"/>
  <c r="S15" i="317"/>
  <c r="S9" i="317" s="1"/>
  <c r="S8" i="317" s="1"/>
  <c r="P9" i="317"/>
  <c r="P8" i="317" s="1"/>
  <c r="U261" i="270"/>
  <c r="K35" i="291"/>
  <c r="D35" i="291" s="1"/>
  <c r="Y217" i="254"/>
  <c r="M32" i="291"/>
  <c r="E32" i="291" s="1"/>
  <c r="Q168" i="254"/>
  <c r="S180" i="229"/>
  <c r="Q179" i="229"/>
  <c r="S179" i="229" s="1"/>
  <c r="S146" i="229"/>
  <c r="P145" i="229"/>
  <c r="S145" i="229" s="1"/>
  <c r="S225" i="99"/>
  <c r="V51" i="101"/>
  <c r="V58" i="99"/>
  <c r="R210" i="271"/>
  <c r="X219" i="271" s="1"/>
  <c r="P23" i="282"/>
  <c r="P38" i="282" s="1"/>
  <c r="V76" i="254"/>
  <c r="X224" i="69"/>
  <c r="X9" i="40"/>
  <c r="X8" i="40" s="1"/>
  <c r="X224" i="40" s="1"/>
  <c r="R10" i="169"/>
  <c r="R9" i="169" s="1"/>
  <c r="R209" i="169" s="1"/>
  <c r="Y218" i="169" s="1"/>
  <c r="S10" i="312"/>
  <c r="S9" i="312" s="1"/>
  <c r="S8" i="312" s="1"/>
  <c r="S9" i="310"/>
  <c r="S8" i="310" s="1"/>
  <c r="P8" i="310"/>
  <c r="V35" i="309"/>
  <c r="S85" i="272"/>
  <c r="S158" i="254"/>
  <c r="P157" i="254"/>
  <c r="M31" i="291"/>
  <c r="E31" i="291" s="1"/>
  <c r="Q202" i="254"/>
  <c r="L29" i="290" s="1"/>
  <c r="E29" i="290" s="1"/>
  <c r="F29" i="290" s="1"/>
  <c r="R156" i="254"/>
  <c r="S139" i="272"/>
  <c r="P138" i="272"/>
  <c r="S138" i="272" s="1"/>
  <c r="V61" i="101"/>
  <c r="V68" i="99"/>
  <c r="Y122" i="272"/>
  <c r="S143" i="272"/>
  <c r="Q142" i="272"/>
  <c r="S142" i="272" s="1"/>
  <c r="R33" i="1"/>
  <c r="C5" i="289"/>
  <c r="C109" i="289" s="1"/>
  <c r="P39" i="281"/>
  <c r="D17" i="293"/>
  <c r="E17" i="293" s="1"/>
  <c r="P14" i="311"/>
  <c r="P40" i="311" s="1"/>
  <c r="S40" i="311" s="1"/>
  <c r="S27" i="311"/>
  <c r="S14" i="311" s="1"/>
  <c r="S21" i="313"/>
  <c r="S9" i="313" s="1"/>
  <c r="S8" i="313" s="1"/>
  <c r="P9" i="313"/>
  <c r="P8" i="313" s="1"/>
  <c r="S10" i="318"/>
  <c r="P9" i="318"/>
  <c r="P8" i="318" s="1"/>
  <c r="S9" i="299"/>
  <c r="S8" i="299" s="1"/>
  <c r="P8" i="299"/>
  <c r="P18" i="299" s="1"/>
  <c r="S18" i="299" s="1"/>
  <c r="S132" i="254"/>
  <c r="P131" i="254"/>
  <c r="S131" i="254" s="1"/>
  <c r="AJ117" i="254"/>
  <c r="P111" i="254"/>
  <c r="V19" i="308"/>
  <c r="K32" i="291"/>
  <c r="D32" i="291" s="1"/>
  <c r="Y168" i="254"/>
  <c r="Q44" i="277"/>
  <c r="S44" i="277" s="1"/>
  <c r="V20" i="254"/>
  <c r="P8" i="283"/>
  <c r="P7" i="283" s="1"/>
  <c r="P161" i="229"/>
  <c r="S161" i="229" s="1"/>
  <c r="S162" i="229"/>
  <c r="Q123" i="229"/>
  <c r="Q122" i="229" s="1"/>
  <c r="W123" i="229"/>
  <c r="V67" i="229"/>
  <c r="Q43" i="229"/>
  <c r="S43" i="229" s="1"/>
  <c r="V20" i="229"/>
  <c r="AH235" i="254"/>
  <c r="AH234" i="254" s="1"/>
  <c r="AH233" i="254" s="1"/>
  <c r="AH36" i="311"/>
  <c r="AH35" i="311" s="1"/>
  <c r="AH34" i="311" s="1"/>
  <c r="Y236" i="229"/>
  <c r="Y235" i="229" s="1"/>
  <c r="Y234" i="229" s="1"/>
  <c r="AV208" i="2"/>
  <c r="Z220" i="68"/>
  <c r="Z219" i="68" s="1"/>
  <c r="Z218" i="68" s="1"/>
  <c r="Z220" i="69"/>
  <c r="Z219" i="69" s="1"/>
  <c r="Z218" i="69" s="1"/>
  <c r="Z220" i="70"/>
  <c r="Z219" i="70" s="1"/>
  <c r="Z218" i="70" s="1"/>
  <c r="Z220" i="74"/>
  <c r="Z219" i="74" s="1"/>
  <c r="Z218" i="74" s="1"/>
  <c r="Z221" i="75"/>
  <c r="Z220" i="75" s="1"/>
  <c r="Z219" i="75" s="1"/>
  <c r="Z202" i="81"/>
  <c r="Z201" i="81" s="1"/>
  <c r="Z200" i="81" s="1"/>
  <c r="Z220" i="40"/>
  <c r="Z219" i="40" s="1"/>
  <c r="Z218" i="40" s="1"/>
  <c r="AB205" i="100"/>
  <c r="AB204" i="100" s="1"/>
  <c r="AB203" i="100" s="1"/>
  <c r="AB151" i="100" s="1"/>
  <c r="Z205" i="100"/>
  <c r="Z204" i="100" s="1"/>
  <c r="Z203" i="100" s="1"/>
  <c r="U205" i="169"/>
  <c r="U204" i="169" s="1"/>
  <c r="U203" i="169" s="1"/>
  <c r="W29" i="311"/>
  <c r="W28" i="311" s="1"/>
  <c r="W27" i="311" s="1"/>
  <c r="W14" i="311" s="1"/>
  <c r="W228" i="254"/>
  <c r="W227" i="254" s="1"/>
  <c r="W226" i="254" s="1"/>
  <c r="W156" i="254" s="1"/>
  <c r="W230" i="229"/>
  <c r="W229" i="229" s="1"/>
  <c r="W228" i="229" s="1"/>
  <c r="Z221" i="99"/>
  <c r="Z220" i="99" s="1"/>
  <c r="Z219" i="99" s="1"/>
  <c r="AH224" i="254"/>
  <c r="Y227" i="229"/>
  <c r="AV205" i="2"/>
  <c r="AH220" i="254"/>
  <c r="Y225" i="229"/>
  <c r="AV203" i="2"/>
  <c r="Y205" i="68"/>
  <c r="Y205" i="69"/>
  <c r="Y200" i="69" s="1"/>
  <c r="Y199" i="69" s="1"/>
  <c r="Y161" i="69" s="1"/>
  <c r="Y205" i="70"/>
  <c r="Y200" i="70" s="1"/>
  <c r="Y199" i="70" s="1"/>
  <c r="Y161" i="70" s="1"/>
  <c r="Y205" i="74"/>
  <c r="Y187" i="81"/>
  <c r="Y206" i="75"/>
  <c r="Y205" i="40"/>
  <c r="Y206" i="99"/>
  <c r="Y201" i="99" s="1"/>
  <c r="Y200" i="99" s="1"/>
  <c r="Y162" i="99" s="1"/>
  <c r="Z201" i="68"/>
  <c r="Z200" i="68" s="1"/>
  <c r="Z199" i="68" s="1"/>
  <c r="Z201" i="69"/>
  <c r="Z200" i="69" s="1"/>
  <c r="Z199" i="69" s="1"/>
  <c r="Z201" i="70"/>
  <c r="Z200" i="70" s="1"/>
  <c r="Z199" i="70" s="1"/>
  <c r="Z201" i="74"/>
  <c r="Z200" i="74" s="1"/>
  <c r="Z199" i="74" s="1"/>
  <c r="Z183" i="81"/>
  <c r="Z182" i="81" s="1"/>
  <c r="Z181" i="81" s="1"/>
  <c r="Z202" i="75"/>
  <c r="Z201" i="75" s="1"/>
  <c r="Z200" i="75" s="1"/>
  <c r="Z201" i="40"/>
  <c r="Z200" i="40" s="1"/>
  <c r="Z199" i="40" s="1"/>
  <c r="Z202" i="99"/>
  <c r="Z201" i="99" s="1"/>
  <c r="Z200" i="99" s="1"/>
  <c r="V174" i="92"/>
  <c r="V181" i="81"/>
  <c r="V199" i="70"/>
  <c r="V199" i="68"/>
  <c r="Z151" i="100"/>
  <c r="Y166" i="81"/>
  <c r="Q193" i="254"/>
  <c r="S194" i="254"/>
  <c r="V188" i="68"/>
  <c r="V187" i="68" s="1"/>
  <c r="V188" i="69"/>
  <c r="V187" i="69" s="1"/>
  <c r="V188" i="70"/>
  <c r="V187" i="70" s="1"/>
  <c r="V184" i="70" s="1"/>
  <c r="V188" i="74"/>
  <c r="V187" i="74" s="1"/>
  <c r="V170" i="81"/>
  <c r="V169" i="81" s="1"/>
  <c r="V189" i="75"/>
  <c r="V188" i="75" s="1"/>
  <c r="V185" i="75" s="1"/>
  <c r="V188" i="40"/>
  <c r="V187" i="40" s="1"/>
  <c r="V184" i="40" s="1"/>
  <c r="V166" i="92"/>
  <c r="V165" i="92" s="1"/>
  <c r="V176" i="100"/>
  <c r="V175" i="100" s="1"/>
  <c r="V189" i="99"/>
  <c r="V188" i="99" s="1"/>
  <c r="V185" i="99" s="1"/>
  <c r="T162" i="92"/>
  <c r="T141" i="92" s="1"/>
  <c r="T184" i="40"/>
  <c r="T166" i="81"/>
  <c r="T184" i="70"/>
  <c r="T161" i="70" s="1"/>
  <c r="T184" i="68"/>
  <c r="T161" i="68" s="1"/>
  <c r="V152" i="92"/>
  <c r="V151" i="92" s="1"/>
  <c r="V162" i="100"/>
  <c r="V161" i="100" s="1"/>
  <c r="AH166" i="254"/>
  <c r="Y177" i="229"/>
  <c r="AV171" i="2"/>
  <c r="AH164" i="254"/>
  <c r="Y175" i="229"/>
  <c r="AV169" i="2"/>
  <c r="V153" i="100"/>
  <c r="V152" i="100" s="1"/>
  <c r="V164" i="68"/>
  <c r="V163" i="68" s="1"/>
  <c r="V162" i="68" s="1"/>
  <c r="V164" i="69"/>
  <c r="V163" i="69" s="1"/>
  <c r="V162" i="69" s="1"/>
  <c r="V164" i="70"/>
  <c r="V163" i="70" s="1"/>
  <c r="V162" i="70" s="1"/>
  <c r="V164" i="74"/>
  <c r="V163" i="74" s="1"/>
  <c r="V162" i="74" s="1"/>
  <c r="V165" i="75"/>
  <c r="V164" i="75" s="1"/>
  <c r="V163" i="75" s="1"/>
  <c r="V146" i="81"/>
  <c r="V145" i="81" s="1"/>
  <c r="V144" i="81" s="1"/>
  <c r="V164" i="40"/>
  <c r="V163" i="40" s="1"/>
  <c r="V162" i="40" s="1"/>
  <c r="V165" i="99"/>
  <c r="V164" i="99" s="1"/>
  <c r="V163" i="99" s="1"/>
  <c r="T143" i="81"/>
  <c r="R161" i="40"/>
  <c r="R143" i="81"/>
  <c r="R161" i="70"/>
  <c r="R161" i="68"/>
  <c r="V10" i="295"/>
  <c r="V9" i="295" s="1"/>
  <c r="V8" i="295" s="1"/>
  <c r="V23" i="295" s="1"/>
  <c r="Y140" i="100"/>
  <c r="Y139" i="100" s="1"/>
  <c r="Y148" i="40"/>
  <c r="Y147" i="40" s="1"/>
  <c r="Y149" i="75"/>
  <c r="Y148" i="75" s="1"/>
  <c r="Y148" i="70"/>
  <c r="Y147" i="70" s="1"/>
  <c r="Y148" i="68"/>
  <c r="Y147" i="68" s="1"/>
  <c r="U130" i="81"/>
  <c r="U129" i="81" s="1"/>
  <c r="U9" i="81" s="1"/>
  <c r="U148" i="74"/>
  <c r="U147" i="74" s="1"/>
  <c r="U148" i="69"/>
  <c r="U147" i="69" s="1"/>
  <c r="V132" i="100"/>
  <c r="V131" i="100" s="1"/>
  <c r="V140" i="40"/>
  <c r="V139" i="40" s="1"/>
  <c r="V122" i="81"/>
  <c r="V121" i="81" s="1"/>
  <c r="V140" i="70"/>
  <c r="V139" i="70" s="1"/>
  <c r="V140" i="68"/>
  <c r="V139" i="68" s="1"/>
  <c r="V112" i="254"/>
  <c r="V111" i="254" s="1"/>
  <c r="Y122" i="100"/>
  <c r="S115" i="254"/>
  <c r="Q112" i="254"/>
  <c r="T112" i="92"/>
  <c r="T111" i="92" s="1"/>
  <c r="V112" i="92"/>
  <c r="V111" i="92" s="1"/>
  <c r="V111" i="81"/>
  <c r="V110" i="81" s="1"/>
  <c r="V129" i="74"/>
  <c r="V128" i="74" s="1"/>
  <c r="V129" i="69"/>
  <c r="V128" i="69" s="1"/>
  <c r="T129" i="40"/>
  <c r="T128" i="40" s="1"/>
  <c r="T130" i="75"/>
  <c r="T129" i="75" s="1"/>
  <c r="T129" i="70"/>
  <c r="T128" i="70" s="1"/>
  <c r="T129" i="68"/>
  <c r="T128" i="68" s="1"/>
  <c r="V127" i="68"/>
  <c r="V126" i="68" s="1"/>
  <c r="V125" i="68" s="1"/>
  <c r="V127" i="69"/>
  <c r="V126" i="69" s="1"/>
  <c r="V125" i="69" s="1"/>
  <c r="V127" i="70"/>
  <c r="V126" i="70" s="1"/>
  <c r="V125" i="70" s="1"/>
  <c r="V127" i="74"/>
  <c r="V126" i="74" s="1"/>
  <c r="V125" i="74" s="1"/>
  <c r="V109" i="81"/>
  <c r="V108" i="81" s="1"/>
  <c r="V107" i="81" s="1"/>
  <c r="V128" i="75"/>
  <c r="V127" i="75" s="1"/>
  <c r="V126" i="75" s="1"/>
  <c r="V127" i="40"/>
  <c r="V126" i="40" s="1"/>
  <c r="V125" i="40" s="1"/>
  <c r="V110" i="92"/>
  <c r="V109" i="92" s="1"/>
  <c r="V108" i="92" s="1"/>
  <c r="V120" i="100"/>
  <c r="V119" i="100" s="1"/>
  <c r="V118" i="100" s="1"/>
  <c r="V128" i="99"/>
  <c r="V127" i="99" s="1"/>
  <c r="V126" i="99" s="1"/>
  <c r="V112" i="100"/>
  <c r="V101" i="81"/>
  <c r="V119" i="74"/>
  <c r="V119" i="69"/>
  <c r="Z116" i="68"/>
  <c r="Z116" i="69"/>
  <c r="Z116" i="70"/>
  <c r="Z116" i="74"/>
  <c r="Z117" i="75"/>
  <c r="Z110" i="75" s="1"/>
  <c r="Z98" i="81"/>
  <c r="Z116" i="40"/>
  <c r="Z109" i="40" s="1"/>
  <c r="AG108" i="2"/>
  <c r="Z117" i="99"/>
  <c r="Z110" i="99" s="1"/>
  <c r="T103" i="169"/>
  <c r="Y109" i="40"/>
  <c r="Y91" i="81"/>
  <c r="Y109" i="70"/>
  <c r="Y109" i="68"/>
  <c r="Z101" i="68"/>
  <c r="Z101" i="69"/>
  <c r="Z101" i="70"/>
  <c r="Z101" i="74"/>
  <c r="Z83" i="81"/>
  <c r="Z102" i="75"/>
  <c r="Z101" i="40"/>
  <c r="AB96" i="100"/>
  <c r="AB95" i="101"/>
  <c r="Z102" i="99"/>
  <c r="Z100" i="68"/>
  <c r="Z100" i="70"/>
  <c r="Z100" i="69"/>
  <c r="Z100" i="74"/>
  <c r="Z101" i="75"/>
  <c r="Z82" i="81"/>
  <c r="AB95" i="100"/>
  <c r="Z100" i="40"/>
  <c r="AB94" i="101"/>
  <c r="Z101" i="99"/>
  <c r="Z99" i="68"/>
  <c r="Z99" i="69"/>
  <c r="Z99" i="70"/>
  <c r="Z99" i="74"/>
  <c r="Z81" i="81"/>
  <c r="Z100" i="75"/>
  <c r="Z99" i="40"/>
  <c r="AB94" i="100"/>
  <c r="AB93" i="101"/>
  <c r="Z100" i="99"/>
  <c r="Z98" i="68"/>
  <c r="Z98" i="70"/>
  <c r="Z98" i="69"/>
  <c r="Z98" i="74"/>
  <c r="Z99" i="75"/>
  <c r="Z80" i="81"/>
  <c r="AB93" i="100"/>
  <c r="Z98" i="40"/>
  <c r="AB92" i="101"/>
  <c r="Z99" i="99"/>
  <c r="Z97" i="68"/>
  <c r="Z97" i="69"/>
  <c r="Z97" i="70"/>
  <c r="Z97" i="74"/>
  <c r="Z79" i="81"/>
  <c r="Z98" i="75"/>
  <c r="Z97" i="40"/>
  <c r="AB92" i="100"/>
  <c r="AB91" i="101"/>
  <c r="Z98" i="99"/>
  <c r="V94" i="40"/>
  <c r="V95" i="75"/>
  <c r="V94" i="74"/>
  <c r="V94" i="69"/>
  <c r="Z93" i="68"/>
  <c r="Z93" i="69"/>
  <c r="Z93" i="70"/>
  <c r="Z93" i="74"/>
  <c r="Z75" i="81"/>
  <c r="Z72" i="81" s="1"/>
  <c r="Z94" i="75"/>
  <c r="Z93" i="40"/>
  <c r="AB88" i="100"/>
  <c r="AB87" i="101"/>
  <c r="Z94" i="99"/>
  <c r="Z92" i="68"/>
  <c r="Z90" i="68" s="1"/>
  <c r="Z92" i="70"/>
  <c r="Z92" i="69"/>
  <c r="Z90" i="69" s="1"/>
  <c r="Z92" i="74"/>
  <c r="Z93" i="75"/>
  <c r="Z74" i="81"/>
  <c r="AB87" i="100"/>
  <c r="Z92" i="40"/>
  <c r="AB86" i="101"/>
  <c r="Z93" i="99"/>
  <c r="Z91" i="99" s="1"/>
  <c r="Z91" i="75"/>
  <c r="Z77" i="68"/>
  <c r="Z76" i="68" s="1"/>
  <c r="Z77" i="69"/>
  <c r="Z76" i="69" s="1"/>
  <c r="Z77" i="74"/>
  <c r="Z76" i="74" s="1"/>
  <c r="Z77" i="70"/>
  <c r="Z76" i="70" s="1"/>
  <c r="Z78" i="75"/>
  <c r="Z77" i="75" s="1"/>
  <c r="Z59" i="81"/>
  <c r="Z58" i="81" s="1"/>
  <c r="Z77" i="40"/>
  <c r="Z76" i="40" s="1"/>
  <c r="Z78" i="99"/>
  <c r="Z77" i="99" s="1"/>
  <c r="V75" i="68"/>
  <c r="V75" i="69"/>
  <c r="V75" i="70"/>
  <c r="V76" i="75"/>
  <c r="V75" i="74"/>
  <c r="V57" i="81"/>
  <c r="V75" i="40"/>
  <c r="V70" i="100"/>
  <c r="V64" i="92"/>
  <c r="V76" i="99"/>
  <c r="V69" i="101"/>
  <c r="V72" i="68"/>
  <c r="V72" i="69"/>
  <c r="V72" i="70"/>
  <c r="V73" i="75"/>
  <c r="V72" i="74"/>
  <c r="V54" i="81"/>
  <c r="V72" i="40"/>
  <c r="V66" i="100"/>
  <c r="V65" i="101"/>
  <c r="V73" i="99"/>
  <c r="V70" i="68"/>
  <c r="V70" i="69"/>
  <c r="V70" i="70"/>
  <c r="V70" i="74"/>
  <c r="V52" i="81"/>
  <c r="V71" i="75"/>
  <c r="V70" i="40"/>
  <c r="V61" i="92"/>
  <c r="V65" i="100"/>
  <c r="V71" i="99"/>
  <c r="V64" i="101"/>
  <c r="Q34" i="318"/>
  <c r="S34" i="318" s="1"/>
  <c r="S35" i="318"/>
  <c r="V64" i="68"/>
  <c r="V64" i="69"/>
  <c r="V64" i="70"/>
  <c r="V53" i="70" s="1"/>
  <c r="V64" i="74"/>
  <c r="V65" i="75"/>
  <c r="V55" i="92"/>
  <c r="V46" i="81"/>
  <c r="V64" i="40"/>
  <c r="V59" i="100"/>
  <c r="V49" i="100" s="1"/>
  <c r="V58" i="101"/>
  <c r="V65" i="99"/>
  <c r="V58" i="68"/>
  <c r="V53" i="68" s="1"/>
  <c r="V58" i="69"/>
  <c r="V58" i="70"/>
  <c r="V58" i="74"/>
  <c r="V59" i="75"/>
  <c r="V52" i="92"/>
  <c r="V40" i="81"/>
  <c r="V58" i="40"/>
  <c r="V53" i="100"/>
  <c r="V52" i="101"/>
  <c r="V59" i="99"/>
  <c r="T49" i="169"/>
  <c r="T49" i="100"/>
  <c r="Y53" i="40"/>
  <c r="Y53" i="74"/>
  <c r="Y53" i="70"/>
  <c r="Y53" i="68"/>
  <c r="T53" i="40"/>
  <c r="T49" i="92"/>
  <c r="T53" i="74"/>
  <c r="T53" i="69"/>
  <c r="Z47" i="68"/>
  <c r="Z47" i="69"/>
  <c r="Z47" i="70"/>
  <c r="Z47" i="74"/>
  <c r="Z48" i="75"/>
  <c r="Z47" i="40"/>
  <c r="Z29" i="81"/>
  <c r="Z21" i="81" s="1"/>
  <c r="Z48" i="99"/>
  <c r="Z43" i="68"/>
  <c r="Z43" i="69"/>
  <c r="Z43" i="70"/>
  <c r="Z44" i="75"/>
  <c r="Z43" i="74"/>
  <c r="Z25" i="81"/>
  <c r="Z43" i="40"/>
  <c r="AB41" i="100"/>
  <c r="AB40" i="101"/>
  <c r="AB33" i="101" s="1"/>
  <c r="Z44" i="99"/>
  <c r="Y38" i="68"/>
  <c r="Y35" i="68" s="1"/>
  <c r="Y38" i="69"/>
  <c r="Y35" i="69" s="1"/>
  <c r="Y38" i="70"/>
  <c r="Y35" i="70" s="1"/>
  <c r="Y38" i="74"/>
  <c r="Y35" i="74" s="1"/>
  <c r="Y39" i="75"/>
  <c r="Y36" i="75" s="1"/>
  <c r="Y38" i="40"/>
  <c r="Y35" i="40" s="1"/>
  <c r="AG26" i="2"/>
  <c r="Y39" i="99"/>
  <c r="Y36" i="99" s="1"/>
  <c r="Y10" i="99" s="1"/>
  <c r="Y9" i="99" s="1"/>
  <c r="Z33" i="68"/>
  <c r="Z33" i="69"/>
  <c r="Z33" i="70"/>
  <c r="Z25" i="70" s="1"/>
  <c r="Z33" i="74"/>
  <c r="Z34" i="75"/>
  <c r="Z26" i="75" s="1"/>
  <c r="Z19" i="81"/>
  <c r="Z33" i="40"/>
  <c r="Z25" i="40" s="1"/>
  <c r="AB32" i="100"/>
  <c r="AB31" i="101"/>
  <c r="Z34" i="99"/>
  <c r="Z26" i="99" s="1"/>
  <c r="V15" i="81"/>
  <c r="T19" i="92"/>
  <c r="T11" i="81"/>
  <c r="T19" i="74"/>
  <c r="T19" i="69"/>
  <c r="Z19" i="40"/>
  <c r="Z20" i="75"/>
  <c r="Z19" i="70"/>
  <c r="Z19" i="68"/>
  <c r="V14" i="68"/>
  <c r="V14" i="69"/>
  <c r="V14" i="70"/>
  <c r="V15" i="75"/>
  <c r="V11" i="75" s="1"/>
  <c r="V14" i="74"/>
  <c r="V14" i="40"/>
  <c r="V14" i="92"/>
  <c r="V15" i="99"/>
  <c r="V11" i="99" s="1"/>
  <c r="R9" i="68"/>
  <c r="X215" i="169"/>
  <c r="Y43" i="311"/>
  <c r="Z43" i="311"/>
  <c r="S8" i="316"/>
  <c r="Q108" i="254"/>
  <c r="S109" i="254"/>
  <c r="M20" i="291"/>
  <c r="E20" i="291" s="1"/>
  <c r="F20" i="291" s="1"/>
  <c r="F18" i="291"/>
  <c r="V57" i="254"/>
  <c r="S234" i="272"/>
  <c r="S180" i="272"/>
  <c r="P179" i="272"/>
  <c r="S179" i="272" s="1"/>
  <c r="S162" i="272"/>
  <c r="P161" i="272"/>
  <c r="S161" i="272" s="1"/>
  <c r="S123" i="272"/>
  <c r="P122" i="272"/>
  <c r="S122" i="272" s="1"/>
  <c r="Q10" i="272"/>
  <c r="S223" i="229"/>
  <c r="P222" i="229"/>
  <c r="S222" i="229" s="1"/>
  <c r="W133" i="229"/>
  <c r="V85" i="229"/>
  <c r="S59" i="229"/>
  <c r="Q58" i="229"/>
  <c r="AB187" i="100"/>
  <c r="AB186" i="100" s="1"/>
  <c r="Y182" i="81"/>
  <c r="Y181" i="81" s="1"/>
  <c r="Y143" i="81" s="1"/>
  <c r="Y200" i="74"/>
  <c r="Y199" i="74" s="1"/>
  <c r="Y161" i="74" s="1"/>
  <c r="Q191" i="254"/>
  <c r="Q188" i="254" s="1"/>
  <c r="S192" i="254"/>
  <c r="V162" i="92"/>
  <c r="V166" i="81"/>
  <c r="V184" i="68"/>
  <c r="U162" i="75"/>
  <c r="U161" i="74"/>
  <c r="U161" i="69"/>
  <c r="Z152" i="68"/>
  <c r="Z152" i="69"/>
  <c r="Z152" i="70"/>
  <c r="Z152" i="74"/>
  <c r="Z153" i="75"/>
  <c r="Z134" i="81"/>
  <c r="Z152" i="40"/>
  <c r="Z153" i="99"/>
  <c r="V130" i="92"/>
  <c r="V129" i="92" s="1"/>
  <c r="Z149" i="68"/>
  <c r="Z149" i="69"/>
  <c r="Z149" i="70"/>
  <c r="Z148" i="70" s="1"/>
  <c r="Z147" i="70" s="1"/>
  <c r="Z149" i="74"/>
  <c r="Z131" i="81"/>
  <c r="Z130" i="81" s="1"/>
  <c r="Z129" i="81" s="1"/>
  <c r="Z150" i="75"/>
  <c r="Z149" i="40"/>
  <c r="Z148" i="40" s="1"/>
  <c r="Z147" i="40" s="1"/>
  <c r="Z150" i="99"/>
  <c r="T148" i="40"/>
  <c r="T147" i="40" s="1"/>
  <c r="T130" i="81"/>
  <c r="T129" i="81" s="1"/>
  <c r="T148" i="70"/>
  <c r="T147" i="70" s="1"/>
  <c r="T148" i="68"/>
  <c r="T147" i="68" s="1"/>
  <c r="R130" i="81"/>
  <c r="R129" i="81" s="1"/>
  <c r="R9" i="81" s="1"/>
  <c r="R148" i="74"/>
  <c r="R147" i="74" s="1"/>
  <c r="R148" i="69"/>
  <c r="R147" i="69" s="1"/>
  <c r="AB132" i="100"/>
  <c r="AB131" i="100" s="1"/>
  <c r="Z122" i="81"/>
  <c r="Z121" i="81" s="1"/>
  <c r="Z140" i="70"/>
  <c r="Z139" i="70" s="1"/>
  <c r="Z140" i="68"/>
  <c r="Z139" i="68" s="1"/>
  <c r="W10" i="310"/>
  <c r="W9" i="310" s="1"/>
  <c r="W8" i="310" s="1"/>
  <c r="W16" i="310" s="1"/>
  <c r="V18" i="310" s="1"/>
  <c r="V19" i="310" s="1"/>
  <c r="Y129" i="40"/>
  <c r="Y128" i="40" s="1"/>
  <c r="Y111" i="81"/>
  <c r="Y110" i="81" s="1"/>
  <c r="Y129" i="70"/>
  <c r="Y128" i="70" s="1"/>
  <c r="Y129" i="68"/>
  <c r="Y128" i="68" s="1"/>
  <c r="AB112" i="100"/>
  <c r="Z101" i="81"/>
  <c r="Z119" i="74"/>
  <c r="Z119" i="69"/>
  <c r="Z109" i="69"/>
  <c r="Z109" i="68"/>
  <c r="V109" i="40"/>
  <c r="V91" i="81"/>
  <c r="V109" i="74"/>
  <c r="V109" i="70"/>
  <c r="V80" i="254"/>
  <c r="Y89" i="100"/>
  <c r="AY90" i="100" s="1"/>
  <c r="Y76" i="81"/>
  <c r="Y94" i="74"/>
  <c r="Y94" i="70"/>
  <c r="T85" i="169"/>
  <c r="Y72" i="81"/>
  <c r="Y90" i="70"/>
  <c r="Y90" i="68"/>
  <c r="V90" i="40"/>
  <c r="V91" i="75"/>
  <c r="V90" i="74"/>
  <c r="V90" i="69"/>
  <c r="T26" i="168"/>
  <c r="T10" i="168" s="1"/>
  <c r="T9" i="168" s="1"/>
  <c r="T58" i="168" s="1"/>
  <c r="T68" i="168" s="1"/>
  <c r="T69" i="168" s="1"/>
  <c r="Y71" i="100"/>
  <c r="V65" i="92"/>
  <c r="Y77" i="75"/>
  <c r="Y76" i="74"/>
  <c r="Y76" i="69"/>
  <c r="T64" i="169"/>
  <c r="Y64" i="100"/>
  <c r="Y69" i="40"/>
  <c r="Y51" i="81"/>
  <c r="Y69" i="70"/>
  <c r="Y69" i="68"/>
  <c r="Z69" i="40"/>
  <c r="Z51" i="81"/>
  <c r="Z69" i="70"/>
  <c r="Z69" i="68"/>
  <c r="Q37" i="318"/>
  <c r="S37" i="318" s="1"/>
  <c r="T69" i="40"/>
  <c r="T51" i="81"/>
  <c r="T69" i="70"/>
  <c r="T69" i="68"/>
  <c r="Z66" i="40"/>
  <c r="Z66" i="74"/>
  <c r="Z66" i="70"/>
  <c r="Z66" i="68"/>
  <c r="T35" i="70"/>
  <c r="T35" i="68"/>
  <c r="R36" i="75"/>
  <c r="R35" i="70"/>
  <c r="R9" i="70" s="1"/>
  <c r="V34" i="100"/>
  <c r="Z25" i="74"/>
  <c r="Z25" i="69"/>
  <c r="V25" i="40"/>
  <c r="V25" i="74"/>
  <c r="V25" i="69"/>
  <c r="Z26" i="68"/>
  <c r="Z26" i="69"/>
  <c r="Z26" i="70"/>
  <c r="Z26" i="74"/>
  <c r="Z27" i="75"/>
  <c r="Z16" i="81"/>
  <c r="Z26" i="40"/>
  <c r="AB25" i="100"/>
  <c r="AB24" i="100" s="1"/>
  <c r="AB24" i="101"/>
  <c r="AB23" i="101" s="1"/>
  <c r="Z27" i="99"/>
  <c r="Y24" i="100"/>
  <c r="V19" i="92"/>
  <c r="V11" i="81"/>
  <c r="V19" i="74"/>
  <c r="V19" i="69"/>
  <c r="U10" i="75"/>
  <c r="U9" i="70"/>
  <c r="U9" i="68"/>
  <c r="S9" i="40"/>
  <c r="S8" i="40" s="1"/>
  <c r="S224" i="40" s="1"/>
  <c r="V10" i="92"/>
  <c r="V10" i="74"/>
  <c r="V10" i="70"/>
  <c r="V10" i="68"/>
  <c r="O149" i="1"/>
  <c r="L148" i="1"/>
  <c r="O116" i="1"/>
  <c r="L115" i="1"/>
  <c r="O9" i="1"/>
  <c r="S45" i="254"/>
  <c r="S223" i="272"/>
  <c r="S14" i="272"/>
  <c r="S120" i="229"/>
  <c r="V58" i="81"/>
  <c r="V76" i="70"/>
  <c r="V76" i="69"/>
  <c r="R116" i="1"/>
  <c r="R115" i="1" s="1"/>
  <c r="S206" i="272"/>
  <c r="S156" i="272"/>
  <c r="P10" i="272"/>
  <c r="T10" i="271"/>
  <c r="T210" i="271" s="1"/>
  <c r="T220" i="271" s="1"/>
  <c r="T221" i="271" s="1"/>
  <c r="S127" i="229"/>
  <c r="Q14" i="229"/>
  <c r="P81" i="283"/>
  <c r="P80" i="283" s="1"/>
  <c r="P52" i="283" s="1"/>
  <c r="D22" i="293" s="1"/>
  <c r="D21" i="293" s="1"/>
  <c r="P9" i="314"/>
  <c r="P8" i="314" s="1"/>
  <c r="S10" i="314"/>
  <c r="S9" i="314" s="1"/>
  <c r="S8" i="314" s="1"/>
  <c r="P49" i="297"/>
  <c r="S49" i="297" s="1"/>
  <c r="AJ8" i="297"/>
  <c r="D21" i="265"/>
  <c r="D18" i="293"/>
  <c r="E18" i="293" s="1"/>
  <c r="F29" i="296"/>
  <c r="E47" i="296"/>
  <c r="F47" i="296" s="1"/>
  <c r="S10" i="299"/>
  <c r="F20" i="290"/>
  <c r="S58" i="254"/>
  <c r="Q57" i="254"/>
  <c r="W223" i="229"/>
  <c r="W222" i="229" s="1"/>
  <c r="Q191" i="229"/>
  <c r="W170" i="229"/>
  <c r="W169" i="229" s="1"/>
  <c r="S159" i="229"/>
  <c r="P158" i="229"/>
  <c r="S158" i="229" s="1"/>
  <c r="T155" i="229"/>
  <c r="S155" i="229"/>
  <c r="V146" i="229"/>
  <c r="V145" i="229" s="1"/>
  <c r="V123" i="229"/>
  <c r="V122" i="229" s="1"/>
  <c r="P122" i="229"/>
  <c r="V99" i="229"/>
  <c r="V81" i="229"/>
  <c r="V10" i="229" s="1"/>
  <c r="V9" i="229" s="1"/>
  <c r="V243" i="229" s="1"/>
  <c r="S58" i="229"/>
  <c r="P10" i="229"/>
  <c r="AH238" i="254"/>
  <c r="AH237" i="254" s="1"/>
  <c r="AH236" i="254" s="1"/>
  <c r="AH39" i="311"/>
  <c r="AH38" i="311" s="1"/>
  <c r="AH37" i="311" s="1"/>
  <c r="Y242" i="229"/>
  <c r="Y241" i="229" s="1"/>
  <c r="Y240" i="229" s="1"/>
  <c r="AV209" i="2"/>
  <c r="AH222" i="254"/>
  <c r="Y226" i="229"/>
  <c r="AV204" i="2"/>
  <c r="AH219" i="254"/>
  <c r="Y224" i="229"/>
  <c r="AV202" i="2"/>
  <c r="V199" i="40"/>
  <c r="V200" i="75"/>
  <c r="V199" i="74"/>
  <c r="V199" i="69"/>
  <c r="U151" i="169"/>
  <c r="U209" i="169" s="1"/>
  <c r="F30" i="291"/>
  <c r="T151" i="169"/>
  <c r="Y151" i="100"/>
  <c r="Y185" i="75"/>
  <c r="M39" i="291"/>
  <c r="E39" i="291" s="1"/>
  <c r="F39" i="291" s="1"/>
  <c r="S189" i="254"/>
  <c r="T172" i="100"/>
  <c r="T151" i="100" s="1"/>
  <c r="T185" i="75"/>
  <c r="T162" i="75" s="1"/>
  <c r="T184" i="74"/>
  <c r="T161" i="74" s="1"/>
  <c r="T184" i="69"/>
  <c r="T161" i="69" s="1"/>
  <c r="Z174" i="68"/>
  <c r="Z173" i="68" s="1"/>
  <c r="Z172" i="68" s="1"/>
  <c r="Z174" i="69"/>
  <c r="Z173" i="69" s="1"/>
  <c r="Z172" i="69" s="1"/>
  <c r="Z174" i="70"/>
  <c r="Z173" i="70" s="1"/>
  <c r="Z172" i="70" s="1"/>
  <c r="Z174" i="74"/>
  <c r="Z173" i="74" s="1"/>
  <c r="Z172" i="74" s="1"/>
  <c r="Z156" i="81"/>
  <c r="Z155" i="81" s="1"/>
  <c r="Z154" i="81" s="1"/>
  <c r="Z175" i="75"/>
  <c r="Z174" i="75" s="1"/>
  <c r="Z173" i="75" s="1"/>
  <c r="Z174" i="40"/>
  <c r="Z173" i="40" s="1"/>
  <c r="Z172" i="40" s="1"/>
  <c r="Z175" i="99"/>
  <c r="Z174" i="99" s="1"/>
  <c r="Z173" i="99" s="1"/>
  <c r="AH167" i="254"/>
  <c r="Y178" i="229"/>
  <c r="AV172" i="2"/>
  <c r="AH165" i="254"/>
  <c r="Y176" i="229"/>
  <c r="AV170" i="2"/>
  <c r="AH163" i="254"/>
  <c r="Y174" i="229"/>
  <c r="AV168" i="2"/>
  <c r="V143" i="92"/>
  <c r="V142" i="92" s="1"/>
  <c r="Z164" i="68"/>
  <c r="Z163" i="68" s="1"/>
  <c r="Z162" i="68" s="1"/>
  <c r="Z161" i="68" s="1"/>
  <c r="Z164" i="69"/>
  <c r="Z163" i="69" s="1"/>
  <c r="Z162" i="69" s="1"/>
  <c r="Z164" i="70"/>
  <c r="Z163" i="70" s="1"/>
  <c r="Z162" i="70" s="1"/>
  <c r="Z164" i="74"/>
  <c r="Z163" i="74" s="1"/>
  <c r="Z162" i="74" s="1"/>
  <c r="Z165" i="75"/>
  <c r="Z164" i="75" s="1"/>
  <c r="Z163" i="75" s="1"/>
  <c r="Z162" i="75" s="1"/>
  <c r="Z146" i="81"/>
  <c r="Z145" i="81" s="1"/>
  <c r="Z144" i="81" s="1"/>
  <c r="Z164" i="40"/>
  <c r="Z163" i="40" s="1"/>
  <c r="Z162" i="40" s="1"/>
  <c r="Z165" i="99"/>
  <c r="Z164" i="99" s="1"/>
  <c r="Z163" i="99" s="1"/>
  <c r="T161" i="40"/>
  <c r="R162" i="75"/>
  <c r="R161" i="74"/>
  <c r="R161" i="69"/>
  <c r="V135" i="254"/>
  <c r="V134" i="254" s="1"/>
  <c r="T140" i="169"/>
  <c r="T139" i="169" s="1"/>
  <c r="Y130" i="81"/>
  <c r="Y129" i="81" s="1"/>
  <c r="Y148" i="74"/>
  <c r="Y147" i="74" s="1"/>
  <c r="Y148" i="69"/>
  <c r="Y147" i="69" s="1"/>
  <c r="U148" i="40"/>
  <c r="U147" i="40" s="1"/>
  <c r="U149" i="75"/>
  <c r="U148" i="75" s="1"/>
  <c r="U148" i="70"/>
  <c r="U147" i="70" s="1"/>
  <c r="U148" i="68"/>
  <c r="U147" i="68" s="1"/>
  <c r="V122" i="92"/>
  <c r="V121" i="92" s="1"/>
  <c r="V141" i="75"/>
  <c r="V140" i="75" s="1"/>
  <c r="V140" i="74"/>
  <c r="V139" i="74" s="1"/>
  <c r="V140" i="69"/>
  <c r="V139" i="69" s="1"/>
  <c r="T122" i="169"/>
  <c r="T121" i="169" s="1"/>
  <c r="T122" i="100"/>
  <c r="T121" i="100" s="1"/>
  <c r="V122" i="100"/>
  <c r="V121" i="100" s="1"/>
  <c r="V129" i="40"/>
  <c r="V128" i="40" s="1"/>
  <c r="V130" i="75"/>
  <c r="V129" i="75" s="1"/>
  <c r="V129" i="70"/>
  <c r="V128" i="70" s="1"/>
  <c r="V129" i="68"/>
  <c r="V128" i="68" s="1"/>
  <c r="T111" i="81"/>
  <c r="T110" i="81" s="1"/>
  <c r="T129" i="74"/>
  <c r="T128" i="74" s="1"/>
  <c r="T129" i="69"/>
  <c r="T128" i="69" s="1"/>
  <c r="V119" i="40"/>
  <c r="V102" i="92"/>
  <c r="V120" i="75"/>
  <c r="V119" i="70"/>
  <c r="V119" i="68"/>
  <c r="V93" i="254"/>
  <c r="Y103" i="100"/>
  <c r="Y110" i="75"/>
  <c r="Y109" i="74"/>
  <c r="Y109" i="69"/>
  <c r="Z209" i="100"/>
  <c r="Z104" i="68"/>
  <c r="Z104" i="70"/>
  <c r="Z104" i="69"/>
  <c r="Z104" i="74"/>
  <c r="Z105" i="75"/>
  <c r="Z86" i="81"/>
  <c r="Z104" i="40"/>
  <c r="Z105" i="99"/>
  <c r="V89" i="100"/>
  <c r="V81" i="92"/>
  <c r="V76" i="81"/>
  <c r="V94" i="70"/>
  <c r="V94" i="68"/>
  <c r="Z90" i="40"/>
  <c r="Z90" i="70"/>
  <c r="V74" i="68"/>
  <c r="V74" i="69"/>
  <c r="V74" i="70"/>
  <c r="V74" i="74"/>
  <c r="V56" i="81"/>
  <c r="V75" i="75"/>
  <c r="V74" i="40"/>
  <c r="V63" i="92"/>
  <c r="V69" i="100"/>
  <c r="V68" i="101"/>
  <c r="V75" i="99"/>
  <c r="V71" i="68"/>
  <c r="V71" i="69"/>
  <c r="V71" i="70"/>
  <c r="V72" i="75"/>
  <c r="V71" i="74"/>
  <c r="V53" i="81"/>
  <c r="V71" i="40"/>
  <c r="V62" i="92"/>
  <c r="V72" i="99"/>
  <c r="V68" i="68"/>
  <c r="V68" i="69"/>
  <c r="V66" i="69" s="1"/>
  <c r="V68" i="70"/>
  <c r="V66" i="70" s="1"/>
  <c r="V68" i="74"/>
  <c r="V50" i="81"/>
  <c r="V48" i="81" s="1"/>
  <c r="V69" i="75"/>
  <c r="V67" i="75" s="1"/>
  <c r="V68" i="40"/>
  <c r="V66" i="40" s="1"/>
  <c r="V59" i="92"/>
  <c r="V57" i="92" s="1"/>
  <c r="V63" i="100"/>
  <c r="V69" i="99"/>
  <c r="V67" i="99" s="1"/>
  <c r="V62" i="101"/>
  <c r="V60" i="101" s="1"/>
  <c r="Z64" i="68"/>
  <c r="Z53" i="68" s="1"/>
  <c r="Z64" i="69"/>
  <c r="Z64" i="70"/>
  <c r="Z53" i="70" s="1"/>
  <c r="Z64" i="74"/>
  <c r="Z53" i="74" s="1"/>
  <c r="Z65" i="75"/>
  <c r="Z46" i="81"/>
  <c r="Z64" i="40"/>
  <c r="Z53" i="40" s="1"/>
  <c r="AB59" i="100"/>
  <c r="AB49" i="100" s="1"/>
  <c r="AB58" i="101"/>
  <c r="AB48" i="101" s="1"/>
  <c r="Z65" i="99"/>
  <c r="Z54" i="99" s="1"/>
  <c r="V59" i="68"/>
  <c r="V59" i="69"/>
  <c r="V53" i="69" s="1"/>
  <c r="V59" i="70"/>
  <c r="V60" i="75"/>
  <c r="V59" i="74"/>
  <c r="V53" i="74" s="1"/>
  <c r="V41" i="81"/>
  <c r="V35" i="81" s="1"/>
  <c r="V59" i="40"/>
  <c r="V53" i="92"/>
  <c r="V60" i="99"/>
  <c r="V23" i="318"/>
  <c r="V9" i="318" s="1"/>
  <c r="V8" i="318" s="1"/>
  <c r="V50" i="318" s="1"/>
  <c r="V52" i="318" s="1"/>
  <c r="V53" i="318" s="1"/>
  <c r="Y49" i="100"/>
  <c r="V56" i="68"/>
  <c r="V56" i="69"/>
  <c r="V56" i="70"/>
  <c r="V56" i="74"/>
  <c r="V57" i="75"/>
  <c r="V38" i="81"/>
  <c r="V56" i="40"/>
  <c r="V51" i="100"/>
  <c r="V50" i="101"/>
  <c r="V57" i="99"/>
  <c r="Y53" i="69"/>
  <c r="Y9" i="69" s="1"/>
  <c r="Y8" i="69" s="1"/>
  <c r="T35" i="81"/>
  <c r="T54" i="75"/>
  <c r="T53" i="70"/>
  <c r="T9" i="70" s="1"/>
  <c r="T8" i="70" s="1"/>
  <c r="T53" i="68"/>
  <c r="V47" i="68"/>
  <c r="V47" i="69"/>
  <c r="V35" i="69" s="1"/>
  <c r="V47" i="70"/>
  <c r="V35" i="70" s="1"/>
  <c r="V47" i="74"/>
  <c r="V48" i="75"/>
  <c r="V36" i="75" s="1"/>
  <c r="V47" i="40"/>
  <c r="V35" i="40" s="1"/>
  <c r="V29" i="81"/>
  <c r="V21" i="81" s="1"/>
  <c r="V48" i="99"/>
  <c r="V36" i="99" s="1"/>
  <c r="AT210" i="2"/>
  <c r="V24" i="100"/>
  <c r="AB18" i="100"/>
  <c r="Z11" i="81"/>
  <c r="Z19" i="74"/>
  <c r="Z19" i="69"/>
  <c r="Z14" i="68"/>
  <c r="Z10" i="68" s="1"/>
  <c r="Z14" i="69"/>
  <c r="Z10" i="69" s="1"/>
  <c r="Z14" i="70"/>
  <c r="Z15" i="75"/>
  <c r="Z11" i="75" s="1"/>
  <c r="Z14" i="74"/>
  <c r="Z10" i="74" s="1"/>
  <c r="Z14" i="40"/>
  <c r="Z10" i="40" s="1"/>
  <c r="Z15" i="99"/>
  <c r="Z11" i="99" s="1"/>
  <c r="T9" i="68"/>
  <c r="R10" i="75"/>
  <c r="R9" i="69"/>
  <c r="V11" i="100"/>
  <c r="D15" i="293"/>
  <c r="D6" i="293"/>
  <c r="S151" i="254"/>
  <c r="S127" i="254"/>
  <c r="S54" i="254"/>
  <c r="S29" i="254"/>
  <c r="P9" i="254"/>
  <c r="M17" i="291"/>
  <c r="E17" i="291" s="1"/>
  <c r="F17" i="291" s="1"/>
  <c r="Y8" i="254"/>
  <c r="Y239" i="254" s="1"/>
  <c r="S170" i="272"/>
  <c r="P169" i="272"/>
  <c r="S159" i="272"/>
  <c r="P158" i="272"/>
  <c r="S158" i="272" s="1"/>
  <c r="S155" i="272"/>
  <c r="T155" i="272"/>
  <c r="S120" i="272"/>
  <c r="P119" i="272"/>
  <c r="S119" i="272" s="1"/>
  <c r="S220" i="229"/>
  <c r="P219" i="229"/>
  <c r="S219" i="229" s="1"/>
  <c r="S121" i="229"/>
  <c r="S56" i="229"/>
  <c r="Q55" i="229"/>
  <c r="S55" i="229" s="1"/>
  <c r="Y200" i="40"/>
  <c r="Y199" i="40" s="1"/>
  <c r="Y161" i="40" s="1"/>
  <c r="Y201" i="75"/>
  <c r="Y200" i="75" s="1"/>
  <c r="Y200" i="68"/>
  <c r="Y199" i="68" s="1"/>
  <c r="Y161" i="68" s="1"/>
  <c r="V172" i="100"/>
  <c r="V184" i="74"/>
  <c r="V184" i="69"/>
  <c r="Y162" i="75"/>
  <c r="U161" i="40"/>
  <c r="U143" i="81"/>
  <c r="U161" i="70"/>
  <c r="U161" i="68"/>
  <c r="W40" i="311"/>
  <c r="V42" i="311" s="1"/>
  <c r="V152" i="68"/>
  <c r="V148" i="68" s="1"/>
  <c r="V147" i="68" s="1"/>
  <c r="V152" i="69"/>
  <c r="V148" i="69" s="1"/>
  <c r="V147" i="69" s="1"/>
  <c r="V152" i="70"/>
  <c r="V148" i="70" s="1"/>
  <c r="V147" i="70" s="1"/>
  <c r="V152" i="74"/>
  <c r="V148" i="74" s="1"/>
  <c r="V147" i="74" s="1"/>
  <c r="V153" i="75"/>
  <c r="V149" i="75" s="1"/>
  <c r="V148" i="75" s="1"/>
  <c r="V134" i="81"/>
  <c r="V152" i="40"/>
  <c r="V148" i="40" s="1"/>
  <c r="V147" i="40" s="1"/>
  <c r="V153" i="99"/>
  <c r="V149" i="99" s="1"/>
  <c r="V148" i="99" s="1"/>
  <c r="V140" i="100"/>
  <c r="V139" i="100" s="1"/>
  <c r="V130" i="81"/>
  <c r="V129" i="81" s="1"/>
  <c r="T149" i="75"/>
  <c r="T148" i="75" s="1"/>
  <c r="T148" i="74"/>
  <c r="T147" i="74" s="1"/>
  <c r="T148" i="69"/>
  <c r="T147" i="69" s="1"/>
  <c r="R148" i="40"/>
  <c r="R147" i="40" s="1"/>
  <c r="R149" i="75"/>
  <c r="R148" i="75" s="1"/>
  <c r="R148" i="70"/>
  <c r="R147" i="70" s="1"/>
  <c r="R148" i="68"/>
  <c r="R147" i="68" s="1"/>
  <c r="Z140" i="40"/>
  <c r="Z139" i="40" s="1"/>
  <c r="Z141" i="75"/>
  <c r="Z140" i="75" s="1"/>
  <c r="Z140" i="74"/>
  <c r="Z139" i="74" s="1"/>
  <c r="Z140" i="69"/>
  <c r="Z139" i="69" s="1"/>
  <c r="W121" i="254"/>
  <c r="W111" i="254" s="1"/>
  <c r="Y130" i="75"/>
  <c r="Y129" i="75" s="1"/>
  <c r="Y129" i="74"/>
  <c r="Y128" i="74" s="1"/>
  <c r="Y129" i="69"/>
  <c r="Y128" i="69" s="1"/>
  <c r="Z119" i="40"/>
  <c r="Z120" i="75"/>
  <c r="Z119" i="70"/>
  <c r="Z119" i="68"/>
  <c r="Z91" i="81"/>
  <c r="Z109" i="74"/>
  <c r="Z109" i="70"/>
  <c r="V93" i="92"/>
  <c r="V103" i="100"/>
  <c r="V110" i="75"/>
  <c r="V109" i="69"/>
  <c r="V109" i="68"/>
  <c r="Z102" i="68"/>
  <c r="Z102" i="70"/>
  <c r="Z102" i="69"/>
  <c r="Z102" i="74"/>
  <c r="Z103" i="75"/>
  <c r="Z84" i="81"/>
  <c r="AB97" i="100"/>
  <c r="Z102" i="40"/>
  <c r="AB96" i="101"/>
  <c r="Z103" i="99"/>
  <c r="Z95" i="68"/>
  <c r="Z94" i="68" s="1"/>
  <c r="Z95" i="69"/>
  <c r="Z95" i="70"/>
  <c r="Z95" i="74"/>
  <c r="Z77" i="81"/>
  <c r="Z96" i="75"/>
  <c r="AB90" i="100"/>
  <c r="Z95" i="40"/>
  <c r="AB89" i="101"/>
  <c r="AB88" i="101" s="1"/>
  <c r="Z96" i="99"/>
  <c r="T89" i="169"/>
  <c r="Y94" i="40"/>
  <c r="Y95" i="75"/>
  <c r="Y94" i="69"/>
  <c r="Y94" i="68"/>
  <c r="Y85" i="100"/>
  <c r="Y91" i="75"/>
  <c r="Y90" i="74"/>
  <c r="Y90" i="69"/>
  <c r="V77" i="92"/>
  <c r="V85" i="100"/>
  <c r="V72" i="81"/>
  <c r="V90" i="70"/>
  <c r="V90" i="68"/>
  <c r="T71" i="169"/>
  <c r="V71" i="100"/>
  <c r="Y76" i="40"/>
  <c r="Y58" i="81"/>
  <c r="Y76" i="70"/>
  <c r="Y76" i="68"/>
  <c r="V37" i="318"/>
  <c r="Y70" i="75"/>
  <c r="Y69" i="74"/>
  <c r="Y9" i="74" s="1"/>
  <c r="Y8" i="74" s="1"/>
  <c r="Y69" i="69"/>
  <c r="Z70" i="75"/>
  <c r="Z69" i="74"/>
  <c r="Z69" i="69"/>
  <c r="T64" i="100"/>
  <c r="T60" i="92"/>
  <c r="T70" i="75"/>
  <c r="T69" i="74"/>
  <c r="T9" i="74" s="1"/>
  <c r="T8" i="74" s="1"/>
  <c r="T224" i="74" s="1"/>
  <c r="T69" i="69"/>
  <c r="AB61" i="100"/>
  <c r="Z48" i="81"/>
  <c r="Z67" i="75"/>
  <c r="Z66" i="69"/>
  <c r="V61" i="100"/>
  <c r="V66" i="74"/>
  <c r="V66" i="68"/>
  <c r="Z35" i="81"/>
  <c r="Z54" i="75"/>
  <c r="Z53" i="69"/>
  <c r="V54" i="75"/>
  <c r="T35" i="40"/>
  <c r="T35" i="69"/>
  <c r="T9" i="69" s="1"/>
  <c r="T8" i="69" s="1"/>
  <c r="T224" i="69" s="1"/>
  <c r="R35" i="40"/>
  <c r="R9" i="40" s="1"/>
  <c r="R35" i="74"/>
  <c r="R9" i="74" s="1"/>
  <c r="R8" i="74" s="1"/>
  <c r="R224" i="74" s="1"/>
  <c r="AB34" i="100"/>
  <c r="V35" i="92"/>
  <c r="V35" i="74"/>
  <c r="V35" i="68"/>
  <c r="Z15" i="81"/>
  <c r="Z25" i="68"/>
  <c r="V25" i="92"/>
  <c r="V26" i="75"/>
  <c r="V25" i="70"/>
  <c r="V25" i="68"/>
  <c r="T24" i="169"/>
  <c r="T10" i="169" s="1"/>
  <c r="T9" i="169" s="1"/>
  <c r="T209" i="169" s="1"/>
  <c r="T219" i="169" s="1"/>
  <c r="T220" i="169" s="1"/>
  <c r="V18" i="100"/>
  <c r="V19" i="40"/>
  <c r="V20" i="75"/>
  <c r="V19" i="70"/>
  <c r="V19" i="68"/>
  <c r="U9" i="40"/>
  <c r="U9" i="74"/>
  <c r="U8" i="74" s="1"/>
  <c r="U224" i="74" s="1"/>
  <c r="U9" i="69"/>
  <c r="U8" i="69" s="1"/>
  <c r="U224" i="69" s="1"/>
  <c r="Z10" i="70"/>
  <c r="V10" i="40"/>
  <c r="V10" i="69"/>
  <c r="M171" i="1"/>
  <c r="O171" i="1" s="1"/>
  <c r="Q148" i="1"/>
  <c r="R13" i="1"/>
  <c r="Q10" i="1"/>
  <c r="S235" i="272"/>
  <c r="S220" i="272"/>
  <c r="S199" i="229"/>
  <c r="S193" i="229"/>
  <c r="S192" i="229"/>
  <c r="S119" i="229"/>
  <c r="V76" i="40"/>
  <c r="V77" i="75"/>
  <c r="V76" i="74"/>
  <c r="V76" i="68"/>
  <c r="M8" i="1"/>
  <c r="S56" i="254"/>
  <c r="S42" i="254"/>
  <c r="S195" i="229"/>
  <c r="S44" i="229"/>
  <c r="Q14" i="254"/>
  <c r="C31" i="286" l="1"/>
  <c r="P53" i="274"/>
  <c r="P8" i="254"/>
  <c r="F33" i="291"/>
  <c r="P49" i="279"/>
  <c r="R239" i="254"/>
  <c r="O8" i="254"/>
  <c r="O239" i="254" s="1"/>
  <c r="C58" i="284"/>
  <c r="W8" i="254"/>
  <c r="W239" i="254" s="1"/>
  <c r="V241" i="254" s="1"/>
  <c r="AH158" i="254"/>
  <c r="AH157" i="254" s="1"/>
  <c r="Y9" i="70"/>
  <c r="Y8" i="70" s="1"/>
  <c r="Y224" i="70" s="1"/>
  <c r="T9" i="40"/>
  <c r="T8" i="40" s="1"/>
  <c r="T224" i="40" s="1"/>
  <c r="Z94" i="40"/>
  <c r="Z162" i="99"/>
  <c r="AH218" i="254"/>
  <c r="AH217" i="254" s="1"/>
  <c r="Q9" i="272"/>
  <c r="Q240" i="272" s="1"/>
  <c r="AB85" i="100"/>
  <c r="T224" i="70"/>
  <c r="L38" i="290"/>
  <c r="E38" i="290" s="1"/>
  <c r="F38" i="290" s="1"/>
  <c r="S214" i="254"/>
  <c r="T8" i="68"/>
  <c r="T224" i="68" s="1"/>
  <c r="V141" i="92"/>
  <c r="Y224" i="74"/>
  <c r="Y224" i="69"/>
  <c r="Y10" i="75"/>
  <c r="Y9" i="75" s="1"/>
  <c r="Y225" i="75" s="1"/>
  <c r="Z94" i="74"/>
  <c r="T10" i="75"/>
  <c r="T9" i="75" s="1"/>
  <c r="T225" i="75" s="1"/>
  <c r="Z161" i="74"/>
  <c r="P9" i="229"/>
  <c r="R8" i="70"/>
  <c r="R224" i="70" s="1"/>
  <c r="V9" i="254"/>
  <c r="V8" i="254" s="1"/>
  <c r="V239" i="254" s="1"/>
  <c r="F31" i="291"/>
  <c r="S217" i="254"/>
  <c r="U8" i="40"/>
  <c r="U224" i="40" s="1"/>
  <c r="Y9" i="40"/>
  <c r="Y8" i="40" s="1"/>
  <c r="Y224" i="40" s="1"/>
  <c r="AB89" i="100"/>
  <c r="V49" i="92"/>
  <c r="Z161" i="40"/>
  <c r="Z161" i="70"/>
  <c r="AV210" i="2"/>
  <c r="S123" i="229"/>
  <c r="W168" i="229"/>
  <c r="Z149" i="75"/>
  <c r="Z148" i="75" s="1"/>
  <c r="AB84" i="101"/>
  <c r="Y156" i="254"/>
  <c r="C59" i="284" s="1"/>
  <c r="S157" i="254"/>
  <c r="P156" i="254"/>
  <c r="P16" i="310"/>
  <c r="S16" i="310" s="1"/>
  <c r="AJ8" i="310"/>
  <c r="L30" i="290"/>
  <c r="E30" i="290" s="1"/>
  <c r="F30" i="290" s="1"/>
  <c r="S168" i="254"/>
  <c r="F35" i="291"/>
  <c r="T145" i="254"/>
  <c r="S199" i="254"/>
  <c r="S202" i="254"/>
  <c r="Q168" i="272"/>
  <c r="R8" i="40"/>
  <c r="R224" i="40" s="1"/>
  <c r="T10" i="100"/>
  <c r="T9" i="100" s="1"/>
  <c r="T209" i="100" s="1"/>
  <c r="Z95" i="99"/>
  <c r="Z95" i="75"/>
  <c r="Z94" i="69"/>
  <c r="R8" i="69"/>
  <c r="R224" i="69" s="1"/>
  <c r="V53" i="40"/>
  <c r="Z161" i="69"/>
  <c r="S122" i="229"/>
  <c r="Q168" i="229"/>
  <c r="S10" i="272"/>
  <c r="Y10" i="100"/>
  <c r="Y9" i="68"/>
  <c r="Y8" i="68" s="1"/>
  <c r="R206" i="81"/>
  <c r="Z148" i="68"/>
  <c r="Z147" i="68" s="1"/>
  <c r="Y225" i="99"/>
  <c r="Z90" i="74"/>
  <c r="U206" i="81"/>
  <c r="V162" i="99"/>
  <c r="P18" i="317"/>
  <c r="S18" i="317" s="1"/>
  <c r="AJ8" i="317"/>
  <c r="P32" i="309"/>
  <c r="S32" i="309" s="1"/>
  <c r="AJ8" i="309"/>
  <c r="Y224" i="68"/>
  <c r="M16" i="291"/>
  <c r="E16" i="291" s="1"/>
  <c r="F16" i="291" s="1"/>
  <c r="S14" i="254"/>
  <c r="Z76" i="81"/>
  <c r="Z94" i="70"/>
  <c r="P168" i="272"/>
  <c r="S169" i="272"/>
  <c r="S168" i="272" s="1"/>
  <c r="N11" i="290"/>
  <c r="L11" i="290"/>
  <c r="E11" i="290" s="1"/>
  <c r="R9" i="75"/>
  <c r="R225" i="75" s="1"/>
  <c r="Z143" i="81"/>
  <c r="Y170" i="229"/>
  <c r="Y169" i="229" s="1"/>
  <c r="L28" i="290"/>
  <c r="E28" i="290" s="1"/>
  <c r="Q156" i="254"/>
  <c r="S188" i="254"/>
  <c r="Y223" i="229"/>
  <c r="Y222" i="229" s="1"/>
  <c r="M11" i="291"/>
  <c r="E11" i="291" s="1"/>
  <c r="F11" i="291" s="1"/>
  <c r="S57" i="254"/>
  <c r="AJ8" i="314"/>
  <c r="P23" i="314"/>
  <c r="S23" i="314" s="1"/>
  <c r="M148" i="1"/>
  <c r="M207" i="1" s="1"/>
  <c r="P9" i="272"/>
  <c r="S9" i="272"/>
  <c r="O115" i="1"/>
  <c r="L8" i="1"/>
  <c r="L207" i="1" s="1"/>
  <c r="U8" i="68"/>
  <c r="U224" i="68" s="1"/>
  <c r="U9" i="75"/>
  <c r="U225" i="75" s="1"/>
  <c r="Z149" i="99"/>
  <c r="Z148" i="99" s="1"/>
  <c r="Z148" i="74"/>
  <c r="Z147" i="74" s="1"/>
  <c r="Z148" i="69"/>
  <c r="Z147" i="69" s="1"/>
  <c r="M36" i="291"/>
  <c r="E36" i="291" s="1"/>
  <c r="S191" i="254"/>
  <c r="T10" i="81"/>
  <c r="T9" i="81" s="1"/>
  <c r="T206" i="81" s="1"/>
  <c r="Z38" i="68"/>
  <c r="Z35" i="68" s="1"/>
  <c r="Z9" i="68" s="1"/>
  <c r="Z8" i="68" s="1"/>
  <c r="Z224" i="68" s="1"/>
  <c r="Z38" i="69"/>
  <c r="Z35" i="69" s="1"/>
  <c r="Z9" i="69" s="1"/>
  <c r="Z8" i="69" s="1"/>
  <c r="Z224" i="69" s="1"/>
  <c r="Z38" i="70"/>
  <c r="Z35" i="70" s="1"/>
  <c r="Z39" i="75"/>
  <c r="Z36" i="75" s="1"/>
  <c r="Z10" i="75" s="1"/>
  <c r="Z9" i="75" s="1"/>
  <c r="Z225" i="75" s="1"/>
  <c r="Z38" i="74"/>
  <c r="Z35" i="74" s="1"/>
  <c r="Z38" i="40"/>
  <c r="Z35" i="40" s="1"/>
  <c r="Z9" i="40" s="1"/>
  <c r="Z8" i="40" s="1"/>
  <c r="Z39" i="99"/>
  <c r="Z36" i="99" s="1"/>
  <c r="V48" i="101"/>
  <c r="V70" i="99"/>
  <c r="V60" i="92"/>
  <c r="V70" i="75"/>
  <c r="V10" i="75" s="1"/>
  <c r="V9" i="75" s="1"/>
  <c r="V69" i="74"/>
  <c r="V9" i="74" s="1"/>
  <c r="V8" i="74" s="1"/>
  <c r="V224" i="74" s="1"/>
  <c r="V69" i="69"/>
  <c r="Z117" i="68"/>
  <c r="Z117" i="69"/>
  <c r="Z117" i="70"/>
  <c r="Z117" i="74"/>
  <c r="Z118" i="75"/>
  <c r="Z99" i="81"/>
  <c r="Z117" i="40"/>
  <c r="AB110" i="100"/>
  <c r="AB103" i="100" s="1"/>
  <c r="Z118" i="99"/>
  <c r="AB109" i="101"/>
  <c r="AB102" i="101" s="1"/>
  <c r="V143" i="81"/>
  <c r="V161" i="74"/>
  <c r="V161" i="69"/>
  <c r="V151" i="100"/>
  <c r="S191" i="229"/>
  <c r="S168" i="229" s="1"/>
  <c r="P92" i="283"/>
  <c r="C22" i="293"/>
  <c r="D29" i="291"/>
  <c r="D47" i="291" s="1"/>
  <c r="F32" i="291"/>
  <c r="S9" i="318"/>
  <c r="S8" i="318" s="1"/>
  <c r="C6" i="293"/>
  <c r="E7" i="293"/>
  <c r="E6" i="293" s="1"/>
  <c r="R10" i="1"/>
  <c r="R9" i="1" s="1"/>
  <c r="R8" i="1" s="1"/>
  <c r="R207" i="1" s="1"/>
  <c r="Q9" i="1"/>
  <c r="Q8" i="1" s="1"/>
  <c r="Q207" i="1" s="1"/>
  <c r="V9" i="69"/>
  <c r="V8" i="69" s="1"/>
  <c r="V224" i="69" s="1"/>
  <c r="Q9" i="254"/>
  <c r="P239" i="254"/>
  <c r="AJ8" i="254"/>
  <c r="D14" i="293"/>
  <c r="D23" i="293" s="1"/>
  <c r="E15" i="293"/>
  <c r="E14" i="293" s="1"/>
  <c r="Z10" i="81"/>
  <c r="Z9" i="81" s="1"/>
  <c r="Z206" i="81" s="1"/>
  <c r="AA9" i="229"/>
  <c r="Q10" i="229"/>
  <c r="Q9" i="229" s="1"/>
  <c r="S14" i="229"/>
  <c r="S10" i="229" s="1"/>
  <c r="S9" i="229" s="1"/>
  <c r="O8" i="1"/>
  <c r="O148" i="1"/>
  <c r="V9" i="92"/>
  <c r="V8" i="92" s="1"/>
  <c r="V193" i="92" s="1"/>
  <c r="U8" i="70"/>
  <c r="U224" i="70" s="1"/>
  <c r="AB9" i="101"/>
  <c r="Y10" i="81"/>
  <c r="Y9" i="81" s="1"/>
  <c r="Y206" i="81" s="1"/>
  <c r="L22" i="290"/>
  <c r="E22" i="290" s="1"/>
  <c r="S108" i="254"/>
  <c r="R8" i="68"/>
  <c r="R224" i="68" s="1"/>
  <c r="T9" i="92"/>
  <c r="T8" i="92" s="1"/>
  <c r="T193" i="92" s="1"/>
  <c r="V54" i="99"/>
  <c r="V10" i="99" s="1"/>
  <c r="V9" i="99" s="1"/>
  <c r="V225" i="99" s="1"/>
  <c r="V63" i="101"/>
  <c r="V64" i="100"/>
  <c r="V10" i="100" s="1"/>
  <c r="V9" i="100" s="1"/>
  <c r="V69" i="40"/>
  <c r="V9" i="40" s="1"/>
  <c r="V8" i="40" s="1"/>
  <c r="V51" i="81"/>
  <c r="V10" i="81" s="1"/>
  <c r="V9" i="81" s="1"/>
  <c r="V69" i="70"/>
  <c r="V9" i="70" s="1"/>
  <c r="V8" i="70" s="1"/>
  <c r="V69" i="68"/>
  <c r="V9" i="68" s="1"/>
  <c r="V8" i="68" s="1"/>
  <c r="M8" i="291"/>
  <c r="E8" i="291" s="1"/>
  <c r="Q111" i="254"/>
  <c r="L16" i="290" s="1"/>
  <c r="E16" i="290" s="1"/>
  <c r="F16" i="290" s="1"/>
  <c r="Y121" i="100"/>
  <c r="Y9" i="100" s="1"/>
  <c r="Y209" i="100" s="1"/>
  <c r="Y219" i="100" s="1"/>
  <c r="Y220" i="100" s="1"/>
  <c r="AY122" i="100"/>
  <c r="V161" i="40"/>
  <c r="V162" i="75"/>
  <c r="V161" i="70"/>
  <c r="V161" i="68"/>
  <c r="M43" i="291"/>
  <c r="E43" i="291" s="1"/>
  <c r="F43" i="291" s="1"/>
  <c r="S193" i="254"/>
  <c r="AH14" i="311"/>
  <c r="AH40" i="311" s="1"/>
  <c r="V43" i="311" s="1"/>
  <c r="W122" i="229"/>
  <c r="W9" i="229" s="1"/>
  <c r="P168" i="229"/>
  <c r="P243" i="229" s="1"/>
  <c r="S112" i="254"/>
  <c r="P50" i="318"/>
  <c r="S50" i="318" s="1"/>
  <c r="AJ8" i="318"/>
  <c r="P24" i="313"/>
  <c r="S24" i="313" s="1"/>
  <c r="AJ8" i="313"/>
  <c r="P58" i="274"/>
  <c r="L12" i="290"/>
  <c r="E12" i="290" s="1"/>
  <c r="F12" i="290" s="1"/>
  <c r="AH156" i="254" l="1"/>
  <c r="AH239" i="254" s="1"/>
  <c r="V242" i="254" s="1"/>
  <c r="Y242" i="254"/>
  <c r="R268" i="270"/>
  <c r="R270" i="270" s="1"/>
  <c r="AD268" i="270"/>
  <c r="Z242" i="254"/>
  <c r="V224" i="70"/>
  <c r="V206" i="81"/>
  <c r="V225" i="75"/>
  <c r="Z10" i="99"/>
  <c r="Z9" i="99" s="1"/>
  <c r="Z225" i="99" s="1"/>
  <c r="Z9" i="70"/>
  <c r="Z8" i="70" s="1"/>
  <c r="Z224" i="70" s="1"/>
  <c r="S243" i="229"/>
  <c r="V224" i="40"/>
  <c r="Q243" i="229"/>
  <c r="Z224" i="40"/>
  <c r="S156" i="254"/>
  <c r="W243" i="229"/>
  <c r="V245" i="229" s="1"/>
  <c r="V224" i="68"/>
  <c r="V209" i="100"/>
  <c r="AB10" i="100"/>
  <c r="AB9" i="100" s="1"/>
  <c r="AB209" i="100" s="1"/>
  <c r="Z9" i="74"/>
  <c r="Z8" i="74" s="1"/>
  <c r="Z224" i="74" s="1"/>
  <c r="F8" i="291"/>
  <c r="E7" i="291"/>
  <c r="F7" i="291" s="1"/>
  <c r="O207" i="1"/>
  <c r="E23" i="293"/>
  <c r="E26" i="293" s="1"/>
  <c r="C21" i="293"/>
  <c r="E21" i="293" s="1"/>
  <c r="E22" i="293"/>
  <c r="V9" i="101"/>
  <c r="P240" i="272"/>
  <c r="S240" i="272" s="1"/>
  <c r="AA9" i="272"/>
  <c r="Y168" i="229"/>
  <c r="Y243" i="229" s="1"/>
  <c r="F11" i="290"/>
  <c r="E10" i="290"/>
  <c r="F22" i="290"/>
  <c r="E19" i="290"/>
  <c r="F19" i="290" s="1"/>
  <c r="Q8" i="254"/>
  <c r="Q239" i="254" s="1"/>
  <c r="S239" i="254" s="1"/>
  <c r="C23" i="293"/>
  <c r="S111" i="254"/>
  <c r="F36" i="291"/>
  <c r="E29" i="291"/>
  <c r="L209" i="1"/>
  <c r="Q211" i="1" s="1"/>
  <c r="F28" i="290"/>
  <c r="E27" i="290"/>
  <c r="S9" i="254"/>
  <c r="S8" i="254" s="1"/>
  <c r="V246" i="229" l="1"/>
  <c r="F27" i="290"/>
  <c r="E26" i="290"/>
  <c r="F10" i="290"/>
  <c r="E9" i="290"/>
  <c r="E47" i="291"/>
  <c r="F47" i="291" s="1"/>
  <c r="F29" i="291"/>
  <c r="E8" i="290" l="1"/>
  <c r="F8" i="290" s="1"/>
  <c r="F9" i="290"/>
  <c r="F26" i="290"/>
  <c r="F42" i="290" l="1"/>
  <c r="E42" i="290"/>
</calcChain>
</file>

<file path=xl/comments1.xml><?xml version="1.0" encoding="utf-8"?>
<comments xmlns="http://schemas.openxmlformats.org/spreadsheetml/2006/main">
  <authors>
    <author>Dini</author>
  </authors>
  <commentList>
    <comment ref="P1" authorId="0" shapeId="0">
      <text>
        <r>
          <rPr>
            <b/>
            <sz val="9"/>
            <rFont val="Tahoma"/>
            <family val="2"/>
          </rPr>
          <t>Dini:total proyek 119 (3 penambahan ESP)</t>
        </r>
      </text>
    </comment>
    <comment ref="Y200" authorId="0" shapeId="0">
      <text>
        <r>
          <rPr>
            <b/>
            <sz val="9"/>
            <rFont val="Tahoma"/>
            <family val="2"/>
          </rPr>
          <t>Dini:</t>
        </r>
        <r>
          <rPr>
            <sz val="9"/>
            <rFont val="Tahoma"/>
            <family val="2"/>
          </rPr>
          <t xml:space="preserve">
Senin, 19 Okt'15: Arahan Ibu Icha secara lisan, lender adalah Austria</t>
        </r>
      </text>
    </comment>
    <comment ref="AU200" authorId="0" shapeId="0">
      <text>
        <r>
          <rPr>
            <b/>
            <sz val="9"/>
            <rFont val="Tahoma"/>
            <family val="2"/>
          </rPr>
          <t>Dini:</t>
        </r>
        <r>
          <rPr>
            <sz val="9"/>
            <rFont val="Tahoma"/>
            <family val="2"/>
          </rPr>
          <t xml:space="preserve">
Senin, 19 Okt'15: Arahan Ibu Icha secara lisan, lender adalah Austria</t>
        </r>
      </text>
    </comment>
  </commentList>
</comments>
</file>

<file path=xl/comments2.xml><?xml version="1.0" encoding="utf-8"?>
<comments xmlns="http://schemas.openxmlformats.org/spreadsheetml/2006/main">
  <authors>
    <author>Dini</author>
  </authors>
  <commentList>
    <comment ref="Y46" authorId="0" shapeId="0">
      <text>
        <r>
          <rPr>
            <b/>
            <sz val="9"/>
            <color indexed="81"/>
            <rFont val="Tahoma"/>
            <charset val="1"/>
          </rPr>
          <t>Dini:</t>
        </r>
        <r>
          <rPr>
            <sz val="9"/>
            <color indexed="81"/>
            <rFont val="Tahoma"/>
            <charset val="1"/>
          </rPr>
          <t xml:space="preserve">
yang dari jica segini
</t>
        </r>
      </text>
    </comment>
    <comment ref="Z64" authorId="0" shapeId="0">
      <text>
        <r>
          <rPr>
            <b/>
            <sz val="9"/>
            <rFont val="Tahoma"/>
            <family val="2"/>
          </rPr>
          <t>Dini:</t>
        </r>
        <r>
          <rPr>
            <sz val="9"/>
            <rFont val="Tahoma"/>
            <family val="2"/>
          </rPr>
          <t xml:space="preserve">
ntar tambahin ke lender bank Dunia
*23 agustus belom ditambahin</t>
        </r>
      </text>
    </comment>
    <comment ref="AA66" authorId="0" shapeId="0">
      <text>
        <r>
          <rPr>
            <b/>
            <sz val="9"/>
            <rFont val="Tahoma"/>
            <family val="2"/>
          </rPr>
          <t>Dini:</t>
        </r>
        <r>
          <rPr>
            <sz val="9"/>
            <rFont val="Tahoma"/>
            <family val="2"/>
          </rPr>
          <t xml:space="preserve">
pindah ke signed
</t>
        </r>
      </text>
    </comment>
    <comment ref="AA107" authorId="0" shapeId="0">
      <text>
        <r>
          <rPr>
            <b/>
            <sz val="9"/>
            <rFont val="Tahoma"/>
            <family val="2"/>
          </rPr>
          <t>Dini:</t>
        </r>
        <r>
          <rPr>
            <sz val="9"/>
            <rFont val="Tahoma"/>
            <family val="2"/>
          </rPr>
          <t xml:space="preserve">
sudah ne</t>
        </r>
      </text>
    </comment>
    <comment ref="Y140" authorId="0" shapeId="0">
      <text>
        <r>
          <rPr>
            <b/>
            <sz val="9"/>
            <rFont val="Tahoma"/>
            <family val="2"/>
          </rPr>
          <t>Dini:</t>
        </r>
        <r>
          <rPr>
            <sz val="9"/>
            <rFont val="Tahoma"/>
            <family val="2"/>
          </rPr>
          <t xml:space="preserve">
dari GB segini, total 1.8 (yg dibawah)
</t>
        </r>
      </text>
    </comment>
    <comment ref="Y141" authorId="0" shapeId="0">
      <text>
        <r>
          <rPr>
            <b/>
            <sz val="9"/>
            <rFont val="Tahoma"/>
            <family val="2"/>
          </rPr>
          <t>Dini:</t>
        </r>
        <r>
          <rPr>
            <sz val="9"/>
            <rFont val="Tahoma"/>
            <family val="2"/>
          </rPr>
          <t xml:space="preserve">
ini kenapa segini</t>
        </r>
      </text>
    </comment>
    <comment ref="Y235" authorId="0" shapeId="0">
      <text>
        <r>
          <rPr>
            <b/>
            <sz val="9"/>
            <rFont val="Tahoma"/>
            <family val="2"/>
          </rPr>
          <t>Dini:</t>
        </r>
        <r>
          <rPr>
            <sz val="9"/>
            <rFont val="Tahoma"/>
            <family val="2"/>
          </rPr>
          <t xml:space="preserve">
ada di bank dunia (?0
</t>
        </r>
      </text>
    </comment>
  </commentList>
</comments>
</file>

<file path=xl/comments3.xml><?xml version="1.0" encoding="utf-8"?>
<comments xmlns="http://schemas.openxmlformats.org/spreadsheetml/2006/main">
  <authors>
    <author>Dini</author>
  </authors>
  <commentList>
    <comment ref="Y15" authorId="0" shapeId="0">
      <text>
        <r>
          <rPr>
            <b/>
            <sz val="9"/>
            <rFont val="Tahoma"/>
            <family val="2"/>
          </rPr>
          <t>Dini:</t>
        </r>
        <r>
          <rPr>
            <sz val="9"/>
            <rFont val="Tahoma"/>
            <family val="2"/>
          </rPr>
          <t xml:space="preserve">
dari GB segini, total 1.8 (yg dibawah)
</t>
        </r>
      </text>
    </comment>
    <comment ref="Y16" authorId="0" shapeId="0">
      <text>
        <r>
          <rPr>
            <b/>
            <sz val="9"/>
            <rFont val="Tahoma"/>
            <family val="2"/>
          </rPr>
          <t>Dini:</t>
        </r>
        <r>
          <rPr>
            <sz val="9"/>
            <rFont val="Tahoma"/>
            <family val="2"/>
          </rPr>
          <t xml:space="preserve">
ini kenapa segini</t>
        </r>
      </text>
    </comment>
  </commentList>
</comments>
</file>

<file path=xl/comments4.xml><?xml version="1.0" encoding="utf-8"?>
<comments xmlns="http://schemas.openxmlformats.org/spreadsheetml/2006/main">
  <authors>
    <author>Dini</author>
  </authors>
  <commentList>
    <comment ref="Z44" authorId="0" shapeId="0">
      <text>
        <r>
          <rPr>
            <b/>
            <sz val="9"/>
            <rFont val="Tahoma"/>
            <family val="2"/>
          </rPr>
          <t>Dini:</t>
        </r>
        <r>
          <rPr>
            <sz val="9"/>
            <rFont val="Tahoma"/>
            <family val="2"/>
          </rPr>
          <t xml:space="preserve">
ntar tambahin ke lender bank Dunia
*23 agustus belom ditambahin</t>
        </r>
      </text>
    </comment>
    <comment ref="AA46" authorId="0" shapeId="0">
      <text>
        <r>
          <rPr>
            <b/>
            <sz val="9"/>
            <rFont val="Tahoma"/>
            <family val="2"/>
          </rPr>
          <t>Dini:</t>
        </r>
        <r>
          <rPr>
            <sz val="9"/>
            <rFont val="Tahoma"/>
            <family val="2"/>
          </rPr>
          <t xml:space="preserve">
sudah ne</t>
        </r>
      </text>
    </comment>
  </commentList>
</comments>
</file>

<file path=xl/comments5.xml><?xml version="1.0" encoding="utf-8"?>
<comments xmlns="http://schemas.openxmlformats.org/spreadsheetml/2006/main">
  <authors>
    <author>Dini</author>
  </authors>
  <commentList>
    <comment ref="AA11" authorId="0" shapeId="0">
      <text>
        <r>
          <rPr>
            <b/>
            <sz val="9"/>
            <rFont val="Tahoma"/>
            <family val="2"/>
          </rPr>
          <t>Dini:</t>
        </r>
        <r>
          <rPr>
            <sz val="9"/>
            <rFont val="Tahoma"/>
            <family val="2"/>
          </rPr>
          <t xml:space="preserve">
sudah ne</t>
        </r>
      </text>
    </comment>
  </commentList>
</comments>
</file>

<file path=xl/comments6.xml><?xml version="1.0" encoding="utf-8"?>
<comments xmlns="http://schemas.openxmlformats.org/spreadsheetml/2006/main">
  <authors>
    <author>Dini</author>
  </authors>
  <commentList>
    <comment ref="Z17" authorId="0" shapeId="0">
      <text>
        <r>
          <rPr>
            <b/>
            <sz val="9"/>
            <rFont val="Tahoma"/>
            <family val="2"/>
          </rPr>
          <t>Dini:</t>
        </r>
        <r>
          <rPr>
            <sz val="9"/>
            <rFont val="Tahoma"/>
            <family val="2"/>
          </rPr>
          <t xml:space="preserve">
ntar tambahin ke lender bank Dunia
*23 agustus belom ditambahin</t>
        </r>
      </text>
    </comment>
  </commentList>
</comments>
</file>

<file path=xl/comments7.xml><?xml version="1.0" encoding="utf-8"?>
<comments xmlns="http://schemas.openxmlformats.org/spreadsheetml/2006/main">
  <authors>
    <author>Dini</author>
  </authors>
  <commentList>
    <comment ref="AA11" authorId="0" shapeId="0">
      <text>
        <r>
          <rPr>
            <sz val="9"/>
            <rFont val="Tahoma"/>
            <family val="2"/>
          </rPr>
          <t xml:space="preserve">
</t>
        </r>
      </text>
    </comment>
  </commentList>
</comments>
</file>

<file path=xl/comments8.xml><?xml version="1.0" encoding="utf-8"?>
<comments xmlns="http://schemas.openxmlformats.org/spreadsheetml/2006/main">
  <authors>
    <author>Dini</author>
  </authors>
  <commentList>
    <comment ref="AA11" authorId="0" shapeId="0">
      <text>
        <r>
          <rPr>
            <b/>
            <sz val="9"/>
            <rFont val="Tahoma"/>
            <family val="2"/>
          </rPr>
          <t>Dini:</t>
        </r>
        <r>
          <rPr>
            <sz val="9"/>
            <rFont val="Tahoma"/>
            <family val="2"/>
          </rPr>
          <t xml:space="preserve">
pindah ke signed
</t>
        </r>
      </text>
    </comment>
  </commentList>
</comments>
</file>

<file path=xl/comments9.xml><?xml version="1.0" encoding="utf-8"?>
<comments xmlns="http://schemas.openxmlformats.org/spreadsheetml/2006/main">
  <authors>
    <author>Dini</author>
  </authors>
  <commentList>
    <comment ref="AA11" authorId="0" shapeId="0">
      <text>
        <r>
          <rPr>
            <b/>
            <sz val="9"/>
            <rFont val="Tahoma"/>
            <family val="2"/>
          </rPr>
          <t>Dini:</t>
        </r>
        <r>
          <rPr>
            <sz val="9"/>
            <rFont val="Tahoma"/>
            <family val="2"/>
          </rPr>
          <t xml:space="preserve">
pindah ke signed
</t>
        </r>
      </text>
    </comment>
  </commentList>
</comments>
</file>

<file path=xl/comments10.xml><?xml version="1.0" encoding="utf-8"?>
<comments xmlns="http://schemas.openxmlformats.org/spreadsheetml/2006/main">
  <authors>
    <author>Dini</author>
  </authors>
  <commentList>
    <comment ref="AA11" authorId="0" shapeId="0">
      <text>
        <r>
          <rPr>
            <sz val="9"/>
            <rFont val="Tahoma"/>
            <family val="2"/>
          </rPr>
          <t xml:space="preserve">
</t>
        </r>
      </text>
    </comment>
  </commentList>
</comments>
</file>

<file path=xl/comments11.xml><?xml version="1.0" encoding="utf-8"?>
<comments xmlns="http://schemas.openxmlformats.org/spreadsheetml/2006/main">
  <authors>
    <author>Dini</author>
  </authors>
  <commentList>
    <comment ref="AA11" authorId="0" shapeId="0">
      <text>
        <r>
          <rPr>
            <b/>
            <sz val="9"/>
            <rFont val="Tahoma"/>
            <family val="2"/>
          </rPr>
          <t>Dini:</t>
        </r>
        <r>
          <rPr>
            <sz val="9"/>
            <rFont val="Tahoma"/>
            <family val="2"/>
          </rPr>
          <t xml:space="preserve">
pindah ke signed
</t>
        </r>
      </text>
    </comment>
  </commentList>
</comments>
</file>

<file path=xl/comments12.xml><?xml version="1.0" encoding="utf-8"?>
<comments xmlns="http://schemas.openxmlformats.org/spreadsheetml/2006/main">
  <authors>
    <author>Dini</author>
  </authors>
  <commentList>
    <comment ref="Y36" authorId="0" shapeId="0">
      <text>
        <r>
          <rPr>
            <b/>
            <sz val="9"/>
            <rFont val="Tahoma"/>
            <family val="2"/>
          </rPr>
          <t>Dini:</t>
        </r>
        <r>
          <rPr>
            <sz val="9"/>
            <rFont val="Tahoma"/>
            <family val="2"/>
          </rPr>
          <t xml:space="preserve">
ada di bank dunia (?0
</t>
        </r>
      </text>
    </comment>
  </commentList>
</comments>
</file>

<file path=xl/comments13.xml><?xml version="1.0" encoding="utf-8"?>
<comments xmlns="http://schemas.openxmlformats.org/spreadsheetml/2006/main">
  <authors>
    <author>Dini</author>
  </authors>
  <commentList>
    <comment ref="E29" authorId="0" shapeId="0">
      <text>
        <r>
          <rPr>
            <b/>
            <sz val="9"/>
            <rFont val="Tahoma"/>
            <family val="2"/>
          </rPr>
          <t>Dini:</t>
        </r>
        <r>
          <rPr>
            <sz val="9"/>
            <rFont val="Tahoma"/>
            <family val="2"/>
          </rPr>
          <t xml:space="preserve">
bukan WB, tapi IFAD
</t>
        </r>
      </text>
    </comment>
  </commentList>
</comments>
</file>

<file path=xl/comments14.xml><?xml version="1.0" encoding="utf-8"?>
<comments xmlns="http://schemas.openxmlformats.org/spreadsheetml/2006/main">
  <authors>
    <author>Dini</author>
  </authors>
  <commentList>
    <comment ref="E13" authorId="0" shapeId="0">
      <text>
        <r>
          <rPr>
            <b/>
            <sz val="9"/>
            <rFont val="Tahoma"/>
            <family val="2"/>
          </rPr>
          <t>Dini:</t>
        </r>
        <r>
          <rPr>
            <sz val="9"/>
            <rFont val="Tahoma"/>
            <family val="2"/>
          </rPr>
          <t xml:space="preserve">
dari GB segini, total 1.8 (yg dibawah)
</t>
        </r>
      </text>
    </comment>
    <comment ref="C31" authorId="0" shapeId="0">
      <text>
        <r>
          <rPr>
            <b/>
            <sz val="9"/>
            <rFont val="Tahoma"/>
            <family val="2"/>
          </rPr>
          <t>Dini:</t>
        </r>
        <r>
          <rPr>
            <sz val="9"/>
            <rFont val="Tahoma"/>
            <family val="2"/>
          </rPr>
          <t xml:space="preserve">
ini total kalau pinjaman untuk UGM : 
71,694,0000
</t>
        </r>
      </text>
    </comment>
    <comment ref="C32" authorId="0" shapeId="0">
      <text>
        <r>
          <rPr>
            <b/>
            <sz val="9"/>
            <rFont val="Tahoma"/>
            <family val="2"/>
          </rPr>
          <t>Dini:</t>
        </r>
        <r>
          <rPr>
            <sz val="9"/>
            <rFont val="Tahoma"/>
            <family val="2"/>
          </rPr>
          <t xml:space="preserve">
ini total kalau pinjaman UGM : 71,649,000</t>
        </r>
      </text>
    </comment>
  </commentList>
</comments>
</file>

<file path=xl/sharedStrings.xml><?xml version="1.0" encoding="utf-8"?>
<sst xmlns="http://schemas.openxmlformats.org/spreadsheetml/2006/main" count="14529" uniqueCount="1473">
  <si>
    <t>Status tanggal 17 September 2015</t>
  </si>
  <si>
    <r>
      <rPr>
        <b/>
        <sz val="14"/>
        <color theme="1"/>
        <rFont val="Calibri"/>
        <family val="2"/>
      </rPr>
      <t xml:space="preserve">INDIKASI KESIAPAN KEGIATAN </t>
    </r>
    <r>
      <rPr>
        <b/>
        <i/>
        <sz val="14"/>
        <color theme="1"/>
        <rFont val="Calibri"/>
        <family val="2"/>
      </rPr>
      <t xml:space="preserve">BLUE BOOK </t>
    </r>
    <r>
      <rPr>
        <b/>
        <sz val="14"/>
        <color theme="1"/>
        <rFont val="Calibri"/>
        <family val="2"/>
      </rPr>
      <t>2015-2019
~~</t>
    </r>
  </si>
  <si>
    <t>BIDANG/INSTANSI/PROGRAM/KEGIATAN</t>
  </si>
  <si>
    <t>NILAI PINJAMAN 
(USD)</t>
  </si>
  <si>
    <t>DANA PENDAMPING
(USD)</t>
  </si>
  <si>
    <t>HIBAH
(USD)</t>
  </si>
  <si>
    <t>TOTAL
(USD)</t>
  </si>
  <si>
    <t>INDIKASI LENDER</t>
  </si>
  <si>
    <t>SELISIH KEBUTUHAN PEMBIAYAAN</t>
  </si>
  <si>
    <t>INDIKASI KESIAPAN</t>
  </si>
  <si>
    <t>KETERANGAN</t>
  </si>
  <si>
    <t>LENDER</t>
  </si>
  <si>
    <t>NILAI (USD)</t>
  </si>
  <si>
    <t>PERENCANAAN</t>
  </si>
  <si>
    <t>PENYIAPAN</t>
  </si>
  <si>
    <t>LAHAN</t>
  </si>
  <si>
    <t>TENDER/LELANG</t>
  </si>
  <si>
    <t>INFRASTRUKTUR</t>
  </si>
  <si>
    <t>INFRASTRUCTURE</t>
  </si>
  <si>
    <t>Kementerian Pekerjaan Umum dan Perumahan Rakyat</t>
  </si>
  <si>
    <t>Ministry of Public Works and Public Housing</t>
  </si>
  <si>
    <t>-</t>
  </si>
  <si>
    <t>belum ada tanggapan untuk kegiatan Ditjen. Bina Marga</t>
  </si>
  <si>
    <t>A</t>
  </si>
  <si>
    <t xml:space="preserve">Program Pembangunan Jalan Tol </t>
  </si>
  <si>
    <t>Toll Road Development Program</t>
  </si>
  <si>
    <t>Toll Road Development in Kalimantan, Sumatera, and Java Islands</t>
  </si>
  <si>
    <t>RRT</t>
  </si>
  <si>
    <t>Korea</t>
  </si>
  <si>
    <t xml:space="preserve">Toll Road Development in Selected Area </t>
  </si>
  <si>
    <t>Toll Road Development in Selected Area:</t>
  </si>
  <si>
    <t>a) Development of Cileunyi - Sumedang - Dawuan Toll Road Phase II (USD 330 juta ; 26 juta)</t>
  </si>
  <si>
    <t>- Sudah ada R/C
 - Rancangan Green Book 2015</t>
  </si>
  <si>
    <t>FS, DED</t>
  </si>
  <si>
    <t>Proses evaluasi teknis</t>
  </si>
  <si>
    <t>b) Toll Road Development of Balikpapan - Samarinda (USD 65 juta ;6,5 juta)</t>
  </si>
  <si>
    <t>Shortlisting</t>
  </si>
  <si>
    <t>c) Toll Road Development of Manado - Bitung (USD 80 juta ; 8 juta)</t>
  </si>
  <si>
    <t>d) Toll Road Development of Solo - Kertosono (USD 300 juta ; 31,9 juta)</t>
  </si>
  <si>
    <t>Kontrak sudah ditandatangani</t>
  </si>
  <si>
    <t>B</t>
  </si>
  <si>
    <t xml:space="preserve">Program Pembangunan / Peningkatan Jembatan </t>
  </si>
  <si>
    <t>Development and Improvement of National Bridges Program</t>
  </si>
  <si>
    <t>Material Procurement for Construction and Bridge Rehabilitation</t>
  </si>
  <si>
    <t>Development of Fly Over/ Under Pass for Railways Crossing</t>
  </si>
  <si>
    <t>Penyusunan FS dan BD</t>
  </si>
  <si>
    <t>Development of Fly Over/ Under Pass in Major Cities</t>
  </si>
  <si>
    <t>Balinka - Matur - Ngarai Sianok Tunnel Construction</t>
  </si>
  <si>
    <t>FS, DED, SP2LP</t>
  </si>
  <si>
    <t>Penyusunan DED</t>
  </si>
  <si>
    <t>Long Span Bridge Development for Selected Area</t>
  </si>
  <si>
    <t>C</t>
  </si>
  <si>
    <t>Program Pembangunan / Peningkatan Jalan</t>
  </si>
  <si>
    <t>Development and Improvement of National Roads Program</t>
  </si>
  <si>
    <t>Urban Arterial Road Improvement Project</t>
  </si>
  <si>
    <t>JICA</t>
  </si>
  <si>
    <t>Sebagian telah ada FS, DED dan AMDAL</t>
  </si>
  <si>
    <t>Construction of Development of Trans South-South, Eastern Java</t>
  </si>
  <si>
    <t>IDB</t>
  </si>
  <si>
    <t>FS ada, DED dan AMDAL sebagian</t>
  </si>
  <si>
    <t>FS</t>
  </si>
  <si>
    <t>Road Improvement Project to Support Integrated Land and Sea Toll Way - Northern Area</t>
  </si>
  <si>
    <t>Bank Dunia</t>
  </si>
  <si>
    <t>Road Improvement Project to Support Integrated Land and Sea Toll Way  - Southern Area</t>
  </si>
  <si>
    <t>National Road Improvement in West and South Kalimantan</t>
  </si>
  <si>
    <t>National Road Improvement in Central Kalimantan</t>
  </si>
  <si>
    <t>FS, BD, AMDAL</t>
  </si>
  <si>
    <t>Penyusunan DED, SP2LP</t>
  </si>
  <si>
    <t>National Road Improvement in North and East Kalimantan</t>
  </si>
  <si>
    <t>FS dan BD ada, DED dan AMDAL sebagian</t>
  </si>
  <si>
    <t>Road Improvement Project in Sulawesi Island and Major Cities</t>
  </si>
  <si>
    <t>FS, AMDAL</t>
  </si>
  <si>
    <t>D</t>
  </si>
  <si>
    <t>Program Pembangunan Air Minum</t>
  </si>
  <si>
    <t>Drinking Water Development Program</t>
  </si>
  <si>
    <t>Community Based Water and Sanitation Program  (PAMSIMAS)</t>
  </si>
  <si>
    <r>
      <rPr>
        <sz val="11"/>
        <color theme="1"/>
        <rFont val="Calibri"/>
        <family val="2"/>
      </rPr>
      <t xml:space="preserve">- Sudah ada R/C
 - Rancangan </t>
    </r>
    <r>
      <rPr>
        <i/>
        <sz val="11"/>
        <color theme="1"/>
        <rFont val="Calibri"/>
        <family val="2"/>
      </rPr>
      <t>Green Book</t>
    </r>
    <r>
      <rPr>
        <sz val="11"/>
        <color theme="1"/>
        <rFont val="Calibri"/>
        <family val="2"/>
      </rPr>
      <t xml:space="preserve"> 2015</t>
    </r>
  </si>
  <si>
    <t xml:space="preserve">FS, DED
</t>
  </si>
  <si>
    <t>Tidak diperlukan pengadaan tanah</t>
  </si>
  <si>
    <t>Belum ada tender/lelang</t>
  </si>
  <si>
    <t>- K/L mengusulkan untuk masuk GB 2015
- Menggunakan lahan milik masyarakat yang diberikan secara sukarela
- Sudah menyiapkan Draft General Guidelines, Draft Procurement Plan, Draft ESSF, Draft Paper</t>
  </si>
  <si>
    <t>National Urban Water Supply</t>
  </si>
  <si>
    <t>Semula no Lender namun pihak Kem. PUPR mengkonfirmasikan bahwa Lender keg ini adalah Bank Dunia</t>
  </si>
  <si>
    <t>The Development of Regional Water Supply System in Selected Area</t>
  </si>
  <si>
    <t>The Development of Regional Water Supply System in Selected Area:</t>
  </si>
  <si>
    <t>a) Maminasata Water Supply Development Project (USD 100 juta; USD 5 juta)</t>
  </si>
  <si>
    <t>Proses pembebasan lahan oleh Pemda</t>
  </si>
  <si>
    <t>b) The Development of Regional Water Supply System in Benteng Kobema (USD 74,3 juta; USD 3,715 juta)</t>
  </si>
  <si>
    <t>RISPAM, DED, SIPA, Organisasi Pelaksana, DDUB</t>
  </si>
  <si>
    <t>Rencana tahun pertama pelaksanaan 2016</t>
  </si>
  <si>
    <t>c) The Development of Regional Water Supply System in Wosusokas (USD 106,2 juta; USD 5,31 juta)</t>
  </si>
  <si>
    <t>Jerman (KfW)</t>
  </si>
  <si>
    <t>d) The Development of Regional Water Supply System of Jatigede (USD 167 juta; USD 8,35 juta)</t>
  </si>
  <si>
    <t>No Lender</t>
  </si>
  <si>
    <t>e) The Development of Regional Water Supply System of Petanglong (USD 95,38 juta; USD 4,769 juta)</t>
  </si>
  <si>
    <t>Tahap persiapan project</t>
  </si>
  <si>
    <t>f) The Development of Regional Water Supply System of Durolis (USD 33,4 juta; USD 1,67 juta)</t>
  </si>
  <si>
    <t>FS, DED, AMDAL</t>
  </si>
  <si>
    <t xml:space="preserve"> Lahan sudah tersedia </t>
  </si>
  <si>
    <t>g) The Development of Regional Water Supply System of  Banten - Jakarta from Karian Dam (USD 40 juta; USD 2 juta)</t>
  </si>
  <si>
    <t>Rencana tahun pertama pelaksanaan 2017</t>
  </si>
  <si>
    <t>h) The Development of Regional Water Supply System of Mebidang (USD 56,4 juta; USD 2,82 juta)</t>
  </si>
  <si>
    <t>Water Supply System and Small Scale Water Treatment</t>
  </si>
  <si>
    <t>Water Supply System and Small Scale Water Treatment:</t>
  </si>
  <si>
    <t>a) Small Scale Water Treatment Plants for Emergency Relief (USD 25 juta : 0,8 juta)</t>
  </si>
  <si>
    <t>Spanyol</t>
  </si>
  <si>
    <t>- Sudah ada R/C
 - Rancangan Green Book 2015
 - Proses Loan Agreement</t>
  </si>
  <si>
    <t>b) IKK Water Supply Program and Small Water Treatment Plant for Water Scarcity Area (USD 100 juta ; USD 5 juta)</t>
  </si>
  <si>
    <t>Hungaria</t>
  </si>
  <si>
    <t>Surat minat, RISPAM, DED, SIPA, Organisasi Pelaksana, DDUB</t>
  </si>
  <si>
    <t>Sebagian lokasi dalam proses pembebasan lahan oleh Pemda</t>
  </si>
  <si>
    <t>Dalam proses pengadaan</t>
  </si>
  <si>
    <t>Kem PUPR mengkonfirmasikan Lender untuk kegiatan ini adalah Hungaria/IDB</t>
  </si>
  <si>
    <t>E</t>
  </si>
  <si>
    <t xml:space="preserve">Program Pembangunan Sistem Pengelolaan Air Limbah </t>
  </si>
  <si>
    <t>Development of Waste Water Management Program</t>
  </si>
  <si>
    <t>Community Based Sanitation Program (SANIMAS)</t>
  </si>
  <si>
    <t>ADB</t>
  </si>
  <si>
    <t>Merupakan kelanjutan dari kegiatan Urban Sanitation and Rural Infrastructure Support to PNPM Mandiri Projrct (USRI) yang telah berakhir pada tanggal 30 Juni 2015</t>
  </si>
  <si>
    <t>Tidak ada kegiatan pengadaan lahan, lahan akan diperoleh dari masyarakat</t>
  </si>
  <si>
    <t>Jakarta Sewerage Development Project - Zone 1 and Zone 6</t>
  </si>
  <si>
    <t>Lahan untuk IPAL sudah dibebaskan</t>
  </si>
  <si>
    <t>The Development of Sewage Treatment Plant Facility in Priority Area</t>
  </si>
  <si>
    <t>FS disiapkan melalui APBN TA 2015</t>
  </si>
  <si>
    <t>Sedang dalam konsep desain bentuk kegiatan</t>
  </si>
  <si>
    <t>Sewerage System Development in Indonesia</t>
  </si>
  <si>
    <t>belum ada proses penyiapan</t>
  </si>
  <si>
    <t>Denpasar Sewerage Development Project - Phase III</t>
  </si>
  <si>
    <t>The Development and Optimization of Wastewater Treatment in Greater Bandung</t>
  </si>
  <si>
    <t>Master Plan</t>
  </si>
  <si>
    <t>Pra FS</t>
  </si>
  <si>
    <t>F</t>
  </si>
  <si>
    <t xml:space="preserve">Program Pembangunan Sistem Pengelolaan Persampahan </t>
  </si>
  <si>
    <t>Development of Solid Waste Management Program</t>
  </si>
  <si>
    <t xml:space="preserve">Advanced Solid Waste Management for Sustainable Urban Development (Advance SWM-SUD) </t>
  </si>
  <si>
    <t>Telah dilakukan kajian awal oleh tim FFM KfW</t>
  </si>
  <si>
    <t>The Improvement of Solid Waste Management to Support Regional Area and Metropolitan Cities</t>
  </si>
  <si>
    <t>DED dalam proses finalisasi</t>
  </si>
  <si>
    <t>Dalam proses kepemilikan lahan</t>
  </si>
  <si>
    <t>G</t>
  </si>
  <si>
    <t>Program Penanganan Kumuh</t>
  </si>
  <si>
    <t>Slum Alleviation Program</t>
  </si>
  <si>
    <t>Slum Improvement in Strategic Human Settlements Area (SISHA)</t>
  </si>
  <si>
    <t>117 kab/kota telah terfasilitasi pendampingan penyusunan rencana kawasan permukiman kumuh perkotaan (RKPKP) tahun 2015 sebagai rencana pencegahan dan peningkatan kualitas permukiman dan perumahan kumuh perkotaan.</t>
  </si>
  <si>
    <t xml:space="preserve">Pemerintah Daerah sudah menetapkan SK Bupati / Walikota untuk Penetapan Lokasi Perumahan Kumuh dan Permukiman Kumuh. </t>
  </si>
  <si>
    <t>Konsep kegiatan belum siap</t>
  </si>
  <si>
    <t>National Slum Upgrading</t>
  </si>
  <si>
    <t xml:space="preserve">Penyiapan RC
</t>
  </si>
  <si>
    <r>
      <rPr>
        <i/>
        <sz val="11"/>
        <color theme="1"/>
        <rFont val="Calibri"/>
        <family val="2"/>
      </rPr>
      <t>- Concept Paper, Baseline Survey, Draft Guidelines.</t>
    </r>
    <r>
      <rPr>
        <sz val="11"/>
        <color theme="1"/>
        <rFont val="Calibri"/>
        <family val="2"/>
      </rPr>
      <t xml:space="preserve">
- Surat Komitmen Pemda untuk penanganan kumuh.</t>
    </r>
  </si>
  <si>
    <t>- Sudah disiapkan ketentuan / petunjuk pelaksanaannya  3 (tiga) skema pengadaan lahan: 1). kontribusi dari masyarakat, 2). penyediaan melalui kompensasi, 3). Penyediaan oleh pemda. 
-  Sudah ada SK Bupati / Walikota untuk Penetapan Lokasi Perumahan Kumuh dan Permukiman Kumuh</t>
  </si>
  <si>
    <t>- Minggu I September 2015 diharapkan misi Pre Appraisal IDB. 
- Oktober 2015 diharapkan melakukan Appraisal.
- Nopember 2015 diharapkan melakukan Negosiasi dengan GOI.
- Januari 2016 diharapkan melakukan Board Approval dengan GOI.</t>
  </si>
  <si>
    <t>- 20 Agustus 2015 sudah melakukan misi Pre Appraisal WB.
- Oktober 2015 diharapkan melakukan Appraisal.
- Nopember 2015 diharapkan melakukan Negosiasi dengan GOI.
- Januari 2016 diharapkan melakukan Board Approval dengan GOI.</t>
  </si>
  <si>
    <t>Rural Settlement Infrastructure Development (RSID)</t>
  </si>
  <si>
    <t>30 (tiga puluh) kabupaten yang sudah mempunyai Perda RTRW dan mempunyai Perda Kawasan Strategis Kabupaten (KSK)</t>
  </si>
  <si>
    <t>belum ada pedoman teknis untuk pemenuhan lahan.</t>
  </si>
  <si>
    <t>belum ada</t>
  </si>
  <si>
    <t>- semula Lender adalah IDB, namun berdasarkan hasil konfirmasi Kem. PUPR, Lender keg ini adalah JICA
- konsep kegiatan belum siap</t>
  </si>
  <si>
    <t>Building Administration and Capacity Enforcement Development for Seismic Resilience</t>
  </si>
  <si>
    <t>246 dari total 514 kota / kabupaten telah mengeluarkan Peraturan Daerah Bangunan Gedung).</t>
  </si>
  <si>
    <t>tidak ada kegiatan pengadaan lahan.</t>
  </si>
  <si>
    <t>konsep kegiatan belum siap</t>
  </si>
  <si>
    <t>H</t>
  </si>
  <si>
    <t>Program Pengembangan dan Pengelolaan Irigasi</t>
  </si>
  <si>
    <t xml:space="preserve">Development and Management of Irrigation Program </t>
  </si>
  <si>
    <t>Integrated Participatory Development and Management of Irrigation Projec</t>
  </si>
  <si>
    <t>Integrated Participatory Development and Management of Irrigation Project:</t>
  </si>
  <si>
    <t>Direncanakan menggunakan skema RBL</t>
  </si>
  <si>
    <t>a) Integrated Participatory Development and Management of Irrigation Project - Phase I (USD 700jt; USD 70jt)</t>
  </si>
  <si>
    <t>- Sudah ada RC
- Rancangan Green Book 2015
- Dalam proses pembahasan skema pinjaman</t>
  </si>
  <si>
    <t>- Cofinancing ADB USD 600 juta dan IFAD USD 100 juta</t>
  </si>
  <si>
    <t>IFAD</t>
  </si>
  <si>
    <t>b) Integrated Participatory Development and Management of Irrigation Project - Phase II (USD 55jt; USD 50jt)</t>
  </si>
  <si>
    <t>The Urgent Rehabilitation of Strategic Irrigation for Western Region of Indonesia</t>
  </si>
  <si>
    <t>- Sudah ada RC
- Rancangan Green Book 2015</t>
  </si>
  <si>
    <t>Rentang Modernization Strategic Irrigation (RIMP)</t>
  </si>
  <si>
    <t>Komering Irrigation Project Stage III</t>
  </si>
  <si>
    <t>Irrigation Development in North Sumatera</t>
  </si>
  <si>
    <t>dengan skema RBL</t>
  </si>
  <si>
    <t>Integrated Participatory Development and Management of Lhok Guci and Peureulak Irrigation Project</t>
  </si>
  <si>
    <t>Modernization Strategic Irrigation Project (MSIP)</t>
  </si>
  <si>
    <t>Urgent Rehabilitation of  Irrigation Project in Indonesia (URIP)</t>
  </si>
  <si>
    <t>Revitalition Groundwater Irrigation in Indonesia</t>
  </si>
  <si>
    <t>Engineering Service for Irrigation and Low Land Development Project</t>
  </si>
  <si>
    <t>Tidak membutuhkan lahan</t>
  </si>
  <si>
    <t>- Melalui  pendanaan ADB dengan nama kegiatan Engineering Services Project (ESP) senilai USD 38,092,807
- R/C sudah disampaikan ke Biro PAKLNtanggal 28 Agustus 2015
- Penyampaian kelengkapan R/C sudah disampaikan kembali ke Biro PAKLN tanggal 14 September 2015</t>
  </si>
  <si>
    <t>I</t>
  </si>
  <si>
    <t xml:space="preserve">Program Penyediaan Air Baku </t>
  </si>
  <si>
    <t>Provision and Management of Bulk Water Supply Program</t>
  </si>
  <si>
    <t>Integrated Citarum Water Resources Management Investment Program II</t>
  </si>
  <si>
    <t>Penyusunan dokumen LARAP</t>
  </si>
  <si>
    <t>Karian Dam-Serpong Water Conveyance and Supply System Project</t>
  </si>
  <si>
    <t>Persiapan penyusunan dokumen LARAP</t>
  </si>
  <si>
    <t>Engineering Service for Bulk Water and Water Supply Development Project</t>
  </si>
  <si>
    <t xml:space="preserve">- Melalui pendanaan ADB dengan nama kegiatan Engineering Services Project (ESP) senilai USD 2,000,000
- R/C sudah disampaikan ke Biro PAKLN tanggal 28 Agustus 2015
- Penyampaian kelengkapan R/C sudah disampaikan kembali ke Biro PAKLN tanggal 14 September 2015 </t>
  </si>
  <si>
    <t>J</t>
  </si>
  <si>
    <t xml:space="preserve">Program Pembangunan Waduk </t>
  </si>
  <si>
    <t>Dam Development Program</t>
  </si>
  <si>
    <t>Jambo Aye Multipurpose Dam Project</t>
  </si>
  <si>
    <t>Penyiapan Review DED dan LARAP</t>
  </si>
  <si>
    <t>Komering Multipurpose Dam Project - Phase II</t>
  </si>
  <si>
    <t>Revisi RTRW Kabupaten</t>
  </si>
  <si>
    <t>Pelosika Multipurpose Dam Construction Project</t>
  </si>
  <si>
    <t>AMDAL, LARAP, deologi detail 2015 dan Penyiapan Review DED</t>
  </si>
  <si>
    <t>Lambakan  Dam Project</t>
  </si>
  <si>
    <t>Jenelata Dam Construction Project</t>
  </si>
  <si>
    <t>LARAP, model test, penyelidikan geologi 2015</t>
  </si>
  <si>
    <t>Bonehulu Dam Construction Project</t>
  </si>
  <si>
    <t>DD, model test, penyelidikan geologi 2015</t>
  </si>
  <si>
    <t>Ladongi Dam Construction Project</t>
  </si>
  <si>
    <t>SID, AMDAL,LARAP, penyelidikan geologi, DD, model test 2015</t>
  </si>
  <si>
    <t>Kuwil Kawangkoan Dam Construction Project</t>
  </si>
  <si>
    <t>Sertifikasi desain dan penyelidikan geologi</t>
  </si>
  <si>
    <t>Lompatan Harimau Dam Construction Project</t>
  </si>
  <si>
    <t>FS 2015</t>
  </si>
  <si>
    <t>Engineering Service for Dam Multipurpose Development Project</t>
  </si>
  <si>
    <t>-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t>
  </si>
  <si>
    <t>Additional Loan for Jatigede Dam Project 2</t>
  </si>
  <si>
    <t>FS, DED, persiapan impounding 2015</t>
  </si>
  <si>
    <t>- Proses perijinan penggunaan lahan dari Bupati dan Kemenhut
- Proses administrasi kependudukan</t>
  </si>
  <si>
    <t>K</t>
  </si>
  <si>
    <t>Program Mitigasi Terhadap Daya Rusak Air</t>
  </si>
  <si>
    <t>Mitigation of Water Hazards Program</t>
  </si>
  <si>
    <t>Lower Solo River Improvement Project - Phase II</t>
  </si>
  <si>
    <t>- Semula no lender, namun pihak Kem.PUPR mengkonfirmasikan lender untuk keg ini adalah JICA</t>
  </si>
  <si>
    <t>Comprehensive Countermeasure for Sediment &amp; Flood Problems in South Sulawesi Province</t>
  </si>
  <si>
    <t>Bali Beach Conservation Project - Phase II</t>
  </si>
  <si>
    <t>Fact Finding Misi JICA bulan September 2015</t>
  </si>
  <si>
    <t>M/D</t>
  </si>
  <si>
    <t>Sign M/D diperkirakan tanggal 9 Oktober 2015 sesuai dengan jadwal Misi JICA</t>
  </si>
  <si>
    <t xml:space="preserve">Urgent Disaster Reduction of Mt. Sinabung, Mt. Semeru, Mt. Kelud Mt. Lokon, and Mt. Gamalama </t>
  </si>
  <si>
    <t xml:space="preserve">Urban Flood Control System Improvement in Selected Cities -Phase II  </t>
  </si>
  <si>
    <t>Engineering Service for Coastal and River Development Project</t>
  </si>
  <si>
    <t xml:space="preserve">- Melalui pendanaan ADB dengan nama kegiatan Engineering Services Project (ESP) senilai USD 9,615,385
- R/C sudah disampaikan ke Biro PAKLN tanggal 28 Agustus 2015
- Penyampaian kelengkapan R/C sudah disampaikan kembali ke Biro PAKLN tanggal 14 September 2015 </t>
  </si>
  <si>
    <t>Flood Management in Selected River Basins</t>
  </si>
  <si>
    <t>Flood Management in Selected River Basins:</t>
  </si>
  <si>
    <t>a) Flood Management in Selected River Basins (Additional Financing) (USD 200 juta ; 20 juta)</t>
  </si>
  <si>
    <t>b) Flood Management in Selected River Basins (USD 108,7 juta ; 50,44 juta)</t>
  </si>
  <si>
    <t>- Penetapan lokasi dengan SK Gubernur Banten dan Gubernur Maluku
- Izin AMDAL dengan SK Walikota Ambon</t>
  </si>
  <si>
    <t>L</t>
  </si>
  <si>
    <t xml:space="preserve">Program Pengelolaan Infrastruktur Sumber Daya Air </t>
  </si>
  <si>
    <t>Management of Water Resources Infrastructure Program</t>
  </si>
  <si>
    <t xml:space="preserve">Dam Operational Improvement and Safety Project (DOISP) - Phase II </t>
  </si>
  <si>
    <t xml:space="preserve">Enhanced Water Security Investment Program    </t>
  </si>
  <si>
    <t>Engineering Service for Water Resources Infrastructure Management</t>
  </si>
  <si>
    <t>M</t>
  </si>
  <si>
    <t>Program Penyediaaan Perumahan Bagi MBR</t>
  </si>
  <si>
    <t>Program for Provision of Housing For Low-Income Households</t>
  </si>
  <si>
    <t xml:space="preserve">Financial Support for Low Income Households </t>
  </si>
  <si>
    <t>Penyusunan R/C</t>
  </si>
  <si>
    <t>PERUMNAS</t>
  </si>
  <si>
    <t>National Housing Corporation</t>
  </si>
  <si>
    <t>Support for National Housing and Urban Development Cooperation</t>
  </si>
  <si>
    <t>100% (lahan milik PERUMNAS)</t>
  </si>
  <si>
    <t>Mengikuti tahapan setiap project sesuai Standart Operational Procedure (SOP) Perumnas</t>
  </si>
  <si>
    <t>-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Alt 1: JICA
Alt 2: ADB
Alt 3: World Bank</t>
  </si>
  <si>
    <t>Kementerian Perhubungan</t>
  </si>
  <si>
    <t>Ministry of Transportation</t>
  </si>
  <si>
    <t>Berdasarkan surat roren kemhub nomor 548/BI/SRT/IX/2015 tgl 10 September 2015</t>
  </si>
  <si>
    <t>Program Pengembangan Perkeretaapian</t>
  </si>
  <si>
    <t>Railway Development Program</t>
  </si>
  <si>
    <t>Procurement of Track Material and Turn Out</t>
  </si>
  <si>
    <t xml:space="preserve">Procurement of Track Material and Turn Out:
</t>
  </si>
  <si>
    <t>a) Procurement of Track Material and Turn Out - Phase II (USD 200 juta ;  46,369 juta)</t>
  </si>
  <si>
    <t>- Sudah ada RC
- Rancangan Green Book 2015
- Dalam proses persiapan penandatanganan Loan Agreement</t>
  </si>
  <si>
    <t>- TOR
- RAB</t>
  </si>
  <si>
    <t xml:space="preserve">Tidak butuh pengadaan lahan </t>
  </si>
  <si>
    <t>Proses persetujuan draft kontrak oleh Menteri Perhubungan</t>
  </si>
  <si>
    <t>b) Procurement of Track Material and Turn Out - Phase III (USD 292,3367 ; 73,0842 juta)</t>
  </si>
  <si>
    <t xml:space="preserve">- Menunggu kepastian Lender
</t>
  </si>
  <si>
    <t xml:space="preserve">Construction of Jakarta Mass Rapid Transit Project - Phase II </t>
  </si>
  <si>
    <t>- FS
- TOR (Disusun oleh Pemda DKI Jakarta)
-  RAB (Disusun oleh Pemda DKI Jakarta)</t>
  </si>
  <si>
    <t>Indikasi kebutuhan lahan menunggu hasil desain</t>
  </si>
  <si>
    <t>- Dilaksanakan oleh Pemda DKI Jakarta (Implementing Agency)</t>
  </si>
  <si>
    <t>Construction of Jakarta Mass Rapid Transit East-West Line Project - Phase I</t>
  </si>
  <si>
    <t xml:space="preserve">Engineering Services Jakarta Mass Rapid Transit (MRT) East West Line Project - Phase I </t>
  </si>
  <si>
    <t>- Sudah ada R/C
- Rancangan Green Book 2015
- Dalam proses persiapan penandatanganan Loan Agreement</t>
  </si>
  <si>
    <t>Tidak membutuhkan pengadaan lahan</t>
  </si>
  <si>
    <t xml:space="preserve">- </t>
  </si>
  <si>
    <t>Pemprov DKI Jakarta</t>
  </si>
  <si>
    <t>Local Government of DKI Jakarta Province</t>
  </si>
  <si>
    <t>Belum ada konfirmasi</t>
  </si>
  <si>
    <t>Construction of Jakarta Mass Rapid Transit Project</t>
  </si>
  <si>
    <t xml:space="preserve">- Sudah ada R/C
- Rancangan Green Book 2015
</t>
  </si>
  <si>
    <t>- Menunggu penandatanganan Loan Agreement</t>
  </si>
  <si>
    <t>data berdasarkan dokumen R/C</t>
  </si>
  <si>
    <t>Kementerian Komunikasi dan Informatika</t>
  </si>
  <si>
    <t>Ministry of Communications and Information Technology</t>
  </si>
  <si>
    <t>Berdasarkan surat Karoren Kem. Kominfo nomor S-1075/KOMINFO/SJ.1/PR.01.01/09/2015 tgl 9 September 2015</t>
  </si>
  <si>
    <t>Program Pengembangan Infrastruktur TIK dan Penyiaran</t>
  </si>
  <si>
    <t>Information Communication And Technology (ICT) And Broadcasting Infrastructure Development Program</t>
  </si>
  <si>
    <r>
      <rPr>
        <i/>
        <sz val="11"/>
        <color theme="1"/>
        <rFont val="Calibri"/>
        <family val="2"/>
      </rPr>
      <t xml:space="preserve">Improvement on TV Transmitting Stations (Digitalization of TVRI) - </t>
    </r>
    <r>
      <rPr>
        <i/>
        <sz val="11"/>
        <color rgb="FF000000"/>
        <rFont val="Calibri"/>
        <family val="2"/>
      </rPr>
      <t>Phase III</t>
    </r>
  </si>
  <si>
    <t>(tidak ada data)</t>
  </si>
  <si>
    <t>Persiapan penyusunan FS</t>
  </si>
  <si>
    <t>Menggunakan lahan milik TVRI</t>
  </si>
  <si>
    <t>Belum ada lelang/tender</t>
  </si>
  <si>
    <t xml:space="preserve">- Belum ada indikasi Lende, Dit. Telsus sedang melakukan penjajakan, belum bisa diidentifikasikan sampai proses penjajakan selesai
</t>
  </si>
  <si>
    <t>Strengthening of e-Government Infrastructure</t>
  </si>
  <si>
    <t>Persiapan penyusunan R/C</t>
  </si>
  <si>
    <t>Persiapan penyusunan FS dan DED</t>
  </si>
  <si>
    <t>Permohonan ijin lokasi kepada Gubernur Kaltim telah direspon persetujuan menunggu survey</t>
  </si>
  <si>
    <t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Terdapat 3 indikasi Lender: Perancis, Korea, dan Spanyol
</t>
  </si>
  <si>
    <t>National Fiber Optic Backbone (Palapa Ring)</t>
  </si>
  <si>
    <t>KPS</t>
  </si>
  <si>
    <t>-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t>
  </si>
  <si>
    <t>Kepolisian RI</t>
  </si>
  <si>
    <t>Indonesian National Police</t>
  </si>
  <si>
    <t>Belum menyampaikan konfirmasi</t>
  </si>
  <si>
    <t>National Criminal Information Center for Indonesian National Police - Phase II</t>
  </si>
  <si>
    <t xml:space="preserve">- Sudah ada R/C
- Rancangan GB 2015
</t>
  </si>
  <si>
    <t>Tidak butuh lahan</t>
  </si>
  <si>
    <t>- Dalam proses penandatanganan perjanjian pinjaman</t>
  </si>
  <si>
    <t xml:space="preserve">PT. PLN    </t>
  </si>
  <si>
    <t>State Electricity Company</t>
  </si>
  <si>
    <t>Berdasarkan surat Dirut PT.PLN nomor 716/REN.08.01/DIR/2015 tgl 9 September 2015</t>
  </si>
  <si>
    <t>Program Pembangunan Infrastruktur Ketenagalistrikan</t>
  </si>
  <si>
    <t>Electricity Infrastructure Development Program</t>
  </si>
  <si>
    <t>Construction of Java Sumatera Interconnection 500 kV (HVDC)</t>
  </si>
  <si>
    <t>Construction of Java Sumatera Interconnection 500 kV (HVDC):</t>
  </si>
  <si>
    <t xml:space="preserve">a) Java-Sumatera Interconnection Transmission Line (HVDC) 500 kV (Phase II)  (USD 629jt; USD 88jt) </t>
  </si>
  <si>
    <t>- Sudah ada R/C
- Rancangan GB 2015
- Dalam proses penyiapan negosiasi</t>
  </si>
  <si>
    <t>- Paket 1 = Proses 
lelang, evaluasi tahap I 
- Paket 2 =Proses lelang, 
akhir proses tahap I 
- Paket 3 = Kontrak 29 
Okt 2014 
- Paket 4 =Proses lelang, RFP 2 Sept 2015 
- Paket 5 = Penyusunan 
Dokumen Tender</t>
  </si>
  <si>
    <t xml:space="preserve">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t>
  </si>
  <si>
    <t>b) Construction of Java Sumatera Interconnection 500 kV (HVDC-Phase 3 &amp; 4) (USD 933jt; USD 165jt)</t>
  </si>
  <si>
    <t xml:space="preserve">- Penyiapan R/C
</t>
  </si>
  <si>
    <t>Hululais Geothermal Power Plant 1&amp;2 (2x55MW)</t>
  </si>
  <si>
    <t>Hululais Geothermal Power Plant 1&amp;2 (2x55MW):</t>
  </si>
  <si>
    <t>a) Engineering Service for Hululais 1&amp;2 Geothermal Power Plant Project (2x55 MW) (USD 6,6jt; USD 0,6jt)</t>
  </si>
  <si>
    <t>- Sudah ada R/C
- Rancangan GB 2015
- Dalam proses penandatanganan perjanjian pinjaman</t>
  </si>
  <si>
    <t>- AMDAL sedang di proses
- Pengeboran eksplorasi sedang di proses</t>
  </si>
  <si>
    <t>Belum</t>
  </si>
  <si>
    <t>Dalam proses persiapan pengadaan konsultan</t>
  </si>
  <si>
    <t>b) Hululais Geothermal Power Plant (USD 204jt; USD 42jt)</t>
  </si>
  <si>
    <t>Bakaru II Hydro Electrical Power Plant (2x63MW)</t>
  </si>
  <si>
    <t>Dalam tahap reviu FS, Penyusunan AMDAL</t>
  </si>
  <si>
    <t>Pembebasan lahan menunggu hasil reviu FS</t>
  </si>
  <si>
    <t>-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t>
  </si>
  <si>
    <t>Tulehu Geothermal Power Plant Project Unit 1&amp;2 (2x10MW)</t>
  </si>
  <si>
    <t>Dalam proses reviu oleh BLH</t>
  </si>
  <si>
    <t>- Direncanakan PQ IPM Drilling Sumur Produksi/Injeksi dimulai akhir Sept 2015
- Proses finalisasi dokumen lelang</t>
  </si>
  <si>
    <t xml:space="preserve">- Pembebasan lahan untuk lokasi power plant dan pad B masih terkendala batas wilayah antara dua desa
</t>
  </si>
  <si>
    <t>Indramayu Coal Fired Power Plant  #4 (1x1000MW)</t>
  </si>
  <si>
    <t>Pembebasan lahan tahun 2016</t>
  </si>
  <si>
    <t>Rencana pengadaan konsultan ES selesai Nov 2015</t>
  </si>
  <si>
    <t>Additional Loan for Upper Cisokan Pumped Storage Hydro Electrical Power Plant (4x260MW)</t>
  </si>
  <si>
    <t>1. Paket 1 (C ivil Works)=CDA
2.Paket (Electro dan Mechanical works) = Direncanakan Oktober
mulai pengadaan, saat ini menunggu NOL dari World Bank
3. Paket 3 (Transmisi 500 Kv) = Penyiapan Dokumen Tender
4. Paket 4(Metal Works) = Proses lelang,  Pemasukkan Dokumen Penawaran.</t>
  </si>
  <si>
    <t xml:space="preserve">-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t>
  </si>
  <si>
    <t>Sungai Penuh Geothermal Power Plant 1&amp;2 (2x55MW)</t>
  </si>
  <si>
    <t>AMDAL</t>
  </si>
  <si>
    <t xml:space="preserve">- FS report terkait resource confirmation dari PGE belum ada
</t>
  </si>
  <si>
    <t>Matenggeng Pumped Storage Hydro Electrical Power Plant (4x225MW)</t>
  </si>
  <si>
    <t>Penyusunan FS</t>
  </si>
  <si>
    <t>- Direncanakan menggunakan skema direct lending
- AMDAL direncanakan mulai tahun 2016
- Layout terkini tidak terindikasi overlapping dengan bendungan Matenggeng milik PU</t>
  </si>
  <si>
    <t>NON-INFRASTRUKTUR</t>
  </si>
  <si>
    <t>NON INFRASTRUCTURE</t>
  </si>
  <si>
    <t>Kementerian Riset, Teknologi, dan Pendidikan Tinggi</t>
  </si>
  <si>
    <t>Ministry of Research, Technology and Higher Education</t>
  </si>
  <si>
    <t>Berdasarkan surat Sekjen nomor 1532/A.A1/PR/2015 tgl 9 September 2015</t>
  </si>
  <si>
    <t xml:space="preserve">Program Peningkatan Akses, Kualitas, Relevansi, dan Daya Saing Pendidikan Tinggi </t>
  </si>
  <si>
    <t>Improving Access, Quality, Relevance, and Competitiveness of Higher Education Program</t>
  </si>
  <si>
    <t>Strengthening Capacity of State Higher Education</t>
  </si>
  <si>
    <t>Strengthening Capacity of State Higher Education:</t>
  </si>
  <si>
    <t>- The Development of Sultan Ageng Tirtayasa University (UNTIRTA) ~ USD 49,9 juta)</t>
  </si>
  <si>
    <t xml:space="preserve">- Penyusunan R/C
</t>
  </si>
  <si>
    <t>- Pemrosesan FS
- AMDAL proses lelang</t>
  </si>
  <si>
    <t>- Development for State University of Malang as The Learning University ~ USD 38,4 juta</t>
  </si>
  <si>
    <t>- FS
- AMDAL dalam proses</t>
  </si>
  <si>
    <t>- The Development and Upgrading Mulawarman University ~ USD 44,4 juta</t>
  </si>
  <si>
    <t>FS dan AMDAL target Desember 2015</t>
  </si>
  <si>
    <t>- Improvement of The Capacity and Contribution of The University of Jember on Standardized and Excellent Tridharma Implementation in South East Asia Region ~ USD 44,1 juta</t>
  </si>
  <si>
    <t>- Penyusunan AMDAL dan DED</t>
  </si>
  <si>
    <t>- The Plan of Hasanuddin University Hospital Development ~ USD 31,6 juta</t>
  </si>
  <si>
    <t>- Establishment of University of Bengkulu’s Hospital ~ USD 10,3 juta</t>
  </si>
  <si>
    <t>- FS
- AMDAL</t>
  </si>
  <si>
    <t>- Lender semula adalah IDB namun pihak Kemristekdikti mengkonfirmasikan  Lender untuk kegiatan ini adalah JICA</t>
  </si>
  <si>
    <t>- Universitas Gadjah Mada Achieving World Class University with Socio-Entrepreneurial Spirit ~ USD 71,7 juta</t>
  </si>
  <si>
    <t>- FS
- AMDAL dan DED dalam proses</t>
  </si>
  <si>
    <t>- Lender semula adalah IDB namun pihak Kemristekdikti mengkonfirmasikan  Lender untuk kegiatan ini adalah JICA
- Target penyelesaian lahan akhir Desember 2015</t>
  </si>
  <si>
    <t>Kementerian Agama</t>
  </si>
  <si>
    <t>Ministry Of Religious Affair</t>
  </si>
  <si>
    <t>- Berdasarkan surat Sekretaris a/n Dirjen Pendidikan Islam nomor Dj.I/Set.I/I/OT.01.2/3293/2015 tgl 9 September 2015</t>
  </si>
  <si>
    <t>Program Peningkatan Akses, Kualitas, Relevansi, dan Daya Saing Pendidikan Tinggi Islam</t>
  </si>
  <si>
    <t>Improving Access, Quality, Relevance, and Competitiveness of Islamic Higher Education Program</t>
  </si>
  <si>
    <t>Strengthening Capacity of Islamic Higher Education (IAIN and UIN):
- Development of Imam Bonjol State Islamic Institute Project ~ USD 38,3 juta
- Improvement and Optimalization of Sunan Ampel Surabaya State Islamic University ~ USD 40,0 juta
- Improvement Access and Quality of State Islamic Institute  Suthan Maulana Hasanuddin Banten ~ USD 40,0 juta
- Development and Quality Improvement  of Antasari State Islamic Institute ~ USD 39,9 juta
- Tranformation of State Islamic Institute  Sulthan Thaha Saifuddin to State Islamic University ~ USD 40,0 juta
- Development and Institutional Transformation of State Islamic Institute  Raden Intan Lampung ~ USD 40,0 juta</t>
  </si>
  <si>
    <t>Strengthening Capacity of Islamic Higher Education (IAIN and UIN):</t>
  </si>
  <si>
    <t>- Development of Imam Bonjol State Islamic Institute Project ~ USD 38,3 juta</t>
  </si>
  <si>
    <t>Sedang merinci rencana kegiatan</t>
  </si>
  <si>
    <t>- Improvement and Optimalization of Sunan Ampel Surabaya State Islamic University ~ USD 40,0 juta</t>
  </si>
  <si>
    <t>- FS dan Proposal
- Penyusunan R/C</t>
  </si>
  <si>
    <t>85&amp;</t>
  </si>
  <si>
    <t xml:space="preserve">- Pembebasan kekurangan lahan dilakukan tahun 2016
</t>
  </si>
  <si>
    <t>- Improvement Access and Quality of State Islamic Institute  Suthan Maulana Hasanuddin Banten ~ USD 40,0 juta</t>
  </si>
  <si>
    <t>- Sudah ada Master Plan
- AMDAL</t>
  </si>
  <si>
    <t>- Lahan sudah tersertifikat
- Memiliki sertifikat ahli pengadaan tersedia
- Sudah ada pemetaan kebutuhan human resources
- Sudah memiliki tim pengembang kurikulum
- PMU sudah ditetapkan</t>
  </si>
  <si>
    <t>- Development and Quality Improvement  of Antasari State Islamic Institute ~ USD 39,9 juta</t>
  </si>
  <si>
    <t>Sudah melakukan penyiapan perencanaan</t>
  </si>
  <si>
    <t>- Tranformation of State Islamic Institute  Sulthan Thaha Saifuddin to State Islamic University ~ USD 40,0 juta</t>
  </si>
  <si>
    <t>Sedang merinci kegiatan</t>
  </si>
  <si>
    <t>- Development and Institutional Transformation of State Islamic Institute  Raden Intan Lampung ~ USD 40,0 juta</t>
  </si>
  <si>
    <t>- Sudah ada Master Plan</t>
  </si>
  <si>
    <t xml:space="preserve">- Staf sudah mengikuti workshop pengadaan melalui IDB
- Memiliki sertifikat ahli pengadaan tersedia
- Dalam proses alih status menjadi UIN
- PMU sudah ditetapkan melalui SK KPA
</t>
  </si>
  <si>
    <t>Kementerian PPN/Bappenas</t>
  </si>
  <si>
    <t>Ministry of National Development Planning/ National Development Planning Agency</t>
  </si>
  <si>
    <t>Berdasarkan surat Sesmen PPN/Sestama Bappenas nomor 5877/SES/09/2015 tgl 14 September 2015</t>
  </si>
  <si>
    <t>Human Resources Development for Bureaucracy Reform Program</t>
  </si>
  <si>
    <t>Development of Capacity, Quality, and Competency of Human Resources for Government Officer</t>
  </si>
  <si>
    <t>Sedang evaluasi SPIRIT tahap sebelumnya</t>
  </si>
  <si>
    <t>Kementerian Kesehatan</t>
  </si>
  <si>
    <t>Ministry of Health</t>
  </si>
  <si>
    <t>Program Pelayanan Kesehatan Dasar</t>
  </si>
  <si>
    <t>Basic Health Care Program</t>
  </si>
  <si>
    <t>Improvement of Primary Health Care</t>
  </si>
  <si>
    <t>Tidak dibutuhkan lahan</t>
  </si>
  <si>
    <t>Program Pengembangan Sumber Daya Manusia Kesehatan</t>
  </si>
  <si>
    <t>Program for Human Resources Development in Health Sector</t>
  </si>
  <si>
    <t>Improvement of Facilities and Infrastructure for Teaching and Learning Activities in Health Sector</t>
  </si>
  <si>
    <t>FS. DED</t>
  </si>
  <si>
    <t>- Pelaksanaan tahun 2017</t>
  </si>
  <si>
    <t>Program Pengendalian Penyakit, Penyehatan Lingkungan, dan Penguatan Litbang Kesehatan</t>
  </si>
  <si>
    <t>Program for Disease Control, Environmental Health, and Strengthening Health Research and Development</t>
  </si>
  <si>
    <t>Improvement of Capacity on Disease Control, Environmental Health, and Strengthening Health’s Research and Development</t>
  </si>
  <si>
    <t>Belum ada DED &amp; AMDAL</t>
  </si>
  <si>
    <t>- Tahap perencanaan selesai tahun 2016, tahap penyiapan dilakukan setelah tahap perencanaan selesai.Pelaksanaan diusulkan mulai tahun 2017.</t>
  </si>
  <si>
    <t>Program Pelayanan Kesehatan Rujukan</t>
  </si>
  <si>
    <t>Referral Health Services Program</t>
  </si>
  <si>
    <t>Strengthening of National Referral Hospitals, Province Referral Hospital and Vertical Technical Units</t>
  </si>
  <si>
    <t>- Keg ini bukan area prioritas dari Pem. Jerman</t>
  </si>
  <si>
    <t>Pemprov. Aceh</t>
  </si>
  <si>
    <t>Local Government of Aceh</t>
  </si>
  <si>
    <t>Health Services Referral Program</t>
  </si>
  <si>
    <t>Rengineering and Improving The Hospital and Referral System in Selected Aceh Districts</t>
  </si>
  <si>
    <t>Kementerian Pertanian</t>
  </si>
  <si>
    <t>Ministry of Agriculture</t>
  </si>
  <si>
    <t>- Berdasarkan surat Plh. Kepala Pusat Kem.Pertanian nomor 246/KL.230/A.6.3/09/2015 tgl 9 September 2015</t>
  </si>
  <si>
    <t>Program Penyediaan dan Pengembangan Prasarana dan Sarana Pertanian</t>
  </si>
  <si>
    <t>Provision and Development of Agriculture Infrastructure Program</t>
  </si>
  <si>
    <t>Extensification of New Paddy Field Area</t>
  </si>
  <si>
    <t xml:space="preserve">TOR </t>
  </si>
  <si>
    <t>Upland Development for National Food Security</t>
  </si>
  <si>
    <t>Program Peningkatan Penyuluhan, Pendidikan, dan Pelatihan Pertanian</t>
  </si>
  <si>
    <t>Agriculture Extention, Education, and Training Improvement Program</t>
  </si>
  <si>
    <t>Young Enterpreneur Growth and Development for Sustainable Agricultural Development</t>
  </si>
  <si>
    <t>Dalam tahap diskusi awal dengan pihak lender untuk penyempurnaan proposal</t>
  </si>
  <si>
    <t>Rural Empowerment and Agricultural Development (READ) Programme in Sulawesi Island – Phase II</t>
  </si>
  <si>
    <t>Kementerian Tenaga Kerja</t>
  </si>
  <si>
    <t>Ministry of Manpower</t>
  </si>
  <si>
    <t>belum menyampaikan konfirmasi</t>
  </si>
  <si>
    <t>Program Peningkatan Daya Saing Tenaga Kerja</t>
  </si>
  <si>
    <t>Improving Labor Competitiveness Program</t>
  </si>
  <si>
    <t>Development of Maritime Vocational Training Centers</t>
  </si>
  <si>
    <t>Kementerian Kelautan dan Perikanan</t>
  </si>
  <si>
    <t>Ministry of Marine Affairs and Fisheries</t>
  </si>
  <si>
    <t>Program Peningkatan Fasilitas Perikanan</t>
  </si>
  <si>
    <t>Improvement of Fisheries Facilities Program</t>
  </si>
  <si>
    <t xml:space="preserve">Outer Ring Fishing Ports Development - Phase I </t>
  </si>
  <si>
    <t>Perancis (AFD)</t>
  </si>
  <si>
    <t>sudah ada RC</t>
  </si>
  <si>
    <t>berdasarkan data/dokumen pada Bluebook sebelumnya</t>
  </si>
  <si>
    <t>Badan Meteorologi dan Geofisika (BMKG)</t>
  </si>
  <si>
    <t>Meteorology, Climatology, and Geophysics Agency</t>
  </si>
  <si>
    <t>Program Pengembangan dan Pembinaan Meteorologi, Klimatologi, dan Geofisika</t>
  </si>
  <si>
    <t>Program for Capacity Development and Guidance of Meteorology, Climatology, and Geophysics</t>
  </si>
  <si>
    <t>Strengthening Climate and Weather Service Capacity – Phase II</t>
  </si>
  <si>
    <t>US EXIM</t>
  </si>
  <si>
    <t>a) Kegiatan lanjutan dair kegiatan Strengthening BMKG Climate and Weather Services Capacity Phase I</t>
  </si>
  <si>
    <t xml:space="preserve">Siap </t>
  </si>
  <si>
    <t>Terintegrasi dengan sarana dan sistem hasil kegiatan fase 1 yang sudah terbangun sebelumnya</t>
  </si>
  <si>
    <t xml:space="preserve">b) Kegiatan pengembangan sistem Layanan Informasi Meteorologi Maritim </t>
  </si>
  <si>
    <t>Badan Pengkajian dan Penerapan Teknologi</t>
  </si>
  <si>
    <t>Agency for the Assessment and Application of Technology</t>
  </si>
  <si>
    <t>Program Pembangunan Science Park dan Technopark</t>
  </si>
  <si>
    <t>Science Park and Technopark Development Program</t>
  </si>
  <si>
    <t>Development of Maritime National Science and Technology Park (NTSP) in the Northern Penajam Paser and Revitalization Infrastructure Marine Survey</t>
  </si>
  <si>
    <t>(1) Development of Maritime NTSP: (tidak ada data)
(2) Revitalization Infrastructure Marine Survey: (tidak ada data)</t>
  </si>
  <si>
    <t>(1) Development of Maritime NTSP: Pra-FS
(2) Revitalization Infrastructure Marine Survey: (tidak ada data)</t>
  </si>
  <si>
    <t>(1) Development of Maritime NTSP: 20%
(2) Revitalization Infrastructure Marine Survey: tidak memerlukan lahan</t>
  </si>
  <si>
    <t>(1) Development of Maritime NTSP: belum ada tender
(2) Revitalization Infrastructure Marine Survey:belum ada tender</t>
  </si>
  <si>
    <t>- Selain Perancis , pihak BPPT mengkonfirmasikan bahwa Korea berminat untuk menjadi lender pada proyek NSTP Maritim Kab. PPU
- Pelaksanaannya direncanakan tahun 2016 dan tahun 2017
- Konfirmasi berdasarkan email</t>
  </si>
  <si>
    <t>TOTAL</t>
  </si>
  <si>
    <t>*) Merupakan perluasan kegiatan yang sedang berjalan</t>
  </si>
  <si>
    <t xml:space="preserve">**) Berdasarkan Memo Deputi SDMK No. No 85/D.I.M/05/2015 tgl 11 Mei 2015: perubahan kegiatan (4 kegiatan menjadi 1 kegiatan).  </t>
  </si>
  <si>
    <t xml:space="preserve">***) Berdasarkan Memo Deputi SDMK No. No 85/D.I.M/05/2015 tgl 11 Mei 2015: perubahan kegiatan (6 kegiatan menjadi 1 kegiatan).  </t>
  </si>
  <si>
    <t>INDIKASI LENDER DAN KESIAPAN PROYEK DRPLN-JM (BLUE BOOK) 2015-2019</t>
  </si>
  <si>
    <t>(Update Data 2 November 2015)</t>
  </si>
  <si>
    <t>(dalam USD)</t>
  </si>
  <si>
    <t>BIDANG/INSTANSI/PROGRAM/PROYEK</t>
  </si>
  <si>
    <t>NILAI PINJAMAN BLUE BOOK</t>
  </si>
  <si>
    <t>NILAI PINJAMAN PERUBAHAN</t>
  </si>
  <si>
    <t>PENDAMPING</t>
  </si>
  <si>
    <t>HIBAH</t>
  </si>
  <si>
    <t>SELISIH NILAI PINJAMAN</t>
  </si>
  <si>
    <t>RENCANA TAHUN MULAI PELAKSANAAN</t>
  </si>
  <si>
    <t>PENJELASAN PERUBAHAN</t>
  </si>
  <si>
    <t>RINGKASAN</t>
  </si>
  <si>
    <t>PINJAMAN</t>
  </si>
  <si>
    <t>PERENCANAAN2</t>
  </si>
  <si>
    <t>PENYIAPAN2</t>
  </si>
  <si>
    <t>LAHAN2</t>
  </si>
  <si>
    <t>PERENCANAAN 2</t>
  </si>
  <si>
    <t>PENYIAPAN 2</t>
  </si>
  <si>
    <t>LAHAN 2</t>
  </si>
  <si>
    <t>TENDER 2</t>
  </si>
  <si>
    <t>KETERANGAN2</t>
  </si>
  <si>
    <t>CATATAN MULTI</t>
  </si>
  <si>
    <r>
      <rPr>
        <b/>
        <sz val="14"/>
        <color theme="1"/>
        <rFont val="Cambria"/>
        <family val="1"/>
      </rPr>
      <t xml:space="preserve">INDIKASI LENDER DAN KESIAPAN PROYEK DRPLN-JM </t>
    </r>
    <r>
      <rPr>
        <b/>
        <i/>
        <sz val="14"/>
        <color theme="1"/>
        <rFont val="Cambria"/>
        <family val="1"/>
      </rPr>
      <t>(BLUE BOOK)</t>
    </r>
    <r>
      <rPr>
        <b/>
        <sz val="14"/>
        <color theme="1"/>
        <rFont val="Cambria"/>
        <family val="1"/>
      </rPr>
      <t xml:space="preserve"> 2015-2019</t>
    </r>
  </si>
  <si>
    <t>~KEMENTERIAN PEKERJAAN UMUM &amp; PERUMAHAN RAKYAT~</t>
  </si>
  <si>
    <t>KONFIRMASI INSTANSI PENGUSUL (2 NOV'15)</t>
  </si>
  <si>
    <t>KONFIRMASI  BILA-MULTI (20 NOV'15)</t>
  </si>
  <si>
    <t xml:space="preserve">NILAI PINJAMAN (USD) </t>
  </si>
  <si>
    <t xml:space="preserve">NILAI BELUM ADA INDIKASI (USD) </t>
  </si>
  <si>
    <t>INDIKASI 
LENDER</t>
  </si>
  <si>
    <t xml:space="preserve">INDIKASI
LENDER </t>
  </si>
  <si>
    <t xml:space="preserve">KETERANGAN </t>
  </si>
  <si>
    <t>ID</t>
  </si>
  <si>
    <t>ID BIDANG</t>
  </si>
  <si>
    <t>BB</t>
  </si>
  <si>
    <t>BIDANG</t>
  </si>
  <si>
    <t>ID INSTANSI</t>
  </si>
  <si>
    <t>INSTANSI</t>
  </si>
  <si>
    <t>Column1</t>
  </si>
  <si>
    <t>PROGRAM EN</t>
  </si>
  <si>
    <t>NO PROGRAM</t>
  </si>
  <si>
    <t>PROGRAM IN</t>
  </si>
  <si>
    <t>ID PROYEK</t>
  </si>
  <si>
    <t>PROYEK</t>
  </si>
  <si>
    <t>JLH BAGI2</t>
  </si>
  <si>
    <t>JLH PROYEK KEG/SUB</t>
  </si>
  <si>
    <t>JLH PROYEK ANAK</t>
  </si>
  <si>
    <t>JLH PROYEK REVISI</t>
  </si>
  <si>
    <t>JLH PROYEK 2</t>
  </si>
  <si>
    <t>JLH PROYEK BB</t>
  </si>
  <si>
    <t>ID URUT DI BB</t>
  </si>
  <si>
    <t>NILAI PINJAMAN DALAM BB</t>
  </si>
  <si>
    <t>NILAI PINJAMAN DALAM BB (PERUBAHAN)</t>
  </si>
  <si>
    <t>PENDAMPING BB</t>
  </si>
  <si>
    <t>HIBAH BB</t>
  </si>
  <si>
    <t>TOTAL BB</t>
  </si>
  <si>
    <t>INDIKASI LENDER KONFIRMASI K/L</t>
  </si>
  <si>
    <t>BILA-MULTI</t>
  </si>
  <si>
    <t>NILAI PINJAMAN PER LENDER</t>
  </si>
  <si>
    <t>MASUK GB15</t>
  </si>
  <si>
    <t>NILAI GB 2015</t>
  </si>
  <si>
    <t>NILAI PINJAMAN DI LOAN AGREEMENT</t>
  </si>
  <si>
    <t>NILAI PINJAMAN YANG DIBATALKAN</t>
  </si>
  <si>
    <t>SELESIH NILAI PINJAMAN TERSISA</t>
  </si>
  <si>
    <t>SELISIH</t>
  </si>
  <si>
    <t>PERKIRAAN TAHUN MULAI</t>
  </si>
  <si>
    <t>STATUS KESIAPAN - PERENCANAAN (KONFIRMASI K/L)</t>
  </si>
  <si>
    <t>STATUS KESIAPAN - PENYIAPAN (KONFIRMASI K/L)</t>
  </si>
  <si>
    <t xml:space="preserve"> STATUS KESIAPAN - LAHAN (KONFIRMASI K/L) </t>
  </si>
  <si>
    <t xml:space="preserve"> STATUS KESIAPAN - TENDER/LELANG (KONFIRMASI K/L)   </t>
  </si>
  <si>
    <t>GREEN BOOK</t>
  </si>
  <si>
    <t>STATUS KESIAPAN - PENYIAPAN (CATATAN PENDANAAN)</t>
  </si>
  <si>
    <t>STATUS KESIAPAN - LAHAN (CATATAN PENDANAAN)</t>
  </si>
  <si>
    <t>STATUS KESIAPAN - TENDER/LELANG (CATATAN PENDANAAN)</t>
  </si>
  <si>
    <t>TANGGAL TTD LA</t>
  </si>
  <si>
    <t>KETERANGAN STATUS KESIAPAN</t>
  </si>
  <si>
    <t>STATUS 2017 (INA)2</t>
  </si>
  <si>
    <t>NILAI PINJAMAN KONFIRMASI BILA-MULTI</t>
  </si>
  <si>
    <t>INDIKASI LENDER KONFIRMASI BILA-MULTI</t>
  </si>
  <si>
    <t>NILAI PINJAMAN REVISI BB 2015-2019</t>
  </si>
  <si>
    <t>KETERANGAN KONFIRMASI BILA-MULTI</t>
  </si>
  <si>
    <t>BILA-MULTI2</t>
  </si>
  <si>
    <t>KETERANGAN KONFIRMASI K/L</t>
  </si>
  <si>
    <t>AWAL</t>
  </si>
  <si>
    <t>Ditjen. Bina Marga</t>
  </si>
  <si>
    <t>Bilateral</t>
  </si>
  <si>
    <t>FS, AMDAL, LARAP</t>
  </si>
  <si>
    <t>(1) Cisumdawu I: 80 %
(2) Serang-Panimbang: 25%</t>
  </si>
  <si>
    <t>siap</t>
  </si>
  <si>
    <t>dalam proses
(pelaksanaan &lt; 50%)</t>
  </si>
  <si>
    <t>belum ada proses tender/lelang</t>
  </si>
  <si>
    <t>belum ada dokumen R/C</t>
  </si>
  <si>
    <t xml:space="preserve">co-financing dengan Korea (USD 250 juta) </t>
  </si>
  <si>
    <t>- Konfirmasi melalui surat Sekjen nomor KU.01.12-Sj/636 tgl 23 Oktober 2015
- Terdiri dari 3 kegiatan: (1) seksi 1 (Ruas Cisumdawu I); (2) Serang-Panimbang; (3) Belum ditentukan
- Prioritas ruas Cisumdawu I</t>
  </si>
  <si>
    <t>Pembangunan jalan tol di provinsi Kalimantan Timur, Banten, dan Sumatera Utara dengan panjang sekitar 150 km</t>
  </si>
  <si>
    <t xml:space="preserve">belum ada dokumen R/C
</t>
  </si>
  <si>
    <t>- co-financing dengan RRT (USD 1 Miliar) 
- belum masuk rolling plan EDCF (Korea)</t>
  </si>
  <si>
    <t>Konfirmasi melalui surat Sekjen nomor KU.01.12-Sj/636 tgl 23 Oktober 2015</t>
  </si>
  <si>
    <t>Pembangunan jalan tol di berbagai wilayah dengan total sepanjang 55,94 km</t>
  </si>
  <si>
    <t>Development of Cileunyi - Sumedang - Dawuan Toll Road Phase II</t>
  </si>
  <si>
    <t>- Sudah ada R/C
- Green Book 2015
- Proses LA</t>
  </si>
  <si>
    <t>2016; 2015</t>
  </si>
  <si>
    <t>(memiliki FS dan DED)</t>
  </si>
  <si>
    <t>dalam proses
(pelaksanaan 80%)</t>
  </si>
  <si>
    <t>dalam proses tender/lelang</t>
  </si>
  <si>
    <t>Nilai pinjaman di:
- GB 16 USD 219.399 ribu
- GB 15 USD 235.000 ribu</t>
  </si>
  <si>
    <t>sudah TTD LA</t>
  </si>
  <si>
    <t>- Pembangunan jalan tol Cileunyi-Sumedang-Dawuan sepanjang 11,1 km 
- Pelayanan konsultasi untuk DED dan pengawasan konstruksi</t>
  </si>
  <si>
    <t xml:space="preserve">Toll Road Development of Balikpapan - Samarinda </t>
  </si>
  <si>
    <t>- Sudah ada R/C
- Green Book 2015
- Loan Agreement tgl 29 Des'15</t>
  </si>
  <si>
    <t>dalam proses
(pelaksanaan 55%)</t>
  </si>
  <si>
    <t>Nilai pinjaman di GB USD 65.000 ribu</t>
  </si>
  <si>
    <t xml:space="preserve">Pembangunan jalan tol Balikpapan-Samarinda sepanjang 11,09 km </t>
  </si>
  <si>
    <t xml:space="preserve">Toll Road Development of Manado - Bitung </t>
  </si>
  <si>
    <t>dalam proses
(pelaksanaan 94%)</t>
  </si>
  <si>
    <t>Nilai pinjaman di: 
- GB 16 USD 78.100 ribu
- GB 15 USD 80.000 ribu</t>
  </si>
  <si>
    <t xml:space="preserve">Pembangunan jalan tol Manado-Bitung sepanjang 7,3 km </t>
  </si>
  <si>
    <t xml:space="preserve">Toll Road Development of Solo - Kertosono </t>
  </si>
  <si>
    <t>dalam proses
(pelaksanaan 62%)</t>
  </si>
  <si>
    <t>Nilai pinjaman di GB USD 200.000 ribu</t>
  </si>
  <si>
    <t xml:space="preserve">Pembangunan jalan tol Solo-Kertosono sepanjang 26,45 km </t>
  </si>
  <si>
    <t>Spanyol/RRT</t>
  </si>
  <si>
    <t>Multi Lender</t>
  </si>
  <si>
    <t>belum ada keterangan</t>
  </si>
  <si>
    <t>- Spanyol berminat mendanai sebagian (USD 50-100 juta), tetapi setelah permasalahan proyek LIPI selesai.
- RRT belum ada keputusan.</t>
  </si>
  <si>
    <t>Lebih dari 1 Alternatif Sumber</t>
  </si>
  <si>
    <t>- Konfirmasi melalui surat Sekjen nomor KU.01.12-Sj/636 tgl 23 Oktober 2015
- Telah ada pengalaman sebelumnya dengan Loan Spanyol</t>
  </si>
  <si>
    <t>Pengadaan material rangka jembatan untuk pekerjaan konstruksi dan rehabilitasi sekitar 55.000 m jembatan yang ada di Indonesia</t>
  </si>
  <si>
    <t>dalam proses
(penyusunan FS)</t>
  </si>
  <si>
    <t>- Konfirmasi melalui surat Sekjen nomor KU.01.12-Sj/636 tgl 23 Oktober 2015</t>
  </si>
  <si>
    <t>Pembangunan fly over/ under pass untuk persimpangan jalan dengan jalan kereta sepanjang 7 km di Jawa dan Sumatera</t>
  </si>
  <si>
    <t>dalam proses
 (penyusunan FS)</t>
  </si>
  <si>
    <t>Pembangunan fly over/ under pass sepanjang kurang lebih 8 km untuk 9 kota besar yang ada di Jawa dan Sumatera</t>
  </si>
  <si>
    <t>Korea/RRT</t>
  </si>
  <si>
    <t>dalam proses
(memiliki FS dan DED)</t>
  </si>
  <si>
    <t>- RRT dan Korea belum ada keputusan</t>
  </si>
  <si>
    <t xml:space="preserve">Pembangunan terowongan, jembatan dan jalan sepanjang 5 km di daerah Balinka-Ngarai Sianok, Sumatera Barat </t>
  </si>
  <si>
    <t>Tanpa keterangan</t>
  </si>
  <si>
    <t>Pembangunan jembatan bentang panjang 5.000 m (pada area tertentu) di wilayah Pulau Jawa dan Sumatera yang dipisahkan oleh oleh sungai, rawa, danau, selat, saluran besar.</t>
  </si>
  <si>
    <t>Multilateral</t>
  </si>
  <si>
    <t>- nilai proyek berkurang USD 45 juta, dialihkan untuk kegiatan ESP
- belum ada dokumen R/C</t>
  </si>
  <si>
    <t>Pembangunan bypass, missing links, fly over, dan underpass serta manajemen simpang di 6 kota metropolitan (Palembang, Medan, Bandung, Semarang, Denpasar, dan Banjarmasin), termasuk studi kelayakannya</t>
  </si>
  <si>
    <t>Rev. 2016</t>
  </si>
  <si>
    <t>sudah disampaikan DK ke Kemkeu</t>
  </si>
  <si>
    <t>Pembangunan dan peningkatan 200 km jalan Trans Selatan Selatan Pulau Jawa</t>
  </si>
  <si>
    <t>termasuk ES (akan dipecah?) -&gt; konfirmasi tgl 15 Okt' 15</t>
  </si>
  <si>
    <t>Pembangunan/peningkatan 200 km jalan untuk mendukung tol laut bagian utara termasuk (i) koridor Aceh - Medan - Riau dan (ii) Medan - Sibolga</t>
  </si>
  <si>
    <t>Road Improvement Project to Support Integrated Land and Sea Toll Way - Southern Area</t>
  </si>
  <si>
    <t>Bank Dunia/ADB</t>
  </si>
  <si>
    <t>- usulan K/L lender: Bank Dunia/ADB. 
- Hanya Bank Dunia saja yang berminat.</t>
  </si>
  <si>
    <t>Pembangunan/peningkatan  200 km jalan  untuk mendukung tol laut bagian selatan di (i) koridor Cilegon – Bojonegara - Merak – Bakauheni – Bandar Lampung – Palembang – Tanjung Api-Api, (ii) koridor Palembang – Bengkulu, dan (iii) koridor Palembang – Jambi untuk mendukung tol laut bagian selatan</t>
  </si>
  <si>
    <t>Pembangunan/peningkatan 200 km jalan di daerah koridor perbatasan di Kalimantan Barat dan jalan internasional di Kalimantan Selatan</t>
  </si>
  <si>
    <t xml:space="preserve">FS, BD, AMDAL, Penyusunan DED, SP2LP </t>
  </si>
  <si>
    <t>Belum Ada Indikasi</t>
  </si>
  <si>
    <t>usulan K/L lender: Bank Dunia/ADB. Kedua calon lender tidak berminat mendanai proyek ini.</t>
  </si>
  <si>
    <t>Pembangunan 200 km jalan di wilayah Kalimantan Tengah</t>
  </si>
  <si>
    <t>AIIB</t>
  </si>
  <si>
    <t>- usulan K/L semula lender: IDB. 
- Pihak IDB tidak berminat mendanai kegiatan ini, diusulkan kepada AIIB.</t>
  </si>
  <si>
    <t>Konfirmasi melalui surat Sekjen nomor KU.01.12-Sj/636 tgl 23 Oktober 201515</t>
  </si>
  <si>
    <t>Pembangunan 200 km jalan di wilayah Kalimantan Utara dan Kalimantan Timur</t>
  </si>
  <si>
    <t xml:space="preserve">Konfirmasi melalui surat Sekjen nomor KU.01.12-Sj/636 tgl 23 Oktober 2015
</t>
  </si>
  <si>
    <t xml:space="preserve">Lender kembali IDB berdasarkan hasil konfirmasi rapat dgn Dit,Multilateral tgl 15 Okt'15 </t>
  </si>
  <si>
    <t xml:space="preserve">Pembangunan jalan (ringroad dan bypass) sepanjang sekitar 200 km di wilayah metropolitan Mamminasata dan Gorontalo Outer Ring Road </t>
  </si>
  <si>
    <t>Engineering Service for National Roads Development Project</t>
  </si>
  <si>
    <t>- Sudah ada R/C
- Green Book 2015</t>
  </si>
  <si>
    <t>tidak butuh lahan</t>
  </si>
  <si>
    <t>Ditjen. Cipta Karya</t>
  </si>
  <si>
    <t xml:space="preserve">- Green Book 2015
- Sudah negosiasi
- Tender konsultan </t>
  </si>
  <si>
    <t>- K/L mengusulkan untuk masuk GB 2015
- Menggunakan lahan milik masyarakat yang diberikan secara sukarela
- Sudah menyiapkan Draft General Guidelines, Draft Procurement Plan, Draft ESSF, Draft Paper
- Konfirmasi melalui surat Sekjen nomor KU.01.12-Sj/636 tgl 23 Oktober 2015</t>
  </si>
  <si>
    <t>Peningkatan kualitas pemukiman dan penyediaan air bersih berkelanjutan yang melayani 719.500 Sambungan Rumah (SR).</t>
  </si>
  <si>
    <t>Pembangunan Sistem Pengelolaan Air Mimum (SPAM) perkotaan sebesar 239,808 Sambungan Rumah (SR) untuk perluasan akses pelayanan air minum, termasuk kegiatan penguatan kapasitas pendanaan dan kelembagaan.</t>
  </si>
  <si>
    <t>Pembangunan Instalasi Pengolahan Air (IPA) di 8 wilayah dengan total kapasitas 20.450 lt/dt dan pembangunan jaringan transmisi air minum untuk 882.441 Sambungan Rumah (SR)</t>
  </si>
  <si>
    <t xml:space="preserve">Mamminasata Water Supply Development Project </t>
  </si>
  <si>
    <t>FS , AMDAL, DED</t>
  </si>
  <si>
    <t>dalam proses
(persiapan)</t>
  </si>
  <si>
    <t>Pembangunan IPA Somba Opu Tahap II, kap. 1.000 lt/dt dan pembangunan jaringan pipa transmisi air minum untuk melayani 149.925 SR di wilayah Makassar, Maros, Gowa dan Takalar.</t>
  </si>
  <si>
    <t xml:space="preserve">The Development of Regional Water Supply System in Benteng Kobema </t>
  </si>
  <si>
    <t>Bank Dunia/JICA/ADB</t>
  </si>
  <si>
    <t>- usulan K/L lender: Bank Dunia/JICA/ADB. 
- Pihak Bank Dunia berminat, ADB dan JICA tidak minat.</t>
  </si>
  <si>
    <t>JICA &amp; ADB juga diindikasikan akan mendanai kegiatan ini meskipun belum ada pembicaraan</t>
  </si>
  <si>
    <t>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t>
  </si>
  <si>
    <t xml:space="preserve">The Development of Regional Water Supply System in Wosusokas </t>
  </si>
  <si>
    <t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t>
  </si>
  <si>
    <t xml:space="preserve">The Development of Regional Water Supply System of Jatigede </t>
  </si>
  <si>
    <t>- nilai pinjaman berkurang sebesar USD 26,38 juta untuk kegiatan ES
- belum ada dokumen R/C</t>
  </si>
  <si>
    <t xml:space="preserve">- terdapat pengurangan nilai pinjaman sebesar USD 26,38 juta yang dialihkan untuk membiayai kegiatan ES.
- usulan K/L lender: Bank Dunia/JICA/ADB. 
- Pihak Bank Dunia, ADB, dan JICA tidak berminat. </t>
  </si>
  <si>
    <t>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t>
  </si>
  <si>
    <t>The Development of Regional Water Supply System of Petanglong</t>
  </si>
  <si>
    <t xml:space="preserve">- usulan K/L lender: Bank Dunia/JICA/ADB. 
- Pihak Bank Dunia, ADB, dan JICA tidak berminat. </t>
  </si>
  <si>
    <t>Pembangunan intake dan transmisi air baku, pembangunan IPA dengan kapasitas 1.100 lt/dt untuk sistem pengelolaan air minum yang berkapasitas 1.100 lt/dt, dan untuk penyediaan SPAM yang melayani 142.999 SR  di wilayah Kab. Batang, Kota Pekalongan, Kab. Pekalongan</t>
  </si>
  <si>
    <t xml:space="preserve">The Development of Regional Water Supply System of Durolis </t>
  </si>
  <si>
    <t xml:space="preserve">- usulan K/L lender: Bank Dunia/JICA/ADB.
- Pihak Bank Dunia, ADB, dan JICA tidak berminat. </t>
  </si>
  <si>
    <t>ADB juga diindikasikan akan mendanai kegiatan ini</t>
  </si>
  <si>
    <t>Pembangunan unit air baku, unit produksi dan distribusi utama, unit pelayanan dan unit pengelolaan untuk sistem pengelolaan air minum yang berkapasitas 500 lt/dt dan untuk melayani masyarakat sebesar 24.000 SR di wilayah Dumai, Rokan Hilir dan Bengkalis</t>
  </si>
  <si>
    <t xml:space="preserve">The Development of Regional Water Supply System of  Banten - Jakarta from Karian Dam </t>
  </si>
  <si>
    <t>dalam proses
(memiliki FS)</t>
  </si>
  <si>
    <t>belum masuk rolling plan EDCF (Korea)</t>
  </si>
  <si>
    <t>Pembangunan IPA tahap I dengan kapasitas 518.000 m3/hari (6.000 lt/dt), pembangunan IPA tahap II dengan kapasitas 346.000 m3/hari (4.000 lt/dt), dan pembangunan pipa transmisi yang melayani 59.970 SR  di wilayah Serang, Maja, Rangkas Bitung, Tigaraksa, Kab. Tangerang, Serpong, Parung dan DKI Jakarta.</t>
  </si>
  <si>
    <t xml:space="preserve">The Development of Regional Water Supply System of Mebidang </t>
  </si>
  <si>
    <t>Pembangunan IPA dengan kapasitas 1.250 lt/dt, pembangunan jaringan pipa transmisi untuk penyediaan air minum yang melayani 84.558 SR di wilayah Medan, Binjai, dan Deli Serdang.</t>
  </si>
  <si>
    <t>Pengadaan dan pembangunan Instalasi Pengolahan Air Minum skala kecil untuk penanganan keadaan darurat dan Ibu Kota Kecamatan (IKK) terpilih</t>
  </si>
  <si>
    <t xml:space="preserve">Small Scale Water Treatment Plants for Emergency Relief </t>
  </si>
  <si>
    <t>- Sudah ada R/C
- Green Book 2015
 - Proses Loan Agreement</t>
  </si>
  <si>
    <t>Nilai pinjaman di:
- GB 16 USD 14.848 ribu
- GB 15 USD 25.000 ribu</t>
  </si>
  <si>
    <t>Pengadaan Instalasi Pengolahan Air (IPA) yang dapat dipindahkan (mobile) untuk penanganan keadaan darurat,  yang dilengkapi dengan alat pendukung, truk, dan sistem komunikasi di 4 lokasi (kota Medan, Bekasi, Makassar, dan Surabaya)</t>
  </si>
  <si>
    <t>IKK Water Supply Program and Small Water Treatment Plant for Water Scarcity Area</t>
  </si>
  <si>
    <t>dalam proses
(pelaksanaan &lt;50%)</t>
  </si>
  <si>
    <t>Nilai pinjaman di:
- GB 16 USD 36.443 ribu
- GB 15 USD 50.000 ribu</t>
  </si>
  <si>
    <t>- Hungaria akan co-financing dengan IDB dan diindikasikan akan mendanai kegiatan ini sebesar USD 50 juta untuk wilayah Indonesia Barat
- IDB akan co-financing dengan Hungaria dan diindikasikan akan mendanai kegiatan ini sebesar USD 50 juta untuk wilayah Indonesia Timur</t>
  </si>
  <si>
    <t>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t>
  </si>
  <si>
    <t xml:space="preserve">belum proses </t>
  </si>
  <si>
    <t>- usulan K/L lender:IDB.
- pihak IDB tidak berminat mendanai kegiatan ini, diusulkan kepada AIIB.
- Indikasi Lender AIIB menjadi belum ada indikasi (konfirmasi tgl 29 Jan'16)</t>
  </si>
  <si>
    <t>Engineering Service for Water Supply Development Project</t>
  </si>
  <si>
    <t>- Green Book 2015</t>
  </si>
  <si>
    <t>2015; 2016</t>
  </si>
  <si>
    <t>- Merupakan kelanjutan dari kegiatan Urban Sanitation and Rural Infrastructure Support to PNPM Mandiri Projrct (USRI) yang telah berakhir pada tanggal 30 Juni 2015
- Konfirmasi melalui surat Sekjen nomor KU.01.12-Sj/636 tgl 23 Oktober 2015</t>
  </si>
  <si>
    <t>- ADB akan co-financing dengan IDB dan diindikasikan akan mendanai kegiatan ini sebesar USD 125 juta untuk wilayah Indonesia Timur
'- IDB akan co-financing dengan ADB dan diindikasikan akan mendanai kegiatan ini sebesar USD 25 juta untuk wilayah Indonesia Barat</t>
  </si>
  <si>
    <t>Bantuan langsung masyarakat, penguatan institusi pengelola, dan jasa konsultasi.</t>
  </si>
  <si>
    <t>- untuk wilayah Timur
- belum ada dokumen R/C</t>
  </si>
  <si>
    <t>- Merupakan kelanjutan dari kegiatan Urban Sanitation and Rural Infrastructure Support to PNPM Mandiri Projrct (USRI) yang telah berakhir pada tanggal 30 Juni 2015
- Konfirmasi melalui e-mail tanggal 17, 18, dan 21 Sept 2015</t>
  </si>
  <si>
    <t>- untuk wilayah Barat
- belum ada dokumen R/C</t>
  </si>
  <si>
    <t>- FS
- Penyusunan DED</t>
  </si>
  <si>
    <t>dalam proses</t>
  </si>
  <si>
    <t>- Zona I: dalam pelaksanaan ES (tender konsultan)
- belum ada dokumen R/C</t>
  </si>
  <si>
    <t>Pembangunan jaringan perpipaan dan Instalasi Pengolahan Air Limbah (IPAL) terpusat di Zona-1 dan Zona-6, pembangunan unit stasiun pompa, serta penyusunan Detail Engineering Design (DED) untuk IPAL Terpusat Zona 6</t>
  </si>
  <si>
    <t>Bank Dunia/JICA</t>
  </si>
  <si>
    <t xml:space="preserve">- usulan K/L lender: Bank Dunia/JICA/ADB. 
- pihak Bank Dunia berminat, ADB dan JICA tidak berminat
- dalam rencana pembiayaan Bank Dunia, kegiatan ini dijadikan satu paket dengan kegiatan "Sewerage System Development in Indonesia" </t>
  </si>
  <si>
    <t>- Sedang dalam konsep desain bentuk kegiatan
- 'Konfirmasi melalui surat Sekjen nomor KU.01.12-Sj/636 tgl 23 Oktober 2015</t>
  </si>
  <si>
    <t>JICA diindikasikan juga akan mendanai kegaiatan ini</t>
  </si>
  <si>
    <t>Penyediaan sarana prasarana Instalasi Pengolahan Lumpur Tinja (IPLT), seperti mobil tinja, pompa penyedot dan unit IPLT.</t>
  </si>
  <si>
    <t>- nilai pinjaman berkurang sebesar USD 25,20 juta untuk kegiatan ES
- belum ada dokumen R/C</t>
  </si>
  <si>
    <t>- nilai kegiatan yang tercantum dalam COBP ADB sebesar USD 400 juta.
- nilai kegiatan berkurang sebesar USD 25,2 yang dialihkan untuk membiayai kegiatan ES</t>
  </si>
  <si>
    <t>- termasuk ESP senilai USD 26,38 juta, indikasi Lender ADB
- belum ada proses penyiapan
- Konfirmasi melalui surat Sekjen nomor KU.01.12-Sj/636 tgl 23 Oktober 2015</t>
  </si>
  <si>
    <t>Sudah ada pembicaraan awal</t>
  </si>
  <si>
    <t>Pembangunan fisik sarana dan prasarana sanitasi serta Instalasi Pengolahan Air Limbah (IPAL) dan penguatan kapasitas lembaga pengelola</t>
  </si>
  <si>
    <t>- belum ada proses penyiapan
- Konfirmasi melalui surat Sekjen nomor KU.01.12-Sj/636 tgl 23 Oktober 2015</t>
  </si>
  <si>
    <t>co-financing dengan ADB (USD 400 juta), IDB (USD 325 juta) &amp; Bank Dunia (USD 200 juta)</t>
  </si>
  <si>
    <t>Pengajuan pre-request</t>
  </si>
  <si>
    <t>Pembangunan jaringan perpipaan dengan area pelayanan 2.200 Ha, stasiun pompa sejumlah 2 unit, dan instalasi pengolahan air limbah.</t>
  </si>
  <si>
    <t>penyiapan dokumen R/C</t>
  </si>
  <si>
    <t>Review master plan air limbah dan optimalisasi Instalasi Pengolahan Air Limbah (IPAL) Bojongsoang.</t>
  </si>
  <si>
    <t>Engineering Service for Sanitation Improvement Project</t>
  </si>
  <si>
    <t xml:space="preserve">pada konfirmasi K/L nilai ES sebesar USD 26,38 juta, seharusnya USD 25,2 juta. </t>
  </si>
  <si>
    <t>Pembangunan TPA baru, pembangunan unit sistem teknologi pengolahan sampah, pembangunan Intermediete Treatment Facility (ITF), infrastruktur penunjang, buffer zone, dan supervisi kegiatan konstruksi.</t>
  </si>
  <si>
    <t>Belum ada tindak lanjut</t>
  </si>
  <si>
    <t>- karena DED dalam proses finalisasi, maka diasumsikan memiliki FS.
- Dokumen penyiapan: sedang cari tambahan lokasi
- Siap hanya Balikpapan&amp;Tangerang (USD 40 juta)
- belum ada dokumen R/C</t>
  </si>
  <si>
    <t xml:space="preserve">- Konfirmasi melalui surat Sekjen nomor KU.01.12-Sj/636 tgl 23 Oktober 2015
- Bank Dunia membantu proses studi, DED, FS (CDIA, INDII Facility) </t>
  </si>
  <si>
    <t>- FS
- Diusulkan untuk masuk Green Book 2016</t>
  </si>
  <si>
    <r>
      <rPr>
        <sz val="10"/>
        <color theme="1"/>
        <rFont val="Cambria"/>
        <family val="1"/>
      </rPr>
      <t xml:space="preserve">Pembangunan TPA Sanitary Landfill  baru, pembangunan </t>
    </r>
    <r>
      <rPr>
        <i/>
        <sz val="10"/>
        <color theme="1"/>
        <rFont val="Cambria"/>
        <family val="1"/>
      </rPr>
      <t>Intermediete Treatment Facility</t>
    </r>
    <r>
      <rPr>
        <sz val="10"/>
        <color theme="1"/>
        <rFont val="Cambria"/>
        <family val="1"/>
      </rPr>
      <t xml:space="preserve"> (ITF), dan pengembangan konsep Reuse, Reduce, and Recycle (3R).</t>
    </r>
  </si>
  <si>
    <t>dalam proses
(perencanaan)</t>
  </si>
  <si>
    <t xml:space="preserve">- usulan K/L lender: Bank Dunia/JICA/ADB.
- Pihak Bank Dunia, ADB dan JICA tidak berminat. </t>
  </si>
  <si>
    <t>belum ada indikasi</t>
  </si>
  <si>
    <t>- Konsep kegiatan belum siap
- Konfirmasi melalui surat Sekjen nomor KU.01.12-Sj/636 tgl 23 Oktober 2015</t>
  </si>
  <si>
    <t>Penanganan kawasan kumuh sebesar 4.400 ha</t>
  </si>
  <si>
    <t>Green Book 2016</t>
  </si>
  <si>
    <t>- Concept Paper, Baseline Survey, Draft Guidelines.
- Surat Komitmen Pemda untuk penanganan kumuh.</t>
  </si>
  <si>
    <t>- Sudah disiapkan ketentuan / petunjuk pelaksanaannya 3 (tiga) skema pengadaan lahan: 1). kontribusi dari masyarakat, 2). penyediaan melalui kompensasi, 3). Penyediaan oleh pemda. 
-  Sudah ada SK Bupati / Walikota untuk Penetapan Lokasi Perumahan Kumuh dan Permukiman Kumuh</t>
  </si>
  <si>
    <t>-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t>
  </si>
  <si>
    <t>Sudah ada R/C</t>
  </si>
  <si>
    <t>Peningkatan kualitas permukiman di 21 provinsi, 257 kabupaten/kota,  6.626 kelurahan</t>
  </si>
  <si>
    <t>- Berdasarkan surat Menteri Keuangan no. S-409/MK.08/2016 tgl 25 Mei '16
'- Bank Dunia berminat sebesar USD 433 juta.
- Ada informasi dari hasil rapat dengan K/L, bahwa nilai proyek turun menjadi USD 700 juta-an (pendanaan IDB dan Bank Dunia).</t>
  </si>
  <si>
    <t>-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t>
  </si>
  <si>
    <t>co-financing dgn Bank Dunia (USD 216,5 juta)</t>
  </si>
  <si>
    <t>co-financing dengan IDB (USD 329,7 juta), Bank Dunia (USD 216,5 juta) &amp; AIIB (USD 216,5 juta)</t>
  </si>
  <si>
    <t>- semula Lender adalah IDB, namun berdasarkan hasil konfirmasi Kem. PUPR, Lender keg ini adalah JICA
- konsep kegiatan belum siap
- Konfirmasi melalui surat Sekjen nomor KU.01.12-Sj/636 tgl 23 Oktober 2015</t>
  </si>
  <si>
    <t xml:space="preserve">Pembangunan infrastruktur perdesaan seluas 18.589 ha </t>
  </si>
  <si>
    <t>- konsep kegiatan belum siap
- Konfirmasi melalui surat Sekjen nomor KU.01.12-Sj/636 tgl 23 Oktober 2015</t>
  </si>
  <si>
    <t>- JICA diindikasikan akan mendanai kegiatan ini dan sudah ada kajian dengan pihak JICA</t>
  </si>
  <si>
    <t>Pengembangan panduan/guidelines untuk 455 kota/kabupaten mengenai bangunan tahan gempa dan sosialisasi metode perkuatan/retrofitting untuk bangunan tahan gempa.</t>
  </si>
  <si>
    <t>Sustainable Urban Development Program</t>
  </si>
  <si>
    <t>Program Pembangunan Kota Berkelanjutan</t>
  </si>
  <si>
    <t>National Urban Development Project</t>
  </si>
  <si>
    <t>Ditjen. Sumber Daya Air</t>
  </si>
  <si>
    <t>Pembangunan lanjutan proyek irigasi dengan total seluas 193.858 Ha dan pembangunan irigasi baru seluas 10.000 Ha yang tersebar di berbagai wilayah di Indonesia</t>
  </si>
  <si>
    <t>Integrated Participatory Development and Management of Irrigation Project - Phase I</t>
  </si>
  <si>
    <t>- Sudah ada RC
- Green Book 2015
- Dalam proses pembahasan skema pinjaman</t>
  </si>
  <si>
    <t>FS, DED, AMDAL, LARAP</t>
  </si>
  <si>
    <t>- Cofinancing ADB USD 600 juta dan IFAD USD 100 juta
- Konfirmasi melalui surat Sekjen nomor KU.01.12-Sj/636 tgl 23 Oktober 2015</t>
  </si>
  <si>
    <t>termasuk RBL</t>
  </si>
  <si>
    <t>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t>
  </si>
  <si>
    <t>Integrated Participatory Development and Management of Irrigation Project - Phase II</t>
  </si>
  <si>
    <t>nilai kegiatan yang tercantum dalam COBP ADB sebesar USD 400 juta.</t>
  </si>
  <si>
    <t xml:space="preserve">Pembangunan irigasi baru dengan luas lebih dari 10.000 Ha, perbaikan sistem irigasi seluas 172.880 Ha yang tersebar di seluruh Indonesia. </t>
  </si>
  <si>
    <t>- untuk yang Phase II: belum ada penyiapan
- belum ada dokumen R/C</t>
  </si>
  <si>
    <t>sudah di GB 2016</t>
  </si>
  <si>
    <t>masuk rolling plan EDCF (Korea)</t>
  </si>
  <si>
    <t xml:space="preserve">Melakukan rehabilitasi fasilitas irigasi, meningkatkan sistem irigasi dan drainase dan peningkatan kapasitas O&amp;P seluas 38,523 Ha </t>
  </si>
  <si>
    <t>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t>
  </si>
  <si>
    <t xml:space="preserve">Sudah ada R/C
</t>
  </si>
  <si>
    <t>Rev. 2016; 2016</t>
  </si>
  <si>
    <t>Nilai pinjaman di:
- Rev. GB 16 USD 145.568 ribu
- GB 16 USD 120.000 ribu</t>
  </si>
  <si>
    <t>Melakukan review desain jaringan irigasi utama dan tersier 85 Km, pekerjaan sipil untuk jaringan irigasi utama dan tersier Lempuing seluas 8.500 Ha. Pekerjaan sipil untuk perbaikan fasilitas irigasi, soft komponen dan review rencana pembangunan Proyek Irigasi Komering</t>
  </si>
  <si>
    <t>FS, DED, LARAP</t>
  </si>
  <si>
    <t>- usulan K/L lender: ADB
- tidak masuk COBP ADB</t>
  </si>
  <si>
    <t>- dengan skema RBL
- Konfirmasi melalui surat Sekjen nomor KU.01.12-Sj/636 tgl 23 Oktober 2015</t>
  </si>
  <si>
    <t>JICA&amp;IDB diindikasikan akan mendanai kegiatan ini namun belum ada keputusan</t>
  </si>
  <si>
    <t>Pembahasan lahan dan relokasi, pengadaan, pembangunan bangunan utama, pembangunan jaringan irigasi seluas ±100.000 Ha, pencetakan lahan sawah, dan penyusunan O&amp;P</t>
  </si>
  <si>
    <t>Mendukung pengembangan terpadu fasilitas irigasi 18.542 Ha (lhok guci)  dan 5.000 Ha (peureulak) dengan SID partisipatif, konstruksi, dan operasi pemeliharaan.</t>
  </si>
  <si>
    <t>Melakukan ulasan sistem perencanaan untuk masing-masing skema, Detail desain sistem irigasi, Survey Investigasi Desain (SID) sistem tersier, Pekerjaan Modernisasi/ Peningkatan/ Rehabilitasi bangunan barrage yang ada dengan perbaikan seluas 198.459 Ha dan peningkatan seluas 32.586 Ha</t>
  </si>
  <si>
    <t xml:space="preserve">Belum ada pembicaraan dgn Bank Dunia </t>
  </si>
  <si>
    <t>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t>
  </si>
  <si>
    <t>Revitalization Groundwater Irrigation in Indonesia</t>
  </si>
  <si>
    <t>Kegiatan review desain dan kegiatan konstruksi  meliputi: rehabilitasi 772 sumur, perbaikan pipa distribusi air tanah 1.618 km, perbaikan bangunan rumah pompa, penggantian mesin pompa dan atau penggerak</t>
  </si>
  <si>
    <t>- Sudah ada RC- Green Book 2015</t>
  </si>
  <si>
    <t>- sudah GB 2016  
- Nilai pinjaman di GB 38.100 ribu</t>
  </si>
  <si>
    <t>-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t>
  </si>
  <si>
    <t>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t>
  </si>
  <si>
    <t xml:space="preserve">Program Penyediaan dan Pengelolaan Air Baku </t>
  </si>
  <si>
    <t>ada penolakan dari ADB untuk membiayai kegiatan ini (info P'Dewo)</t>
  </si>
  <si>
    <t>Pengembangan air baku di sungai citarum dan sekeliling bandung untuk memenuhi kebutuhan air baku lebih kurang 1,5 m3/det di Bandung serta menghindari erosi sungai Citarum</t>
  </si>
  <si>
    <t>Pembangunan sistem air baku sepanjang 47,9 km dari Bendungan Karian ke Serpong untuk meningkatkan pasokan air di Banten dan Jakarta</t>
  </si>
  <si>
    <t>- Sudah ada RC
- Green Book 2015</t>
  </si>
  <si>
    <t>- sudah GB 2016  
- Nilai pinjaman di GB USD 2.000 ribu</t>
  </si>
  <si>
    <t>-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t>
  </si>
  <si>
    <t>Membuat perencanaan dan analisis untuk mendukung pembangunan sistem air baku dan menyediakan fasilitas pendukung pengembangan air baku masyarakat</t>
  </si>
  <si>
    <t>Rupiah Murni</t>
  </si>
  <si>
    <t>Pendanaan Dengan Rupiah Murni</t>
  </si>
  <si>
    <t xml:space="preserve">AMDAL siap dan penyiapan Review DED </t>
  </si>
  <si>
    <t>LARAP</t>
  </si>
  <si>
    <t>- Konfirmasi melalui surat Sekjen nomor KU.01.12-Sj/636 tgl 23 Oktober 2015
- Kegiatan akan dilaksanakan oleh pendanaan rupiah murni APBN</t>
  </si>
  <si>
    <t>Meningkatkan luas areal irigasi sebesar ± 10.000 Ha dengan perbaikan akses jalan, relokasi penduduk, pembebasan lahan, pekerajaan pengelakan sungai jambo aye dan reubek, pembangunan bendungan dan pendukung lainnya, pembangunan fasilitas PLTA 106 MW</t>
  </si>
  <si>
    <t>Revisi RTRW Kabupaten, LARAP</t>
  </si>
  <si>
    <t>Pembangunan bendungan komering 110 juta cm3, pembangunan fasilitas tenaga hidrolik, komponen lunak untuk memperkuat O&amp;P, Hydropower 20,80 MW, pembangunan sistem irigasi utama dan tersier skema Lempuing untuk 8.500 Ha, dan perbaikan fasilitas irigasi yang ada</t>
  </si>
  <si>
    <t>AMDAL, geologi detail 2015 dan Penyiapan Review DED</t>
  </si>
  <si>
    <t>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t>
  </si>
  <si>
    <t>AMDAL (2017), geologi detail 2015 dan Penyiapan Review DED</t>
  </si>
  <si>
    <t>LARAP (2016)</t>
  </si>
  <si>
    <t>Pembangunan PLTA sebesar 15 MW, pembangunan sistem irigasi untuk mengairi 18.000 Ha, menyediakan air baku 12 m3/det untuk Kabupaten pasir, Kabupaten  Penajam Pasir Utara dan Kota Balikpapan, 4. Pembangunan tanggul penahan banjir di DAS Telake sampai 30%</t>
  </si>
  <si>
    <t>model test, penyelidikan geologi 2015, AMDAL (2015)</t>
  </si>
  <si>
    <t>Membangun bendungan 223 juta m3, melakukan rehabilitasi jalan, membangun fasilitas PLTA ± 10,9 MW untuk kebutuhan energi listrik Kab.Gowa, perbaikan dan peningkatan jaringan irigasi 24.400 ha</t>
  </si>
  <si>
    <t>DD, model test, penyelidikan geologi 2015, AMDAL (2017)</t>
  </si>
  <si>
    <t>LARAP (2015)</t>
  </si>
  <si>
    <t>Pembangunan PLTA sebesar 9,99 MW, Pembangunan sistem irigasi mengairi 6.800 Ha</t>
  </si>
  <si>
    <t>SID, AMDAL (2015), penyelidikan geologi, DD, model test 2015</t>
  </si>
  <si>
    <t>Membangun bendungan 25,57 juta m3  dan fasilitas pendukungnya, Melakukan rehabilitasi jalan akses, Membangun PLTA 1,15 MW untuk  Kab.Kolaka Timur dan Perbaikan jaringan irigasi</t>
  </si>
  <si>
    <t>Sertifikasi desain, penyelidikan geologi, AMDAL</t>
  </si>
  <si>
    <t>Dalam proses tender</t>
  </si>
  <si>
    <t>Melakukan konservasi sumber daya air, pelestarian lingkungan, dan pengendalian banjir, Membangun bendungan dan fasilitas pendukungnya, Melakukan rehabilitasi jalan akses , Membangun fasilitas PLTA ± 1.3 MW untuk provinsi Sulawesi Utara</t>
  </si>
  <si>
    <t>Lompatan Harimau Dam Construction Project (Rokan Kiri Dam Construction Project)</t>
  </si>
  <si>
    <t>FS (2015), DED (2016), AMDAL (2016)</t>
  </si>
  <si>
    <t>- Konfirmasi melalui surat Sekjen nomor KU.01.12-Sj/636 tgl 23 Oktober 2015
- Nama kegiatan diusulkan untuk diubah menjadi Rokan Kiri Dam Construction Project</t>
  </si>
  <si>
    <t>Membangun bendungan dan fasilitas pendukungnya untuk kebutuhan irigasi seluas 4000 Ha, Melakukan konservasi SDA, pelestarian lingkungan, dan pengendalian banjir dan Membangun fasilitas PLTA ± 74,40 MW untuk Kab.Rokan</t>
  </si>
  <si>
    <t>-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t>
  </si>
  <si>
    <t>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t>
  </si>
  <si>
    <t>co-financing dengan Korea (USD 21,7 juta) dan belum ada indikasi (USD 76,4 juta)</t>
  </si>
  <si>
    <t>- Sudah ada RC
- Diusulkan GB 2016</t>
  </si>
  <si>
    <t>- co-financing dengan ADB (USD 1,9 juta) dan belum ada indikasi (USD 76,4 juta)
- masuk rolling plan EDCF (Korea)</t>
  </si>
  <si>
    <t>co-financing dengan Korea (USD 21,7 juta) dan ADB (USD 1,9 juta)</t>
  </si>
  <si>
    <t>Menyediakan air untuk keperluan irigasi sebesar 59,63 m3/dt dan membangun infrastruktur untuk PLTA 110 MW.</t>
  </si>
  <si>
    <t>Pekerjaan konstruksi dan supervisi pelaksanaan tanggul, parapet wall, pelindung tebing, sluiceway, jembatan, alur sudetan dan bangunan sungai lainnya</t>
  </si>
  <si>
    <t>Rehabilitasi intake waduk bili-bili (1 buah), konstruksi giant sand trap facility (1 buah) di ujung waduk bili-bili dan konstruksi bangunan pengendali sedimen di luar kaldera untuk antisipasi potensi runtuhan lanjutan Bawakaraeng</t>
  </si>
  <si>
    <t>Nilai pinjaman di GB USD 90.247 ribu</t>
  </si>
  <si>
    <t>- Konfirmasi melalui surat Sekjen nomor KU.01.12-Sj/636 tgl 23 Oktober 2015
- MoD Fact Finding belum dapat ditandatangani dan ditentukan kemudian</t>
  </si>
  <si>
    <t>Pengamanan dan konservasi pantai timur bali (sanur utara ~ candidasa) dan Pantai Kuta Utara – Legian – Seminyak dan Canggu</t>
  </si>
  <si>
    <t>Tersedianya fasilitas Sabo dan bangunan pengontrol sedimen lainnya.</t>
  </si>
  <si>
    <t>Meningkatkan kapasitas sistem sungai dengan total panjang 4.35 km dan drainase di kota-kota untuk mengalirkan air hujan dengan pembangunan tanggul 6,5 Km</t>
  </si>
  <si>
    <t>- Sudah ada RC
- Green Book 2016</t>
  </si>
  <si>
    <t>-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t>
  </si>
  <si>
    <t>Analisis rencana teknis pembangunan infrastruktur sungai di 33 balai wilayah sungai  dan pantai beserta fasilitasnya, O&amp;P dan pengadaan barang dan jasa</t>
  </si>
  <si>
    <t>co-financing dengan Korea (USD 10,5 juta) dan belum ada indikasi (USD 29,9 juta)</t>
  </si>
  <si>
    <t>- co-financing dengan ADB (USD 9,6 juta) dan belum ada indikasi (USD 29,9 juta)
- masuk rolling plan EDCF (Korea)</t>
  </si>
  <si>
    <t>co-financing dengan Korea (USD 10,5 juta) dan ADB (USD 29,8 juta)</t>
  </si>
  <si>
    <t>Meningkatkan kesiapan untuk mengelola dan memitigasi banjir melalui pendekatan pengelolaan banjir terpadu di DAS terpilih yang tersebar di seluruh Indonesia</t>
  </si>
  <si>
    <t>Flood Management in Selected River Basins Sector Project (Additional Financing)</t>
  </si>
  <si>
    <t>sudah masuk COBP ADB</t>
  </si>
  <si>
    <t>untuk wilayah Banten</t>
  </si>
  <si>
    <t>Meningkatkan kesiapan untuk mengelola dan memitigasi banjir melalui pendekatan pengelolaan banjir terpadu di DAS terpilih</t>
  </si>
  <si>
    <t>Ambon appraisal MoU 2015</t>
  </si>
  <si>
    <t>Meningkatkan kesiapan untuk mengelola dan memitigasi banjir melalui pendekatan pengelolaan banjir terpadu di DAS Ciujung, DAS Batu Merah, dan DAS Way Ruhu</t>
  </si>
  <si>
    <t>Peningkatan operasi dan keamanan 63 bendungan, peningkatan OP dan kapasitas SDM, mitigasi sedimentasi waduk, peningkatan institusi keamanan bendungan dan manajemen proyek</t>
  </si>
  <si>
    <t>sudah di Perubahan GB 2016</t>
  </si>
  <si>
    <t>co-financing dengan AIIB (USD 125 juta)</t>
  </si>
  <si>
    <t>co-financing dengan Bank Dunia (USD 125 juta)</t>
  </si>
  <si>
    <t>Belum ada pembicaraan dgn ADB</t>
  </si>
  <si>
    <t>Peningkatan kapasitas waduk, pemanfaatan potensi bendungan untuk pembangkit listrik dan manajemen proyek</t>
  </si>
  <si>
    <t>Engineering services dan management project untuk pengelolaan infrastruktur sumber daya air</t>
  </si>
  <si>
    <t>Badan Pengembangan Infrastruktur Wilayah</t>
  </si>
  <si>
    <t>Infrastructure for Tourism Development Program</t>
  </si>
  <si>
    <t xml:space="preserve">Program Infrastruktur untuk Pengembangan Pariwisata </t>
  </si>
  <si>
    <t>Integrated Infrastructure Development for National Tourism Strategic Areas</t>
  </si>
  <si>
    <t>Nilai pinjaman di GB USD 4.000 ribu</t>
  </si>
  <si>
    <t>National Affordable Housing Project</t>
  </si>
  <si>
    <t>Tujuan kegiatan ini adalah untuk membantu uang muka pembangunan rumah</t>
  </si>
  <si>
    <t>Peningkatan kapasitas lembaga pembiayaan, pengembangan sistem pembiayaan perumahan mikro, dan pengembangan  sistem pembiayaan perumahan</t>
  </si>
  <si>
    <t>-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t>
  </si>
  <si>
    <t>Membangun 69.784 unit rumah (35.438 unit rumah sederhana tapak dan 34.346 unit rumah susun), meremajakan 3.816 unit rumah susun, dan mengelola perumahan umum (property management)</t>
  </si>
  <si>
    <t>Procurement of Track Material and Turn Out:</t>
  </si>
  <si>
    <t>Surat Kepala Biro Perencanaan nomor 548/BI/SRT/IX/2015 tgl 10 September 2015</t>
  </si>
  <si>
    <t>Pengadaan 4.500 km track material dan pengadaan 650 unit wesel</t>
  </si>
  <si>
    <t>Procurement of Track Material and Turn Out - Phase II</t>
  </si>
  <si>
    <t>- Sudah ada R/C
- Green Book 2015
- Proses E/N dan LA
- Dalam proses persiapan penandatanganan Loan Agreement</t>
  </si>
  <si>
    <t>Nilai pinjaman di:
- GB 16 USD 175.056 ribu
- GB 15 USD 185.470 ribu</t>
  </si>
  <si>
    <t>sudah kontrak</t>
  </si>
  <si>
    <t>Pengadaan 1.500 km track material tipe UIC-54 dan pengadaan 300 unit wesel</t>
  </si>
  <si>
    <t>Procurement of Track Material and Turn Out - Phase III</t>
  </si>
  <si>
    <t>- usulan K/L semula lender: Belum Ada Indikasi
- usulan Dit.Multilateral, diusulkan kepada AIIB.</t>
  </si>
  <si>
    <t xml:space="preserve">- Menunggu kepastian Lender
- Surat Kepala Biro Perencanaan nomor 548/BI/SRT/IX/2015 tgl 10 September 2015
</t>
  </si>
  <si>
    <t>Pengadaan 3.000 km track material tipe R 60 dan pengadaan 350 unit wesel</t>
  </si>
  <si>
    <t>Procurement of Track Material and Turn Out - Phase IV</t>
  </si>
  <si>
    <t>Belum proses</t>
  </si>
  <si>
    <t>Terbangunnya jaringan MRT dari bundaran HI ke Kampung Bandan</t>
  </si>
  <si>
    <t>Sebagian akan diteruspinjamkan kepada Pemprov. DKI Jakarta</t>
  </si>
  <si>
    <t>Terbangunnya jaringan MRT dari Jakarta Timur ke Jakarta Barat</t>
  </si>
  <si>
    <t>- Sudah ada R/C
- Green Book 2015
- Loan Agreement tgl 4 Des'15</t>
  </si>
  <si>
    <t>Nilai pinjaman di GB 19.200 ribu</t>
  </si>
  <si>
    <t>LA sudah ditandatangani</t>
  </si>
  <si>
    <t xml:space="preserve">Tersedianya DED dan dokumen tender </t>
  </si>
  <si>
    <t>Surabaya Regional Railway Line - Phase I</t>
  </si>
  <si>
    <t>Development of Railway Quality Assurance Facility</t>
  </si>
  <si>
    <t>Construction of Railway line for Bitung - Gorontalo - Isimu</t>
  </si>
  <si>
    <t>Construction of Railway line for Pare-pare - Mamuju</t>
  </si>
  <si>
    <t>Pemprov. DKI Jakarta</t>
  </si>
  <si>
    <t>Nilai pinjaman di GB USD 752.200 ribu</t>
  </si>
  <si>
    <t>Belum ada konfirmasi. Berdasarkan data dokumen kesiapan (RC)</t>
  </si>
  <si>
    <t>Terbangunnya jaringan MRT dari Utara ke Selatan</t>
  </si>
  <si>
    <t>Sea Transportation Development Program</t>
  </si>
  <si>
    <t xml:space="preserve">Program Pengembangan Transportasi Laut </t>
  </si>
  <si>
    <t>Development and Improvement of Indonesian Aids to Navigation</t>
  </si>
  <si>
    <t>Procurement of Navigation First Class Vessels</t>
  </si>
  <si>
    <t>Procurement of Navigation Carrier Vessels</t>
  </si>
  <si>
    <t>The Development of Patimban Port - Stage I</t>
  </si>
  <si>
    <r>
      <rPr>
        <sz val="10"/>
        <color theme="1"/>
        <rFont val="Cambria"/>
        <family val="1"/>
      </rPr>
      <t xml:space="preserve">Improvement on TV Transmitting Stations (Digitalization of TVRI) - </t>
    </r>
    <r>
      <rPr>
        <sz val="10"/>
        <color rgb="FF000000"/>
        <rFont val="Cambria"/>
        <family val="1"/>
      </rPr>
      <t>Phase III</t>
    </r>
  </si>
  <si>
    <t>US EXIM/Perancis</t>
  </si>
  <si>
    <t xml:space="preserve">- Belum ada indikasi Lender, Dit. Telsus sedang melakukan penjajakan, belum bisa diidentifikasikan sampai proses penjajakan selesai
- Surat Karoren Kem. Kominfo nomor S-1075/KOMINFO/SJ.1/PR.01.01/09/2015 tgl 9 September 2015
</t>
  </si>
  <si>
    <t>Pengadaan peralatan dan mesin untuk rehabilitasi fasilitas produksi dan pemancar TVRI dari sistem analog ke digital untuk: 29 studio (7 di pusat dan 22 di daerah), 250 stasiun transmisi, 30 lokasi untuk ICT Broadcast</t>
  </si>
  <si>
    <t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t>
  </si>
  <si>
    <t>Pembangunan Data Center (DC) Nasional, pembangunan Disaster Recovery Center (DRC), pembangunan National Network Operation Center (NNOC),  sistem Government-Certification of Authority (Govt-CA),  dan penyediaan bandwidth selama 3 tahun.</t>
  </si>
  <si>
    <t>Dipindahkan ke KPS</t>
  </si>
  <si>
    <t>dialihkan ke pendanaan KPS</t>
  </si>
  <si>
    <t>-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t>
  </si>
  <si>
    <t>Pembangunan jaringan telekomunikasi pitalebar/broadband Palapa Ring di 51 kabupaten/kota.</t>
  </si>
  <si>
    <t xml:space="preserve">- Sudah ada R/C
- Green Book 2015
</t>
  </si>
  <si>
    <t>Pengembangan proyek PIKNAS tahap I mulai dari perencanaan pengembangan sampai dengan implementasi proyek</t>
  </si>
  <si>
    <t>Surat Dirut PT. PLN nomor 716/REN.08.01/DIR/2015 tgl 9 September 2015</t>
  </si>
  <si>
    <t>Pembangunan dan instalasi: 500 kV AC Overhead line</t>
  </si>
  <si>
    <t>Java-Sumatera Interconnection Transmission Line (HVDC) 500 kV (Phase II)</t>
  </si>
  <si>
    <t>- Sudah ada R/C
- Green Book 2015
- Loan Agreement tgl 18 Des'15</t>
  </si>
  <si>
    <t>- Paket 1 = Proses lelang, evaluasi tahap I 
- Paket 2 = Proses lelang, akhir proses tahap I 
- Paket 3 = Kontrak 29 Okt 2014 
- Paket 4 = Proses lelang, RFP 2 Sept 2015 
- Paket 5 = Penyusunan Dokumen Tender</t>
  </si>
  <si>
    <t>dalam proses
(pelaksanaan 30%)</t>
  </si>
  <si>
    <t>Nilai pinjaman di GB USD 629.140 ribu</t>
  </si>
  <si>
    <t>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t>
  </si>
  <si>
    <t>Pembangunan dan instalasi: 500 kV AC Overhead line; 500 IW DC Overhead line; kabel bawah laut HVDC; Stasiun converter HVDC; 275 kV Overhead line (OHL)</t>
  </si>
  <si>
    <t>Construction of Java Sumatera Interconnection 500 kV (HVDC-Phase 3 &amp; 4)</t>
  </si>
  <si>
    <t xml:space="preserve">Penyiapan R/C
</t>
  </si>
  <si>
    <t>Pembangunan PLTP Hululais 2x55 MW, pembangunan jaringan transmisi 150 kV, termasuk engineering desainnya</t>
  </si>
  <si>
    <t>Engineering Service for Hululais 1&amp;2 Geothermal Power Plant Project (2x55 MW)</t>
  </si>
  <si>
    <t>- Sudah ada R/C0
- Green Book 2015
- Loan Agreement tgl 18 Des'15</t>
  </si>
  <si>
    <t>Nilai pinjaman di GB USD 6.570 ribu</t>
  </si>
  <si>
    <t>Memfasilitasi penyusunan DED, tender dokumen, dan pengawasan konstruksi untuk PLTP Hululais 1 dan 2 (2x55 MW)</t>
  </si>
  <si>
    <t>Hululais Geothermal Power Plant  1&amp;2 (2x55MW)</t>
  </si>
  <si>
    <t>Pembangunan PLTP Hululais 2x55 MW dan pembangunan jaringan transmisi 150 kV</t>
  </si>
  <si>
    <t>- tidak diketahui dalam proses apa
- belum ada dokumen R/C</t>
  </si>
  <si>
    <t>-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t>
  </si>
  <si>
    <t xml:space="preserve"> Pembangunan PLTA Bakaru II (2x63 MW), rehabilitasi bendungan dan turbin PLTA Bakaru I, sedimentasi penanggulangan dan Engineering Services PLTA Bakaru II</t>
  </si>
  <si>
    <t>dalam proses
(pelaksanaan 63%)</t>
  </si>
  <si>
    <t>- Pembebasan lahan untuk lokasi power plant dan pad B masih terkendala batas wilayah antara dua desa
- Surat Dirut PT. PLN nomor 716/REN.08.01/DIR/2015 tgl 9 September 2015</t>
  </si>
  <si>
    <t>Pembangunan PLTP Tulehu 2x10 MW dan tambahan pengeboran untuk 3 sumur produksi/injeksi</t>
  </si>
  <si>
    <t>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t>
  </si>
  <si>
    <t>dalam proses
(pelaksanaan 95%)</t>
  </si>
  <si>
    <t>-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t>
  </si>
  <si>
    <t>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t>
  </si>
  <si>
    <t xml:space="preserve">- FS report terkait resource confirmation dari PGE belum ada
- Surat Dirut PT. PLN nomor 716/REN.08.01/DIR/2015 tgl 9 September 2015
</t>
  </si>
  <si>
    <t>Pengembangan PLTP Sungai Penuh dengan kapasitas 2x55 MW dan jaringan transmisi terkait</t>
  </si>
  <si>
    <t>- Direncanakan menggunakan skema direct lending
- AMDAL direncanakan mulai tahun 2016
- Layout terkini tidak terindikasi overlapping dengan bendungan Matenggeng milik PU
- Surat Dirut PT. PLN nomor 716/REN.08.01/DIR/2015 tgl 9 September 2015</t>
  </si>
  <si>
    <t>Pengembangan PLTA Matenggeng dengan kapasitas 4x225 MW dan jaringan transmisi terkait</t>
  </si>
  <si>
    <t>Development of Seulawah Agam Geothermal Working Area for 55 MW-Capacity Geothermal Power Plant in Aceh</t>
  </si>
  <si>
    <t>Pemprov. Lampung</t>
  </si>
  <si>
    <t>Development and Improvement of Subnational Roads Program</t>
  </si>
  <si>
    <t>Program Pengembangan dan Peningkatan Jalan Subnasional</t>
  </si>
  <si>
    <t>Development and Improvement of Lampung Provincial Roads Project</t>
  </si>
  <si>
    <t>PT. Sarana Multi Infrastruktur (PT. SMI)</t>
  </si>
  <si>
    <t>Infrastructure Development Financing Program</t>
  </si>
  <si>
    <t xml:space="preserve">Program Pembiayaan Pembangunan Infrastruktur </t>
  </si>
  <si>
    <t>Increasing PT Indonesia Infrastructure Finance Financing Capacity in Accelerating Infrastructure Development in Indonesia</t>
  </si>
  <si>
    <t>co-financing dengan ADB (USD 100 juta)</t>
  </si>
  <si>
    <t>co-financing dengan Bank Dunia (USD 200 juta)</t>
  </si>
  <si>
    <t>Financial Regional Infrastructure Projects through Regional Infrastructure Development Fund (RIDF)</t>
  </si>
  <si>
    <t>co-financing dengan AIIB (USD 100 juta) dan belum ada indikasi (USD 300 juta)</t>
  </si>
  <si>
    <t>co-financing dengan Bank Dunia (USD 100 juta) dan belum ada indikasi (USD 300 juta)</t>
  </si>
  <si>
    <t>co-financing dengan Bank Dunia (USD 100 juta) dan AIIB (USD 100 juta)</t>
  </si>
  <si>
    <t>II</t>
  </si>
  <si>
    <t>Surat Sekjen nomor 1532/A.A1/PR/2015 tgl 9 September 2015</t>
  </si>
  <si>
    <t>Pembangunan sarana dan prasarana perkuliahan, pengadaan peralatan, pengembangan SDM, serta jasa konsultan</t>
  </si>
  <si>
    <t>The Development of Sultan Ageng Tirtayasa University (UNTIRTA)</t>
  </si>
  <si>
    <t xml:space="preserve">Penyusunan R/C
</t>
  </si>
  <si>
    <t>Pembangunan sarana dan prasarana pendidikan (gedung perkuliahan, laboratorium dan sarana pendukung lainnya)  dan pengembangan landscape dan infrastruktur</t>
  </si>
  <si>
    <t>Development for State University of Malang as The Learning University</t>
  </si>
  <si>
    <t>Pembangunan sarana dan prasarana perkuliahan (ruang kuliah, ruang dosen, peralatan laboratorium, instalasi jaringan listrik dan telekomunikasi, instalasi air bersih, sanitasi dan mekanikal engineering) dan pengembangan SDM.</t>
  </si>
  <si>
    <t>The Development and Upgrading Mulawarman University</t>
  </si>
  <si>
    <t>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t>
  </si>
  <si>
    <t>Improvement of The Capacity and Contribution of The University of Jember on Standardized and Excellent Tridharma Implementation in South East Asia Region</t>
  </si>
  <si>
    <t>Pembangunan sarana dan prasarana perkuliahan, pengadaan peralatan, pengembangan SDM, dan jasa konsultan</t>
  </si>
  <si>
    <t>The Plan of Hasanuddin University Hospital Development</t>
  </si>
  <si>
    <t>Pengadaan peralatan, pengembangan SDM, pengembangan telemedicine dan sistem manajemen informasi, dan manajemen dan jasa konsultasi</t>
  </si>
  <si>
    <t>Establishment of University of Bengkulu’s Hospital</t>
  </si>
  <si>
    <t>- Lender semula adalah IDB namun pihak Kemristekdikti mengkonfirmasikan  Lender untuk kegiatan ini adalah JICA
- Surat Sekjen nomor 1532/A.A1/PR/2015 tgl 9 September 2015</t>
  </si>
  <si>
    <t>Pembangunan RS Pendidikan di Universitas Bengkulu, pengadaan peralatan medis dan furniture, pengembangan SDM, manajemen proyek, koordinasi, dan pembelajaran</t>
  </si>
  <si>
    <t>University of Gadjah Mada Achieving World Class University with Socio-Entrepreneurial Spirit</t>
  </si>
  <si>
    <t>- Lender semula adalah IDB namun pihak Kemristekdikti mengkonfirmasikan  Lender untuk kegiatan ini adalah JICA
- Target penyelesaian lahan akhir Desember 2015
- Surat Sekjen nomor 1532/A.A1/PR/2015 tgl 9 September 2015</t>
  </si>
  <si>
    <t>Pembangunan gedung baru, pengadaan peralatan, pengembangan SDM dan desain kurikulum, jasa konsultan, dan manajemen proyek</t>
  </si>
  <si>
    <t>Capacity Building Programmes for Infrastructure in Malikussaleh University</t>
  </si>
  <si>
    <t>Development and Upgrading of University of Jambi</t>
  </si>
  <si>
    <t>Development and Upgrading of the State University of Jakarta - Phase 2</t>
  </si>
  <si>
    <t xml:space="preserve">Integrated Multi Campus-University for Tomorrow’s Education in Indonesia University of Education </t>
  </si>
  <si>
    <t xml:space="preserve">Higher Education Quality Improvement of the University of Riau </t>
  </si>
  <si>
    <t>Surat Sekjen a/n Menteri Agama nomor SJ/B.I/1/KU.00.2/6260/2015 tanggal 17 September 2015</t>
  </si>
  <si>
    <t>Improvement and Optimalization of Sunan Ampel Surabaya State Islamic University</t>
  </si>
  <si>
    <t xml:space="preserve">- Pembebasan kekurangan lahan dilakukan tahun 2016
- Surat Sekjen a/n Menteri Agama nomor SJ/B.I/1/KU.00.2/6260/2015 tanggal 17 September 2015
</t>
  </si>
  <si>
    <t xml:space="preserve">Pengembangan sarana prasarana perkuliahan (fakultas Saintek, Psikologi dan Kesehatan, Humaniora dan Ilmu Sosial), pengembangan kurikulum dan manajemen akademik, dan pengembangan SDM 
</t>
  </si>
  <si>
    <t>Improvement Access and Quality of State Islamic Institute  Suthan Maulana Hasanuddin Banten</t>
  </si>
  <si>
    <t>- Lahan sudah tersertifikat
- Memiliki sertifikat ahli pengadaan tersedia
- Sudah ada pemetaan kebutuhan human resources
- Sudah memiliki tim pengembang kurikulum
- PMU sudah ditetapkan
- Surat Sekjen a/n Menteri Agama nomor SJ/B.I/1/KU.00.2/6260/2015 tanggal 17 September 2015</t>
  </si>
  <si>
    <t>Pembangunan gedung dan infrastruktur, pengadaaan mebelair dan peralatan, peningkatan SDM, dan pengembangan kurikulum akademik</t>
  </si>
  <si>
    <t xml:space="preserve">Development and Quality Improvement  of Antasari State Islamic Institute </t>
  </si>
  <si>
    <t>Pembangunan gedung dan infrastruktur, penguatan kelembagaan (pengembangan kurikulum, prodi, manajemen dan peningkatan jumlah dan kualitas riset), dan pengembangan SDM</t>
  </si>
  <si>
    <t>z</t>
  </si>
  <si>
    <t xml:space="preserve">Tranformation of State Islamic Institute  Sulthan Thaha Saifuddin to State Islamic University </t>
  </si>
  <si>
    <t xml:space="preserve">Peningkatan sarana dan prasarana untuk prodi, jurusan dan fakultas baru dan akreditasi, penguatan kelembagaan, peningkatan kualitas SDM (a.l. meliputi pengembangan kurikulum serta program S2 dan S3 untuk para dosen), dan peningkatan kualitas manjemen lembaga </t>
  </si>
  <si>
    <t>Development and Institutional Transformation of State Islamic Institute  Raden Intan Lampung</t>
  </si>
  <si>
    <t>- Staf sudah mengikuti workshop pengadaan melalui IDB
- Memiliki sertifikat ahli pengadaan tersedia
- Dalam proses alih status menjadi UIN
- PMU sudah ditetapkan melalui SK KPA
- Surat Sekjen a/n Menteri Agama nomor SJ/B.I/1/KU.00.2/6260/2015 tanggal 17 September 2015</t>
  </si>
  <si>
    <t>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t>
  </si>
  <si>
    <t xml:space="preserve">Development of Imam Bonjol State Islamic Institute Project </t>
  </si>
  <si>
    <t>Pembangunan sarana dan prasarana perkuliahan,  Peningkatan kualitas SDM, pengembangan kurikulum</t>
  </si>
  <si>
    <t>The Development of UIN Maulana Malik Ibrahim Malang - Phase II</t>
  </si>
  <si>
    <t>Program Pengembangan Sumber Daya Aparatur  dalam Rangka Reformasi Birokrasi</t>
  </si>
  <si>
    <t>Surat Sesmen PPN/Sestama Bappenas nomor 5877/SES/09/2015 tgl 14 September 2015</t>
  </si>
  <si>
    <t>Diusulkan untuk masuk GB 2016</t>
  </si>
  <si>
    <t>Menghasilkan sekitar 2.109 lulusan gelar dan non gelar</t>
  </si>
  <si>
    <t>Surat Sekjen nomor PR.02.03/I/1814/2015 tanggal 9 September 2015</t>
  </si>
  <si>
    <t>Kegiatan akreditasi pusat kesehatan, pengembangan sistem informasi kesehatan, pemenuhan kebutuhan pelayanan kesehatan pada daerah perbatasan, dan memfasilitasi hubungan pusat kesehatan dengan unit transfusi darah</t>
  </si>
  <si>
    <t>- Pelaksanaan tahun 2017
- Surat Sekjen nomor PR.02.03/I/1814/2015 tanggal 9 September 2015</t>
  </si>
  <si>
    <t>'Peningkatan infrastruktur Poltekkes, BPPK, Bapelkes dan UPT</t>
  </si>
  <si>
    <t>dalam proses
(memiliki)</t>
  </si>
  <si>
    <t>dalam proses
(pelaksanaan)</t>
  </si>
  <si>
    <t>- tidak diketahui berapa persen proses pelaksanaannya
- penyiapan dokumen R/C</t>
  </si>
  <si>
    <t>- Tahap perencanaan selesai tahun 2016, tahap penyiapan dilakukan setelah tahap perencanaan selesai.Pelaksanaan diusulkan mulai tahun 2017.
- Surat Sekjen nomor PR.02.03/I/1814/2015 tanggal 9 September 2015</t>
  </si>
  <si>
    <t>Penguatan lembaga penelitian dan pengembangan kesehatan, melengkapi fasilitas laboratorium untuk mendukung deteksi dan penelitian macam-macam virus dan bakteri, peningkatan kesadaran masyarakat terhadap kesehatan dan Peningkatan SDM kesehatan</t>
  </si>
  <si>
    <t>co-financing dengan Jerman (KfW) (USD 250 juta) dan belum ada indikasi (USD 755,6 juta)</t>
  </si>
  <si>
    <t>- (tidak ada data)
- Surat Sekjen nomor PR.02.03/I/1814/2015 tanggal 9 September 2015</t>
  </si>
  <si>
    <t>Meningkatkan sarana dan prasarana di 14 rumah sakit pusat rujukan nasional, 20 rumah sakit rujukan provinsi dan 39 UPT (unit pelaksana teknis) vertikal sebagai pusat rujukan tersier</t>
  </si>
  <si>
    <t>co-financing dengan IDB (USD 250 juta) dan belum ada indikasi (USD 755,6 juta)</t>
  </si>
  <si>
    <t>- Keg ini bukan area prioritas dari Pem. Jerman
- Surat Sekjen nomor PR.02.03/I/1814/2015 tanggal 9 September 2015</t>
  </si>
  <si>
    <t>co-financing dengan IDB (USD 250 juta) dan Jerman (KfW) (USD 250 juta)</t>
  </si>
  <si>
    <t>Reengineering and Improving The Hospital and Referral System in Selected Aceh Districts</t>
  </si>
  <si>
    <t>Surat Kepala Dinas Kesehatan Prov. Aceh nomor 443.02/998/V/2015 tanggal 27 April 2015 tentang penyampaian dokumen kesiapan (RC)</t>
  </si>
  <si>
    <t xml:space="preserve">Pengembangan infrastruktur (pembangunan rumah sakit baru, rehabilitasi rumah sakit lama, dan kantor dinas kesehatan, pengadaan peralatan dan operasional, dan peningkatan SDM rumah sakit </t>
  </si>
  <si>
    <t xml:space="preserve">- co-financing dengan IDB (USD 125 juta) dan belum ada indikasi (USD 686,2 juta)
- Bank Dunia tidak berminat mendanai kegiatan ini. </t>
  </si>
  <si>
    <t>Surat Plh. Kepala Pusat Kem.Pertanian nomor 246/KL.230/A.6.3/09/2015 tgl 9 September 2015</t>
  </si>
  <si>
    <t>Pembentukan lahan pertanian padi baru di 34 provinsi, meliputi: identifikasi calon petani dan calon lokasi (CPCL), survey/investigasi, penetapan lokasi, penyiapan lahan (land clearing and land leveling), bantuan sarana produksi, dan pertanian untuk budidaya padi.</t>
  </si>
  <si>
    <t xml:space="preserve">terdapat sisa pendanaan yang belum ada indikasi lender (USD 686,2 juta)
</t>
  </si>
  <si>
    <t>total belum ada indikasi menjadi USD 686,2 juta karena ditambahkan USD 125 juta yang sebelumnya Bank Dunia.</t>
  </si>
  <si>
    <t>tanpa keterangan</t>
  </si>
  <si>
    <t>Rencana penggunaan lahan di dataran tinggi berdasarkan kesesuaiannya, konservasi lahan dan air di dataran tinggi, dan budidaya pertanian ramah lingkungan untuk dataran tinggi</t>
  </si>
  <si>
    <t xml:space="preserve">- co-financing dengan IDB (USD 125 juta) dan belum ada indikasi (USD 410,7 juta)
Bank Dunia tidak berminat mendanai kegiatan ini. </t>
  </si>
  <si>
    <t xml:space="preserve">terdapat sisa pendanaan yang belum ada indikasi lender (USD 410,7 juta)
</t>
  </si>
  <si>
    <t>total belum ada indikasi menjadi USD 410,7 juta karena ditambahkan USD 125 juta yang sebelumnya Bank Dunia.</t>
  </si>
  <si>
    <t>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t>
  </si>
  <si>
    <t>Pemberdayaan masyarakat petani, peningkatan mata pencaharian, dan pembangunan infrastruktur pertanian</t>
  </si>
  <si>
    <t>Kementerian Ketenagakerjaan</t>
  </si>
  <si>
    <t>Austria/ JICA/ Singapura</t>
  </si>
  <si>
    <t>belum ada konfirmasi lender yang berminat</t>
  </si>
  <si>
    <t xml:space="preserve">- Semula indikasi pendanaan oleh IDB namun pihak Kem. Naker mengkonfirmasikan bahwa Lender keg ini belum ada indikasi lender
- Konfirmasi Lender Austria didapatkan dari rapat dgn Dit. Multilateral tgl 15 Okt' 2015 di R.SG-4
</t>
  </si>
  <si>
    <t>Konfirmasi Lender Austria didapatkan dari rapat dgn Dit. Multilateral tgl 15 Okt' 2015 di R.SG-4</t>
  </si>
  <si>
    <t>Penyediaan sarana dan peralatan BLK Maritim, rehabilitasi Workshop, pengembangan Software Pelatihan, dan Training of Trainers (ToT)</t>
  </si>
  <si>
    <t>Dibatalkan oleh KKP</t>
  </si>
  <si>
    <t>Dibatalkan oleh KKP (surat KKP 30 Nov 2015)</t>
  </si>
  <si>
    <t>- berdasarkan data/dokumen pada Bluebook sebelumnya. Semula indikasi lender Prancis, kemudian Kem. KKP mengkonfirmasikan bahwa belum ada indikasi lender
- Belum ada konfirmasi</t>
  </si>
  <si>
    <t>Pekerjaan pembangunan dan peningkatan fasilitas pelabuhan perikanan serta pelatihan dan pendidikan SDM di 8 lokasi prioritas yang memiliki standar pelayanan berskala internasional</t>
  </si>
  <si>
    <t>Kementerian Pertahanan</t>
  </si>
  <si>
    <t>Military Hospitals Development Program</t>
  </si>
  <si>
    <t xml:space="preserve">Program Pembangunan Rumah Sakit Militer </t>
  </si>
  <si>
    <t>Upgrading Medical Equipments for Army Hospital of Gatot Subroto</t>
  </si>
  <si>
    <t>Austria</t>
  </si>
  <si>
    <t>Upgrading Medical Equipments for Army Hospitals</t>
  </si>
  <si>
    <t>Upgrading Medical Equipments for Naval Hospitals</t>
  </si>
  <si>
    <t>Upgrading Medical Equipments for Air Force Hospitals</t>
  </si>
  <si>
    <t>Badan Meteorologi, Klimatologi dan Geofisika (BMKG)</t>
  </si>
  <si>
    <t xml:space="preserve">Strengthening Climate and Weather Service Capacity – Phase II:
a) Kegiatan lanjutan dari kegiatan Strengthening BMKG Climate and Weather Services Capacity Phase I
b) Kegiatan pengembangan sistem Layanan Informasi Meteorologi Maritim </t>
  </si>
  <si>
    <t>a) Siap
b) -</t>
  </si>
  <si>
    <t>a) Siap
b) Siap</t>
  </si>
  <si>
    <t>a) -
b) -</t>
  </si>
  <si>
    <t>- Terintegrasi dengan sarana dan sistem hasil kegiatan fase 1 yang sudah terbangun sebelumnya
- Surat Kepala BMKG nomor KU.205/003/KB/IX/2015 tanggal 8 September 2015</t>
  </si>
  <si>
    <t>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t>
  </si>
  <si>
    <t>Badan Pengkajian dan Penerapan Teknologi (BPPT)</t>
  </si>
  <si>
    <t xml:space="preserve">Perancis (AFD)  </t>
  </si>
  <si>
    <t xml:space="preserve">  (1) Development of Maritime NTSP: (tidak ada data)
(2) Revitalization Infrastructure Marine Survey: (tidak ada data)  </t>
  </si>
  <si>
    <t xml:space="preserve">  (1) Development of Maritime NTSP: Pra-FS
(2) Revitalization Infrastructure Marine Survey: (tidak ada data)  </t>
  </si>
  <si>
    <t xml:space="preserve">  (1) Development of Maritime NTSP: 20%
(2) Revitalization Infrastructure Marine Survey: tidak memerlukan lahan  </t>
  </si>
  <si>
    <t xml:space="preserve">  (1) Development of Maritime NTSP: belum ada tender
(2) Revitalization Infrastructure Marine Survey:belum ada tender  </t>
  </si>
  <si>
    <t>- tidak diketahui berapa persen proses pelaksanaannya
- belum ada dokumen R/C</t>
  </si>
  <si>
    <t>- Selain Perancis , pihak BPPT mengkonfirmasikan bahwa Korea berminat untuk menjadi lender pada proyek NSTP Maritim Kab. PPU
- Pelaksanaannya direncanakan tahun 2016 dan tahun 2017
-  Konfirmasi melalui e-mail tanggal 10 Sept 2015</t>
  </si>
  <si>
    <t>Pembangunan dermaga kapal riset, laboratorium kemaritiman, workshop, dan sarana prasarana penunjang darat lainnya serta Revitalisasi 4 buah kapal riset Baruna Jaya I, II, III, dan IV dan peralatan survei kelautan lainnya</t>
  </si>
  <si>
    <t>Badan Informasi Geospasial (BIG)</t>
  </si>
  <si>
    <t>Implementation of Geospatial Information Program</t>
  </si>
  <si>
    <t>Program Implementasi Informasi Geospasial</t>
  </si>
  <si>
    <t>The Acceleration Program for One Map Policy Implementation</t>
  </si>
  <si>
    <t>Lembaga Ilmu Pengetahuan Indonesia (LIPI)</t>
  </si>
  <si>
    <t>Marine Research Development Program</t>
  </si>
  <si>
    <t xml:space="preserve">Program Pengembangan Penelitian Kelautan </t>
  </si>
  <si>
    <t>Procurement Multi Purposes Research Vessel</t>
  </si>
  <si>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t>
    </r>
  </si>
  <si>
    <r>
      <rPr>
        <b/>
        <sz val="12"/>
        <color theme="1"/>
        <rFont val="Cambria"/>
        <family val="1"/>
      </rPr>
      <t xml:space="preserve">NILAI PINJAMAN </t>
    </r>
    <r>
      <rPr>
        <b/>
        <i/>
        <sz val="12"/>
        <color theme="1"/>
        <rFont val="Cambria"/>
        <family val="1"/>
      </rPr>
      <t>BLUE BOOK</t>
    </r>
    <r>
      <rPr>
        <b/>
        <sz val="12"/>
        <color theme="1"/>
        <rFont val="Cambria"/>
        <family val="1"/>
      </rPr>
      <t xml:space="preserve"> 
2015-2019</t>
    </r>
  </si>
  <si>
    <r>
      <rPr>
        <b/>
        <sz val="12"/>
        <color theme="1"/>
        <rFont val="Cambria"/>
        <family val="1"/>
      </rPr>
      <t xml:space="preserve">NILAI PINJAMAN REVISI </t>
    </r>
    <r>
      <rPr>
        <b/>
        <i/>
        <sz val="12"/>
        <color theme="1"/>
        <rFont val="Cambria"/>
        <family val="1"/>
      </rPr>
      <t>BLUE BOOK</t>
    </r>
    <r>
      <rPr>
        <b/>
        <sz val="12"/>
        <color theme="1"/>
        <rFont val="Cambria"/>
        <family val="1"/>
      </rPr>
      <t xml:space="preserve"> 
2015-2019</t>
    </r>
  </si>
  <si>
    <r>
      <rPr>
        <b/>
        <sz val="12"/>
        <rFont val="Cambria"/>
        <family val="1"/>
      </rPr>
      <t xml:space="preserve">NILAI PENDAMPING REVISI </t>
    </r>
    <r>
      <rPr>
        <b/>
        <i/>
        <sz val="12"/>
        <rFont val="Cambria"/>
        <family val="1"/>
      </rPr>
      <t>BLUE BOOK</t>
    </r>
    <r>
      <rPr>
        <b/>
        <sz val="12"/>
        <rFont val="Cambria"/>
        <family val="1"/>
      </rPr>
      <t xml:space="preserve"> 
2015-2019</t>
    </r>
  </si>
  <si>
    <r>
      <rPr>
        <b/>
        <sz val="12"/>
        <rFont val="Cambria"/>
        <family val="1"/>
      </rPr>
      <t xml:space="preserve">NILAI HIBAH REVISI </t>
    </r>
    <r>
      <rPr>
        <b/>
        <i/>
        <sz val="12"/>
        <rFont val="Cambria"/>
        <family val="1"/>
      </rPr>
      <t>BLUE BOOK</t>
    </r>
    <r>
      <rPr>
        <b/>
        <sz val="12"/>
        <rFont val="Cambria"/>
        <family val="1"/>
      </rPr>
      <t xml:space="preserve"> 
2015-2019</t>
    </r>
  </si>
  <si>
    <r>
      <rPr>
        <b/>
        <sz val="12"/>
        <color theme="1"/>
        <rFont val="Cambria"/>
        <family val="1"/>
      </rPr>
      <t xml:space="preserve">TOTAL NILAI REVISI </t>
    </r>
    <r>
      <rPr>
        <b/>
        <i/>
        <sz val="12"/>
        <color theme="1"/>
        <rFont val="Cambria"/>
        <family val="1"/>
      </rPr>
      <t>BLUE BOOK</t>
    </r>
    <r>
      <rPr>
        <b/>
        <sz val="12"/>
        <color theme="1"/>
        <rFont val="Cambria"/>
        <family val="1"/>
      </rPr>
      <t xml:space="preserve"> 
2015-2019</t>
    </r>
  </si>
  <si>
    <t>KETERANGAN
REVISI BLUE BOOK
2015-2019</t>
  </si>
  <si>
    <t>STATUS KESIAPAN</t>
  </si>
  <si>
    <r>
      <rPr>
        <b/>
        <sz val="12"/>
        <color rgb="FFFF0000"/>
        <rFont val="Cambria"/>
        <family val="1"/>
      </rPr>
      <t xml:space="preserve">NILAI PENDAMPING REVISI </t>
    </r>
    <r>
      <rPr>
        <b/>
        <i/>
        <sz val="12"/>
        <color rgb="FFFF0000"/>
        <rFont val="Cambria"/>
        <family val="1"/>
      </rPr>
      <t>BLUE BOOK</t>
    </r>
    <r>
      <rPr>
        <b/>
        <sz val="12"/>
        <color rgb="FFFF0000"/>
        <rFont val="Cambria"/>
        <family val="1"/>
      </rPr>
      <t xml:space="preserve"> 
2015-2019</t>
    </r>
  </si>
  <si>
    <t xml:space="preserve">KONFIRMASI INSTANSI PENGUSUL </t>
  </si>
  <si>
    <t>CATATAN DEPUTI PENDANAAN</t>
  </si>
  <si>
    <t xml:space="preserve">NILAI BELUM ADA INDIKASI LENDER (USD) </t>
  </si>
  <si>
    <t>DOKUMEN PENYIAPAN</t>
  </si>
  <si>
    <t>TTD LA</t>
  </si>
  <si>
    <t>N</t>
  </si>
  <si>
    <t>O</t>
  </si>
  <si>
    <t>Pembulatan nilai pinjaman semula USD 461.428.572 &amp; pendamping USD 81.428.571</t>
  </si>
  <si>
    <t xml:space="preserve">Pembulatan nilai pinjaman semula USD 27.402.632 </t>
  </si>
  <si>
    <t>Pembulatan nilai pinjaman semula USD 186.237.914</t>
  </si>
  <si>
    <t>Pembulatan nilai pinjaman semula USD 73.732.637</t>
  </si>
  <si>
    <t>Pembulatan nilai pinjaman semula USD 48.543.129 &amp; pendamping USD 6.552.248</t>
  </si>
  <si>
    <t>Pembulatan nilai pinjaman semula USD 53.879.332 &amp; pendamping USD 4.967.162</t>
  </si>
  <si>
    <t>Pembulatan nilai pinjaman semula USD 32.709.452 &amp; pendamping USD 5.567.540</t>
  </si>
  <si>
    <t>Pembulatan nilai pinjaman semula USD 51.777.778 &amp; pendamping USD 6.994.667</t>
  </si>
  <si>
    <t>Pembulatan nilai pinjaman semula USD 49.950.103 &amp; pendamping USD 5.040.713</t>
  </si>
  <si>
    <t>Pembulatan nilai pinjaman semula USD 59.935.474 &amp; pendamping USD 10.404.289</t>
  </si>
  <si>
    <t>Kementerian ATR/BPN</t>
  </si>
  <si>
    <t xml:space="preserve">Program Implementasi Informasi Geospasial dan Infrastruktur Keagrariaan </t>
  </si>
  <si>
    <t xml:space="preserve">Program to Accelerate Agrarian Reform </t>
  </si>
  <si>
    <t>Badan Tenaga Nuklir Nasional (BATAN)</t>
  </si>
  <si>
    <t xml:space="preserve">Program Penelitian, Pengembangan dan Penerapan Energy Nuklir, Isotop, dan Radiasi </t>
  </si>
  <si>
    <t>Development of Indonesia Experimental Power Reactor</t>
  </si>
  <si>
    <t xml:space="preserve"> </t>
  </si>
  <si>
    <r>
      <rPr>
        <b/>
        <sz val="14"/>
        <color theme="1"/>
        <rFont val="Cambria"/>
        <family val="1"/>
      </rPr>
      <t xml:space="preserve">INDIKASI LENDER &amp; KESIAPAN KEGIATAN PADA PROYEK DRPLN-JM </t>
    </r>
    <r>
      <rPr>
        <b/>
        <i/>
        <sz val="14"/>
        <color theme="1"/>
        <rFont val="Cambria"/>
        <family val="1"/>
      </rPr>
      <t>(BLUE BOOK)</t>
    </r>
    <r>
      <rPr>
        <b/>
        <sz val="14"/>
        <color theme="1"/>
        <rFont val="Cambria"/>
        <family val="1"/>
      </rPr>
      <t xml:space="preserve"> 2015-2019</t>
    </r>
  </si>
  <si>
    <t>~KEMENTERIAN/LENDER ….. ~</t>
  </si>
  <si>
    <t>(Update Data 2/20 November 2015)</t>
  </si>
  <si>
    <t xml:space="preserve">NILAI PINJAMAN KEGIATAN SUDAH ADA INDIKASI LENDER (USD) </t>
  </si>
  <si>
    <t xml:space="preserve">NILAI PINJAMAN KEGIATAN BELUM ADA INDIKASI LENDER (USD) </t>
  </si>
  <si>
    <t>nilai proyek berkurang USD 45 juta, dialihkan untuk kegiatan ESP</t>
  </si>
  <si>
    <t>nilai pinjaman berkurang sebesar USD 26,38 juta untuk kegiatan ES</t>
  </si>
  <si>
    <t>dalam proses
(plahsanaan &lt;50%)</t>
  </si>
  <si>
    <t>tidak diketahui dalam proses apa</t>
  </si>
  <si>
    <t>nilai pinjaman berkurang sebesar USD 25,20 juta untuk kegiatan ES</t>
  </si>
  <si>
    <t>karena DED dalam proses finalisasi, maka diasumsikan memiliki FS</t>
  </si>
  <si>
    <t>untuk yang Phase II: belum ada penyiapan</t>
  </si>
  <si>
    <t>dialihkan ke rupiah murni</t>
  </si>
  <si>
    <t>tidak diketahu dalam proses apa</t>
  </si>
  <si>
    <r>
      <rPr>
        <sz val="10"/>
        <color theme="1"/>
        <rFont val="Cambria"/>
        <family val="1"/>
      </rPr>
      <t>Construction of Jakarta Mass Rapid Transit Project</t>
    </r>
    <r>
      <rPr>
        <vertAlign val="superscript"/>
        <sz val="10"/>
        <color theme="1"/>
        <rFont val="Cambria"/>
        <family val="1"/>
      </rPr>
      <t xml:space="preserve"> 1)</t>
    </r>
  </si>
  <si>
    <r>
      <rPr>
        <sz val="10"/>
        <color theme="1"/>
        <rFont val="Cambria"/>
        <family val="1"/>
      </rPr>
      <t xml:space="preserve">National Criminal Information Center for Indonesian National Police - Phase II </t>
    </r>
    <r>
      <rPr>
        <vertAlign val="superscript"/>
        <sz val="10"/>
        <color theme="1"/>
        <rFont val="Cambria"/>
        <family val="1"/>
      </rPr>
      <t>2)</t>
    </r>
  </si>
  <si>
    <t>dalam proses
(pelaksanaan 85%)</t>
  </si>
  <si>
    <t>tidak diketahui berapa persen proses pelaksanaannya</t>
  </si>
  <si>
    <r>
      <rPr>
        <sz val="10"/>
        <color theme="1"/>
        <rFont val="Cambria"/>
        <family val="1"/>
      </rPr>
      <t>Outer Ring Fishing Ports Development - Phase I</t>
    </r>
    <r>
      <rPr>
        <vertAlign val="superscript"/>
        <sz val="10"/>
        <color theme="1"/>
        <rFont val="Cambria"/>
        <family val="1"/>
      </rPr>
      <t xml:space="preserve"> 3)</t>
    </r>
  </si>
  <si>
    <t>dibatalkan oleh KKP</t>
  </si>
  <si>
    <t>1) Belum ada konfirmasi. Berdasarkan data dokumen kesiapan (RC)</t>
  </si>
  <si>
    <t>2) Belum ada konfirmasi. Berdasarkan data dokumen kesiapan (RC)</t>
  </si>
  <si>
    <t>3) Belum ada konfirmasi.</t>
  </si>
  <si>
    <t>(Data 23 Agustus 2017)</t>
  </si>
  <si>
    <t>NILAI PINJAMAN</t>
  </si>
  <si>
    <t>STATUS</t>
  </si>
  <si>
    <t>Rencana Penarikan</t>
  </si>
  <si>
    <t>1st</t>
  </si>
  <si>
    <t>2nd</t>
  </si>
  <si>
    <t>3rd</t>
  </si>
  <si>
    <t>4th</t>
  </si>
  <si>
    <t>5th</t>
  </si>
  <si>
    <t>GB 2017: kegiatan Cisumdawu Toll Road Phase III (USD 156 juta)</t>
  </si>
  <si>
    <t>co-financing dengan Korea USD 250 juta</t>
  </si>
  <si>
    <t>- Masuk dalam dokumen CPS
- Co-financing dengan RRT USD 1 miliar
- Diperlukan konfirmasi terkait penggunaan Korea sebagai lender</t>
  </si>
  <si>
    <t>Belum ada usulan K/L</t>
  </si>
  <si>
    <t>- Potensial ditunda
- Menunggu konfirmasi  dari K/L</t>
  </si>
  <si>
    <t>- Potensial ditunda
- Menunggu konfirmasi dari K/L</t>
  </si>
  <si>
    <t>Masuk dalam MoU RRT sebesar USD 1 Miliar</t>
  </si>
  <si>
    <t>- Potensial ditunda
- Menunggu konfirmasi penggunaan Rupiah Murni dari K/L</t>
  </si>
  <si>
    <t>Masuk dalam dokumen CPS</t>
  </si>
  <si>
    <t>- Terdapat dalam dokumen MCPS IDB
- Co-financing sebagian dengan SFD dengan (Nominal pinjaman belum dikonfirmasi antara IDB-SFD)</t>
  </si>
  <si>
    <t>SFD</t>
  </si>
  <si>
    <t>Belum ada pembicaraan antara K/L dengan pihak Lender</t>
  </si>
  <si>
    <t>Terdapat dalam dokumen MCPS</t>
  </si>
  <si>
    <t xml:space="preserve">- GB 2017
- Proses Daftar Kegiatan </t>
  </si>
  <si>
    <t>Sudah ada proses pemantapan Safe Guard (Amdal, DED)/ Pemantapan FS</t>
  </si>
  <si>
    <t>The Development of Regional Water Supply System in Selected Areas</t>
  </si>
  <si>
    <t>Sudah terdapat RC</t>
  </si>
  <si>
    <t>Dalam proses pre-request</t>
  </si>
  <si>
    <t>AFD</t>
  </si>
  <si>
    <t>Proses penyiapan FS</t>
  </si>
  <si>
    <t>Masuk dalam dokumen CPF</t>
  </si>
  <si>
    <t>Masuk Summary of Record (proporsional loan)</t>
  </si>
  <si>
    <t>World Bank</t>
  </si>
  <si>
    <t>AFD/World Bank</t>
  </si>
  <si>
    <t>- Masuk dalam dokumen CPS 
- Direncanakan masuk GB 2018
- Diperlukan konfirmasi time frame dan time line perencanaan
- Menunggu proses penyelesaian DAM</t>
  </si>
  <si>
    <t>Proses penyiapan RC</t>
  </si>
  <si>
    <t>Ditargetkan masuk GB 2018</t>
  </si>
  <si>
    <t>- Terdapat dalam dokumen COBP
- Co-financing dengan IDB USD 125 juta
- Terdapat hibah yang berasal dari ADB berupa Individual Consultant
- Direncanakan masuk dalam GB 2018</t>
  </si>
  <si>
    <t>- Terdapat dalam dokumen MCPS
- Co-financing dengan ADB USD 125 juta
- Pernah dibahas dalam rapat 1 Nov 2017</t>
  </si>
  <si>
    <t>Proses penyusunan FS</t>
  </si>
  <si>
    <t>- Co-financing dengan IDB USD 325 juta, Bank Dunia USD 200 juta 
- Dalam tahapan PPTA/Project Identification</t>
  </si>
  <si>
    <t xml:space="preserve">- Co-financing dengan IDB USD 325 juta, Bank Dunia USD 200 juta &amp; ADB USD 400 juta
- Kem. PUPR mengusulkan kegiatan Sanitation System Development in Bogor City sebesar USD 56,4 juta
- Belum ada persetujuan sektor untuk masuk GB </t>
  </si>
  <si>
    <t xml:space="preserve">- Terdapat dalam dokumen MCPS
- Co-financing dengan ADB USD 400 juta, Bank Dunia USD 200 juta </t>
  </si>
  <si>
    <t>- Masuk dalam dokumen CPF
- Co-financing dengan IDB USD 325 juta, ADB USD 400 juta  
- Terdapat hibah penyusunan FS dari ADB</t>
  </si>
  <si>
    <t>- Tidak menjadi prioritas JICA tahun 2017 (ditolak)
- Diidikasikan menggunakan Rupiah Murni</t>
  </si>
  <si>
    <t>- Diusulkan untuk masuk dalam GB 2019 (Rapat pada tanggal 24 Januari 2019)</t>
  </si>
  <si>
    <t>- Kem. PUPR mengusulkan kegiatan  Sustainable Urban Development in Indonesia (Eco District) sebesar USD 61,1 juta. -Diusulkan untuk pindah ke program Pembangunan Kota Berkelanjutan, namun belum ada usulan resmi.</t>
  </si>
  <si>
    <t>- GB 2017
- Belum pre-request</t>
  </si>
  <si>
    <t>Masih dan proses pembahasan lanjutan (suplemental study)</t>
  </si>
  <si>
    <t>Masuk dalam perbincangan prioritas kegiatan JICA yang diusulkan (policy dialog)</t>
  </si>
  <si>
    <t>- GB 2017 (USD 49,6 juta)
- Dalam proses penyusunan Daftar Kegiatan</t>
  </si>
  <si>
    <t>- GB 2017
- DK tanggal 28 September 2016
- Signed LA 31 Juli 2017</t>
  </si>
  <si>
    <t>- Co- financing dengan AIF (Asia Infrastructure Fund) dan IFAD masing-masing USD 100 juta
- Persetujuan pinjaman sudah di Board Approval</t>
  </si>
  <si>
    <t>- Persiapan masih jauh masih menunggu pelaksanaan IPDMIP Phase I
- Terdapat nilai pinjaman yang belum ada indikasi pendanaannya USD 100 juta. 
- Potensi ditunda
- Rencana dilaksanakan tahun 2018</t>
  </si>
  <si>
    <t>- Co-financing dengan ADB
- Nilai pinjaman dari IFAD belum tentu USD 100 juta, karena ada rencana penambahan pinjaman dari IFAD dengan total nilai (USD 150 juta) untuk 3 kegiatan</t>
  </si>
  <si>
    <t>GB 2017</t>
  </si>
  <si>
    <t>- Masuk dalam dokumen CPS 
- Akan ada mission lanjutan dari EDGF untuk konfirmasi ruang lingkup
- Terdapat konfirmasi penyusunan RC terbaru</t>
  </si>
  <si>
    <t>- Kem. PUPR mengusulkan kegiatan SIMURP (Strategic Irrigation Modernization and Urgent Rehabilitation Project) yang merupakan penggabungan kegiatan URIP dan MSIP senilai USD 500 juta
- Dalam proses pemantapan desain kegiatan
- Rencana pengusulan GB 2018</t>
  </si>
  <si>
    <t>- Sebelum nya berada dalam indikasi lender ADB,
- Dalam dokumen rencana pendanaan ADB (COBP) tidak tercantum kegiatan ini</t>
  </si>
  <si>
    <t>- Direncanakan masuk GB 2018
- Diperlukan konfirmasi time frame dan time line perencanaan
- Menunggu proses penyelesaian DAM</t>
  </si>
  <si>
    <t>- Sudah terdapat penandatanganan MOU kontrak dari Kemenkeu terkait pendanaan kegiatan Kem.PUPR (USD 1 milyar)
- Perlu dikonfirmasi lebih lanjut. 
- Masuk daftar proyek dalam lampiran MoU dengan RRT</t>
  </si>
  <si>
    <r>
      <rPr>
        <sz val="10"/>
        <color rgb="FF000000"/>
        <rFont val="Cambria"/>
        <family val="1"/>
      </rPr>
      <t xml:space="preserve">- Sudah terdapat penandatanganan MOU kontrak dari Kemenkeu terkait pendanaan kegiatan Kem.PUPR (USD 1 milyar)
- Perlu dikonfirmasi lebih lanjut. </t>
    </r>
    <r>
      <rPr>
        <sz val="10"/>
        <color rgb="FFFF0000"/>
        <rFont val="Cambria"/>
        <family val="1"/>
      </rPr>
      <t xml:space="preserve">
- Masuk daftar proyek dalam lampiran MoU dengan RRT</t>
    </r>
  </si>
  <si>
    <t>Diindikasaikan menggunakan Rupiah Murni</t>
  </si>
  <si>
    <r>
      <rPr>
        <sz val="10"/>
        <color rgb="FF000000"/>
        <rFont val="Cambria"/>
        <family val="1"/>
      </rPr>
      <t>- Sudah terdapat penandatanganan MOU kontrak dari Kemenkeu terkait pendanaan kegiatan Kem.PUPR (USD 1 milyar)
- Perlu dikonfirmasi lebih lanjut.  
-</t>
    </r>
    <r>
      <rPr>
        <sz val="10"/>
        <color rgb="FFFF0000"/>
        <rFont val="Cambria"/>
        <family val="1"/>
      </rPr>
      <t xml:space="preserve"> Masuk daftar proyek dalam lampiran MoU dengan RRT</t>
    </r>
  </si>
  <si>
    <t>- GB 2017
- DK tanggal Feb 2017
- Tahap negoisasi (cek update)</t>
  </si>
  <si>
    <t>Engineering Service untuk 8 DAM yang konstruksinya dapat menggunakan sumber pendanaan lainnya</t>
  </si>
  <si>
    <t>- Direncanakan pengusulan untuk GB 2018
- K/L terkait belum mengusulkan</t>
  </si>
  <si>
    <t>Terdapat dalam dokumen COBP</t>
  </si>
  <si>
    <t>Engineering Service untuk 4 sungai yang konstruksinya dapat menggunakan sumber pendanaan lainnya</t>
  </si>
  <si>
    <t>- Sebelum nya berada dalam indikasi lender ADB
- Dalam dokumen rencana pendanaan ADB (COBP) tidak tercantum kegiatan ini</t>
  </si>
  <si>
    <t>Proses penyusunan RC</t>
  </si>
  <si>
    <t>Dalam penyusunan FS dengan menggunakan pinjaman Bank Dunia</t>
  </si>
  <si>
    <t>- GB 2017
- DK tanggal 11 Jan 2017
- Sudah LA Februari 2017</t>
  </si>
  <si>
    <r>
      <rPr>
        <sz val="10"/>
        <color rgb="FF000000"/>
        <rFont val="Cambria"/>
        <family val="1"/>
      </rPr>
      <t xml:space="preserve">- Diperlukan konfirmasi time frame
- Masuk dalam MoU RRT sebesar USD 1 Miliar </t>
    </r>
    <r>
      <rPr>
        <sz val="10"/>
        <color rgb="FFFF0000"/>
        <rFont val="Cambria"/>
        <family val="1"/>
      </rPr>
      <t>(cek ulang)</t>
    </r>
  </si>
  <si>
    <t>Masuk dalam MoU RRT sebesar USD 1 Miliar (cek ulang)</t>
  </si>
  <si>
    <t xml:space="preserve">Construction of Jakarta Mass Rapid Transit North-South Line Project (Lebak Bulus-Kampung Bandan) </t>
  </si>
  <si>
    <t>Terdapat penambahan ruang lingkup biaya tambahan pembangunan MRT Fase 1 (USD 191 juta)</t>
  </si>
  <si>
    <r>
      <rPr>
        <sz val="10"/>
        <color rgb="FF000000"/>
        <rFont val="Cambria"/>
        <family val="1"/>
      </rPr>
      <t xml:space="preserve">Terdapat permintaan Kem. Perhubungan untuk pembatalan ES </t>
    </r>
    <r>
      <rPr>
        <i/>
        <sz val="10"/>
        <color rgb="FF000000"/>
        <rFont val="Cambria"/>
        <family val="1"/>
      </rPr>
      <t>(Engineering Services)</t>
    </r>
    <r>
      <rPr>
        <sz val="10"/>
        <color rgb="FF000000"/>
        <rFont val="Cambria"/>
        <family val="1"/>
      </rPr>
      <t>MRT koridor East West pada 29 Mei 2017</t>
    </r>
  </si>
  <si>
    <t xml:space="preserve">- Masuk Summary of Record (proposal loan)
- Dalam proses pre-request
- Sedang dilakukan FS kegiatan dari sumber pendanaan hibah </t>
  </si>
  <si>
    <t>KOREA</t>
  </si>
  <si>
    <t xml:space="preserve">Masuk dalam dokumen CPS </t>
  </si>
  <si>
    <r>
      <rPr>
        <sz val="10"/>
        <color rgb="FF000000"/>
        <rFont val="Cambria"/>
        <family val="1"/>
      </rPr>
      <t xml:space="preserve">- Masuk dalam dokumen CPS 
- Direncanakan Korea akan memberi pinjaman USD 33 juta </t>
    </r>
    <r>
      <rPr>
        <b/>
        <sz val="10"/>
        <color rgb="FF000000"/>
        <rFont val="Cambria"/>
        <family val="1"/>
      </rPr>
      <t>(perlu konfirmasi dengan Dit. Bila). (Cek Update)</t>
    </r>
  </si>
  <si>
    <t>- GB 2017 (USD 1.025 juta)
- DK tanggal 31 Juli 2017
- Sudah LA tanggal 15 November 2017</t>
  </si>
  <si>
    <t>- Sudah LA tanggal 15 November 2017
- Rencana penarikan tahun pertama 96,103 jt/7th
- Dalam Nota Dinas Sari Direktur Pendanaan Luar Negeri Bilateral (No. 020/Dt.8.3.ND/01/2018) ruang lingkup pelabuhan patimban adalah pelabuhan dan jalan akses
- Nilai penarikan 2019 adalah 219,1 USD juta</t>
  </si>
  <si>
    <t>Belum ada kepastian lender dari sisi K/L</t>
  </si>
  <si>
    <t>- Potensial ditunda
- Diperlukan konfirmasi karena masuk ke dalam GB sebanyak 5 kali</t>
  </si>
  <si>
    <t>- Potensial ditunda
- HVDC Phase 2 (proyek on-going) ditangguhkan pelaksanaannya sampai 2021</t>
  </si>
  <si>
    <t>Akan diproses 2018</t>
  </si>
  <si>
    <t>-Direct lending
- Sebelumnya berada dalam indikasi Jerman (KfW)</t>
  </si>
  <si>
    <t>GB 2017 (USD 300 juta)</t>
  </si>
  <si>
    <t>Akan diproses lebih lanjut slice 2 pada GB 2019</t>
  </si>
  <si>
    <t>- Potensial ditunda
- Kegiatan Cisokan I di batalkan (Surat PLN Maret 2017) 
- Apakah Direct Lending ?</t>
  </si>
  <si>
    <t>Direncanakan menggunakan direct lending, namun jangan dihapus dari BB dulu</t>
  </si>
  <si>
    <t>Potensial direct lending</t>
  </si>
  <si>
    <t>- Potensial ditunda
- Saat ini terdapat kegiatan yang penyusunan FS yang bersumber dari hibah</t>
  </si>
  <si>
    <t xml:space="preserve">- GB 2017
- DK tanggal 31 Juli 2017
- Sudah LA Februari 2017 </t>
  </si>
  <si>
    <t>Co-financing dengan ADB USD 100 juta ditunda (Maret 2017)</t>
  </si>
  <si>
    <t>- Terdapat dalam dokumen COBP
- Co-financing dengan Bank Dunia USD 200 juta
- Direncanakan masuk GB 2019</t>
  </si>
  <si>
    <t>- GB 2017 (USD 31,52 juta)
- DK tanggal 31 Juli 2017</t>
  </si>
  <si>
    <t>Direncanakan signing 2017</t>
  </si>
  <si>
    <t>- GB 2017
- DK tanggal 31 Juli 2017
- Sudah LA November 2017</t>
  </si>
  <si>
    <t>Diperlukan konfirmasi dengan Dit. Bila</t>
  </si>
  <si>
    <t>GB 2017 (USD 39.800.000)</t>
  </si>
  <si>
    <t>sisa nilai proyek karena ada perubahan dari BB ke GB</t>
  </si>
  <si>
    <t>GB 2017 (USD 38.200.000)</t>
  </si>
  <si>
    <t>The Development of Ar-Raniry State Islamic University (UIN Ar-Raniry) Phase II Project in Aceh</t>
  </si>
  <si>
    <t>The Development and Upgrading of State Islamic University Sunan Gunung Djati, Bandung, Phase 2 Project</t>
  </si>
  <si>
    <t>The Development of Faculty of Medicine - Health Sciences and Post Graduates of The Islamic State University of Alaudin, Makassar Project</t>
  </si>
  <si>
    <t>GB 2017 (USD 150 juta)</t>
  </si>
  <si>
    <t xml:space="preserve">Program Penguatan Sektor Keuangan </t>
  </si>
  <si>
    <t>Promoting Sharia Finance in Indonesia through Technical Assistance and Financial Support for the National Committee on Sharia Finance</t>
  </si>
  <si>
    <t>Belum terdapat dalam dokumen MCPS</t>
  </si>
  <si>
    <t>- Kem. Kesehatan mengusulkan kegiatan I-SPHERE yang merupakan penggabungan ruang lingkup dari 2 program (USD 150 juta) yaitu
1. Basic Health Care Program
2. Health Services Referral Program
-Menggunakan skema pembiayaan PforR (Program for Result)</t>
  </si>
  <si>
    <t>Terdapat perubahan institusi pelaksana menjadi Biro Perencanaan Kemenkes. (Sebelumnya BPPSDMK, untuk mempercepat proses sehingga diubah.)</t>
  </si>
  <si>
    <t>Proses penyusunan RC/FS</t>
  </si>
  <si>
    <t xml:space="preserve"> Co-financing sebagian dengan IDB (USD 125 juta)</t>
  </si>
  <si>
    <t>Co-financing sebagian dengan SFD (USD 686,2 juta)</t>
  </si>
  <si>
    <t>Co-financing dengan IDB (USD 125 juta)</t>
  </si>
  <si>
    <t>Co-financing dengan SFD (USD 410,7 juta)</t>
  </si>
  <si>
    <t>Dalam tahapan Design Mission / Project Identifcation</t>
  </si>
  <si>
    <t>- GB 2017 (USD 39,8 juta)
- Proses Daftar Kegiatan</t>
  </si>
  <si>
    <t>-Terdapat pergantian nama menjadi Rural Empowerment and Agricultural Development (READ) Programme 
– Phase II karena dilakukan tidak di Sulawesi
- Kekurangan USD 9,8 juta mengambil alokasi dari pinjaman kegiatan YESS</t>
  </si>
  <si>
    <t>Austria/ Jerman (KfW)</t>
  </si>
  <si>
    <t>- Terdapat 2 lender yang berminat
- Austria sudak melakukan cek lokasi
- Belum ada rekonfirm dari Kem. Ketenagakerjaan</t>
  </si>
  <si>
    <t>GB 2017 ( terdapat 3 kegiatan x USD 10 juta)</t>
  </si>
  <si>
    <t>RS. PELAMONIA, RS. Putri Hijau, RS. Udayana</t>
  </si>
  <si>
    <t>GB 2017 (USD 15 juta)</t>
  </si>
  <si>
    <t>RS. Wahyu Slamet</t>
  </si>
  <si>
    <t>RS. Dodi Sarjoto</t>
  </si>
  <si>
    <t xml:space="preserve">Perancis </t>
  </si>
  <si>
    <t>Co-financing dengan Perancis (USD 78,9 juta) dan US Exim (USD 71,1 juta)</t>
  </si>
  <si>
    <t>Pembahasan scope kegiatan dengan K/L</t>
  </si>
  <si>
    <t>Sudah ada RC (versi BIG)</t>
  </si>
  <si>
    <t>- Masuk dalam dokumen CPF
- Terdapat perubahan instansi pengusul yang sebelumnya Badan Informasi Geospasial (BIG)</t>
  </si>
  <si>
    <r>
      <rPr>
        <b/>
        <sz val="14"/>
        <color theme="1"/>
        <rFont val="Cambria"/>
        <family val="1"/>
      </rPr>
      <t xml:space="preserve">DAFTAR PROYEK DI DRPLN-JM </t>
    </r>
    <r>
      <rPr>
        <b/>
        <i/>
        <sz val="14"/>
        <color theme="1"/>
        <rFont val="Cambria"/>
        <family val="1"/>
      </rPr>
      <t>(BLUE BOOK)</t>
    </r>
    <r>
      <rPr>
        <b/>
        <sz val="14"/>
        <color theme="1"/>
        <rFont val="Cambria"/>
        <family val="1"/>
      </rPr>
      <t xml:space="preserve"> 2015-2019</t>
    </r>
  </si>
  <si>
    <t>+ Rev 1 + Rev 2</t>
  </si>
  <si>
    <t>Keterangan</t>
  </si>
  <si>
    <t>BB-R1 (baru)</t>
  </si>
  <si>
    <t>BB-R1 : perubahan nama dan perubahan nilai pinjaman dari USD 300 juta menjadi USD 450 juta</t>
  </si>
  <si>
    <t>BB-R2 : penambahan nilai pinjaman USD 191 juta</t>
  </si>
  <si>
    <r>
      <rPr>
        <sz val="7"/>
        <color rgb="FF000000"/>
        <rFont val="Times New Roman"/>
        <family val="1"/>
      </rPr>
      <t xml:space="preserve"> </t>
    </r>
    <r>
      <rPr>
        <sz val="10.5"/>
        <color rgb="FF000000"/>
        <rFont val="Footlight MT Light"/>
        <family val="1"/>
      </rPr>
      <t>Development and Improvement of Indonesian Aids to Navigation</t>
    </r>
  </si>
  <si>
    <r>
      <rPr>
        <sz val="10"/>
        <color theme="1"/>
        <rFont val="Cambria"/>
        <family val="1"/>
      </rPr>
      <t>Construction of Jakarta Mass Rapid Transit Project</t>
    </r>
    <r>
      <rPr>
        <vertAlign val="superscript"/>
        <sz val="10"/>
        <color theme="1"/>
        <rFont val="Cambria"/>
        <family val="1"/>
      </rPr>
      <t xml:space="preserve"> </t>
    </r>
  </si>
  <si>
    <t xml:space="preserve">National Criminal Information Center for Indonesian National Police - Phase II </t>
  </si>
  <si>
    <t>BB-R2 (baru)</t>
  </si>
  <si>
    <t>Outer Ring Fishing Ports Development - Phase I</t>
  </si>
  <si>
    <t>BB-R2: Perubahan Executing Agency dari BIG</t>
  </si>
  <si>
    <t>Kegiatan pada DRPLN-JM/Blue Book 2015-2019 dan Revisinya
yang Sudah Ditandatangani Perjanjian Pinjamannya</t>
  </si>
  <si>
    <t>MAPPING</t>
  </si>
  <si>
    <t>….</t>
  </si>
  <si>
    <t>Belum Proses</t>
  </si>
  <si>
    <t>NO.</t>
  </si>
  <si>
    <t>NILAI PINJAMAN BLUE BOOK 2015-2019 DAN REVISINYA</t>
  </si>
  <si>
    <t>NILAI PINJAMAN PADA LOAN AGREEMENT</t>
  </si>
  <si>
    <t>Tahun Signing</t>
  </si>
  <si>
    <t>nilai pinjaman</t>
  </si>
  <si>
    <t>LA</t>
  </si>
  <si>
    <t>jalan</t>
  </si>
  <si>
    <t>GB</t>
  </si>
  <si>
    <t>Dalam Proses</t>
  </si>
  <si>
    <t>DK</t>
  </si>
  <si>
    <t>2016</t>
  </si>
  <si>
    <t>RC</t>
  </si>
  <si>
    <t>Nilai pinjaman di GB 38.100 ribu</t>
  </si>
  <si>
    <t>SDA</t>
  </si>
  <si>
    <t>Nilai pinjaman di GB USD 2.000 ribu</t>
  </si>
  <si>
    <r>
      <rPr>
        <sz val="10"/>
        <color theme="1"/>
        <rFont val="Cambria"/>
        <family val="1"/>
      </rPr>
      <t xml:space="preserve">2016 </t>
    </r>
    <r>
      <rPr>
        <i/>
        <sz val="10"/>
        <color theme="1"/>
        <rFont val="Cambria"/>
        <family val="1"/>
      </rPr>
      <t>rev</t>
    </r>
  </si>
  <si>
    <t>Integrated Masterplan for Priority Tourism Destination</t>
  </si>
  <si>
    <t>Integrated Participatory Development and Management of Irrigation Project</t>
  </si>
  <si>
    <t>Dam Operational Improvement and Safety Project (DOISP) - Phase II)</t>
  </si>
  <si>
    <t>World Bank-AIIB</t>
  </si>
  <si>
    <t>Construction of Development of Trans South- South, Eastern Java</t>
  </si>
  <si>
    <t>perhub</t>
  </si>
  <si>
    <t>PT. PLN</t>
  </si>
  <si>
    <t>Kementerian Riset Teknologi dan Pendidikan Tinggi</t>
  </si>
  <si>
    <t xml:space="preserve"> Bank Dunia tidak berminat mendanai kegiatan ini. </t>
  </si>
  <si>
    <t>total belum ada indikasi menjadi USD 686,2 juta karena ditambahkan USD 225 juta dari yang sebelumnya Bank Dunia.</t>
  </si>
  <si>
    <t xml:space="preserve">Bank Dunia tidak berminat mendanai kegiatan ini. </t>
  </si>
  <si>
    <t>'belum ada dokumen R/C</t>
  </si>
  <si>
    <t>- tidak diketahui berapa persen proses pelaksanaannya
- 'belum ada dokumen R/C</t>
  </si>
  <si>
    <t>PT. SMI</t>
  </si>
  <si>
    <t>total SDA SIGNED</t>
  </si>
  <si>
    <t>Nilai Pinj Dalam BB</t>
  </si>
  <si>
    <t xml:space="preserve">NILAI PINJAMAN </t>
  </si>
  <si>
    <t>signing greenbook</t>
  </si>
  <si>
    <t>Tahun</t>
  </si>
  <si>
    <t>6 kegiatan</t>
  </si>
  <si>
    <t>19 kegiatan</t>
  </si>
  <si>
    <r>
      <rPr>
        <b/>
        <sz val="12"/>
        <color theme="1"/>
        <rFont val="Cambria"/>
        <family val="1"/>
      </rPr>
      <t>Rekapitulasi Indikasi Lender DRPLN-JM/</t>
    </r>
    <r>
      <rPr>
        <b/>
        <i/>
        <sz val="12"/>
        <color theme="1"/>
        <rFont val="Cambria"/>
        <family val="1"/>
      </rPr>
      <t xml:space="preserve">Blue Book </t>
    </r>
    <r>
      <rPr>
        <b/>
        <sz val="12"/>
        <color theme="1"/>
        <rFont val="Cambria"/>
        <family val="1"/>
      </rPr>
      <t>2015-2019 dan Revisinya</t>
    </r>
  </si>
  <si>
    <t>(Data 31 Juli 2017)</t>
  </si>
  <si>
    <t>(dalam Juta USD)</t>
  </si>
  <si>
    <t>NO</t>
  </si>
  <si>
    <t>INDIKASI SUMBER PINJAMAN</t>
  </si>
  <si>
    <r>
      <rPr>
        <i/>
        <sz val="11"/>
        <color theme="1"/>
        <rFont val="Cambria"/>
        <family val="1"/>
      </rPr>
      <t xml:space="preserve">Eropa </t>
    </r>
    <r>
      <rPr>
        <i/>
        <vertAlign val="superscript"/>
        <sz val="11"/>
        <color theme="1"/>
        <rFont val="Cambria"/>
        <family val="1"/>
      </rPr>
      <t>1)</t>
    </r>
  </si>
  <si>
    <r>
      <rPr>
        <i/>
        <sz val="11"/>
        <color theme="1"/>
        <rFont val="Cambria"/>
        <family val="1"/>
      </rPr>
      <t xml:space="preserve">Bilateral Lainnya </t>
    </r>
    <r>
      <rPr>
        <i/>
        <vertAlign val="superscript"/>
        <sz val="11"/>
        <color theme="1"/>
        <rFont val="Cambria"/>
        <family val="1"/>
      </rPr>
      <t>2)</t>
    </r>
  </si>
  <si>
    <t>Lain-Lain</t>
  </si>
  <si>
    <r>
      <rPr>
        <i/>
        <sz val="11"/>
        <color theme="1"/>
        <rFont val="Cambria"/>
        <family val="1"/>
      </rPr>
      <t xml:space="preserve">Belum Ada Indikasi </t>
    </r>
    <r>
      <rPr>
        <i/>
        <vertAlign val="superscript"/>
        <sz val="11"/>
        <color theme="1"/>
        <rFont val="Cambria"/>
        <family val="1"/>
      </rPr>
      <t>3)</t>
    </r>
  </si>
  <si>
    <t>Catatan:</t>
  </si>
  <si>
    <t>1) Terdiri dari: Jerman (KfW), Austria, US Exim dan Perancis (AFD)</t>
  </si>
  <si>
    <t>2) Terdapat lebih dari 1 alternatif sumber pinjaman</t>
  </si>
  <si>
    <t xml:space="preserve">3) Beberapa usulan kegiatan pinjaman luar negeri belum memiliki indikasi sumber pendanaan. </t>
  </si>
  <si>
    <t xml:space="preserve">      Baik untuk sebagian atau keseluruhan nilai pinjamannya.</t>
  </si>
  <si>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ENERGI</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</si>
  <si>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PERTAHANAN</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</si>
  <si>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PERKOTKIM</t>
    </r>
  </si>
  <si>
    <t>- Terdapat dalam dokumen COBP
- Co-financing dengan IDB USD 125 juta</t>
  </si>
  <si>
    <t>- Terdapat dalam dokumen MCPS
- Co-financing dengan ADB USD 125 juta</t>
  </si>
  <si>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SANITASI</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</si>
  <si>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AIR MINUM</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</si>
  <si>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PERUMAHAN</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</si>
  <si>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AIR MINUM, SANITASI, DAN PENANGANAN KUMUH</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</si>
  <si>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KERETA API</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</si>
  <si>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PENDIDIKAN</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</si>
  <si>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PERTANIAN</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</si>
  <si>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KESEHATAN</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</si>
  <si>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KOMUNIKASI</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</si>
  <si>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SUMBER DAYA AIR</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</si>
  <si>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JALAN</t>
    </r>
  </si>
  <si>
    <t>(Data 19 Januari 2018)</t>
  </si>
  <si>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TRANSPORTASI LAUT</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</si>
  <si>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PARIWISATA</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</si>
  <si>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LAIN-LAIN</t>
    </r>
  </si>
  <si>
    <t>DRPLN-JM/Blue Book 2015-2019 dan Revisinya</t>
  </si>
  <si>
    <t>Berdasarkan Program Pinjaman Luar Negeri</t>
  </si>
  <si>
    <t>(Data 14 Juli 2017)</t>
  </si>
  <si>
    <t>BIDANG/PROGRAM</t>
  </si>
  <si>
    <t>JUMLAH KEGIATAN</t>
  </si>
  <si>
    <t>NILAI (JUTA USD)</t>
  </si>
  <si>
    <t xml:space="preserve">PINJAMAN </t>
  </si>
  <si>
    <t>#REF!</t>
  </si>
  <si>
    <t>Air Minum Sanitasi Penanganan Kumuh</t>
  </si>
  <si>
    <t>Kereta Api</t>
  </si>
  <si>
    <t>Irigasi Waduk Air Baku</t>
  </si>
  <si>
    <t>Jalan</t>
  </si>
  <si>
    <t>Energi</t>
  </si>
  <si>
    <t>Transportasi Laut</t>
  </si>
  <si>
    <t>Kesehatan</t>
  </si>
  <si>
    <t>Pertanian</t>
  </si>
  <si>
    <t>Program Pembiayaan Pembangunan Infrastruktur</t>
  </si>
  <si>
    <t>Pendidikan</t>
  </si>
  <si>
    <t>Penyediaan Perumahan</t>
  </si>
  <si>
    <t>Komunikasi Dan Informatika</t>
  </si>
  <si>
    <t>Program Infrastruktur untuk Pengembangan Pariwisata</t>
  </si>
  <si>
    <t>Pariwisata</t>
  </si>
  <si>
    <t>Pertahanan Keamanan</t>
  </si>
  <si>
    <t>Program Pembangunan Rumah Sakit Militer</t>
  </si>
  <si>
    <t>Program Implementasi Informasi Geospasial dan Infrastruktur Keagrariaan</t>
  </si>
  <si>
    <t>Program Pengembangan Penelitian Kelautan</t>
  </si>
  <si>
    <r>
      <rPr>
        <b/>
        <sz val="14"/>
        <color rgb="FF000000"/>
        <rFont val="Cambria"/>
        <family val="1"/>
      </rPr>
      <t>INDIKASI LENDER KEGIATAN PADA DRPLN-JM (</t>
    </r>
    <r>
      <rPr>
        <b/>
        <i/>
        <sz val="14"/>
        <color rgb="FF000000"/>
        <rFont val="Cambria"/>
        <family val="1"/>
      </rPr>
      <t>BLUE BOOK</t>
    </r>
    <r>
      <rPr>
        <b/>
        <sz val="14"/>
        <color rgb="FF000000"/>
        <rFont val="Cambria"/>
        <family val="1"/>
      </rPr>
      <t>) 2015-2019 DAN REVISINYA (31 JULI 2017)*</t>
    </r>
  </si>
  <si>
    <r>
      <rPr>
        <b/>
        <sz val="12"/>
        <color rgb="FF000000"/>
        <rFont val="Cambria"/>
        <family val="1"/>
      </rPr>
      <t xml:space="preserve">NILAI PINJAMAN </t>
    </r>
    <r>
      <rPr>
        <b/>
        <i/>
        <sz val="12"/>
        <color rgb="FF000000"/>
        <rFont val="Cambria"/>
        <family val="1"/>
      </rPr>
      <t>BLUE BOOK</t>
    </r>
    <r>
      <rPr>
        <b/>
        <sz val="12"/>
        <color rgb="FF000000"/>
        <rFont val="Cambria"/>
        <family val="1"/>
      </rPr>
      <t xml:space="preserve"> 
2015-2019</t>
    </r>
  </si>
  <si>
    <r>
      <rPr>
        <b/>
        <sz val="12"/>
        <color rgb="FF000000"/>
        <rFont val="Cambria"/>
        <family val="1"/>
      </rPr>
      <t xml:space="preserve">NILAI PINJAMAN REVISI </t>
    </r>
    <r>
      <rPr>
        <b/>
        <i/>
        <sz val="12"/>
        <color rgb="FF000000"/>
        <rFont val="Cambria"/>
        <family val="1"/>
      </rPr>
      <t>BLUE BOOK</t>
    </r>
    <r>
      <rPr>
        <b/>
        <sz val="12"/>
        <color rgb="FF000000"/>
        <rFont val="Cambria"/>
        <family val="1"/>
      </rPr>
      <t xml:space="preserve"> 
2015-2019</t>
    </r>
  </si>
  <si>
    <r>
      <rPr>
        <b/>
        <sz val="12"/>
        <color rgb="FF000000"/>
        <rFont val="Cambria"/>
        <family val="1"/>
      </rPr>
      <t xml:space="preserve">TOTAL NILAI REVISI </t>
    </r>
    <r>
      <rPr>
        <b/>
        <i/>
        <sz val="12"/>
        <color rgb="FF000000"/>
        <rFont val="Cambria"/>
        <family val="1"/>
      </rPr>
      <t>BLUE BOOK</t>
    </r>
    <r>
      <rPr>
        <b/>
        <sz val="12"/>
        <color rgb="FF000000"/>
        <rFont val="Cambria"/>
        <family val="1"/>
      </rPr>
      <t xml:space="preserve"> 
2015-2019</t>
    </r>
  </si>
  <si>
    <t>EROPA</t>
  </si>
  <si>
    <t>INFRA</t>
  </si>
  <si>
    <t>NON-INFRA</t>
  </si>
  <si>
    <t>JERMAN</t>
  </si>
  <si>
    <t>PERANCIS DAN AFD</t>
  </si>
  <si>
    <t>AUSTRIA</t>
  </si>
  <si>
    <t>BILATERAL LAINNYA</t>
  </si>
  <si>
    <t>BANK DUNIA</t>
  </si>
  <si>
    <t>NO LENDER</t>
  </si>
  <si>
    <t>updated 18 Januari 2018</t>
  </si>
  <si>
    <t>NILAI YANG DIUSULKAN</t>
  </si>
  <si>
    <t>2017 (Juli)</t>
  </si>
  <si>
    <t>2017 (Februari)</t>
  </si>
  <si>
    <t>2017 (November)</t>
  </si>
  <si>
    <t xml:space="preserve"> 22 Agustus 2017</t>
  </si>
  <si>
    <t>Kegiatan pada DRPLN-JM/Blue Book 2015-2019 dan Revisinya
yang  Telah ada Daftar Kegiatan</t>
  </si>
  <si>
    <t>TANGGAL DK</t>
  </si>
  <si>
    <t xml:space="preserve"> 11 Agustus 2017</t>
  </si>
  <si>
    <t>BMKG</t>
  </si>
  <si>
    <t>Strengthening Climate and Weather Capacity- Phase II</t>
  </si>
  <si>
    <t>Perancis</t>
  </si>
  <si>
    <t>24 November 2017</t>
  </si>
  <si>
    <t>Kegiatan pada DRPLN-JM/Blue Book 2015-2019 dan Revisinya
yang  Telah Tercantum dalam Green Book</t>
  </si>
  <si>
    <t>Kegiatan pada DRPLN-JM/Blue Book 2015-2019 dan Revisinya
Dalam Proses Masuk Green Book (ada Dokumen R/C)</t>
  </si>
  <si>
    <t>Improvement of Facilities and Infrastructure and Infrastructure for Teaching and Learning Activities in Health Sector</t>
  </si>
  <si>
    <t>Kegiatan pada DRPLN-JM/Blue Book 2015-2019 dan Revisinya
Dalam Proses Masuk Green Book (belum ada Dokumen R/C)</t>
  </si>
  <si>
    <t>Kegiatan pada DRPLN-JM/Blue Book 2015-2019 dan Revisinya
Belum Proses</t>
  </si>
  <si>
    <r>
      <rPr>
        <b/>
        <sz val="16"/>
        <color rgb="FF000000"/>
        <rFont val="Cambria"/>
        <family val="1"/>
      </rPr>
      <t>Rekapitulasi Indikasi Lender DRPLN-JM/</t>
    </r>
    <r>
      <rPr>
        <b/>
        <i/>
        <sz val="16"/>
        <color rgb="FF000000"/>
        <rFont val="Cambria"/>
        <family val="1"/>
      </rPr>
      <t>Blue Book</t>
    </r>
    <r>
      <rPr>
        <b/>
        <sz val="16"/>
        <color rgb="FF000000"/>
        <rFont val="Cambria"/>
        <family val="1"/>
      </rPr>
      <t xml:space="preserve"> 2015-2019 dan Revisinya</t>
    </r>
  </si>
  <si>
    <t>NON-
INFRASTRUKTUR</t>
  </si>
  <si>
    <t>BILATERAL</t>
  </si>
  <si>
    <t xml:space="preserve">Jerman </t>
  </si>
  <si>
    <t>Perancis dan AFD</t>
  </si>
  <si>
    <t>Bilateral Lainnya 2)</t>
  </si>
  <si>
    <t>MULTILATERAL</t>
  </si>
  <si>
    <t>LAIN-LAIN</t>
  </si>
  <si>
    <t>Belum ada Indikasi 3)</t>
  </si>
  <si>
    <t>1) Status data per 31 Juli 2017</t>
  </si>
  <si>
    <t>2) Termasuk kegiatan yang memiliki lebih dari 1 alternatif pinjaman</t>
  </si>
  <si>
    <t>3) Merupakan kegiatan pinjaman luar negeri yang belum memiliki indikasi sumber pendanaan, baik untuk sebagian atau keseluruhan nilai pinjamannya</t>
  </si>
  <si>
    <r>
      <rPr>
        <b/>
        <sz val="16"/>
        <color rgb="FF000000"/>
        <rFont val="Cambria"/>
        <family val="1"/>
      </rPr>
      <t>DRPLN-JM/</t>
    </r>
    <r>
      <rPr>
        <b/>
        <i/>
        <sz val="16"/>
        <color rgb="FF000000"/>
        <rFont val="Cambria"/>
        <family val="1"/>
      </rPr>
      <t xml:space="preserve">Blue Book </t>
    </r>
    <r>
      <rPr>
        <b/>
        <sz val="16"/>
        <color rgb="FF000000"/>
        <rFont val="Cambria"/>
        <family val="1"/>
      </rPr>
      <t>2015-2019 dan Revisinya</t>
    </r>
  </si>
  <si>
    <t>Berdasarkan Instansi Pengusul</t>
  </si>
  <si>
    <t>KEGIATAN</t>
  </si>
  <si>
    <t>K/L</t>
  </si>
  <si>
    <t>i) Ditjen. Bina Marga</t>
  </si>
  <si>
    <t>ii) Ditjen. Cipta Karya</t>
  </si>
  <si>
    <t>iii) Ditjen. Sumber Daya Air</t>
  </si>
  <si>
    <t>iv) Badan Pengembangan Infrastruktur Wilayah</t>
  </si>
  <si>
    <t xml:space="preserve">v) Direktorat Jenderal Pembiayaan Perumahan dan Direktorat Jenderal Penyediaan Perumahan </t>
  </si>
  <si>
    <t>BUMN</t>
  </si>
  <si>
    <t>PEMDA</t>
  </si>
  <si>
    <t>Kementerian ATR/ BPN</t>
  </si>
  <si>
    <t>Badan Pengkajian dan Penerapan Teknologi (LIPI)</t>
  </si>
  <si>
    <r>
      <rPr>
        <sz val="14"/>
        <rFont val="Cambria"/>
        <family val="1"/>
      </rPr>
      <t xml:space="preserve">Pemprov. Aceh </t>
    </r>
    <r>
      <rPr>
        <sz val="14"/>
        <rFont val="Cambria"/>
        <family val="1"/>
      </rPr>
      <t>1)</t>
    </r>
  </si>
  <si>
    <r>
      <rPr>
        <b/>
        <sz val="14"/>
        <color theme="1"/>
        <rFont val="Arial"/>
        <family val="2"/>
      </rPr>
      <t xml:space="preserve">PERBANDINGAN KEGIATAN </t>
    </r>
    <r>
      <rPr>
        <b/>
        <i/>
        <sz val="14"/>
        <color theme="1"/>
        <rFont val="Arial"/>
        <family val="2"/>
      </rPr>
      <t>GREEN BOOK</t>
    </r>
    <r>
      <rPr>
        <b/>
        <sz val="14"/>
        <color theme="1"/>
        <rFont val="Arial"/>
        <family val="2"/>
      </rPr>
      <t xml:space="preserve"> 2015 DENGAN KEGIATAN YANG SUDAH DITANDATANGI LA-NYA</t>
    </r>
  </si>
  <si>
    <t>(per tanggal 1 Maret 2016)</t>
  </si>
  <si>
    <r>
      <rPr>
        <b/>
        <sz val="12"/>
        <color theme="1"/>
        <rFont val="Arial"/>
        <family val="2"/>
      </rPr>
      <t>DRPLN-JM (</t>
    </r>
    <r>
      <rPr>
        <b/>
        <i/>
        <sz val="12"/>
        <color theme="1"/>
        <rFont val="Arial"/>
        <family val="2"/>
      </rPr>
      <t>BLUE BOOK</t>
    </r>
    <r>
      <rPr>
        <b/>
        <sz val="12"/>
        <color theme="1"/>
        <rFont val="Arial"/>
        <family val="2"/>
      </rPr>
      <t>) 2015-2019</t>
    </r>
  </si>
  <si>
    <r>
      <rPr>
        <b/>
        <sz val="12"/>
        <color theme="1"/>
        <rFont val="Arial"/>
        <family val="2"/>
      </rPr>
      <t>DRPPLN (</t>
    </r>
    <r>
      <rPr>
        <b/>
        <i/>
        <sz val="12"/>
        <color theme="1"/>
        <rFont val="Arial"/>
        <family val="2"/>
      </rPr>
      <t>GREEN BOOK</t>
    </r>
    <r>
      <rPr>
        <b/>
        <sz val="12"/>
        <color theme="1"/>
        <rFont val="Arial"/>
        <family val="2"/>
      </rPr>
      <t>)</t>
    </r>
  </si>
  <si>
    <r>
      <rPr>
        <b/>
        <sz val="12"/>
        <color theme="1"/>
        <rFont val="Arial"/>
        <family val="2"/>
      </rPr>
      <t xml:space="preserve">NILAI PINJAMAN DI </t>
    </r>
    <r>
      <rPr>
        <b/>
        <i/>
        <sz val="12"/>
        <color theme="1"/>
        <rFont val="Arial"/>
        <family val="2"/>
      </rPr>
      <t>GREEN BOOK</t>
    </r>
  </si>
  <si>
    <t>Green Book 2015</t>
  </si>
  <si>
    <t>LA ditandatangani 29 Des' 2015</t>
  </si>
  <si>
    <t>LA ditandatangani 4 Des' 2015</t>
  </si>
  <si>
    <r>
      <rPr>
        <sz val="10"/>
        <color theme="1"/>
        <rFont val="Arial"/>
        <family val="2"/>
      </rPr>
      <t>Construction of Jakarta Mass Rapid Transit Project</t>
    </r>
    <r>
      <rPr>
        <vertAlign val="superscript"/>
        <sz val="10"/>
        <color theme="1"/>
        <rFont val="Arial"/>
        <family val="2"/>
      </rPr>
      <t xml:space="preserve"> </t>
    </r>
  </si>
  <si>
    <t>LA ditandatangani 18 Des' 2015</t>
  </si>
  <si>
    <r>
      <rPr>
        <b/>
        <sz val="14"/>
        <color theme="1"/>
        <rFont val="Arial"/>
        <family val="2"/>
      </rPr>
      <t xml:space="preserve">STATUS KEGIATAN DRPLN-JM </t>
    </r>
    <r>
      <rPr>
        <b/>
        <i/>
        <sz val="14"/>
        <color theme="1"/>
        <rFont val="Arial"/>
        <family val="2"/>
      </rPr>
      <t>(BLUE BOOK)</t>
    </r>
    <r>
      <rPr>
        <b/>
        <sz val="14"/>
        <color theme="1"/>
        <rFont val="Arial"/>
        <family val="2"/>
      </rPr>
      <t xml:space="preserve"> 2015-2019</t>
    </r>
  </si>
  <si>
    <t xml:space="preserve">NILAI PINJAMAN KEGIATAN SUDAH ADA INDIKASI LENDER  </t>
  </si>
  <si>
    <t xml:space="preserve">NILAI PINJAMAN KEGIATAN BELUM ADA INDIKASI LENDER  </t>
  </si>
  <si>
    <r>
      <rPr>
        <sz val="10"/>
        <color theme="1"/>
        <rFont val="Arial"/>
        <family val="2"/>
      </rPr>
      <t xml:space="preserve">Dibatalkan oleh KKP </t>
    </r>
    <r>
      <rPr>
        <vertAlign val="superscript"/>
        <sz val="10"/>
        <color theme="1"/>
        <rFont val="Arial"/>
        <family val="2"/>
      </rPr>
      <t>3)</t>
    </r>
  </si>
  <si>
    <r>
      <rPr>
        <b/>
        <sz val="14"/>
        <color theme="1"/>
        <rFont val="Cambria"/>
        <family val="1"/>
      </rPr>
      <t xml:space="preserve">INDIKASI LENDER KEGIATAN PADA PROYEK DRPLN-JM </t>
    </r>
    <r>
      <rPr>
        <b/>
        <i/>
        <sz val="14"/>
        <color theme="1"/>
        <rFont val="Cambria"/>
        <family val="1"/>
      </rPr>
      <t>(BLUE BOOK)</t>
    </r>
    <r>
      <rPr>
        <b/>
        <sz val="14"/>
        <color theme="1"/>
        <rFont val="Cambria"/>
        <family val="1"/>
      </rPr>
      <t xml:space="preserve"> 2015-2019</t>
    </r>
  </si>
  <si>
    <t>KESIAPAN 
DESAIN</t>
  </si>
  <si>
    <t>KESIAPAN 
LAHAN</t>
  </si>
  <si>
    <t>PINJAMAN 2</t>
  </si>
  <si>
    <t>total</t>
  </si>
  <si>
    <t>no lender</t>
  </si>
  <si>
    <t>awalnya jica</t>
  </si>
  <si>
    <t>awalnya bank dunia</t>
  </si>
  <si>
    <t>awalnya ADB</t>
  </si>
  <si>
    <t>awalnya hungaria</t>
  </si>
  <si>
    <t>austria</t>
  </si>
  <si>
    <t>esp</t>
  </si>
  <si>
    <t>Catatan:
- terdapat 9 kegiatan yang sebelumnya no lender menjadi ada indikasi lender.
- terdapat perubahan nilai JICA untuk 2 kegiatan
- terdapat perubahan nilai Bank Dunia untuk 3 kegiatan
nilai pinjaman JICA berkurang karena …
2) 
3) terdapat 3 kegiatan penambahan ESP
Terdapat perubahan total nilai dan kegiatan pada lender, yaitu:
- JICA : total nilai pinjaman berkurang sebelumnya USD 15,6 miliar menjadi USD 15,5 miliar, disebabkan karena terdapat 1 kegiatan yang nilai pinjamannya berubah dan 1 kegiatan berubah lender menjadi IDB
- IDB : total nilai pinjaman bertambah sebelumnya USD ... milair menjadi USD ... miliar. hal ini disebabkan : 
   - terdapat 3 kegiatan penambahan ESP (...), 
   - terdapat 2 kegiatan yang sebelumnya indikasi lender lain menjadi IDB, terdapat ... kegiatan yang co-financing dengan IDB</t>
  </si>
  <si>
    <t>RENCANA TAHUN MULAI PELAKSANAAN 2015/2016</t>
  </si>
  <si>
    <t>- Co-financing dengan IDB USD 325 juta, Bank Dunia USD 200 juta 
- Dalam tahapan PPTA/Project Identification
- Diusulkan untuk masuk dalam GB 2019 (Rapat pada tanggal 24 Januari 2019)</t>
  </si>
  <si>
    <t>- Masuk dalam perbincangan prioritas kegiatan JICA yang diusulkan (policy dialog)
- Pernah dibahas dalam pertemuan 26 Sep 2017
- MOD telah ditandatangani pada Nov 2017
- Diusulkan untuk masuk dalam GB 2018 (Rapat pada tanggal 24 Januari 2018)</t>
  </si>
  <si>
    <t>- Tidak menjadi prioritas JICA tahun 2017 (ditolak)
- Diidikasikan menggunakan Rupiah Murni
- Diusulkan untuk masuk dalam GB 2018 (Rapat pada tanggal 24 Januari 2018)</t>
  </si>
  <si>
    <t>Diusulkan untuk masuk dalam GB 2019 (Rapat pada tanggal 24 Januari 2019)</t>
  </si>
  <si>
    <t>- Masuk dalam dokumen CPF
- Diusulkan untuk masuk dalam GB 2019 (Rapat pada tanggal 24 Januari 2019)</t>
  </si>
  <si>
    <t>- Masuk Summary of Record (proporsional loan)
- Diusulkan untuk masuk dalam GB 2018 (Rapat pada tanggal 24 Januari 2019)</t>
  </si>
  <si>
    <t>- Diusulkan untuk masuk dalam GB 2019 (Rapat pada tanggal 24 Januari 2019)
- masuk GB 2019 (diusulkan)</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</si>
</sst>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2" formatCode="_(&quot;Rp&quot;* #,##0_);_(&quot;Rp&quot;* \(#,##0\);_(&quot;Rp&quot;* &quot;-&quot;_);_(@_)"/>
    <numFmt numFmtId="41" formatCode="_(* #,##0_);_(* \(#,##0\);_(* &quot;-&quot;_);_(@_)"/>
    <numFmt numFmtId="164" formatCode="_(* #,##0.0_);_(* \(#,##0.0\);_(* &quot;-&quot;?_);_(@_)"/>
    <numFmt numFmtId="165" formatCode="_(* #,##0.000_);_(* \(#,##0.000\);_(* &quot;-&quot;_);_(@_)"/>
    <numFmt numFmtId="166" formatCode="_(* #,##0.0_);_(* \(#,##0.0\);_(* &quot;-&quot;_);_(@_)"/>
    <numFmt numFmtId="167" formatCode="_(* #,##0.00_);_(* \(#,##0.00\);_(* &quot;-&quot;_);_(@_)"/>
    <numFmt numFmtId="168" formatCode="_(* #,##0.000000_);_(* \(#,##0.000000\);_(* &quot;-&quot;_);_(@_)"/>
    <numFmt numFmtId="169" formatCode="0.000"/>
  </numFmts>
  <fonts count="79">
    <font>
      <sz val="11"/>
      <color theme="1"/>
      <name val="Calibri"/>
      <charset val="134"/>
      <scheme val="minor"/>
    </font>
    <font>
      <b/>
      <sz val="14"/>
      <color theme="1"/>
      <name val="Cambria"/>
      <family val="1"/>
    </font>
    <font>
      <sz val="12"/>
      <color theme="1"/>
      <name val="Cambria"/>
      <family val="1"/>
    </font>
    <font>
      <b/>
      <sz val="12"/>
      <color theme="1"/>
      <name val="Cambria"/>
      <family val="1"/>
    </font>
    <font>
      <b/>
      <sz val="11"/>
      <color theme="1"/>
      <name val="Cambria"/>
      <family val="1"/>
    </font>
    <font>
      <b/>
      <sz val="10"/>
      <color theme="1"/>
      <name val="Cambria"/>
      <family val="1"/>
    </font>
    <font>
      <i/>
      <sz val="10"/>
      <color theme="1"/>
      <name val="Cambria"/>
      <family val="1"/>
    </font>
    <font>
      <sz val="10"/>
      <color theme="1"/>
      <name val="Cambria"/>
      <family val="1"/>
    </font>
    <font>
      <b/>
      <sz val="14"/>
      <color theme="1"/>
      <name val="Arial"/>
      <family val="2"/>
    </font>
    <font>
      <sz val="12"/>
      <color theme="1"/>
      <name val="Arial"/>
      <family val="2"/>
    </font>
    <font>
      <b/>
      <sz val="12"/>
      <color theme="1"/>
      <name val="Arial"/>
      <family val="2"/>
    </font>
    <font>
      <b/>
      <sz val="11"/>
      <color theme="1"/>
      <name val="Arial"/>
      <family val="2"/>
    </font>
    <font>
      <b/>
      <sz val="10"/>
      <color theme="1"/>
      <name val="Arial"/>
      <family val="2"/>
    </font>
    <font>
      <sz val="10"/>
      <color theme="1"/>
      <name val="Arial"/>
      <family val="2"/>
    </font>
    <font>
      <sz val="11"/>
      <color theme="1"/>
      <name val="Arial"/>
      <family val="2"/>
    </font>
    <font>
      <b/>
      <sz val="16"/>
      <color rgb="FF000000"/>
      <name val="Cambria"/>
      <family val="1"/>
    </font>
    <font>
      <sz val="14"/>
      <color rgb="FF000000"/>
      <name val="Cambria"/>
      <family val="1"/>
    </font>
    <font>
      <b/>
      <sz val="14"/>
      <color rgb="FF000000"/>
      <name val="Cambria"/>
      <family val="1"/>
    </font>
    <font>
      <sz val="12"/>
      <color rgb="FF000000"/>
      <name val="Cambria"/>
      <family val="1"/>
    </font>
    <font>
      <sz val="11"/>
      <name val="Calibri"/>
      <family val="2"/>
    </font>
    <font>
      <b/>
      <sz val="14"/>
      <name val="Cambria"/>
      <family val="1"/>
    </font>
    <font>
      <sz val="13"/>
      <name val="Cambria"/>
      <family val="1"/>
    </font>
    <font>
      <sz val="13"/>
      <color rgb="FF000000"/>
      <name val="Cambria"/>
      <family val="1"/>
    </font>
    <font>
      <sz val="14"/>
      <name val="Cambria"/>
      <family val="1"/>
    </font>
    <font>
      <i/>
      <sz val="14"/>
      <name val="Cambria"/>
      <family val="1"/>
    </font>
    <font>
      <sz val="11"/>
      <color theme="1"/>
      <name val="Cambria"/>
      <family val="1"/>
    </font>
    <font>
      <b/>
      <sz val="11"/>
      <color theme="1"/>
      <name val="Calibri"/>
      <family val="2"/>
      <scheme val="minor"/>
    </font>
    <font>
      <b/>
      <sz val="11"/>
      <name val="Cambria"/>
      <family val="1"/>
    </font>
    <font>
      <sz val="10"/>
      <color rgb="FF000000"/>
      <name val="Cambria"/>
      <family val="1"/>
    </font>
    <font>
      <sz val="11"/>
      <color theme="1"/>
      <name val="Calibri"/>
      <family val="2"/>
      <scheme val="minor"/>
    </font>
    <font>
      <sz val="11"/>
      <name val="Calibri"/>
      <family val="2"/>
      <scheme val="minor"/>
    </font>
    <font>
      <sz val="10"/>
      <name val="Cambria"/>
      <family val="1"/>
    </font>
    <font>
      <sz val="10"/>
      <color rgb="FFFF0000"/>
      <name val="Cambria"/>
      <family val="1"/>
    </font>
    <font>
      <b/>
      <sz val="12"/>
      <color rgb="FF000000"/>
      <name val="Cambria"/>
      <family val="1"/>
    </font>
    <font>
      <b/>
      <sz val="12"/>
      <name val="Cambria"/>
      <family val="1"/>
    </font>
    <font>
      <b/>
      <sz val="11"/>
      <color rgb="FF000000"/>
      <name val="Cambria"/>
      <family val="1"/>
    </font>
    <font>
      <b/>
      <sz val="10"/>
      <color rgb="FF000000"/>
      <name val="Cambria"/>
      <family val="1"/>
    </font>
    <font>
      <sz val="11"/>
      <color rgb="FF000000"/>
      <name val="Cambria"/>
      <family val="1"/>
    </font>
    <font>
      <sz val="11"/>
      <name val="Cambria"/>
      <family val="1"/>
    </font>
    <font>
      <sz val="11"/>
      <color theme="4" tint="0.39994506668294322"/>
      <name val="Calibri"/>
      <family val="2"/>
      <scheme val="minor"/>
    </font>
    <font>
      <b/>
      <sz val="10"/>
      <name val="Cambria"/>
      <family val="1"/>
    </font>
    <font>
      <sz val="12"/>
      <color rgb="FF000000"/>
      <name val="Calibri"/>
      <family val="2"/>
    </font>
    <font>
      <b/>
      <sz val="16"/>
      <color theme="1"/>
      <name val="Cambria"/>
      <family val="1"/>
    </font>
    <font>
      <i/>
      <sz val="11"/>
      <color theme="1"/>
      <name val="Cambria"/>
      <family val="1"/>
    </font>
    <font>
      <i/>
      <sz val="10"/>
      <color rgb="FFFF0000"/>
      <name val="Cambria"/>
      <family val="1"/>
    </font>
    <font>
      <i/>
      <sz val="10"/>
      <name val="Cambria"/>
      <family val="1"/>
    </font>
    <font>
      <b/>
      <i/>
      <sz val="10"/>
      <color theme="1"/>
      <name val="Cambria"/>
      <family val="1"/>
    </font>
    <font>
      <b/>
      <sz val="12"/>
      <color rgb="FFFF0000"/>
      <name val="Cambria"/>
      <family val="1"/>
    </font>
    <font>
      <b/>
      <i/>
      <sz val="11"/>
      <color theme="1"/>
      <name val="Calibri"/>
      <family val="2"/>
      <scheme val="minor"/>
    </font>
    <font>
      <i/>
      <sz val="11"/>
      <color theme="1"/>
      <name val="Calibri"/>
      <family val="2"/>
      <scheme val="minor"/>
    </font>
    <font>
      <b/>
      <sz val="14"/>
      <color theme="1"/>
      <name val="Calibri"/>
      <family val="2"/>
      <scheme val="minor"/>
    </font>
    <font>
      <sz val="11"/>
      <color rgb="FFFF0000"/>
      <name val="Calibri"/>
      <family val="2"/>
      <scheme val="minor"/>
    </font>
    <font>
      <i/>
      <sz val="11"/>
      <name val="Calibri"/>
      <family val="2"/>
      <scheme val="minor"/>
    </font>
    <font>
      <sz val="11"/>
      <color theme="0"/>
      <name val="Calibri"/>
      <family val="2"/>
      <scheme val="minor"/>
    </font>
    <font>
      <b/>
      <i/>
      <sz val="14"/>
      <color theme="1"/>
      <name val="Cambria"/>
      <family val="1"/>
    </font>
    <font>
      <vertAlign val="superscript"/>
      <sz val="10"/>
      <color theme="1"/>
      <name val="Cambria"/>
      <family val="1"/>
    </font>
    <font>
      <b/>
      <i/>
      <sz val="14"/>
      <color theme="1"/>
      <name val="Arial"/>
      <family val="2"/>
    </font>
    <font>
      <b/>
      <i/>
      <sz val="12"/>
      <color theme="1"/>
      <name val="Arial"/>
      <family val="2"/>
    </font>
    <font>
      <vertAlign val="superscript"/>
      <sz val="10"/>
      <color theme="1"/>
      <name val="Arial"/>
      <family val="2"/>
    </font>
    <font>
      <b/>
      <i/>
      <sz val="16"/>
      <color rgb="FF000000"/>
      <name val="Cambria"/>
      <family val="1"/>
    </font>
    <font>
      <b/>
      <i/>
      <sz val="14"/>
      <color rgb="FF000000"/>
      <name val="Cambria"/>
      <family val="1"/>
    </font>
    <font>
      <b/>
      <i/>
      <sz val="12"/>
      <color rgb="FF000000"/>
      <name val="Cambria"/>
      <family val="1"/>
    </font>
    <font>
      <b/>
      <i/>
      <sz val="12"/>
      <name val="Cambria"/>
      <family val="1"/>
    </font>
    <font>
      <b/>
      <i/>
      <sz val="12"/>
      <color theme="1"/>
      <name val="Cambria"/>
      <family val="1"/>
    </font>
    <font>
      <i/>
      <sz val="10"/>
      <color rgb="FF000000"/>
      <name val="Cambria"/>
      <family val="1"/>
    </font>
    <font>
      <i/>
      <vertAlign val="superscript"/>
      <sz val="11"/>
      <color theme="1"/>
      <name val="Cambria"/>
      <family val="1"/>
    </font>
    <font>
      <sz val="7"/>
      <color rgb="FF000000"/>
      <name val="Times New Roman"/>
      <family val="1"/>
    </font>
    <font>
      <sz val="10.5"/>
      <color rgb="FF000000"/>
      <name val="Footlight MT Light"/>
      <family val="1"/>
    </font>
    <font>
      <b/>
      <i/>
      <sz val="12"/>
      <color rgb="FFFF0000"/>
      <name val="Cambria"/>
      <family val="1"/>
    </font>
    <font>
      <sz val="11"/>
      <color theme="1"/>
      <name val="Calibri"/>
      <family val="2"/>
      <scheme val="minor"/>
    </font>
    <font>
      <b/>
      <sz val="14"/>
      <color theme="1"/>
      <name val="Calibri"/>
      <family val="2"/>
    </font>
    <font>
      <b/>
      <i/>
      <sz val="14"/>
      <color theme="1"/>
      <name val="Calibri"/>
      <family val="2"/>
    </font>
    <font>
      <sz val="11"/>
      <color theme="1"/>
      <name val="Calibri"/>
      <family val="2"/>
    </font>
    <font>
      <i/>
      <sz val="11"/>
      <color theme="1"/>
      <name val="Calibri"/>
      <family val="2"/>
    </font>
    <font>
      <i/>
      <sz val="11"/>
      <color rgb="FF000000"/>
      <name val="Calibri"/>
      <family val="2"/>
    </font>
    <font>
      <b/>
      <sz val="9"/>
      <name val="Tahoma"/>
      <family val="2"/>
    </font>
    <font>
      <sz val="9"/>
      <name val="Tahoma"/>
      <family val="2"/>
    </font>
    <font>
      <sz val="9"/>
      <color indexed="81"/>
      <name val="Tahoma"/>
      <charset val="1"/>
    </font>
    <font>
      <b/>
      <sz val="9"/>
      <color indexed="81"/>
      <name val="Tahoma"/>
      <charset val="1"/>
    </font>
  </fonts>
  <fills count="37">
    <fill>
      <patternFill patternType="none"/>
    </fill>
    <fill>
      <patternFill patternType="gray125"/>
    </fill>
    <fill>
      <patternFill patternType="solid">
        <fgColor rgb="FFFFFF00"/>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2"/>
        <bgColor indexed="64"/>
      </patternFill>
    </fill>
    <fill>
      <patternFill patternType="solid">
        <fgColor theme="0"/>
        <bgColor indexed="64"/>
      </patternFill>
    </fill>
    <fill>
      <patternFill patternType="solid">
        <fgColor rgb="FF92CDDC"/>
        <bgColor rgb="FF92CDDC"/>
      </patternFill>
    </fill>
    <fill>
      <patternFill patternType="solid">
        <fgColor rgb="FFD99594"/>
        <bgColor rgb="FFD99594"/>
      </patternFill>
    </fill>
    <fill>
      <patternFill patternType="solid">
        <fgColor rgb="FFDAEEF3"/>
        <bgColor rgb="FFDAEEF3"/>
      </patternFill>
    </fill>
    <fill>
      <patternFill patternType="solid">
        <fgColor rgb="FFE5B8B7"/>
        <bgColor rgb="FFE5B8B7"/>
      </patternFill>
    </fill>
    <fill>
      <patternFill patternType="solid">
        <fgColor rgb="FFEAF1DD"/>
        <bgColor rgb="FFEAF1DD"/>
      </patternFill>
    </fill>
    <fill>
      <patternFill patternType="solid">
        <fgColor theme="8" tint="0.59999389629810485"/>
        <bgColor indexed="64"/>
      </patternFill>
    </fill>
    <fill>
      <patternFill patternType="solid">
        <fgColor theme="6" tint="0.59999389629810485"/>
        <bgColor indexed="64"/>
      </patternFill>
    </fill>
    <fill>
      <patternFill patternType="solid">
        <fgColor theme="8" tint="0.39994506668294322"/>
        <bgColor indexed="64"/>
      </patternFill>
    </fill>
    <fill>
      <patternFill patternType="solid">
        <fgColor rgb="FFFDE9D9"/>
        <bgColor rgb="FFFDE9D9"/>
      </patternFill>
    </fill>
    <fill>
      <patternFill patternType="solid">
        <fgColor rgb="FFE5DFEC"/>
        <bgColor rgb="FFE5DFEC"/>
      </patternFill>
    </fill>
    <fill>
      <patternFill patternType="solid">
        <fgColor theme="6" tint="0.39994506668294322"/>
        <bgColor indexed="64"/>
      </patternFill>
    </fill>
    <fill>
      <patternFill patternType="solid">
        <fgColor theme="2" tint="-0.499984740745262"/>
        <bgColor indexed="64"/>
      </patternFill>
    </fill>
    <fill>
      <patternFill patternType="solid">
        <fgColor theme="4" tint="0.39994506668294322"/>
        <bgColor indexed="64"/>
      </patternFill>
    </fill>
    <fill>
      <patternFill patternType="solid">
        <fgColor theme="8" tint="-0.499984740745262"/>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7" tint="-0.249977111117893"/>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theme="2" tint="-0.749992370372631"/>
        <bgColor indexed="64"/>
      </patternFill>
    </fill>
    <fill>
      <patternFill patternType="solid">
        <fgColor rgb="FF00B0F0"/>
        <bgColor indexed="64"/>
      </patternFill>
    </fill>
    <fill>
      <patternFill patternType="solid">
        <fgColor theme="9" tint="-0.249977111117893"/>
        <bgColor indexed="64"/>
      </patternFill>
    </fill>
    <fill>
      <patternFill patternType="solid">
        <fgColor theme="9" tint="-0.499984740745262"/>
        <bgColor indexed="64"/>
      </patternFill>
    </fill>
    <fill>
      <patternFill patternType="solid">
        <fgColor rgb="FF92D050"/>
        <bgColor indexed="64"/>
      </patternFill>
    </fill>
    <fill>
      <patternFill patternType="solid">
        <fgColor theme="9" tint="0.59999389629810485"/>
        <bgColor indexed="64"/>
      </patternFill>
    </fill>
    <fill>
      <patternFill patternType="solid">
        <fgColor theme="4" tint="0.79995117038483843"/>
        <bgColor indexed="64"/>
      </patternFill>
    </fill>
    <fill>
      <patternFill patternType="solid">
        <fgColor rgb="FFFFC000"/>
        <bgColor indexed="64"/>
      </patternFill>
    </fill>
    <fill>
      <patternFill patternType="solid">
        <fgColor theme="2" tint="-0.249977111117893"/>
        <bgColor indexed="64"/>
      </patternFill>
    </fill>
  </fills>
  <borders count="368">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double">
        <color theme="0" tint="-0.499984740745262"/>
      </left>
      <right style="thin">
        <color theme="0" tint="-0.499984740745262"/>
      </right>
      <top style="double">
        <color theme="0" tint="-0.499984740745262"/>
      </top>
      <bottom style="thin">
        <color theme="0" tint="-0.499984740745262"/>
      </bottom>
      <diagonal/>
    </border>
    <border>
      <left style="thin">
        <color theme="0" tint="-0.499984740745262"/>
      </left>
      <right style="thin">
        <color theme="0" tint="-0.499984740745262"/>
      </right>
      <top style="double">
        <color theme="0" tint="-0.499984740745262"/>
      </top>
      <bottom style="thin">
        <color theme="0" tint="-0.499984740745262"/>
      </bottom>
      <diagonal/>
    </border>
    <border>
      <left style="double">
        <color theme="0" tint="-0.499984740745262"/>
      </left>
      <right style="thin">
        <color theme="0" tint="-0.499984740745262"/>
      </right>
      <top style="thin">
        <color theme="0" tint="-0.499984740745262"/>
      </top>
      <bottom style="thin">
        <color theme="0" tint="-0.499984740745262"/>
      </bottom>
      <diagonal/>
    </border>
    <border>
      <left style="double">
        <color theme="0" tint="-0.499984740745262"/>
      </left>
      <right/>
      <top style="thin">
        <color theme="0" tint="-0.499984740745262"/>
      </top>
      <bottom style="thin">
        <color theme="0" tint="-0.499984740745262"/>
      </bottom>
      <diagonal/>
    </border>
    <border>
      <left style="double">
        <color theme="0" tint="-0.499984740745262"/>
      </left>
      <right style="thin">
        <color theme="0" tint="-0.499984740745262"/>
      </right>
      <top style="thin">
        <color theme="0" tint="-0.499984740745262"/>
      </top>
      <bottom/>
      <diagonal/>
    </border>
    <border>
      <left style="double">
        <color theme="0" tint="-0.499984740745262"/>
      </left>
      <right style="thin">
        <color theme="0" tint="-0.499984740745262"/>
      </right>
      <top/>
      <bottom/>
      <diagonal/>
    </border>
    <border>
      <left style="thin">
        <color theme="0" tint="-0.499984740745262"/>
      </left>
      <right/>
      <top style="double">
        <color theme="0" tint="-0.499984740745262"/>
      </top>
      <bottom style="thin">
        <color theme="0" tint="-0.499984740745262"/>
      </bottom>
      <diagonal/>
    </border>
    <border>
      <left style="thick">
        <color theme="0" tint="-0.499984740745262"/>
      </left>
      <right style="thick">
        <color theme="0" tint="-0.499984740745262"/>
      </right>
      <top style="double">
        <color theme="0" tint="-0.499984740745262"/>
      </top>
      <bottom style="thin">
        <color theme="0" tint="-0.499984740745262"/>
      </bottom>
      <diagonal/>
    </border>
    <border>
      <left/>
      <right style="thin">
        <color theme="0" tint="-0.499984740745262"/>
      </right>
      <top style="double">
        <color theme="0" tint="-0.499984740745262"/>
      </top>
      <bottom/>
      <diagonal/>
    </border>
    <border>
      <left style="thick">
        <color theme="0" tint="-0.499984740745262"/>
      </left>
      <right style="thick">
        <color theme="0" tint="-0.499984740745262"/>
      </right>
      <top style="thin">
        <color theme="0" tint="-0.499984740745262"/>
      </top>
      <bottom style="thin">
        <color theme="0" tint="-0.499984740745262"/>
      </bottom>
      <diagonal/>
    </border>
    <border>
      <left/>
      <right style="thin">
        <color theme="0" tint="-0.499984740745262"/>
      </right>
      <top/>
      <bottom style="thin">
        <color theme="0" tint="-0.499984740745262"/>
      </bottom>
      <diagonal/>
    </border>
    <border>
      <left style="thick">
        <color theme="0" tint="-0.499984740745262"/>
      </left>
      <right style="thick">
        <color theme="0" tint="-0.499984740745262"/>
      </right>
      <top style="thin">
        <color theme="0" tint="-0.499984740745262"/>
      </top>
      <bottom/>
      <diagonal/>
    </border>
    <border>
      <left style="thick">
        <color theme="0" tint="-0.499984740745262"/>
      </left>
      <right style="thick">
        <color theme="0" tint="-0.499984740745262"/>
      </right>
      <top/>
      <bottom style="thin">
        <color theme="0" tint="-0.499984740745262"/>
      </bottom>
      <diagonal/>
    </border>
    <border>
      <left style="thick">
        <color theme="0" tint="-0.499984740745262"/>
      </left>
      <right style="thick">
        <color theme="0" tint="-0.499984740745262"/>
      </right>
      <top/>
      <bottom/>
      <diagonal/>
    </border>
    <border>
      <left style="thin">
        <color theme="0" tint="-0.499984740745262"/>
      </left>
      <right style="thick">
        <color theme="0" tint="-0.499984740745262"/>
      </right>
      <top style="double">
        <color theme="0" tint="-0.499984740745262"/>
      </top>
      <bottom style="thin">
        <color theme="0" tint="-0.499984740745262"/>
      </bottom>
      <diagonal/>
    </border>
    <border>
      <left style="thin">
        <color theme="0" tint="-0.499984740745262"/>
      </left>
      <right style="thin">
        <color theme="0" tint="-0.499984740745262"/>
      </right>
      <top style="double">
        <color theme="0" tint="-0.499984740745262"/>
      </top>
      <bottom/>
      <diagonal/>
    </border>
    <border>
      <left/>
      <right/>
      <top style="double">
        <color theme="0" tint="-0.499984740745262"/>
      </top>
      <bottom style="thin">
        <color theme="0" tint="-0.499984740745262"/>
      </bottom>
      <diagonal/>
    </border>
    <border>
      <left style="thin">
        <color theme="0" tint="-0.499984740745262"/>
      </left>
      <right style="thick">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auto="1"/>
      </bottom>
      <diagonal/>
    </border>
    <border>
      <left style="thin">
        <color theme="0" tint="-0.499984740745262"/>
      </left>
      <right style="thick">
        <color theme="0" tint="-0.499984740745262"/>
      </right>
      <top/>
      <bottom style="thin">
        <color theme="0" tint="-0.499984740745262"/>
      </bottom>
      <diagonal/>
    </border>
    <border>
      <left style="thin">
        <color theme="0" tint="-0.499984740745262"/>
      </left>
      <right style="thick">
        <color theme="0" tint="-0.499984740745262"/>
      </right>
      <top style="thin">
        <color theme="0" tint="-0.499984740745262"/>
      </top>
      <bottom/>
      <diagonal/>
    </border>
    <border>
      <left/>
      <right style="double">
        <color theme="0" tint="-0.499984740745262"/>
      </right>
      <top style="double">
        <color theme="0" tint="-0.499984740745262"/>
      </top>
      <bottom style="thin">
        <color theme="0" tint="-0.499984740745262"/>
      </bottom>
      <diagonal/>
    </border>
    <border>
      <left/>
      <right style="thin">
        <color theme="0" tint="-0.499984740745262"/>
      </right>
      <top style="double">
        <color theme="0" tint="-0.499984740745262"/>
      </top>
      <bottom style="thin">
        <color theme="0" tint="-0.499984740745262"/>
      </bottom>
      <diagonal/>
    </border>
    <border>
      <left style="thin">
        <color theme="0" tint="-0.499984740745262"/>
      </left>
      <right style="double">
        <color theme="0" tint="-0.499984740745262"/>
      </right>
      <top style="thin">
        <color theme="0" tint="-0.499984740745262"/>
      </top>
      <bottom style="thin">
        <color auto="1"/>
      </bottom>
      <diagonal/>
    </border>
    <border>
      <left style="thin">
        <color theme="0" tint="-0.499984740745262"/>
      </left>
      <right style="double">
        <color theme="0" tint="-0.499984740745262"/>
      </right>
      <top/>
      <bottom style="thin">
        <color theme="0" tint="-0.499984740745262"/>
      </bottom>
      <diagonal/>
    </border>
    <border>
      <left style="thin">
        <color theme="0" tint="-0.499984740745262"/>
      </left>
      <right style="double">
        <color theme="0" tint="-0.499984740745262"/>
      </right>
      <top style="thin">
        <color theme="0" tint="-0.499984740745262"/>
      </top>
      <bottom style="thin">
        <color theme="0" tint="-0.499984740745262"/>
      </bottom>
      <diagonal/>
    </border>
    <border>
      <left style="thin">
        <color theme="0" tint="-0.499984740745262"/>
      </left>
      <right/>
      <top style="double">
        <color theme="0" tint="-0.499984740745262"/>
      </top>
      <bottom/>
      <diagonal/>
    </border>
    <border>
      <left style="thick">
        <color theme="0" tint="-0.499984740745262"/>
      </left>
      <right style="thin">
        <color theme="0" tint="-0.499984740745262"/>
      </right>
      <top style="double">
        <color theme="0" tint="-0.499984740745262"/>
      </top>
      <bottom style="thin">
        <color theme="0" tint="-0.499984740745262"/>
      </bottom>
      <diagonal/>
    </border>
    <border>
      <left style="thin">
        <color theme="0" tint="-0.499984740745262"/>
      </left>
      <right style="double">
        <color theme="0" tint="-0.499984740745262"/>
      </right>
      <top style="double">
        <color theme="0" tint="-0.499984740745262"/>
      </top>
      <bottom style="thin">
        <color theme="0" tint="-0.499984740745262"/>
      </bottom>
      <diagonal/>
    </border>
    <border>
      <left style="thin">
        <color theme="0" tint="-0.499984740745262"/>
      </left>
      <right/>
      <top/>
      <bottom style="thin">
        <color theme="0" tint="-0.499984740745262"/>
      </bottom>
      <diagonal/>
    </border>
    <border>
      <left style="thick">
        <color theme="0" tint="-0.499984740745262"/>
      </left>
      <right style="thin">
        <color theme="0" tint="-0.499984740745262"/>
      </right>
      <top style="thin">
        <color theme="0" tint="-0.499984740745262"/>
      </top>
      <bottom style="thin">
        <color theme="0" tint="-0.499984740745262"/>
      </bottom>
      <diagonal/>
    </border>
    <border>
      <left style="double">
        <color theme="0" tint="-0.499984740745262"/>
      </left>
      <right style="thin">
        <color theme="0" tint="-0.499984740745262"/>
      </right>
      <top/>
      <bottom style="thin">
        <color theme="0" tint="-0.499984740745262"/>
      </bottom>
      <diagonal/>
    </border>
    <border>
      <left style="thick">
        <color theme="0" tint="-0.499984740745262"/>
      </left>
      <right/>
      <top style="thin">
        <color theme="0" tint="-0.499984740745262"/>
      </top>
      <bottom style="thin">
        <color theme="0" tint="-0.499984740745262"/>
      </bottom>
      <diagonal/>
    </border>
    <border>
      <left/>
      <right style="thick">
        <color theme="0" tint="-0.499984740745262"/>
      </right>
      <top style="thin">
        <color theme="0" tint="-0.499984740745262"/>
      </top>
      <bottom style="thin">
        <color theme="0" tint="-0.499984740745262"/>
      </bottom>
      <diagonal/>
    </border>
    <border>
      <left style="thick">
        <color theme="0" tint="-0.499984740745262"/>
      </left>
      <right style="double">
        <color theme="0" tint="-0.499984740745262"/>
      </right>
      <top style="thin">
        <color theme="0" tint="-0.499984740745262"/>
      </top>
      <bottom style="thin">
        <color theme="0" tint="-0.499984740745262"/>
      </bottom>
      <diagonal/>
    </border>
    <border>
      <left style="double">
        <color theme="0" tint="-0.499984740745262"/>
      </left>
      <right/>
      <top style="thin">
        <color theme="0" tint="-0.499984740745262"/>
      </top>
      <bottom style="double">
        <color theme="0" tint="-0.499984740745262"/>
      </bottom>
      <diagonal/>
    </border>
    <border>
      <left/>
      <right/>
      <top style="thin">
        <color theme="0" tint="-0.499984740745262"/>
      </top>
      <bottom style="double">
        <color theme="0" tint="-0.499984740745262"/>
      </bottom>
      <diagonal/>
    </border>
    <border>
      <left/>
      <right style="thin">
        <color theme="0" tint="-0.499984740745262"/>
      </right>
      <top style="thin">
        <color theme="0" tint="-0.499984740745262"/>
      </top>
      <bottom style="double">
        <color theme="0" tint="-0.499984740745262"/>
      </bottom>
      <diagonal/>
    </border>
    <border>
      <left style="thin">
        <color theme="0" tint="-0.499984740745262"/>
      </left>
      <right style="thin">
        <color theme="0" tint="-0.499984740745262"/>
      </right>
      <top style="thin">
        <color theme="0" tint="-0.499984740745262"/>
      </top>
      <bottom style="double">
        <color theme="0" tint="-0.499984740745262"/>
      </bottom>
      <diagonal/>
    </border>
    <border>
      <left style="thin">
        <color theme="0" tint="-0.499984740745262"/>
      </left>
      <right/>
      <top style="thin">
        <color theme="0" tint="-0.499984740745262"/>
      </top>
      <bottom style="double">
        <color theme="0" tint="-0.499984740745262"/>
      </bottom>
      <diagonal/>
    </border>
    <border>
      <left style="thick">
        <color theme="0" tint="-0.499984740745262"/>
      </left>
      <right style="thick">
        <color theme="0" tint="-0.499984740745262"/>
      </right>
      <top style="thin">
        <color theme="0" tint="-0.499984740745262"/>
      </top>
      <bottom style="double">
        <color theme="0" tint="-0.499984740745262"/>
      </bottom>
      <diagonal/>
    </border>
    <border>
      <left style="thin">
        <color theme="0" tint="-0.499984740745262"/>
      </left>
      <right style="thick">
        <color theme="0" tint="-0.499984740745262"/>
      </right>
      <top style="thin">
        <color theme="0" tint="-0.499984740745262"/>
      </top>
      <bottom style="double">
        <color theme="0" tint="-0.499984740745262"/>
      </bottom>
      <diagonal/>
    </border>
    <border>
      <left style="thin">
        <color theme="0" tint="-0.499984740745262"/>
      </left>
      <right style="double">
        <color theme="0" tint="-0.499984740745262"/>
      </right>
      <top style="thin">
        <color theme="0" tint="-0.499984740745262"/>
      </top>
      <bottom style="double">
        <color theme="0" tint="-0.499984740745262"/>
      </bottom>
      <diagonal/>
    </border>
    <border>
      <left style="thick">
        <color theme="0" tint="-0.499984740745262"/>
      </left>
      <right style="thin">
        <color theme="0" tint="-0.499984740745262"/>
      </right>
      <top style="thin">
        <color theme="0" tint="-0.499984740745262"/>
      </top>
      <bottom style="double">
        <color theme="0" tint="-0.499984740745262"/>
      </bottom>
      <diagonal/>
    </border>
    <border>
      <left style="thick">
        <color theme="0" tint="-0.499984740745262"/>
      </left>
      <right/>
      <top style="double">
        <color theme="0" tint="-0.499984740745262"/>
      </top>
      <bottom style="thin">
        <color theme="0" tint="-0.499984740745262"/>
      </bottom>
      <diagonal/>
    </border>
    <border>
      <left/>
      <right/>
      <top style="double">
        <color theme="0" tint="-0.499984740745262"/>
      </top>
      <bottom/>
      <diagonal/>
    </border>
    <border>
      <left/>
      <right/>
      <top/>
      <bottom style="thin">
        <color theme="0" tint="-0.499984740745262"/>
      </bottom>
      <diagonal/>
    </border>
    <border>
      <left style="thick">
        <color theme="0" tint="-0.499984740745262"/>
      </left>
      <right style="thin">
        <color theme="0" tint="-0.499984740745262"/>
      </right>
      <top/>
      <bottom style="thin">
        <color theme="0" tint="-0.499984740745262"/>
      </bottom>
      <diagonal/>
    </border>
    <border>
      <left style="thick">
        <color theme="0" tint="-0.499984740745262"/>
      </left>
      <right style="thin">
        <color theme="0" tint="-0.499984740745262"/>
      </right>
      <top style="thin">
        <color theme="0" tint="-0.499984740745262"/>
      </top>
      <bottom/>
      <diagonal/>
    </border>
    <border>
      <left/>
      <right style="double">
        <color theme="0" tint="-0.499984740745262"/>
      </right>
      <top style="double">
        <color theme="0" tint="-0.499984740745262"/>
      </top>
      <bottom/>
      <diagonal/>
    </border>
    <border>
      <left/>
      <right style="double">
        <color theme="0" tint="-0.499984740745262"/>
      </right>
      <top/>
      <bottom style="thin">
        <color theme="0" tint="-0.499984740745262"/>
      </bottom>
      <diagonal/>
    </border>
    <border>
      <left/>
      <right style="double">
        <color theme="0" tint="-0.499984740745262"/>
      </right>
      <top style="thin">
        <color theme="0" tint="-0.499984740745262"/>
      </top>
      <bottom style="thin">
        <color theme="0" tint="-0.499984740745262"/>
      </bottom>
      <diagonal/>
    </border>
    <border>
      <left/>
      <right style="thin">
        <color theme="0" tint="-0.499984740745262"/>
      </right>
      <top/>
      <bottom/>
      <diagonal/>
    </border>
    <border>
      <left style="thin">
        <color theme="0" tint="-0.499984740745262"/>
      </left>
      <right/>
      <top/>
      <bottom/>
      <diagonal/>
    </border>
    <border>
      <left/>
      <right style="thin">
        <color theme="0" tint="-0.499984740745262"/>
      </right>
      <top style="thin">
        <color theme="0" tint="-0.499984740745262"/>
      </top>
      <bottom/>
      <diagonal/>
    </border>
    <border>
      <left style="thin">
        <color theme="0" tint="-0.499984740745262"/>
      </left>
      <right/>
      <top style="thin">
        <color theme="0" tint="-0.499984740745262"/>
      </top>
      <bottom/>
      <diagonal/>
    </border>
    <border>
      <left/>
      <right style="double">
        <color theme="0" tint="-0.499984740745262"/>
      </right>
      <top style="thin">
        <color theme="0" tint="-0.499984740745262"/>
      </top>
      <bottom style="double">
        <color theme="0" tint="-0.499984740745262"/>
      </bottom>
      <diagonal/>
    </border>
    <border>
      <left/>
      <right style="thick">
        <color theme="0" tint="-0.499984740745262"/>
      </right>
      <top style="double">
        <color theme="0" tint="-0.499984740745262"/>
      </top>
      <bottom/>
      <diagonal/>
    </border>
    <border>
      <left style="thick">
        <color theme="0" tint="-0.499984740745262"/>
      </left>
      <right style="thin">
        <color theme="0" tint="-0.499984740745262"/>
      </right>
      <top style="double">
        <color theme="0" tint="-0.499984740745262"/>
      </top>
      <bottom/>
      <diagonal/>
    </border>
    <border>
      <left/>
      <right style="thick">
        <color theme="0" tint="-0.499984740745262"/>
      </right>
      <top/>
      <bottom style="thin">
        <color theme="0" tint="-0.499984740745262"/>
      </bottom>
      <diagonal/>
    </border>
    <border>
      <left style="thick">
        <color theme="0" tint="-0.499984740745262"/>
      </left>
      <right style="thin">
        <color theme="0" tint="-0.499984740745262"/>
      </right>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style="thin">
        <color rgb="FF000000"/>
      </right>
      <top style="medium">
        <color rgb="FF000000"/>
      </top>
      <bottom/>
      <diagonal/>
    </border>
    <border>
      <left style="medium">
        <color rgb="FF000000"/>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top style="thin">
        <color rgb="FF000000"/>
      </top>
      <bottom style="medium">
        <color rgb="FF00000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bottom/>
      <diagonal/>
    </border>
    <border>
      <left/>
      <right/>
      <top style="thin">
        <color auto="1"/>
      </top>
      <bottom/>
      <diagonal/>
    </border>
    <border>
      <left style="double">
        <color rgb="FF7F7F7F"/>
      </left>
      <right/>
      <top style="double">
        <color rgb="FF7F7F7F"/>
      </top>
      <bottom/>
      <diagonal/>
    </border>
    <border>
      <left/>
      <right/>
      <top style="double">
        <color rgb="FF7F7F7F"/>
      </top>
      <bottom/>
      <diagonal/>
    </border>
    <border>
      <left style="thin">
        <color rgb="FF7F7F7F"/>
      </left>
      <right style="thick">
        <color rgb="FF7F7F7F"/>
      </right>
      <top style="double">
        <color rgb="FF7F7F7F"/>
      </top>
      <bottom/>
      <diagonal/>
    </border>
    <border>
      <left style="thick">
        <color rgb="FF7F7F7F"/>
      </left>
      <right style="thick">
        <color rgb="FF7F7F7F"/>
      </right>
      <top style="double">
        <color rgb="FF7F7F7F"/>
      </top>
      <bottom/>
      <diagonal/>
    </border>
    <border>
      <left style="double">
        <color rgb="FF7F7F7F"/>
      </left>
      <right/>
      <top/>
      <bottom style="thin">
        <color rgb="FF7F7F7F"/>
      </bottom>
      <diagonal/>
    </border>
    <border>
      <left/>
      <right/>
      <top/>
      <bottom style="thin">
        <color rgb="FF7F7F7F"/>
      </bottom>
      <diagonal/>
    </border>
    <border>
      <left style="thin">
        <color rgb="FF7F7F7F"/>
      </left>
      <right style="thick">
        <color rgb="FF7F7F7F"/>
      </right>
      <top/>
      <bottom style="thin">
        <color rgb="FF7F7F7F"/>
      </bottom>
      <diagonal/>
    </border>
    <border>
      <left style="thick">
        <color rgb="FF7F7F7F"/>
      </left>
      <right style="thick">
        <color rgb="FF7F7F7F"/>
      </right>
      <top/>
      <bottom style="thin">
        <color rgb="FF7F7F7F"/>
      </bottom>
      <diagonal/>
    </border>
    <border>
      <left style="double">
        <color rgb="FF7F7F7F"/>
      </left>
      <right/>
      <top style="thin">
        <color rgb="FF7F7F7F"/>
      </top>
      <bottom style="thin">
        <color rgb="FF7F7F7F"/>
      </bottom>
      <diagonal/>
    </border>
    <border>
      <left/>
      <right/>
      <top style="thin">
        <color rgb="FF7F7F7F"/>
      </top>
      <bottom style="thin">
        <color rgb="FF7F7F7F"/>
      </bottom>
      <diagonal/>
    </border>
    <border>
      <left style="thin">
        <color rgb="FF7F7F7F"/>
      </left>
      <right style="thick">
        <color rgb="FF7F7F7F"/>
      </right>
      <top style="thin">
        <color rgb="FF7F7F7F"/>
      </top>
      <bottom style="thin">
        <color rgb="FF7F7F7F"/>
      </bottom>
      <diagonal/>
    </border>
    <border>
      <left style="thick">
        <color rgb="FF7F7F7F"/>
      </left>
      <right/>
      <top/>
      <bottom style="thin">
        <color rgb="FF7F7F7F"/>
      </bottom>
      <diagonal/>
    </border>
    <border>
      <left style="double">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style="thick">
        <color rgb="FF7F7F7F"/>
      </left>
      <right style="thick">
        <color rgb="FF7F7F7F"/>
      </right>
      <top style="thin">
        <color rgb="FF7F7F7F"/>
      </top>
      <bottom style="thin">
        <color rgb="FF7F7F7F"/>
      </bottom>
      <diagonal/>
    </border>
    <border>
      <left style="double">
        <color rgb="FF7F7F7F"/>
      </left>
      <right style="thin">
        <color rgb="FF7F7F7F"/>
      </right>
      <top style="thin">
        <color rgb="FF7F7F7F"/>
      </top>
      <bottom/>
      <diagonal/>
    </border>
    <border>
      <left style="thin">
        <color rgb="FF7F7F7F"/>
      </left>
      <right style="thin">
        <color rgb="FF7F7F7F"/>
      </right>
      <top style="thin">
        <color rgb="FF7F7F7F"/>
      </top>
      <bottom/>
      <diagonal/>
    </border>
    <border>
      <left style="thin">
        <color theme="1" tint="0.499984740745262"/>
      </left>
      <right style="thin">
        <color theme="1" tint="0.499984740745262"/>
      </right>
      <top style="thin">
        <color theme="1" tint="0.499984740745262"/>
      </top>
      <bottom/>
      <diagonal/>
    </border>
    <border>
      <left/>
      <right style="thin">
        <color rgb="FF7F7F7F"/>
      </right>
      <top style="thin">
        <color rgb="FF7F7F7F"/>
      </top>
      <bottom style="thin">
        <color rgb="FF7F7F7F"/>
      </bottom>
      <diagonal/>
    </border>
    <border>
      <left style="thin">
        <color theme="1" tint="0.499984740745262"/>
      </left>
      <right style="thin">
        <color theme="1" tint="0.499984740745262"/>
      </right>
      <top/>
      <bottom/>
      <diagonal/>
    </border>
    <border>
      <left style="thin">
        <color theme="1" tint="0.499984740745262"/>
      </left>
      <right style="thin">
        <color theme="1" tint="0.499984740745262"/>
      </right>
      <top style="thin">
        <color rgb="FF7F7F7F"/>
      </top>
      <bottom style="thin">
        <color rgb="FF7F7F7F"/>
      </bottom>
      <diagonal/>
    </border>
    <border>
      <left style="thin">
        <color theme="1" tint="0.499984740745262"/>
      </left>
      <right/>
      <top style="thin">
        <color rgb="FF7F7F7F"/>
      </top>
      <bottom style="thin">
        <color rgb="FF7F7F7F"/>
      </bottom>
      <diagonal/>
    </border>
    <border>
      <left style="thin">
        <color rgb="FF7F7F7F"/>
      </left>
      <right/>
      <top style="thin">
        <color rgb="FF7F7F7F"/>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style="thin">
        <color theme="1" tint="0.499984740745262"/>
      </left>
      <right style="thin">
        <color theme="1" tint="0.499984740745262"/>
      </right>
      <top/>
      <bottom style="thin">
        <color theme="1" tint="0.499984740745262"/>
      </bottom>
      <diagonal/>
    </border>
    <border>
      <left style="thin">
        <color rgb="FF7F7F7F"/>
      </left>
      <right/>
      <top/>
      <bottom style="thin">
        <color rgb="FF7F7F7F"/>
      </bottom>
      <diagonal/>
    </border>
    <border>
      <left/>
      <right style="thin">
        <color theme="1" tint="0.499984740745262"/>
      </right>
      <top style="thin">
        <color rgb="FF7F7F7F"/>
      </top>
      <bottom style="thin">
        <color rgb="FF7F7F7F"/>
      </bottom>
      <diagonal/>
    </border>
    <border>
      <left style="thin">
        <color theme="1" tint="0.499984740745262"/>
      </left>
      <right/>
      <top style="thin">
        <color rgb="FF7F7F7F"/>
      </top>
      <bottom style="thin">
        <color theme="1" tint="0.499984740745262"/>
      </bottom>
      <diagonal/>
    </border>
    <border>
      <left style="thin">
        <color rgb="FF7F7F7F"/>
      </left>
      <right/>
      <top style="thin">
        <color theme="1" tint="0.499984740745262"/>
      </top>
      <bottom/>
      <diagonal/>
    </border>
    <border>
      <left/>
      <right style="thin">
        <color rgb="FF7F7F7F"/>
      </right>
      <top style="thin">
        <color theme="1" tint="0.499984740745262"/>
      </top>
      <bottom style="thin">
        <color rgb="FF7F7F7F"/>
      </bottom>
      <diagonal/>
    </border>
    <border>
      <left style="thin">
        <color rgb="FF7F7F7F"/>
      </left>
      <right/>
      <top/>
      <bottom/>
      <diagonal/>
    </border>
    <border>
      <left/>
      <right style="thin">
        <color rgb="FF7F7F7F"/>
      </right>
      <top style="thin">
        <color rgb="FF7F7F7F"/>
      </top>
      <bottom/>
      <diagonal/>
    </border>
    <border>
      <left/>
      <right style="thin">
        <color theme="1" tint="0.499984740745262"/>
      </right>
      <top style="thin">
        <color theme="1" tint="0.499984740745262"/>
      </top>
      <bottom/>
      <diagonal/>
    </border>
    <border>
      <left/>
      <right style="thin">
        <color theme="1" tint="0.499984740745262"/>
      </right>
      <top style="thin">
        <color theme="1" tint="0.499984740745262"/>
      </top>
      <bottom style="thin">
        <color theme="1" tint="0.499984740745262"/>
      </bottom>
      <diagonal/>
    </border>
    <border>
      <left style="thin">
        <color theme="1" tint="0.499984740745262"/>
      </left>
      <right/>
      <top/>
      <bottom style="thin">
        <color theme="1" tint="0.499984740745262"/>
      </bottom>
      <diagonal/>
    </border>
    <border>
      <left/>
      <right style="thin">
        <color theme="1" tint="0.499984740745262"/>
      </right>
      <top/>
      <bottom style="thin">
        <color theme="1" tint="0.499984740745262"/>
      </bottom>
      <diagonal/>
    </border>
    <border>
      <left/>
      <right style="thin">
        <color rgb="FF7F7F7F"/>
      </right>
      <top/>
      <bottom style="thin">
        <color rgb="FF7F7F7F"/>
      </bottom>
      <diagonal/>
    </border>
    <border>
      <left style="thin">
        <color rgb="FF7F7F7F"/>
      </left>
      <right/>
      <top style="thin">
        <color rgb="FF7F7F7F"/>
      </top>
      <bottom style="thin">
        <color theme="1" tint="0.499984740745262"/>
      </bottom>
      <diagonal/>
    </border>
    <border>
      <left/>
      <right/>
      <top style="thin">
        <color rgb="FF7F7F7F"/>
      </top>
      <bottom style="thin">
        <color theme="1" tint="0.499984740745262"/>
      </bottom>
      <diagonal/>
    </border>
    <border>
      <left style="thin">
        <color theme="1" tint="0.499984740745262"/>
      </left>
      <right style="thin">
        <color theme="1" tint="0.499984740745262"/>
      </right>
      <top style="thin">
        <color rgb="FF7F7F7F"/>
      </top>
      <bottom/>
      <diagonal/>
    </border>
    <border>
      <left/>
      <right/>
      <top style="thin">
        <color rgb="FF7F7F7F"/>
      </top>
      <bottom/>
      <diagonal/>
    </border>
    <border>
      <left style="thin">
        <color theme="1" tint="0.499984740745262"/>
      </left>
      <right/>
      <top/>
      <bottom style="thin">
        <color rgb="FF7F7F7F"/>
      </bottom>
      <diagonal/>
    </border>
    <border>
      <left style="thin">
        <color rgb="FF7F7F7F"/>
      </left>
      <right style="thin">
        <color rgb="FF7F7F7F"/>
      </right>
      <top/>
      <bottom style="thin">
        <color rgb="FF7F7F7F"/>
      </bottom>
      <diagonal/>
    </border>
    <border>
      <left/>
      <right style="thin">
        <color theme="1" tint="0.499984740745262"/>
      </right>
      <top style="thin">
        <color rgb="FF7F7F7F"/>
      </top>
      <bottom style="thin">
        <color theme="1" tint="0.499984740745262"/>
      </bottom>
      <diagonal/>
    </border>
    <border>
      <left style="thin">
        <color theme="1" tint="0.499984740745262"/>
      </left>
      <right style="thin">
        <color theme="1" tint="0.499984740745262"/>
      </right>
      <top/>
      <bottom style="thin">
        <color rgb="FF7F7F7F"/>
      </bottom>
      <diagonal/>
    </border>
    <border>
      <left/>
      <right style="thin">
        <color theme="1" tint="0.499984740745262"/>
      </right>
      <top style="thin">
        <color rgb="FF7F7F7F"/>
      </top>
      <bottom/>
      <diagonal/>
    </border>
    <border>
      <left style="thin">
        <color theme="1" tint="0.499984740745262"/>
      </left>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style="thin">
        <color rgb="FF7F7F7F"/>
      </bottom>
      <diagonal/>
    </border>
    <border>
      <left style="thin">
        <color theme="1" tint="0.499984740745262"/>
      </left>
      <right/>
      <top style="thin">
        <color theme="1" tint="0.499984740745262"/>
      </top>
      <bottom style="thin">
        <color rgb="FF7F7F7F"/>
      </bottom>
      <diagonal/>
    </border>
    <border>
      <left style="thin">
        <color theme="1" tint="0.499984740745262"/>
      </left>
      <right style="thin">
        <color theme="1" tint="0.499984740745262"/>
      </right>
      <top style="thin">
        <color rgb="FF7F7F7F"/>
      </top>
      <bottom style="thin">
        <color theme="1" tint="0.499984740745262"/>
      </bottom>
      <diagonal/>
    </border>
    <border>
      <left style="thick">
        <color rgb="FF7F7F7F"/>
      </left>
      <right style="thin">
        <color rgb="FF7F7F7F"/>
      </right>
      <top style="double">
        <color rgb="FF7F7F7F"/>
      </top>
      <bottom/>
      <diagonal/>
    </border>
    <border>
      <left/>
      <right style="double">
        <color rgb="FF7F7F7F"/>
      </right>
      <top style="double">
        <color rgb="FF7F7F7F"/>
      </top>
      <bottom/>
      <diagonal/>
    </border>
    <border>
      <left/>
      <right/>
      <top style="double">
        <color rgb="FF7F7F7F"/>
      </top>
      <bottom style="thin">
        <color rgb="FF7F7F7F"/>
      </bottom>
      <diagonal/>
    </border>
    <border>
      <left/>
      <right style="thick">
        <color rgb="FF7F7F7F"/>
      </right>
      <top style="double">
        <color rgb="FF7F7F7F"/>
      </top>
      <bottom style="thin">
        <color rgb="FF7F7F7F"/>
      </bottom>
      <diagonal/>
    </border>
    <border>
      <left style="thick">
        <color rgb="FF7F7F7F"/>
      </left>
      <right style="thin">
        <color rgb="FF7F7F7F"/>
      </right>
      <top/>
      <bottom style="thin">
        <color rgb="FF7F7F7F"/>
      </bottom>
      <diagonal/>
    </border>
    <border>
      <left/>
      <right style="double">
        <color rgb="FF7F7F7F"/>
      </right>
      <top/>
      <bottom style="thin">
        <color rgb="FF7F7F7F"/>
      </bottom>
      <diagonal/>
    </border>
    <border>
      <left style="thick">
        <color rgb="FF7F7F7F"/>
      </left>
      <right style="thin">
        <color rgb="FF7F7F7F"/>
      </right>
      <top style="thin">
        <color rgb="FF7F7F7F"/>
      </top>
      <bottom style="thin">
        <color rgb="FF7F7F7F"/>
      </bottom>
      <diagonal/>
    </border>
    <border>
      <left/>
      <right style="double">
        <color rgb="FF7F7F7F"/>
      </right>
      <top style="thin">
        <color rgb="FF7F7F7F"/>
      </top>
      <bottom style="thin">
        <color rgb="FF7F7F7F"/>
      </bottom>
      <diagonal/>
    </border>
    <border>
      <left style="thin">
        <color theme="1" tint="0.499984740745262"/>
      </left>
      <right/>
      <top style="thin">
        <color rgb="FF7F7F7F"/>
      </top>
      <bottom/>
      <diagonal/>
    </border>
    <border>
      <left style="thin">
        <color theme="1" tint="0.499984740745262"/>
      </left>
      <right/>
      <top/>
      <bottom/>
      <diagonal/>
    </border>
    <border>
      <left style="thin">
        <color theme="1" tint="0.499984740745262"/>
      </left>
      <right style="thin">
        <color rgb="FF7F7F7F"/>
      </right>
      <top style="thin">
        <color rgb="FF7F7F7F"/>
      </top>
      <bottom/>
      <diagonal/>
    </border>
    <border>
      <left style="thin">
        <color theme="1" tint="0.499984740745262"/>
      </left>
      <right style="thin">
        <color rgb="FF7F7F7F"/>
      </right>
      <top/>
      <bottom style="thin">
        <color rgb="FF7F7F7F"/>
      </bottom>
      <diagonal/>
    </border>
    <border>
      <left style="thin">
        <color theme="1" tint="0.499984740745262"/>
      </left>
      <right/>
      <top style="thin">
        <color theme="1" tint="0.499984740745262"/>
      </top>
      <bottom/>
      <diagonal/>
    </border>
    <border>
      <left style="thick">
        <color rgb="FF7F7F7F"/>
      </left>
      <right style="double">
        <color rgb="FF7F7F7F"/>
      </right>
      <top style="double">
        <color rgb="FF7F7F7F"/>
      </top>
      <bottom/>
      <diagonal/>
    </border>
    <border>
      <left style="thick">
        <color rgb="FF7F7F7F"/>
      </left>
      <right/>
      <top style="double">
        <color rgb="FF7F7F7F"/>
      </top>
      <bottom style="thin">
        <color rgb="FF7F7F7F"/>
      </bottom>
      <diagonal/>
    </border>
    <border>
      <left style="thick">
        <color rgb="FF7F7F7F"/>
      </left>
      <right style="double">
        <color rgb="FF7F7F7F"/>
      </right>
      <top/>
      <bottom style="thin">
        <color rgb="FF7F7F7F"/>
      </bottom>
      <diagonal/>
    </border>
    <border>
      <left style="thin">
        <color rgb="FF7F7F7F"/>
      </left>
      <right style="double">
        <color rgb="FF7F7F7F"/>
      </right>
      <top/>
      <bottom style="thin">
        <color rgb="FF7F7F7F"/>
      </bottom>
      <diagonal/>
    </border>
    <border>
      <left style="thick">
        <color rgb="FF7F7F7F"/>
      </left>
      <right style="thin">
        <color rgb="FF7F7F7F"/>
      </right>
      <top/>
      <bottom/>
      <diagonal/>
    </border>
    <border>
      <left style="thin">
        <color rgb="FF7F7F7F"/>
      </left>
      <right style="double">
        <color rgb="FF7F7F7F"/>
      </right>
      <top style="thin">
        <color rgb="FF7F7F7F"/>
      </top>
      <bottom style="thin">
        <color rgb="FF7F7F7F"/>
      </bottom>
      <diagonal/>
    </border>
    <border>
      <left/>
      <right style="thin">
        <color theme="1" tint="0.499984740745262"/>
      </right>
      <top/>
      <bottom/>
      <diagonal/>
    </border>
    <border>
      <left/>
      <right/>
      <top style="thin">
        <color theme="1" tint="0.499984740745262"/>
      </top>
      <bottom/>
      <diagonal/>
    </border>
    <border>
      <left style="thin">
        <color theme="1" tint="0.499984740745262"/>
      </left>
      <right style="thin">
        <color theme="0" tint="-0.499984740745262"/>
      </right>
      <top style="thin">
        <color theme="0" tint="-0.499984740745262"/>
      </top>
      <bottom/>
      <diagonal/>
    </border>
    <border>
      <left style="thin">
        <color rgb="FF7F7F7F"/>
      </left>
      <right style="thin">
        <color theme="1" tint="0.499984740745262"/>
      </right>
      <top style="thin">
        <color rgb="FF7F7F7F"/>
      </top>
      <bottom/>
      <diagonal/>
    </border>
    <border>
      <left/>
      <right style="thin">
        <color theme="1" tint="0.499984740745262"/>
      </right>
      <top/>
      <bottom style="thin">
        <color rgb="FF7F7F7F"/>
      </bottom>
      <diagonal/>
    </border>
    <border>
      <left/>
      <right/>
      <top/>
      <bottom style="thin">
        <color theme="1" tint="0.499984740745262"/>
      </bottom>
      <diagonal/>
    </border>
    <border>
      <left style="thin">
        <color theme="1" tint="0.499984740745262"/>
      </left>
      <right style="thin">
        <color rgb="FF7F7F7F"/>
      </right>
      <top style="thin">
        <color rgb="FF7F7F7F"/>
      </top>
      <bottom style="thin">
        <color rgb="FF7F7F7F"/>
      </bottom>
      <diagonal/>
    </border>
    <border>
      <left style="thin">
        <color rgb="FF7F7F7F"/>
      </left>
      <right style="thin">
        <color theme="1" tint="0.499984740745262"/>
      </right>
      <top style="thin">
        <color rgb="FF7F7F7F"/>
      </top>
      <bottom style="thin">
        <color rgb="FF7F7F7F"/>
      </bottom>
      <diagonal/>
    </border>
    <border>
      <left style="thin">
        <color rgb="FF7F7F7F"/>
      </left>
      <right style="thin">
        <color theme="1" tint="0.499984740745262"/>
      </right>
      <top/>
      <bottom style="thin">
        <color rgb="FF7F7F7F"/>
      </bottom>
      <diagonal/>
    </border>
    <border>
      <left style="thin">
        <color rgb="FF7F7F7F"/>
      </left>
      <right style="thin">
        <color rgb="FF7F7F7F"/>
      </right>
      <top/>
      <bottom/>
      <diagonal/>
    </border>
    <border>
      <left/>
      <right style="double">
        <color rgb="FF7F7F7F"/>
      </right>
      <top style="double">
        <color rgb="FF7F7F7F"/>
      </top>
      <bottom style="thin">
        <color rgb="FF7F7F7F"/>
      </bottom>
      <diagonal/>
    </border>
    <border>
      <left/>
      <right style="thin">
        <color rgb="FF7F7F7F"/>
      </right>
      <top/>
      <bottom/>
      <diagonal/>
    </border>
    <border>
      <left style="thin">
        <color rgb="FF7F7F7F"/>
      </left>
      <right style="double">
        <color rgb="FF7F7F7F"/>
      </right>
      <top/>
      <bottom/>
      <diagonal/>
    </border>
    <border>
      <left style="thin">
        <color theme="1" tint="0.499984740745262"/>
      </left>
      <right style="thin">
        <color rgb="FF7F7F7F"/>
      </right>
      <top style="thin">
        <color theme="1" tint="0.499984740745262"/>
      </top>
      <bottom style="thin">
        <color theme="1" tint="0.499984740745262"/>
      </bottom>
      <diagonal/>
    </border>
    <border>
      <left style="thin">
        <color rgb="FF7F7F7F"/>
      </left>
      <right style="thin">
        <color rgb="FF7F7F7F"/>
      </right>
      <top style="thin">
        <color theme="1" tint="0.499984740745262"/>
      </top>
      <bottom style="thin">
        <color theme="1" tint="0.499984740745262"/>
      </bottom>
      <diagonal/>
    </border>
    <border>
      <left/>
      <right style="thin">
        <color theme="1" tint="0.499984740745262"/>
      </right>
      <top style="thin">
        <color theme="1" tint="0.499984740745262"/>
      </top>
      <bottom style="thin">
        <color rgb="FF7F7F7F"/>
      </bottom>
      <diagonal/>
    </border>
    <border>
      <left style="thin">
        <color rgb="FF7F7F7F"/>
      </left>
      <right style="thin">
        <color theme="1" tint="0.499984740745262"/>
      </right>
      <top style="thin">
        <color theme="1" tint="0.499984740745262"/>
      </top>
      <bottom style="thin">
        <color theme="1" tint="0.499984740745262"/>
      </bottom>
      <diagonal/>
    </border>
    <border>
      <left style="double">
        <color rgb="FF7F7F7F"/>
      </left>
      <right style="thin">
        <color theme="1" tint="0.499984740745262"/>
      </right>
      <top style="thin">
        <color rgb="FF7F7F7F"/>
      </top>
      <bottom/>
      <diagonal/>
    </border>
    <border>
      <left style="double">
        <color rgb="FF7F7F7F"/>
      </left>
      <right/>
      <top style="thin">
        <color rgb="FF7F7F7F"/>
      </top>
      <bottom/>
      <diagonal/>
    </border>
    <border>
      <left/>
      <right style="thin">
        <color rgb="FF7F7F7F"/>
      </right>
      <top style="thin">
        <color theme="1" tint="0.499984740745262"/>
      </top>
      <bottom/>
      <diagonal/>
    </border>
    <border>
      <left style="thin">
        <color rgb="FF7F7F7F"/>
      </left>
      <right style="thin">
        <color rgb="FF7F7F7F"/>
      </right>
      <top style="thin">
        <color theme="1" tint="0.499984740745262"/>
      </top>
      <bottom style="thin">
        <color rgb="FF7F7F7F"/>
      </bottom>
      <diagonal/>
    </border>
    <border>
      <left style="thin">
        <color rgb="FF7F7F7F"/>
      </left>
      <right/>
      <top style="thin">
        <color theme="1" tint="0.499984740745262"/>
      </top>
      <bottom style="thin">
        <color rgb="FF7F7F7F"/>
      </bottom>
      <diagonal/>
    </border>
    <border>
      <left style="thin">
        <color theme="1" tint="0.499984740745262"/>
      </left>
      <right style="thin">
        <color rgb="FF7F7F7F"/>
      </right>
      <top style="thin">
        <color theme="1" tint="0.499984740745262"/>
      </top>
      <bottom style="thin">
        <color rgb="FF7F7F7F"/>
      </bottom>
      <diagonal/>
    </border>
    <border>
      <left style="thin">
        <color rgb="FF7F7F7F"/>
      </left>
      <right style="thin">
        <color theme="1" tint="0.499984740745262"/>
      </right>
      <top style="thin">
        <color theme="1" tint="0.499984740745262"/>
      </top>
      <bottom/>
      <diagonal/>
    </border>
    <border>
      <left style="double">
        <color rgb="FF7F7F7F"/>
      </left>
      <right style="thin">
        <color theme="1" tint="0.499984740745262"/>
      </right>
      <top style="thin">
        <color rgb="FF7F7F7F"/>
      </top>
      <bottom style="thin">
        <color rgb="FF7F7F7F"/>
      </bottom>
      <diagonal/>
    </border>
    <border>
      <left style="thin">
        <color rgb="FF7F7F7F"/>
      </left>
      <right style="thin">
        <color theme="1" tint="0.499984740745262"/>
      </right>
      <top/>
      <bottom/>
      <diagonal/>
    </border>
    <border>
      <left/>
      <right style="thick">
        <color rgb="FF7F7F7F"/>
      </right>
      <top style="thin">
        <color rgb="FF7F7F7F"/>
      </top>
      <bottom style="thin">
        <color rgb="FF7F7F7F"/>
      </bottom>
      <diagonal/>
    </border>
    <border>
      <left style="thin">
        <color theme="1" tint="0.499984740745262"/>
      </left>
      <right style="thin">
        <color rgb="FF7F7F7F"/>
      </right>
      <top style="thin">
        <color rgb="FF7F7F7F"/>
      </top>
      <bottom style="thin">
        <color theme="1" tint="0.499984740745262"/>
      </bottom>
      <diagonal/>
    </border>
    <border>
      <left style="thin">
        <color rgb="FF7F7F7F"/>
      </left>
      <right style="thin">
        <color theme="1" tint="0.499984740745262"/>
      </right>
      <top style="thin">
        <color rgb="FF7F7F7F"/>
      </top>
      <bottom style="thin">
        <color theme="1" tint="0.499984740745262"/>
      </bottom>
      <diagonal/>
    </border>
    <border>
      <left style="thin">
        <color theme="1" tint="0.499984740745262"/>
      </left>
      <right style="thin">
        <color rgb="FF7F7F7F"/>
      </right>
      <top/>
      <bottom/>
      <diagonal/>
    </border>
    <border>
      <left/>
      <right style="thin">
        <color rgb="FF7F7F7F"/>
      </right>
      <top style="thin">
        <color rgb="FF7F7F7F"/>
      </top>
      <bottom style="thin">
        <color theme="1" tint="0.499984740745262"/>
      </bottom>
      <diagonal/>
    </border>
    <border>
      <left style="thin">
        <color rgb="FF7F7F7F"/>
      </left>
      <right style="thick">
        <color rgb="FF7F7F7F"/>
      </right>
      <top style="thin">
        <color rgb="FF7F7F7F"/>
      </top>
      <bottom/>
      <diagonal/>
    </border>
    <border>
      <left style="thick">
        <color rgb="FF7F7F7F"/>
      </left>
      <right style="thick">
        <color rgb="FF7F7F7F"/>
      </right>
      <top style="thin">
        <color rgb="FF7F7F7F"/>
      </top>
      <bottom/>
      <diagonal/>
    </border>
    <border>
      <left style="thin">
        <color rgb="FF7F7F7F"/>
      </left>
      <right style="thin">
        <color rgb="FF7F7F7F"/>
      </right>
      <top style="thin">
        <color theme="1" tint="0.499984740745262"/>
      </top>
      <bottom/>
      <diagonal/>
    </border>
    <border>
      <left style="thin">
        <color rgb="FF7F7F7F"/>
      </left>
      <right style="thick">
        <color rgb="FF7F7F7F"/>
      </right>
      <top style="thin">
        <color theme="1" tint="0.499984740745262"/>
      </top>
      <bottom style="thin">
        <color rgb="FF7F7F7F"/>
      </bottom>
      <diagonal/>
    </border>
    <border>
      <left style="thick">
        <color rgb="FF7F7F7F"/>
      </left>
      <right style="thick">
        <color rgb="FF7F7F7F"/>
      </right>
      <top style="thin">
        <color theme="1" tint="0.499984740745262"/>
      </top>
      <bottom style="thin">
        <color rgb="FF7F7F7F"/>
      </bottom>
      <diagonal/>
    </border>
    <border>
      <left style="thin">
        <color rgb="FF7F7F7F"/>
      </left>
      <right/>
      <top style="thin">
        <color theme="1" tint="0.499984740745262"/>
      </top>
      <bottom style="double">
        <color rgb="FF7F7F7F"/>
      </bottom>
      <diagonal/>
    </border>
    <border>
      <left/>
      <right/>
      <top style="thin">
        <color theme="1" tint="0.499984740745262"/>
      </top>
      <bottom style="double">
        <color rgb="FF7F7F7F"/>
      </bottom>
      <diagonal/>
    </border>
    <border>
      <left/>
      <right style="thin">
        <color rgb="FF7F7F7F"/>
      </right>
      <top style="thin">
        <color theme="1" tint="0.499984740745262"/>
      </top>
      <bottom style="double">
        <color rgb="FF7F7F7F"/>
      </bottom>
      <diagonal/>
    </border>
    <border>
      <left style="thin">
        <color rgb="FF7F7F7F"/>
      </left>
      <right style="thin">
        <color rgb="FF7F7F7F"/>
      </right>
      <top/>
      <bottom style="double">
        <color rgb="FF7F7F7F"/>
      </bottom>
      <diagonal/>
    </border>
    <border>
      <left style="thick">
        <color rgb="FF7F7F7F"/>
      </left>
      <right style="thin">
        <color theme="1" tint="0.499984740745262"/>
      </right>
      <top style="thin">
        <color theme="1" tint="0.499984740745262"/>
      </top>
      <bottom style="thin">
        <color rgb="FF7F7F7F"/>
      </bottom>
      <diagonal/>
    </border>
    <border>
      <left style="thin">
        <color rgb="FF7F7F7F"/>
      </left>
      <right style="double">
        <color rgb="FF7F7F7F"/>
      </right>
      <top style="thin">
        <color rgb="FF7F7F7F"/>
      </top>
      <bottom/>
      <diagonal/>
    </border>
    <border>
      <left style="thin">
        <color theme="1" tint="0.499984740745262"/>
      </left>
      <right style="thin">
        <color rgb="FF7F7F7F"/>
      </right>
      <top style="thin">
        <color theme="1" tint="0.499984740745262"/>
      </top>
      <bottom/>
      <diagonal/>
    </border>
    <border>
      <left/>
      <right/>
      <top style="thin">
        <color theme="1" tint="0.499984740745262"/>
      </top>
      <bottom style="thin">
        <color rgb="FF7F7F7F"/>
      </bottom>
      <diagonal/>
    </border>
    <border>
      <left style="thin">
        <color rgb="FF7F7F7F"/>
      </left>
      <right style="thin">
        <color rgb="FF7F7F7F"/>
      </right>
      <top style="thin">
        <color rgb="FF7F7F7F"/>
      </top>
      <bottom style="thin">
        <color theme="1" tint="0.499984740745262"/>
      </bottom>
      <diagonal/>
    </border>
    <border>
      <left style="thin">
        <color theme="1" tint="0.499984740745262"/>
      </left>
      <right style="thin">
        <color rgb="FF7F7F7F"/>
      </right>
      <top/>
      <bottom style="thin">
        <color theme="1" tint="0.499984740745262"/>
      </bottom>
      <diagonal/>
    </border>
    <border>
      <left style="thin">
        <color rgb="FF7F7F7F"/>
      </left>
      <right style="thin">
        <color theme="1" tint="0.499984740745262"/>
      </right>
      <top/>
      <bottom style="thin">
        <color theme="1" tint="0.499984740745262"/>
      </bottom>
      <diagonal/>
    </border>
    <border>
      <left style="thin">
        <color rgb="FF7F7F7F"/>
      </left>
      <right style="thin">
        <color theme="1" tint="0.499984740745262"/>
      </right>
      <top style="thin">
        <color theme="1" tint="0.499984740745262"/>
      </top>
      <bottom style="thin">
        <color rgb="FF7F7F7F"/>
      </bottom>
      <diagonal/>
    </border>
    <border>
      <left style="thin">
        <color auto="1"/>
      </left>
      <right/>
      <top style="thin">
        <color auto="1"/>
      </top>
      <bottom/>
      <diagonal/>
    </border>
    <border>
      <left style="thin">
        <color rgb="FF7F7F7F"/>
      </left>
      <right style="thick">
        <color rgb="FF7F7F7F"/>
      </right>
      <top style="thin">
        <color auto="1"/>
      </top>
      <bottom/>
      <diagonal/>
    </border>
    <border>
      <left style="thick">
        <color rgb="FF7F7F7F"/>
      </left>
      <right style="thick">
        <color rgb="FF7F7F7F"/>
      </right>
      <top style="thin">
        <color auto="1"/>
      </top>
      <bottom/>
      <diagonal/>
    </border>
    <border>
      <left style="thin">
        <color auto="1"/>
      </left>
      <right/>
      <top/>
      <bottom style="thin">
        <color rgb="FF7F7F7F"/>
      </bottom>
      <diagonal/>
    </border>
    <border>
      <left style="thin">
        <color auto="1"/>
      </left>
      <right/>
      <top style="thin">
        <color rgb="FF7F7F7F"/>
      </top>
      <bottom style="thin">
        <color rgb="FF7F7F7F"/>
      </bottom>
      <diagonal/>
    </border>
    <border>
      <left style="thin">
        <color auto="1"/>
      </left>
      <right style="thin">
        <color rgb="FF7F7F7F"/>
      </right>
      <top style="thin">
        <color rgb="FF7F7F7F"/>
      </top>
      <bottom style="thin">
        <color rgb="FF7F7F7F"/>
      </bottom>
      <diagonal/>
    </border>
    <border>
      <left style="thin">
        <color auto="1"/>
      </left>
      <right/>
      <top style="thin">
        <color rgb="FF7F7F7F"/>
      </top>
      <bottom/>
      <diagonal/>
    </border>
    <border>
      <left style="thin">
        <color auto="1"/>
      </left>
      <right/>
      <top/>
      <bottom/>
      <diagonal/>
    </border>
    <border>
      <left style="thin">
        <color theme="1" tint="0.499984740745262"/>
      </left>
      <right style="thin">
        <color theme="1" tint="0.499984740745262"/>
      </right>
      <top style="thin">
        <color auto="1"/>
      </top>
      <bottom/>
      <diagonal/>
    </border>
    <border>
      <left style="thin">
        <color auto="1"/>
      </left>
      <right style="thin">
        <color theme="1" tint="0.499984740745262"/>
      </right>
      <top/>
      <bottom style="thin">
        <color theme="1" tint="0.499984740745262"/>
      </bottom>
      <diagonal/>
    </border>
    <border>
      <left/>
      <right/>
      <top/>
      <bottom style="thin">
        <color auto="1"/>
      </bottom>
      <diagonal/>
    </border>
    <border>
      <left style="thick">
        <color rgb="FF7F7F7F"/>
      </left>
      <right style="thin">
        <color rgb="FF7F7F7F"/>
      </right>
      <top style="thin">
        <color auto="1"/>
      </top>
      <bottom/>
      <diagonal/>
    </border>
    <border>
      <left/>
      <right style="double">
        <color rgb="FF7F7F7F"/>
      </right>
      <top style="thin">
        <color auto="1"/>
      </top>
      <bottom/>
      <diagonal/>
    </border>
    <border>
      <left/>
      <right/>
      <top style="thin">
        <color auto="1"/>
      </top>
      <bottom style="thin">
        <color rgb="FF7F7F7F"/>
      </bottom>
      <diagonal/>
    </border>
    <border>
      <left/>
      <right style="thick">
        <color rgb="FF7F7F7F"/>
      </right>
      <top style="thin">
        <color auto="1"/>
      </top>
      <bottom style="thin">
        <color rgb="FF7F7F7F"/>
      </bottom>
      <diagonal/>
    </border>
    <border>
      <left style="thin">
        <color theme="1" tint="0.499984740745262"/>
      </left>
      <right style="thin">
        <color auto="1"/>
      </right>
      <top style="thin">
        <color theme="1" tint="0.499984740745262"/>
      </top>
      <bottom style="thin">
        <color theme="1" tint="0.499984740745262"/>
      </bottom>
      <diagonal/>
    </border>
    <border>
      <left style="thick">
        <color rgb="FF7F7F7F"/>
      </left>
      <right style="thin">
        <color auto="1"/>
      </right>
      <top style="thin">
        <color auto="1"/>
      </top>
      <bottom/>
      <diagonal/>
    </border>
    <border>
      <left style="thick">
        <color rgb="FF7F7F7F"/>
      </left>
      <right style="thick">
        <color rgb="FF7F7F7F"/>
      </right>
      <top/>
      <bottom/>
      <diagonal/>
    </border>
    <border>
      <left style="thick">
        <color rgb="FF7F7F7F"/>
      </left>
      <right style="thin">
        <color auto="1"/>
      </right>
      <top/>
      <bottom/>
      <diagonal/>
    </border>
    <border>
      <left/>
      <right style="thin">
        <color auto="1"/>
      </right>
      <top style="thin">
        <color rgb="FF7F7F7F"/>
      </top>
      <bottom style="thin">
        <color rgb="FF7F7F7F"/>
      </bottom>
      <diagonal/>
    </border>
    <border>
      <left style="thin">
        <color theme="1" tint="0.499984740745262"/>
      </left>
      <right style="thin">
        <color theme="0" tint="-0.499984740745262"/>
      </right>
      <top style="thin">
        <color theme="0" tint="-0.499984740745262"/>
      </top>
      <bottom style="thin">
        <color rgb="FF7F7F7F"/>
      </bottom>
      <diagonal/>
    </border>
    <border>
      <left style="medium">
        <color theme="1" tint="0.499984740745262"/>
      </left>
      <right/>
      <top style="medium">
        <color theme="1" tint="0.499984740745262"/>
      </top>
      <bottom/>
      <diagonal/>
    </border>
    <border>
      <left/>
      <right/>
      <top style="medium">
        <color theme="1" tint="0.499984740745262"/>
      </top>
      <bottom/>
      <diagonal/>
    </border>
    <border>
      <left style="thin">
        <color rgb="FF7F7F7F"/>
      </left>
      <right style="thick">
        <color rgb="FF7F7F7F"/>
      </right>
      <top style="medium">
        <color theme="1" tint="0.499984740745262"/>
      </top>
      <bottom/>
      <diagonal/>
    </border>
    <border>
      <left style="thick">
        <color rgb="FF7F7F7F"/>
      </left>
      <right style="thick">
        <color rgb="FF7F7F7F"/>
      </right>
      <top style="medium">
        <color theme="1" tint="0.499984740745262"/>
      </top>
      <bottom/>
      <diagonal/>
    </border>
    <border>
      <left style="medium">
        <color theme="1" tint="0.499984740745262"/>
      </left>
      <right/>
      <top/>
      <bottom/>
      <diagonal/>
    </border>
    <border>
      <left style="thin">
        <color rgb="FF7F7F7F"/>
      </left>
      <right style="thick">
        <color rgb="FF7F7F7F"/>
      </right>
      <top/>
      <bottom/>
      <diagonal/>
    </border>
    <border>
      <left style="thin">
        <color rgb="FF7F7F7F"/>
      </left>
      <right style="thick">
        <color rgb="FF7F7F7F"/>
      </right>
      <top style="thin">
        <color theme="1" tint="0.499984740745262"/>
      </top>
      <bottom style="thin">
        <color theme="1" tint="0.499984740745262"/>
      </bottom>
      <diagonal/>
    </border>
    <border>
      <left style="thick">
        <color rgb="FF7F7F7F"/>
      </left>
      <right/>
      <top style="thin">
        <color theme="1" tint="0.499984740745262"/>
      </top>
      <bottom style="thin">
        <color theme="1" tint="0.499984740745262"/>
      </bottom>
      <diagonal/>
    </border>
    <border>
      <left style="medium">
        <color theme="1" tint="0.499984740745262"/>
      </left>
      <right style="thin">
        <color rgb="FF7F7F7F"/>
      </right>
      <top/>
      <bottom style="thin">
        <color rgb="FF7F7F7F"/>
      </bottom>
      <diagonal/>
    </border>
    <border>
      <left style="medium">
        <color theme="1" tint="0.499984740745262"/>
      </left>
      <right/>
      <top style="thin">
        <color rgb="FF7F7F7F"/>
      </top>
      <bottom/>
      <diagonal/>
    </border>
    <border>
      <left style="medium">
        <color theme="1" tint="0.499984740745262"/>
      </left>
      <right style="thin">
        <color rgb="FF7F7F7F"/>
      </right>
      <top style="thin">
        <color rgb="FF7F7F7F"/>
      </top>
      <bottom style="thin">
        <color rgb="FF7F7F7F"/>
      </bottom>
      <diagonal/>
    </border>
    <border>
      <left style="medium">
        <color theme="1" tint="0.499984740745262"/>
      </left>
      <right/>
      <top/>
      <bottom style="medium">
        <color theme="1" tint="0.499984740745262"/>
      </bottom>
      <diagonal/>
    </border>
    <border>
      <left/>
      <right style="thin">
        <color theme="1" tint="0.499984740745262"/>
      </right>
      <top/>
      <bottom style="medium">
        <color theme="1" tint="0.499984740745262"/>
      </bottom>
      <diagonal/>
    </border>
    <border>
      <left style="thin">
        <color theme="1" tint="0.499984740745262"/>
      </left>
      <right style="thin">
        <color theme="1" tint="0.499984740745262"/>
      </right>
      <top/>
      <bottom style="medium">
        <color theme="1" tint="0.499984740745262"/>
      </bottom>
      <diagonal/>
    </border>
    <border>
      <left/>
      <right/>
      <top/>
      <bottom style="medium">
        <color theme="1" tint="0.499984740745262"/>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thick">
        <color rgb="FF7F7F7F"/>
      </left>
      <right style="thin">
        <color rgb="FF7F7F7F"/>
      </right>
      <top style="medium">
        <color theme="1" tint="0.499984740745262"/>
      </top>
      <bottom/>
      <diagonal/>
    </border>
    <border>
      <left/>
      <right style="double">
        <color rgb="FF7F7F7F"/>
      </right>
      <top style="medium">
        <color theme="1" tint="0.499984740745262"/>
      </top>
      <bottom/>
      <diagonal/>
    </border>
    <border>
      <left/>
      <right/>
      <top style="medium">
        <color theme="1" tint="0.499984740745262"/>
      </top>
      <bottom style="thin">
        <color rgb="FF7F7F7F"/>
      </bottom>
      <diagonal/>
    </border>
    <border>
      <left/>
      <right style="thick">
        <color rgb="FF7F7F7F"/>
      </right>
      <top style="medium">
        <color theme="1" tint="0.499984740745262"/>
      </top>
      <bottom style="thin">
        <color rgb="FF7F7F7F"/>
      </bottom>
      <diagonal/>
    </border>
    <border>
      <left/>
      <right style="double">
        <color rgb="FF7F7F7F"/>
      </right>
      <top/>
      <bottom/>
      <diagonal/>
    </border>
    <border>
      <left style="thick">
        <color rgb="FF7F7F7F"/>
      </left>
      <right style="thin">
        <color rgb="FF7F7F7F"/>
      </right>
      <top style="thin">
        <color theme="1" tint="0.499984740745262"/>
      </top>
      <bottom style="thin">
        <color theme="1" tint="0.499984740745262"/>
      </bottom>
      <diagonal/>
    </border>
    <border>
      <left/>
      <right style="double">
        <color rgb="FF7F7F7F"/>
      </right>
      <top style="thin">
        <color theme="1" tint="0.499984740745262"/>
      </top>
      <bottom style="thin">
        <color theme="1" tint="0.499984740745262"/>
      </bottom>
      <diagonal/>
    </border>
    <border>
      <left/>
      <right style="thin">
        <color rgb="FF7F7F7F"/>
      </right>
      <top style="thin">
        <color theme="1" tint="0.499984740745262"/>
      </top>
      <bottom style="thin">
        <color theme="1" tint="0.499984740745262"/>
      </bottom>
      <diagonal/>
    </border>
    <border>
      <left style="thick">
        <color rgb="FF7F7F7F"/>
      </left>
      <right style="medium">
        <color theme="1" tint="0.499984740745262"/>
      </right>
      <top style="medium">
        <color theme="1" tint="0.499984740745262"/>
      </top>
      <bottom/>
      <diagonal/>
    </border>
    <border>
      <left style="thick">
        <color rgb="FF7F7F7F"/>
      </left>
      <right style="medium">
        <color theme="1" tint="0.499984740745262"/>
      </right>
      <top/>
      <bottom style="thin">
        <color rgb="FF7F7F7F"/>
      </bottom>
      <diagonal/>
    </border>
    <border>
      <left style="thin">
        <color rgb="FF7F7F7F"/>
      </left>
      <right style="medium">
        <color theme="1" tint="0.499984740745262"/>
      </right>
      <top/>
      <bottom style="thin">
        <color rgb="FF7F7F7F"/>
      </bottom>
      <diagonal/>
    </border>
    <border>
      <left style="thin">
        <color rgb="FF7F7F7F"/>
      </left>
      <right style="thin">
        <color auto="1"/>
      </right>
      <top style="thin">
        <color auto="1"/>
      </top>
      <bottom style="thin">
        <color rgb="FF7F7F7F"/>
      </bottom>
      <diagonal/>
    </border>
    <border>
      <left style="thin">
        <color rgb="FF7F7F7F"/>
      </left>
      <right style="medium">
        <color theme="1" tint="0.499984740745262"/>
      </right>
      <top style="thin">
        <color rgb="FF7F7F7F"/>
      </top>
      <bottom style="thin">
        <color rgb="FF7F7F7F"/>
      </bottom>
      <diagonal/>
    </border>
    <border>
      <left style="thin">
        <color rgb="FF7F7F7F"/>
      </left>
      <right style="thin">
        <color auto="1"/>
      </right>
      <top style="thin">
        <color rgb="FF7F7F7F"/>
      </top>
      <bottom/>
      <diagonal/>
    </border>
    <border>
      <left style="thin">
        <color rgb="FF7F7F7F"/>
      </left>
      <right style="medium">
        <color theme="1" tint="0.499984740745262"/>
      </right>
      <top style="thin">
        <color rgb="FF7F7F7F"/>
      </top>
      <bottom/>
      <diagonal/>
    </border>
    <border>
      <left style="thin">
        <color theme="1" tint="0.499984740745262"/>
      </left>
      <right style="medium">
        <color theme="1" tint="0.499984740745262"/>
      </right>
      <top style="thin">
        <color theme="1" tint="0.499984740745262"/>
      </top>
      <bottom/>
      <diagonal/>
    </border>
    <border>
      <left style="thin">
        <color theme="1" tint="0.499984740745262"/>
      </left>
      <right style="medium">
        <color theme="1" tint="0.499984740745262"/>
      </right>
      <top style="thin">
        <color theme="1" tint="0.499984740745262"/>
      </top>
      <bottom style="thin">
        <color theme="1" tint="0.499984740745262"/>
      </bottom>
      <diagonal/>
    </border>
    <border>
      <left style="thin">
        <color theme="1" tint="0.499984740745262"/>
      </left>
      <right style="medium">
        <color theme="1" tint="0.499984740745262"/>
      </right>
      <top/>
      <bottom style="thin">
        <color rgb="FF7F7F7F"/>
      </bottom>
      <diagonal/>
    </border>
    <border>
      <left style="thin">
        <color theme="1" tint="0.499984740745262"/>
      </left>
      <right style="medium">
        <color theme="1" tint="0.499984740745262"/>
      </right>
      <top/>
      <bottom style="thin">
        <color theme="1" tint="0.499984740745262"/>
      </bottom>
      <diagonal/>
    </border>
    <border>
      <left/>
      <right style="medium">
        <color theme="1" tint="0.499984740745262"/>
      </right>
      <top/>
      <bottom style="thin">
        <color rgb="FF7F7F7F"/>
      </bottom>
      <diagonal/>
    </border>
    <border>
      <left/>
      <right style="medium">
        <color theme="1" tint="0.499984740745262"/>
      </right>
      <top/>
      <bottom/>
      <diagonal/>
    </border>
    <border>
      <left style="thin">
        <color theme="1" tint="0.499984740745262"/>
      </left>
      <right style="medium">
        <color theme="1" tint="0.499984740745262"/>
      </right>
      <top style="thin">
        <color theme="1" tint="0.499984740745262"/>
      </top>
      <bottom style="thin">
        <color rgb="FF7F7F7F"/>
      </bottom>
      <diagonal/>
    </border>
    <border>
      <left/>
      <right style="medium">
        <color theme="1" tint="0.499984740745262"/>
      </right>
      <top style="thin">
        <color rgb="FF7F7F7F"/>
      </top>
      <bottom style="thin">
        <color rgb="FF7F7F7F"/>
      </bottom>
      <diagonal/>
    </border>
    <border>
      <left style="thin">
        <color theme="1" tint="0.499984740745262"/>
      </left>
      <right style="medium">
        <color theme="1" tint="0.499984740745262"/>
      </right>
      <top style="thin">
        <color rgb="FF7F7F7F"/>
      </top>
      <bottom/>
      <diagonal/>
    </border>
    <border>
      <left/>
      <right style="medium">
        <color theme="1" tint="0.499984740745262"/>
      </right>
      <top style="thin">
        <color theme="1" tint="0.499984740745262"/>
      </top>
      <bottom/>
      <diagonal/>
    </border>
    <border>
      <left/>
      <right style="medium">
        <color theme="1" tint="0.499984740745262"/>
      </right>
      <top style="thin">
        <color rgb="FF7F7F7F"/>
      </top>
      <bottom/>
      <diagonal/>
    </border>
    <border>
      <left/>
      <right style="medium">
        <color theme="1" tint="0.499984740745262"/>
      </right>
      <top/>
      <bottom style="thin">
        <color theme="1" tint="0.499984740745262"/>
      </bottom>
      <diagonal/>
    </border>
    <border>
      <left style="thin">
        <color theme="1" tint="0.499984740745262"/>
      </left>
      <right style="thin">
        <color theme="0" tint="-0.499984740745262"/>
      </right>
      <top style="thin">
        <color rgb="FF7F7F7F"/>
      </top>
      <bottom style="thin">
        <color rgb="FF7F7F7F"/>
      </bottom>
      <diagonal/>
    </border>
    <border>
      <left style="thin">
        <color theme="1" tint="0.499984740745262"/>
      </left>
      <right style="medium">
        <color theme="1" tint="0.499984740745262"/>
      </right>
      <top style="thin">
        <color rgb="FF7F7F7F"/>
      </top>
      <bottom style="thin">
        <color rgb="FF7F7F7F"/>
      </bottom>
      <diagonal/>
    </border>
    <border>
      <left style="thin">
        <color theme="1" tint="0.499984740745262"/>
      </left>
      <right style="medium">
        <color theme="1" tint="0.499984740745262"/>
      </right>
      <top style="thin">
        <color rgb="FF7F7F7F"/>
      </top>
      <bottom style="thin">
        <color theme="1" tint="0.499984740745262"/>
      </bottom>
      <diagonal/>
    </border>
    <border>
      <left/>
      <right style="thin">
        <color auto="1"/>
      </right>
      <top/>
      <bottom/>
      <diagonal/>
    </border>
    <border>
      <left/>
      <right style="thin">
        <color auto="1"/>
      </right>
      <top/>
      <bottom style="medium">
        <color theme="1" tint="0.499984740745262"/>
      </bottom>
      <diagonal/>
    </border>
    <border>
      <left/>
      <right style="medium">
        <color theme="1" tint="0.499984740745262"/>
      </right>
      <top/>
      <bottom style="medium">
        <color theme="1" tint="0.499984740745262"/>
      </bottom>
      <diagonal/>
    </border>
    <border>
      <left/>
      <right style="medium">
        <color auto="1"/>
      </right>
      <top/>
      <bottom/>
      <diagonal/>
    </border>
    <border>
      <left/>
      <right style="medium">
        <color auto="1"/>
      </right>
      <top/>
      <bottom style="medium">
        <color auto="1"/>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double">
        <color theme="0" tint="-0.499984740745262"/>
      </left>
      <right style="thin">
        <color theme="0" tint="-0.499984740745262"/>
      </right>
      <top style="double">
        <color theme="0" tint="-0.499984740745262"/>
      </top>
      <bottom/>
      <diagonal/>
    </border>
    <border>
      <left style="thick">
        <color theme="0" tint="-0.499984740745262"/>
      </left>
      <right style="thick">
        <color theme="0" tint="-0.499984740745262"/>
      </right>
      <top style="double">
        <color theme="0" tint="-0.499984740745262"/>
      </top>
      <bottom/>
      <diagonal/>
    </border>
    <border>
      <left style="double">
        <color theme="0" tint="-0.499984740745262"/>
      </left>
      <right/>
      <top style="double">
        <color theme="0" tint="-0.499984740745262"/>
      </top>
      <bottom/>
      <diagonal/>
    </border>
    <border>
      <left style="thin">
        <color theme="0" tint="-0.499984740745262"/>
      </left>
      <right style="thick">
        <color theme="0" tint="-0.499984740745262"/>
      </right>
      <top style="double">
        <color theme="0" tint="-0.499984740745262"/>
      </top>
      <bottom/>
      <diagonal/>
    </border>
    <border>
      <left style="double">
        <color theme="0" tint="-0.499984740745262"/>
      </left>
      <right/>
      <top/>
      <bottom style="thin">
        <color theme="0" tint="-0.499984740745262"/>
      </bottom>
      <diagonal/>
    </border>
    <border>
      <left style="thick">
        <color theme="0" tint="-0.499984740745262"/>
      </left>
      <right/>
      <top/>
      <bottom style="thin">
        <color theme="0" tint="-0.499984740745262"/>
      </bottom>
      <diagonal/>
    </border>
    <border>
      <left style="thin">
        <color theme="1" tint="0.499984740745262"/>
      </left>
      <right style="thin">
        <color theme="0" tint="-0.499984740745262"/>
      </right>
      <top style="thin">
        <color theme="1" tint="0.499984740745262"/>
      </top>
      <bottom style="thin">
        <color theme="1" tint="0.499984740745262"/>
      </bottom>
      <diagonal/>
    </border>
    <border>
      <left style="thin">
        <color theme="0" tint="-0.499984740745262"/>
      </left>
      <right style="thin">
        <color theme="0" tint="-0.499984740745262"/>
      </right>
      <top style="thin">
        <color theme="1" tint="0.499984740745262"/>
      </top>
      <bottom style="thin">
        <color theme="1" tint="0.499984740745262"/>
      </bottom>
      <diagonal/>
    </border>
    <border>
      <left style="thin">
        <color theme="0" tint="-0.499984740745262"/>
      </left>
      <right style="thin">
        <color theme="1" tint="0.499984740745262"/>
      </right>
      <top style="thin">
        <color theme="1" tint="0.499984740745262"/>
      </top>
      <bottom style="thin">
        <color theme="1" tint="0.499984740745262"/>
      </bottom>
      <diagonal/>
    </border>
    <border>
      <left/>
      <right style="thick">
        <color theme="0" tint="-0.499984740745262"/>
      </right>
      <top style="thin">
        <color theme="0" tint="-0.499984740745262"/>
      </top>
      <bottom/>
      <diagonal/>
    </border>
    <border>
      <left style="thin">
        <color auto="1"/>
      </left>
      <right style="thin">
        <color theme="0" tint="-0.499984740745262"/>
      </right>
      <top style="thin">
        <color theme="0" tint="-0.499984740745262"/>
      </top>
      <bottom/>
      <diagonal/>
    </border>
    <border>
      <left style="thin">
        <color auto="1"/>
      </left>
      <right style="thin">
        <color theme="0" tint="-0.499984740745262"/>
      </right>
      <top/>
      <bottom style="thin">
        <color theme="0" tint="-0.499984740745262"/>
      </bottom>
      <diagonal/>
    </border>
    <border>
      <left style="thick">
        <color theme="0" tint="-0.499984740745262"/>
      </left>
      <right/>
      <top style="thin">
        <color theme="0" tint="-0.499984740745262"/>
      </top>
      <bottom/>
      <diagonal/>
    </border>
    <border>
      <left/>
      <right/>
      <top style="thin">
        <color theme="0" tint="-0.499984740745262"/>
      </top>
      <bottom/>
      <diagonal/>
    </border>
    <border>
      <left style="thick">
        <color theme="0" tint="-0.499984740745262"/>
      </left>
      <right style="double">
        <color theme="0" tint="-0.499984740745262"/>
      </right>
      <top style="double">
        <color theme="0" tint="-0.499984740745262"/>
      </top>
      <bottom/>
      <diagonal/>
    </border>
    <border>
      <left/>
      <right style="thick">
        <color theme="0" tint="-0.499984740745262"/>
      </right>
      <top style="double">
        <color theme="0" tint="-0.499984740745262"/>
      </top>
      <bottom style="thin">
        <color theme="0" tint="-0.499984740745262"/>
      </bottom>
      <diagonal/>
    </border>
    <border>
      <left/>
      <right style="double">
        <color theme="0" tint="-0.499984740745262"/>
      </right>
      <top style="thin">
        <color theme="0" tint="-0.499984740745262"/>
      </top>
      <bottom/>
      <diagonal/>
    </border>
    <border>
      <left style="thick">
        <color theme="0" tint="-0.499984740745262"/>
      </left>
      <right/>
      <top style="double">
        <color theme="0" tint="-0.499984740745262"/>
      </top>
      <bottom/>
      <diagonal/>
    </border>
    <border>
      <left style="thin">
        <color theme="0" tint="-0.499984740745262"/>
      </left>
      <right/>
      <top/>
      <bottom style="double">
        <color theme="0" tint="-0.499984740745262"/>
      </bottom>
      <diagonal/>
    </border>
    <border>
      <left style="thick">
        <color theme="0" tint="-0.499984740745262"/>
      </left>
      <right/>
      <top style="double">
        <color theme="0" tint="-0.499984740745262"/>
      </top>
      <bottom style="double">
        <color theme="0" tint="-0.499984740745262"/>
      </bottom>
      <diagonal/>
    </border>
    <border>
      <left/>
      <right/>
      <top style="double">
        <color theme="0" tint="-0.499984740745262"/>
      </top>
      <bottom style="double">
        <color theme="0" tint="-0.499984740745262"/>
      </bottom>
      <diagonal/>
    </border>
    <border>
      <left style="double">
        <color theme="0" tint="-0.499984740745262"/>
      </left>
      <right/>
      <top style="double">
        <color theme="0" tint="-0.499984740745262"/>
      </top>
      <bottom style="thin">
        <color theme="0" tint="-0.499984740745262"/>
      </bottom>
      <diagonal/>
    </border>
    <border>
      <left style="thick">
        <color theme="0" tint="-0.499984740745262"/>
      </left>
      <right style="double">
        <color theme="0" tint="-0.499984740745262"/>
      </right>
      <top/>
      <bottom style="thin">
        <color theme="0" tint="-0.499984740745262"/>
      </bottom>
      <diagonal/>
    </border>
    <border>
      <left/>
      <right style="double">
        <color rgb="FF7F7F7F"/>
      </right>
      <top style="thin">
        <color rgb="FF7F7F7F"/>
      </top>
      <bottom/>
      <diagonal/>
    </border>
    <border>
      <left/>
      <right style="double">
        <color theme="0" tint="-0.499984740745262"/>
      </right>
      <top style="double">
        <color theme="0" tint="-0.499984740745262"/>
      </top>
      <bottom style="double">
        <color theme="0" tint="-0.499984740745262"/>
      </bottom>
      <diagonal/>
    </border>
    <border>
      <left style="thin">
        <color theme="0" tint="-0.499984740745262"/>
      </left>
      <right style="double">
        <color theme="0" tint="-0.499984740745262"/>
      </right>
      <top/>
      <bottom/>
      <diagonal/>
    </border>
    <border>
      <left style="thin">
        <color theme="0" tint="-0.499984740745262"/>
      </left>
      <right style="double">
        <color theme="0" tint="-0.499984740745262"/>
      </right>
      <top style="thin">
        <color theme="0" tint="-0.499984740745262"/>
      </top>
      <bottom/>
      <diagonal/>
    </border>
    <border>
      <left style="thin">
        <color theme="0" tint="-0.499984740745262"/>
      </left>
      <right style="double">
        <color theme="0" tint="-0.499984740745262"/>
      </right>
      <top/>
      <bottom style="double">
        <color theme="0" tint="-0.499984740745262"/>
      </bottom>
      <diagonal/>
    </border>
    <border>
      <left style="thin">
        <color theme="0" tint="-0.499984740745262"/>
      </left>
      <right style="thick">
        <color theme="0" tint="-0.499984740745262"/>
      </right>
      <top/>
      <bottom/>
      <diagonal/>
    </border>
    <border>
      <left/>
      <right style="double">
        <color theme="0" tint="-0.499984740745262"/>
      </right>
      <top/>
      <bottom/>
      <diagonal/>
    </border>
    <border>
      <left/>
      <right style="double">
        <color theme="0" tint="-0.499984740745262"/>
      </right>
      <top style="thin">
        <color rgb="FF7F7F7F"/>
      </top>
      <bottom/>
      <diagonal/>
    </border>
    <border>
      <left style="thick">
        <color theme="0" tint="-0.499984740745262"/>
      </left>
      <right/>
      <top/>
      <bottom/>
      <diagonal/>
    </border>
    <border>
      <left/>
      <right style="thick">
        <color theme="0" tint="-0.499984740745262"/>
      </right>
      <top/>
      <bottom/>
      <diagonal/>
    </border>
    <border>
      <left style="thick">
        <color theme="0" tint="-0.499984740745262"/>
      </left>
      <right style="double">
        <color theme="0" tint="-0.499984740745262"/>
      </right>
      <top/>
      <bottom/>
      <diagonal/>
    </border>
    <border>
      <left/>
      <right/>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theme="0" tint="-0.499984740745262"/>
      </left>
      <right style="medium">
        <color theme="0" tint="-0.499984740745262"/>
      </right>
      <top style="double">
        <color theme="0" tint="-0.499984740745262"/>
      </top>
      <bottom style="thin">
        <color theme="0" tint="-0.499984740745262"/>
      </bottom>
      <diagonal/>
    </border>
    <border>
      <left style="medium">
        <color theme="0" tint="-0.499984740745262"/>
      </left>
      <right style="medium">
        <color theme="0" tint="-0.499984740745262"/>
      </right>
      <top/>
      <bottom style="thin">
        <color theme="0" tint="-0.499984740745262"/>
      </bottom>
      <diagonal/>
    </border>
    <border>
      <left style="medium">
        <color theme="0" tint="-0.499984740745262"/>
      </left>
      <right style="medium">
        <color theme="0" tint="-0.499984740745262"/>
      </right>
      <top style="thin">
        <color theme="0" tint="-0.499984740745262"/>
      </top>
      <bottom style="thin">
        <color theme="0" tint="-0.499984740745262"/>
      </bottom>
      <diagonal/>
    </border>
    <border>
      <left style="medium">
        <color theme="0" tint="-0.499984740745262"/>
      </left>
      <right style="medium">
        <color theme="0" tint="-0.499984740745262"/>
      </right>
      <top style="thin">
        <color theme="0" tint="-0.499984740745262"/>
      </top>
      <bottom/>
      <diagonal/>
    </border>
    <border>
      <left style="medium">
        <color theme="0" tint="-0.499984740745262"/>
      </left>
      <right style="medium">
        <color theme="0" tint="-0.499984740745262"/>
      </right>
      <top/>
      <bottom/>
      <diagonal/>
    </border>
    <border>
      <left style="double">
        <color theme="0" tint="-0.499984740745262"/>
      </left>
      <right/>
      <top style="thin">
        <color theme="0" tint="-0.499984740745262"/>
      </top>
      <bottom/>
      <diagonal/>
    </border>
    <border>
      <left style="double">
        <color theme="0" tint="-0.499984740745262"/>
      </left>
      <right/>
      <top/>
      <bottom/>
      <diagonal/>
    </border>
    <border>
      <left style="medium">
        <color theme="0" tint="-0.499984740745262"/>
      </left>
      <right style="medium">
        <color theme="0" tint="-0.499984740745262"/>
      </right>
      <top style="thin">
        <color theme="0" tint="-0.499984740745262"/>
      </top>
      <bottom style="double">
        <color theme="0" tint="-0.499984740745262"/>
      </bottom>
      <diagonal/>
    </border>
    <border>
      <left style="thin">
        <color rgb="FF7F7F7F"/>
      </left>
      <right style="thin">
        <color rgb="FF7F7F7F"/>
      </right>
      <top style="thin">
        <color theme="0" tint="-0.499984740745262"/>
      </top>
      <bottom/>
      <diagonal/>
    </border>
    <border>
      <left style="thick">
        <color theme="0" tint="-0.499984740745262"/>
      </left>
      <right style="double">
        <color theme="0" tint="-0.499984740745262"/>
      </right>
      <top style="thin">
        <color theme="0" tint="-0.499984740745262"/>
      </top>
      <bottom/>
      <diagonal/>
    </border>
    <border>
      <left style="thick">
        <color theme="0" tint="-0.499984740745262"/>
      </left>
      <right/>
      <top style="thin">
        <color theme="0" tint="-0.499984740745262"/>
      </top>
      <bottom style="double">
        <color theme="0" tint="-0.499984740745262"/>
      </bottom>
      <diagonal/>
    </border>
    <border>
      <left style="thick">
        <color theme="0" tint="-0.499984740745262"/>
      </left>
      <right style="double">
        <color theme="0" tint="-0.499984740745262"/>
      </right>
      <top style="thin">
        <color theme="0" tint="-0.499984740745262"/>
      </top>
      <bottom style="double">
        <color theme="0" tint="-0.499984740745262"/>
      </bottom>
      <diagonal/>
    </border>
    <border>
      <left style="double">
        <color theme="0" tint="-0.499984740745262"/>
      </left>
      <right style="thin">
        <color theme="0" tint="-0.499984740745262"/>
      </right>
      <top/>
      <bottom style="double">
        <color theme="0" tint="-0.499984740745262"/>
      </bottom>
      <diagonal/>
    </border>
    <border>
      <left style="thin">
        <color theme="0" tint="-0.499984740745262"/>
      </left>
      <right style="thin">
        <color theme="0" tint="-0.499984740745262"/>
      </right>
      <top/>
      <bottom style="double">
        <color theme="0" tint="-0.499984740745262"/>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dotted">
        <color auto="1"/>
      </top>
      <bottom/>
      <diagonal/>
    </border>
    <border>
      <left/>
      <right style="thin">
        <color auto="1"/>
      </right>
      <top style="thin">
        <color auto="1"/>
      </top>
      <bottom style="dotted">
        <color auto="1"/>
      </bottom>
      <diagonal/>
    </border>
    <border>
      <left/>
      <right style="thin">
        <color auto="1"/>
      </right>
      <top style="dotted">
        <color auto="1"/>
      </top>
      <bottom/>
      <diagonal/>
    </border>
  </borders>
  <cellStyleXfs count="10">
    <xf numFmtId="0" fontId="0" fillId="0" borderId="0"/>
    <xf numFmtId="41" fontId="69" fillId="0" borderId="0" applyFont="0" applyFill="0" applyBorder="0" applyAlignment="0" applyProtection="0"/>
    <xf numFmtId="42" fontId="69" fillId="0" borderId="0" applyFont="0" applyFill="0" applyBorder="0" applyAlignment="0" applyProtection="0"/>
    <xf numFmtId="0" fontId="29" fillId="0" borderId="0"/>
    <xf numFmtId="0" fontId="29" fillId="0" borderId="0"/>
    <xf numFmtId="0" fontId="29" fillId="14" borderId="0" applyNumberFormat="0" applyBorder="0" applyAlignment="0" applyProtection="0"/>
    <xf numFmtId="0" fontId="53" fillId="16" borderId="0" applyNumberFormat="0" applyBorder="0" applyAlignment="0" applyProtection="0"/>
    <xf numFmtId="0" fontId="29" fillId="33" borderId="0" applyNumberFormat="0" applyBorder="0" applyAlignment="0" applyProtection="0"/>
    <xf numFmtId="0" fontId="29" fillId="0" borderId="0"/>
    <xf numFmtId="0" fontId="29" fillId="0" borderId="0"/>
  </cellStyleXfs>
  <cellXfs count="4017">
    <xf numFmtId="0" fontId="0" fillId="0" borderId="0" xfId="0"/>
    <xf numFmtId="0" fontId="1" fillId="0" borderId="0" xfId="0" applyFont="1" applyAlignment="1">
      <alignment vertical="center"/>
    </xf>
    <xf numFmtId="0" fontId="2" fillId="0" borderId="0" xfId="0" applyFont="1" applyAlignment="1">
      <alignment horizontal="center" vertical="center"/>
    </xf>
    <xf numFmtId="0" fontId="3" fillId="0" borderId="0" xfId="0" applyFont="1" applyAlignment="1">
      <alignment vertical="center"/>
    </xf>
    <xf numFmtId="0" fontId="4" fillId="0" borderId="0" xfId="0" applyFont="1" applyAlignment="1">
      <alignment vertical="center"/>
    </xf>
    <xf numFmtId="0" fontId="5" fillId="0" borderId="0" xfId="0" applyFont="1" applyAlignment="1">
      <alignment vertical="center"/>
    </xf>
    <xf numFmtId="0" fontId="6" fillId="0" borderId="0" xfId="0" applyFont="1" applyAlignment="1">
      <alignment vertical="center"/>
    </xf>
    <xf numFmtId="0" fontId="6" fillId="2" borderId="0" xfId="0" applyFont="1" applyFill="1" applyAlignment="1">
      <alignment vertical="center"/>
    </xf>
    <xf numFmtId="0" fontId="7" fillId="2" borderId="0" xfId="0" applyFont="1" applyFill="1" applyAlignment="1">
      <alignment vertical="center"/>
    </xf>
    <xf numFmtId="0" fontId="7" fillId="0" borderId="0" xfId="0" applyFont="1" applyFill="1" applyAlignment="1">
      <alignment vertical="center"/>
    </xf>
    <xf numFmtId="0" fontId="7" fillId="0" borderId="0" xfId="0" applyFont="1" applyAlignment="1">
      <alignment vertical="center"/>
    </xf>
    <xf numFmtId="0" fontId="7" fillId="0" borderId="0" xfId="0" applyFont="1" applyAlignment="1">
      <alignment horizontal="center" vertical="center"/>
    </xf>
    <xf numFmtId="0" fontId="7" fillId="0" borderId="0" xfId="0" applyFont="1" applyAlignment="1">
      <alignment vertical="center" wrapText="1"/>
    </xf>
    <xf numFmtId="41" fontId="7" fillId="0" borderId="0" xfId="1" applyFont="1" applyAlignment="1">
      <alignment vertical="center"/>
    </xf>
    <xf numFmtId="0" fontId="7" fillId="0" borderId="0" xfId="0" applyFont="1" applyAlignment="1">
      <alignment horizontal="center" vertical="center" wrapText="1"/>
    </xf>
    <xf numFmtId="0" fontId="1" fillId="0" borderId="0" xfId="0" applyFont="1" applyAlignment="1">
      <alignment horizontal="center" vertical="center"/>
    </xf>
    <xf numFmtId="0" fontId="3" fillId="3" borderId="1" xfId="0" applyFont="1" applyFill="1" applyBorder="1" applyAlignment="1">
      <alignment horizontal="center" vertical="center"/>
    </xf>
    <xf numFmtId="0" fontId="7" fillId="0" borderId="2" xfId="0" applyFont="1" applyBorder="1" applyAlignment="1">
      <alignment horizontal="center" vertical="center"/>
    </xf>
    <xf numFmtId="0" fontId="7" fillId="0" borderId="3" xfId="0" applyFont="1" applyBorder="1" applyAlignment="1">
      <alignment vertical="center"/>
    </xf>
    <xf numFmtId="0" fontId="7" fillId="0" borderId="4" xfId="0" applyFont="1" applyBorder="1" applyAlignment="1">
      <alignment vertical="center" wrapText="1"/>
    </xf>
    <xf numFmtId="0" fontId="7" fillId="0" borderId="1" xfId="0" applyFont="1" applyBorder="1" applyAlignment="1">
      <alignment vertical="center"/>
    </xf>
    <xf numFmtId="0" fontId="3" fillId="4" borderId="1" xfId="0" applyFont="1" applyFill="1" applyBorder="1" applyAlignment="1">
      <alignment horizontal="center" vertical="center"/>
    </xf>
    <xf numFmtId="0" fontId="3" fillId="4" borderId="1" xfId="0" applyFont="1" applyFill="1" applyBorder="1" applyAlignment="1">
      <alignment vertical="center"/>
    </xf>
    <xf numFmtId="0" fontId="3" fillId="4" borderId="1" xfId="0" applyFont="1" applyFill="1" applyBorder="1" applyAlignment="1">
      <alignment vertical="center" wrapText="1"/>
    </xf>
    <xf numFmtId="0" fontId="4" fillId="0" borderId="5" xfId="0" applyFont="1" applyBorder="1" applyAlignment="1">
      <alignment horizontal="center" vertical="center"/>
    </xf>
    <xf numFmtId="0" fontId="4" fillId="5" borderId="1" xfId="0" applyFont="1" applyFill="1" applyBorder="1" applyAlignment="1">
      <alignment horizontal="center" vertical="center"/>
    </xf>
    <xf numFmtId="0" fontId="4" fillId="5" borderId="1" xfId="0" applyFont="1" applyFill="1" applyBorder="1" applyAlignment="1">
      <alignment vertical="center"/>
    </xf>
    <xf numFmtId="0" fontId="4" fillId="5" borderId="1" xfId="0" applyFont="1" applyFill="1" applyBorder="1" applyAlignment="1">
      <alignment vertical="center" wrapText="1"/>
    </xf>
    <xf numFmtId="0" fontId="5" fillId="0" borderId="6" xfId="0" applyFont="1" applyBorder="1" applyAlignment="1">
      <alignment horizontal="center" vertical="center"/>
    </xf>
    <xf numFmtId="0" fontId="5" fillId="0" borderId="5" xfId="0" applyFont="1" applyBorder="1" applyAlignment="1">
      <alignment vertical="center"/>
    </xf>
    <xf numFmtId="0" fontId="5" fillId="6" borderId="1" xfId="0" applyFont="1" applyFill="1" applyBorder="1" applyAlignment="1">
      <alignment horizontal="center" vertical="center"/>
    </xf>
    <xf numFmtId="0" fontId="5" fillId="6" borderId="1" xfId="0" applyFont="1" applyFill="1" applyBorder="1" applyAlignment="1">
      <alignment vertical="center"/>
    </xf>
    <xf numFmtId="0" fontId="5" fillId="6" borderId="1" xfId="0" applyFont="1" applyFill="1" applyBorder="1" applyAlignment="1">
      <alignment vertical="center" wrapText="1"/>
    </xf>
    <xf numFmtId="0" fontId="7" fillId="0" borderId="6" xfId="0" applyFont="1" applyBorder="1" applyAlignment="1">
      <alignment horizontal="center" vertical="center"/>
    </xf>
    <xf numFmtId="0" fontId="7" fillId="0" borderId="6" xfId="0" applyFont="1" applyBorder="1" applyAlignment="1">
      <alignment vertical="center"/>
    </xf>
    <xf numFmtId="0" fontId="7" fillId="0" borderId="5" xfId="0" applyFont="1" applyBorder="1" applyAlignment="1">
      <alignment vertical="center"/>
    </xf>
    <xf numFmtId="0" fontId="7" fillId="0" borderId="1" xfId="0" applyFont="1" applyBorder="1" applyAlignment="1">
      <alignment horizontal="center" vertical="center"/>
    </xf>
    <xf numFmtId="0" fontId="7" fillId="0" borderId="1" xfId="0" applyFont="1" applyBorder="1" applyAlignment="1">
      <alignment vertical="center" wrapText="1"/>
    </xf>
    <xf numFmtId="0" fontId="6" fillId="0" borderId="6" xfId="0" applyFont="1" applyBorder="1" applyAlignment="1">
      <alignment horizontal="center" vertical="center"/>
    </xf>
    <xf numFmtId="0" fontId="6" fillId="0" borderId="6" xfId="0" applyFont="1" applyBorder="1" applyAlignment="1">
      <alignment vertical="center"/>
    </xf>
    <xf numFmtId="0" fontId="6" fillId="0" borderId="5" xfId="0" applyFont="1" applyBorder="1" applyAlignment="1">
      <alignment horizontal="center" vertical="center"/>
    </xf>
    <xf numFmtId="0" fontId="6" fillId="0" borderId="1" xfId="0" applyFont="1" applyBorder="1" applyAlignment="1">
      <alignment horizontal="left" vertical="center" wrapText="1"/>
    </xf>
    <xf numFmtId="0" fontId="6" fillId="0" borderId="1" xfId="0" applyFont="1" applyBorder="1" applyAlignment="1">
      <alignment vertical="center"/>
    </xf>
    <xf numFmtId="0" fontId="6" fillId="0" borderId="7" xfId="0" applyFont="1" applyBorder="1" applyAlignment="1">
      <alignment horizontal="center" vertical="center"/>
    </xf>
    <xf numFmtId="0" fontId="6" fillId="2" borderId="6" xfId="0" applyFont="1" applyFill="1" applyBorder="1" applyAlignment="1">
      <alignment horizontal="center" vertical="center"/>
    </xf>
    <xf numFmtId="0" fontId="6" fillId="2" borderId="6" xfId="0" applyFont="1" applyFill="1" applyBorder="1" applyAlignment="1">
      <alignment vertical="center"/>
    </xf>
    <xf numFmtId="0" fontId="6" fillId="2" borderId="1" xfId="0" applyFont="1" applyFill="1" applyBorder="1" applyAlignment="1">
      <alignment horizontal="center" vertical="center"/>
    </xf>
    <xf numFmtId="0" fontId="6" fillId="2" borderId="1" xfId="0" applyFont="1" applyFill="1" applyBorder="1" applyAlignment="1">
      <alignment horizontal="left" vertical="center" wrapText="1"/>
    </xf>
    <xf numFmtId="0" fontId="6" fillId="2" borderId="5" xfId="0" applyFont="1" applyFill="1" applyBorder="1" applyAlignment="1">
      <alignment horizontal="center" vertical="center"/>
    </xf>
    <xf numFmtId="0" fontId="6" fillId="2" borderId="5" xfId="0" applyFont="1" applyFill="1" applyBorder="1" applyAlignment="1">
      <alignment horizontal="left" vertical="center" wrapText="1"/>
    </xf>
    <xf numFmtId="0" fontId="5" fillId="0" borderId="6" xfId="0" applyFont="1" applyBorder="1" applyAlignment="1">
      <alignment vertical="center"/>
    </xf>
    <xf numFmtId="0" fontId="5" fillId="6" borderId="1" xfId="0" applyFont="1" applyFill="1" applyBorder="1" applyAlignment="1">
      <alignment horizontal="left" vertical="center" wrapText="1" indent="2"/>
    </xf>
    <xf numFmtId="0" fontId="7" fillId="0" borderId="7" xfId="0" applyFont="1" applyBorder="1" applyAlignment="1">
      <alignment horizontal="center" vertical="center"/>
    </xf>
    <xf numFmtId="0" fontId="7" fillId="0" borderId="7" xfId="0" applyFont="1" applyBorder="1" applyAlignment="1">
      <alignment vertical="center" wrapText="1"/>
    </xf>
    <xf numFmtId="0" fontId="7" fillId="0" borderId="7" xfId="0" applyFont="1" applyBorder="1" applyAlignment="1">
      <alignment vertical="center"/>
    </xf>
    <xf numFmtId="0" fontId="5" fillId="0" borderId="5" xfId="0" applyFont="1" applyFill="1" applyBorder="1" applyAlignment="1">
      <alignment horizontal="center" vertical="center"/>
    </xf>
    <xf numFmtId="0" fontId="7" fillId="0" borderId="1" xfId="0" applyFont="1" applyBorder="1" applyAlignment="1">
      <alignment horizontal="left" vertical="center" wrapText="1"/>
    </xf>
    <xf numFmtId="0" fontId="7" fillId="2" borderId="6" xfId="0" applyFont="1" applyFill="1" applyBorder="1" applyAlignment="1">
      <alignment horizontal="center" vertical="center"/>
    </xf>
    <xf numFmtId="0" fontId="7" fillId="2" borderId="6" xfId="0" applyFont="1" applyFill="1" applyBorder="1" applyAlignment="1">
      <alignment vertical="center"/>
    </xf>
    <xf numFmtId="0" fontId="7" fillId="2" borderId="5" xfId="0" applyFont="1" applyFill="1" applyBorder="1" applyAlignment="1">
      <alignment vertical="center"/>
    </xf>
    <xf numFmtId="0" fontId="7" fillId="2" borderId="1" xfId="0" applyFont="1" applyFill="1" applyBorder="1" applyAlignment="1">
      <alignment horizontal="center" vertical="center"/>
    </xf>
    <xf numFmtId="0" fontId="7" fillId="2" borderId="1" xfId="0" applyFont="1" applyFill="1" applyBorder="1" applyAlignment="1">
      <alignment vertical="center" wrapText="1"/>
    </xf>
    <xf numFmtId="0" fontId="7" fillId="0" borderId="6" xfId="0" applyFont="1" applyFill="1" applyBorder="1" applyAlignment="1">
      <alignment horizontal="center" vertical="center"/>
    </xf>
    <xf numFmtId="0" fontId="7" fillId="0" borderId="6" xfId="0" applyFont="1" applyFill="1" applyBorder="1" applyAlignment="1">
      <alignment vertical="center"/>
    </xf>
    <xf numFmtId="0" fontId="7" fillId="0" borderId="1" xfId="0" applyFont="1" applyFill="1" applyBorder="1" applyAlignment="1">
      <alignment horizontal="center" vertical="center"/>
    </xf>
    <xf numFmtId="0" fontId="7" fillId="0" borderId="1" xfId="0" applyFont="1" applyFill="1" applyBorder="1" applyAlignment="1">
      <alignment vertical="center" wrapText="1"/>
    </xf>
    <xf numFmtId="0" fontId="7" fillId="0" borderId="1" xfId="0" applyFont="1" applyFill="1" applyBorder="1" applyAlignment="1">
      <alignment vertical="center"/>
    </xf>
    <xf numFmtId="0" fontId="6" fillId="0" borderId="1" xfId="0" applyFont="1" applyBorder="1" applyAlignment="1">
      <alignment vertical="center" wrapText="1"/>
    </xf>
    <xf numFmtId="0" fontId="6" fillId="2" borderId="1" xfId="0" applyFont="1" applyFill="1" applyBorder="1" applyAlignment="1">
      <alignment vertical="center" wrapText="1"/>
    </xf>
    <xf numFmtId="0" fontId="6" fillId="2" borderId="7" xfId="0" applyFont="1" applyFill="1" applyBorder="1" applyAlignment="1">
      <alignment vertical="center"/>
    </xf>
    <xf numFmtId="0" fontId="6" fillId="2" borderId="7" xfId="0" applyFont="1" applyFill="1" applyBorder="1" applyAlignment="1">
      <alignment horizontal="center" vertical="center"/>
    </xf>
    <xf numFmtId="0" fontId="6" fillId="0" borderId="7" xfId="0" applyFont="1" applyBorder="1" applyAlignment="1">
      <alignment vertical="center"/>
    </xf>
    <xf numFmtId="0" fontId="6" fillId="0" borderId="1" xfId="0" applyFont="1" applyBorder="1" applyAlignment="1">
      <alignment horizontal="center" vertical="center"/>
    </xf>
    <xf numFmtId="41" fontId="1" fillId="0" borderId="0" xfId="1" applyFont="1" applyAlignment="1">
      <alignment horizontal="center" vertical="center"/>
    </xf>
    <xf numFmtId="41" fontId="3" fillId="3" borderId="1" xfId="1" applyFont="1" applyFill="1" applyBorder="1" applyAlignment="1">
      <alignment horizontal="center" vertical="center" wrapText="1"/>
    </xf>
    <xf numFmtId="41" fontId="3" fillId="3" borderId="1" xfId="1" applyFont="1" applyFill="1" applyBorder="1" applyAlignment="1">
      <alignment horizontal="center" vertical="center"/>
    </xf>
    <xf numFmtId="0" fontId="3" fillId="3" borderId="1" xfId="0" applyFont="1" applyFill="1" applyBorder="1" applyAlignment="1">
      <alignment horizontal="center" vertical="center" wrapText="1"/>
    </xf>
    <xf numFmtId="41" fontId="7" fillId="0" borderId="1" xfId="1" applyFont="1" applyBorder="1" applyAlignment="1">
      <alignment vertical="center"/>
    </xf>
    <xf numFmtId="0" fontId="7" fillId="0" borderId="1" xfId="0" applyFont="1" applyBorder="1" applyAlignment="1">
      <alignment horizontal="center" vertical="center" wrapText="1"/>
    </xf>
    <xf numFmtId="41" fontId="3" fillId="4" borderId="1" xfId="1" applyFont="1" applyFill="1" applyBorder="1" applyAlignment="1">
      <alignment vertical="center"/>
    </xf>
    <xf numFmtId="41" fontId="4" fillId="5" borderId="1" xfId="1" applyFont="1" applyFill="1" applyBorder="1" applyAlignment="1">
      <alignment vertical="center"/>
    </xf>
    <xf numFmtId="41" fontId="5" fillId="6" borderId="1" xfId="1" applyFont="1" applyFill="1" applyBorder="1" applyAlignment="1">
      <alignment vertical="center"/>
    </xf>
    <xf numFmtId="0" fontId="5" fillId="6" borderId="1" xfId="0" applyFont="1" applyFill="1" applyBorder="1" applyAlignment="1">
      <alignment horizontal="center" vertical="center" wrapText="1"/>
    </xf>
    <xf numFmtId="41" fontId="6" fillId="0" borderId="1" xfId="1" applyFont="1" applyBorder="1" applyAlignment="1">
      <alignment vertical="center"/>
    </xf>
    <xf numFmtId="0" fontId="6" fillId="0" borderId="1" xfId="0" applyFont="1" applyBorder="1" applyAlignment="1">
      <alignment horizontal="center" vertical="center" wrapText="1"/>
    </xf>
    <xf numFmtId="41" fontId="6" fillId="2" borderId="1" xfId="1" applyFont="1" applyFill="1" applyBorder="1" applyAlignment="1">
      <alignment vertical="center"/>
    </xf>
    <xf numFmtId="0" fontId="6" fillId="2" borderId="1" xfId="0" applyFont="1" applyFill="1" applyBorder="1" applyAlignment="1">
      <alignment horizontal="center" vertical="center" wrapText="1"/>
    </xf>
    <xf numFmtId="41" fontId="7" fillId="0" borderId="1" xfId="1" applyFont="1" applyBorder="1" applyAlignment="1">
      <alignment vertical="center" wrapText="1"/>
    </xf>
    <xf numFmtId="41" fontId="7" fillId="0" borderId="1" xfId="1" applyFont="1" applyBorder="1" applyAlignment="1">
      <alignment horizontal="center" vertical="center"/>
    </xf>
    <xf numFmtId="41" fontId="7" fillId="2" borderId="1" xfId="1" applyFont="1" applyFill="1" applyBorder="1" applyAlignment="1">
      <alignment vertical="center"/>
    </xf>
    <xf numFmtId="0" fontId="7" fillId="2" borderId="1" xfId="0" applyFont="1" applyFill="1" applyBorder="1" applyAlignment="1">
      <alignment horizontal="center" vertical="center" wrapText="1"/>
    </xf>
    <xf numFmtId="41" fontId="7" fillId="0" borderId="1" xfId="1" applyFont="1" applyFill="1" applyBorder="1" applyAlignment="1">
      <alignment vertical="center"/>
    </xf>
    <xf numFmtId="0" fontId="7" fillId="0" borderId="1" xfId="0" applyFont="1" applyFill="1" applyBorder="1" applyAlignment="1">
      <alignment horizontal="center" vertical="center" wrapText="1"/>
    </xf>
    <xf numFmtId="41" fontId="6" fillId="0" borderId="1" xfId="1" applyFont="1" applyBorder="1" applyAlignment="1">
      <alignment vertical="center" wrapText="1"/>
    </xf>
    <xf numFmtId="0" fontId="2" fillId="0" borderId="0" xfId="0" applyFont="1" applyAlignment="1">
      <alignment horizontal="right" vertical="center"/>
    </xf>
    <xf numFmtId="0" fontId="3" fillId="3" borderId="5"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6" fillId="2" borderId="1" xfId="0" applyFont="1" applyFill="1" applyBorder="1" applyAlignment="1">
      <alignment vertical="center"/>
    </xf>
    <xf numFmtId="9" fontId="6" fillId="2" borderId="1" xfId="0" applyNumberFormat="1" applyFont="1" applyFill="1" applyBorder="1" applyAlignment="1">
      <alignment vertical="center" wrapText="1"/>
    </xf>
    <xf numFmtId="0" fontId="7" fillId="0" borderId="1" xfId="1" applyNumberFormat="1" applyFont="1" applyBorder="1" applyAlignment="1">
      <alignment vertical="center"/>
    </xf>
    <xf numFmtId="41" fontId="7" fillId="0" borderId="1" xfId="1" applyFont="1" applyBorder="1" applyAlignment="1">
      <alignment horizontal="left" vertical="center" wrapText="1"/>
    </xf>
    <xf numFmtId="0" fontId="7" fillId="0" borderId="1" xfId="0" applyFont="1" applyBorder="1" applyAlignment="1">
      <alignment horizontal="right" vertical="center"/>
    </xf>
    <xf numFmtId="0" fontId="7" fillId="2" borderId="1" xfId="0" applyFont="1" applyFill="1" applyBorder="1" applyAlignment="1">
      <alignment vertical="center"/>
    </xf>
    <xf numFmtId="0" fontId="7" fillId="0" borderId="1" xfId="0" applyNumberFormat="1" applyFont="1" applyBorder="1" applyAlignment="1">
      <alignment vertical="center"/>
    </xf>
    <xf numFmtId="0" fontId="7" fillId="0" borderId="1" xfId="0" applyNumberFormat="1" applyFont="1" applyBorder="1" applyAlignment="1">
      <alignment vertical="center" wrapText="1"/>
    </xf>
    <xf numFmtId="0" fontId="7" fillId="0" borderId="0" xfId="0" applyFont="1" applyAlignment="1">
      <alignment horizontal="right" vertical="center" wrapText="1"/>
    </xf>
    <xf numFmtId="0" fontId="4" fillId="0" borderId="6" xfId="0" applyFont="1" applyBorder="1" applyAlignment="1">
      <alignment horizontal="center" vertical="center"/>
    </xf>
    <xf numFmtId="0" fontId="4" fillId="5" borderId="1" xfId="0" applyFont="1" applyFill="1" applyBorder="1" applyAlignment="1">
      <alignment horizontal="left" vertical="center"/>
    </xf>
    <xf numFmtId="41" fontId="7" fillId="0" borderId="1" xfId="0" applyNumberFormat="1" applyFont="1" applyBorder="1" applyAlignment="1">
      <alignment horizontal="center" vertical="center" wrapText="1"/>
    </xf>
    <xf numFmtId="0" fontId="7" fillId="0" borderId="1" xfId="0" applyFont="1" applyBorder="1" applyAlignment="1">
      <alignment horizontal="left" vertical="center"/>
    </xf>
    <xf numFmtId="0" fontId="7" fillId="2" borderId="7" xfId="0" applyFont="1" applyFill="1" applyBorder="1" applyAlignment="1">
      <alignment vertical="center"/>
    </xf>
    <xf numFmtId="0" fontId="3" fillId="4" borderId="1" xfId="0" applyFont="1" applyFill="1" applyBorder="1" applyAlignment="1">
      <alignment horizontal="left" vertical="center"/>
    </xf>
    <xf numFmtId="0" fontId="5" fillId="6" borderId="1" xfId="0" applyFont="1" applyFill="1" applyBorder="1" applyAlignment="1">
      <alignment horizontal="left" vertical="center"/>
    </xf>
    <xf numFmtId="9" fontId="7" fillId="0" borderId="1" xfId="0" applyNumberFormat="1" applyFont="1" applyBorder="1" applyAlignment="1">
      <alignment vertical="center" wrapText="1"/>
    </xf>
    <xf numFmtId="9" fontId="6" fillId="0" borderId="1" xfId="0" applyNumberFormat="1" applyFont="1" applyBorder="1" applyAlignment="1">
      <alignment vertical="center" wrapText="1"/>
    </xf>
    <xf numFmtId="0" fontId="5" fillId="0" borderId="1" xfId="0" applyFont="1" applyBorder="1" applyAlignment="1">
      <alignment vertical="center"/>
    </xf>
    <xf numFmtId="0" fontId="3" fillId="3" borderId="2"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1" xfId="0" applyFont="1" applyFill="1" applyBorder="1" applyAlignment="1">
      <alignment vertical="center"/>
    </xf>
    <xf numFmtId="41" fontId="4" fillId="5" borderId="1" xfId="1" applyFont="1" applyFill="1" applyBorder="1" applyAlignment="1">
      <alignment horizontal="center" vertical="center"/>
    </xf>
    <xf numFmtId="41" fontId="5" fillId="6" borderId="1" xfId="1" applyFont="1" applyFill="1" applyBorder="1" applyAlignment="1">
      <alignment horizontal="center" vertical="center"/>
    </xf>
    <xf numFmtId="0" fontId="4" fillId="5" borderId="1" xfId="0" applyFont="1" applyFill="1" applyBorder="1" applyAlignment="1">
      <alignment horizontal="center" vertical="center" wrapText="1"/>
    </xf>
    <xf numFmtId="41" fontId="3" fillId="3" borderId="1" xfId="1" applyFont="1" applyFill="1" applyBorder="1" applyAlignment="1">
      <alignment vertical="center"/>
    </xf>
    <xf numFmtId="41" fontId="6" fillId="0" borderId="1" xfId="0" applyNumberFormat="1" applyFont="1" applyBorder="1" applyAlignment="1">
      <alignment vertical="center" wrapText="1"/>
    </xf>
    <xf numFmtId="0" fontId="3" fillId="3" borderId="1" xfId="0" applyFont="1" applyFill="1" applyBorder="1" applyAlignment="1">
      <alignment vertical="center" wrapText="1"/>
    </xf>
    <xf numFmtId="0" fontId="6" fillId="0" borderId="5" xfId="0" applyFont="1" applyBorder="1" applyAlignment="1">
      <alignment horizontal="left" vertical="center" wrapText="1"/>
    </xf>
    <xf numFmtId="0" fontId="7" fillId="2" borderId="1" xfId="0" applyFont="1" applyFill="1" applyBorder="1" applyAlignment="1">
      <alignment horizontal="left" vertical="center" wrapText="1"/>
    </xf>
    <xf numFmtId="41" fontId="7" fillId="2" borderId="1" xfId="1" applyFont="1" applyFill="1" applyBorder="1" applyAlignment="1">
      <alignment horizontal="center" vertical="center"/>
    </xf>
    <xf numFmtId="0" fontId="7" fillId="2" borderId="1" xfId="0" applyFont="1" applyFill="1" applyBorder="1" applyAlignment="1">
      <alignment horizontal="right" vertical="center"/>
    </xf>
    <xf numFmtId="0" fontId="7" fillId="2" borderId="1" xfId="0" applyFont="1" applyFill="1" applyBorder="1" applyAlignment="1">
      <alignment horizontal="left" vertical="center"/>
    </xf>
    <xf numFmtId="9" fontId="7" fillId="2" borderId="1" xfId="0" applyNumberFormat="1" applyFont="1" applyFill="1" applyBorder="1" applyAlignment="1">
      <alignment vertical="center" wrapText="1"/>
    </xf>
    <xf numFmtId="0" fontId="3" fillId="3" borderId="2" xfId="0" applyFont="1" applyFill="1" applyBorder="1" applyAlignment="1">
      <alignment vertical="center" wrapText="1"/>
    </xf>
    <xf numFmtId="0" fontId="3" fillId="3" borderId="3" xfId="0" applyFont="1" applyFill="1" applyBorder="1" applyAlignment="1">
      <alignment vertical="center" wrapText="1"/>
    </xf>
    <xf numFmtId="0" fontId="3" fillId="3" borderId="4" xfId="0" applyFont="1" applyFill="1" applyBorder="1" applyAlignment="1">
      <alignment vertical="center" wrapText="1"/>
    </xf>
    <xf numFmtId="0" fontId="5" fillId="2" borderId="0" xfId="0" applyFont="1" applyFill="1" applyAlignment="1">
      <alignment vertical="center"/>
    </xf>
    <xf numFmtId="0" fontId="5" fillId="2" borderId="6" xfId="0" applyFont="1" applyFill="1" applyBorder="1" applyAlignment="1">
      <alignment horizontal="center" vertical="center"/>
    </xf>
    <xf numFmtId="0" fontId="5" fillId="2" borderId="6" xfId="0" applyFont="1" applyFill="1" applyBorder="1" applyAlignment="1">
      <alignment vertical="center"/>
    </xf>
    <xf numFmtId="0" fontId="5" fillId="2" borderId="5" xfId="0" applyFont="1" applyFill="1" applyBorder="1" applyAlignment="1">
      <alignment horizontal="center" vertical="center"/>
    </xf>
    <xf numFmtId="41" fontId="7" fillId="2" borderId="1" xfId="1" applyFont="1" applyFill="1" applyBorder="1" applyAlignment="1">
      <alignment vertical="center" wrapText="1"/>
    </xf>
    <xf numFmtId="41" fontId="6" fillId="2" borderId="1" xfId="1" applyFont="1" applyFill="1" applyBorder="1" applyAlignment="1">
      <alignment vertical="center" wrapText="1"/>
    </xf>
    <xf numFmtId="0" fontId="7" fillId="2" borderId="1" xfId="1" applyNumberFormat="1" applyFont="1" applyFill="1" applyBorder="1" applyAlignment="1">
      <alignment vertical="center"/>
    </xf>
    <xf numFmtId="41" fontId="7" fillId="2" borderId="1" xfId="1" applyFont="1" applyFill="1" applyBorder="1" applyAlignment="1">
      <alignment horizontal="left" vertical="center" wrapText="1"/>
    </xf>
    <xf numFmtId="0" fontId="7" fillId="0" borderId="0" xfId="0" applyFont="1" applyFill="1" applyAlignment="1">
      <alignment vertical="center" wrapText="1"/>
    </xf>
    <xf numFmtId="0" fontId="7" fillId="2" borderId="7" xfId="0" applyFont="1" applyFill="1" applyBorder="1" applyAlignment="1">
      <alignment horizontal="center" vertical="center"/>
    </xf>
    <xf numFmtId="0" fontId="7" fillId="2" borderId="7" xfId="0" applyFont="1" applyFill="1" applyBorder="1" applyAlignment="1">
      <alignment vertical="center" wrapText="1"/>
    </xf>
    <xf numFmtId="0" fontId="1" fillId="0" borderId="0" xfId="0" applyFont="1" applyAlignment="1">
      <alignment horizontal="center" vertical="center" wrapText="1"/>
    </xf>
    <xf numFmtId="41" fontId="3" fillId="4" borderId="1" xfId="1" applyFont="1" applyFill="1" applyBorder="1" applyAlignment="1">
      <alignment vertical="center" wrapText="1"/>
    </xf>
    <xf numFmtId="41" fontId="4" fillId="5" borderId="1" xfId="1" applyFont="1" applyFill="1" applyBorder="1" applyAlignment="1">
      <alignment vertical="center" wrapText="1"/>
    </xf>
    <xf numFmtId="41" fontId="5" fillId="6" borderId="1" xfId="1" applyFont="1" applyFill="1" applyBorder="1" applyAlignment="1">
      <alignment vertical="center" wrapText="1"/>
    </xf>
    <xf numFmtId="41" fontId="7" fillId="2" borderId="1" xfId="1" applyFont="1" applyFill="1" applyBorder="1" applyAlignment="1">
      <alignment horizontal="center" vertical="center" wrapText="1"/>
    </xf>
    <xf numFmtId="41" fontId="7" fillId="2" borderId="1" xfId="0" applyNumberFormat="1" applyFont="1" applyFill="1" applyBorder="1" applyAlignment="1">
      <alignment horizontal="center" vertical="center" wrapText="1"/>
    </xf>
    <xf numFmtId="41" fontId="7" fillId="0" borderId="1" xfId="0" applyNumberFormat="1" applyFont="1" applyBorder="1" applyAlignment="1">
      <alignment vertical="center" wrapText="1"/>
    </xf>
    <xf numFmtId="41" fontId="7" fillId="7" borderId="1" xfId="0" applyNumberFormat="1" applyFont="1" applyFill="1" applyBorder="1" applyAlignment="1">
      <alignment vertical="center" wrapText="1"/>
    </xf>
    <xf numFmtId="0" fontId="1" fillId="0" borderId="0" xfId="0" applyFont="1" applyFill="1" applyAlignment="1">
      <alignment horizontal="center" vertical="center"/>
    </xf>
    <xf numFmtId="0" fontId="7" fillId="0" borderId="0" xfId="0" applyFont="1" applyFill="1" applyAlignment="1">
      <alignment horizontal="right" vertical="center" wrapText="1"/>
    </xf>
    <xf numFmtId="0" fontId="3" fillId="0" borderId="0" xfId="0" applyFont="1" applyFill="1" applyBorder="1" applyAlignment="1">
      <alignment horizontal="center" vertical="center" wrapText="1"/>
    </xf>
    <xf numFmtId="0" fontId="7" fillId="0" borderId="0" xfId="0" applyFont="1" applyFill="1" applyBorder="1" applyAlignment="1">
      <alignment vertical="center" wrapText="1"/>
    </xf>
    <xf numFmtId="0" fontId="3" fillId="4" borderId="0" xfId="0" applyFont="1" applyFill="1" applyBorder="1" applyAlignment="1">
      <alignment vertical="center" wrapText="1"/>
    </xf>
    <xf numFmtId="0" fontId="4" fillId="5" borderId="0" xfId="0" applyFont="1" applyFill="1" applyBorder="1" applyAlignment="1">
      <alignment vertical="center" wrapText="1"/>
    </xf>
    <xf numFmtId="0" fontId="5" fillId="6" borderId="0" xfId="0" applyFont="1" applyFill="1" applyBorder="1" applyAlignment="1">
      <alignment vertical="center" wrapText="1"/>
    </xf>
    <xf numFmtId="41" fontId="7" fillId="2" borderId="1" xfId="0" applyNumberFormat="1" applyFont="1" applyFill="1" applyBorder="1" applyAlignment="1">
      <alignment vertical="center" wrapText="1"/>
    </xf>
    <xf numFmtId="0" fontId="7" fillId="2" borderId="0" xfId="0" applyFont="1" applyFill="1" applyBorder="1" applyAlignment="1">
      <alignment vertical="center" wrapText="1"/>
    </xf>
    <xf numFmtId="0" fontId="5" fillId="2" borderId="0" xfId="0" applyFont="1" applyFill="1" applyBorder="1" applyAlignment="1">
      <alignment vertical="center" wrapText="1"/>
    </xf>
    <xf numFmtId="0" fontId="6" fillId="2" borderId="0" xfId="0" applyFont="1" applyFill="1" applyBorder="1" applyAlignment="1">
      <alignment vertical="center" wrapText="1"/>
    </xf>
    <xf numFmtId="0" fontId="6" fillId="0" borderId="0" xfId="0" applyFont="1" applyBorder="1" applyAlignment="1">
      <alignment vertical="center" wrapText="1"/>
    </xf>
    <xf numFmtId="0" fontId="7" fillId="0" borderId="0" xfId="0" applyFont="1" applyBorder="1" applyAlignment="1">
      <alignment vertical="center" wrapText="1"/>
    </xf>
    <xf numFmtId="0" fontId="7" fillId="0" borderId="0" xfId="0" applyNumberFormat="1" applyFont="1" applyBorder="1" applyAlignment="1">
      <alignment vertical="center" wrapText="1"/>
    </xf>
    <xf numFmtId="41" fontId="4" fillId="5" borderId="1" xfId="1" applyFont="1" applyFill="1" applyBorder="1" applyAlignment="1">
      <alignment horizontal="center" vertical="center" wrapText="1"/>
    </xf>
    <xf numFmtId="41" fontId="5" fillId="6" borderId="1" xfId="1" applyFont="1" applyFill="1" applyBorder="1" applyAlignment="1">
      <alignment horizontal="center" vertical="center" wrapText="1"/>
    </xf>
    <xf numFmtId="41" fontId="3" fillId="3" borderId="1" xfId="1" applyFont="1" applyFill="1" applyBorder="1" applyAlignment="1">
      <alignment vertical="center" wrapText="1"/>
    </xf>
    <xf numFmtId="0" fontId="3" fillId="3" borderId="0" xfId="0" applyFont="1" applyFill="1" applyBorder="1" applyAlignment="1">
      <alignment vertical="center" wrapText="1"/>
    </xf>
    <xf numFmtId="0" fontId="7" fillId="0" borderId="5" xfId="0" applyFont="1" applyBorder="1" applyAlignment="1">
      <alignment horizontal="center" vertical="center"/>
    </xf>
    <xf numFmtId="0" fontId="7" fillId="0" borderId="5" xfId="0" applyFont="1" applyBorder="1" applyAlignment="1">
      <alignment horizontal="left" vertical="center" wrapText="1"/>
    </xf>
    <xf numFmtId="41" fontId="7" fillId="0" borderId="0" xfId="0" applyNumberFormat="1" applyFont="1" applyAlignment="1">
      <alignment vertical="center"/>
    </xf>
    <xf numFmtId="0" fontId="7" fillId="0" borderId="0" xfId="0" applyFont="1" applyAlignment="1">
      <alignment horizontal="left" vertical="center" wrapText="1"/>
    </xf>
    <xf numFmtId="0" fontId="3" fillId="3" borderId="9" xfId="0" applyFont="1" applyFill="1" applyBorder="1" applyAlignment="1">
      <alignment horizontal="center" vertical="center"/>
    </xf>
    <xf numFmtId="0" fontId="7" fillId="0" borderId="11" xfId="0" applyFont="1" applyBorder="1" applyAlignment="1">
      <alignment horizontal="center" vertical="center"/>
    </xf>
    <xf numFmtId="0" fontId="3" fillId="4" borderId="10" xfId="0" applyFont="1" applyFill="1" applyBorder="1" applyAlignment="1">
      <alignment horizontal="center" vertical="center"/>
    </xf>
    <xf numFmtId="0" fontId="4" fillId="0" borderId="12" xfId="0" applyFont="1" applyBorder="1" applyAlignment="1">
      <alignment horizontal="center" vertical="center"/>
    </xf>
    <xf numFmtId="0" fontId="5" fillId="0" borderId="13" xfId="0" applyFont="1" applyBorder="1" applyAlignment="1">
      <alignment horizontal="center" vertical="center"/>
    </xf>
    <xf numFmtId="0" fontId="7" fillId="0" borderId="13" xfId="0" applyFont="1" applyBorder="1" applyAlignment="1">
      <alignment horizontal="center" vertical="center"/>
    </xf>
    <xf numFmtId="0" fontId="7" fillId="0" borderId="5" xfId="0" applyFont="1" applyBorder="1" applyAlignment="1">
      <alignment horizontal="center" vertical="center" wrapText="1"/>
    </xf>
    <xf numFmtId="0" fontId="7" fillId="8" borderId="1" xfId="0" applyFont="1" applyFill="1" applyBorder="1" applyAlignment="1">
      <alignment vertical="center" wrapText="1"/>
    </xf>
    <xf numFmtId="0" fontId="0" fillId="0" borderId="7" xfId="0" applyFont="1" applyBorder="1" applyAlignment="1">
      <alignment horizontal="center" vertical="center" wrapText="1"/>
    </xf>
    <xf numFmtId="0" fontId="3" fillId="3" borderId="14" xfId="0" applyFont="1" applyFill="1" applyBorder="1" applyAlignment="1">
      <alignment horizontal="center" vertical="center"/>
    </xf>
    <xf numFmtId="0" fontId="7" fillId="0" borderId="2" xfId="0" applyFont="1" applyBorder="1" applyAlignment="1">
      <alignment vertical="center"/>
    </xf>
    <xf numFmtId="41" fontId="7" fillId="0" borderId="17" xfId="1" applyFont="1" applyBorder="1" applyAlignment="1">
      <alignment vertical="center"/>
    </xf>
    <xf numFmtId="41" fontId="7" fillId="0" borderId="4" xfId="1" applyFont="1" applyBorder="1" applyAlignment="1">
      <alignment vertical="center"/>
    </xf>
    <xf numFmtId="0" fontId="7" fillId="0" borderId="7" xfId="0" applyFont="1" applyBorder="1" applyAlignment="1">
      <alignment horizontal="center" vertical="center" wrapText="1"/>
    </xf>
    <xf numFmtId="0" fontId="3" fillId="4" borderId="2" xfId="0" applyFont="1" applyFill="1" applyBorder="1" applyAlignment="1">
      <alignment vertical="center"/>
    </xf>
    <xf numFmtId="41" fontId="3" fillId="4" borderId="17" xfId="1" applyFont="1" applyFill="1" applyBorder="1" applyAlignment="1">
      <alignment vertical="center"/>
    </xf>
    <xf numFmtId="41" fontId="3" fillId="4" borderId="4" xfId="1" applyFont="1" applyFill="1" applyBorder="1" applyAlignment="1">
      <alignment vertical="center"/>
    </xf>
    <xf numFmtId="0" fontId="4" fillId="5" borderId="2" xfId="0" applyFont="1" applyFill="1" applyBorder="1" applyAlignment="1">
      <alignment vertical="center"/>
    </xf>
    <xf numFmtId="41" fontId="4" fillId="5" borderId="17" xfId="1" applyFont="1" applyFill="1" applyBorder="1" applyAlignment="1">
      <alignment vertical="center"/>
    </xf>
    <xf numFmtId="41" fontId="4" fillId="5" borderId="4" xfId="1" applyFont="1" applyFill="1" applyBorder="1" applyAlignment="1">
      <alignment vertical="center"/>
    </xf>
    <xf numFmtId="0" fontId="5" fillId="6" borderId="2" xfId="0" applyFont="1" applyFill="1" applyBorder="1" applyAlignment="1">
      <alignment vertical="center"/>
    </xf>
    <xf numFmtId="41" fontId="5" fillId="6" borderId="17" xfId="1" applyFont="1" applyFill="1" applyBorder="1" applyAlignment="1">
      <alignment vertical="center"/>
    </xf>
    <xf numFmtId="41" fontId="5" fillId="6" borderId="4" xfId="1" applyFont="1" applyFill="1" applyBorder="1" applyAlignment="1">
      <alignment vertical="center"/>
    </xf>
    <xf numFmtId="0" fontId="7" fillId="0" borderId="2" xfId="0" applyFont="1" applyBorder="1" applyAlignment="1">
      <alignment vertical="center" wrapText="1"/>
    </xf>
    <xf numFmtId="41" fontId="7" fillId="0" borderId="17" xfId="1" applyFont="1" applyBorder="1" applyAlignment="1">
      <alignment vertical="center" wrapText="1"/>
    </xf>
    <xf numFmtId="41" fontId="7" fillId="0" borderId="4" xfId="1" applyFont="1" applyBorder="1" applyAlignment="1">
      <alignment vertical="center" wrapText="1"/>
    </xf>
    <xf numFmtId="41" fontId="7" fillId="0" borderId="17" xfId="1" applyFont="1" applyBorder="1" applyAlignment="1">
      <alignment horizontal="center" vertical="center"/>
    </xf>
    <xf numFmtId="41" fontId="7" fillId="0" borderId="4" xfId="1" applyFont="1" applyBorder="1" applyAlignment="1">
      <alignment horizontal="center" vertical="center"/>
    </xf>
    <xf numFmtId="41" fontId="7" fillId="0" borderId="19" xfId="1" applyFont="1" applyBorder="1" applyAlignment="1">
      <alignment horizontal="center" vertical="center"/>
    </xf>
    <xf numFmtId="41" fontId="7" fillId="0" borderId="20" xfId="1" applyFont="1" applyBorder="1" applyAlignment="1">
      <alignment horizontal="center" vertical="center"/>
    </xf>
    <xf numFmtId="0" fontId="7" fillId="8" borderId="2" xfId="0" applyFont="1" applyFill="1" applyBorder="1" applyAlignment="1">
      <alignment vertical="center" wrapText="1"/>
    </xf>
    <xf numFmtId="41" fontId="3" fillId="3" borderId="25" xfId="1" applyFont="1" applyFill="1" applyBorder="1" applyAlignment="1">
      <alignment horizontal="center" vertical="center" wrapText="1"/>
    </xf>
    <xf numFmtId="0" fontId="3" fillId="3" borderId="26" xfId="0" applyFont="1" applyFill="1" applyBorder="1" applyAlignment="1">
      <alignment horizontal="center" vertical="center" wrapText="1"/>
    </xf>
    <xf numFmtId="41" fontId="7" fillId="0" borderId="7" xfId="1" applyFont="1" applyBorder="1" applyAlignment="1">
      <alignment vertical="center"/>
    </xf>
    <xf numFmtId="41" fontId="7" fillId="0" borderId="27" xfId="1" applyFont="1" applyBorder="1" applyAlignment="1">
      <alignment vertical="center"/>
    </xf>
    <xf numFmtId="41" fontId="7" fillId="0" borderId="18" xfId="1" applyFont="1" applyBorder="1" applyAlignment="1">
      <alignment vertical="center"/>
    </xf>
    <xf numFmtId="41" fontId="3" fillId="4" borderId="25" xfId="1" applyFont="1" applyFill="1" applyBorder="1" applyAlignment="1">
      <alignment vertical="center"/>
    </xf>
    <xf numFmtId="41" fontId="4" fillId="5" borderId="25" xfId="1" applyFont="1" applyFill="1" applyBorder="1" applyAlignment="1">
      <alignment vertical="center"/>
    </xf>
    <xf numFmtId="41" fontId="5" fillId="6" borderId="25" xfId="1" applyFont="1" applyFill="1" applyBorder="1" applyAlignment="1">
      <alignment vertical="center"/>
    </xf>
    <xf numFmtId="41" fontId="7" fillId="0" borderId="5" xfId="1" applyFont="1" applyBorder="1" applyAlignment="1">
      <alignment horizontal="center" vertical="center"/>
    </xf>
    <xf numFmtId="41" fontId="7" fillId="0" borderId="25" xfId="0" applyNumberFormat="1" applyFont="1" applyBorder="1" applyAlignment="1">
      <alignment horizontal="center" vertical="center" wrapText="1"/>
    </xf>
    <xf numFmtId="41" fontId="7" fillId="0" borderId="7" xfId="1" applyFont="1" applyBorder="1" applyAlignment="1">
      <alignment horizontal="center" vertical="center"/>
    </xf>
    <xf numFmtId="41" fontId="7" fillId="0" borderId="28" xfId="0" applyNumberFormat="1" applyFont="1" applyBorder="1" applyAlignment="1">
      <alignment horizontal="center" vertical="center" wrapText="1"/>
    </xf>
    <xf numFmtId="0" fontId="1" fillId="0" borderId="0" xfId="0" applyFont="1" applyAlignment="1">
      <alignment horizontal="left" vertical="center"/>
    </xf>
    <xf numFmtId="0" fontId="3" fillId="3" borderId="30" xfId="0" applyFont="1" applyFill="1" applyBorder="1" applyAlignment="1">
      <alignment horizontal="center" vertical="center"/>
    </xf>
    <xf numFmtId="0" fontId="3" fillId="3" borderId="31" xfId="0" applyFont="1" applyFill="1" applyBorder="1" applyAlignment="1">
      <alignment horizontal="center" vertical="center" wrapText="1"/>
    </xf>
    <xf numFmtId="41" fontId="7" fillId="0" borderId="7" xfId="1" applyFont="1" applyBorder="1" applyAlignment="1">
      <alignment horizontal="left" vertical="center"/>
    </xf>
    <xf numFmtId="41" fontId="7" fillId="0" borderId="32" xfId="1" applyFont="1" applyBorder="1" applyAlignment="1">
      <alignment vertical="center"/>
    </xf>
    <xf numFmtId="41" fontId="3" fillId="4" borderId="1" xfId="1" applyFont="1" applyFill="1" applyBorder="1" applyAlignment="1">
      <alignment horizontal="left" vertical="center"/>
    </xf>
    <xf numFmtId="41" fontId="3" fillId="4" borderId="33" xfId="1" applyFont="1" applyFill="1" applyBorder="1" applyAlignment="1">
      <alignment vertical="center"/>
    </xf>
    <xf numFmtId="41" fontId="4" fillId="5" borderId="1" xfId="1" applyFont="1" applyFill="1" applyBorder="1" applyAlignment="1">
      <alignment horizontal="left" vertical="center"/>
    </xf>
    <xf numFmtId="41" fontId="4" fillId="5" borderId="33" xfId="1" applyFont="1" applyFill="1" applyBorder="1" applyAlignment="1">
      <alignment vertical="center"/>
    </xf>
    <xf numFmtId="41" fontId="5" fillId="6" borderId="1" xfId="1" applyFont="1" applyFill="1" applyBorder="1" applyAlignment="1">
      <alignment horizontal="left" vertical="center"/>
    </xf>
    <xf numFmtId="41" fontId="5" fillId="6" borderId="33" xfId="1" applyFont="1" applyFill="1" applyBorder="1" applyAlignment="1">
      <alignment vertical="center"/>
    </xf>
    <xf numFmtId="0" fontId="7" fillId="0" borderId="33" xfId="0" applyFont="1" applyBorder="1" applyAlignment="1">
      <alignment vertical="center" wrapText="1"/>
    </xf>
    <xf numFmtId="0" fontId="7" fillId="0" borderId="4" xfId="0" applyFont="1" applyBorder="1" applyAlignment="1">
      <alignment vertical="center"/>
    </xf>
    <xf numFmtId="9" fontId="7" fillId="0" borderId="1" xfId="0" applyNumberFormat="1" applyFont="1" applyBorder="1" applyAlignment="1">
      <alignment horizontal="left" vertical="center" wrapText="1"/>
    </xf>
    <xf numFmtId="0" fontId="7" fillId="0" borderId="33" xfId="0" applyFont="1" applyBorder="1" applyAlignment="1">
      <alignment horizontal="left" vertical="center" wrapText="1"/>
    </xf>
    <xf numFmtId="0" fontId="5" fillId="6" borderId="4" xfId="0" applyFont="1" applyFill="1" applyBorder="1" applyAlignment="1">
      <alignment vertical="center"/>
    </xf>
    <xf numFmtId="0" fontId="7" fillId="0" borderId="33" xfId="0" applyFont="1" applyBorder="1" applyAlignment="1">
      <alignment horizontal="left" vertical="center"/>
    </xf>
    <xf numFmtId="0" fontId="1" fillId="0" borderId="0" xfId="0" applyFont="1" applyAlignment="1">
      <alignment vertical="center" wrapText="1"/>
    </xf>
    <xf numFmtId="0" fontId="3" fillId="3" borderId="38" xfId="0" applyFont="1" applyFill="1" applyBorder="1" applyAlignment="1">
      <alignment horizontal="center" vertical="center" wrapText="1"/>
    </xf>
    <xf numFmtId="41" fontId="3" fillId="3" borderId="33" xfId="1" applyFont="1" applyFill="1" applyBorder="1" applyAlignment="1">
      <alignment horizontal="center" vertical="center" wrapText="1"/>
    </xf>
    <xf numFmtId="41" fontId="3" fillId="4" borderId="2" xfId="1" applyFont="1" applyFill="1" applyBorder="1" applyAlignment="1">
      <alignment vertical="center"/>
    </xf>
    <xf numFmtId="41" fontId="3" fillId="4" borderId="38" xfId="1" applyFont="1" applyFill="1" applyBorder="1" applyAlignment="1">
      <alignment vertical="center"/>
    </xf>
    <xf numFmtId="41" fontId="4" fillId="5" borderId="2" xfId="1" applyFont="1" applyFill="1" applyBorder="1" applyAlignment="1">
      <alignment vertical="center"/>
    </xf>
    <xf numFmtId="41" fontId="4" fillId="5" borderId="38" xfId="1" applyFont="1" applyFill="1" applyBorder="1" applyAlignment="1">
      <alignment vertical="center"/>
    </xf>
    <xf numFmtId="41" fontId="5" fillId="6" borderId="2" xfId="1" applyFont="1" applyFill="1" applyBorder="1" applyAlignment="1">
      <alignment vertical="center"/>
    </xf>
    <xf numFmtId="41" fontId="5" fillId="6" borderId="38" xfId="1" applyFont="1" applyFill="1" applyBorder="1" applyAlignment="1">
      <alignment vertical="center"/>
    </xf>
    <xf numFmtId="41" fontId="7" fillId="0" borderId="38" xfId="0" applyNumberFormat="1" applyFont="1" applyBorder="1" applyAlignment="1">
      <alignment horizontal="center" vertical="center" wrapText="1"/>
    </xf>
    <xf numFmtId="41" fontId="7" fillId="0" borderId="33" xfId="0" applyNumberFormat="1" applyFont="1" applyBorder="1" applyAlignment="1">
      <alignment vertical="center" wrapText="1"/>
    </xf>
    <xf numFmtId="0" fontId="5" fillId="6" borderId="2" xfId="0" applyFont="1" applyFill="1" applyBorder="1" applyAlignment="1">
      <alignment vertical="center" wrapText="1"/>
    </xf>
    <xf numFmtId="41" fontId="7" fillId="0" borderId="33" xfId="0" applyNumberFormat="1" applyFont="1" applyBorder="1" applyAlignment="1">
      <alignment horizontal="center" vertical="center" wrapText="1"/>
    </xf>
    <xf numFmtId="0" fontId="7" fillId="0" borderId="6" xfId="0" applyFont="1" applyBorder="1" applyAlignment="1">
      <alignment horizontal="center" vertical="center" wrapText="1"/>
    </xf>
    <xf numFmtId="0" fontId="4" fillId="0" borderId="13" xfId="0" applyFont="1" applyBorder="1" applyAlignment="1">
      <alignment horizontal="center" vertical="center"/>
    </xf>
    <xf numFmtId="41" fontId="7" fillId="0" borderId="19" xfId="1" applyFont="1" applyBorder="1" applyAlignment="1">
      <alignment horizontal="center" vertical="center" wrapText="1"/>
    </xf>
    <xf numFmtId="41" fontId="7" fillId="0" borderId="33" xfId="0" applyNumberFormat="1" applyFont="1" applyBorder="1" applyAlignment="1">
      <alignment horizontal="left" vertical="center" wrapText="1"/>
    </xf>
    <xf numFmtId="41" fontId="5" fillId="0" borderId="0" xfId="0" applyNumberFormat="1" applyFont="1" applyAlignment="1">
      <alignment vertical="center"/>
    </xf>
    <xf numFmtId="0" fontId="7" fillId="0" borderId="13" xfId="0" applyFont="1" applyFill="1" applyBorder="1" applyAlignment="1">
      <alignment horizontal="center" vertical="center"/>
    </xf>
    <xf numFmtId="0" fontId="7" fillId="0" borderId="7" xfId="0" applyFont="1" applyFill="1" applyBorder="1" applyAlignment="1">
      <alignment vertical="center"/>
    </xf>
    <xf numFmtId="0" fontId="7" fillId="0" borderId="39" xfId="0" applyFont="1" applyBorder="1" applyAlignment="1">
      <alignment horizontal="center" vertical="center"/>
    </xf>
    <xf numFmtId="0" fontId="7" fillId="0" borderId="2" xfId="0" applyFont="1" applyFill="1" applyBorder="1" applyAlignment="1">
      <alignment vertical="center"/>
    </xf>
    <xf numFmtId="41" fontId="7" fillId="0" borderId="17" xfId="1" applyFont="1" applyFill="1" applyBorder="1" applyAlignment="1">
      <alignment vertical="center"/>
    </xf>
    <xf numFmtId="41" fontId="7" fillId="0" borderId="4" xfId="1" applyFont="1" applyFill="1" applyBorder="1" applyAlignment="1">
      <alignment horizontal="center" vertical="center"/>
    </xf>
    <xf numFmtId="41" fontId="7" fillId="0" borderId="4" xfId="1" applyFont="1" applyFill="1" applyBorder="1" applyAlignment="1">
      <alignment vertical="center"/>
    </xf>
    <xf numFmtId="41" fontId="7" fillId="0" borderId="1" xfId="0" applyNumberFormat="1" applyFont="1" applyFill="1" applyBorder="1" applyAlignment="1">
      <alignment vertical="center" wrapText="1"/>
    </xf>
    <xf numFmtId="41" fontId="7" fillId="0" borderId="40" xfId="1" applyFont="1" applyFill="1" applyBorder="1" applyAlignment="1">
      <alignment vertical="center"/>
    </xf>
    <xf numFmtId="41" fontId="7" fillId="0" borderId="41" xfId="1" applyFont="1" applyFill="1" applyBorder="1" applyAlignment="1">
      <alignment horizontal="center" vertical="center"/>
    </xf>
    <xf numFmtId="41" fontId="7" fillId="0" borderId="41" xfId="1" applyFont="1" applyFill="1" applyBorder="1" applyAlignment="1">
      <alignment vertical="center"/>
    </xf>
    <xf numFmtId="9" fontId="7" fillId="0" borderId="1" xfId="0" applyNumberFormat="1" applyFont="1" applyFill="1" applyBorder="1" applyAlignment="1">
      <alignment horizontal="left" vertical="center" wrapText="1"/>
    </xf>
    <xf numFmtId="0" fontId="7" fillId="0" borderId="33" xfId="0" applyFont="1" applyFill="1" applyBorder="1" applyAlignment="1">
      <alignment vertical="center" wrapText="1"/>
    </xf>
    <xf numFmtId="0" fontId="7" fillId="0" borderId="4" xfId="0" applyFont="1" applyFill="1" applyBorder="1" applyAlignment="1">
      <alignment vertical="center"/>
    </xf>
    <xf numFmtId="41" fontId="7" fillId="0" borderId="17" xfId="1" applyFont="1" applyFill="1" applyBorder="1" applyAlignment="1">
      <alignment horizontal="left" vertical="center"/>
    </xf>
    <xf numFmtId="41" fontId="7" fillId="0" borderId="42" xfId="1" applyFont="1" applyFill="1" applyBorder="1" applyAlignment="1">
      <alignment vertical="center"/>
    </xf>
    <xf numFmtId="41" fontId="7" fillId="0" borderId="1" xfId="0" applyNumberFormat="1" applyFont="1" applyBorder="1" applyAlignment="1">
      <alignment horizontal="left" vertical="center" wrapText="1"/>
    </xf>
    <xf numFmtId="0" fontId="7" fillId="0" borderId="2" xfId="0" applyFont="1" applyFill="1" applyBorder="1" applyAlignment="1">
      <alignment vertical="center" wrapText="1"/>
    </xf>
    <xf numFmtId="41" fontId="7" fillId="0" borderId="38" xfId="0" applyNumberFormat="1" applyFont="1" applyFill="1" applyBorder="1" applyAlignment="1">
      <alignment horizontal="center" vertical="center" wrapText="1"/>
    </xf>
    <xf numFmtId="41" fontId="7" fillId="0" borderId="1" xfId="0" applyNumberFormat="1" applyFont="1" applyFill="1" applyBorder="1" applyAlignment="1">
      <alignment horizontal="center" vertical="center" wrapText="1"/>
    </xf>
    <xf numFmtId="41" fontId="7" fillId="0" borderId="33" xfId="0" applyNumberFormat="1" applyFont="1" applyFill="1" applyBorder="1" applyAlignment="1">
      <alignment horizontal="center" vertical="center" wrapText="1"/>
    </xf>
    <xf numFmtId="41" fontId="7" fillId="0" borderId="0" xfId="0" applyNumberFormat="1" applyFont="1" applyBorder="1" applyAlignment="1">
      <alignment horizontal="center" vertical="center" wrapText="1"/>
    </xf>
    <xf numFmtId="0" fontId="3" fillId="3" borderId="46" xfId="0" applyFont="1" applyFill="1" applyBorder="1" applyAlignment="1">
      <alignment vertical="center"/>
    </xf>
    <xf numFmtId="0" fontId="3" fillId="3" borderId="47" xfId="0" applyFont="1" applyFill="1" applyBorder="1" applyAlignment="1">
      <alignment vertical="center"/>
    </xf>
    <xf numFmtId="41" fontId="3" fillId="3" borderId="48" xfId="1" applyFont="1" applyFill="1" applyBorder="1" applyAlignment="1">
      <alignment vertical="center"/>
    </xf>
    <xf numFmtId="41" fontId="3" fillId="3" borderId="45" xfId="1" applyFont="1" applyFill="1" applyBorder="1" applyAlignment="1">
      <alignment vertical="center"/>
    </xf>
    <xf numFmtId="41" fontId="3" fillId="3" borderId="46" xfId="1" applyFont="1" applyFill="1" applyBorder="1" applyAlignment="1">
      <alignment vertical="center"/>
    </xf>
    <xf numFmtId="41" fontId="7" fillId="0" borderId="4" xfId="0" applyNumberFormat="1" applyFont="1" applyFill="1" applyBorder="1" applyAlignment="1">
      <alignment horizontal="center" vertical="center" wrapText="1"/>
    </xf>
    <xf numFmtId="41" fontId="3" fillId="3" borderId="49" xfId="1" applyFont="1" applyFill="1" applyBorder="1" applyAlignment="1">
      <alignment vertical="center"/>
    </xf>
    <xf numFmtId="41" fontId="7" fillId="0" borderId="1" xfId="0" applyNumberFormat="1" applyFont="1" applyFill="1" applyBorder="1" applyAlignment="1">
      <alignment horizontal="left" vertical="center" wrapText="1"/>
    </xf>
    <xf numFmtId="41" fontId="3" fillId="3" borderId="46" xfId="1" applyFont="1" applyFill="1" applyBorder="1" applyAlignment="1">
      <alignment horizontal="left" vertical="center"/>
    </xf>
    <xf numFmtId="41" fontId="3" fillId="3" borderId="50" xfId="1" applyFont="1" applyFill="1" applyBorder="1" applyAlignment="1">
      <alignment vertical="center"/>
    </xf>
    <xf numFmtId="41" fontId="7" fillId="0" borderId="2" xfId="0" applyNumberFormat="1" applyFont="1" applyFill="1" applyBorder="1" applyAlignment="1">
      <alignment horizontal="center" vertical="center" wrapText="1"/>
    </xf>
    <xf numFmtId="41" fontId="3" fillId="3" borderId="47" xfId="1" applyFont="1" applyFill="1" applyBorder="1" applyAlignment="1">
      <alignment vertical="center"/>
    </xf>
    <xf numFmtId="41" fontId="3" fillId="3" borderId="51" xfId="1" applyFont="1" applyFill="1" applyBorder="1" applyAlignment="1">
      <alignment vertical="center"/>
    </xf>
    <xf numFmtId="41" fontId="7" fillId="0" borderId="0" xfId="0" applyNumberFormat="1" applyFont="1" applyAlignment="1">
      <alignment vertical="center" wrapText="1"/>
    </xf>
    <xf numFmtId="0" fontId="8" fillId="0" borderId="0" xfId="0" applyFont="1" applyAlignment="1">
      <alignment vertical="center"/>
    </xf>
    <xf numFmtId="0" fontId="9" fillId="0" borderId="0" xfId="0" applyFont="1" applyAlignment="1">
      <alignment horizontal="center" vertical="center"/>
    </xf>
    <xf numFmtId="0" fontId="10" fillId="0" borderId="0" xfId="0" applyFont="1" applyAlignment="1">
      <alignment vertical="center"/>
    </xf>
    <xf numFmtId="0" fontId="11" fillId="0" borderId="0" xfId="0" applyFont="1" applyAlignment="1">
      <alignment vertical="center"/>
    </xf>
    <xf numFmtId="0" fontId="12" fillId="0" borderId="0" xfId="0" applyFont="1" applyAlignment="1">
      <alignment vertical="center"/>
    </xf>
    <xf numFmtId="0" fontId="13" fillId="0" borderId="0" xfId="0" applyFont="1" applyFill="1" applyAlignment="1">
      <alignment vertical="center"/>
    </xf>
    <xf numFmtId="0" fontId="13" fillId="0" borderId="0" xfId="0" applyFont="1" applyAlignment="1">
      <alignment vertical="center" wrapText="1"/>
    </xf>
    <xf numFmtId="0" fontId="13" fillId="0" borderId="0" xfId="0" applyFont="1" applyAlignment="1">
      <alignment vertical="center"/>
    </xf>
    <xf numFmtId="0" fontId="13" fillId="0" borderId="0" xfId="0" applyFont="1" applyAlignment="1">
      <alignment horizontal="center" vertical="center"/>
    </xf>
    <xf numFmtId="41" fontId="13" fillId="0" borderId="0" xfId="1" applyFont="1" applyAlignment="1">
      <alignment vertical="center"/>
    </xf>
    <xf numFmtId="0" fontId="13" fillId="0" borderId="0" xfId="0" applyFont="1" applyAlignment="1">
      <alignment horizontal="center" vertical="center" wrapText="1"/>
    </xf>
    <xf numFmtId="0" fontId="10" fillId="0" borderId="0" xfId="0" applyFont="1" applyAlignment="1">
      <alignment horizontal="center" vertical="center"/>
    </xf>
    <xf numFmtId="0" fontId="10" fillId="3" borderId="9" xfId="0" applyFont="1" applyFill="1" applyBorder="1" applyAlignment="1">
      <alignment horizontal="center" vertical="center"/>
    </xf>
    <xf numFmtId="0" fontId="10" fillId="3" borderId="7" xfId="0" applyFont="1" applyFill="1" applyBorder="1" applyAlignment="1">
      <alignment horizontal="center" vertical="center"/>
    </xf>
    <xf numFmtId="0" fontId="10" fillId="3" borderId="1" xfId="0" applyFont="1" applyFill="1" applyBorder="1" applyAlignment="1">
      <alignment horizontal="center" vertical="center"/>
    </xf>
    <xf numFmtId="0" fontId="13" fillId="0" borderId="11" xfId="0" applyFont="1" applyBorder="1" applyAlignment="1">
      <alignment horizontal="center" vertical="center"/>
    </xf>
    <xf numFmtId="0" fontId="13" fillId="0" borderId="3" xfId="0" applyFont="1" applyBorder="1" applyAlignment="1">
      <alignment vertical="center"/>
    </xf>
    <xf numFmtId="0" fontId="13" fillId="0" borderId="4" xfId="0" applyFont="1" applyBorder="1" applyAlignment="1">
      <alignment vertical="center" wrapText="1"/>
    </xf>
    <xf numFmtId="0" fontId="13" fillId="0" borderId="1" xfId="0" applyFont="1" applyBorder="1" applyAlignment="1">
      <alignment vertical="center"/>
    </xf>
    <xf numFmtId="0" fontId="10" fillId="4" borderId="10" xfId="0" applyFont="1" applyFill="1" applyBorder="1" applyAlignment="1">
      <alignment horizontal="center" vertical="center"/>
    </xf>
    <xf numFmtId="0" fontId="10" fillId="4" borderId="1" xfId="0" applyFont="1" applyFill="1" applyBorder="1" applyAlignment="1">
      <alignment vertical="center"/>
    </xf>
    <xf numFmtId="0" fontId="10" fillId="4" borderId="1" xfId="0" applyFont="1" applyFill="1" applyBorder="1" applyAlignment="1">
      <alignment vertical="center" wrapText="1"/>
    </xf>
    <xf numFmtId="0" fontId="11" fillId="0" borderId="12" xfId="0" applyFont="1" applyBorder="1" applyAlignment="1">
      <alignment horizontal="center" vertical="center"/>
    </xf>
    <xf numFmtId="0" fontId="11" fillId="5" borderId="1" xfId="0" applyFont="1" applyFill="1" applyBorder="1" applyAlignment="1">
      <alignment horizontal="center" vertical="center"/>
    </xf>
    <xf numFmtId="0" fontId="11" fillId="5" borderId="1" xfId="0" applyFont="1" applyFill="1" applyBorder="1" applyAlignment="1">
      <alignment vertical="center"/>
    </xf>
    <xf numFmtId="0" fontId="11" fillId="5" borderId="1" xfId="0" applyFont="1" applyFill="1" applyBorder="1" applyAlignment="1">
      <alignment vertical="center" wrapText="1"/>
    </xf>
    <xf numFmtId="0" fontId="12" fillId="0" borderId="13" xfId="0" applyFont="1" applyBorder="1" applyAlignment="1">
      <alignment horizontal="center" vertical="center"/>
    </xf>
    <xf numFmtId="0" fontId="12" fillId="0" borderId="5" xfId="0" applyFont="1" applyBorder="1" applyAlignment="1">
      <alignment vertical="center"/>
    </xf>
    <xf numFmtId="0" fontId="12" fillId="6" borderId="1" xfId="0" applyFont="1" applyFill="1" applyBorder="1" applyAlignment="1">
      <alignment horizontal="center" vertical="center"/>
    </xf>
    <xf numFmtId="0" fontId="12" fillId="6" borderId="1" xfId="0" applyFont="1" applyFill="1" applyBorder="1" applyAlignment="1">
      <alignment vertical="center"/>
    </xf>
    <xf numFmtId="0" fontId="12" fillId="6" borderId="1" xfId="0" applyFont="1" applyFill="1" applyBorder="1" applyAlignment="1">
      <alignment vertical="center" wrapText="1"/>
    </xf>
    <xf numFmtId="0" fontId="13" fillId="0" borderId="13" xfId="0" applyFont="1" applyBorder="1" applyAlignment="1">
      <alignment horizontal="center" vertical="center"/>
    </xf>
    <xf numFmtId="0" fontId="13" fillId="0" borderId="6" xfId="0" applyFont="1" applyBorder="1" applyAlignment="1">
      <alignment vertical="center"/>
    </xf>
    <xf numFmtId="0" fontId="13" fillId="0" borderId="5" xfId="0" applyFont="1" applyBorder="1" applyAlignment="1">
      <alignment horizontal="center" vertical="center"/>
    </xf>
    <xf numFmtId="0" fontId="13" fillId="0" borderId="5" xfId="0" applyFont="1" applyBorder="1" applyAlignment="1">
      <alignment horizontal="left" vertical="center" wrapText="1"/>
    </xf>
    <xf numFmtId="0" fontId="13" fillId="0" borderId="7" xfId="0" applyFont="1" applyBorder="1" applyAlignment="1">
      <alignment horizontal="center" vertical="center"/>
    </xf>
    <xf numFmtId="0" fontId="13" fillId="0" borderId="1" xfId="0" applyFont="1" applyBorder="1" applyAlignment="1">
      <alignment horizontal="center" vertical="center"/>
    </xf>
    <xf numFmtId="0" fontId="13" fillId="0" borderId="1" xfId="0" applyFont="1" applyBorder="1" applyAlignment="1">
      <alignment horizontal="left" vertical="center" wrapText="1"/>
    </xf>
    <xf numFmtId="0" fontId="12" fillId="0" borderId="6" xfId="0" applyFont="1" applyBorder="1" applyAlignment="1">
      <alignment vertical="center"/>
    </xf>
    <xf numFmtId="0" fontId="12" fillId="6" borderId="1" xfId="0" applyFont="1" applyFill="1" applyBorder="1" applyAlignment="1">
      <alignment horizontal="left" vertical="center" wrapText="1" indent="2"/>
    </xf>
    <xf numFmtId="0" fontId="13" fillId="0" borderId="5" xfId="0" applyFont="1" applyBorder="1" applyAlignment="1">
      <alignment vertical="center"/>
    </xf>
    <xf numFmtId="0" fontId="13" fillId="0" borderId="7" xfId="0" applyFont="1" applyBorder="1" applyAlignment="1">
      <alignment vertical="center" wrapText="1"/>
    </xf>
    <xf numFmtId="0" fontId="13" fillId="0" borderId="1" xfId="0" applyFont="1" applyBorder="1" applyAlignment="1">
      <alignment vertical="center" wrapText="1"/>
    </xf>
    <xf numFmtId="0" fontId="13" fillId="0" borderId="7" xfId="0" applyFont="1" applyBorder="1" applyAlignment="1">
      <alignment vertical="center"/>
    </xf>
    <xf numFmtId="0" fontId="12" fillId="0" borderId="5" xfId="0" applyFont="1" applyFill="1" applyBorder="1" applyAlignment="1">
      <alignment horizontal="center" vertical="center"/>
    </xf>
    <xf numFmtId="0" fontId="13" fillId="8" borderId="1" xfId="0" applyFont="1" applyFill="1" applyBorder="1" applyAlignment="1">
      <alignment vertical="center" wrapText="1"/>
    </xf>
    <xf numFmtId="0" fontId="13" fillId="0" borderId="6" xfId="0" applyFont="1" applyBorder="1" applyAlignment="1">
      <alignment horizontal="center" vertical="center"/>
    </xf>
    <xf numFmtId="0" fontId="10" fillId="3" borderId="14" xfId="0" applyFont="1" applyFill="1" applyBorder="1" applyAlignment="1">
      <alignment horizontal="center" vertical="center"/>
    </xf>
    <xf numFmtId="0" fontId="10" fillId="3" borderId="52" xfId="0" applyFont="1" applyFill="1" applyBorder="1" applyAlignment="1">
      <alignment horizontal="center" vertical="center"/>
    </xf>
    <xf numFmtId="0" fontId="10" fillId="3" borderId="24" xfId="0" applyFont="1" applyFill="1" applyBorder="1" applyAlignment="1">
      <alignment horizontal="center" vertical="center"/>
    </xf>
    <xf numFmtId="0" fontId="10" fillId="3" borderId="37" xfId="0" applyFont="1" applyFill="1" applyBorder="1" applyAlignment="1">
      <alignment horizontal="center" vertical="center"/>
    </xf>
    <xf numFmtId="0" fontId="10" fillId="3" borderId="2" xfId="0" applyFont="1" applyFill="1" applyBorder="1" applyAlignment="1">
      <alignment horizontal="center" vertical="center"/>
    </xf>
    <xf numFmtId="0" fontId="10" fillId="3" borderId="38" xfId="0" applyFont="1" applyFill="1" applyBorder="1" applyAlignment="1">
      <alignment horizontal="center" vertical="center" wrapText="1"/>
    </xf>
    <xf numFmtId="41" fontId="10" fillId="3" borderId="1" xfId="1" applyFont="1" applyFill="1" applyBorder="1" applyAlignment="1">
      <alignment horizontal="center" vertical="center" wrapText="1"/>
    </xf>
    <xf numFmtId="41" fontId="10" fillId="3" borderId="25" xfId="1" applyFont="1" applyFill="1" applyBorder="1" applyAlignment="1">
      <alignment horizontal="center" vertical="center" wrapText="1"/>
    </xf>
    <xf numFmtId="0" fontId="10" fillId="3" borderId="4" xfId="0" applyFont="1" applyFill="1" applyBorder="1" applyAlignment="1">
      <alignment horizontal="center" vertical="center" wrapText="1"/>
    </xf>
    <xf numFmtId="0" fontId="13" fillId="0" borderId="2" xfId="0" applyFont="1" applyBorder="1" applyAlignment="1">
      <alignment vertical="center"/>
    </xf>
    <xf numFmtId="41" fontId="13" fillId="0" borderId="17" xfId="1" applyFont="1" applyBorder="1" applyAlignment="1">
      <alignment vertical="center"/>
    </xf>
    <xf numFmtId="0" fontId="13" fillId="0" borderId="55" xfId="0" applyFont="1" applyBorder="1" applyAlignment="1">
      <alignment horizontal="center" vertical="center" wrapText="1"/>
    </xf>
    <xf numFmtId="41" fontId="13" fillId="0" borderId="7" xfId="1" applyFont="1" applyBorder="1" applyAlignment="1">
      <alignment vertical="center"/>
    </xf>
    <xf numFmtId="41" fontId="13" fillId="0" borderId="27" xfId="1" applyFont="1" applyBorder="1" applyAlignment="1">
      <alignment vertical="center"/>
    </xf>
    <xf numFmtId="0" fontId="10" fillId="4" borderId="2" xfId="0" applyFont="1" applyFill="1" applyBorder="1" applyAlignment="1">
      <alignment vertical="center"/>
    </xf>
    <xf numFmtId="41" fontId="10" fillId="4" borderId="17" xfId="1" applyFont="1" applyFill="1" applyBorder="1" applyAlignment="1">
      <alignment vertical="center"/>
    </xf>
    <xf numFmtId="41" fontId="10" fillId="4" borderId="38" xfId="1" applyFont="1" applyFill="1" applyBorder="1" applyAlignment="1">
      <alignment vertical="center"/>
    </xf>
    <xf numFmtId="41" fontId="10" fillId="4" borderId="1" xfId="1" applyFont="1" applyFill="1" applyBorder="1" applyAlignment="1">
      <alignment vertical="center"/>
    </xf>
    <xf numFmtId="41" fontId="10" fillId="4" borderId="25" xfId="1" applyFont="1" applyFill="1" applyBorder="1" applyAlignment="1">
      <alignment vertical="center"/>
    </xf>
    <xf numFmtId="41" fontId="10" fillId="4" borderId="4" xfId="1" applyFont="1" applyFill="1" applyBorder="1" applyAlignment="1">
      <alignment vertical="center"/>
    </xf>
    <xf numFmtId="0" fontId="11" fillId="5" borderId="2" xfId="0" applyFont="1" applyFill="1" applyBorder="1" applyAlignment="1">
      <alignment vertical="center"/>
    </xf>
    <xf numFmtId="41" fontId="11" fillId="5" borderId="17" xfId="1" applyFont="1" applyFill="1" applyBorder="1" applyAlignment="1">
      <alignment vertical="center"/>
    </xf>
    <xf numFmtId="41" fontId="11" fillId="5" borderId="38" xfId="1" applyFont="1" applyFill="1" applyBorder="1" applyAlignment="1">
      <alignment vertical="center"/>
    </xf>
    <xf numFmtId="41" fontId="11" fillId="5" borderId="1" xfId="1" applyFont="1" applyFill="1" applyBorder="1" applyAlignment="1">
      <alignment vertical="center"/>
    </xf>
    <xf numFmtId="41" fontId="11" fillId="5" borderId="25" xfId="1" applyFont="1" applyFill="1" applyBorder="1" applyAlignment="1">
      <alignment vertical="center"/>
    </xf>
    <xf numFmtId="41" fontId="11" fillId="5" borderId="4" xfId="1" applyFont="1" applyFill="1" applyBorder="1" applyAlignment="1">
      <alignment vertical="center"/>
    </xf>
    <xf numFmtId="0" fontId="12" fillId="6" borderId="2" xfId="0" applyFont="1" applyFill="1" applyBorder="1" applyAlignment="1">
      <alignment vertical="center"/>
    </xf>
    <xf numFmtId="41" fontId="12" fillId="6" borderId="17" xfId="1" applyFont="1" applyFill="1" applyBorder="1" applyAlignment="1">
      <alignment vertical="center"/>
    </xf>
    <xf numFmtId="41" fontId="12" fillId="6" borderId="38" xfId="1" applyFont="1" applyFill="1" applyBorder="1" applyAlignment="1">
      <alignment vertical="center"/>
    </xf>
    <xf numFmtId="41" fontId="12" fillId="6" borderId="1" xfId="1" applyFont="1" applyFill="1" applyBorder="1" applyAlignment="1">
      <alignment vertical="center"/>
    </xf>
    <xf numFmtId="41" fontId="12" fillId="6" borderId="25" xfId="1" applyFont="1" applyFill="1" applyBorder="1" applyAlignment="1">
      <alignment vertical="center"/>
    </xf>
    <xf numFmtId="41" fontId="12" fillId="6" borderId="4" xfId="1" applyFont="1" applyFill="1" applyBorder="1" applyAlignment="1">
      <alignment vertical="center"/>
    </xf>
    <xf numFmtId="0" fontId="13" fillId="0" borderId="38" xfId="0" applyFont="1" applyBorder="1" applyAlignment="1">
      <alignment horizontal="center" vertical="center" wrapText="1"/>
    </xf>
    <xf numFmtId="41" fontId="13" fillId="0" borderId="1" xfId="1" applyFont="1" applyBorder="1" applyAlignment="1">
      <alignment vertical="center"/>
    </xf>
    <xf numFmtId="41" fontId="13" fillId="0" borderId="25" xfId="0" applyNumberFormat="1" applyFont="1" applyBorder="1" applyAlignment="1">
      <alignment horizontal="center" vertical="center" wrapText="1"/>
    </xf>
    <xf numFmtId="41" fontId="13" fillId="0" borderId="38" xfId="0" applyNumberFormat="1" applyFont="1" applyBorder="1" applyAlignment="1">
      <alignment horizontal="center" vertical="center" wrapText="1"/>
    </xf>
    <xf numFmtId="41" fontId="13" fillId="0" borderId="4" xfId="0" applyNumberFormat="1" applyFont="1" applyBorder="1" applyAlignment="1">
      <alignment horizontal="center" vertical="center" wrapText="1"/>
    </xf>
    <xf numFmtId="0" fontId="13" fillId="0" borderId="2" xfId="0" applyFont="1" applyBorder="1" applyAlignment="1">
      <alignment vertical="center" wrapText="1"/>
    </xf>
    <xf numFmtId="41" fontId="13" fillId="0" borderId="17" xfId="1" applyFont="1" applyBorder="1" applyAlignment="1">
      <alignment vertical="center" wrapText="1"/>
    </xf>
    <xf numFmtId="41" fontId="13" fillId="0" borderId="1" xfId="1" applyFont="1" applyBorder="1" applyAlignment="1">
      <alignment vertical="center" wrapText="1"/>
    </xf>
    <xf numFmtId="41" fontId="13" fillId="0" borderId="38" xfId="1" applyFont="1" applyBorder="1" applyAlignment="1">
      <alignment horizontal="center" vertical="center"/>
    </xf>
    <xf numFmtId="0" fontId="13" fillId="0" borderId="2" xfId="0" applyFont="1" applyBorder="1" applyAlignment="1">
      <alignment horizontal="center" vertical="center"/>
    </xf>
    <xf numFmtId="41" fontId="13" fillId="0" borderId="17" xfId="1" applyFont="1" applyBorder="1" applyAlignment="1">
      <alignment horizontal="center" vertical="center"/>
    </xf>
    <xf numFmtId="41" fontId="13" fillId="0" borderId="1" xfId="1" applyFont="1" applyBorder="1" applyAlignment="1">
      <alignment horizontal="center" vertical="center"/>
    </xf>
    <xf numFmtId="0" fontId="13" fillId="8" borderId="2" xfId="0" applyFont="1" applyFill="1" applyBorder="1" applyAlignment="1">
      <alignment vertical="center" wrapText="1"/>
    </xf>
    <xf numFmtId="0" fontId="13" fillId="0" borderId="0" xfId="0" applyFont="1" applyAlignment="1">
      <alignment horizontal="right" vertical="center"/>
    </xf>
    <xf numFmtId="0" fontId="10" fillId="3" borderId="57" xfId="0" applyFont="1" applyFill="1" applyBorder="1" applyAlignment="1">
      <alignment vertical="center"/>
    </xf>
    <xf numFmtId="0" fontId="10" fillId="3" borderId="58" xfId="0" applyFont="1" applyFill="1" applyBorder="1" applyAlignment="1">
      <alignment vertical="center"/>
    </xf>
    <xf numFmtId="0" fontId="10" fillId="3" borderId="33" xfId="0" applyFont="1" applyFill="1" applyBorder="1" applyAlignment="1">
      <alignment horizontal="center" vertical="center" wrapText="1"/>
    </xf>
    <xf numFmtId="41" fontId="10" fillId="3" borderId="59" xfId="1" applyFont="1" applyFill="1" applyBorder="1" applyAlignment="1">
      <alignment horizontal="center" vertical="center" wrapText="1"/>
    </xf>
    <xf numFmtId="0" fontId="10" fillId="3" borderId="1" xfId="0" applyFont="1" applyFill="1" applyBorder="1" applyAlignment="1">
      <alignment horizontal="center" vertical="center" wrapText="1"/>
    </xf>
    <xf numFmtId="41" fontId="10" fillId="3" borderId="2" xfId="1" applyFont="1" applyFill="1" applyBorder="1" applyAlignment="1">
      <alignment horizontal="center" vertical="center" wrapText="1"/>
    </xf>
    <xf numFmtId="41" fontId="13" fillId="0" borderId="32" xfId="1" applyFont="1" applyBorder="1" applyAlignment="1">
      <alignment vertical="center"/>
    </xf>
    <xf numFmtId="41" fontId="13" fillId="0" borderId="58" xfId="1" applyFont="1" applyBorder="1" applyAlignment="1">
      <alignment vertical="center"/>
    </xf>
    <xf numFmtId="0" fontId="13" fillId="0" borderId="60"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61" xfId="0" applyFont="1" applyBorder="1" applyAlignment="1">
      <alignment horizontal="center" vertical="center" wrapText="1"/>
    </xf>
    <xf numFmtId="41" fontId="13" fillId="0" borderId="38" xfId="1" applyFont="1" applyBorder="1" applyAlignment="1">
      <alignment vertical="center"/>
    </xf>
    <xf numFmtId="0" fontId="13" fillId="0" borderId="33" xfId="0" applyFont="1" applyBorder="1" applyAlignment="1">
      <alignment vertical="center"/>
    </xf>
    <xf numFmtId="41" fontId="10" fillId="4" borderId="33" xfId="1" applyFont="1" applyFill="1" applyBorder="1" applyAlignment="1">
      <alignment vertical="center"/>
    </xf>
    <xf numFmtId="41" fontId="10" fillId="4" borderId="59" xfId="1" applyFont="1" applyFill="1" applyBorder="1" applyAlignment="1">
      <alignment vertical="center"/>
    </xf>
    <xf numFmtId="41" fontId="10" fillId="4" borderId="4" xfId="1" applyFont="1" applyFill="1" applyBorder="1" applyAlignment="1">
      <alignment horizontal="center" wrapText="1"/>
    </xf>
    <xf numFmtId="41" fontId="10" fillId="4" borderId="1" xfId="1" applyFont="1" applyFill="1" applyBorder="1" applyAlignment="1">
      <alignment horizontal="center" wrapText="1"/>
    </xf>
    <xf numFmtId="41" fontId="10" fillId="4" borderId="2" xfId="1" applyFont="1" applyFill="1" applyBorder="1" applyAlignment="1">
      <alignment horizontal="center" wrapText="1"/>
    </xf>
    <xf numFmtId="41" fontId="11" fillId="5" borderId="33" xfId="1" applyFont="1" applyFill="1" applyBorder="1" applyAlignment="1">
      <alignment vertical="center"/>
    </xf>
    <xf numFmtId="41" fontId="11" fillId="5" borderId="59" xfId="1" applyFont="1" applyFill="1" applyBorder="1" applyAlignment="1">
      <alignment vertical="center"/>
    </xf>
    <xf numFmtId="41" fontId="11" fillId="5" borderId="4" xfId="1" applyFont="1" applyFill="1" applyBorder="1" applyAlignment="1">
      <alignment horizontal="center" wrapText="1"/>
    </xf>
    <xf numFmtId="41" fontId="11" fillId="5" borderId="1" xfId="1" applyFont="1" applyFill="1" applyBorder="1" applyAlignment="1">
      <alignment horizontal="center" wrapText="1"/>
    </xf>
    <xf numFmtId="41" fontId="11" fillId="5" borderId="2" xfId="1" applyFont="1" applyFill="1" applyBorder="1" applyAlignment="1">
      <alignment horizontal="center" wrapText="1"/>
    </xf>
    <xf numFmtId="41" fontId="12" fillId="6" borderId="33" xfId="1" applyFont="1" applyFill="1" applyBorder="1" applyAlignment="1">
      <alignment vertical="center"/>
    </xf>
    <xf numFmtId="41" fontId="12" fillId="6" borderId="59" xfId="1" applyFont="1" applyFill="1" applyBorder="1" applyAlignment="1">
      <alignment vertical="center"/>
    </xf>
    <xf numFmtId="41" fontId="12" fillId="6" borderId="4" xfId="1" applyFont="1" applyFill="1" applyBorder="1" applyAlignment="1">
      <alignment horizontal="center" wrapText="1"/>
    </xf>
    <xf numFmtId="41" fontId="12" fillId="6" borderId="1" xfId="1" applyFont="1" applyFill="1" applyBorder="1" applyAlignment="1">
      <alignment horizontal="center" wrapText="1"/>
    </xf>
    <xf numFmtId="41" fontId="12" fillId="6" borderId="2" xfId="1" applyFont="1" applyFill="1" applyBorder="1" applyAlignment="1">
      <alignment horizontal="center" wrapText="1"/>
    </xf>
    <xf numFmtId="41" fontId="13" fillId="0" borderId="33" xfId="0" applyNumberFormat="1" applyFont="1" applyBorder="1" applyAlignment="1">
      <alignment horizontal="center" vertical="center" wrapText="1"/>
    </xf>
    <xf numFmtId="41" fontId="13" fillId="0" borderId="59" xfId="0" applyNumberFormat="1" applyFont="1" applyBorder="1" applyAlignment="1">
      <alignment vertical="center" wrapText="1"/>
    </xf>
    <xf numFmtId="41" fontId="13" fillId="0" borderId="1" xfId="0" applyNumberFormat="1" applyFont="1" applyBorder="1" applyAlignment="1">
      <alignment horizontal="center" vertical="center" wrapText="1"/>
    </xf>
    <xf numFmtId="41" fontId="13" fillId="0" borderId="4" xfId="1" applyFont="1" applyBorder="1" applyAlignment="1">
      <alignment horizontal="center" vertical="center" wrapText="1"/>
    </xf>
    <xf numFmtId="41" fontId="13" fillId="0" borderId="1" xfId="1" applyFont="1" applyBorder="1" applyAlignment="1">
      <alignment horizontal="center" vertical="center" wrapText="1"/>
    </xf>
    <xf numFmtId="41" fontId="13" fillId="0" borderId="2" xfId="1" applyFont="1" applyBorder="1" applyAlignment="1">
      <alignment horizontal="center" vertical="center" wrapText="1"/>
    </xf>
    <xf numFmtId="41" fontId="13" fillId="0" borderId="38" xfId="0" applyNumberFormat="1" applyFont="1" applyBorder="1" applyAlignment="1">
      <alignment vertical="center"/>
    </xf>
    <xf numFmtId="41" fontId="13" fillId="0" borderId="1" xfId="0" applyNumberFormat="1" applyFont="1" applyBorder="1" applyAlignment="1">
      <alignment vertical="center"/>
    </xf>
    <xf numFmtId="41" fontId="12" fillId="6" borderId="4" xfId="1" applyFont="1" applyFill="1" applyBorder="1" applyAlignment="1">
      <alignment horizontal="center" vertical="center" wrapText="1"/>
    </xf>
    <xf numFmtId="41" fontId="12" fillId="6" borderId="1" xfId="1" applyFont="1" applyFill="1" applyBorder="1" applyAlignment="1">
      <alignment horizontal="center" vertical="center" wrapText="1"/>
    </xf>
    <xf numFmtId="41" fontId="12" fillId="6" borderId="2" xfId="1" applyFont="1" applyFill="1" applyBorder="1" applyAlignment="1">
      <alignment horizontal="center" vertical="center" wrapText="1"/>
    </xf>
    <xf numFmtId="41" fontId="12" fillId="6" borderId="33" xfId="1" applyFont="1" applyFill="1" applyBorder="1" applyAlignment="1">
      <alignment horizontal="right" vertical="center"/>
    </xf>
    <xf numFmtId="41" fontId="13" fillId="0" borderId="59" xfId="0" applyNumberFormat="1" applyFont="1" applyBorder="1" applyAlignment="1">
      <alignment horizontal="center" vertical="center" wrapText="1"/>
    </xf>
    <xf numFmtId="41" fontId="12" fillId="0" borderId="0" xfId="0" applyNumberFormat="1" applyFont="1" applyAlignment="1">
      <alignment vertical="center"/>
    </xf>
    <xf numFmtId="0" fontId="11" fillId="0" borderId="13" xfId="0" applyFont="1" applyBorder="1" applyAlignment="1">
      <alignment horizontal="center" vertical="center"/>
    </xf>
    <xf numFmtId="0" fontId="11" fillId="5" borderId="1" xfId="0" applyFont="1" applyFill="1" applyBorder="1" applyAlignment="1">
      <alignment horizontal="left" vertical="center"/>
    </xf>
    <xf numFmtId="41" fontId="12" fillId="6" borderId="38" xfId="1" applyFont="1" applyFill="1" applyBorder="1" applyAlignment="1">
      <alignment horizontal="right" vertical="center"/>
    </xf>
    <xf numFmtId="41" fontId="11" fillId="5" borderId="38" xfId="1" applyFont="1" applyFill="1" applyBorder="1" applyAlignment="1">
      <alignment horizontal="right" vertical="center"/>
    </xf>
    <xf numFmtId="41" fontId="13" fillId="0" borderId="59" xfId="0" applyNumberFormat="1" applyFont="1" applyBorder="1" applyAlignment="1">
      <alignment horizontal="left" vertical="center" wrapText="1"/>
    </xf>
    <xf numFmtId="41" fontId="11" fillId="5" borderId="4" xfId="1" applyFont="1" applyFill="1" applyBorder="1" applyAlignment="1">
      <alignment horizontal="center" vertical="center" wrapText="1"/>
    </xf>
    <xf numFmtId="41" fontId="11" fillId="5" borderId="1" xfId="1" applyFont="1" applyFill="1" applyBorder="1" applyAlignment="1">
      <alignment horizontal="center" vertical="center" wrapText="1"/>
    </xf>
    <xf numFmtId="41" fontId="11" fillId="5" borderId="2" xfId="1" applyFont="1" applyFill="1" applyBorder="1" applyAlignment="1">
      <alignment horizontal="center" vertical="center" wrapText="1"/>
    </xf>
    <xf numFmtId="41" fontId="12" fillId="5" borderId="33" xfId="1" applyFont="1" applyFill="1" applyBorder="1" applyAlignment="1">
      <alignment horizontal="right" vertical="center"/>
    </xf>
    <xf numFmtId="41" fontId="13" fillId="0" borderId="4" xfId="1" applyFont="1" applyFill="1" applyBorder="1" applyAlignment="1">
      <alignment horizontal="center" vertical="center" wrapText="1"/>
    </xf>
    <xf numFmtId="41" fontId="13" fillId="0" borderId="1" xfId="1" applyFont="1" applyFill="1" applyBorder="1" applyAlignment="1">
      <alignment horizontal="center" vertical="center" wrapText="1"/>
    </xf>
    <xf numFmtId="41" fontId="13" fillId="0" borderId="2" xfId="1" applyFont="1" applyFill="1" applyBorder="1" applyAlignment="1">
      <alignment horizontal="center" vertical="center" wrapText="1"/>
    </xf>
    <xf numFmtId="41" fontId="11" fillId="5" borderId="33" xfId="1" applyFont="1" applyFill="1" applyBorder="1" applyAlignment="1">
      <alignment horizontal="right" vertical="center"/>
    </xf>
    <xf numFmtId="0" fontId="13" fillId="0" borderId="13" xfId="0" applyFont="1" applyFill="1" applyBorder="1" applyAlignment="1">
      <alignment horizontal="center" vertical="center"/>
    </xf>
    <xf numFmtId="0" fontId="13" fillId="0" borderId="7" xfId="0" applyFont="1" applyFill="1" applyBorder="1" applyAlignment="1">
      <alignment vertical="center"/>
    </xf>
    <xf numFmtId="0" fontId="13" fillId="0" borderId="1" xfId="0" applyFont="1" applyFill="1" applyBorder="1" applyAlignment="1">
      <alignment vertical="center"/>
    </xf>
    <xf numFmtId="0" fontId="13" fillId="0" borderId="1" xfId="0" applyFont="1" applyFill="1" applyBorder="1" applyAlignment="1">
      <alignment horizontal="center" vertical="center"/>
    </xf>
    <xf numFmtId="0" fontId="13" fillId="0" borderId="1" xfId="0" applyFont="1" applyFill="1" applyBorder="1" applyAlignment="1">
      <alignment vertical="center" wrapText="1"/>
    </xf>
    <xf numFmtId="0" fontId="13" fillId="0" borderId="39" xfId="0" applyFont="1" applyBorder="1" applyAlignment="1">
      <alignment horizontal="center" vertical="center"/>
    </xf>
    <xf numFmtId="0" fontId="10" fillId="4" borderId="1" xfId="0" applyFont="1" applyFill="1" applyBorder="1" applyAlignment="1">
      <alignment horizontal="left" vertical="center"/>
    </xf>
    <xf numFmtId="0" fontId="13" fillId="0" borderId="2" xfId="0" applyFont="1" applyFill="1" applyBorder="1" applyAlignment="1">
      <alignment vertical="center"/>
    </xf>
    <xf numFmtId="41" fontId="13" fillId="0" borderId="17" xfId="1" applyFont="1" applyFill="1" applyBorder="1" applyAlignment="1">
      <alignment vertical="center"/>
    </xf>
    <xf numFmtId="0" fontId="13" fillId="0" borderId="38" xfId="0" applyFont="1" applyFill="1" applyBorder="1" applyAlignment="1">
      <alignment horizontal="center" vertical="center" wrapText="1"/>
    </xf>
    <xf numFmtId="41" fontId="13" fillId="0" borderId="1" xfId="1" applyFont="1" applyFill="1" applyBorder="1" applyAlignment="1">
      <alignment vertical="center"/>
    </xf>
    <xf numFmtId="41" fontId="13" fillId="0" borderId="38" xfId="0" applyNumberFormat="1" applyFont="1" applyFill="1" applyBorder="1" applyAlignment="1">
      <alignment horizontal="center" vertical="center" wrapText="1"/>
    </xf>
    <xf numFmtId="41" fontId="13" fillId="0" borderId="4" xfId="0" applyNumberFormat="1" applyFont="1" applyFill="1" applyBorder="1" applyAlignment="1">
      <alignment horizontal="center" vertical="center" wrapText="1"/>
    </xf>
    <xf numFmtId="41" fontId="13" fillId="0" borderId="3" xfId="1" applyFont="1" applyFill="1" applyBorder="1" applyAlignment="1">
      <alignment vertical="center"/>
    </xf>
    <xf numFmtId="41" fontId="13" fillId="0" borderId="41" xfId="1" applyFont="1" applyFill="1" applyBorder="1" applyAlignment="1">
      <alignment horizontal="center" vertical="center"/>
    </xf>
    <xf numFmtId="41" fontId="13" fillId="0" borderId="33" xfId="0" applyNumberFormat="1" applyFont="1" applyFill="1" applyBorder="1" applyAlignment="1">
      <alignment horizontal="center" vertical="center" wrapText="1"/>
    </xf>
    <xf numFmtId="41" fontId="13" fillId="0" borderId="59" xfId="0" applyNumberFormat="1" applyFont="1" applyFill="1" applyBorder="1" applyAlignment="1">
      <alignment horizontal="center" vertical="center" wrapText="1"/>
    </xf>
    <xf numFmtId="41" fontId="13" fillId="0" borderId="38" xfId="0" applyNumberFormat="1" applyFont="1" applyFill="1" applyBorder="1" applyAlignment="1">
      <alignment vertical="center"/>
    </xf>
    <xf numFmtId="41" fontId="13" fillId="0" borderId="1" xfId="0" applyNumberFormat="1" applyFont="1" applyFill="1" applyBorder="1" applyAlignment="1">
      <alignment vertical="center"/>
    </xf>
    <xf numFmtId="41" fontId="13" fillId="0" borderId="59" xfId="0" applyNumberFormat="1" applyFont="1" applyFill="1" applyBorder="1" applyAlignment="1">
      <alignment horizontal="left" vertical="center" wrapText="1"/>
    </xf>
    <xf numFmtId="41" fontId="10" fillId="4" borderId="4" xfId="1" applyFont="1" applyFill="1" applyBorder="1" applyAlignment="1">
      <alignment horizontal="center" vertical="center" wrapText="1"/>
    </xf>
    <xf numFmtId="41" fontId="10" fillId="4" borderId="1" xfId="1" applyFont="1" applyFill="1" applyBorder="1" applyAlignment="1">
      <alignment horizontal="center" vertical="center" wrapText="1"/>
    </xf>
    <xf numFmtId="41" fontId="10" fillId="4" borderId="2" xfId="1" applyFont="1" applyFill="1" applyBorder="1" applyAlignment="1">
      <alignment horizontal="center" vertical="center" wrapText="1"/>
    </xf>
    <xf numFmtId="0" fontId="12" fillId="0" borderId="1" xfId="0" applyFont="1" applyBorder="1" applyAlignment="1">
      <alignment vertical="center"/>
    </xf>
    <xf numFmtId="0" fontId="10" fillId="3" borderId="46" xfId="0" applyFont="1" applyFill="1" applyBorder="1" applyAlignment="1">
      <alignment vertical="center"/>
    </xf>
    <xf numFmtId="41" fontId="11" fillId="5" borderId="38" xfId="1" applyFont="1" applyFill="1" applyBorder="1" applyAlignment="1">
      <alignment horizontal="center" vertical="center"/>
    </xf>
    <xf numFmtId="41" fontId="12" fillId="6" borderId="38" xfId="1" applyFont="1" applyFill="1" applyBorder="1" applyAlignment="1">
      <alignment horizontal="center" vertical="center"/>
    </xf>
    <xf numFmtId="0" fontId="12" fillId="6" borderId="38" xfId="0" applyFont="1" applyFill="1" applyBorder="1" applyAlignment="1">
      <alignment horizontal="center" vertical="center" wrapText="1"/>
    </xf>
    <xf numFmtId="0" fontId="11" fillId="5" borderId="38" xfId="0" applyFont="1" applyFill="1" applyBorder="1" applyAlignment="1">
      <alignment horizontal="center" vertical="center" wrapText="1"/>
    </xf>
    <xf numFmtId="0" fontId="10" fillId="3" borderId="47" xfId="0" applyFont="1" applyFill="1" applyBorder="1" applyAlignment="1">
      <alignment vertical="center"/>
    </xf>
    <xf numFmtId="41" fontId="10" fillId="3" borderId="48" xfId="1" applyFont="1" applyFill="1" applyBorder="1" applyAlignment="1">
      <alignment vertical="center"/>
    </xf>
    <xf numFmtId="41" fontId="10" fillId="3" borderId="51" xfId="1" applyFont="1" applyFill="1" applyBorder="1" applyAlignment="1">
      <alignment vertical="center"/>
    </xf>
    <xf numFmtId="41" fontId="10" fillId="3" borderId="46" xfId="1" applyFont="1" applyFill="1" applyBorder="1" applyAlignment="1">
      <alignment vertical="center"/>
    </xf>
    <xf numFmtId="41" fontId="10" fillId="3" borderId="49" xfId="1" applyFont="1" applyFill="1" applyBorder="1" applyAlignment="1">
      <alignment vertical="center"/>
    </xf>
    <xf numFmtId="41" fontId="10" fillId="3" borderId="45" xfId="1" applyFont="1" applyFill="1" applyBorder="1" applyAlignment="1">
      <alignment vertical="center"/>
    </xf>
    <xf numFmtId="41" fontId="13" fillId="0" borderId="0" xfId="0" applyNumberFormat="1" applyFont="1" applyAlignment="1">
      <alignment vertical="center" wrapText="1"/>
    </xf>
    <xf numFmtId="0" fontId="13" fillId="0" borderId="59" xfId="0" applyNumberFormat="1" applyFont="1" applyBorder="1" applyAlignment="1">
      <alignment horizontal="center" vertical="center" wrapText="1"/>
    </xf>
    <xf numFmtId="41" fontId="10" fillId="3" borderId="50" xfId="1" applyFont="1" applyFill="1" applyBorder="1" applyAlignment="1">
      <alignment vertical="center"/>
    </xf>
    <xf numFmtId="41" fontId="10" fillId="3" borderId="64" xfId="1" applyFont="1" applyFill="1" applyBorder="1" applyAlignment="1">
      <alignment vertical="center"/>
    </xf>
    <xf numFmtId="41" fontId="10" fillId="3" borderId="45" xfId="1" applyFont="1" applyFill="1" applyBorder="1" applyAlignment="1">
      <alignment horizontal="center" vertical="center" wrapText="1"/>
    </xf>
    <xf numFmtId="41" fontId="10" fillId="3" borderId="46" xfId="1" applyFont="1" applyFill="1" applyBorder="1" applyAlignment="1">
      <alignment horizontal="center" vertical="center" wrapText="1"/>
    </xf>
    <xf numFmtId="41" fontId="10" fillId="3" borderId="47" xfId="1" applyFont="1" applyFill="1" applyBorder="1" applyAlignment="1">
      <alignment horizontal="center" vertical="center" wrapText="1"/>
    </xf>
    <xf numFmtId="0" fontId="13" fillId="0" borderId="6" xfId="0" applyFont="1" applyFill="1" applyBorder="1" applyAlignment="1">
      <alignment vertical="center"/>
    </xf>
    <xf numFmtId="0" fontId="13" fillId="0" borderId="1" xfId="0" applyFont="1" applyFill="1" applyBorder="1" applyAlignment="1">
      <alignment horizontal="left" vertical="center" wrapText="1"/>
    </xf>
    <xf numFmtId="0" fontId="13" fillId="0" borderId="5" xfId="0" applyFont="1" applyFill="1" applyBorder="1" applyAlignment="1">
      <alignment horizontal="center" vertical="center"/>
    </xf>
    <xf numFmtId="0" fontId="13" fillId="0" borderId="5" xfId="0" applyFont="1" applyFill="1" applyBorder="1" applyAlignment="1">
      <alignment horizontal="left" vertical="center" wrapText="1"/>
    </xf>
    <xf numFmtId="0" fontId="13" fillId="0" borderId="5" xfId="0" applyFont="1" applyFill="1" applyBorder="1" applyAlignment="1">
      <alignment vertical="center"/>
    </xf>
    <xf numFmtId="0" fontId="13" fillId="0" borderId="7" xfId="0" applyFont="1" applyFill="1" applyBorder="1" applyAlignment="1">
      <alignment horizontal="center" vertical="center"/>
    </xf>
    <xf numFmtId="41" fontId="13" fillId="0" borderId="25" xfId="0" applyNumberFormat="1" applyFont="1" applyFill="1" applyBorder="1" applyAlignment="1">
      <alignment horizontal="center" vertical="center" wrapText="1"/>
    </xf>
    <xf numFmtId="0" fontId="13" fillId="0" borderId="2" xfId="0" applyFont="1" applyFill="1" applyBorder="1" applyAlignment="1">
      <alignment horizontal="center" vertical="center"/>
    </xf>
    <xf numFmtId="41" fontId="13" fillId="0" borderId="17" xfId="1" applyFont="1" applyFill="1" applyBorder="1" applyAlignment="1">
      <alignment horizontal="center" vertical="center"/>
    </xf>
    <xf numFmtId="41" fontId="13" fillId="0" borderId="38" xfId="1" applyFont="1" applyFill="1" applyBorder="1" applyAlignment="1">
      <alignment horizontal="center" vertical="center"/>
    </xf>
    <xf numFmtId="41" fontId="13" fillId="0" borderId="1" xfId="1" applyFont="1" applyFill="1" applyBorder="1" applyAlignment="1">
      <alignment horizontal="center" vertical="center"/>
    </xf>
    <xf numFmtId="0" fontId="13" fillId="0" borderId="68" xfId="0" applyFont="1" applyBorder="1" applyAlignment="1">
      <alignment horizontal="center" vertical="center" wrapText="1"/>
    </xf>
    <xf numFmtId="41" fontId="10" fillId="4" borderId="38" xfId="1" applyFont="1" applyFill="1" applyBorder="1" applyAlignment="1">
      <alignment horizontal="center" wrapText="1"/>
    </xf>
    <xf numFmtId="41" fontId="11" fillId="5" borderId="38" xfId="1" applyFont="1" applyFill="1" applyBorder="1" applyAlignment="1">
      <alignment horizontal="center" wrapText="1"/>
    </xf>
    <xf numFmtId="41" fontId="12" fillId="6" borderId="38" xfId="1" applyFont="1" applyFill="1" applyBorder="1" applyAlignment="1">
      <alignment horizontal="center" wrapText="1"/>
    </xf>
    <xf numFmtId="41" fontId="13" fillId="0" borderId="1" xfId="0" applyNumberFormat="1" applyFont="1" applyFill="1" applyBorder="1" applyAlignment="1">
      <alignment horizontal="center" vertical="center" wrapText="1"/>
    </xf>
    <xf numFmtId="41" fontId="13" fillId="0" borderId="25" xfId="0" applyNumberFormat="1" applyFont="1" applyFill="1" applyBorder="1" applyAlignment="1">
      <alignment vertical="center" wrapText="1"/>
    </xf>
    <xf numFmtId="41" fontId="13" fillId="0" borderId="38" xfId="1" applyFont="1" applyFill="1" applyBorder="1" applyAlignment="1">
      <alignment horizontal="center" vertical="center" wrapText="1"/>
    </xf>
    <xf numFmtId="0" fontId="13" fillId="0" borderId="33" xfId="0" applyFont="1" applyFill="1" applyBorder="1" applyAlignment="1">
      <alignment vertical="center"/>
    </xf>
    <xf numFmtId="41" fontId="12" fillId="6" borderId="38" xfId="1" applyFont="1" applyFill="1" applyBorder="1" applyAlignment="1">
      <alignment horizontal="center" vertical="center" wrapText="1"/>
    </xf>
    <xf numFmtId="41" fontId="11" fillId="5" borderId="38" xfId="1" applyFont="1" applyFill="1" applyBorder="1" applyAlignment="1">
      <alignment horizontal="center" vertical="center" wrapText="1"/>
    </xf>
    <xf numFmtId="41" fontId="13" fillId="0" borderId="25" xfId="0" applyNumberFormat="1" applyFont="1" applyFill="1" applyBorder="1" applyAlignment="1">
      <alignment horizontal="left" vertical="center" wrapText="1"/>
    </xf>
    <xf numFmtId="41" fontId="10" fillId="4" borderId="38" xfId="1" applyFont="1" applyFill="1" applyBorder="1" applyAlignment="1">
      <alignment horizontal="center" vertical="center" wrapText="1"/>
    </xf>
    <xf numFmtId="41" fontId="10" fillId="3" borderId="51" xfId="1" applyFont="1" applyFill="1" applyBorder="1" applyAlignment="1">
      <alignment horizontal="center" vertical="center" wrapText="1"/>
    </xf>
    <xf numFmtId="0" fontId="0" fillId="0" borderId="0" xfId="0" applyFont="1"/>
    <xf numFmtId="0" fontId="17" fillId="0" borderId="0" xfId="0" applyFont="1"/>
    <xf numFmtId="166" fontId="18" fillId="0" borderId="0" xfId="0" applyNumberFormat="1" applyFont="1" applyAlignment="1">
      <alignment horizontal="right"/>
    </xf>
    <xf numFmtId="41" fontId="18" fillId="0" borderId="0" xfId="0" applyNumberFormat="1" applyFont="1" applyAlignment="1">
      <alignment horizontal="right"/>
    </xf>
    <xf numFmtId="166" fontId="17" fillId="9" borderId="78" xfId="0" applyNumberFormat="1" applyFont="1" applyFill="1" applyBorder="1" applyAlignment="1">
      <alignment horizontal="center" vertical="center" wrapText="1"/>
    </xf>
    <xf numFmtId="166" fontId="17" fillId="9" borderId="79" xfId="0" applyNumberFormat="1" applyFont="1" applyFill="1" applyBorder="1" applyAlignment="1">
      <alignment horizontal="center" vertical="center" wrapText="1"/>
    </xf>
    <xf numFmtId="41" fontId="17" fillId="10" borderId="80" xfId="0" applyNumberFormat="1" applyFont="1" applyFill="1" applyBorder="1" applyAlignment="1">
      <alignment horizontal="center" vertical="center" wrapText="1"/>
    </xf>
    <xf numFmtId="41" fontId="17" fillId="10" borderId="81" xfId="0" applyNumberFormat="1" applyFont="1" applyFill="1" applyBorder="1" applyAlignment="1">
      <alignment horizontal="center" vertical="center" wrapText="1"/>
    </xf>
    <xf numFmtId="0" fontId="17" fillId="11" borderId="82" xfId="0" applyFont="1" applyFill="1" applyBorder="1" applyAlignment="1">
      <alignment horizontal="center" vertical="center" wrapText="1"/>
    </xf>
    <xf numFmtId="0" fontId="17" fillId="11" borderId="78" xfId="0" applyFont="1" applyFill="1" applyBorder="1" applyAlignment="1">
      <alignment horizontal="left" vertical="center" wrapText="1"/>
    </xf>
    <xf numFmtId="0" fontId="20" fillId="11" borderId="78" xfId="0" applyFont="1" applyFill="1" applyBorder="1" applyAlignment="1">
      <alignment horizontal="center" vertical="center" wrapText="1"/>
    </xf>
    <xf numFmtId="166" fontId="17" fillId="11" borderId="78" xfId="0" applyNumberFormat="1" applyFont="1" applyFill="1" applyBorder="1" applyAlignment="1">
      <alignment vertical="center" wrapText="1"/>
    </xf>
    <xf numFmtId="166" fontId="17" fillId="11" borderId="79" xfId="0" applyNumberFormat="1" applyFont="1" applyFill="1" applyBorder="1" applyAlignment="1">
      <alignment vertical="center" wrapText="1"/>
    </xf>
    <xf numFmtId="41" fontId="20" fillId="12" borderId="80" xfId="0" applyNumberFormat="1" applyFont="1" applyFill="1" applyBorder="1" applyAlignment="1">
      <alignment vertical="center" wrapText="1"/>
    </xf>
    <xf numFmtId="0" fontId="21" fillId="2" borderId="82" xfId="0" applyFont="1" applyFill="1" applyBorder="1" applyAlignment="1">
      <alignment horizontal="center" vertical="center" wrapText="1"/>
    </xf>
    <xf numFmtId="0" fontId="22" fillId="0" borderId="78" xfId="0" applyFont="1" applyBorder="1" applyAlignment="1">
      <alignment horizontal="left" vertical="center" wrapText="1"/>
    </xf>
    <xf numFmtId="0" fontId="21" fillId="0" borderId="78" xfId="0" applyFont="1" applyBorder="1" applyAlignment="1">
      <alignment horizontal="center" vertical="center" wrapText="1"/>
    </xf>
    <xf numFmtId="166" fontId="22" fillId="0" borderId="78" xfId="0" applyNumberFormat="1" applyFont="1" applyBorder="1" applyAlignment="1">
      <alignment horizontal="left" vertical="center" wrapText="1"/>
    </xf>
    <xf numFmtId="41" fontId="21" fillId="0" borderId="80" xfId="0" applyNumberFormat="1" applyFont="1" applyBorder="1" applyAlignment="1">
      <alignment horizontal="left" vertical="center" wrapText="1"/>
    </xf>
    <xf numFmtId="0" fontId="22" fillId="2" borderId="82" xfId="0" applyFont="1" applyFill="1" applyBorder="1" applyAlignment="1">
      <alignment horizontal="center" vertical="center" wrapText="1"/>
    </xf>
    <xf numFmtId="41" fontId="20" fillId="12" borderId="81" xfId="0" applyNumberFormat="1" applyFont="1" applyFill="1" applyBorder="1" applyAlignment="1">
      <alignment vertical="center" wrapText="1"/>
    </xf>
    <xf numFmtId="41" fontId="21" fillId="0" borderId="80" xfId="0" applyNumberFormat="1" applyFont="1" applyBorder="1" applyAlignment="1">
      <alignment vertical="center" wrapText="1"/>
    </xf>
    <xf numFmtId="0" fontId="22" fillId="0" borderId="83" xfId="0" applyFont="1" applyBorder="1" applyAlignment="1">
      <alignment horizontal="left" vertical="center" wrapText="1"/>
    </xf>
    <xf numFmtId="41" fontId="21" fillId="0" borderId="78" xfId="0" applyNumberFormat="1" applyFont="1" applyBorder="1" applyAlignment="1">
      <alignment vertical="center" wrapText="1"/>
    </xf>
    <xf numFmtId="0" fontId="16" fillId="9" borderId="84" xfId="0" applyFont="1" applyFill="1" applyBorder="1" applyAlignment="1">
      <alignment vertical="center" wrapText="1"/>
    </xf>
    <xf numFmtId="0" fontId="17" fillId="9" borderId="85" xfId="0" applyFont="1" applyFill="1" applyBorder="1" applyAlignment="1">
      <alignment horizontal="center" vertical="center" wrapText="1"/>
    </xf>
    <xf numFmtId="0" fontId="20" fillId="9" borderId="86" xfId="0" applyFont="1" applyFill="1" applyBorder="1" applyAlignment="1">
      <alignment horizontal="center" vertical="center" wrapText="1"/>
    </xf>
    <xf numFmtId="164" fontId="20" fillId="9" borderId="86" xfId="0" applyNumberFormat="1" applyFont="1" applyFill="1" applyBorder="1" applyAlignment="1">
      <alignment horizontal="center" vertical="center" wrapText="1"/>
    </xf>
    <xf numFmtId="164" fontId="20" fillId="9" borderId="87" xfId="0" applyNumberFormat="1" applyFont="1" applyFill="1" applyBorder="1" applyAlignment="1">
      <alignment horizontal="center" vertical="center" wrapText="1"/>
    </xf>
    <xf numFmtId="41" fontId="20" fillId="10" borderId="88" xfId="0" applyNumberFormat="1" applyFont="1" applyFill="1" applyBorder="1" applyAlignment="1">
      <alignment vertical="center" wrapText="1"/>
    </xf>
    <xf numFmtId="41" fontId="20" fillId="10" borderId="89" xfId="0" applyNumberFormat="1" applyFont="1" applyFill="1" applyBorder="1" applyAlignment="1">
      <alignment vertical="center" wrapText="1"/>
    </xf>
    <xf numFmtId="41" fontId="0" fillId="0" borderId="0" xfId="0" applyNumberFormat="1"/>
    <xf numFmtId="0" fontId="16" fillId="0" borderId="0" xfId="0" applyFont="1"/>
    <xf numFmtId="166" fontId="17" fillId="9" borderId="78" xfId="0" applyNumberFormat="1" applyFont="1" applyFill="1" applyBorder="1" applyAlignment="1">
      <alignment horizontal="center" vertical="center"/>
    </xf>
    <xf numFmtId="166" fontId="17" fillId="9" borderId="79" xfId="0" applyNumberFormat="1" applyFont="1" applyFill="1" applyBorder="1" applyAlignment="1">
      <alignment horizontal="center" vertical="center"/>
    </xf>
    <xf numFmtId="1" fontId="17" fillId="11" borderId="78" xfId="0" applyNumberFormat="1" applyFont="1" applyFill="1" applyBorder="1" applyAlignment="1">
      <alignment horizontal="center" vertical="center"/>
    </xf>
    <xf numFmtId="166" fontId="17" fillId="11" borderId="78" xfId="0" applyNumberFormat="1" applyFont="1" applyFill="1" applyBorder="1" applyAlignment="1">
      <alignment vertical="center"/>
    </xf>
    <xf numFmtId="166" fontId="17" fillId="11" borderId="79" xfId="0" applyNumberFormat="1" applyFont="1" applyFill="1" applyBorder="1" applyAlignment="1">
      <alignment vertical="center"/>
    </xf>
    <xf numFmtId="0" fontId="17" fillId="13" borderId="78" xfId="0" applyFont="1" applyFill="1" applyBorder="1" applyAlignment="1">
      <alignment horizontal="center" vertical="center"/>
    </xf>
    <xf numFmtId="166" fontId="17" fillId="13" borderId="80" xfId="0" applyNumberFormat="1" applyFont="1" applyFill="1" applyBorder="1" applyAlignment="1">
      <alignment vertical="center"/>
    </xf>
    <xf numFmtId="164" fontId="0" fillId="0" borderId="0" xfId="0" applyNumberFormat="1"/>
    <xf numFmtId="0" fontId="23" fillId="0" borderId="82" xfId="0" applyFont="1" applyBorder="1" applyAlignment="1">
      <alignment horizontal="center" vertical="center"/>
    </xf>
    <xf numFmtId="0" fontId="23" fillId="0" borderId="78" xfId="0" applyFont="1" applyBorder="1" applyAlignment="1">
      <alignment horizontal="left" vertical="center"/>
    </xf>
    <xf numFmtId="0" fontId="23" fillId="0" borderId="78" xfId="0" applyFont="1" applyBorder="1" applyAlignment="1">
      <alignment horizontal="center" vertical="center"/>
    </xf>
    <xf numFmtId="164" fontId="23" fillId="0" borderId="78" xfId="1" applyNumberFormat="1" applyFont="1" applyBorder="1" applyAlignment="1">
      <alignment vertical="center"/>
    </xf>
    <xf numFmtId="166" fontId="23" fillId="0" borderId="78" xfId="0" applyNumberFormat="1" applyFont="1" applyBorder="1" applyAlignment="1">
      <alignment vertical="center"/>
    </xf>
    <xf numFmtId="0" fontId="24" fillId="0" borderId="95" xfId="0" applyFont="1" applyBorder="1" applyAlignment="1">
      <alignment horizontal="center" vertical="center"/>
    </xf>
    <xf numFmtId="0" fontId="24" fillId="0" borderId="78" xfId="0" applyFont="1" applyBorder="1" applyAlignment="1">
      <alignment horizontal="left" vertical="center"/>
    </xf>
    <xf numFmtId="0" fontId="24" fillId="0" borderId="78" xfId="0" applyFont="1" applyBorder="1" applyAlignment="1">
      <alignment horizontal="center" vertical="center"/>
    </xf>
    <xf numFmtId="164" fontId="24" fillId="0" borderId="78" xfId="1" applyNumberFormat="1" applyFont="1" applyBorder="1" applyAlignment="1">
      <alignment vertical="center"/>
    </xf>
    <xf numFmtId="166" fontId="24" fillId="0" borderId="78" xfId="0" applyNumberFormat="1" applyFont="1" applyBorder="1" applyAlignment="1">
      <alignment vertical="center"/>
    </xf>
    <xf numFmtId="0" fontId="24" fillId="0" borderId="96" xfId="0" applyFont="1" applyBorder="1" applyAlignment="1">
      <alignment horizontal="center" vertical="center"/>
    </xf>
    <xf numFmtId="0" fontId="24" fillId="0" borderId="76" xfId="0" applyFont="1" applyBorder="1" applyAlignment="1">
      <alignment horizontal="center" vertical="center"/>
    </xf>
    <xf numFmtId="0" fontId="24" fillId="0" borderId="78" xfId="0" applyFont="1" applyBorder="1" applyAlignment="1">
      <alignment horizontal="left" vertical="center" wrapText="1"/>
    </xf>
    <xf numFmtId="1" fontId="17" fillId="13" borderId="78" xfId="0" applyNumberFormat="1" applyFont="1" applyFill="1" applyBorder="1" applyAlignment="1">
      <alignment horizontal="center" vertical="center"/>
    </xf>
    <xf numFmtId="164" fontId="17" fillId="13" borderId="78" xfId="1" applyNumberFormat="1" applyFont="1" applyFill="1" applyBorder="1" applyAlignment="1">
      <alignment horizontal="right" vertical="center"/>
    </xf>
    <xf numFmtId="0" fontId="23" fillId="0" borderId="80" xfId="0" applyFont="1" applyBorder="1" applyAlignment="1">
      <alignment horizontal="left" vertical="center"/>
    </xf>
    <xf numFmtId="164" fontId="17" fillId="13" borderId="78" xfId="1" applyNumberFormat="1" applyFont="1" applyFill="1" applyBorder="1" applyAlignment="1">
      <alignment vertical="center"/>
    </xf>
    <xf numFmtId="0" fontId="17" fillId="11" borderId="82" xfId="0" applyFont="1" applyFill="1" applyBorder="1" applyAlignment="1">
      <alignment horizontal="left" vertical="center"/>
    </xf>
    <xf numFmtId="0" fontId="16" fillId="11" borderId="78" xfId="0" applyFont="1" applyFill="1" applyBorder="1" applyAlignment="1">
      <alignment vertical="center"/>
    </xf>
    <xf numFmtId="0" fontId="17" fillId="11" borderId="78" xfId="0" applyFont="1" applyFill="1" applyBorder="1" applyAlignment="1">
      <alignment horizontal="center" vertical="center"/>
    </xf>
    <xf numFmtId="1" fontId="17" fillId="9" borderId="85" xfId="0" applyNumberFormat="1" applyFont="1" applyFill="1" applyBorder="1" applyAlignment="1">
      <alignment horizontal="center" vertical="center"/>
    </xf>
    <xf numFmtId="164" fontId="17" fillId="9" borderId="85" xfId="1" applyNumberFormat="1" applyFont="1" applyFill="1" applyBorder="1" applyAlignment="1">
      <alignment vertical="center"/>
    </xf>
    <xf numFmtId="166" fontId="17" fillId="9" borderId="85" xfId="0" applyNumberFormat="1" applyFont="1" applyFill="1" applyBorder="1" applyAlignment="1">
      <alignment vertical="center"/>
    </xf>
    <xf numFmtId="166" fontId="17" fillId="9" borderId="87" xfId="0" applyNumberFormat="1" applyFont="1" applyFill="1" applyBorder="1" applyAlignment="1">
      <alignment vertical="center"/>
    </xf>
    <xf numFmtId="166" fontId="20" fillId="11" borderId="78" xfId="0" applyNumberFormat="1" applyFont="1" applyFill="1" applyBorder="1" applyAlignment="1">
      <alignment horizontal="center" vertical="center" wrapText="1"/>
    </xf>
    <xf numFmtId="0" fontId="21" fillId="0" borderId="82" xfId="0" applyFont="1" applyFill="1" applyBorder="1" applyAlignment="1">
      <alignment horizontal="center" vertical="center" wrapText="1"/>
    </xf>
    <xf numFmtId="166" fontId="21" fillId="0" borderId="78" xfId="0" applyNumberFormat="1" applyFont="1" applyFill="1" applyBorder="1" applyAlignment="1">
      <alignment horizontal="left" vertical="center" wrapText="1" indent="2"/>
    </xf>
    <xf numFmtId="166" fontId="21" fillId="0" borderId="78" xfId="0" applyNumberFormat="1" applyFont="1" applyFill="1" applyBorder="1" applyAlignment="1">
      <alignment horizontal="center" vertical="center" wrapText="1"/>
    </xf>
    <xf numFmtId="166" fontId="16" fillId="0" borderId="79" xfId="0" applyNumberFormat="1" applyFont="1" applyFill="1" applyBorder="1" applyAlignment="1">
      <alignment vertical="center" wrapText="1"/>
    </xf>
    <xf numFmtId="0" fontId="22" fillId="0" borderId="82" xfId="0" applyFont="1" applyFill="1" applyBorder="1" applyAlignment="1">
      <alignment horizontal="center" vertical="center" wrapText="1"/>
    </xf>
    <xf numFmtId="166" fontId="21" fillId="0" borderId="78" xfId="0" applyNumberFormat="1" applyFont="1" applyFill="1" applyBorder="1" applyAlignment="1">
      <alignment horizontal="right" vertical="center" wrapText="1"/>
    </xf>
    <xf numFmtId="41" fontId="20" fillId="11" borderId="78" xfId="0" applyNumberFormat="1" applyFont="1" applyFill="1" applyBorder="1" applyAlignment="1">
      <alignment horizontal="center" vertical="center" wrapText="1"/>
    </xf>
    <xf numFmtId="166" fontId="21" fillId="0" borderId="78" xfId="0" applyNumberFormat="1" applyFont="1" applyBorder="1" applyAlignment="1">
      <alignment horizontal="center" vertical="center" wrapText="1"/>
    </xf>
    <xf numFmtId="41" fontId="21" fillId="0" borderId="78" xfId="0" applyNumberFormat="1" applyFont="1" applyBorder="1" applyAlignment="1">
      <alignment horizontal="center" vertical="center" wrapText="1"/>
    </xf>
    <xf numFmtId="166" fontId="20" fillId="9" borderId="86" xfId="0" applyNumberFormat="1" applyFont="1" applyFill="1" applyBorder="1" applyAlignment="1">
      <alignment horizontal="center" vertical="center" wrapText="1"/>
    </xf>
    <xf numFmtId="0" fontId="4" fillId="0" borderId="0" xfId="0" applyFont="1"/>
    <xf numFmtId="0" fontId="25" fillId="0" borderId="0" xfId="0" applyFont="1" applyAlignment="1">
      <alignment vertical="center"/>
    </xf>
    <xf numFmtId="0" fontId="25" fillId="0" borderId="0" xfId="0" applyFont="1"/>
    <xf numFmtId="0" fontId="5" fillId="14" borderId="98" xfId="3" applyFont="1" applyFill="1" applyBorder="1" applyAlignment="1">
      <alignment horizontal="center" vertical="center" wrapText="1"/>
    </xf>
    <xf numFmtId="41" fontId="5" fillId="14" borderId="98" xfId="1" applyFont="1" applyFill="1" applyBorder="1" applyAlignment="1">
      <alignment horizontal="center" vertical="center" wrapText="1"/>
    </xf>
    <xf numFmtId="0" fontId="25" fillId="15" borderId="98" xfId="7" applyFont="1" applyFill="1" applyBorder="1"/>
    <xf numFmtId="41" fontId="25" fillId="0" borderId="98" xfId="0" applyNumberFormat="1" applyFont="1" applyBorder="1"/>
    <xf numFmtId="0" fontId="25" fillId="0" borderId="98" xfId="0" applyFont="1" applyBorder="1" applyAlignment="1">
      <alignment horizontal="center" vertical="center"/>
    </xf>
    <xf numFmtId="0" fontId="25" fillId="0" borderId="98" xfId="0" applyFont="1" applyBorder="1"/>
    <xf numFmtId="0" fontId="25" fillId="2" borderId="98" xfId="0" applyFont="1" applyFill="1" applyBorder="1" applyAlignment="1">
      <alignment horizontal="center" vertical="center"/>
    </xf>
    <xf numFmtId="0" fontId="25" fillId="0" borderId="98" xfId="0" applyFont="1" applyBorder="1" applyAlignment="1">
      <alignment wrapText="1"/>
    </xf>
    <xf numFmtId="0" fontId="25" fillId="0" borderId="98" xfId="0" applyFont="1" applyBorder="1" applyAlignment="1">
      <alignment horizontal="left" vertical="center" wrapText="1"/>
    </xf>
    <xf numFmtId="41" fontId="25" fillId="0" borderId="98" xfId="0" applyNumberFormat="1" applyFont="1" applyBorder="1" applyAlignment="1">
      <alignment vertical="center"/>
    </xf>
    <xf numFmtId="0" fontId="4" fillId="15" borderId="98" xfId="0" applyFont="1" applyFill="1" applyBorder="1" applyAlignment="1">
      <alignment vertical="center"/>
    </xf>
    <xf numFmtId="0" fontId="4" fillId="15" borderId="98" xfId="0" applyFont="1" applyFill="1" applyBorder="1"/>
    <xf numFmtId="41" fontId="4" fillId="15" borderId="98" xfId="0" applyNumberFormat="1" applyFont="1" applyFill="1" applyBorder="1"/>
    <xf numFmtId="0" fontId="4" fillId="15" borderId="98" xfId="0" applyFont="1" applyFill="1" applyBorder="1" applyAlignment="1">
      <alignment wrapText="1"/>
    </xf>
    <xf numFmtId="0" fontId="25" fillId="0" borderId="98" xfId="0" applyFont="1" applyBorder="1" applyAlignment="1">
      <alignment vertical="center"/>
    </xf>
    <xf numFmtId="0" fontId="4" fillId="15" borderId="98" xfId="0" applyFont="1" applyFill="1" applyBorder="1" applyAlignment="1">
      <alignment horizontal="center" vertical="center" wrapText="1"/>
    </xf>
    <xf numFmtId="41" fontId="4" fillId="14" borderId="98" xfId="5" applyNumberFormat="1" applyFont="1" applyBorder="1"/>
    <xf numFmtId="0" fontId="4" fillId="14" borderId="98" xfId="5" applyFont="1" applyBorder="1"/>
    <xf numFmtId="41" fontId="25" fillId="0" borderId="0" xfId="0" applyNumberFormat="1" applyFont="1"/>
    <xf numFmtId="0" fontId="26" fillId="0" borderId="0" xfId="0" applyFont="1"/>
    <xf numFmtId="0" fontId="25" fillId="2" borderId="98" xfId="0" applyFont="1" applyFill="1" applyBorder="1" applyAlignment="1">
      <alignment horizontal="right"/>
    </xf>
    <xf numFmtId="0" fontId="25" fillId="0" borderId="98" xfId="0" applyFont="1" applyFill="1" applyBorder="1" applyAlignment="1">
      <alignment horizontal="right"/>
    </xf>
    <xf numFmtId="0" fontId="25" fillId="0" borderId="100" xfId="0" applyFont="1" applyBorder="1" applyAlignment="1">
      <alignment horizontal="right" vertical="center"/>
    </xf>
    <xf numFmtId="0" fontId="25" fillId="0" borderId="98" xfId="0" applyFont="1" applyBorder="1" applyAlignment="1">
      <alignment horizontal="right" vertical="center"/>
    </xf>
    <xf numFmtId="41" fontId="27" fillId="16" borderId="98" xfId="6" applyNumberFormat="1" applyFont="1" applyBorder="1"/>
    <xf numFmtId="0" fontId="27" fillId="16" borderId="98" xfId="6" applyFont="1" applyBorder="1"/>
    <xf numFmtId="0" fontId="0" fillId="0" borderId="0" xfId="0" applyAlignment="1">
      <alignment horizontal="right"/>
    </xf>
    <xf numFmtId="0" fontId="25" fillId="0" borderId="0" xfId="0" applyFont="1" applyAlignment="1">
      <alignment horizontal="right"/>
    </xf>
    <xf numFmtId="0" fontId="5" fillId="14" borderId="98" xfId="3" applyFont="1" applyFill="1" applyBorder="1" applyAlignment="1">
      <alignment horizontal="right" vertical="center" wrapText="1"/>
    </xf>
    <xf numFmtId="0" fontId="4" fillId="15" borderId="98" xfId="0" applyFont="1" applyFill="1" applyBorder="1" applyAlignment="1">
      <alignment horizontal="left"/>
    </xf>
    <xf numFmtId="0" fontId="25" fillId="0" borderId="98" xfId="0" applyFont="1" applyBorder="1" applyAlignment="1">
      <alignment horizontal="right"/>
    </xf>
    <xf numFmtId="0" fontId="3" fillId="0" borderId="0" xfId="0" applyFont="1"/>
    <xf numFmtId="41" fontId="3" fillId="15" borderId="98" xfId="0" applyNumberFormat="1" applyFont="1" applyFill="1" applyBorder="1"/>
    <xf numFmtId="0" fontId="3" fillId="15" borderId="98" xfId="0" applyFont="1" applyFill="1" applyBorder="1"/>
    <xf numFmtId="0" fontId="25" fillId="0" borderId="98" xfId="0" applyFont="1" applyFill="1" applyBorder="1"/>
    <xf numFmtId="41" fontId="28" fillId="0" borderId="103" xfId="0" applyNumberFormat="1" applyFont="1" applyBorder="1" applyAlignment="1">
      <alignment horizontal="center" vertical="center" wrapText="1"/>
    </xf>
    <xf numFmtId="0" fontId="25" fillId="2" borderId="98" xfId="0" applyFont="1" applyFill="1" applyBorder="1"/>
    <xf numFmtId="41" fontId="26" fillId="14" borderId="98" xfId="5" applyNumberFormat="1" applyFont="1" applyBorder="1"/>
    <xf numFmtId="0" fontId="29" fillId="14" borderId="98" xfId="5" applyBorder="1"/>
    <xf numFmtId="41" fontId="25" fillId="2" borderId="0" xfId="0" applyNumberFormat="1" applyFont="1" applyFill="1"/>
    <xf numFmtId="17" fontId="0" fillId="0" borderId="98" xfId="0" applyNumberFormat="1" applyBorder="1"/>
    <xf numFmtId="15" fontId="25" fillId="0" borderId="98" xfId="0" applyNumberFormat="1" applyFont="1" applyBorder="1"/>
    <xf numFmtId="15" fontId="0" fillId="0" borderId="98" xfId="0" applyNumberFormat="1" applyBorder="1" applyAlignment="1">
      <alignment horizontal="right" vertical="center"/>
    </xf>
    <xf numFmtId="41" fontId="5" fillId="14" borderId="98" xfId="3" applyNumberFormat="1" applyFont="1" applyFill="1" applyBorder="1" applyAlignment="1">
      <alignment horizontal="center" vertical="center" wrapText="1"/>
    </xf>
    <xf numFmtId="0" fontId="0" fillId="0" borderId="0" xfId="0" applyAlignment="1">
      <alignment horizontal="center"/>
    </xf>
    <xf numFmtId="1" fontId="5" fillId="14" borderId="98" xfId="1" applyNumberFormat="1" applyFont="1" applyFill="1" applyBorder="1" applyAlignment="1">
      <alignment horizontal="center" vertical="center" wrapText="1"/>
    </xf>
    <xf numFmtId="41" fontId="4" fillId="0" borderId="98" xfId="0" applyNumberFormat="1" applyFont="1" applyBorder="1"/>
    <xf numFmtId="41" fontId="4" fillId="0" borderId="0" xfId="0" applyNumberFormat="1" applyFont="1"/>
    <xf numFmtId="0" fontId="4" fillId="0" borderId="98" xfId="0" applyFont="1" applyBorder="1"/>
    <xf numFmtId="0" fontId="7" fillId="0" borderId="98" xfId="3" applyFont="1" applyFill="1" applyBorder="1" applyAlignment="1">
      <alignment horizontal="center" vertical="center"/>
    </xf>
    <xf numFmtId="0" fontId="7" fillId="0" borderId="98" xfId="3" applyFont="1" applyFill="1" applyBorder="1" applyAlignment="1">
      <alignment vertical="center"/>
    </xf>
    <xf numFmtId="41" fontId="7" fillId="0" borderId="98" xfId="1" applyFont="1" applyFill="1" applyBorder="1" applyAlignment="1">
      <alignment horizontal="right" vertical="center"/>
    </xf>
    <xf numFmtId="3" fontId="30" fillId="0" borderId="98" xfId="0" applyNumberFormat="1" applyFont="1" applyFill="1" applyBorder="1" applyAlignment="1">
      <alignment horizontal="right" vertical="center" indent="1"/>
    </xf>
    <xf numFmtId="41" fontId="7" fillId="0" borderId="98" xfId="1" applyFont="1" applyFill="1" applyBorder="1" applyAlignment="1">
      <alignment horizontal="center" vertical="center"/>
    </xf>
    <xf numFmtId="1" fontId="7" fillId="0" borderId="98" xfId="1" applyNumberFormat="1" applyFont="1" applyFill="1" applyBorder="1" applyAlignment="1">
      <alignment horizontal="center" vertical="center" wrapText="1"/>
    </xf>
    <xf numFmtId="1" fontId="7" fillId="0" borderId="98" xfId="1" applyNumberFormat="1" applyFont="1" applyFill="1" applyBorder="1" applyAlignment="1">
      <alignment horizontal="center" vertical="center"/>
    </xf>
    <xf numFmtId="0" fontId="7" fillId="0" borderId="98" xfId="3" applyFont="1" applyFill="1" applyBorder="1" applyAlignment="1">
      <alignment horizontal="left" vertical="center"/>
    </xf>
    <xf numFmtId="41" fontId="7" fillId="0" borderId="98" xfId="1" applyNumberFormat="1" applyFont="1" applyFill="1" applyBorder="1" applyAlignment="1">
      <alignment horizontal="center" vertical="center"/>
    </xf>
    <xf numFmtId="1" fontId="31" fillId="2" borderId="98" xfId="1" applyNumberFormat="1" applyFont="1" applyFill="1" applyBorder="1" applyAlignment="1">
      <alignment horizontal="center" vertical="center"/>
    </xf>
    <xf numFmtId="0" fontId="7" fillId="0" borderId="98" xfId="3" applyFont="1" applyFill="1" applyBorder="1" applyAlignment="1">
      <alignment horizontal="center" vertical="center"/>
    </xf>
    <xf numFmtId="0" fontId="7" fillId="0" borderId="98" xfId="3" applyFont="1" applyFill="1" applyBorder="1" applyAlignment="1">
      <alignment horizontal="center" vertical="center"/>
    </xf>
    <xf numFmtId="1" fontId="31" fillId="0" borderId="98" xfId="1" applyNumberFormat="1" applyFont="1" applyFill="1" applyBorder="1" applyAlignment="1">
      <alignment horizontal="center" vertical="center"/>
    </xf>
    <xf numFmtId="0" fontId="7" fillId="0" borderId="0" xfId="3" applyFont="1" applyFill="1" applyBorder="1" applyAlignment="1">
      <alignment vertical="center"/>
    </xf>
    <xf numFmtId="1" fontId="7" fillId="2" borderId="98" xfId="1" applyNumberFormat="1" applyFont="1" applyFill="1" applyBorder="1" applyAlignment="1">
      <alignment horizontal="center" vertical="center"/>
    </xf>
    <xf numFmtId="0" fontId="5" fillId="0" borderId="98" xfId="3" applyFont="1" applyFill="1" applyBorder="1" applyAlignment="1">
      <alignment horizontal="left" vertical="center"/>
    </xf>
    <xf numFmtId="41" fontId="5" fillId="0" borderId="98" xfId="1" applyFont="1" applyFill="1" applyBorder="1" applyAlignment="1">
      <alignment horizontal="right" vertical="center"/>
    </xf>
    <xf numFmtId="41" fontId="5" fillId="0" borderId="98" xfId="1" applyFont="1" applyFill="1" applyBorder="1" applyAlignment="1">
      <alignment horizontal="left" vertical="center"/>
    </xf>
    <xf numFmtId="41" fontId="32" fillId="0" borderId="98" xfId="1" applyFont="1" applyFill="1" applyBorder="1" applyAlignment="1">
      <alignment horizontal="center" vertical="center"/>
    </xf>
    <xf numFmtId="0" fontId="7" fillId="0" borderId="100" xfId="3" applyFont="1" applyFill="1" applyBorder="1" applyAlignment="1">
      <alignment horizontal="center" vertical="center"/>
    </xf>
    <xf numFmtId="41" fontId="7" fillId="0" borderId="100" xfId="1" applyFont="1" applyFill="1" applyBorder="1" applyAlignment="1">
      <alignment horizontal="center" vertical="center"/>
    </xf>
    <xf numFmtId="0" fontId="7" fillId="0" borderId="98" xfId="0" applyNumberFormat="1" applyFont="1" applyFill="1" applyBorder="1" applyAlignment="1" applyProtection="1">
      <alignment horizontal="left" vertical="center"/>
    </xf>
    <xf numFmtId="41" fontId="5" fillId="0" borderId="98" xfId="0" applyNumberFormat="1" applyFont="1" applyFill="1" applyBorder="1" applyAlignment="1">
      <alignment horizontal="left" vertical="center"/>
    </xf>
    <xf numFmtId="41" fontId="6" fillId="0" borderId="98" xfId="0" applyNumberFormat="1" applyFont="1" applyFill="1" applyBorder="1" applyAlignment="1">
      <alignment horizontal="left" vertical="center"/>
    </xf>
    <xf numFmtId="41" fontId="7" fillId="8" borderId="98" xfId="0" applyNumberFormat="1" applyFont="1" applyFill="1" applyBorder="1" applyAlignment="1" applyProtection="1">
      <alignment horizontal="left" vertical="center"/>
    </xf>
    <xf numFmtId="0" fontId="7" fillId="0" borderId="98" xfId="3" applyFont="1" applyBorder="1" applyAlignment="1">
      <alignment horizontal="left" vertical="center"/>
    </xf>
    <xf numFmtId="41" fontId="7" fillId="8" borderId="98" xfId="1" applyNumberFormat="1" applyFont="1" applyFill="1" applyBorder="1" applyAlignment="1">
      <alignment horizontal="left" vertical="center"/>
    </xf>
    <xf numFmtId="168" fontId="7" fillId="8" borderId="98" xfId="1" applyNumberFormat="1" applyFont="1" applyFill="1" applyBorder="1" applyAlignment="1">
      <alignment horizontal="center" vertical="center"/>
    </xf>
    <xf numFmtId="0" fontId="7" fillId="0" borderId="98" xfId="3" applyFont="1" applyBorder="1" applyAlignment="1">
      <alignment horizontal="left" vertical="center" wrapText="1"/>
    </xf>
    <xf numFmtId="41" fontId="7" fillId="8" borderId="101" xfId="1" applyNumberFormat="1" applyFont="1" applyFill="1" applyBorder="1" applyAlignment="1">
      <alignment horizontal="left" vertical="center"/>
    </xf>
    <xf numFmtId="41" fontId="7" fillId="8" borderId="98" xfId="1" applyNumberFormat="1" applyFont="1" applyFill="1" applyBorder="1" applyAlignment="1">
      <alignment horizontal="center" vertical="center"/>
    </xf>
    <xf numFmtId="0" fontId="5" fillId="14" borderId="98" xfId="3" applyFont="1" applyFill="1" applyBorder="1" applyAlignment="1">
      <alignment horizontal="center" vertical="center"/>
    </xf>
    <xf numFmtId="41" fontId="5" fillId="14" borderId="98" xfId="1" applyNumberFormat="1" applyFont="1" applyFill="1" applyBorder="1" applyAlignment="1">
      <alignment horizontal="left" vertical="center"/>
    </xf>
    <xf numFmtId="41" fontId="5" fillId="14" borderId="101" xfId="1" applyNumberFormat="1" applyFont="1" applyFill="1" applyBorder="1" applyAlignment="1">
      <alignment horizontal="left" vertical="center"/>
    </xf>
    <xf numFmtId="168" fontId="5" fillId="14" borderId="98" xfId="1" applyNumberFormat="1" applyFont="1" applyFill="1" applyBorder="1" applyAlignment="1">
      <alignment horizontal="left" vertical="center"/>
    </xf>
    <xf numFmtId="1" fontId="7" fillId="14" borderId="98" xfId="3" applyNumberFormat="1" applyFont="1" applyFill="1"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0" fillId="0" borderId="0" xfId="0" applyAlignment="1">
      <alignment horizontal="center" vertical="center"/>
    </xf>
    <xf numFmtId="0" fontId="17" fillId="0" borderId="0" xfId="0" applyFont="1" applyAlignment="1">
      <alignment horizontal="center" vertical="center"/>
    </xf>
    <xf numFmtId="0" fontId="28" fillId="0" borderId="0" xfId="0" applyFont="1" applyAlignment="1">
      <alignment horizontal="center" vertical="center"/>
    </xf>
    <xf numFmtId="0" fontId="28" fillId="0" borderId="0" xfId="0" applyFont="1" applyAlignment="1">
      <alignment vertical="center"/>
    </xf>
    <xf numFmtId="0" fontId="28" fillId="0" borderId="0" xfId="0" applyFont="1" applyAlignment="1">
      <alignment vertical="center" wrapText="1"/>
    </xf>
    <xf numFmtId="41" fontId="28" fillId="0" borderId="0" xfId="0" applyNumberFormat="1" applyFont="1" applyAlignment="1">
      <alignment vertical="center"/>
    </xf>
    <xf numFmtId="41" fontId="31" fillId="0" borderId="0" xfId="0" applyNumberFormat="1" applyFont="1" applyAlignment="1">
      <alignment vertical="center"/>
    </xf>
    <xf numFmtId="41" fontId="33" fillId="11" borderId="109" xfId="0" applyNumberFormat="1" applyFont="1" applyFill="1" applyBorder="1" applyAlignment="1">
      <alignment horizontal="center" vertical="center" wrapText="1"/>
    </xf>
    <xf numFmtId="0" fontId="19" fillId="0" borderId="113" xfId="0" applyFont="1" applyBorder="1"/>
    <xf numFmtId="0" fontId="28" fillId="0" borderId="114" xfId="0" applyFont="1" applyBorder="1" applyAlignment="1">
      <alignment horizontal="center" vertical="center"/>
    </xf>
    <xf numFmtId="0" fontId="28" fillId="0" borderId="115" xfId="0" applyFont="1" applyBorder="1" applyAlignment="1">
      <alignment vertical="center"/>
    </xf>
    <xf numFmtId="0" fontId="28" fillId="0" borderId="115" xfId="0" applyFont="1" applyBorder="1" applyAlignment="1">
      <alignment vertical="center" wrapText="1"/>
    </xf>
    <xf numFmtId="41" fontId="28" fillId="0" borderId="116" xfId="0" applyNumberFormat="1" applyFont="1" applyBorder="1" applyAlignment="1">
      <alignment vertical="center"/>
    </xf>
    <xf numFmtId="41" fontId="28" fillId="0" borderId="117" xfId="0" applyNumberFormat="1" applyFont="1" applyBorder="1" applyAlignment="1">
      <alignment vertical="center"/>
    </xf>
    <xf numFmtId="41" fontId="31" fillId="0" borderId="117" xfId="0" applyNumberFormat="1" applyFont="1" applyBorder="1" applyAlignment="1">
      <alignment vertical="center"/>
    </xf>
    <xf numFmtId="0" fontId="33" fillId="17" borderId="118" xfId="0" applyFont="1" applyFill="1" applyBorder="1" applyAlignment="1">
      <alignment horizontal="center" vertical="center"/>
    </xf>
    <xf numFmtId="0" fontId="33" fillId="17" borderId="103" xfId="0" applyFont="1" applyFill="1" applyBorder="1" applyAlignment="1">
      <alignment vertical="center"/>
    </xf>
    <xf numFmtId="0" fontId="33" fillId="17" borderId="119" xfId="0" applyFont="1" applyFill="1" applyBorder="1" applyAlignment="1">
      <alignment vertical="center" wrapText="1"/>
    </xf>
    <xf numFmtId="41" fontId="33" fillId="17" borderId="116" xfId="0" applyNumberFormat="1" applyFont="1" applyFill="1" applyBorder="1" applyAlignment="1">
      <alignment vertical="center"/>
    </xf>
    <xf numFmtId="41" fontId="33" fillId="17" borderId="120" xfId="0" applyNumberFormat="1" applyFont="1" applyFill="1" applyBorder="1" applyAlignment="1">
      <alignment vertical="center"/>
    </xf>
    <xf numFmtId="0" fontId="35" fillId="0" borderId="121" xfId="0" applyFont="1" applyBorder="1" applyAlignment="1">
      <alignment horizontal="center" vertical="center"/>
    </xf>
    <xf numFmtId="0" fontId="35" fillId="18" borderId="122" xfId="0" applyFont="1" applyFill="1" applyBorder="1" applyAlignment="1">
      <alignment horizontal="center" vertical="center"/>
    </xf>
    <xf numFmtId="0" fontId="35" fillId="18" borderId="103" xfId="0" applyFont="1" applyFill="1" applyBorder="1" applyAlignment="1">
      <alignment vertical="center"/>
    </xf>
    <xf numFmtId="0" fontId="35" fillId="18" borderId="119" xfId="0" applyFont="1" applyFill="1" applyBorder="1" applyAlignment="1">
      <alignment vertical="center" wrapText="1"/>
    </xf>
    <xf numFmtId="41" fontId="35" fillId="18" borderId="116" xfId="0" applyNumberFormat="1" applyFont="1" applyFill="1" applyBorder="1" applyAlignment="1">
      <alignment vertical="center"/>
    </xf>
    <xf numFmtId="41" fontId="35" fillId="18" borderId="120" xfId="0" applyNumberFormat="1" applyFont="1" applyFill="1" applyBorder="1" applyAlignment="1">
      <alignment vertical="center"/>
    </xf>
    <xf numFmtId="0" fontId="0" fillId="0" borderId="123" xfId="0" applyBorder="1"/>
    <xf numFmtId="0" fontId="36" fillId="13" borderId="124" xfId="0" applyFont="1" applyFill="1" applyBorder="1" applyAlignment="1">
      <alignment horizontal="center" vertical="center"/>
    </xf>
    <xf numFmtId="0" fontId="36" fillId="13" borderId="124" xfId="0" applyFont="1" applyFill="1" applyBorder="1" applyAlignment="1">
      <alignment horizontal="left" vertical="center"/>
    </xf>
    <xf numFmtId="0" fontId="36" fillId="13" borderId="103" xfId="0" applyFont="1" applyFill="1" applyBorder="1" applyAlignment="1">
      <alignment horizontal="center" vertical="center"/>
    </xf>
    <xf numFmtId="0" fontId="0" fillId="0" borderId="125" xfId="0" applyBorder="1" applyAlignment="1">
      <alignment vertical="center"/>
    </xf>
    <xf numFmtId="0" fontId="0" fillId="0" borderId="126" xfId="0" applyBorder="1" applyAlignment="1">
      <alignment vertical="center"/>
    </xf>
    <xf numFmtId="0" fontId="0" fillId="0" borderId="125" xfId="0" applyBorder="1"/>
    <xf numFmtId="0" fontId="0" fillId="0" borderId="125" xfId="0" applyBorder="1" applyAlignment="1">
      <alignment vertical="center" wrapText="1"/>
    </xf>
    <xf numFmtId="0" fontId="0" fillId="0" borderId="126" xfId="0" applyBorder="1" applyAlignment="1">
      <alignment vertical="center" wrapText="1"/>
    </xf>
    <xf numFmtId="0" fontId="0" fillId="0" borderId="127" xfId="0" applyBorder="1" applyAlignment="1">
      <alignment vertical="center" wrapText="1"/>
    </xf>
    <xf numFmtId="0" fontId="0" fillId="0" borderId="126" xfId="0" applyBorder="1"/>
    <xf numFmtId="0" fontId="0" fillId="0" borderId="125" xfId="0" applyBorder="1" applyAlignment="1">
      <alignment horizontal="center" vertical="center"/>
    </xf>
    <xf numFmtId="0" fontId="0" fillId="0" borderId="129" xfId="0" applyBorder="1"/>
    <xf numFmtId="0" fontId="0" fillId="0" borderId="130" xfId="0" applyBorder="1"/>
    <xf numFmtId="0" fontId="36" fillId="13" borderId="115" xfId="0" applyFont="1" applyFill="1" applyBorder="1" applyAlignment="1">
      <alignment horizontal="left" vertical="center"/>
    </xf>
    <xf numFmtId="0" fontId="0" fillId="0" borderId="134" xfId="0" applyBorder="1" applyAlignment="1">
      <alignment vertical="center"/>
    </xf>
    <xf numFmtId="0" fontId="0" fillId="0" borderId="129" xfId="0" applyBorder="1" applyAlignment="1">
      <alignment vertical="center" wrapText="1"/>
    </xf>
    <xf numFmtId="0" fontId="0" fillId="0" borderId="130" xfId="0" applyBorder="1" applyAlignment="1">
      <alignment vertical="center" wrapText="1"/>
    </xf>
    <xf numFmtId="0" fontId="0" fillId="0" borderId="131" xfId="0" applyBorder="1" applyAlignment="1">
      <alignment vertical="center" wrapText="1"/>
    </xf>
    <xf numFmtId="0" fontId="0" fillId="0" borderId="123" xfId="0" applyBorder="1" applyAlignment="1">
      <alignment vertical="center"/>
    </xf>
    <xf numFmtId="0" fontId="0" fillId="0" borderId="139" xfId="0" applyBorder="1" applyAlignment="1">
      <alignment vertical="center"/>
    </xf>
    <xf numFmtId="0" fontId="0" fillId="0" borderId="129" xfId="0" applyBorder="1" applyAlignment="1">
      <alignment vertical="center"/>
    </xf>
    <xf numFmtId="0" fontId="0" fillId="0" borderId="140" xfId="0" applyBorder="1" applyAlignment="1">
      <alignment vertical="center"/>
    </xf>
    <xf numFmtId="0" fontId="0" fillId="0" borderId="130" xfId="0" applyBorder="1" applyAlignment="1">
      <alignment vertical="center"/>
    </xf>
    <xf numFmtId="0" fontId="36" fillId="13" borderId="115" xfId="0" applyFont="1" applyFill="1" applyBorder="1" applyAlignment="1">
      <alignment horizontal="center" vertical="center"/>
    </xf>
    <xf numFmtId="0" fontId="36" fillId="13" borderId="111" xfId="0" applyFont="1" applyFill="1" applyBorder="1" applyAlignment="1">
      <alignment horizontal="left" vertical="center"/>
    </xf>
    <xf numFmtId="0" fontId="0" fillId="0" borderId="140" xfId="0" applyBorder="1" applyAlignment="1">
      <alignment vertical="center" wrapText="1"/>
    </xf>
    <xf numFmtId="0" fontId="0" fillId="0" borderId="131" xfId="0" applyBorder="1" applyAlignment="1">
      <alignment vertical="center"/>
    </xf>
    <xf numFmtId="0" fontId="0" fillId="0" borderId="127" xfId="0" applyFill="1" applyBorder="1" applyAlignment="1">
      <alignment vertical="center"/>
    </xf>
    <xf numFmtId="0" fontId="0" fillId="0" borderId="127" xfId="0" applyBorder="1" applyAlignment="1">
      <alignment vertical="center"/>
    </xf>
    <xf numFmtId="0" fontId="0" fillId="0" borderId="127" xfId="0" applyFill="1" applyBorder="1" applyAlignment="1">
      <alignment horizontal="center" vertical="center"/>
    </xf>
    <xf numFmtId="0" fontId="0" fillId="0" borderId="127" xfId="0" applyBorder="1" applyAlignment="1">
      <alignment horizontal="center" vertical="center"/>
    </xf>
    <xf numFmtId="0" fontId="35" fillId="18" borderId="126" xfId="0" applyFont="1" applyFill="1" applyBorder="1" applyAlignment="1">
      <alignment horizontal="center" vertical="center"/>
    </xf>
    <xf numFmtId="0" fontId="35" fillId="18" borderId="115" xfId="0" applyFont="1" applyFill="1" applyBorder="1" applyAlignment="1">
      <alignment horizontal="left" vertical="center"/>
    </xf>
    <xf numFmtId="0" fontId="35" fillId="18" borderId="103" xfId="0" applyFont="1" applyFill="1" applyBorder="1" applyAlignment="1">
      <alignment horizontal="center" vertical="center"/>
    </xf>
    <xf numFmtId="0" fontId="0" fillId="0" borderId="146" xfId="0" applyBorder="1"/>
    <xf numFmtId="0" fontId="0" fillId="0" borderId="129" xfId="0" applyFill="1" applyBorder="1" applyAlignment="1">
      <alignment vertical="center"/>
    </xf>
    <xf numFmtId="0" fontId="36" fillId="13" borderId="126" xfId="0" applyFont="1" applyFill="1" applyBorder="1" applyAlignment="1">
      <alignment horizontal="center" vertical="center"/>
    </xf>
    <xf numFmtId="0" fontId="36" fillId="13" borderId="147" xfId="0" applyFont="1" applyFill="1" applyBorder="1" applyAlignment="1">
      <alignment horizontal="left" vertical="center"/>
    </xf>
    <xf numFmtId="0" fontId="0" fillId="0" borderId="148" xfId="0" applyBorder="1"/>
    <xf numFmtId="0" fontId="35" fillId="18" borderId="111" xfId="0" applyFont="1" applyFill="1" applyBorder="1" applyAlignment="1">
      <alignment horizontal="left" vertical="center"/>
    </xf>
    <xf numFmtId="0" fontId="35" fillId="18" borderId="149" xfId="0" applyFont="1" applyFill="1" applyBorder="1" applyAlignment="1">
      <alignment horizontal="center" vertical="center"/>
    </xf>
    <xf numFmtId="0" fontId="36" fillId="13" borderId="138" xfId="0" applyFont="1" applyFill="1" applyBorder="1" applyAlignment="1">
      <alignment horizontal="center" vertical="center"/>
    </xf>
    <xf numFmtId="0" fontId="0" fillId="0" borderId="151" xfId="0" applyBorder="1" applyAlignment="1">
      <alignment vertical="center"/>
    </xf>
    <xf numFmtId="0" fontId="35" fillId="18" borderId="147" xfId="0" applyFont="1" applyFill="1" applyBorder="1" applyAlignment="1">
      <alignment horizontal="left" vertical="center"/>
    </xf>
    <xf numFmtId="0" fontId="35" fillId="18" borderId="152" xfId="0" applyFont="1" applyFill="1" applyBorder="1" applyAlignment="1">
      <alignment horizontal="left" vertical="center"/>
    </xf>
    <xf numFmtId="0" fontId="35" fillId="18" borderId="124" xfId="0" applyFont="1" applyFill="1" applyBorder="1" applyAlignment="1">
      <alignment horizontal="center" vertical="center"/>
    </xf>
    <xf numFmtId="0" fontId="0" fillId="0" borderId="154" xfId="0" applyBorder="1" applyAlignment="1">
      <alignment vertical="center"/>
    </xf>
    <xf numFmtId="0" fontId="0" fillId="0" borderId="155" xfId="0" applyBorder="1" applyAlignment="1">
      <alignment vertical="center" wrapText="1"/>
    </xf>
    <xf numFmtId="0" fontId="33" fillId="17" borderId="114" xfId="0" applyFont="1" applyFill="1" applyBorder="1" applyAlignment="1">
      <alignment horizontal="center" vertical="center"/>
    </xf>
    <xf numFmtId="0" fontId="33" fillId="17" borderId="126" xfId="0" applyFont="1" applyFill="1" applyBorder="1" applyAlignment="1">
      <alignment vertical="center"/>
    </xf>
    <xf numFmtId="0" fontId="33" fillId="17" borderId="124" xfId="0" applyFont="1" applyFill="1" applyBorder="1" applyAlignment="1">
      <alignment vertical="center"/>
    </xf>
    <xf numFmtId="0" fontId="35" fillId="18" borderId="119" xfId="0" applyFont="1" applyFill="1" applyBorder="1" applyAlignment="1">
      <alignment horizontal="left" vertical="center"/>
    </xf>
    <xf numFmtId="0" fontId="0" fillId="0" borderId="134" xfId="0" applyBorder="1" applyAlignment="1">
      <alignment wrapText="1"/>
    </xf>
    <xf numFmtId="0" fontId="0" fillId="0" borderId="0" xfId="0" applyAlignment="1">
      <alignment wrapText="1"/>
    </xf>
    <xf numFmtId="0" fontId="0" fillId="0" borderId="129" xfId="0" applyBorder="1" applyAlignment="1">
      <alignment wrapText="1"/>
    </xf>
    <xf numFmtId="0" fontId="0" fillId="0" borderId="155" xfId="0" applyBorder="1" applyAlignment="1">
      <alignment wrapText="1"/>
    </xf>
    <xf numFmtId="0" fontId="35" fillId="18" borderId="156" xfId="0" applyFont="1" applyFill="1" applyBorder="1" applyAlignment="1">
      <alignment horizontal="left" vertical="center"/>
    </xf>
    <xf numFmtId="0" fontId="28" fillId="0" borderId="0" xfId="0" applyFont="1" applyAlignment="1">
      <alignment horizontal="center" vertical="center" wrapText="1"/>
    </xf>
    <xf numFmtId="0" fontId="33" fillId="11" borderId="124" xfId="0" applyFont="1" applyFill="1" applyBorder="1" applyAlignment="1">
      <alignment horizontal="center" vertical="center" wrapText="1"/>
    </xf>
    <xf numFmtId="41" fontId="33" fillId="11" borderId="103" xfId="0" applyNumberFormat="1" applyFont="1" applyFill="1" applyBorder="1" applyAlignment="1">
      <alignment horizontal="center" vertical="center" wrapText="1"/>
    </xf>
    <xf numFmtId="41" fontId="33" fillId="11" borderId="116" xfId="0" applyNumberFormat="1" applyFont="1" applyFill="1" applyBorder="1" applyAlignment="1">
      <alignment horizontal="center" vertical="center" wrapText="1"/>
    </xf>
    <xf numFmtId="41" fontId="28" fillId="0" borderId="161" xfId="0" applyNumberFormat="1" applyFont="1" applyBorder="1" applyAlignment="1">
      <alignment vertical="center"/>
    </xf>
    <xf numFmtId="41" fontId="28" fillId="0" borderId="162" xfId="0" applyNumberFormat="1" applyFont="1" applyBorder="1" applyAlignment="1">
      <alignment vertical="center"/>
    </xf>
    <xf numFmtId="0" fontId="28" fillId="0" borderId="143" xfId="0" applyFont="1" applyBorder="1" applyAlignment="1">
      <alignment horizontal="center" vertical="center" wrapText="1"/>
    </xf>
    <xf numFmtId="41" fontId="28" fillId="0" borderId="149" xfId="0" applyNumberFormat="1" applyFont="1" applyBorder="1" applyAlignment="1">
      <alignment vertical="center"/>
    </xf>
    <xf numFmtId="41" fontId="28" fillId="0" borderId="112" xfId="0" applyNumberFormat="1" applyFont="1" applyBorder="1" applyAlignment="1">
      <alignment vertical="center"/>
    </xf>
    <xf numFmtId="41" fontId="28" fillId="0" borderId="132" xfId="0" applyNumberFormat="1" applyFont="1" applyBorder="1" applyAlignment="1">
      <alignment vertical="center"/>
    </xf>
    <xf numFmtId="41" fontId="33" fillId="17" borderId="163" xfId="0" applyNumberFormat="1" applyFont="1" applyFill="1" applyBorder="1" applyAlignment="1">
      <alignment vertical="center"/>
    </xf>
    <xf numFmtId="41" fontId="33" fillId="17" borderId="164" xfId="0" applyNumberFormat="1" applyFont="1" applyFill="1" applyBorder="1" applyAlignment="1">
      <alignment vertical="center"/>
    </xf>
    <xf numFmtId="41" fontId="33" fillId="17" borderId="124" xfId="0" applyNumberFormat="1" applyFont="1" applyFill="1" applyBorder="1" applyAlignment="1">
      <alignment vertical="center"/>
    </xf>
    <xf numFmtId="41" fontId="33" fillId="17" borderId="103" xfId="0" applyNumberFormat="1" applyFont="1" applyFill="1" applyBorder="1" applyAlignment="1">
      <alignment vertical="center"/>
    </xf>
    <xf numFmtId="41" fontId="33" fillId="17" borderId="119" xfId="0" applyNumberFormat="1" applyFont="1" applyFill="1" applyBorder="1" applyAlignment="1">
      <alignment vertical="center"/>
    </xf>
    <xf numFmtId="41" fontId="35" fillId="18" borderId="163" xfId="0" applyNumberFormat="1" applyFont="1" applyFill="1" applyBorder="1" applyAlignment="1">
      <alignment vertical="center"/>
    </xf>
    <xf numFmtId="41" fontId="35" fillId="18" borderId="164" xfId="0" applyNumberFormat="1" applyFont="1" applyFill="1" applyBorder="1" applyAlignment="1">
      <alignment vertical="center"/>
    </xf>
    <xf numFmtId="41" fontId="35" fillId="18" borderId="124" xfId="0" applyNumberFormat="1" applyFont="1" applyFill="1" applyBorder="1" applyAlignment="1">
      <alignment vertical="center"/>
    </xf>
    <xf numFmtId="41" fontId="35" fillId="18" borderId="103" xfId="0" applyNumberFormat="1" applyFont="1" applyFill="1" applyBorder="1" applyAlignment="1">
      <alignment vertical="center"/>
    </xf>
    <xf numFmtId="41" fontId="35" fillId="18" borderId="119" xfId="0" applyNumberFormat="1" applyFont="1" applyFill="1" applyBorder="1" applyAlignment="1">
      <alignment vertical="center"/>
    </xf>
    <xf numFmtId="41" fontId="36" fillId="13" borderId="103" xfId="0" applyNumberFormat="1" applyFont="1" applyFill="1" applyBorder="1" applyAlignment="1">
      <alignment horizontal="center" vertical="center"/>
    </xf>
    <xf numFmtId="41" fontId="0" fillId="0" borderId="0" xfId="0" applyNumberFormat="1" applyAlignment="1">
      <alignment vertical="center"/>
    </xf>
    <xf numFmtId="41" fontId="0" fillId="0" borderId="0" xfId="0" applyNumberFormat="1" applyAlignment="1">
      <alignment vertical="center" wrapText="1"/>
    </xf>
    <xf numFmtId="41" fontId="0" fillId="0" borderId="134" xfId="0" applyNumberFormat="1" applyBorder="1"/>
    <xf numFmtId="41" fontId="0" fillId="0" borderId="130" xfId="0" applyNumberFormat="1" applyBorder="1"/>
    <xf numFmtId="41" fontId="7" fillId="0" borderId="127" xfId="0" applyNumberFormat="1" applyFont="1" applyBorder="1" applyAlignment="1">
      <alignment horizontal="center" vertical="center" wrapText="1"/>
    </xf>
    <xf numFmtId="41" fontId="0" fillId="0" borderId="165" xfId="0" applyNumberFormat="1" applyBorder="1"/>
    <xf numFmtId="41" fontId="0" fillId="0" borderId="153" xfId="0" applyNumberFormat="1" applyBorder="1" applyAlignment="1">
      <alignment vertical="center" wrapText="1"/>
    </xf>
    <xf numFmtId="41" fontId="0" fillId="0" borderId="148" xfId="0" applyNumberFormat="1" applyBorder="1" applyAlignment="1">
      <alignment vertical="center" wrapText="1"/>
    </xf>
    <xf numFmtId="41" fontId="0" fillId="0" borderId="123" xfId="0" applyNumberFormat="1" applyBorder="1" applyAlignment="1">
      <alignment vertical="center"/>
    </xf>
    <xf numFmtId="41" fontId="0" fillId="0" borderId="129" xfId="0" applyNumberFormat="1" applyBorder="1" applyAlignment="1">
      <alignment vertical="center"/>
    </xf>
    <xf numFmtId="41" fontId="0" fillId="0" borderId="166" xfId="0" applyNumberFormat="1" applyBorder="1" applyAlignment="1">
      <alignment vertical="center"/>
    </xf>
    <xf numFmtId="41" fontId="0" fillId="0" borderId="153" xfId="0" applyNumberFormat="1" applyBorder="1" applyAlignment="1">
      <alignment vertical="center"/>
    </xf>
    <xf numFmtId="41" fontId="0" fillId="0" borderId="141" xfId="0" applyNumberFormat="1" applyBorder="1" applyAlignment="1">
      <alignment vertical="center"/>
    </xf>
    <xf numFmtId="41" fontId="0" fillId="0" borderId="127" xfId="0" applyNumberFormat="1" applyBorder="1" applyAlignment="1">
      <alignment vertical="center"/>
    </xf>
    <xf numFmtId="41" fontId="0" fillId="0" borderId="127" xfId="0" applyNumberFormat="1" applyBorder="1" applyAlignment="1">
      <alignment horizontal="center" vertical="center"/>
    </xf>
    <xf numFmtId="41" fontId="35" fillId="18" borderId="103" xfId="0" applyNumberFormat="1" applyFont="1" applyFill="1" applyBorder="1" applyAlignment="1">
      <alignment horizontal="center" vertical="center"/>
    </xf>
    <xf numFmtId="41" fontId="36" fillId="13" borderId="167" xfId="0" applyNumberFormat="1" applyFont="1" applyFill="1" applyBorder="1" applyAlignment="1">
      <alignment horizontal="center" vertical="center"/>
    </xf>
    <xf numFmtId="41" fontId="0" fillId="0" borderId="129" xfId="0" applyNumberFormat="1" applyBorder="1"/>
    <xf numFmtId="0" fontId="35" fillId="18" borderId="132" xfId="0" applyFont="1" applyFill="1" applyBorder="1" applyAlignment="1">
      <alignment horizontal="center" vertical="center"/>
    </xf>
    <xf numFmtId="41" fontId="35" fillId="18" borderId="168" xfId="0" applyNumberFormat="1" applyFont="1" applyFill="1" applyBorder="1" applyAlignment="1">
      <alignment horizontal="center" vertical="center"/>
    </xf>
    <xf numFmtId="41" fontId="0" fillId="0" borderId="150" xfId="0" applyNumberFormat="1" applyBorder="1" applyAlignment="1">
      <alignment vertical="center"/>
    </xf>
    <xf numFmtId="41" fontId="0" fillId="0" borderId="133" xfId="0" applyNumberFormat="1" applyBorder="1" applyAlignment="1">
      <alignment vertical="center"/>
    </xf>
    <xf numFmtId="41" fontId="35" fillId="18" borderId="115" xfId="0" applyNumberFormat="1" applyFont="1" applyFill="1" applyBorder="1" applyAlignment="1">
      <alignment horizontal="left" vertical="center"/>
    </xf>
    <xf numFmtId="41" fontId="0" fillId="0" borderId="133" xfId="0" applyNumberFormat="1" applyBorder="1" applyAlignment="1">
      <alignment vertical="center" wrapText="1"/>
    </xf>
    <xf numFmtId="41" fontId="0" fillId="0" borderId="169" xfId="0" applyNumberFormat="1" applyBorder="1"/>
    <xf numFmtId="41" fontId="0" fillId="0" borderId="153" xfId="0" applyNumberFormat="1" applyBorder="1"/>
    <xf numFmtId="41" fontId="0" fillId="0" borderId="148" xfId="0" applyNumberFormat="1" applyBorder="1"/>
    <xf numFmtId="0" fontId="33" fillId="11" borderId="103" xfId="0" applyFont="1" applyFill="1" applyBorder="1" applyAlignment="1">
      <alignment horizontal="center" vertical="center" wrapText="1"/>
    </xf>
    <xf numFmtId="41" fontId="33" fillId="11" borderId="163" xfId="0" applyNumberFormat="1" applyFont="1" applyFill="1" applyBorder="1" applyAlignment="1">
      <alignment horizontal="center" vertical="center" wrapText="1"/>
    </xf>
    <xf numFmtId="41" fontId="28" fillId="0" borderId="173" xfId="0" applyNumberFormat="1" applyFont="1" applyBorder="1" applyAlignment="1">
      <alignment vertical="center"/>
    </xf>
    <xf numFmtId="41" fontId="28" fillId="0" borderId="143" xfId="0" applyNumberFormat="1" applyFont="1" applyBorder="1" applyAlignment="1">
      <alignment vertical="center"/>
    </xf>
    <xf numFmtId="41" fontId="28" fillId="0" borderId="174" xfId="0" applyNumberFormat="1" applyFont="1" applyBorder="1" applyAlignment="1">
      <alignment horizontal="center" vertical="center"/>
    </xf>
    <xf numFmtId="41" fontId="33" fillId="17" borderId="103" xfId="0" applyNumberFormat="1" applyFont="1" applyFill="1" applyBorder="1" applyAlignment="1">
      <alignment horizontal="left" vertical="center"/>
    </xf>
    <xf numFmtId="41" fontId="33" fillId="17" borderId="175" xfId="0" applyNumberFormat="1" applyFont="1" applyFill="1" applyBorder="1" applyAlignment="1">
      <alignment horizontal="left" vertical="center"/>
    </xf>
    <xf numFmtId="41" fontId="33" fillId="17" borderId="163" xfId="0" applyNumberFormat="1" applyFont="1" applyFill="1" applyBorder="1" applyAlignment="1">
      <alignment horizontal="center" vertical="center"/>
    </xf>
    <xf numFmtId="41" fontId="35" fillId="18" borderId="103" xfId="0" applyNumberFormat="1" applyFont="1" applyFill="1" applyBorder="1" applyAlignment="1">
      <alignment horizontal="left" vertical="center"/>
    </xf>
    <xf numFmtId="41" fontId="35" fillId="18" borderId="175" xfId="0" applyNumberFormat="1" applyFont="1" applyFill="1" applyBorder="1" applyAlignment="1">
      <alignment horizontal="left" vertical="center"/>
    </xf>
    <xf numFmtId="41" fontId="35" fillId="18" borderId="163" xfId="0" applyNumberFormat="1" applyFont="1" applyFill="1" applyBorder="1" applyAlignment="1">
      <alignment horizontal="center" vertical="center"/>
    </xf>
    <xf numFmtId="41" fontId="0" fillId="0" borderId="126" xfId="0" applyNumberFormat="1" applyBorder="1" applyAlignment="1">
      <alignment vertical="center"/>
    </xf>
    <xf numFmtId="41" fontId="0" fillId="0" borderId="127" xfId="0" applyNumberFormat="1" applyBorder="1" applyAlignment="1">
      <alignment vertical="center" wrapText="1"/>
    </xf>
    <xf numFmtId="41" fontId="0" fillId="0" borderId="126" xfId="0" applyNumberFormat="1" applyBorder="1" applyAlignment="1">
      <alignment vertical="center" wrapText="1"/>
    </xf>
    <xf numFmtId="41" fontId="0" fillId="0" borderId="156" xfId="0" applyNumberFormat="1" applyBorder="1" applyAlignment="1">
      <alignment vertical="center" wrapText="1"/>
    </xf>
    <xf numFmtId="0" fontId="36" fillId="13" borderId="119" xfId="0" applyFont="1" applyFill="1" applyBorder="1" applyAlignment="1">
      <alignment horizontal="center" vertical="center"/>
    </xf>
    <xf numFmtId="0" fontId="36" fillId="13" borderId="123" xfId="0" applyFont="1" applyFill="1" applyBorder="1" applyAlignment="1">
      <alignment horizontal="center" vertical="center"/>
    </xf>
    <xf numFmtId="0" fontId="36" fillId="13" borderId="139" xfId="0" applyFont="1" applyFill="1" applyBorder="1" applyAlignment="1">
      <alignment horizontal="center" vertical="center"/>
    </xf>
    <xf numFmtId="41" fontId="0" fillId="0" borderId="126" xfId="0" applyNumberFormat="1" applyBorder="1"/>
    <xf numFmtId="41" fontId="0" fillId="0" borderId="154" xfId="0" applyNumberFormat="1" applyBorder="1"/>
    <xf numFmtId="0" fontId="0" fillId="0" borderId="139" xfId="0" applyBorder="1"/>
    <xf numFmtId="41" fontId="0" fillId="0" borderId="140" xfId="0" applyNumberFormat="1" applyBorder="1"/>
    <xf numFmtId="0" fontId="0" fillId="0" borderId="0" xfId="0" applyBorder="1" applyAlignment="1">
      <alignment vertical="center"/>
    </xf>
    <xf numFmtId="41" fontId="28" fillId="0" borderId="126" xfId="0" applyNumberFormat="1" applyFont="1" applyBorder="1" applyAlignment="1">
      <alignment horizontal="left" vertical="center" wrapText="1"/>
    </xf>
    <xf numFmtId="41" fontId="0" fillId="0" borderId="166" xfId="0" applyNumberFormat="1" applyBorder="1"/>
    <xf numFmtId="41" fontId="0" fillId="0" borderId="123" xfId="0" applyNumberFormat="1" applyBorder="1"/>
    <xf numFmtId="41" fontId="7" fillId="0" borderId="129" xfId="0" applyNumberFormat="1" applyFont="1" applyBorder="1" applyAlignment="1">
      <alignment horizontal="left" vertical="center" wrapText="1"/>
    </xf>
    <xf numFmtId="41" fontId="28" fillId="0" borderId="140" xfId="0" applyNumberFormat="1" applyFont="1" applyBorder="1" applyAlignment="1">
      <alignment horizontal="left" vertical="center" wrapText="1"/>
    </xf>
    <xf numFmtId="0" fontId="0" fillId="0" borderId="151" xfId="0" applyBorder="1" applyAlignment="1">
      <alignment vertical="center" wrapText="1"/>
    </xf>
    <xf numFmtId="41" fontId="7" fillId="0" borderId="151" xfId="0" applyNumberFormat="1" applyFont="1" applyBorder="1" applyAlignment="1">
      <alignment horizontal="left" vertical="center" wrapText="1"/>
    </xf>
    <xf numFmtId="41" fontId="28" fillId="0" borderId="176" xfId="0" applyNumberFormat="1" applyFont="1" applyBorder="1" applyAlignment="1">
      <alignment horizontal="left" vertical="center" wrapText="1"/>
    </xf>
    <xf numFmtId="0" fontId="0" fillId="0" borderId="177" xfId="0" applyBorder="1" applyAlignment="1">
      <alignment vertical="center"/>
    </xf>
    <xf numFmtId="41" fontId="7" fillId="0" borderId="178" xfId="1" applyFont="1" applyBorder="1" applyAlignment="1">
      <alignment horizontal="left" vertical="center"/>
    </xf>
    <xf numFmtId="41" fontId="28" fillId="0" borderId="179" xfId="0" applyNumberFormat="1" applyFont="1" applyBorder="1" applyAlignment="1">
      <alignment horizontal="left" vertical="center" wrapText="1"/>
    </xf>
    <xf numFmtId="41" fontId="7" fillId="0" borderId="153" xfId="1" applyFont="1" applyBorder="1" applyAlignment="1">
      <alignment horizontal="left" vertical="center"/>
    </xf>
    <xf numFmtId="41" fontId="28" fillId="0" borderId="129" xfId="0" applyNumberFormat="1" applyFont="1" applyBorder="1" applyAlignment="1">
      <alignment horizontal="left" vertical="center" wrapText="1"/>
    </xf>
    <xf numFmtId="0" fontId="36" fillId="13" borderId="180" xfId="0" applyFont="1" applyFill="1" applyBorder="1" applyAlignment="1">
      <alignment horizontal="left" vertical="center"/>
    </xf>
    <xf numFmtId="0" fontId="0" fillId="0" borderId="146" xfId="0" applyBorder="1" applyAlignment="1">
      <alignment vertical="center"/>
    </xf>
    <xf numFmtId="41" fontId="0" fillId="0" borderId="123" xfId="0" applyNumberFormat="1" applyBorder="1" applyAlignment="1">
      <alignment vertical="center" wrapText="1"/>
    </xf>
    <xf numFmtId="41" fontId="0" fillId="0" borderId="129" xfId="0" applyNumberFormat="1" applyBorder="1" applyAlignment="1">
      <alignment vertical="center" wrapText="1"/>
    </xf>
    <xf numFmtId="41" fontId="0" fillId="0" borderId="140" xfId="0" applyNumberFormat="1" applyBorder="1" applyAlignment="1">
      <alignment vertical="center" wrapText="1"/>
    </xf>
    <xf numFmtId="41" fontId="0" fillId="0" borderId="125" xfId="0" applyNumberFormat="1" applyBorder="1" applyAlignment="1">
      <alignment vertical="center"/>
    </xf>
    <xf numFmtId="41" fontId="0" fillId="0" borderId="176" xfId="0" applyNumberFormat="1" applyBorder="1" applyAlignment="1">
      <alignment vertical="center" wrapText="1"/>
    </xf>
    <xf numFmtId="0" fontId="0" fillId="0" borderId="181" xfId="0" applyBorder="1" applyAlignment="1">
      <alignment vertical="center"/>
    </xf>
    <xf numFmtId="41" fontId="0" fillId="0" borderId="151" xfId="0" applyNumberFormat="1" applyBorder="1" applyAlignment="1">
      <alignment vertical="center"/>
    </xf>
    <xf numFmtId="0" fontId="0" fillId="0" borderId="176" xfId="0" applyBorder="1" applyAlignment="1">
      <alignment vertical="center" wrapText="1"/>
    </xf>
    <xf numFmtId="41" fontId="0" fillId="0" borderId="126" xfId="0" applyNumberFormat="1" applyBorder="1" applyAlignment="1">
      <alignment horizontal="center" vertical="center"/>
    </xf>
    <xf numFmtId="0" fontId="0" fillId="0" borderId="176" xfId="0" applyBorder="1" applyAlignment="1">
      <alignment horizontal="center" vertical="center" wrapText="1"/>
    </xf>
    <xf numFmtId="0" fontId="35" fillId="18" borderId="119" xfId="0" applyFont="1" applyFill="1" applyBorder="1" applyAlignment="1">
      <alignment horizontal="center" vertical="center"/>
    </xf>
    <xf numFmtId="0" fontId="35" fillId="18" borderId="182" xfId="0" applyFont="1" applyFill="1" applyBorder="1" applyAlignment="1">
      <alignment horizontal="center" vertical="center"/>
    </xf>
    <xf numFmtId="0" fontId="35" fillId="18" borderId="183" xfId="0" applyFont="1" applyFill="1" applyBorder="1" applyAlignment="1">
      <alignment horizontal="center" vertical="center"/>
    </xf>
    <xf numFmtId="0" fontId="36" fillId="13" borderId="182" xfId="0" applyFont="1" applyFill="1" applyBorder="1" applyAlignment="1">
      <alignment horizontal="center" vertical="center"/>
    </xf>
    <xf numFmtId="0" fontId="36" fillId="13" borderId="183" xfId="0" applyFont="1" applyFill="1" applyBorder="1" applyAlignment="1">
      <alignment horizontal="center" vertical="center"/>
    </xf>
    <xf numFmtId="41" fontId="0" fillId="0" borderId="146" xfId="0" applyNumberFormat="1" applyBorder="1"/>
    <xf numFmtId="0" fontId="0" fillId="0" borderId="176" xfId="0" applyBorder="1" applyAlignment="1">
      <alignment wrapText="1"/>
    </xf>
    <xf numFmtId="0" fontId="36" fillId="13" borderId="128" xfId="0" applyFont="1" applyFill="1" applyBorder="1" applyAlignment="1">
      <alignment horizontal="center" vertical="center"/>
    </xf>
    <xf numFmtId="0" fontId="36" fillId="13" borderId="146" xfId="0" applyFont="1" applyFill="1" applyBorder="1" applyAlignment="1">
      <alignment horizontal="center" vertical="center"/>
    </xf>
    <xf numFmtId="0" fontId="36" fillId="13" borderId="152" xfId="0" applyFont="1" applyFill="1" applyBorder="1" applyAlignment="1">
      <alignment horizontal="center" vertical="center"/>
    </xf>
    <xf numFmtId="0" fontId="0" fillId="0" borderId="153" xfId="0" applyBorder="1"/>
    <xf numFmtId="0" fontId="35" fillId="18" borderId="184" xfId="0" applyFont="1" applyFill="1" applyBorder="1" applyAlignment="1">
      <alignment horizontal="center" vertical="center"/>
    </xf>
    <xf numFmtId="0" fontId="35" fillId="18" borderId="151" xfId="0" applyFont="1" applyFill="1" applyBorder="1" applyAlignment="1">
      <alignment horizontal="center" vertical="center"/>
    </xf>
    <xf numFmtId="0" fontId="35" fillId="18" borderId="180" xfId="0" applyFont="1" applyFill="1" applyBorder="1" applyAlignment="1">
      <alignment horizontal="center" vertical="center"/>
    </xf>
    <xf numFmtId="41" fontId="0" fillId="0" borderId="156" xfId="0" applyNumberFormat="1" applyBorder="1" applyAlignment="1">
      <alignment vertical="center"/>
    </xf>
    <xf numFmtId="0" fontId="33" fillId="17" borderId="119" xfId="0" applyFont="1" applyFill="1" applyBorder="1" applyAlignment="1">
      <alignment vertical="center"/>
    </xf>
    <xf numFmtId="0" fontId="33" fillId="17" borderId="182" xfId="0" applyFont="1" applyFill="1" applyBorder="1" applyAlignment="1">
      <alignment vertical="center"/>
    </xf>
    <xf numFmtId="0" fontId="33" fillId="17" borderId="183" xfId="0" applyFont="1" applyFill="1" applyBorder="1" applyAlignment="1">
      <alignment vertical="center"/>
    </xf>
    <xf numFmtId="0" fontId="35" fillId="18" borderId="134" xfId="0" applyFont="1" applyFill="1" applyBorder="1" applyAlignment="1">
      <alignment horizontal="left" vertical="center"/>
    </xf>
    <xf numFmtId="0" fontId="35" fillId="18" borderId="150" xfId="0" applyFont="1" applyFill="1" applyBorder="1" applyAlignment="1">
      <alignment horizontal="left" vertical="center"/>
    </xf>
    <xf numFmtId="0" fontId="36" fillId="13" borderId="149" xfId="0" applyFont="1" applyFill="1" applyBorder="1" applyAlignment="1">
      <alignment horizontal="center" vertical="center"/>
    </xf>
    <xf numFmtId="0" fontId="36" fillId="13" borderId="185" xfId="0" applyFont="1" applyFill="1" applyBorder="1" applyAlignment="1">
      <alignment horizontal="center" vertical="center"/>
    </xf>
    <xf numFmtId="0" fontId="35" fillId="18" borderId="126" xfId="0" applyFont="1" applyFill="1" applyBorder="1" applyAlignment="1">
      <alignment horizontal="left" vertical="center"/>
    </xf>
    <xf numFmtId="0" fontId="36" fillId="13" borderId="122" xfId="0" applyFont="1" applyFill="1" applyBorder="1" applyAlignment="1">
      <alignment horizontal="center" vertical="center"/>
    </xf>
    <xf numFmtId="0" fontId="0" fillId="0" borderId="156" xfId="0" applyBorder="1"/>
    <xf numFmtId="0" fontId="0" fillId="0" borderId="131" xfId="0" applyBorder="1"/>
    <xf numFmtId="0" fontId="35" fillId="18" borderId="127" xfId="0" applyFont="1" applyFill="1" applyBorder="1" applyAlignment="1">
      <alignment horizontal="left" vertical="center"/>
    </xf>
    <xf numFmtId="0" fontId="36" fillId="13" borderId="127" xfId="0" applyFont="1" applyFill="1" applyBorder="1" applyAlignment="1">
      <alignment horizontal="center" vertical="center"/>
    </xf>
    <xf numFmtId="0" fontId="28" fillId="0" borderId="0" xfId="0" applyFont="1" applyAlignment="1">
      <alignment horizontal="left" vertical="center" wrapText="1"/>
    </xf>
    <xf numFmtId="0" fontId="33" fillId="11" borderId="119" xfId="0" applyFont="1" applyFill="1" applyBorder="1" applyAlignment="1">
      <alignment horizontal="center" vertical="center" wrapText="1"/>
    </xf>
    <xf numFmtId="41" fontId="33" fillId="11" borderId="175" xfId="0" applyNumberFormat="1" applyFont="1" applyFill="1" applyBorder="1" applyAlignment="1">
      <alignment horizontal="center" vertical="center" wrapText="1"/>
    </xf>
    <xf numFmtId="0" fontId="28" fillId="0" borderId="187" xfId="0" applyFont="1" applyBorder="1" applyAlignment="1">
      <alignment horizontal="center" vertical="center" wrapText="1"/>
    </xf>
    <xf numFmtId="0" fontId="28" fillId="0" borderId="185" xfId="0" applyFont="1" applyBorder="1" applyAlignment="1">
      <alignment horizontal="center" vertical="center" wrapText="1"/>
    </xf>
    <xf numFmtId="0" fontId="28" fillId="0" borderId="137" xfId="0" applyFont="1" applyBorder="1" applyAlignment="1">
      <alignment horizontal="center" vertical="center" wrapText="1"/>
    </xf>
    <xf numFmtId="0" fontId="28" fillId="0" borderId="188" xfId="0" applyFont="1" applyBorder="1" applyAlignment="1">
      <alignment horizontal="left" vertical="center" wrapText="1"/>
    </xf>
    <xf numFmtId="41" fontId="33" fillId="17" borderId="124" xfId="0" applyNumberFormat="1" applyFont="1" applyFill="1" applyBorder="1" applyAlignment="1">
      <alignment horizontal="center" wrapText="1"/>
    </xf>
    <xf numFmtId="41" fontId="33" fillId="17" borderId="103" xfId="0" applyNumberFormat="1" applyFont="1" applyFill="1" applyBorder="1" applyAlignment="1">
      <alignment horizontal="center" wrapText="1"/>
    </xf>
    <xf numFmtId="41" fontId="33" fillId="17" borderId="119" xfId="0" applyNumberFormat="1" applyFont="1" applyFill="1" applyBorder="1" applyAlignment="1">
      <alignment horizontal="center" wrapText="1"/>
    </xf>
    <xf numFmtId="41" fontId="33" fillId="17" borderId="175" xfId="0" applyNumberFormat="1" applyFont="1" applyFill="1" applyBorder="1" applyAlignment="1">
      <alignment horizontal="left" wrapText="1"/>
    </xf>
    <xf numFmtId="41" fontId="35" fillId="18" borderId="124" xfId="0" applyNumberFormat="1" applyFont="1" applyFill="1" applyBorder="1" applyAlignment="1">
      <alignment horizontal="center" wrapText="1"/>
    </xf>
    <xf numFmtId="41" fontId="35" fillId="18" borderId="103" xfId="0" applyNumberFormat="1" applyFont="1" applyFill="1" applyBorder="1" applyAlignment="1">
      <alignment horizontal="center" wrapText="1"/>
    </xf>
    <xf numFmtId="41" fontId="35" fillId="18" borderId="119" xfId="0" applyNumberFormat="1" applyFont="1" applyFill="1" applyBorder="1" applyAlignment="1">
      <alignment horizontal="center" wrapText="1"/>
    </xf>
    <xf numFmtId="41" fontId="35" fillId="18" borderId="175" xfId="0" applyNumberFormat="1" applyFont="1" applyFill="1" applyBorder="1" applyAlignment="1">
      <alignment horizontal="left" wrapText="1"/>
    </xf>
    <xf numFmtId="0" fontId="0" fillId="0" borderId="151" xfId="0" applyBorder="1"/>
    <xf numFmtId="0" fontId="0" fillId="0" borderId="153" xfId="0" applyBorder="1" applyAlignment="1">
      <alignment wrapText="1"/>
    </xf>
    <xf numFmtId="0" fontId="0" fillId="0" borderId="127" xfId="0" applyBorder="1" applyAlignment="1">
      <alignment wrapText="1"/>
    </xf>
    <xf numFmtId="0" fontId="0" fillId="0" borderId="127" xfId="0" applyBorder="1"/>
    <xf numFmtId="0" fontId="0" fillId="0" borderId="181" xfId="0" applyBorder="1"/>
    <xf numFmtId="0" fontId="0" fillId="0" borderId="140" xfId="0" applyBorder="1"/>
    <xf numFmtId="0" fontId="35" fillId="18" borderId="132" xfId="0" applyFont="1" applyFill="1" applyBorder="1" applyAlignment="1">
      <alignment horizontal="left" vertical="center"/>
    </xf>
    <xf numFmtId="0" fontId="35" fillId="18" borderId="146" xfId="0" applyFont="1" applyFill="1" applyBorder="1" applyAlignment="1">
      <alignment horizontal="center" vertical="center"/>
    </xf>
    <xf numFmtId="0" fontId="35" fillId="18" borderId="0" xfId="0" applyFont="1" applyFill="1" applyBorder="1" applyAlignment="1">
      <alignment horizontal="left" vertical="center"/>
    </xf>
    <xf numFmtId="0" fontId="35" fillId="18" borderId="137" xfId="0" applyFont="1" applyFill="1" applyBorder="1" applyAlignment="1">
      <alignment horizontal="left" vertical="center"/>
    </xf>
    <xf numFmtId="0" fontId="36" fillId="13" borderId="140" xfId="0" applyFont="1" applyFill="1" applyBorder="1" applyAlignment="1">
      <alignment horizontal="center" vertical="center"/>
    </xf>
    <xf numFmtId="0" fontId="36" fillId="13" borderId="189" xfId="0" applyFont="1" applyFill="1" applyBorder="1" applyAlignment="1">
      <alignment horizontal="center" vertical="center"/>
    </xf>
    <xf numFmtId="0" fontId="36" fillId="13" borderId="190" xfId="0" applyFont="1" applyFill="1" applyBorder="1" applyAlignment="1">
      <alignment horizontal="center" vertical="center"/>
    </xf>
    <xf numFmtId="0" fontId="26" fillId="0" borderId="153" xfId="0" applyFont="1" applyBorder="1"/>
    <xf numFmtId="0" fontId="26" fillId="0" borderId="130" xfId="0" applyFont="1" applyBorder="1"/>
    <xf numFmtId="41" fontId="0" fillId="0" borderId="127" xfId="0" applyNumberFormat="1" applyBorder="1"/>
    <xf numFmtId="41" fontId="35" fillId="18" borderId="150" xfId="0" applyNumberFormat="1" applyFont="1" applyFill="1" applyBorder="1" applyAlignment="1">
      <alignment horizontal="left" vertical="center"/>
    </xf>
    <xf numFmtId="41" fontId="36" fillId="13" borderId="149" xfId="0" applyNumberFormat="1" applyFont="1" applyFill="1" applyBorder="1" applyAlignment="1">
      <alignment horizontal="center" vertical="center"/>
    </xf>
    <xf numFmtId="41" fontId="35" fillId="18" borderId="111" xfId="0" applyNumberFormat="1" applyFont="1" applyFill="1" applyBorder="1" applyAlignment="1">
      <alignment horizontal="left" vertical="center"/>
    </xf>
    <xf numFmtId="41" fontId="35" fillId="18" borderId="147" xfId="0" applyNumberFormat="1" applyFont="1" applyFill="1" applyBorder="1" applyAlignment="1">
      <alignment horizontal="left" vertical="center"/>
    </xf>
    <xf numFmtId="41" fontId="36" fillId="13" borderId="190" xfId="0" applyNumberFormat="1" applyFont="1" applyFill="1" applyBorder="1" applyAlignment="1">
      <alignment horizontal="center" vertical="center"/>
    </xf>
    <xf numFmtId="41" fontId="26" fillId="0" borderId="130" xfId="0" applyNumberFormat="1" applyFont="1" applyBorder="1"/>
    <xf numFmtId="0" fontId="0" fillId="0" borderId="166" xfId="0" applyBorder="1"/>
    <xf numFmtId="0" fontId="35" fillId="18" borderId="191" xfId="0" applyFont="1" applyFill="1" applyBorder="1" applyAlignment="1">
      <alignment horizontal="left" vertical="center"/>
    </xf>
    <xf numFmtId="0" fontId="36" fillId="13" borderId="165" xfId="0" applyFont="1" applyFill="1" applyBorder="1" applyAlignment="1">
      <alignment horizontal="center" vertical="center"/>
    </xf>
    <xf numFmtId="0" fontId="36" fillId="13" borderId="148" xfId="0" applyFont="1" applyFill="1" applyBorder="1" applyAlignment="1">
      <alignment horizontal="center" vertical="center"/>
    </xf>
    <xf numFmtId="0" fontId="36" fillId="13" borderId="134" xfId="0" applyFont="1" applyFill="1" applyBorder="1" applyAlignment="1">
      <alignment horizontal="center" vertical="center"/>
    </xf>
    <xf numFmtId="41" fontId="0" fillId="0" borderId="141" xfId="0" applyNumberFormat="1" applyBorder="1"/>
    <xf numFmtId="41" fontId="0" fillId="0" borderId="125" xfId="0" applyNumberFormat="1" applyBorder="1" applyAlignment="1">
      <alignment wrapText="1"/>
    </xf>
    <xf numFmtId="0" fontId="36" fillId="13" borderId="192" xfId="0" applyFont="1" applyFill="1" applyBorder="1" applyAlignment="1">
      <alignment horizontal="center" vertical="center"/>
    </xf>
    <xf numFmtId="0" fontId="0" fillId="0" borderId="177" xfId="0" applyBorder="1"/>
    <xf numFmtId="0" fontId="26" fillId="0" borderId="129" xfId="0" applyFont="1" applyBorder="1"/>
    <xf numFmtId="0" fontId="35" fillId="0" borderId="193" xfId="0" applyFont="1" applyBorder="1" applyAlignment="1">
      <alignment horizontal="center" vertical="center"/>
    </xf>
    <xf numFmtId="0" fontId="0" fillId="0" borderId="176" xfId="0" applyBorder="1"/>
    <xf numFmtId="0" fontId="0" fillId="0" borderId="176" xfId="0" applyBorder="1" applyAlignment="1">
      <alignment vertical="center"/>
    </xf>
    <xf numFmtId="0" fontId="36" fillId="13" borderId="128" xfId="0" applyFont="1" applyFill="1" applyBorder="1" applyAlignment="1">
      <alignment vertical="center"/>
    </xf>
    <xf numFmtId="0" fontId="36" fillId="13" borderId="138" xfId="0" applyFont="1" applyFill="1" applyBorder="1" applyAlignment="1">
      <alignment vertical="center"/>
    </xf>
    <xf numFmtId="0" fontId="0" fillId="0" borderId="180" xfId="0" applyBorder="1" applyAlignment="1">
      <alignment vertical="center"/>
    </xf>
    <xf numFmtId="0" fontId="35" fillId="0" borderId="194" xfId="0" applyFont="1" applyBorder="1" applyAlignment="1">
      <alignment horizontal="center" vertical="center"/>
    </xf>
    <xf numFmtId="0" fontId="35" fillId="18" borderId="115" xfId="0" applyFont="1" applyFill="1" applyBorder="1" applyAlignment="1">
      <alignment horizontal="center" vertical="center"/>
    </xf>
    <xf numFmtId="0" fontId="35" fillId="18" borderId="115" xfId="0" applyFont="1" applyFill="1" applyBorder="1" applyAlignment="1">
      <alignment vertical="center"/>
    </xf>
    <xf numFmtId="0" fontId="35" fillId="18" borderId="124" xfId="0" applyFont="1" applyFill="1" applyBorder="1" applyAlignment="1">
      <alignment vertical="center"/>
    </xf>
    <xf numFmtId="0" fontId="35" fillId="18" borderId="132" xfId="0" applyFont="1" applyFill="1" applyBorder="1" applyAlignment="1">
      <alignment vertical="center" wrapText="1"/>
    </xf>
    <xf numFmtId="41" fontId="35" fillId="18" borderId="115" xfId="0" applyNumberFormat="1" applyFont="1" applyFill="1" applyBorder="1" applyAlignment="1">
      <alignment vertical="center"/>
    </xf>
    <xf numFmtId="0" fontId="33" fillId="17" borderId="149" xfId="0" applyFont="1" applyFill="1" applyBorder="1" applyAlignment="1">
      <alignment vertical="center"/>
    </xf>
    <xf numFmtId="0" fontId="35" fillId="18" borderId="128" xfId="0" applyFont="1" applyFill="1" applyBorder="1" applyAlignment="1">
      <alignment horizontal="center" vertical="center"/>
    </xf>
    <xf numFmtId="0" fontId="0" fillId="0" borderId="169" xfId="0" applyBorder="1"/>
    <xf numFmtId="0" fontId="0" fillId="0" borderId="166" xfId="0" applyBorder="1" applyAlignment="1">
      <alignment vertical="center" wrapText="1"/>
    </xf>
    <xf numFmtId="0" fontId="0" fillId="0" borderId="153" xfId="0" applyBorder="1" applyAlignment="1">
      <alignment vertical="center" wrapText="1"/>
    </xf>
    <xf numFmtId="0" fontId="35" fillId="18" borderId="128" xfId="0" applyFont="1" applyFill="1" applyBorder="1" applyAlignment="1">
      <alignment horizontal="left" vertical="center"/>
    </xf>
    <xf numFmtId="0" fontId="36" fillId="13" borderId="196" xfId="0" applyFont="1" applyFill="1" applyBorder="1" applyAlignment="1">
      <alignment horizontal="center" vertical="center"/>
    </xf>
    <xf numFmtId="0" fontId="0" fillId="0" borderId="131" xfId="0" applyBorder="1" applyAlignment="1">
      <alignment wrapText="1"/>
    </xf>
    <xf numFmtId="41" fontId="36" fillId="13" borderId="122" xfId="0" applyNumberFormat="1" applyFont="1" applyFill="1" applyBorder="1" applyAlignment="1">
      <alignment horizontal="center" vertical="center"/>
    </xf>
    <xf numFmtId="41" fontId="0" fillId="0" borderId="169" xfId="0" applyNumberFormat="1" applyBorder="1" applyAlignment="1">
      <alignment vertical="center"/>
    </xf>
    <xf numFmtId="0" fontId="36" fillId="13" borderId="147" xfId="0" applyFont="1" applyFill="1" applyBorder="1" applyAlignment="1">
      <alignment horizontal="center" vertical="center"/>
    </xf>
    <xf numFmtId="41" fontId="0" fillId="0" borderId="134" xfId="0" applyNumberFormat="1" applyBorder="1" applyAlignment="1">
      <alignment vertical="center"/>
    </xf>
    <xf numFmtId="41" fontId="35" fillId="18" borderId="143" xfId="0" applyNumberFormat="1" applyFont="1" applyFill="1" applyBorder="1" applyAlignment="1">
      <alignment vertical="center"/>
    </xf>
    <xf numFmtId="41" fontId="18" fillId="17" borderId="168" xfId="0" applyNumberFormat="1" applyFont="1" applyFill="1" applyBorder="1" applyAlignment="1">
      <alignment vertical="center"/>
    </xf>
    <xf numFmtId="41" fontId="35" fillId="18" borderId="127" xfId="0" applyNumberFormat="1" applyFont="1" applyFill="1" applyBorder="1" applyAlignment="1">
      <alignment horizontal="left" vertical="center"/>
    </xf>
    <xf numFmtId="41" fontId="0" fillId="0" borderId="125" xfId="0" applyNumberFormat="1" applyBorder="1"/>
    <xf numFmtId="41" fontId="35" fillId="18" borderId="126" xfId="0" applyNumberFormat="1" applyFont="1" applyFill="1" applyBorder="1" applyAlignment="1">
      <alignment horizontal="left" vertical="center"/>
    </xf>
    <xf numFmtId="41" fontId="36" fillId="13" borderId="182" xfId="0" applyNumberFormat="1" applyFont="1" applyFill="1" applyBorder="1" applyAlignment="1">
      <alignment horizontal="center" vertical="center"/>
    </xf>
    <xf numFmtId="41" fontId="35" fillId="18" borderId="165" xfId="0" applyNumberFormat="1" applyFont="1" applyFill="1" applyBorder="1" applyAlignment="1">
      <alignment horizontal="left" vertical="center"/>
    </xf>
    <xf numFmtId="0" fontId="36" fillId="13" borderId="197" xfId="0" applyFont="1" applyFill="1" applyBorder="1" applyAlignment="1">
      <alignment horizontal="center" vertical="center"/>
    </xf>
    <xf numFmtId="41" fontId="36" fillId="13" borderId="198" xfId="0" applyNumberFormat="1" applyFont="1" applyFill="1" applyBorder="1" applyAlignment="1">
      <alignment horizontal="center" vertical="center"/>
    </xf>
    <xf numFmtId="41" fontId="26" fillId="0" borderId="153" xfId="0" applyNumberFormat="1" applyFont="1" applyBorder="1"/>
    <xf numFmtId="41" fontId="28" fillId="0" borderId="0" xfId="0" applyNumberFormat="1" applyFont="1" applyAlignment="1">
      <alignment horizontal="center" vertical="center"/>
    </xf>
    <xf numFmtId="0" fontId="19" fillId="0" borderId="113" xfId="0" applyFont="1" applyBorder="1" applyAlignment="1">
      <alignment horizontal="center"/>
    </xf>
    <xf numFmtId="41" fontId="28" fillId="0" borderId="132" xfId="0" applyNumberFormat="1" applyFont="1" applyBorder="1" applyAlignment="1">
      <alignment horizontal="center" vertical="center"/>
    </xf>
    <xf numFmtId="41" fontId="33" fillId="17" borderId="103" xfId="0" applyNumberFormat="1" applyFont="1" applyFill="1" applyBorder="1" applyAlignment="1">
      <alignment horizontal="center" vertical="center"/>
    </xf>
    <xf numFmtId="41" fontId="0" fillId="0" borderId="123" xfId="0" applyNumberFormat="1" applyBorder="1" applyAlignment="1">
      <alignment horizontal="center" vertical="center"/>
    </xf>
    <xf numFmtId="0" fontId="0" fillId="0" borderId="129" xfId="0" applyBorder="1" applyAlignment="1">
      <alignment horizontal="center" vertical="center" wrapText="1"/>
    </xf>
    <xf numFmtId="0" fontId="0" fillId="0" borderId="0" xfId="0" applyBorder="1"/>
    <xf numFmtId="41" fontId="0" fillId="0" borderId="125" xfId="0" applyNumberFormat="1" applyBorder="1" applyAlignment="1">
      <alignment horizontal="center"/>
    </xf>
    <xf numFmtId="41" fontId="0" fillId="0" borderId="131" xfId="0" applyNumberFormat="1" applyBorder="1" applyAlignment="1">
      <alignment horizontal="center" vertical="center"/>
    </xf>
    <xf numFmtId="41" fontId="7" fillId="0" borderId="4" xfId="1" applyFont="1" applyBorder="1" applyAlignment="1">
      <alignment horizontal="left" vertical="center"/>
    </xf>
    <xf numFmtId="41" fontId="28" fillId="0" borderId="183" xfId="0" applyNumberFormat="1" applyFont="1" applyBorder="1" applyAlignment="1">
      <alignment horizontal="left" vertical="center" wrapText="1"/>
    </xf>
    <xf numFmtId="41" fontId="35" fillId="18" borderId="149" xfId="0" applyNumberFormat="1" applyFont="1" applyFill="1" applyBorder="1" applyAlignment="1">
      <alignment vertical="center"/>
    </xf>
    <xf numFmtId="41" fontId="35" fillId="18" borderId="132" xfId="0" applyNumberFormat="1" applyFont="1" applyFill="1" applyBorder="1" applyAlignment="1">
      <alignment horizontal="center" vertical="center"/>
    </xf>
    <xf numFmtId="41" fontId="35" fillId="18" borderId="124" xfId="0" applyNumberFormat="1" applyFont="1" applyFill="1" applyBorder="1" applyAlignment="1">
      <alignment horizontal="left" vertical="center"/>
    </xf>
    <xf numFmtId="41" fontId="35" fillId="18" borderId="119" xfId="0" applyNumberFormat="1" applyFont="1" applyFill="1" applyBorder="1" applyAlignment="1">
      <alignment horizontal="left" vertical="center"/>
    </xf>
    <xf numFmtId="41" fontId="35" fillId="18" borderId="0" xfId="0" applyNumberFormat="1" applyFont="1" applyFill="1" applyBorder="1" applyAlignment="1">
      <alignment vertical="center"/>
    </xf>
    <xf numFmtId="41" fontId="35" fillId="18" borderId="0" xfId="0" applyNumberFormat="1" applyFont="1" applyFill="1" applyBorder="1" applyAlignment="1">
      <alignment horizontal="center" vertical="center"/>
    </xf>
    <xf numFmtId="41" fontId="0" fillId="0" borderId="129" xfId="0" applyNumberFormat="1" applyBorder="1" applyAlignment="1">
      <alignment horizontal="center" vertical="center" wrapText="1"/>
    </xf>
    <xf numFmtId="0" fontId="33" fillId="17" borderId="184" xfId="0" applyFont="1" applyFill="1" applyBorder="1" applyAlignment="1">
      <alignment horizontal="center" vertical="center"/>
    </xf>
    <xf numFmtId="0" fontId="35" fillId="18" borderId="133" xfId="0" applyFont="1" applyFill="1" applyBorder="1" applyAlignment="1">
      <alignment horizontal="center" vertical="center"/>
    </xf>
    <xf numFmtId="0" fontId="36" fillId="13" borderId="179" xfId="0" applyFont="1" applyFill="1" applyBorder="1" applyAlignment="1">
      <alignment horizontal="center" vertical="center"/>
    </xf>
    <xf numFmtId="41" fontId="0" fillId="0" borderId="140" xfId="0" applyNumberFormat="1" applyBorder="1" applyAlignment="1">
      <alignment horizontal="center" vertical="center" wrapText="1"/>
    </xf>
    <xf numFmtId="41" fontId="0" fillId="0" borderId="130" xfId="0" applyNumberFormat="1" applyBorder="1" applyAlignment="1">
      <alignment vertical="center" wrapText="1"/>
    </xf>
    <xf numFmtId="41" fontId="0" fillId="0" borderId="176" xfId="0" applyNumberFormat="1" applyBorder="1" applyAlignment="1">
      <alignment horizontal="center"/>
    </xf>
    <xf numFmtId="41" fontId="0" fillId="0" borderId="125" xfId="0" applyNumberFormat="1" applyBorder="1" applyAlignment="1">
      <alignment horizontal="left"/>
    </xf>
    <xf numFmtId="0" fontId="35" fillId="18" borderId="133" xfId="0" applyFont="1" applyFill="1" applyBorder="1" applyAlignment="1">
      <alignment horizontal="left" vertical="center"/>
    </xf>
    <xf numFmtId="0" fontId="36" fillId="13" borderId="133" xfId="0" applyFont="1" applyFill="1" applyBorder="1" applyAlignment="1">
      <alignment horizontal="center" vertical="center"/>
    </xf>
    <xf numFmtId="41" fontId="0" fillId="0" borderId="154" xfId="0" applyNumberFormat="1" applyBorder="1" applyAlignment="1">
      <alignment horizontal="center"/>
    </xf>
    <xf numFmtId="0" fontId="35" fillId="18" borderId="146" xfId="0" applyFont="1" applyFill="1" applyBorder="1" applyAlignment="1">
      <alignment horizontal="left" vertical="center"/>
    </xf>
    <xf numFmtId="0" fontId="36" fillId="13" borderId="154" xfId="0" applyFont="1" applyFill="1" applyBorder="1" applyAlignment="1">
      <alignment horizontal="center" vertical="center"/>
    </xf>
    <xf numFmtId="0" fontId="36" fillId="13" borderId="136" xfId="0" applyFont="1" applyFill="1" applyBorder="1" applyAlignment="1">
      <alignment horizontal="center" vertical="center"/>
    </xf>
    <xf numFmtId="0" fontId="36" fillId="13" borderId="199" xfId="0" applyFont="1" applyFill="1" applyBorder="1" applyAlignment="1">
      <alignment horizontal="center" vertical="center"/>
    </xf>
    <xf numFmtId="41" fontId="0" fillId="0" borderId="131" xfId="0" applyNumberFormat="1" applyBorder="1" applyAlignment="1">
      <alignment horizontal="center"/>
    </xf>
    <xf numFmtId="0" fontId="0" fillId="0" borderId="181" xfId="0" applyBorder="1" applyAlignment="1">
      <alignment vertical="center" wrapText="1"/>
    </xf>
    <xf numFmtId="41" fontId="0" fillId="0" borderId="129" xfId="0" applyNumberFormat="1" applyBorder="1" applyAlignment="1">
      <alignment horizontal="center"/>
    </xf>
    <xf numFmtId="41" fontId="0" fillId="0" borderId="125" xfId="0" applyNumberFormat="1" applyBorder="1" applyAlignment="1">
      <alignment horizontal="center" vertical="center"/>
    </xf>
    <xf numFmtId="41" fontId="0" fillId="0" borderId="125" xfId="0" applyNumberFormat="1" applyBorder="1" applyAlignment="1">
      <alignment vertical="center" wrapText="1"/>
    </xf>
    <xf numFmtId="0" fontId="26" fillId="0" borderId="129" xfId="0" applyFont="1" applyBorder="1" applyAlignment="1">
      <alignment horizontal="center"/>
    </xf>
    <xf numFmtId="41" fontId="35" fillId="18" borderId="0" xfId="0" applyNumberFormat="1" applyFont="1" applyFill="1" applyBorder="1" applyAlignment="1">
      <alignment horizontal="center" wrapText="1"/>
    </xf>
    <xf numFmtId="41" fontId="35" fillId="18" borderId="0" xfId="0" applyNumberFormat="1" applyFont="1" applyFill="1" applyBorder="1" applyAlignment="1">
      <alignment horizontal="left" wrapText="1"/>
    </xf>
    <xf numFmtId="0" fontId="0" fillId="0" borderId="146" xfId="0" applyBorder="1" applyAlignment="1">
      <alignment vertical="center" wrapText="1"/>
    </xf>
    <xf numFmtId="0" fontId="0" fillId="0" borderId="134" xfId="0" applyBorder="1" applyAlignment="1">
      <alignment vertical="center" wrapText="1"/>
    </xf>
    <xf numFmtId="0" fontId="0" fillId="0" borderId="0" xfId="0" applyAlignment="1"/>
    <xf numFmtId="0" fontId="33" fillId="17" borderId="200" xfId="0" applyFont="1" applyFill="1" applyBorder="1" applyAlignment="1">
      <alignment horizontal="center" vertical="center"/>
    </xf>
    <xf numFmtId="0" fontId="0" fillId="0" borderId="125" xfId="0" applyBorder="1" applyAlignment="1">
      <alignment wrapText="1"/>
    </xf>
    <xf numFmtId="0" fontId="0" fillId="0" borderId="152" xfId="0" applyFill="1" applyBorder="1" applyAlignment="1">
      <alignment vertical="center" wrapText="1"/>
    </xf>
    <xf numFmtId="0" fontId="0" fillId="0" borderId="154" xfId="0" applyBorder="1" applyAlignment="1">
      <alignment wrapText="1"/>
    </xf>
    <xf numFmtId="0" fontId="35" fillId="18" borderId="180" xfId="0" applyFont="1" applyFill="1" applyBorder="1" applyAlignment="1">
      <alignment horizontal="left" vertical="center"/>
    </xf>
    <xf numFmtId="0" fontId="26" fillId="0" borderId="181" xfId="0" applyFont="1" applyBorder="1"/>
    <xf numFmtId="41" fontId="0" fillId="0" borderId="152" xfId="0" applyNumberFormat="1" applyBorder="1" applyAlignment="1">
      <alignment vertical="center"/>
    </xf>
    <xf numFmtId="41" fontId="0" fillId="0" borderId="140" xfId="0" applyNumberFormat="1" applyBorder="1" applyAlignment="1">
      <alignment vertical="center"/>
    </xf>
    <xf numFmtId="41" fontId="36" fillId="13" borderId="201" xfId="0" applyNumberFormat="1" applyFont="1" applyFill="1" applyBorder="1" applyAlignment="1">
      <alignment horizontal="center" vertical="center"/>
    </xf>
    <xf numFmtId="41" fontId="0" fillId="0" borderId="166" xfId="0" applyNumberFormat="1" applyBorder="1" applyAlignment="1">
      <alignment vertical="center" wrapText="1"/>
    </xf>
    <xf numFmtId="41" fontId="26" fillId="0" borderId="141" xfId="0" applyNumberFormat="1" applyFont="1" applyBorder="1"/>
    <xf numFmtId="41" fontId="0" fillId="0" borderId="130" xfId="0" applyNumberFormat="1" applyBorder="1" applyAlignment="1">
      <alignment vertical="center"/>
    </xf>
    <xf numFmtId="0" fontId="36" fillId="13" borderId="187" xfId="0" applyFont="1" applyFill="1" applyBorder="1" applyAlignment="1">
      <alignment horizontal="center" vertical="center"/>
    </xf>
    <xf numFmtId="0" fontId="0" fillId="0" borderId="139" xfId="0" applyBorder="1" applyAlignment="1">
      <alignment vertical="center" wrapText="1"/>
    </xf>
    <xf numFmtId="41" fontId="0" fillId="0" borderId="169" xfId="0" applyNumberFormat="1" applyBorder="1" applyAlignment="1">
      <alignment vertical="center" wrapText="1"/>
    </xf>
    <xf numFmtId="41" fontId="0" fillId="0" borderId="176" xfId="0" applyNumberFormat="1" applyBorder="1"/>
    <xf numFmtId="41" fontId="0" fillId="0" borderId="151" xfId="0" applyNumberFormat="1" applyBorder="1"/>
    <xf numFmtId="41" fontId="0" fillId="0" borderId="133" xfId="0" applyNumberFormat="1" applyBorder="1"/>
    <xf numFmtId="41" fontId="0" fillId="0" borderId="127" xfId="0" applyNumberFormat="1" applyBorder="1" applyAlignment="1">
      <alignment wrapText="1"/>
    </xf>
    <xf numFmtId="0" fontId="0" fillId="0" borderId="146" xfId="0" applyBorder="1" applyAlignment="1">
      <alignment wrapText="1"/>
    </xf>
    <xf numFmtId="41" fontId="0" fillId="0" borderId="140" xfId="0" applyNumberFormat="1" applyBorder="1" applyAlignment="1">
      <alignment wrapText="1"/>
    </xf>
    <xf numFmtId="0" fontId="26" fillId="0" borderId="131" xfId="0" applyFont="1" applyBorder="1"/>
    <xf numFmtId="0" fontId="26" fillId="0" borderId="142" xfId="0" applyFont="1" applyBorder="1"/>
    <xf numFmtId="0" fontId="35" fillId="18" borderId="122" xfId="0" applyFont="1" applyFill="1" applyBorder="1" applyAlignment="1">
      <alignment vertical="center"/>
    </xf>
    <xf numFmtId="0" fontId="35" fillId="18" borderId="128" xfId="0" applyFont="1" applyFill="1" applyBorder="1" applyAlignment="1">
      <alignment vertical="center" wrapText="1"/>
    </xf>
    <xf numFmtId="0" fontId="36" fillId="13" borderId="198" xfId="0" applyFont="1" applyFill="1" applyBorder="1" applyAlignment="1">
      <alignment horizontal="center" vertical="center"/>
    </xf>
    <xf numFmtId="0" fontId="36" fillId="13" borderId="143" xfId="0" applyFont="1" applyFill="1" applyBorder="1" applyAlignment="1">
      <alignment horizontal="center" vertical="center"/>
    </xf>
    <xf numFmtId="0" fontId="0" fillId="0" borderId="126" xfId="0" applyBorder="1" applyAlignment="1"/>
    <xf numFmtId="0" fontId="35" fillId="18" borderId="126" xfId="0" applyFont="1" applyFill="1" applyBorder="1" applyAlignment="1">
      <alignment vertical="center"/>
    </xf>
    <xf numFmtId="0" fontId="35" fillId="18" borderId="183" xfId="0" applyFont="1" applyFill="1" applyBorder="1" applyAlignment="1">
      <alignment vertical="center" wrapText="1"/>
    </xf>
    <xf numFmtId="41" fontId="35" fillId="18" borderId="202" xfId="0" applyNumberFormat="1" applyFont="1" applyFill="1" applyBorder="1" applyAlignment="1">
      <alignment vertical="center"/>
    </xf>
    <xf numFmtId="0" fontId="0" fillId="0" borderId="166" xfId="0" applyBorder="1" applyAlignment="1">
      <alignment vertical="center"/>
    </xf>
    <xf numFmtId="0" fontId="35" fillId="18" borderId="183" xfId="0" applyFont="1" applyFill="1" applyBorder="1" applyAlignment="1">
      <alignment horizontal="left" vertical="center"/>
    </xf>
    <xf numFmtId="0" fontId="0" fillId="0" borderId="123" xfId="0" applyBorder="1" applyAlignment="1">
      <alignment wrapText="1"/>
    </xf>
    <xf numFmtId="41" fontId="0" fillId="0" borderId="131" xfId="0" applyNumberFormat="1" applyBorder="1"/>
    <xf numFmtId="41" fontId="26" fillId="0" borderId="131" xfId="0" applyNumberFormat="1" applyFont="1" applyBorder="1"/>
    <xf numFmtId="41" fontId="0" fillId="0" borderId="177" xfId="0" applyNumberFormat="1" applyBorder="1" applyAlignment="1">
      <alignment vertical="center" wrapText="1"/>
    </xf>
    <xf numFmtId="0" fontId="36" fillId="13" borderId="132" xfId="0" applyFont="1" applyFill="1" applyBorder="1" applyAlignment="1">
      <alignment horizontal="center" vertical="center"/>
    </xf>
    <xf numFmtId="0" fontId="36" fillId="13" borderId="151" xfId="0" applyFont="1" applyFill="1" applyBorder="1" applyAlignment="1">
      <alignment horizontal="center" vertical="center"/>
    </xf>
    <xf numFmtId="0" fontId="0" fillId="0" borderId="0" xfId="0" applyBorder="1" applyAlignment="1">
      <alignment vertical="center" wrapText="1"/>
    </xf>
    <xf numFmtId="41" fontId="7" fillId="0" borderId="166" xfId="0" applyNumberFormat="1" applyFont="1" applyBorder="1" applyAlignment="1">
      <alignment horizontal="left" vertical="center" wrapText="1"/>
    </xf>
    <xf numFmtId="41" fontId="35" fillId="18" borderId="182" xfId="0" applyNumberFormat="1" applyFont="1" applyFill="1" applyBorder="1" applyAlignment="1">
      <alignment horizontal="left" vertical="center"/>
    </xf>
    <xf numFmtId="41" fontId="35" fillId="18" borderId="183" xfId="0" applyNumberFormat="1" applyFont="1" applyFill="1" applyBorder="1" applyAlignment="1">
      <alignment horizontal="left" vertical="center"/>
    </xf>
    <xf numFmtId="41" fontId="7" fillId="0" borderId="126" xfId="0" applyNumberFormat="1" applyFont="1" applyBorder="1" applyAlignment="1">
      <alignment horizontal="left" vertical="center" wrapText="1"/>
    </xf>
    <xf numFmtId="0" fontId="35" fillId="18" borderId="167" xfId="0" applyFont="1" applyFill="1" applyBorder="1" applyAlignment="1">
      <alignment horizontal="center" vertical="center"/>
    </xf>
    <xf numFmtId="0" fontId="35" fillId="18" borderId="179" xfId="0" applyFont="1" applyFill="1" applyBorder="1" applyAlignment="1">
      <alignment horizontal="center" vertical="center"/>
    </xf>
    <xf numFmtId="41" fontId="0" fillId="0" borderId="151" xfId="0" applyNumberFormat="1" applyBorder="1" applyAlignment="1">
      <alignment vertical="center" wrapText="1"/>
    </xf>
    <xf numFmtId="0" fontId="33" fillId="17" borderId="203" xfId="0" applyFont="1" applyFill="1" applyBorder="1" applyAlignment="1">
      <alignment vertical="center"/>
    </xf>
    <xf numFmtId="0" fontId="33" fillId="17" borderId="204" xfId="0" applyFont="1" applyFill="1" applyBorder="1" applyAlignment="1">
      <alignment vertical="center"/>
    </xf>
    <xf numFmtId="0" fontId="0" fillId="0" borderId="177" xfId="0" applyBorder="1" applyAlignment="1">
      <alignment vertical="center" wrapText="1"/>
    </xf>
    <xf numFmtId="41" fontId="0" fillId="0" borderId="142" xfId="0" applyNumberFormat="1" applyBorder="1"/>
    <xf numFmtId="41" fontId="33" fillId="11" borderId="119" xfId="0" applyNumberFormat="1" applyFont="1" applyFill="1" applyBorder="1" applyAlignment="1">
      <alignment horizontal="center" vertical="center" wrapText="1"/>
    </xf>
    <xf numFmtId="0" fontId="28" fillId="0" borderId="137" xfId="0" applyFont="1" applyBorder="1" applyAlignment="1">
      <alignment horizontal="left" vertical="center" wrapText="1"/>
    </xf>
    <xf numFmtId="41" fontId="33" fillId="17" borderId="119" xfId="0" applyNumberFormat="1" applyFont="1" applyFill="1" applyBorder="1" applyAlignment="1">
      <alignment horizontal="left" wrapText="1"/>
    </xf>
    <xf numFmtId="41" fontId="35" fillId="18" borderId="119" xfId="0" applyNumberFormat="1" applyFont="1" applyFill="1" applyBorder="1" applyAlignment="1">
      <alignment horizontal="left" wrapText="1"/>
    </xf>
    <xf numFmtId="41" fontId="35" fillId="18" borderId="183" xfId="0" applyNumberFormat="1" applyFont="1" applyFill="1" applyBorder="1" applyAlignment="1">
      <alignment horizontal="left" wrapText="1"/>
    </xf>
    <xf numFmtId="0" fontId="0" fillId="0" borderId="142" xfId="0" applyBorder="1"/>
    <xf numFmtId="0" fontId="33" fillId="17" borderId="122" xfId="0" applyFont="1" applyFill="1" applyBorder="1" applyAlignment="1">
      <alignment vertical="center"/>
    </xf>
    <xf numFmtId="0" fontId="35" fillId="18" borderId="154" xfId="0" applyFont="1" applyFill="1" applyBorder="1" applyAlignment="1">
      <alignment horizontal="center" vertical="center"/>
    </xf>
    <xf numFmtId="0" fontId="0" fillId="0" borderId="130" xfId="0" applyBorder="1" applyAlignment="1">
      <alignment wrapText="1"/>
    </xf>
    <xf numFmtId="0" fontId="0" fillId="0" borderId="142" xfId="0" applyBorder="1" applyAlignment="1">
      <alignment vertical="center"/>
    </xf>
    <xf numFmtId="0" fontId="0" fillId="0" borderId="145" xfId="0" applyBorder="1" applyAlignment="1">
      <alignment vertical="center" wrapText="1"/>
    </xf>
    <xf numFmtId="0" fontId="0" fillId="0" borderId="133" xfId="0" applyBorder="1" applyAlignment="1">
      <alignment vertical="center"/>
    </xf>
    <xf numFmtId="0" fontId="0" fillId="0" borderId="156" xfId="0" applyBorder="1" applyAlignment="1">
      <alignment vertical="center"/>
    </xf>
    <xf numFmtId="0" fontId="0" fillId="0" borderId="142" xfId="0" applyBorder="1" applyAlignment="1">
      <alignment wrapText="1"/>
    </xf>
    <xf numFmtId="0" fontId="0" fillId="0" borderId="123" xfId="0" applyBorder="1" applyAlignment="1">
      <alignment vertical="center" wrapText="1"/>
    </xf>
    <xf numFmtId="0" fontId="0" fillId="0" borderId="189" xfId="0" applyBorder="1"/>
    <xf numFmtId="0" fontId="0" fillId="0" borderId="203" xfId="0" applyBorder="1"/>
    <xf numFmtId="0" fontId="0" fillId="0" borderId="165" xfId="0" applyBorder="1" applyAlignment="1">
      <alignment vertical="center" wrapText="1"/>
    </xf>
    <xf numFmtId="0" fontId="36" fillId="13" borderId="137" xfId="0" applyFont="1" applyFill="1" applyBorder="1" applyAlignment="1">
      <alignment horizontal="center" vertical="center"/>
    </xf>
    <xf numFmtId="41" fontId="36" fillId="13" borderId="205" xfId="0" applyNumberFormat="1" applyFont="1" applyFill="1" applyBorder="1" applyAlignment="1">
      <alignment horizontal="center" vertical="center"/>
    </xf>
    <xf numFmtId="41" fontId="7" fillId="0" borderId="141" xfId="0" applyNumberFormat="1" applyFont="1" applyBorder="1" applyAlignment="1">
      <alignment horizontal="center" vertical="center" wrapText="1"/>
    </xf>
    <xf numFmtId="41" fontId="7" fillId="0" borderId="166" xfId="0" applyNumberFormat="1" applyFont="1" applyBorder="1" applyAlignment="1">
      <alignment horizontal="center" vertical="center" wrapText="1"/>
    </xf>
    <xf numFmtId="41" fontId="35" fillId="18" borderId="182" xfId="0" applyNumberFormat="1" applyFont="1" applyFill="1" applyBorder="1" applyAlignment="1">
      <alignment horizontal="center" vertical="center"/>
    </xf>
    <xf numFmtId="41" fontId="33" fillId="17" borderId="182" xfId="0" applyNumberFormat="1" applyFont="1" applyFill="1" applyBorder="1" applyAlignment="1">
      <alignment vertical="center"/>
    </xf>
    <xf numFmtId="0" fontId="36" fillId="13" borderId="201" xfId="0" applyFont="1" applyFill="1" applyBorder="1" applyAlignment="1">
      <alignment horizontal="center" vertical="center"/>
    </xf>
    <xf numFmtId="0" fontId="36" fillId="13" borderId="125" xfId="0" applyFont="1" applyFill="1" applyBorder="1" applyAlignment="1">
      <alignment horizontal="center" vertical="center"/>
    </xf>
    <xf numFmtId="41" fontId="7" fillId="0" borderId="156" xfId="0" applyNumberFormat="1" applyFont="1" applyBorder="1" applyAlignment="1">
      <alignment horizontal="left" vertical="center" wrapText="1"/>
    </xf>
    <xf numFmtId="41" fontId="28" fillId="0" borderId="156" xfId="0" applyNumberFormat="1" applyFont="1" applyBorder="1" applyAlignment="1">
      <alignment horizontal="left" vertical="center" wrapText="1"/>
    </xf>
    <xf numFmtId="41" fontId="0" fillId="0" borderId="0" xfId="0" applyNumberFormat="1" applyBorder="1"/>
    <xf numFmtId="41" fontId="7" fillId="0" borderId="18" xfId="1" applyFont="1" applyBorder="1" applyAlignment="1">
      <alignment horizontal="left" vertical="center" wrapText="1"/>
    </xf>
    <xf numFmtId="41" fontId="28" fillId="0" borderId="173" xfId="0" applyNumberFormat="1" applyFont="1" applyBorder="1" applyAlignment="1">
      <alignment horizontal="left" vertical="center" wrapText="1"/>
    </xf>
    <xf numFmtId="41" fontId="0" fillId="0" borderId="123" xfId="0" applyNumberFormat="1" applyBorder="1" applyAlignment="1">
      <alignment horizontal="left" vertical="center" wrapText="1"/>
    </xf>
    <xf numFmtId="41" fontId="0" fillId="0" borderId="142" xfId="0" applyNumberFormat="1" applyBorder="1" applyAlignment="1">
      <alignment vertical="center" wrapText="1"/>
    </xf>
    <xf numFmtId="0" fontId="33" fillId="17" borderId="143" xfId="0" applyFont="1" applyFill="1" applyBorder="1" applyAlignment="1">
      <alignment vertical="center"/>
    </xf>
    <xf numFmtId="0" fontId="33" fillId="17" borderId="128" xfId="0" applyFont="1" applyFill="1" applyBorder="1" applyAlignment="1">
      <alignment vertical="center" wrapText="1"/>
    </xf>
    <xf numFmtId="41" fontId="33" fillId="17" borderId="207" xfId="0" applyNumberFormat="1" applyFont="1" applyFill="1" applyBorder="1" applyAlignment="1">
      <alignment vertical="center"/>
    </xf>
    <xf numFmtId="41" fontId="33" fillId="17" borderId="208" xfId="0" applyNumberFormat="1" applyFont="1" applyFill="1" applyBorder="1" applyAlignment="1">
      <alignment vertical="center"/>
    </xf>
    <xf numFmtId="0" fontId="35" fillId="18" borderId="198" xfId="0" applyFont="1" applyFill="1" applyBorder="1" applyAlignment="1">
      <alignment horizontal="center" vertical="center"/>
    </xf>
    <xf numFmtId="0" fontId="35" fillId="18" borderId="209" xfId="0" applyFont="1" applyFill="1" applyBorder="1" applyAlignment="1">
      <alignment vertical="center"/>
    </xf>
    <xf numFmtId="0" fontId="35" fillId="18" borderId="135" xfId="0" applyFont="1" applyFill="1" applyBorder="1" applyAlignment="1">
      <alignment vertical="center" wrapText="1"/>
    </xf>
    <xf numFmtId="41" fontId="35" fillId="18" borderId="210" xfId="0" applyNumberFormat="1" applyFont="1" applyFill="1" applyBorder="1" applyAlignment="1">
      <alignment vertical="center"/>
    </xf>
    <xf numFmtId="41" fontId="35" fillId="18" borderId="211" xfId="0" applyNumberFormat="1" applyFont="1" applyFill="1" applyBorder="1" applyAlignment="1">
      <alignment vertical="center"/>
    </xf>
    <xf numFmtId="0" fontId="35" fillId="18" borderId="127" xfId="0" applyFont="1" applyFill="1" applyBorder="1" applyAlignment="1">
      <alignment horizontal="center" vertical="center"/>
    </xf>
    <xf numFmtId="0" fontId="33" fillId="17" borderId="127" xfId="0" applyFont="1" applyFill="1" applyBorder="1" applyAlignment="1">
      <alignment vertical="center"/>
    </xf>
    <xf numFmtId="0" fontId="0" fillId="0" borderId="166" xfId="0" applyBorder="1" applyAlignment="1">
      <alignment horizontal="center"/>
    </xf>
    <xf numFmtId="0" fontId="0" fillId="0" borderId="141" xfId="0" applyBorder="1" applyAlignment="1">
      <alignment horizontal="center"/>
    </xf>
    <xf numFmtId="0" fontId="0" fillId="0" borderId="181" xfId="0" applyBorder="1" applyAlignment="1">
      <alignment horizontal="center"/>
    </xf>
    <xf numFmtId="41" fontId="33" fillId="11" borderId="215" xfId="0" applyNumberFormat="1" applyFont="1" applyFill="1" applyBorder="1" applyAlignment="1">
      <alignment horizontal="center" vertical="center"/>
    </xf>
    <xf numFmtId="41" fontId="35" fillId="18" borderId="216" xfId="0" applyNumberFormat="1" applyFont="1" applyFill="1" applyBorder="1" applyAlignment="1">
      <alignment vertical="center"/>
    </xf>
    <xf numFmtId="41" fontId="28" fillId="13" borderId="103" xfId="0" applyNumberFormat="1" applyFont="1" applyFill="1" applyBorder="1" applyAlignment="1">
      <alignment horizontal="center" vertical="center"/>
    </xf>
    <xf numFmtId="0" fontId="0" fillId="0" borderId="142" xfId="0" applyBorder="1" applyAlignment="1">
      <alignment horizontal="center"/>
    </xf>
    <xf numFmtId="41" fontId="0" fillId="0" borderId="130" xfId="0" applyNumberFormat="1" applyBorder="1" applyAlignment="1">
      <alignment horizontal="center" vertical="center"/>
    </xf>
    <xf numFmtId="41" fontId="35" fillId="18" borderId="122" xfId="0" applyNumberFormat="1" applyFont="1" applyFill="1" applyBorder="1" applyAlignment="1">
      <alignment horizontal="left" vertical="center"/>
    </xf>
    <xf numFmtId="41" fontId="35" fillId="18" borderId="217" xfId="0" applyNumberFormat="1" applyFont="1" applyFill="1" applyBorder="1" applyAlignment="1">
      <alignment horizontal="left" vertical="center"/>
    </xf>
    <xf numFmtId="0" fontId="36" fillId="13" borderId="218" xfId="0" applyFont="1" applyFill="1" applyBorder="1" applyAlignment="1">
      <alignment horizontal="center" vertical="center"/>
    </xf>
    <xf numFmtId="41" fontId="0" fillId="0" borderId="154" xfId="0" applyNumberFormat="1" applyBorder="1" applyAlignment="1">
      <alignment vertical="center"/>
    </xf>
    <xf numFmtId="41" fontId="0" fillId="0" borderId="139" xfId="0" applyNumberFormat="1" applyBorder="1" applyAlignment="1">
      <alignment vertical="center" wrapText="1"/>
    </xf>
    <xf numFmtId="41" fontId="0" fillId="0" borderId="219" xfId="0" applyNumberFormat="1" applyBorder="1" applyAlignment="1">
      <alignment vertical="center"/>
    </xf>
    <xf numFmtId="41" fontId="0" fillId="0" borderId="142" xfId="0" applyNumberFormat="1" applyBorder="1" applyAlignment="1">
      <alignment vertical="center"/>
    </xf>
    <xf numFmtId="0" fontId="33" fillId="17" borderId="168" xfId="0" applyFont="1" applyFill="1" applyBorder="1" applyAlignment="1">
      <alignment vertical="center"/>
    </xf>
    <xf numFmtId="0" fontId="33" fillId="17" borderId="184" xfId="0" applyFont="1" applyFill="1" applyBorder="1" applyAlignment="1">
      <alignment vertical="center"/>
    </xf>
    <xf numFmtId="41" fontId="28" fillId="13" borderId="119" xfId="0" applyNumberFormat="1" applyFont="1" applyFill="1" applyBorder="1" applyAlignment="1">
      <alignment horizontal="center" vertical="center"/>
    </xf>
    <xf numFmtId="0" fontId="0" fillId="0" borderId="0" xfId="0" applyFont="1" applyAlignment="1">
      <alignment vertical="center" wrapText="1"/>
    </xf>
    <xf numFmtId="41" fontId="0" fillId="0" borderId="165" xfId="0" applyNumberFormat="1" applyBorder="1" applyAlignment="1">
      <alignment horizontal="left" vertical="center"/>
    </xf>
    <xf numFmtId="41" fontId="0" fillId="0" borderId="153" xfId="0" applyNumberFormat="1" applyBorder="1" applyAlignment="1">
      <alignment horizontal="left" vertical="center"/>
    </xf>
    <xf numFmtId="0" fontId="0" fillId="0" borderId="180" xfId="0" applyBorder="1"/>
    <xf numFmtId="0" fontId="36" fillId="13" borderId="220" xfId="0" applyFont="1" applyFill="1" applyBorder="1" applyAlignment="1">
      <alignment horizontal="center" vertical="center"/>
    </xf>
    <xf numFmtId="41" fontId="36" fillId="13" borderId="137" xfId="0" applyNumberFormat="1" applyFont="1" applyFill="1" applyBorder="1" applyAlignment="1">
      <alignment vertical="center"/>
    </xf>
    <xf numFmtId="41" fontId="36" fillId="13" borderId="126" xfId="0" applyNumberFormat="1" applyFont="1" applyFill="1" applyBorder="1" applyAlignment="1">
      <alignment vertical="center"/>
    </xf>
    <xf numFmtId="41" fontId="7" fillId="0" borderId="125" xfId="0" applyNumberFormat="1" applyFont="1" applyBorder="1" applyAlignment="1">
      <alignment horizontal="center" vertical="center" wrapText="1"/>
    </xf>
    <xf numFmtId="41" fontId="35" fillId="18" borderId="126" xfId="0" applyNumberFormat="1" applyFont="1" applyFill="1" applyBorder="1" applyAlignment="1">
      <alignment horizontal="center" vertical="center"/>
    </xf>
    <xf numFmtId="41" fontId="0" fillId="0" borderId="131" xfId="0" applyNumberFormat="1" applyBorder="1" applyAlignment="1">
      <alignment vertical="center"/>
    </xf>
    <xf numFmtId="41" fontId="35" fillId="18" borderId="149" xfId="0" applyNumberFormat="1" applyFont="1" applyFill="1" applyBorder="1" applyAlignment="1">
      <alignment horizontal="center" vertical="center"/>
    </xf>
    <xf numFmtId="41" fontId="36" fillId="13" borderId="128" xfId="0" applyNumberFormat="1" applyFont="1" applyFill="1" applyBorder="1" applyAlignment="1">
      <alignment vertical="center"/>
    </xf>
    <xf numFmtId="41" fontId="33" fillId="17" borderId="149" xfId="0" applyNumberFormat="1" applyFont="1" applyFill="1" applyBorder="1" applyAlignment="1">
      <alignment vertical="center"/>
    </xf>
    <xf numFmtId="41" fontId="0" fillId="0" borderId="98" xfId="0" applyNumberFormat="1" applyBorder="1" applyAlignment="1">
      <alignment vertical="center" wrapText="1"/>
    </xf>
    <xf numFmtId="41" fontId="35" fillId="18" borderId="185" xfId="0" applyNumberFormat="1" applyFont="1" applyFill="1" applyBorder="1" applyAlignment="1">
      <alignment horizontal="center" vertical="center"/>
    </xf>
    <xf numFmtId="41" fontId="36" fillId="13" borderId="123" xfId="0" applyNumberFormat="1" applyFont="1" applyFill="1" applyBorder="1" applyAlignment="1">
      <alignment vertical="center"/>
    </xf>
    <xf numFmtId="41" fontId="35" fillId="18" borderId="184" xfId="0" applyNumberFormat="1" applyFont="1" applyFill="1" applyBorder="1" applyAlignment="1">
      <alignment horizontal="center" vertical="center"/>
    </xf>
    <xf numFmtId="41" fontId="26" fillId="0" borderId="129" xfId="0" applyNumberFormat="1" applyFont="1" applyBorder="1"/>
    <xf numFmtId="0" fontId="0" fillId="0" borderId="169" xfId="0" applyBorder="1" applyAlignment="1">
      <alignment vertical="center"/>
    </xf>
    <xf numFmtId="0" fontId="0" fillId="0" borderId="153" xfId="0" applyBorder="1" applyAlignment="1">
      <alignment vertical="center"/>
    </xf>
    <xf numFmtId="41" fontId="36" fillId="13" borderId="132" xfId="0" applyNumberFormat="1" applyFont="1" applyFill="1" applyBorder="1" applyAlignment="1">
      <alignment horizontal="center" vertical="center"/>
    </xf>
    <xf numFmtId="0" fontId="36" fillId="13" borderId="180" xfId="0" applyFont="1" applyFill="1" applyBorder="1" applyAlignment="1">
      <alignment horizontal="center" vertical="center"/>
    </xf>
    <xf numFmtId="41" fontId="36" fillId="13" borderId="111" xfId="0" applyNumberFormat="1" applyFont="1" applyFill="1" applyBorder="1" applyAlignment="1">
      <alignment vertical="center"/>
    </xf>
    <xf numFmtId="0" fontId="36" fillId="13" borderId="168" xfId="0" applyFont="1" applyFill="1" applyBorder="1" applyAlignment="1">
      <alignment vertical="center"/>
    </xf>
    <xf numFmtId="41" fontId="0" fillId="0" borderId="155" xfId="0" applyNumberFormat="1" applyBorder="1" applyAlignment="1">
      <alignment vertical="center"/>
    </xf>
    <xf numFmtId="41" fontId="36" fillId="13" borderId="115" xfId="0" applyNumberFormat="1" applyFont="1" applyFill="1" applyBorder="1" applyAlignment="1">
      <alignment vertical="center"/>
    </xf>
    <xf numFmtId="0" fontId="36" fillId="13" borderId="127" xfId="0" applyFont="1" applyFill="1" applyBorder="1" applyAlignment="1">
      <alignment vertical="center"/>
    </xf>
    <xf numFmtId="41" fontId="7" fillId="0" borderId="0" xfId="0" applyNumberFormat="1" applyFont="1" applyBorder="1" applyAlignment="1">
      <alignment horizontal="left" vertical="center" wrapText="1"/>
    </xf>
    <xf numFmtId="41" fontId="28" fillId="0" borderId="154" xfId="0" applyNumberFormat="1" applyFont="1" applyBorder="1" applyAlignment="1">
      <alignment horizontal="left" vertical="center" wrapText="1"/>
    </xf>
    <xf numFmtId="41" fontId="35" fillId="18" borderId="115" xfId="0" applyNumberFormat="1" applyFont="1" applyFill="1" applyBorder="1" applyAlignment="1">
      <alignment horizontal="center" vertical="center"/>
    </xf>
    <xf numFmtId="41" fontId="36" fillId="13" borderId="182" xfId="0" applyNumberFormat="1" applyFont="1" applyFill="1" applyBorder="1" applyAlignment="1">
      <alignment vertical="center"/>
    </xf>
    <xf numFmtId="41" fontId="0" fillId="0" borderId="165" xfId="0" applyNumberFormat="1" applyBorder="1" applyAlignment="1">
      <alignment vertical="center"/>
    </xf>
    <xf numFmtId="41" fontId="35" fillId="18" borderId="119" xfId="0" applyNumberFormat="1" applyFont="1" applyFill="1" applyBorder="1" applyAlignment="1">
      <alignment horizontal="center" vertical="center"/>
    </xf>
    <xf numFmtId="0" fontId="36" fillId="13" borderId="182" xfId="0" applyFont="1" applyFill="1" applyBorder="1" applyAlignment="1">
      <alignment vertical="center"/>
    </xf>
    <xf numFmtId="41" fontId="0" fillId="0" borderId="165" xfId="0" applyNumberFormat="1" applyBorder="1" applyAlignment="1">
      <alignment vertical="center" wrapText="1"/>
    </xf>
    <xf numFmtId="41" fontId="0" fillId="0" borderId="126" xfId="0" applyNumberFormat="1" applyBorder="1" applyAlignment="1">
      <alignment wrapText="1"/>
    </xf>
    <xf numFmtId="41" fontId="36" fillId="13" borderId="119" xfId="0" applyNumberFormat="1" applyFont="1" applyFill="1" applyBorder="1" applyAlignment="1">
      <alignment horizontal="center" vertical="center"/>
    </xf>
    <xf numFmtId="0" fontId="36" fillId="13" borderId="167" xfId="0" applyFont="1" applyFill="1" applyBorder="1" applyAlignment="1">
      <alignment horizontal="center" vertical="center"/>
    </xf>
    <xf numFmtId="0" fontId="0" fillId="0" borderId="169" xfId="0" applyBorder="1" applyAlignment="1">
      <alignment vertical="center" wrapText="1"/>
    </xf>
    <xf numFmtId="0" fontId="0" fillId="0" borderId="154" xfId="0" applyBorder="1" applyAlignment="1">
      <alignment vertical="center" wrapText="1"/>
    </xf>
    <xf numFmtId="41" fontId="35" fillId="18" borderId="179" xfId="0" applyNumberFormat="1" applyFont="1" applyFill="1" applyBorder="1" applyAlignment="1">
      <alignment vertical="center"/>
    </xf>
    <xf numFmtId="41" fontId="37" fillId="18" borderId="138" xfId="0" applyNumberFormat="1" applyFont="1" applyFill="1" applyBorder="1" applyAlignment="1">
      <alignment vertical="center"/>
    </xf>
    <xf numFmtId="0" fontId="36" fillId="13" borderId="177" xfId="0" applyFont="1" applyFill="1" applyBorder="1" applyAlignment="1">
      <alignment vertical="center"/>
    </xf>
    <xf numFmtId="0" fontId="0" fillId="0" borderId="141" xfId="0" applyBorder="1"/>
    <xf numFmtId="41" fontId="0" fillId="0" borderId="139" xfId="0" applyNumberFormat="1" applyBorder="1"/>
    <xf numFmtId="41" fontId="0" fillId="0" borderId="98" xfId="0" applyNumberFormat="1" applyBorder="1" applyAlignment="1">
      <alignment wrapText="1"/>
    </xf>
    <xf numFmtId="41" fontId="0" fillId="0" borderId="98" xfId="0" applyNumberFormat="1" applyBorder="1"/>
    <xf numFmtId="0" fontId="35" fillId="18" borderId="111" xfId="0" applyFont="1" applyFill="1" applyBorder="1" applyAlignment="1">
      <alignment horizontal="center" vertical="center"/>
    </xf>
    <xf numFmtId="0" fontId="35" fillId="18" borderId="221" xfId="0" applyFont="1" applyFill="1" applyBorder="1" applyAlignment="1">
      <alignment horizontal="center" vertical="center"/>
    </xf>
    <xf numFmtId="0" fontId="35" fillId="18" borderId="222" xfId="0" applyFont="1" applyFill="1" applyBorder="1" applyAlignment="1">
      <alignment horizontal="center" vertical="center"/>
    </xf>
    <xf numFmtId="0" fontId="36" fillId="13" borderId="205" xfId="0" applyFont="1" applyFill="1" applyBorder="1" applyAlignment="1">
      <alignment horizontal="center" vertical="center"/>
    </xf>
    <xf numFmtId="0" fontId="26" fillId="0" borderId="140" xfId="0" applyFont="1" applyBorder="1"/>
    <xf numFmtId="0" fontId="28" fillId="0" borderId="194" xfId="0" applyFont="1" applyBorder="1" applyAlignment="1">
      <alignment horizontal="center" vertical="center"/>
    </xf>
    <xf numFmtId="0" fontId="28" fillId="0" borderId="147" xfId="0" applyFont="1" applyBorder="1" applyAlignment="1">
      <alignment vertical="center"/>
    </xf>
    <xf numFmtId="0" fontId="28" fillId="0" borderId="147" xfId="0" applyFont="1" applyBorder="1" applyAlignment="1">
      <alignment vertical="center" wrapText="1"/>
    </xf>
    <xf numFmtId="0" fontId="33" fillId="17" borderId="198" xfId="0" applyFont="1" applyFill="1" applyBorder="1" applyAlignment="1">
      <alignment horizontal="center" vertical="center"/>
    </xf>
    <xf numFmtId="0" fontId="33" fillId="17" borderId="196" xfId="0" applyFont="1" applyFill="1" applyBorder="1" applyAlignment="1">
      <alignment vertical="center"/>
    </xf>
    <xf numFmtId="0" fontId="33" fillId="17" borderId="223" xfId="0" applyFont="1" applyFill="1" applyBorder="1" applyAlignment="1">
      <alignment vertical="center" wrapText="1"/>
    </xf>
    <xf numFmtId="41" fontId="33" fillId="17" borderId="202" xfId="0" applyNumberFormat="1" applyFont="1" applyFill="1" applyBorder="1" applyAlignment="1">
      <alignment vertical="center"/>
    </xf>
    <xf numFmtId="0" fontId="35" fillId="0" borderId="167" xfId="0" applyFont="1" applyBorder="1" applyAlignment="1">
      <alignment horizontal="center" vertical="center"/>
    </xf>
    <xf numFmtId="41" fontId="0" fillId="0" borderId="177" xfId="0" applyNumberFormat="1" applyBorder="1" applyAlignment="1">
      <alignment vertical="center"/>
    </xf>
    <xf numFmtId="41" fontId="0" fillId="0" borderId="0" xfId="0" applyNumberFormat="1" applyBorder="1" applyAlignment="1">
      <alignment vertical="center" wrapText="1"/>
    </xf>
    <xf numFmtId="41" fontId="0" fillId="0" borderId="181" xfId="0" applyNumberFormat="1" applyBorder="1" applyAlignment="1">
      <alignment vertical="center"/>
    </xf>
    <xf numFmtId="41" fontId="0" fillId="0" borderId="154" xfId="0" applyNumberFormat="1" applyBorder="1" applyAlignment="1">
      <alignment vertical="center" wrapText="1"/>
    </xf>
    <xf numFmtId="0" fontId="35" fillId="18" borderId="185" xfId="0" applyFont="1" applyFill="1" applyBorder="1" applyAlignment="1">
      <alignment horizontal="center" vertical="center"/>
    </xf>
    <xf numFmtId="0" fontId="36" fillId="13" borderId="98" xfId="0" applyFont="1" applyFill="1" applyBorder="1" applyAlignment="1">
      <alignment horizontal="left" vertical="center"/>
    </xf>
    <xf numFmtId="0" fontId="28" fillId="0" borderId="228" xfId="0" applyFont="1" applyBorder="1" applyAlignment="1">
      <alignment horizontal="center" vertical="center"/>
    </xf>
    <xf numFmtId="0" fontId="33" fillId="17" borderId="229" xfId="0" applyFont="1" applyFill="1" applyBorder="1" applyAlignment="1">
      <alignment horizontal="center" vertical="center"/>
    </xf>
    <xf numFmtId="0" fontId="35" fillId="0" borderId="230" xfId="0" applyFont="1" applyBorder="1" applyAlignment="1">
      <alignment horizontal="center" vertical="center"/>
    </xf>
    <xf numFmtId="0" fontId="35" fillId="18" borderId="199" xfId="0" applyFont="1" applyFill="1" applyBorder="1" applyAlignment="1">
      <alignment vertical="center" wrapText="1"/>
    </xf>
    <xf numFmtId="0" fontId="0" fillId="0" borderId="231" xfId="0" applyBorder="1"/>
    <xf numFmtId="0" fontId="0" fillId="0" borderId="231" xfId="0" applyBorder="1" applyAlignment="1">
      <alignment vertical="center"/>
    </xf>
    <xf numFmtId="0" fontId="0" fillId="0" borderId="232" xfId="0" applyBorder="1" applyAlignment="1">
      <alignment vertical="center"/>
    </xf>
    <xf numFmtId="0" fontId="0" fillId="0" borderId="142" xfId="0" applyBorder="1" applyAlignment="1">
      <alignment vertical="center" wrapText="1"/>
    </xf>
    <xf numFmtId="0" fontId="0" fillId="0" borderId="150" xfId="0" applyBorder="1" applyAlignment="1">
      <alignment vertical="center" wrapText="1"/>
    </xf>
    <xf numFmtId="0" fontId="0" fillId="0" borderId="145" xfId="0" applyBorder="1" applyAlignment="1">
      <alignment vertical="center"/>
    </xf>
    <xf numFmtId="0" fontId="36" fillId="0" borderId="169" xfId="0" applyFont="1" applyFill="1" applyBorder="1" applyAlignment="1">
      <alignment horizontal="center" vertical="center"/>
    </xf>
    <xf numFmtId="0" fontId="36" fillId="13" borderId="102" xfId="0" applyFont="1" applyFill="1" applyBorder="1" applyAlignment="1">
      <alignment horizontal="left" vertical="center"/>
    </xf>
    <xf numFmtId="0" fontId="0" fillId="0" borderId="150" xfId="0" applyBorder="1" applyAlignment="1">
      <alignment vertical="center"/>
    </xf>
    <xf numFmtId="0" fontId="26" fillId="0" borderId="233" xfId="0" applyFont="1" applyBorder="1"/>
    <xf numFmtId="0" fontId="26" fillId="0" borderId="234" xfId="0" applyFont="1" applyBorder="1"/>
    <xf numFmtId="41" fontId="7" fillId="0" borderId="145" xfId="0" applyNumberFormat="1" applyFont="1" applyBorder="1" applyAlignment="1">
      <alignment horizontal="center" vertical="center" wrapText="1"/>
    </xf>
    <xf numFmtId="41" fontId="0" fillId="0" borderId="0" xfId="0" applyNumberFormat="1" applyBorder="1" applyAlignment="1">
      <alignment vertical="center"/>
    </xf>
    <xf numFmtId="0" fontId="0" fillId="8" borderId="0" xfId="0" applyFill="1" applyBorder="1" applyAlignment="1">
      <alignment vertical="center"/>
    </xf>
    <xf numFmtId="41" fontId="0" fillId="8" borderId="0" xfId="0" applyNumberFormat="1" applyFill="1" applyBorder="1" applyAlignment="1">
      <alignment vertical="center"/>
    </xf>
    <xf numFmtId="0" fontId="36" fillId="13" borderId="101" xfId="0" applyFont="1" applyFill="1" applyBorder="1" applyAlignment="1">
      <alignment horizontal="left" vertical="center"/>
    </xf>
    <xf numFmtId="41" fontId="0" fillId="0" borderId="239" xfId="0" applyNumberFormat="1" applyBorder="1" applyAlignment="1">
      <alignment vertical="center"/>
    </xf>
    <xf numFmtId="41" fontId="26" fillId="0" borderId="140" xfId="0" applyNumberFormat="1" applyFont="1" applyBorder="1"/>
    <xf numFmtId="41" fontId="28" fillId="0" borderId="155" xfId="0" applyNumberFormat="1" applyFont="1" applyBorder="1" applyAlignment="1">
      <alignment vertical="center"/>
    </xf>
    <xf numFmtId="41" fontId="28" fillId="0" borderId="223" xfId="0" applyNumberFormat="1" applyFont="1" applyBorder="1" applyAlignment="1">
      <alignment vertical="center"/>
    </xf>
    <xf numFmtId="41" fontId="33" fillId="17" borderId="182" xfId="0" applyNumberFormat="1" applyFont="1" applyFill="1" applyBorder="1" applyAlignment="1">
      <alignment horizontal="left" vertical="center"/>
    </xf>
    <xf numFmtId="41" fontId="33" fillId="17" borderId="183" xfId="0" applyNumberFormat="1" applyFont="1" applyFill="1" applyBorder="1" applyAlignment="1">
      <alignment horizontal="left" vertical="center"/>
    </xf>
    <xf numFmtId="0" fontId="0" fillId="0" borderId="156" xfId="0" applyBorder="1" applyAlignment="1">
      <alignment vertical="center" wrapText="1"/>
    </xf>
    <xf numFmtId="41" fontId="28" fillId="0" borderId="150" xfId="0" applyNumberFormat="1" applyFont="1" applyBorder="1" applyAlignment="1">
      <alignment horizontal="left" vertical="center" wrapText="1"/>
    </xf>
    <xf numFmtId="41" fontId="0" fillId="0" borderId="148" xfId="0" applyNumberFormat="1" applyBorder="1" applyAlignment="1">
      <alignment vertical="center"/>
    </xf>
    <xf numFmtId="41" fontId="7" fillId="0" borderId="244" xfId="1" applyFont="1" applyBorder="1" applyAlignment="1">
      <alignment horizontal="left" vertical="center" wrapText="1"/>
    </xf>
    <xf numFmtId="41" fontId="7" fillId="0" borderId="166" xfId="1" applyFont="1" applyBorder="1" applyAlignment="1">
      <alignment horizontal="left" vertical="center" wrapText="1"/>
    </xf>
    <xf numFmtId="41" fontId="28" fillId="0" borderId="183" xfId="0" applyNumberFormat="1" applyFont="1" applyBorder="1" applyAlignment="1">
      <alignment horizontal="left" wrapText="1"/>
    </xf>
    <xf numFmtId="0" fontId="36" fillId="13" borderId="181" xfId="0" applyFont="1" applyFill="1" applyBorder="1" applyAlignment="1">
      <alignment horizontal="left" vertical="center"/>
    </xf>
    <xf numFmtId="41" fontId="28" fillId="0" borderId="129" xfId="0" applyNumberFormat="1" applyFont="1" applyFill="1" applyBorder="1" applyAlignment="1">
      <alignment horizontal="left" vertical="center"/>
    </xf>
    <xf numFmtId="41" fontId="28" fillId="0" borderId="140" xfId="0" applyNumberFormat="1" applyFont="1" applyFill="1" applyBorder="1" applyAlignment="1">
      <alignment horizontal="left" vertical="center"/>
    </xf>
    <xf numFmtId="41" fontId="7" fillId="0" borderId="168" xfId="1" applyFont="1" applyBorder="1" applyAlignment="1">
      <alignment horizontal="left" vertical="center" wrapText="1"/>
    </xf>
    <xf numFmtId="41" fontId="28" fillId="0" borderId="184" xfId="0" applyNumberFormat="1" applyFont="1" applyBorder="1" applyAlignment="1">
      <alignment horizontal="left" vertical="center" wrapText="1"/>
    </xf>
    <xf numFmtId="0" fontId="26" fillId="0" borderId="176" xfId="0" applyFont="1" applyBorder="1"/>
    <xf numFmtId="0" fontId="25" fillId="0" borderId="0" xfId="0" applyFont="1" applyAlignment="1">
      <alignment vertical="center" wrapText="1"/>
    </xf>
    <xf numFmtId="0" fontId="28" fillId="0" borderId="153" xfId="0" applyFont="1" applyBorder="1" applyAlignment="1">
      <alignment horizontal="center" vertical="center"/>
    </xf>
    <xf numFmtId="0" fontId="28" fillId="0" borderId="130" xfId="0" applyFont="1" applyBorder="1" applyAlignment="1">
      <alignment vertical="center"/>
    </xf>
    <xf numFmtId="0" fontId="28" fillId="0" borderId="130" xfId="0" applyFont="1" applyBorder="1" applyAlignment="1">
      <alignment vertical="center" wrapText="1"/>
    </xf>
    <xf numFmtId="41" fontId="28" fillId="0" borderId="251" xfId="0" applyNumberFormat="1" applyFont="1" applyBorder="1" applyAlignment="1">
      <alignment vertical="center"/>
    </xf>
    <xf numFmtId="41" fontId="28" fillId="0" borderId="252" xfId="0" applyNumberFormat="1" applyFont="1" applyBorder="1" applyAlignment="1">
      <alignment vertical="center"/>
    </xf>
    <xf numFmtId="41" fontId="31" fillId="0" borderId="252" xfId="0" applyNumberFormat="1" applyFont="1" applyBorder="1" applyAlignment="1">
      <alignment vertical="center"/>
    </xf>
    <xf numFmtId="0" fontId="33" fillId="17" borderId="253" xfId="0" applyFont="1" applyFill="1" applyBorder="1" applyAlignment="1">
      <alignment horizontal="center" vertical="center"/>
    </xf>
    <xf numFmtId="0" fontId="33" fillId="17" borderId="185" xfId="0" applyFont="1" applyFill="1" applyBorder="1" applyAlignment="1">
      <alignment vertical="center"/>
    </xf>
    <xf numFmtId="0" fontId="33" fillId="17" borderId="137" xfId="0" applyFont="1" applyFill="1" applyBorder="1" applyAlignment="1">
      <alignment vertical="center" wrapText="1"/>
    </xf>
    <xf numFmtId="41" fontId="33" fillId="17" borderId="112" xfId="0" applyNumberFormat="1" applyFont="1" applyFill="1" applyBorder="1" applyAlignment="1">
      <alignment vertical="center"/>
    </xf>
    <xf numFmtId="41" fontId="33" fillId="17" borderId="113" xfId="0" applyNumberFormat="1" applyFont="1" applyFill="1" applyBorder="1" applyAlignment="1">
      <alignment vertical="center"/>
    </xf>
    <xf numFmtId="0" fontId="35" fillId="0" borderId="254" xfId="0" applyFont="1" applyBorder="1" applyAlignment="1">
      <alignment horizontal="center" vertical="center"/>
    </xf>
    <xf numFmtId="0" fontId="35" fillId="18" borderId="196" xfId="0" applyFont="1" applyFill="1" applyBorder="1" applyAlignment="1">
      <alignment vertical="center"/>
    </xf>
    <xf numFmtId="0" fontId="35" fillId="18" borderId="223" xfId="0" applyFont="1" applyFill="1" applyBorder="1" applyAlignment="1">
      <alignment vertical="center" wrapText="1"/>
    </xf>
    <xf numFmtId="0" fontId="25" fillId="0" borderId="249" xfId="0" applyFont="1" applyBorder="1"/>
    <xf numFmtId="0" fontId="25" fillId="0" borderId="166" xfId="0" applyFont="1" applyBorder="1"/>
    <xf numFmtId="0" fontId="25" fillId="0" borderId="249" xfId="0" applyFont="1" applyBorder="1" applyAlignment="1">
      <alignment vertical="center"/>
    </xf>
    <xf numFmtId="0" fontId="25" fillId="0" borderId="166" xfId="0" applyFont="1" applyBorder="1" applyAlignment="1">
      <alignment vertical="center"/>
    </xf>
    <xf numFmtId="0" fontId="25" fillId="0" borderId="165" xfId="0" applyFont="1" applyBorder="1" applyAlignment="1">
      <alignment vertical="center"/>
    </xf>
    <xf numFmtId="0" fontId="25" fillId="0" borderId="123" xfId="0" applyFont="1" applyBorder="1" applyAlignment="1">
      <alignment vertical="center"/>
    </xf>
    <xf numFmtId="0" fontId="25" fillId="0" borderId="139" xfId="0" applyFont="1" applyBorder="1" applyAlignment="1">
      <alignment vertical="center"/>
    </xf>
    <xf numFmtId="0" fontId="25" fillId="0" borderId="0" xfId="0" applyFont="1" applyBorder="1" applyAlignment="1">
      <alignment vertical="center"/>
    </xf>
    <xf numFmtId="0" fontId="25" fillId="0" borderId="148" xfId="0" applyFont="1" applyBorder="1" applyAlignment="1">
      <alignment vertical="center"/>
    </xf>
    <xf numFmtId="0" fontId="25" fillId="0" borderId="129" xfId="0" applyFont="1" applyBorder="1" applyAlignment="1">
      <alignment vertical="center"/>
    </xf>
    <xf numFmtId="0" fontId="25" fillId="0" borderId="140" xfId="0" applyFont="1" applyBorder="1" applyAlignment="1">
      <alignment vertical="center"/>
    </xf>
    <xf numFmtId="0" fontId="25" fillId="0" borderId="130" xfId="0" applyFont="1" applyBorder="1" applyAlignment="1">
      <alignment vertical="center"/>
    </xf>
    <xf numFmtId="0" fontId="25" fillId="0" borderId="249" xfId="0" applyFont="1" applyBorder="1" applyAlignment="1">
      <alignment vertical="center" wrapText="1"/>
    </xf>
    <xf numFmtId="0" fontId="25" fillId="0" borderId="166" xfId="0" applyFont="1" applyBorder="1" applyAlignment="1">
      <alignment vertical="center" wrapText="1"/>
    </xf>
    <xf numFmtId="0" fontId="25" fillId="0" borderId="169" xfId="0" applyFont="1" applyBorder="1" applyAlignment="1">
      <alignment vertical="center" wrapText="1"/>
    </xf>
    <xf numFmtId="0" fontId="25" fillId="0" borderId="129" xfId="0" applyFont="1" applyBorder="1" applyAlignment="1">
      <alignment vertical="center" wrapText="1"/>
    </xf>
    <xf numFmtId="0" fontId="25" fillId="0" borderId="140" xfId="0" applyFont="1" applyBorder="1" applyAlignment="1">
      <alignment vertical="center" wrapText="1"/>
    </xf>
    <xf numFmtId="0" fontId="25" fillId="0" borderId="0" xfId="0" applyFont="1" applyBorder="1" applyAlignment="1">
      <alignment vertical="center" wrapText="1"/>
    </xf>
    <xf numFmtId="0" fontId="25" fillId="0" borderId="0" xfId="0" applyFont="1" applyBorder="1"/>
    <xf numFmtId="0" fontId="25" fillId="0" borderId="125" xfId="0" applyFont="1" applyBorder="1"/>
    <xf numFmtId="0" fontId="25" fillId="0" borderId="146" xfId="0" applyFont="1" applyBorder="1"/>
    <xf numFmtId="0" fontId="25" fillId="0" borderId="176" xfId="0" applyFont="1" applyBorder="1"/>
    <xf numFmtId="0" fontId="25" fillId="0" borderId="151" xfId="0" applyFont="1" applyBorder="1"/>
    <xf numFmtId="0" fontId="25" fillId="0" borderId="154" xfId="0" applyFont="1" applyBorder="1"/>
    <xf numFmtId="0" fontId="25" fillId="0" borderId="125" xfId="0" applyFont="1" applyBorder="1" applyAlignment="1">
      <alignment vertical="center"/>
    </xf>
    <xf numFmtId="0" fontId="25" fillId="0" borderId="156" xfId="0" applyFont="1" applyBorder="1" applyAlignment="1">
      <alignment vertical="center"/>
    </xf>
    <xf numFmtId="0" fontId="25" fillId="0" borderId="151" xfId="0" applyFont="1" applyBorder="1" applyAlignment="1">
      <alignment vertical="center"/>
    </xf>
    <xf numFmtId="0" fontId="25" fillId="0" borderId="176" xfId="0" applyFont="1" applyBorder="1" applyAlignment="1">
      <alignment vertical="center"/>
    </xf>
    <xf numFmtId="0" fontId="25" fillId="0" borderId="125" xfId="0" applyFont="1" applyBorder="1" applyAlignment="1">
      <alignment vertical="center" wrapText="1"/>
    </xf>
    <xf numFmtId="0" fontId="25" fillId="0" borderId="154" xfId="0" applyFont="1" applyBorder="1" applyAlignment="1">
      <alignment vertical="center" wrapText="1"/>
    </xf>
    <xf numFmtId="0" fontId="25" fillId="0" borderId="176" xfId="0" applyFont="1" applyBorder="1" applyAlignment="1">
      <alignment vertical="center" wrapText="1"/>
    </xf>
    <xf numFmtId="0" fontId="25" fillId="0" borderId="126" xfId="0" applyFont="1" applyBorder="1" applyAlignment="1">
      <alignment vertical="center"/>
    </xf>
    <xf numFmtId="0" fontId="25" fillId="0" borderId="169" xfId="0" applyFont="1" applyBorder="1" applyAlignment="1">
      <alignment vertical="center"/>
    </xf>
    <xf numFmtId="0" fontId="25" fillId="0" borderId="141" xfId="0" applyFont="1" applyBorder="1" applyAlignment="1">
      <alignment vertical="center"/>
    </xf>
    <xf numFmtId="0" fontId="25" fillId="0" borderId="142" xfId="0" applyFont="1" applyBorder="1" applyAlignment="1">
      <alignment vertical="center"/>
    </xf>
    <xf numFmtId="0" fontId="25" fillId="0" borderId="176" xfId="0" applyFont="1" applyBorder="1" applyAlignment="1">
      <alignment wrapText="1"/>
    </xf>
    <xf numFmtId="0" fontId="25" fillId="0" borderId="154" xfId="0" applyFont="1" applyBorder="1" applyAlignment="1">
      <alignment wrapText="1"/>
    </xf>
    <xf numFmtId="0" fontId="25" fillId="0" borderId="156" xfId="0" applyFont="1" applyBorder="1"/>
    <xf numFmtId="0" fontId="35" fillId="18" borderId="179" xfId="0" applyFont="1" applyFill="1" applyBorder="1" applyAlignment="1">
      <alignment horizontal="left" vertical="center"/>
    </xf>
    <xf numFmtId="0" fontId="25" fillId="0" borderId="123" xfId="0" applyFont="1" applyBorder="1"/>
    <xf numFmtId="0" fontId="25" fillId="0" borderId="129" xfId="0" applyFont="1" applyBorder="1"/>
    <xf numFmtId="0" fontId="25" fillId="0" borderId="141" xfId="0" applyFont="1" applyBorder="1"/>
    <xf numFmtId="0" fontId="25" fillId="0" borderId="131" xfId="0" applyFont="1" applyBorder="1"/>
    <xf numFmtId="0" fontId="25" fillId="0" borderId="142" xfId="0" applyFont="1" applyBorder="1"/>
    <xf numFmtId="0" fontId="33" fillId="17" borderId="255" xfId="0" applyFont="1" applyFill="1" applyBorder="1" applyAlignment="1">
      <alignment horizontal="center" vertical="center"/>
    </xf>
    <xf numFmtId="0" fontId="25" fillId="0" borderId="146" xfId="0" applyFont="1" applyBorder="1" applyAlignment="1">
      <alignment vertical="center" wrapText="1"/>
    </xf>
    <xf numFmtId="0" fontId="25" fillId="0" borderId="156" xfId="0" applyFont="1" applyBorder="1" applyAlignment="1">
      <alignment vertical="center" wrapText="1"/>
    </xf>
    <xf numFmtId="0" fontId="25" fillId="0" borderId="145" xfId="0" applyFont="1" applyBorder="1" applyAlignment="1">
      <alignment vertical="center" wrapText="1"/>
    </xf>
    <xf numFmtId="0" fontId="25" fillId="0" borderId="256" xfId="0" applyFont="1" applyBorder="1"/>
    <xf numFmtId="0" fontId="25" fillId="0" borderId="257" xfId="0" applyFont="1" applyBorder="1"/>
    <xf numFmtId="0" fontId="25" fillId="0" borderId="258" xfId="0" applyFont="1" applyBorder="1"/>
    <xf numFmtId="0" fontId="4" fillId="0" borderId="259" xfId="0" applyFont="1" applyBorder="1"/>
    <xf numFmtId="0" fontId="25" fillId="0" borderId="260" xfId="0" applyFont="1" applyBorder="1"/>
    <xf numFmtId="0" fontId="25" fillId="0" borderId="261" xfId="0" applyFont="1" applyBorder="1"/>
    <xf numFmtId="0" fontId="25" fillId="0" borderId="262" xfId="0" applyFont="1" applyBorder="1"/>
    <xf numFmtId="0" fontId="33" fillId="11" borderId="138" xfId="0" applyFont="1" applyFill="1" applyBorder="1" applyAlignment="1">
      <alignment horizontal="center" vertical="center" wrapText="1"/>
    </xf>
    <xf numFmtId="41" fontId="33" fillId="11" borderId="122" xfId="0" applyNumberFormat="1" applyFont="1" applyFill="1" applyBorder="1" applyAlignment="1">
      <alignment horizontal="center" vertical="center" wrapText="1"/>
    </xf>
    <xf numFmtId="41" fontId="33" fillId="11" borderId="207" xfId="0" applyNumberFormat="1" applyFont="1" applyFill="1" applyBorder="1" applyAlignment="1">
      <alignment horizontal="center" vertical="center" wrapText="1"/>
    </xf>
    <xf numFmtId="41" fontId="28" fillId="0" borderId="268" xfId="0" applyNumberFormat="1" applyFont="1" applyBorder="1" applyAlignment="1">
      <alignment vertical="center"/>
    </xf>
    <xf numFmtId="41" fontId="28" fillId="0" borderId="269" xfId="0" applyNumberFormat="1" applyFont="1" applyBorder="1" applyAlignment="1">
      <alignment vertical="center"/>
    </xf>
    <xf numFmtId="0" fontId="28" fillId="0" borderId="270" xfId="0" applyFont="1" applyBorder="1" applyAlignment="1">
      <alignment horizontal="center" vertical="center" wrapText="1"/>
    </xf>
    <xf numFmtId="41" fontId="28" fillId="0" borderId="190" xfId="0" applyNumberFormat="1" applyFont="1" applyBorder="1" applyAlignment="1">
      <alignment vertical="center"/>
    </xf>
    <xf numFmtId="41" fontId="28" fillId="0" borderId="192" xfId="0" applyNumberFormat="1" applyFont="1" applyBorder="1" applyAlignment="1">
      <alignment vertical="center"/>
    </xf>
    <xf numFmtId="41" fontId="33" fillId="17" borderId="161" xfId="0" applyNumberFormat="1" applyFont="1" applyFill="1" applyBorder="1" applyAlignment="1">
      <alignment vertical="center"/>
    </xf>
    <xf numFmtId="41" fontId="33" fillId="17" borderId="162" xfId="0" applyNumberFormat="1" applyFont="1" applyFill="1" applyBorder="1" applyAlignment="1">
      <alignment vertical="center"/>
    </xf>
    <xf numFmtId="41" fontId="33" fillId="17" borderId="143" xfId="0" applyNumberFormat="1" applyFont="1" applyFill="1" applyBorder="1" applyAlignment="1">
      <alignment vertical="center"/>
    </xf>
    <xf numFmtId="41" fontId="33" fillId="17" borderId="132" xfId="0" applyNumberFormat="1" applyFont="1" applyFill="1" applyBorder="1" applyAlignment="1">
      <alignment vertical="center"/>
    </xf>
    <xf numFmtId="41" fontId="35" fillId="18" borderId="122" xfId="0" applyNumberFormat="1" applyFont="1" applyFill="1" applyBorder="1" applyAlignment="1">
      <alignment vertical="center"/>
    </xf>
    <xf numFmtId="41" fontId="25" fillId="0" borderId="166" xfId="0" applyNumberFormat="1" applyFont="1" applyBorder="1" applyAlignment="1">
      <alignment vertical="center"/>
    </xf>
    <xf numFmtId="41" fontId="25" fillId="0" borderId="153" xfId="0" applyNumberFormat="1" applyFont="1" applyBorder="1" applyAlignment="1">
      <alignment vertical="center"/>
    </xf>
    <xf numFmtId="41" fontId="36" fillId="13" borderId="168" xfId="0" applyNumberFormat="1" applyFont="1" applyFill="1" applyBorder="1" applyAlignment="1">
      <alignment horizontal="center" vertical="center"/>
    </xf>
    <xf numFmtId="41" fontId="25" fillId="0" borderId="166" xfId="0" applyNumberFormat="1" applyFont="1" applyBorder="1" applyAlignment="1">
      <alignment vertical="center" wrapText="1"/>
    </xf>
    <xf numFmtId="41" fontId="25" fillId="0" borderId="134" xfId="0" applyNumberFormat="1" applyFont="1" applyBorder="1"/>
    <xf numFmtId="41" fontId="25" fillId="0" borderId="166" xfId="0" applyNumberFormat="1" applyFont="1" applyBorder="1"/>
    <xf numFmtId="41" fontId="7" fillId="0" borderId="134" xfId="0" applyNumberFormat="1" applyFont="1" applyBorder="1" applyAlignment="1">
      <alignment horizontal="center" vertical="center" wrapText="1"/>
    </xf>
    <xf numFmtId="41" fontId="25" fillId="0" borderId="155" xfId="0" applyNumberFormat="1" applyFont="1" applyBorder="1" applyAlignment="1">
      <alignment vertical="center" wrapText="1"/>
    </xf>
    <xf numFmtId="41" fontId="25" fillId="0" borderId="155" xfId="0" applyNumberFormat="1" applyFont="1" applyBorder="1"/>
    <xf numFmtId="41" fontId="25" fillId="0" borderId="169" xfId="0" applyNumberFormat="1" applyFont="1" applyBorder="1"/>
    <xf numFmtId="41" fontId="25" fillId="0" borderId="153" xfId="0" applyNumberFormat="1" applyFont="1" applyBorder="1"/>
    <xf numFmtId="41" fontId="25" fillId="2" borderId="166" xfId="0" applyNumberFormat="1" applyFont="1" applyFill="1" applyBorder="1"/>
    <xf numFmtId="41" fontId="25" fillId="0" borderId="134" xfId="0" applyNumberFormat="1" applyFont="1" applyBorder="1" applyAlignment="1">
      <alignment vertical="center" wrapText="1"/>
    </xf>
    <xf numFmtId="41" fontId="25" fillId="0" borderId="0" xfId="0" applyNumberFormat="1" applyFont="1" applyBorder="1"/>
    <xf numFmtId="41" fontId="4" fillId="0" borderId="259" xfId="0" applyNumberFormat="1" applyFont="1" applyBorder="1"/>
    <xf numFmtId="41" fontId="25" fillId="0" borderId="262" xfId="0" applyNumberFormat="1" applyFont="1" applyBorder="1"/>
    <xf numFmtId="41" fontId="28" fillId="0" borderId="0" xfId="0" applyNumberFormat="1" applyFont="1" applyBorder="1" applyAlignment="1">
      <alignment vertical="center"/>
    </xf>
    <xf numFmtId="41" fontId="28" fillId="0" borderId="273" xfId="0" applyNumberFormat="1" applyFont="1" applyBorder="1" applyAlignment="1">
      <alignment vertical="center"/>
    </xf>
    <xf numFmtId="41" fontId="33" fillId="17" borderId="274" xfId="0" applyNumberFormat="1" applyFont="1" applyFill="1" applyBorder="1" applyAlignment="1">
      <alignment vertical="center"/>
    </xf>
    <xf numFmtId="41" fontId="33" fillId="17" borderId="124" xfId="0" applyNumberFormat="1" applyFont="1" applyFill="1" applyBorder="1" applyAlignment="1">
      <alignment horizontal="left" vertical="center"/>
    </xf>
    <xf numFmtId="41" fontId="33" fillId="17" borderId="275" xfId="0" applyNumberFormat="1" applyFont="1" applyFill="1" applyBorder="1" applyAlignment="1">
      <alignment horizontal="left" vertical="center"/>
    </xf>
    <xf numFmtId="41" fontId="35" fillId="18" borderId="276" xfId="0" applyNumberFormat="1" applyFont="1" applyFill="1" applyBorder="1" applyAlignment="1">
      <alignment vertical="center"/>
    </xf>
    <xf numFmtId="41" fontId="35" fillId="18" borderId="275" xfId="0" applyNumberFormat="1" applyFont="1" applyFill="1" applyBorder="1" applyAlignment="1">
      <alignment horizontal="left" vertical="center"/>
    </xf>
    <xf numFmtId="0" fontId="36" fillId="13" borderId="223" xfId="0" applyFont="1" applyFill="1" applyBorder="1" applyAlignment="1">
      <alignment horizontal="center" vertical="center"/>
    </xf>
    <xf numFmtId="0" fontId="36" fillId="13" borderId="277" xfId="0" applyFont="1" applyFill="1" applyBorder="1" applyAlignment="1">
      <alignment horizontal="center" vertical="center"/>
    </xf>
    <xf numFmtId="41" fontId="25" fillId="0" borderId="165" xfId="0" applyNumberFormat="1" applyFont="1" applyBorder="1" applyAlignment="1">
      <alignment vertical="center"/>
    </xf>
    <xf numFmtId="41" fontId="25" fillId="0" borderId="278" xfId="0" applyNumberFormat="1" applyFont="1" applyBorder="1" applyAlignment="1">
      <alignment vertical="center" wrapText="1"/>
    </xf>
    <xf numFmtId="41" fontId="25" fillId="0" borderId="279" xfId="0" applyNumberFormat="1" applyFont="1" applyBorder="1" applyAlignment="1">
      <alignment vertical="center" wrapText="1"/>
    </xf>
    <xf numFmtId="0" fontId="36" fillId="13" borderId="184" xfId="0" applyFont="1" applyFill="1" applyBorder="1" applyAlignment="1">
      <alignment horizontal="center" vertical="center"/>
    </xf>
    <xf numFmtId="0" fontId="36" fillId="13" borderId="280" xfId="0" applyFont="1" applyFill="1" applyBorder="1" applyAlignment="1">
      <alignment horizontal="center" vertical="center"/>
    </xf>
    <xf numFmtId="41" fontId="25" fillId="0" borderId="148" xfId="0" applyNumberFormat="1" applyFont="1" applyBorder="1" applyAlignment="1">
      <alignment vertical="center" wrapText="1"/>
    </xf>
    <xf numFmtId="41" fontId="25" fillId="0" borderId="281" xfId="0" applyNumberFormat="1" applyFont="1" applyBorder="1" applyAlignment="1">
      <alignment vertical="center" wrapText="1"/>
    </xf>
    <xf numFmtId="0" fontId="25" fillId="0" borderId="283" xfId="0" applyFont="1" applyBorder="1"/>
    <xf numFmtId="41" fontId="25" fillId="0" borderId="154" xfId="0" applyNumberFormat="1" applyFont="1" applyBorder="1"/>
    <xf numFmtId="41" fontId="25" fillId="0" borderId="284" xfId="0" applyNumberFormat="1" applyFont="1" applyBorder="1"/>
    <xf numFmtId="41" fontId="7" fillId="0" borderId="165" xfId="0" applyNumberFormat="1" applyFont="1" applyBorder="1" applyAlignment="1">
      <alignment horizontal="left" vertical="center" wrapText="1"/>
    </xf>
    <xf numFmtId="41" fontId="28" fillId="0" borderId="286" xfId="0" applyNumberFormat="1" applyFont="1" applyBorder="1" applyAlignment="1">
      <alignment horizontal="left" vertical="center" wrapText="1"/>
    </xf>
    <xf numFmtId="41" fontId="7" fillId="0" borderId="155" xfId="0" applyNumberFormat="1" applyFont="1" applyBorder="1" applyAlignment="1">
      <alignment horizontal="left" vertical="center" wrapText="1"/>
    </xf>
    <xf numFmtId="0" fontId="25" fillId="0" borderId="169" xfId="0" applyFont="1" applyBorder="1"/>
    <xf numFmtId="41" fontId="25" fillId="0" borderId="287" xfId="0" applyNumberFormat="1" applyFont="1" applyBorder="1"/>
    <xf numFmtId="41" fontId="7" fillId="0" borderId="131" xfId="0" applyNumberFormat="1" applyFont="1" applyBorder="1" applyAlignment="1">
      <alignment horizontal="left" vertical="center" wrapText="1"/>
    </xf>
    <xf numFmtId="41" fontId="28" fillId="0" borderId="289" xfId="0" applyNumberFormat="1" applyFont="1" applyBorder="1" applyAlignment="1">
      <alignment horizontal="left" vertical="center" wrapText="1"/>
    </xf>
    <xf numFmtId="41" fontId="7" fillId="0" borderId="290" xfId="1" applyFont="1" applyBorder="1" applyAlignment="1">
      <alignment horizontal="left" vertical="center"/>
    </xf>
    <xf numFmtId="41" fontId="28" fillId="0" borderId="275" xfId="0" applyNumberFormat="1" applyFont="1" applyBorder="1" applyAlignment="1">
      <alignment horizontal="left" vertical="center" wrapText="1"/>
    </xf>
    <xf numFmtId="41" fontId="25" fillId="0" borderId="129" xfId="0" applyNumberFormat="1" applyFont="1" applyBorder="1" applyAlignment="1">
      <alignment vertical="center"/>
    </xf>
    <xf numFmtId="41" fontId="25" fillId="0" borderId="140" xfId="0" applyNumberFormat="1" applyFont="1" applyBorder="1" applyAlignment="1">
      <alignment vertical="center" wrapText="1"/>
    </xf>
    <xf numFmtId="41" fontId="25" fillId="0" borderId="125" xfId="0" applyNumberFormat="1" applyFont="1" applyBorder="1" applyAlignment="1">
      <alignment vertical="center"/>
    </xf>
    <xf numFmtId="41" fontId="25" fillId="0" borderId="283" xfId="0" applyNumberFormat="1" applyFont="1" applyBorder="1" applyAlignment="1">
      <alignment vertical="center" wrapText="1"/>
    </xf>
    <xf numFmtId="41" fontId="25" fillId="0" borderId="151" xfId="0" applyNumberFormat="1" applyFont="1" applyBorder="1" applyAlignment="1">
      <alignment vertical="center"/>
    </xf>
    <xf numFmtId="0" fontId="35" fillId="18" borderId="275" xfId="0" applyFont="1" applyFill="1" applyBorder="1" applyAlignment="1">
      <alignment horizontal="center" vertical="center"/>
    </xf>
    <xf numFmtId="41" fontId="25" fillId="0" borderId="291" xfId="0" applyNumberFormat="1" applyFont="1" applyBorder="1" applyAlignment="1">
      <alignment vertical="center" wrapText="1"/>
    </xf>
    <xf numFmtId="41" fontId="25" fillId="0" borderId="156" xfId="0" applyNumberFormat="1" applyFont="1" applyBorder="1" applyAlignment="1">
      <alignment vertical="center" wrapText="1"/>
    </xf>
    <xf numFmtId="41" fontId="25" fillId="0" borderId="289" xfId="0" applyNumberFormat="1" applyFont="1" applyBorder="1" applyAlignment="1">
      <alignment wrapText="1"/>
    </xf>
    <xf numFmtId="41" fontId="25" fillId="0" borderId="284" xfId="0" applyNumberFormat="1" applyFont="1" applyBorder="1" applyAlignment="1">
      <alignment wrapText="1"/>
    </xf>
    <xf numFmtId="41" fontId="25" fillId="0" borderId="156" xfId="0" applyNumberFormat="1" applyFont="1" applyBorder="1" applyAlignment="1">
      <alignment wrapText="1"/>
    </xf>
    <xf numFmtId="0" fontId="25" fillId="0" borderId="286" xfId="0" applyFont="1" applyBorder="1"/>
    <xf numFmtId="0" fontId="25" fillId="0" borderId="284" xfId="0" applyFont="1" applyBorder="1"/>
    <xf numFmtId="0" fontId="35" fillId="18" borderId="275" xfId="0" applyFont="1" applyFill="1" applyBorder="1" applyAlignment="1">
      <alignment horizontal="left" vertical="center"/>
    </xf>
    <xf numFmtId="41" fontId="25" fillId="0" borderId="146" xfId="0" applyNumberFormat="1" applyFont="1" applyBorder="1" applyAlignment="1">
      <alignment vertical="center"/>
    </xf>
    <xf numFmtId="0" fontId="25" fillId="0" borderId="283" xfId="0" applyFont="1" applyBorder="1" applyAlignment="1">
      <alignment vertical="center" wrapText="1"/>
    </xf>
    <xf numFmtId="41" fontId="25" fillId="0" borderId="123" xfId="0" applyNumberFormat="1" applyFont="1" applyBorder="1"/>
    <xf numFmtId="41" fontId="25" fillId="0" borderId="148" xfId="0" applyNumberFormat="1" applyFont="1" applyBorder="1"/>
    <xf numFmtId="0" fontId="33" fillId="17" borderId="275" xfId="0" applyFont="1" applyFill="1" applyBorder="1" applyAlignment="1">
      <alignment vertical="center"/>
    </xf>
    <xf numFmtId="0" fontId="35" fillId="18" borderId="285" xfId="0" applyFont="1" applyFill="1" applyBorder="1" applyAlignment="1">
      <alignment horizontal="left" vertical="center"/>
    </xf>
    <xf numFmtId="0" fontId="36" fillId="13" borderId="275" xfId="0" applyFont="1" applyFill="1" applyBorder="1" applyAlignment="1">
      <alignment horizontal="center" vertical="center"/>
    </xf>
    <xf numFmtId="0" fontId="25" fillId="0" borderId="150" xfId="0" applyFont="1" applyBorder="1" applyAlignment="1">
      <alignment vertical="center" wrapText="1"/>
    </xf>
    <xf numFmtId="41" fontId="25" fillId="0" borderId="292" xfId="0" applyNumberFormat="1" applyFont="1" applyBorder="1" applyAlignment="1">
      <alignment vertical="center" wrapText="1"/>
    </xf>
    <xf numFmtId="0" fontId="25" fillId="0" borderId="293" xfId="0" applyFont="1" applyBorder="1"/>
    <xf numFmtId="0" fontId="4" fillId="0" borderId="294" xfId="0" applyFont="1" applyBorder="1"/>
    <xf numFmtId="0" fontId="4" fillId="0" borderId="295" xfId="0" applyFont="1" applyBorder="1"/>
    <xf numFmtId="0" fontId="25" fillId="0" borderId="296" xfId="0" applyFont="1" applyBorder="1"/>
    <xf numFmtId="0" fontId="25" fillId="0" borderId="297" xfId="0" applyFont="1" applyBorder="1"/>
    <xf numFmtId="41" fontId="21" fillId="0" borderId="298" xfId="0" applyNumberFormat="1" applyFont="1" applyBorder="1" applyAlignment="1">
      <alignment horizontal="left" vertical="center" wrapText="1"/>
    </xf>
    <xf numFmtId="41" fontId="20" fillId="12" borderId="299" xfId="0" applyNumberFormat="1" applyFont="1" applyFill="1" applyBorder="1" applyAlignment="1">
      <alignment vertical="center" wrapText="1"/>
    </xf>
    <xf numFmtId="41" fontId="21" fillId="0" borderId="298" xfId="0" applyNumberFormat="1" applyFont="1" applyBorder="1" applyAlignment="1">
      <alignment vertical="center" wrapText="1"/>
    </xf>
    <xf numFmtId="41" fontId="21" fillId="0" borderId="299" xfId="0" applyNumberFormat="1" applyFont="1" applyBorder="1" applyAlignment="1">
      <alignment vertical="center" wrapText="1"/>
    </xf>
    <xf numFmtId="0" fontId="0" fillId="19" borderId="98" xfId="0" applyFill="1" applyBorder="1"/>
    <xf numFmtId="0" fontId="0" fillId="20" borderId="98" xfId="0" applyFill="1" applyBorder="1"/>
    <xf numFmtId="0" fontId="39" fillId="14" borderId="98" xfId="0" applyFont="1" applyFill="1" applyBorder="1"/>
    <xf numFmtId="0" fontId="0" fillId="0" borderId="0" xfId="0" applyFill="1"/>
    <xf numFmtId="0" fontId="0" fillId="21" borderId="98" xfId="0" applyFill="1" applyBorder="1"/>
    <xf numFmtId="0" fontId="28" fillId="0" borderId="0" xfId="0" applyFont="1" applyBorder="1" applyAlignment="1">
      <alignment vertical="center"/>
    </xf>
    <xf numFmtId="0" fontId="0" fillId="22" borderId="98" xfId="0" applyFill="1" applyBorder="1"/>
    <xf numFmtId="0" fontId="0" fillId="23" borderId="98" xfId="0" applyFill="1" applyBorder="1"/>
    <xf numFmtId="0" fontId="0" fillId="24" borderId="98" xfId="0" applyFill="1" applyBorder="1"/>
    <xf numFmtId="0" fontId="0" fillId="25" borderId="98" xfId="0" applyFill="1" applyBorder="1"/>
    <xf numFmtId="0" fontId="0" fillId="26" borderId="98" xfId="0" applyFill="1" applyBorder="1"/>
    <xf numFmtId="0" fontId="0" fillId="27" borderId="98" xfId="0" applyFill="1" applyBorder="1"/>
    <xf numFmtId="0" fontId="0" fillId="28" borderId="98" xfId="0" applyFill="1" applyBorder="1"/>
    <xf numFmtId="0" fontId="0" fillId="29" borderId="98" xfId="0" applyFill="1" applyBorder="1"/>
    <xf numFmtId="0" fontId="0" fillId="30" borderId="98" xfId="0" applyFill="1" applyBorder="1"/>
    <xf numFmtId="0" fontId="0" fillId="31" borderId="98" xfId="0" applyFill="1" applyBorder="1"/>
    <xf numFmtId="0" fontId="0" fillId="0" borderId="98" xfId="0" applyBorder="1"/>
    <xf numFmtId="41" fontId="31" fillId="0" borderId="0" xfId="1" applyFont="1" applyAlignment="1">
      <alignment vertical="center"/>
    </xf>
    <xf numFmtId="0" fontId="4" fillId="2" borderId="0" xfId="0" applyFont="1" applyFill="1" applyAlignment="1">
      <alignment vertical="center"/>
    </xf>
    <xf numFmtId="0" fontId="7" fillId="0" borderId="10" xfId="0" applyFont="1" applyBorder="1" applyAlignment="1">
      <alignment vertical="center"/>
    </xf>
    <xf numFmtId="0" fontId="3" fillId="3" borderId="300" xfId="0" applyFont="1" applyFill="1" applyBorder="1" applyAlignment="1">
      <alignment vertical="center"/>
    </xf>
    <xf numFmtId="0" fontId="3" fillId="3" borderId="23" xfId="0" applyFont="1" applyFill="1" applyBorder="1" applyAlignment="1">
      <alignment vertical="center"/>
    </xf>
    <xf numFmtId="41" fontId="3" fillId="3" borderId="301" xfId="1" applyFont="1" applyFill="1" applyBorder="1" applyAlignment="1">
      <alignment vertical="center" wrapText="1"/>
    </xf>
    <xf numFmtId="0" fontId="7" fillId="0" borderId="3" xfId="0" applyFont="1" applyBorder="1" applyAlignment="1">
      <alignment vertical="center" wrapText="1"/>
    </xf>
    <xf numFmtId="41" fontId="7" fillId="0" borderId="25" xfId="1" applyFont="1" applyBorder="1" applyAlignment="1">
      <alignment vertical="center"/>
    </xf>
    <xf numFmtId="41" fontId="7" fillId="0" borderId="305" xfId="1" applyFont="1" applyBorder="1" applyAlignment="1">
      <alignment vertical="center"/>
    </xf>
    <xf numFmtId="0" fontId="3" fillId="4" borderId="2" xfId="0" applyFont="1" applyFill="1" applyBorder="1" applyAlignment="1">
      <alignment vertical="center" wrapText="1"/>
    </xf>
    <xf numFmtId="0" fontId="4" fillId="5" borderId="6" xfId="0" applyFont="1" applyFill="1" applyBorder="1" applyAlignment="1">
      <alignment horizontal="center" vertical="center"/>
    </xf>
    <xf numFmtId="0" fontId="4" fillId="5" borderId="6" xfId="0" applyFont="1" applyFill="1" applyBorder="1" applyAlignment="1">
      <alignment horizontal="left" vertical="center"/>
    </xf>
    <xf numFmtId="0" fontId="4" fillId="5" borderId="61" xfId="0" applyFont="1" applyFill="1" applyBorder="1" applyAlignment="1">
      <alignment vertical="center" wrapText="1"/>
    </xf>
    <xf numFmtId="0" fontId="5" fillId="6" borderId="5" xfId="0" applyFont="1" applyFill="1" applyBorder="1" applyAlignment="1">
      <alignment horizontal="center" vertical="center"/>
    </xf>
    <xf numFmtId="0" fontId="7" fillId="0" borderId="306" xfId="0" applyFont="1" applyBorder="1" applyAlignment="1">
      <alignment horizontal="center" vertical="center"/>
    </xf>
    <xf numFmtId="0" fontId="7" fillId="0" borderId="307" xfId="0" applyFont="1" applyBorder="1" applyAlignment="1">
      <alignment vertical="center"/>
    </xf>
    <xf numFmtId="0" fontId="7" fillId="0" borderId="307" xfId="0" applyFont="1" applyBorder="1" applyAlignment="1">
      <alignment horizontal="center" vertical="center"/>
    </xf>
    <xf numFmtId="0" fontId="7" fillId="0" borderId="63" xfId="0" applyFont="1" applyBorder="1" applyAlignment="1">
      <alignment vertical="center" wrapText="1"/>
    </xf>
    <xf numFmtId="41" fontId="7" fillId="0" borderId="28" xfId="1" applyFont="1" applyBorder="1" applyAlignment="1">
      <alignment vertical="center"/>
    </xf>
    <xf numFmtId="41" fontId="7" fillId="0" borderId="19" xfId="1" applyFont="1" applyBorder="1" applyAlignment="1">
      <alignment vertical="center"/>
    </xf>
    <xf numFmtId="0" fontId="4" fillId="2" borderId="13" xfId="0" applyFont="1" applyFill="1" applyBorder="1" applyAlignment="1">
      <alignment horizontal="center" vertical="center"/>
    </xf>
    <xf numFmtId="0" fontId="4" fillId="5" borderId="2" xfId="0" applyFont="1" applyFill="1" applyBorder="1" applyAlignment="1">
      <alignment vertical="center" wrapText="1"/>
    </xf>
    <xf numFmtId="0" fontId="5" fillId="2" borderId="13" xfId="0" applyFont="1" applyFill="1" applyBorder="1" applyAlignment="1">
      <alignment horizontal="center" vertical="center"/>
    </xf>
    <xf numFmtId="0" fontId="7" fillId="2" borderId="13" xfId="0" applyFont="1" applyFill="1" applyBorder="1" applyAlignment="1">
      <alignment horizontal="center" vertical="center"/>
    </xf>
    <xf numFmtId="0" fontId="5" fillId="6" borderId="2" xfId="0" applyFont="1" applyFill="1" applyBorder="1" applyAlignment="1">
      <alignment horizontal="left" vertical="center" wrapText="1" indent="2"/>
    </xf>
    <xf numFmtId="41" fontId="7" fillId="0" borderId="25" xfId="1" applyFont="1" applyFill="1" applyBorder="1" applyAlignment="1">
      <alignment vertical="center"/>
    </xf>
    <xf numFmtId="0" fontId="4" fillId="5" borderId="5" xfId="0" applyFont="1" applyFill="1" applyBorder="1" applyAlignment="1">
      <alignment horizontal="center" vertical="center"/>
    </xf>
    <xf numFmtId="0" fontId="4" fillId="5" borderId="5" xfId="0" applyFont="1" applyFill="1" applyBorder="1" applyAlignment="1">
      <alignment horizontal="left" vertical="center"/>
    </xf>
    <xf numFmtId="0" fontId="4" fillId="5" borderId="63" xfId="0" applyFont="1" applyFill="1" applyBorder="1" applyAlignment="1">
      <alignment vertical="center" wrapText="1"/>
    </xf>
    <xf numFmtId="41" fontId="7" fillId="0" borderId="312" xfId="1" applyFont="1" applyBorder="1" applyAlignment="1">
      <alignment vertical="center"/>
    </xf>
    <xf numFmtId="0" fontId="7" fillId="0" borderId="177" xfId="0" applyFont="1" applyBorder="1" applyAlignment="1">
      <alignment vertical="center"/>
    </xf>
    <xf numFmtId="0" fontId="7" fillId="0" borderId="177" xfId="0" applyFont="1" applyBorder="1" applyAlignment="1">
      <alignment vertical="center" wrapText="1"/>
    </xf>
    <xf numFmtId="41" fontId="34" fillId="3" borderId="301" xfId="1" applyFont="1" applyFill="1" applyBorder="1" applyAlignment="1">
      <alignment vertical="center" wrapText="1"/>
    </xf>
    <xf numFmtId="41" fontId="3" fillId="3" borderId="314" xfId="1" applyFont="1" applyFill="1" applyBorder="1" applyAlignment="1">
      <alignment vertical="center" wrapText="1"/>
    </xf>
    <xf numFmtId="41" fontId="31" fillId="0" borderId="305" xfId="1" applyFont="1" applyBorder="1" applyAlignment="1">
      <alignment vertical="center"/>
    </xf>
    <xf numFmtId="41" fontId="7" fillId="0" borderId="55" xfId="1" applyFont="1" applyBorder="1" applyAlignment="1">
      <alignment vertical="center"/>
    </xf>
    <xf numFmtId="41" fontId="7" fillId="0" borderId="58" xfId="1" applyFont="1" applyBorder="1" applyAlignment="1">
      <alignment vertical="center"/>
    </xf>
    <xf numFmtId="0" fontId="7" fillId="0" borderId="18" xfId="0" applyFont="1" applyBorder="1" applyAlignment="1">
      <alignment horizontal="center" vertical="center" wrapText="1"/>
    </xf>
    <xf numFmtId="41" fontId="3" fillId="4" borderId="59" xfId="1" applyFont="1" applyFill="1" applyBorder="1" applyAlignment="1">
      <alignment vertical="center"/>
    </xf>
    <xf numFmtId="41" fontId="5" fillId="5" borderId="59" xfId="1" applyFont="1" applyFill="1" applyBorder="1" applyAlignment="1">
      <alignment vertical="center"/>
    </xf>
    <xf numFmtId="0" fontId="4" fillId="5" borderId="4" xfId="0" applyFont="1" applyFill="1" applyBorder="1" applyAlignment="1">
      <alignment horizontal="center" vertical="center" wrapText="1"/>
    </xf>
    <xf numFmtId="41" fontId="40" fillId="6" borderId="17" xfId="1" applyFont="1" applyFill="1" applyBorder="1" applyAlignment="1">
      <alignment vertical="center"/>
    </xf>
    <xf numFmtId="41" fontId="5" fillId="6" borderId="59" xfId="1" applyFont="1" applyFill="1" applyBorder="1" applyAlignment="1">
      <alignment vertical="center"/>
    </xf>
    <xf numFmtId="41" fontId="7" fillId="0" borderId="56" xfId="1" applyFont="1" applyBorder="1" applyAlignment="1">
      <alignment horizontal="center" vertical="center"/>
    </xf>
    <xf numFmtId="41" fontId="7" fillId="0" borderId="316" xfId="1" applyFont="1" applyBorder="1" applyAlignment="1">
      <alignment horizontal="center" vertical="center"/>
    </xf>
    <xf numFmtId="0" fontId="7" fillId="0" borderId="62" xfId="0" applyFont="1" applyBorder="1" applyAlignment="1">
      <alignment horizontal="center" vertical="center" wrapText="1"/>
    </xf>
    <xf numFmtId="41" fontId="7" fillId="0" borderId="63" xfId="0" applyNumberFormat="1" applyFont="1" applyBorder="1" applyAlignment="1">
      <alignment horizontal="center" vertical="center" wrapText="1"/>
    </xf>
    <xf numFmtId="41" fontId="7" fillId="0" borderId="55" xfId="1" applyFont="1" applyBorder="1" applyAlignment="1">
      <alignment horizontal="center" vertical="center"/>
    </xf>
    <xf numFmtId="41" fontId="7" fillId="0" borderId="58" xfId="1" applyFont="1" applyBorder="1" applyAlignment="1">
      <alignment horizontal="center" vertical="center"/>
    </xf>
    <xf numFmtId="41" fontId="7" fillId="0" borderId="37" xfId="0" applyNumberFormat="1" applyFont="1" applyBorder="1" applyAlignment="1">
      <alignment horizontal="center" vertical="center" wrapText="1"/>
    </xf>
    <xf numFmtId="41" fontId="5" fillId="4" borderId="59" xfId="1" applyFont="1" applyFill="1" applyBorder="1" applyAlignment="1">
      <alignment vertical="center"/>
    </xf>
    <xf numFmtId="41" fontId="31" fillId="0" borderId="40" xfId="1" applyFont="1" applyBorder="1" applyAlignment="1">
      <alignment vertical="center"/>
    </xf>
    <xf numFmtId="41" fontId="7" fillId="0" borderId="38" xfId="1" applyFont="1" applyBorder="1" applyAlignment="1">
      <alignment vertical="center"/>
    </xf>
    <xf numFmtId="41" fontId="7" fillId="0" borderId="59" xfId="1" applyFont="1" applyBorder="1" applyAlignment="1">
      <alignment vertical="center"/>
    </xf>
    <xf numFmtId="0" fontId="7" fillId="0" borderId="4" xfId="0" applyFont="1" applyBorder="1" applyAlignment="1">
      <alignment horizontal="center" vertical="center" wrapText="1"/>
    </xf>
    <xf numFmtId="41" fontId="7" fillId="0" borderId="2" xfId="0" applyNumberFormat="1" applyFont="1" applyBorder="1" applyAlignment="1">
      <alignment horizontal="center" vertical="center" wrapText="1"/>
    </xf>
    <xf numFmtId="41" fontId="4" fillId="5" borderId="4" xfId="1" applyFont="1" applyFill="1" applyBorder="1" applyAlignment="1">
      <alignment horizontal="center" vertical="center"/>
    </xf>
    <xf numFmtId="41" fontId="5" fillId="6" borderId="4" xfId="1" applyFont="1" applyFill="1" applyBorder="1" applyAlignment="1">
      <alignment horizontal="center" vertical="center"/>
    </xf>
    <xf numFmtId="41" fontId="31" fillId="0" borderId="17" xfId="1" applyFont="1" applyBorder="1" applyAlignment="1">
      <alignment vertical="center"/>
    </xf>
    <xf numFmtId="41" fontId="31" fillId="0" borderId="40" xfId="1" applyFont="1" applyFill="1" applyBorder="1" applyAlignment="1">
      <alignment vertical="center"/>
    </xf>
    <xf numFmtId="0" fontId="7" fillId="0"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41" fontId="7" fillId="0" borderId="316" xfId="1" applyFont="1" applyBorder="1" applyAlignment="1">
      <alignment vertical="center"/>
    </xf>
    <xf numFmtId="41" fontId="7" fillId="0" borderId="5" xfId="1" applyFont="1" applyBorder="1" applyAlignment="1">
      <alignment vertical="center"/>
    </xf>
    <xf numFmtId="41" fontId="31" fillId="0" borderId="312" xfId="1" applyFont="1" applyBorder="1" applyAlignment="1">
      <alignment vertical="center"/>
    </xf>
    <xf numFmtId="41" fontId="34" fillId="3" borderId="48" xfId="1" applyFont="1" applyFill="1" applyBorder="1" applyAlignment="1">
      <alignment vertical="center"/>
    </xf>
    <xf numFmtId="41" fontId="3" fillId="3" borderId="64" xfId="1" applyFont="1" applyFill="1" applyBorder="1" applyAlignment="1">
      <alignment vertical="center"/>
    </xf>
    <xf numFmtId="41" fontId="3" fillId="3" borderId="305" xfId="1" applyFont="1" applyFill="1" applyBorder="1" applyAlignment="1">
      <alignment horizontal="center" vertical="center" wrapText="1"/>
    </xf>
    <xf numFmtId="41" fontId="7" fillId="0" borderId="37" xfId="1" applyFont="1" applyBorder="1" applyAlignment="1">
      <alignment vertical="center"/>
    </xf>
    <xf numFmtId="41" fontId="3" fillId="4" borderId="2" xfId="1" applyFont="1" applyFill="1" applyBorder="1" applyAlignment="1">
      <alignment horizontal="left" vertical="center"/>
    </xf>
    <xf numFmtId="41" fontId="4" fillId="5" borderId="2" xfId="1" applyFont="1" applyFill="1" applyBorder="1" applyAlignment="1">
      <alignment horizontal="left" vertical="center"/>
    </xf>
    <xf numFmtId="41" fontId="4" fillId="5" borderId="129" xfId="1" applyFont="1" applyFill="1" applyBorder="1" applyAlignment="1">
      <alignment horizontal="left" vertical="center"/>
    </xf>
    <xf numFmtId="41" fontId="4" fillId="5" borderId="153" xfId="1" applyFont="1" applyFill="1" applyBorder="1" applyAlignment="1">
      <alignment horizontal="left" vertical="center"/>
    </xf>
    <xf numFmtId="41" fontId="4" fillId="5" borderId="98" xfId="1" applyFont="1" applyFill="1" applyBorder="1" applyAlignment="1">
      <alignment horizontal="left" vertical="center"/>
    </xf>
    <xf numFmtId="41" fontId="5" fillId="6" borderId="2" xfId="1" applyFont="1" applyFill="1" applyBorder="1" applyAlignment="1">
      <alignment horizontal="left" vertical="center"/>
    </xf>
    <xf numFmtId="41" fontId="5" fillId="6" borderId="129" xfId="1" applyFont="1" applyFill="1" applyBorder="1" applyAlignment="1">
      <alignment horizontal="left" vertical="center"/>
    </xf>
    <xf numFmtId="41" fontId="5" fillId="6" borderId="153" xfId="1" applyFont="1" applyFill="1" applyBorder="1" applyAlignment="1">
      <alignment horizontal="left" vertical="center"/>
    </xf>
    <xf numFmtId="41" fontId="5" fillId="6" borderId="98" xfId="1" applyFont="1" applyFill="1" applyBorder="1" applyAlignment="1">
      <alignment horizontal="left" vertical="center"/>
    </xf>
    <xf numFmtId="0" fontId="28" fillId="0" borderId="119" xfId="0" applyFont="1" applyFill="1" applyBorder="1" applyAlignment="1">
      <alignment horizontal="left" vertical="center" wrapText="1"/>
    </xf>
    <xf numFmtId="0" fontId="28" fillId="0" borderId="129" xfId="0" applyFont="1" applyFill="1" applyBorder="1" applyAlignment="1">
      <alignment horizontal="left" vertical="center" wrapText="1"/>
    </xf>
    <xf numFmtId="0" fontId="28" fillId="0" borderId="153" xfId="0" applyFont="1" applyFill="1" applyBorder="1" applyAlignment="1">
      <alignment horizontal="left" vertical="center" wrapText="1"/>
    </xf>
    <xf numFmtId="0" fontId="28" fillId="0" borderId="98" xfId="0" applyFont="1" applyFill="1" applyBorder="1" applyAlignment="1">
      <alignment horizontal="left" vertical="center" wrapText="1"/>
    </xf>
    <xf numFmtId="41" fontId="28" fillId="0" borderId="119" xfId="0" applyNumberFormat="1" applyFont="1" applyFill="1" applyBorder="1" applyAlignment="1">
      <alignment horizontal="left" vertical="center" wrapText="1"/>
    </xf>
    <xf numFmtId="41" fontId="28" fillId="0" borderId="129" xfId="0" applyNumberFormat="1" applyFont="1" applyFill="1" applyBorder="1" applyAlignment="1">
      <alignment horizontal="left" vertical="center" wrapText="1"/>
    </xf>
    <xf numFmtId="41" fontId="28" fillId="0" borderId="153" xfId="0" applyNumberFormat="1" applyFont="1" applyFill="1" applyBorder="1" applyAlignment="1">
      <alignment horizontal="left" vertical="center" wrapText="1"/>
    </xf>
    <xf numFmtId="41" fontId="28" fillId="0" borderId="98" xfId="0" applyNumberFormat="1" applyFont="1" applyFill="1" applyBorder="1" applyAlignment="1">
      <alignment horizontal="left" vertical="center" wrapText="1"/>
    </xf>
    <xf numFmtId="41" fontId="3" fillId="4" borderId="129" xfId="1" applyFont="1" applyFill="1" applyBorder="1" applyAlignment="1">
      <alignment horizontal="left" vertical="center"/>
    </xf>
    <xf numFmtId="41" fontId="3" fillId="4" borderId="153" xfId="1" applyFont="1" applyFill="1" applyBorder="1" applyAlignment="1">
      <alignment horizontal="left" vertical="center"/>
    </xf>
    <xf numFmtId="41" fontId="3" fillId="4" borderId="98" xfId="1" applyFont="1" applyFill="1" applyBorder="1" applyAlignment="1">
      <alignment horizontal="left" vertical="center"/>
    </xf>
    <xf numFmtId="41" fontId="7" fillId="0" borderId="2" xfId="0" applyNumberFormat="1" applyFont="1" applyBorder="1" applyAlignment="1">
      <alignment horizontal="left" vertical="center" wrapText="1"/>
    </xf>
    <xf numFmtId="41" fontId="7" fillId="0" borderId="153" xfId="0" applyNumberFormat="1" applyFont="1" applyBorder="1" applyAlignment="1">
      <alignment horizontal="left" vertical="center" wrapText="1"/>
    </xf>
    <xf numFmtId="41" fontId="7" fillId="0" borderId="98" xfId="0" applyNumberFormat="1" applyFont="1" applyBorder="1" applyAlignment="1">
      <alignment horizontal="left" vertical="center" wrapText="1"/>
    </xf>
    <xf numFmtId="41" fontId="7" fillId="0" borderId="0" xfId="1" applyFont="1" applyAlignment="1">
      <alignment horizontal="center" vertical="center"/>
    </xf>
    <xf numFmtId="41" fontId="7" fillId="0" borderId="63" xfId="0" applyNumberFormat="1" applyFont="1" applyBorder="1" applyAlignment="1">
      <alignment horizontal="left" vertical="center" wrapText="1"/>
    </xf>
    <xf numFmtId="41" fontId="7" fillId="0" borderId="37" xfId="0" applyNumberFormat="1" applyFont="1" applyBorder="1" applyAlignment="1">
      <alignment horizontal="left" vertical="center" wrapText="1"/>
    </xf>
    <xf numFmtId="41" fontId="3" fillId="3" borderId="318" xfId="1" applyFont="1" applyFill="1" applyBorder="1" applyAlignment="1">
      <alignment vertical="center"/>
    </xf>
    <xf numFmtId="41" fontId="3" fillId="3" borderId="38" xfId="1" applyFont="1" applyFill="1" applyBorder="1" applyAlignment="1">
      <alignment horizontal="center" vertical="center" wrapText="1"/>
    </xf>
    <xf numFmtId="41" fontId="7" fillId="0" borderId="68" xfId="1" applyFont="1" applyBorder="1" applyAlignment="1">
      <alignment horizontal="center" vertical="center"/>
    </xf>
    <xf numFmtId="0" fontId="7" fillId="0" borderId="60" xfId="0" applyFont="1" applyBorder="1" applyAlignment="1">
      <alignment horizontal="center" vertical="center" wrapText="1"/>
    </xf>
    <xf numFmtId="0" fontId="7" fillId="0" borderId="61" xfId="0" applyFont="1" applyBorder="1" applyAlignment="1">
      <alignment horizontal="center" vertical="center" wrapText="1"/>
    </xf>
    <xf numFmtId="41" fontId="3" fillId="4" borderId="33" xfId="1" applyFont="1" applyFill="1" applyBorder="1" applyAlignment="1">
      <alignment horizontal="left" vertical="center"/>
    </xf>
    <xf numFmtId="41" fontId="3" fillId="4" borderId="38" xfId="1" applyFont="1" applyFill="1" applyBorder="1" applyAlignment="1">
      <alignment horizontal="center" vertical="center"/>
    </xf>
    <xf numFmtId="41" fontId="3" fillId="4" borderId="4" xfId="1" applyFont="1" applyFill="1" applyBorder="1" applyAlignment="1">
      <alignment horizontal="center" wrapText="1"/>
    </xf>
    <xf numFmtId="41" fontId="3" fillId="4" borderId="1" xfId="1" applyFont="1" applyFill="1" applyBorder="1" applyAlignment="1">
      <alignment horizontal="center" wrapText="1"/>
    </xf>
    <xf numFmtId="41" fontId="3" fillId="4" borderId="2" xfId="1" applyFont="1" applyFill="1" applyBorder="1" applyAlignment="1">
      <alignment horizontal="center" wrapText="1"/>
    </xf>
    <xf numFmtId="41" fontId="4" fillId="5" borderId="59" xfId="1" applyFont="1" applyFill="1" applyBorder="1" applyAlignment="1">
      <alignment horizontal="left" vertical="center"/>
    </xf>
    <xf numFmtId="41" fontId="4" fillId="5" borderId="38" xfId="1" applyFont="1" applyFill="1" applyBorder="1" applyAlignment="1">
      <alignment horizontal="center" vertical="center"/>
    </xf>
    <xf numFmtId="41" fontId="4" fillId="5" borderId="4" xfId="1" applyFont="1" applyFill="1" applyBorder="1" applyAlignment="1">
      <alignment horizontal="center" vertical="center" wrapText="1"/>
    </xf>
    <xf numFmtId="41" fontId="4" fillId="5" borderId="2" xfId="1" applyFont="1" applyFill="1" applyBorder="1" applyAlignment="1">
      <alignment horizontal="center" vertical="center" wrapText="1"/>
    </xf>
    <xf numFmtId="41" fontId="5" fillId="6" borderId="59" xfId="1" applyFont="1" applyFill="1" applyBorder="1" applyAlignment="1">
      <alignment horizontal="left" vertical="center"/>
    </xf>
    <xf numFmtId="41" fontId="5" fillId="6" borderId="38" xfId="1" applyFont="1" applyFill="1" applyBorder="1" applyAlignment="1">
      <alignment horizontal="center" vertical="center"/>
    </xf>
    <xf numFmtId="41" fontId="5" fillId="6" borderId="4" xfId="1" applyFont="1" applyFill="1" applyBorder="1" applyAlignment="1">
      <alignment horizontal="center" vertical="center" wrapText="1"/>
    </xf>
    <xf numFmtId="41" fontId="5" fillId="6" borderId="2" xfId="1" applyFont="1" applyFill="1" applyBorder="1" applyAlignment="1">
      <alignment horizontal="center" vertical="center" wrapText="1"/>
    </xf>
    <xf numFmtId="41" fontId="28" fillId="0" borderId="164" xfId="0" applyNumberFormat="1" applyFont="1" applyBorder="1" applyAlignment="1">
      <alignment horizontal="left" vertical="center" wrapText="1"/>
    </xf>
    <xf numFmtId="41" fontId="7" fillId="0" borderId="4" xfId="0" applyNumberFormat="1" applyFont="1" applyBorder="1" applyAlignment="1">
      <alignment horizontal="center" vertical="center" wrapText="1"/>
    </xf>
    <xf numFmtId="41" fontId="7" fillId="0" borderId="4" xfId="1" applyFont="1" applyBorder="1" applyAlignment="1">
      <alignment horizontal="center" vertical="center" wrapText="1"/>
    </xf>
    <xf numFmtId="41" fontId="7" fillId="0" borderId="1" xfId="1" applyFont="1" applyBorder="1" applyAlignment="1">
      <alignment horizontal="center" vertical="center" wrapText="1"/>
    </xf>
    <xf numFmtId="41" fontId="7" fillId="0" borderId="4" xfId="1" applyFont="1" applyFill="1" applyBorder="1" applyAlignment="1">
      <alignment horizontal="center" vertical="center" wrapText="1"/>
    </xf>
    <xf numFmtId="0" fontId="28" fillId="0" borderId="164" xfId="0" applyFont="1" applyBorder="1" applyAlignment="1">
      <alignment horizontal="left" vertical="center" wrapText="1"/>
    </xf>
    <xf numFmtId="41" fontId="7" fillId="0" borderId="59" xfId="0" applyNumberFormat="1" applyFont="1" applyBorder="1" applyAlignment="1">
      <alignment horizontal="left" vertical="center" wrapText="1"/>
    </xf>
    <xf numFmtId="41" fontId="3" fillId="4" borderId="59" xfId="1" applyFont="1" applyFill="1" applyBorder="1" applyAlignment="1">
      <alignment horizontal="left" vertical="center"/>
    </xf>
    <xf numFmtId="41" fontId="3" fillId="4" borderId="4" xfId="1" applyFont="1" applyFill="1" applyBorder="1" applyAlignment="1">
      <alignment horizontal="center" vertical="center" wrapText="1"/>
    </xf>
    <xf numFmtId="41" fontId="3" fillId="4" borderId="1" xfId="1" applyFont="1" applyFill="1" applyBorder="1" applyAlignment="1">
      <alignment horizontal="center" vertical="center" wrapText="1"/>
    </xf>
    <xf numFmtId="41" fontId="3" fillId="4" borderId="2" xfId="1" applyFont="1" applyFill="1" applyBorder="1" applyAlignment="1">
      <alignment horizontal="center" vertical="center" wrapText="1"/>
    </xf>
    <xf numFmtId="41" fontId="7" fillId="0" borderId="2" xfId="1" applyFont="1" applyBorder="1" applyAlignment="1">
      <alignment horizontal="center" vertical="center" wrapText="1"/>
    </xf>
    <xf numFmtId="41" fontId="7" fillId="0" borderId="25" xfId="0" applyNumberFormat="1" applyFont="1" applyBorder="1" applyAlignment="1">
      <alignment horizontal="left" vertical="center" wrapText="1"/>
    </xf>
    <xf numFmtId="0" fontId="7" fillId="0" borderId="25" xfId="0" applyNumberFormat="1" applyFont="1" applyBorder="1" applyAlignment="1">
      <alignment horizontal="center" vertical="center" wrapText="1"/>
    </xf>
    <xf numFmtId="41" fontId="7" fillId="0" borderId="1" xfId="1" applyFont="1" applyFill="1" applyBorder="1" applyAlignment="1">
      <alignment horizontal="center" vertical="center" wrapText="1"/>
    </xf>
    <xf numFmtId="41" fontId="3" fillId="3" borderId="51" xfId="1" applyFont="1" applyFill="1" applyBorder="1" applyAlignment="1">
      <alignment horizontal="center" vertical="center"/>
    </xf>
    <xf numFmtId="41" fontId="3" fillId="3" borderId="45" xfId="1" applyFont="1" applyFill="1" applyBorder="1" applyAlignment="1">
      <alignment horizontal="center" vertical="center" wrapText="1"/>
    </xf>
    <xf numFmtId="41" fontId="3" fillId="3" borderId="46" xfId="1" applyFont="1" applyFill="1" applyBorder="1" applyAlignment="1">
      <alignment horizontal="center" vertical="center" wrapText="1"/>
    </xf>
    <xf numFmtId="41" fontId="3" fillId="3" borderId="47" xfId="1" applyFont="1" applyFill="1" applyBorder="1" applyAlignment="1">
      <alignment horizontal="center" vertical="center" wrapText="1"/>
    </xf>
    <xf numFmtId="0" fontId="7" fillId="0" borderId="325" xfId="0" applyFont="1" applyBorder="1" applyAlignment="1">
      <alignment horizontal="left" vertical="center" wrapText="1"/>
    </xf>
    <xf numFmtId="41" fontId="3" fillId="4" borderId="33" xfId="1" applyFont="1" applyFill="1" applyBorder="1" applyAlignment="1">
      <alignment horizontal="left" wrapText="1"/>
    </xf>
    <xf numFmtId="41" fontId="4" fillId="5" borderId="33" xfId="1" applyFont="1" applyFill="1" applyBorder="1" applyAlignment="1">
      <alignment horizontal="left" vertical="center" wrapText="1"/>
    </xf>
    <xf numFmtId="41" fontId="5" fillId="6" borderId="33" xfId="1" applyFont="1" applyFill="1" applyBorder="1" applyAlignment="1">
      <alignment horizontal="left" vertical="center" wrapText="1"/>
    </xf>
    <xf numFmtId="41" fontId="7" fillId="0" borderId="33" xfId="1" applyFont="1" applyFill="1" applyBorder="1" applyAlignment="1">
      <alignment horizontal="left" vertical="center" wrapText="1"/>
    </xf>
    <xf numFmtId="41" fontId="3" fillId="4" borderId="33" xfId="1" applyFont="1" applyFill="1" applyBorder="1" applyAlignment="1">
      <alignment horizontal="left" vertical="center" wrapText="1"/>
    </xf>
    <xf numFmtId="41" fontId="7" fillId="0" borderId="33" xfId="1" applyFont="1" applyBorder="1" applyAlignment="1">
      <alignment horizontal="left" vertical="center" wrapText="1"/>
    </xf>
    <xf numFmtId="41" fontId="3" fillId="3" borderId="50" xfId="1" applyFont="1" applyFill="1" applyBorder="1" applyAlignment="1">
      <alignment horizontal="left" vertical="center" wrapText="1"/>
    </xf>
    <xf numFmtId="42" fontId="3" fillId="0" borderId="0" xfId="2" applyFont="1" applyAlignment="1">
      <alignment vertical="center"/>
    </xf>
    <xf numFmtId="42" fontId="7" fillId="0" borderId="0" xfId="0" applyNumberFormat="1" applyFont="1" applyAlignment="1">
      <alignment vertical="center" wrapText="1"/>
    </xf>
    <xf numFmtId="0" fontId="31" fillId="0" borderId="2" xfId="0" applyFont="1" applyBorder="1" applyAlignment="1">
      <alignment vertical="center" wrapText="1"/>
    </xf>
    <xf numFmtId="41" fontId="4" fillId="5" borderId="59" xfId="1" applyFont="1" applyFill="1" applyBorder="1" applyAlignment="1">
      <alignment vertical="center"/>
    </xf>
    <xf numFmtId="41" fontId="5" fillId="6" borderId="4" xfId="1" applyFont="1" applyFill="1" applyBorder="1" applyAlignment="1">
      <alignment horizontal="right" vertical="center"/>
    </xf>
    <xf numFmtId="41" fontId="4" fillId="5" borderId="33" xfId="1" applyFont="1" applyFill="1" applyBorder="1" applyAlignment="1">
      <alignment horizontal="left" vertical="center"/>
    </xf>
    <xf numFmtId="41" fontId="4" fillId="5" borderId="4" xfId="1" applyFont="1" applyFill="1" applyBorder="1" applyAlignment="1">
      <alignment horizontal="center" wrapText="1"/>
    </xf>
    <xf numFmtId="41" fontId="4" fillId="5" borderId="1" xfId="1" applyFont="1" applyFill="1" applyBorder="1" applyAlignment="1">
      <alignment horizontal="center" wrapText="1"/>
    </xf>
    <xf numFmtId="41" fontId="4" fillId="5" borderId="2" xfId="1" applyFont="1" applyFill="1" applyBorder="1" applyAlignment="1">
      <alignment horizontal="center" wrapText="1"/>
    </xf>
    <xf numFmtId="41" fontId="7" fillId="0" borderId="25" xfId="0" applyNumberFormat="1" applyFont="1" applyBorder="1" applyAlignment="1">
      <alignment vertical="center" wrapText="1"/>
    </xf>
    <xf numFmtId="41" fontId="7" fillId="8" borderId="63" xfId="1" applyFont="1" applyFill="1" applyBorder="1" applyAlignment="1">
      <alignment horizontal="center" vertical="center" wrapText="1"/>
    </xf>
    <xf numFmtId="41" fontId="4" fillId="5" borderId="33" xfId="1" applyFont="1" applyFill="1" applyBorder="1" applyAlignment="1">
      <alignment horizontal="left" wrapText="1"/>
    </xf>
    <xf numFmtId="41" fontId="7" fillId="0" borderId="326" xfId="1" applyFont="1" applyBorder="1" applyAlignment="1">
      <alignment vertical="center" wrapText="1"/>
    </xf>
    <xf numFmtId="0" fontId="28" fillId="0" borderId="2" xfId="0" applyFont="1" applyBorder="1" applyAlignment="1">
      <alignment vertical="center" wrapText="1"/>
    </xf>
    <xf numFmtId="41" fontId="4" fillId="5" borderId="4" xfId="1" applyFont="1" applyFill="1" applyBorder="1" applyAlignment="1">
      <alignment horizontal="right" vertical="center"/>
    </xf>
    <xf numFmtId="41" fontId="7" fillId="0" borderId="59" xfId="1" applyFont="1" applyBorder="1" applyAlignment="1">
      <alignment vertical="center" wrapText="1"/>
    </xf>
    <xf numFmtId="41" fontId="5" fillId="6" borderId="316" xfId="1" applyFont="1" applyFill="1" applyBorder="1" applyAlignment="1">
      <alignment horizontal="left" vertical="center"/>
    </xf>
    <xf numFmtId="41" fontId="28" fillId="0" borderId="98" xfId="0" applyNumberFormat="1" applyFont="1" applyBorder="1" applyAlignment="1">
      <alignment horizontal="left" vertical="center" wrapText="1"/>
    </xf>
    <xf numFmtId="41" fontId="7" fillId="0" borderId="3" xfId="1" applyFont="1" applyFill="1" applyBorder="1" applyAlignment="1">
      <alignment horizontal="center" vertical="center" wrapText="1"/>
    </xf>
    <xf numFmtId="41" fontId="3" fillId="3" borderId="327" xfId="1" applyFont="1" applyFill="1" applyBorder="1" applyAlignment="1">
      <alignment vertical="center"/>
    </xf>
    <xf numFmtId="41" fontId="7" fillId="8" borderId="33" xfId="1" applyFont="1" applyFill="1" applyBorder="1" applyAlignment="1">
      <alignment horizontal="left" vertical="center" wrapText="1"/>
    </xf>
    <xf numFmtId="0" fontId="7" fillId="0" borderId="37" xfId="0" applyFont="1" applyBorder="1" applyAlignment="1">
      <alignment vertical="center" wrapText="1"/>
    </xf>
    <xf numFmtId="41" fontId="7" fillId="0" borderId="25" xfId="1" applyFont="1" applyBorder="1" applyAlignment="1">
      <alignment vertical="center" wrapText="1"/>
    </xf>
    <xf numFmtId="41" fontId="4" fillId="5" borderId="40" xfId="1" applyFont="1" applyFill="1" applyBorder="1" applyAlignment="1">
      <alignment vertical="center"/>
    </xf>
    <xf numFmtId="41" fontId="5" fillId="6" borderId="40" xfId="1" applyFont="1" applyFill="1" applyBorder="1" applyAlignment="1">
      <alignment vertical="center"/>
    </xf>
    <xf numFmtId="41" fontId="5" fillId="6" borderId="3" xfId="1" applyFont="1" applyFill="1" applyBorder="1" applyAlignment="1">
      <alignment vertical="center"/>
    </xf>
    <xf numFmtId="41" fontId="7" fillId="0" borderId="316" xfId="1" applyFont="1" applyBorder="1" applyAlignment="1">
      <alignment horizontal="center" vertical="center" wrapText="1"/>
    </xf>
    <xf numFmtId="41" fontId="7" fillId="0" borderId="329" xfId="1" applyFont="1" applyBorder="1" applyAlignment="1">
      <alignment horizontal="center" vertical="center" wrapText="1"/>
    </xf>
    <xf numFmtId="41" fontId="7" fillId="0" borderId="58" xfId="1" applyFont="1" applyBorder="1" applyAlignment="1">
      <alignment horizontal="center" vertical="center" wrapText="1"/>
    </xf>
    <xf numFmtId="41" fontId="31" fillId="0" borderId="40" xfId="1" applyFont="1" applyBorder="1" applyAlignment="1">
      <alignment vertical="center" wrapText="1"/>
    </xf>
    <xf numFmtId="41" fontId="27" fillId="5" borderId="40" xfId="1" applyFont="1" applyFill="1" applyBorder="1" applyAlignment="1">
      <alignment vertical="center"/>
    </xf>
    <xf numFmtId="41" fontId="5" fillId="5" borderId="38" xfId="1" applyFont="1" applyFill="1" applyBorder="1" applyAlignment="1">
      <alignment vertical="center"/>
    </xf>
    <xf numFmtId="41" fontId="40" fillId="6" borderId="40" xfId="1" applyFont="1" applyFill="1" applyBorder="1" applyAlignment="1">
      <alignment vertical="center"/>
    </xf>
    <xf numFmtId="41" fontId="5" fillId="6" borderId="63" xfId="1" applyFont="1" applyFill="1" applyBorder="1" applyAlignment="1">
      <alignment horizontal="left" vertical="center"/>
    </xf>
    <xf numFmtId="41" fontId="5" fillId="6" borderId="123" xfId="1" applyFont="1" applyFill="1" applyBorder="1" applyAlignment="1">
      <alignment horizontal="left" vertical="center"/>
    </xf>
    <xf numFmtId="41" fontId="5" fillId="6" borderId="0" xfId="1" applyFont="1" applyFill="1" applyBorder="1" applyAlignment="1">
      <alignment horizontal="left" vertical="center"/>
    </xf>
    <xf numFmtId="41" fontId="5" fillId="6" borderId="61" xfId="1" applyFont="1" applyFill="1" applyBorder="1" applyAlignment="1">
      <alignment horizontal="left" vertical="center"/>
    </xf>
    <xf numFmtId="41" fontId="7" fillId="0" borderId="54" xfId="0" applyNumberFormat="1" applyFont="1" applyBorder="1" applyAlignment="1">
      <alignment horizontal="left" vertical="center" wrapText="1"/>
    </xf>
    <xf numFmtId="41" fontId="5" fillId="6" borderId="3" xfId="1" applyFont="1" applyFill="1" applyBorder="1" applyAlignment="1">
      <alignment horizontal="left" vertical="center"/>
    </xf>
    <xf numFmtId="41" fontId="28" fillId="0" borderId="0" xfId="0" applyNumberFormat="1" applyFont="1" applyFill="1" applyBorder="1" applyAlignment="1">
      <alignment horizontal="left" vertical="center" wrapText="1"/>
    </xf>
    <xf numFmtId="41" fontId="7" fillId="0" borderId="3" xfId="0" applyNumberFormat="1" applyFont="1" applyBorder="1" applyAlignment="1">
      <alignment horizontal="left" vertical="center" wrapText="1"/>
    </xf>
    <xf numFmtId="41" fontId="4" fillId="5" borderId="3" xfId="1" applyFont="1" applyFill="1" applyBorder="1" applyAlignment="1">
      <alignment horizontal="left" vertical="center"/>
    </xf>
    <xf numFmtId="41" fontId="5" fillId="6" borderId="33" xfId="1" applyFont="1" applyFill="1" applyBorder="1" applyAlignment="1">
      <alignment horizontal="left" vertical="center"/>
    </xf>
    <xf numFmtId="41" fontId="5" fillId="6" borderId="4" xfId="1" applyFont="1" applyFill="1" applyBorder="1" applyAlignment="1">
      <alignment horizontal="center" wrapText="1"/>
    </xf>
    <xf numFmtId="41" fontId="5" fillId="6" borderId="1" xfId="1" applyFont="1" applyFill="1" applyBorder="1" applyAlignment="1">
      <alignment horizontal="center" wrapText="1"/>
    </xf>
    <xf numFmtId="41" fontId="5" fillId="6" borderId="2" xfId="1" applyFont="1" applyFill="1" applyBorder="1" applyAlignment="1">
      <alignment horizontal="center" wrapText="1"/>
    </xf>
    <xf numFmtId="41" fontId="7" fillId="0" borderId="316" xfId="0" applyNumberFormat="1" applyFont="1" applyBorder="1" applyAlignment="1">
      <alignment horizontal="left" vertical="center" wrapText="1"/>
    </xf>
    <xf numFmtId="41" fontId="7" fillId="0" borderId="56" xfId="0" applyNumberFormat="1" applyFont="1" applyBorder="1" applyAlignment="1">
      <alignment horizontal="center" vertical="center" wrapText="1"/>
    </xf>
    <xf numFmtId="41" fontId="7" fillId="0" borderId="5" xfId="1" applyFont="1" applyBorder="1" applyAlignment="1">
      <alignment horizontal="center" vertical="center" wrapText="1"/>
    </xf>
    <xf numFmtId="41" fontId="7" fillId="0" borderId="102" xfId="0" applyNumberFormat="1" applyFont="1" applyBorder="1" applyAlignment="1">
      <alignment horizontal="left" vertical="center" wrapText="1"/>
    </xf>
    <xf numFmtId="41" fontId="28" fillId="0" borderId="175" xfId="0" applyNumberFormat="1" applyFont="1" applyBorder="1" applyAlignment="1">
      <alignment horizontal="left" vertical="center" wrapText="1"/>
    </xf>
    <xf numFmtId="41" fontId="5" fillId="6" borderId="33" xfId="1" applyFont="1" applyFill="1" applyBorder="1" applyAlignment="1">
      <alignment horizontal="left" wrapText="1"/>
    </xf>
    <xf numFmtId="0" fontId="31" fillId="0" borderId="0" xfId="0" applyFont="1" applyAlignment="1">
      <alignment vertical="center"/>
    </xf>
    <xf numFmtId="0" fontId="5" fillId="0" borderId="0" xfId="0" applyFont="1" applyFill="1" applyAlignment="1">
      <alignment vertical="center"/>
    </xf>
    <xf numFmtId="41" fontId="7" fillId="0" borderId="28" xfId="1" applyFont="1" applyBorder="1" applyAlignment="1">
      <alignment horizontal="center" vertical="center"/>
    </xf>
    <xf numFmtId="0" fontId="31" fillId="0" borderId="13" xfId="0" applyFont="1" applyBorder="1" applyAlignment="1">
      <alignment horizontal="center" vertical="center"/>
    </xf>
    <xf numFmtId="0" fontId="31" fillId="0" borderId="6" xfId="0" applyFont="1" applyBorder="1" applyAlignment="1">
      <alignment vertical="center"/>
    </xf>
    <xf numFmtId="0" fontId="31" fillId="0" borderId="7" xfId="0" applyFont="1" applyBorder="1" applyAlignment="1">
      <alignment vertical="center"/>
    </xf>
    <xf numFmtId="41" fontId="31" fillId="0" borderId="25" xfId="1" applyFont="1" applyBorder="1" applyAlignment="1">
      <alignment vertical="center"/>
    </xf>
    <xf numFmtId="0" fontId="5" fillId="0" borderId="13" xfId="0" applyFont="1" applyFill="1" applyBorder="1" applyAlignment="1">
      <alignment horizontal="center" vertical="center"/>
    </xf>
    <xf numFmtId="0" fontId="5" fillId="0" borderId="6" xfId="0" applyFont="1" applyFill="1" applyBorder="1" applyAlignment="1">
      <alignment vertical="center"/>
    </xf>
    <xf numFmtId="0" fontId="5" fillId="0" borderId="6" xfId="0" applyFont="1" applyFill="1" applyBorder="1" applyAlignment="1">
      <alignment horizontal="center" vertical="center"/>
    </xf>
    <xf numFmtId="0" fontId="31" fillId="0" borderId="63" xfId="0" applyFont="1" applyBorder="1" applyAlignment="1">
      <alignment horizontal="left" vertical="center" wrapText="1"/>
    </xf>
    <xf numFmtId="41" fontId="31" fillId="0" borderId="19" xfId="1" applyFont="1" applyBorder="1" applyAlignment="1">
      <alignment horizontal="center" vertical="center"/>
    </xf>
    <xf numFmtId="41" fontId="31" fillId="0" borderId="20" xfId="1" applyFont="1" applyBorder="1" applyAlignment="1">
      <alignment horizontal="center" vertical="center"/>
    </xf>
    <xf numFmtId="41" fontId="31" fillId="0" borderId="38" xfId="1" applyFont="1" applyBorder="1" applyAlignment="1">
      <alignment vertical="center"/>
    </xf>
    <xf numFmtId="41" fontId="31" fillId="0" borderId="59" xfId="1" applyFont="1" applyBorder="1" applyAlignment="1">
      <alignment vertical="center"/>
    </xf>
    <xf numFmtId="0" fontId="31" fillId="0" borderId="4" xfId="0" applyFont="1" applyBorder="1" applyAlignment="1">
      <alignment horizontal="center" vertical="center" wrapText="1"/>
    </xf>
    <xf numFmtId="41" fontId="31" fillId="0" borderId="1" xfId="1" applyFont="1" applyBorder="1" applyAlignment="1">
      <alignment vertical="center"/>
    </xf>
    <xf numFmtId="41" fontId="31" fillId="0" borderId="2" xfId="0" applyNumberFormat="1" applyFont="1" applyBorder="1" applyAlignment="1">
      <alignment horizontal="center" vertical="center" wrapText="1"/>
    </xf>
    <xf numFmtId="41" fontId="5" fillId="0" borderId="59" xfId="1" applyFont="1" applyFill="1" applyBorder="1" applyAlignment="1">
      <alignment vertical="center"/>
    </xf>
    <xf numFmtId="41" fontId="5" fillId="0" borderId="4" xfId="1" applyFont="1" applyFill="1" applyBorder="1" applyAlignment="1">
      <alignment vertical="center"/>
    </xf>
    <xf numFmtId="41" fontId="7" fillId="0" borderId="2" xfId="1" applyFont="1" applyBorder="1" applyAlignment="1">
      <alignment horizontal="center" vertical="center"/>
    </xf>
    <xf numFmtId="41" fontId="5" fillId="0" borderId="1" xfId="1" applyFont="1" applyFill="1" applyBorder="1" applyAlignment="1">
      <alignment vertical="center"/>
    </xf>
    <xf numFmtId="0" fontId="28" fillId="0" borderId="147" xfId="0" applyFont="1" applyFill="1" applyBorder="1" applyAlignment="1">
      <alignment horizontal="left" vertical="center" wrapText="1"/>
    </xf>
    <xf numFmtId="0" fontId="28" fillId="0" borderId="128" xfId="0" applyFont="1" applyFill="1" applyBorder="1" applyAlignment="1">
      <alignment horizontal="left" vertical="center" wrapText="1"/>
    </xf>
    <xf numFmtId="41" fontId="7" fillId="0" borderId="5" xfId="0" applyNumberFormat="1" applyFont="1" applyBorder="1" applyAlignment="1">
      <alignment horizontal="center" vertical="center" wrapText="1"/>
    </xf>
    <xf numFmtId="41" fontId="7" fillId="0" borderId="7" xfId="0" applyNumberFormat="1" applyFont="1" applyBorder="1" applyAlignment="1">
      <alignment horizontal="center" vertical="center" wrapText="1"/>
    </xf>
    <xf numFmtId="41" fontId="31" fillId="0" borderId="1" xfId="0" applyNumberFormat="1" applyFont="1" applyBorder="1" applyAlignment="1">
      <alignment horizontal="center" vertical="center" wrapText="1"/>
    </xf>
    <xf numFmtId="41" fontId="31" fillId="0" borderId="2" xfId="0" applyNumberFormat="1" applyFont="1" applyBorder="1" applyAlignment="1">
      <alignment horizontal="left" vertical="center" wrapText="1"/>
    </xf>
    <xf numFmtId="41" fontId="31" fillId="0" borderId="129" xfId="0" applyNumberFormat="1" applyFont="1" applyBorder="1" applyAlignment="1">
      <alignment horizontal="left" vertical="center" wrapText="1"/>
    </xf>
    <xf numFmtId="41" fontId="31" fillId="0" borderId="3" xfId="0" applyNumberFormat="1" applyFont="1" applyBorder="1" applyAlignment="1">
      <alignment horizontal="left" vertical="center" wrapText="1"/>
    </xf>
    <xf numFmtId="41" fontId="7" fillId="0" borderId="2" xfId="1" applyFont="1" applyBorder="1" applyAlignment="1">
      <alignment horizontal="left" vertical="center"/>
    </xf>
    <xf numFmtId="41" fontId="7" fillId="0" borderId="129" xfId="1" applyFont="1" applyBorder="1" applyAlignment="1">
      <alignment horizontal="left" vertical="center"/>
    </xf>
    <xf numFmtId="41" fontId="7" fillId="0" borderId="3" xfId="1" applyFont="1" applyBorder="1" applyAlignment="1">
      <alignment horizontal="left" vertical="center"/>
    </xf>
    <xf numFmtId="41" fontId="7" fillId="0" borderId="0" xfId="1" applyFont="1" applyBorder="1" applyAlignment="1">
      <alignment horizontal="left" vertical="center"/>
    </xf>
    <xf numFmtId="0" fontId="28" fillId="0" borderId="115" xfId="0" applyFont="1" applyFill="1" applyBorder="1" applyAlignment="1">
      <alignment horizontal="left" vertical="center" wrapText="1"/>
    </xf>
    <xf numFmtId="41" fontId="28" fillId="0" borderId="103" xfId="0" applyNumberFormat="1" applyFont="1" applyFill="1" applyBorder="1" applyAlignment="1">
      <alignment horizontal="center" vertical="center" wrapText="1"/>
    </xf>
    <xf numFmtId="0" fontId="28" fillId="0" borderId="175" xfId="0" applyFont="1" applyBorder="1" applyAlignment="1">
      <alignment horizontal="left" vertical="center" wrapText="1"/>
    </xf>
    <xf numFmtId="41" fontId="7" fillId="0" borderId="62" xfId="1" applyFont="1" applyBorder="1" applyAlignment="1">
      <alignment horizontal="center" vertical="center" wrapText="1"/>
    </xf>
    <xf numFmtId="0" fontId="7" fillId="0" borderId="38" xfId="0" applyNumberFormat="1" applyFont="1" applyBorder="1" applyAlignment="1">
      <alignment horizontal="center" vertical="center" wrapText="1"/>
    </xf>
    <xf numFmtId="41" fontId="31" fillId="0" borderId="33" xfId="0" applyNumberFormat="1" applyFont="1" applyBorder="1" applyAlignment="1">
      <alignment horizontal="left" vertical="center" wrapText="1"/>
    </xf>
    <xf numFmtId="41" fontId="31" fillId="0" borderId="4" xfId="0" applyNumberFormat="1" applyFont="1" applyBorder="1" applyAlignment="1">
      <alignment horizontal="center" vertical="center" wrapText="1"/>
    </xf>
    <xf numFmtId="41" fontId="31" fillId="0" borderId="25" xfId="0" applyNumberFormat="1" applyFont="1" applyBorder="1" applyAlignment="1">
      <alignment vertical="center" wrapText="1"/>
    </xf>
    <xf numFmtId="0" fontId="31" fillId="0" borderId="38" xfId="0" applyNumberFormat="1" applyFont="1" applyBorder="1" applyAlignment="1">
      <alignment horizontal="center" vertical="center" wrapText="1"/>
    </xf>
    <xf numFmtId="41" fontId="31" fillId="0" borderId="4" xfId="1" applyFont="1" applyBorder="1" applyAlignment="1">
      <alignment horizontal="center" vertical="center" wrapText="1"/>
    </xf>
    <xf numFmtId="41" fontId="31" fillId="0" borderId="1" xfId="1" applyFont="1" applyBorder="1" applyAlignment="1">
      <alignment horizontal="center" vertical="center" wrapText="1"/>
    </xf>
    <xf numFmtId="41" fontId="31" fillId="8" borderId="63" xfId="1" applyFont="1" applyFill="1" applyBorder="1" applyAlignment="1">
      <alignment horizontal="center" vertical="center" wrapText="1"/>
    </xf>
    <xf numFmtId="41" fontId="7" fillId="0" borderId="33" xfId="1" applyFont="1" applyBorder="1" applyAlignment="1">
      <alignment horizontal="left" vertical="center"/>
    </xf>
    <xf numFmtId="41" fontId="28" fillId="0" borderId="175" xfId="0" applyNumberFormat="1" applyFont="1" applyFill="1" applyBorder="1" applyAlignment="1">
      <alignment horizontal="left" vertical="center" wrapText="1"/>
    </xf>
    <xf numFmtId="41" fontId="31" fillId="0" borderId="326" xfId="1" applyFont="1" applyBorder="1" applyAlignment="1">
      <alignment vertical="center" wrapText="1"/>
    </xf>
    <xf numFmtId="41" fontId="7" fillId="0" borderId="6" xfId="0" applyNumberFormat="1" applyFont="1" applyBorder="1" applyAlignment="1">
      <alignment horizontal="center" vertical="center" wrapText="1"/>
    </xf>
    <xf numFmtId="41" fontId="7" fillId="0" borderId="5" xfId="0" applyNumberFormat="1" applyFont="1" applyBorder="1" applyAlignment="1">
      <alignment vertical="center" wrapText="1"/>
    </xf>
    <xf numFmtId="41" fontId="7" fillId="0" borderId="5" xfId="0" applyNumberFormat="1" applyFont="1" applyBorder="1" applyAlignment="1">
      <alignment horizontal="left" vertical="center" wrapText="1"/>
    </xf>
    <xf numFmtId="41" fontId="7" fillId="0" borderId="313" xfId="0" applyNumberFormat="1" applyFont="1" applyBorder="1" applyAlignment="1">
      <alignment horizontal="left" vertical="center" wrapText="1"/>
    </xf>
    <xf numFmtId="41" fontId="3" fillId="3" borderId="98" xfId="1" applyFont="1" applyFill="1" applyBorder="1" applyAlignment="1">
      <alignment vertical="center"/>
    </xf>
    <xf numFmtId="41" fontId="3" fillId="3" borderId="44" xfId="1" applyFont="1" applyFill="1" applyBorder="1" applyAlignment="1">
      <alignment vertical="center"/>
    </xf>
    <xf numFmtId="41" fontId="4" fillId="5" borderId="32" xfId="1" applyFont="1" applyFill="1" applyBorder="1" applyAlignment="1">
      <alignment vertical="top"/>
    </xf>
    <xf numFmtId="41" fontId="7" fillId="0" borderId="60" xfId="0" applyNumberFormat="1" applyFont="1" applyBorder="1" applyAlignment="1">
      <alignment horizontal="center" vertical="center" wrapText="1"/>
    </xf>
    <xf numFmtId="41" fontId="7" fillId="0" borderId="2" xfId="0" applyNumberFormat="1" applyFont="1" applyBorder="1" applyAlignment="1">
      <alignment vertical="center" wrapText="1"/>
    </xf>
    <xf numFmtId="41" fontId="7" fillId="0" borderId="3" xfId="0" applyNumberFormat="1" applyFont="1" applyBorder="1" applyAlignment="1">
      <alignment horizontal="center" vertical="center" wrapText="1"/>
    </xf>
    <xf numFmtId="41" fontId="7" fillId="0" borderId="313" xfId="1" applyFont="1" applyBorder="1" applyAlignment="1">
      <alignment horizontal="center" vertical="center" wrapText="1"/>
    </xf>
    <xf numFmtId="41" fontId="7" fillId="8" borderId="313" xfId="1" applyFont="1" applyFill="1" applyBorder="1" applyAlignment="1">
      <alignment horizontal="center" vertical="center" wrapText="1"/>
    </xf>
    <xf numFmtId="41" fontId="7" fillId="0" borderId="313" xfId="1" applyFont="1" applyBorder="1" applyAlignment="1">
      <alignment vertical="center" wrapText="1"/>
    </xf>
    <xf numFmtId="0" fontId="7" fillId="0" borderId="5" xfId="0" applyFont="1" applyBorder="1" applyAlignment="1">
      <alignment vertical="center" wrapText="1"/>
    </xf>
    <xf numFmtId="0" fontId="7" fillId="0" borderId="60" xfId="0" applyFont="1" applyBorder="1" applyAlignment="1">
      <alignment horizontal="center" vertical="center"/>
    </xf>
    <xf numFmtId="0" fontId="7" fillId="0" borderId="12" xfId="0" applyFont="1" applyBorder="1" applyAlignment="1">
      <alignment horizontal="center" vertical="center" wrapText="1"/>
    </xf>
    <xf numFmtId="41" fontId="7" fillId="0" borderId="56" xfId="1" applyFont="1" applyBorder="1" applyAlignment="1">
      <alignment vertical="center"/>
    </xf>
    <xf numFmtId="41" fontId="5" fillId="6" borderId="313" xfId="1" applyFont="1" applyFill="1" applyBorder="1" applyAlignment="1">
      <alignment horizontal="left" vertical="center"/>
    </xf>
    <xf numFmtId="41" fontId="5" fillId="6" borderId="169" xfId="1" applyFont="1" applyFill="1" applyBorder="1" applyAlignment="1">
      <alignment horizontal="left" vertical="center"/>
    </xf>
    <xf numFmtId="41" fontId="4" fillId="5" borderId="37" xfId="1" applyFont="1" applyFill="1" applyBorder="1" applyAlignment="1">
      <alignment horizontal="left" vertical="center"/>
    </xf>
    <xf numFmtId="41" fontId="7" fillId="0" borderId="98" xfId="0" applyNumberFormat="1" applyFont="1" applyBorder="1" applyAlignment="1">
      <alignment horizontal="center" vertical="center" wrapText="1"/>
    </xf>
    <xf numFmtId="41" fontId="4" fillId="5" borderId="59" xfId="1" applyFont="1" applyFill="1" applyBorder="1" applyAlignment="1">
      <alignment vertical="top"/>
    </xf>
    <xf numFmtId="41" fontId="7" fillId="0" borderId="62" xfId="0" applyNumberFormat="1" applyFont="1" applyBorder="1" applyAlignment="1">
      <alignment horizontal="center" vertical="center" wrapText="1"/>
    </xf>
    <xf numFmtId="41" fontId="7" fillId="0" borderId="63" xfId="0" applyNumberFormat="1" applyFont="1" applyBorder="1" applyAlignment="1">
      <alignment vertical="center" wrapText="1"/>
    </xf>
    <xf numFmtId="41" fontId="4" fillId="5" borderId="33" xfId="1" applyFont="1" applyFill="1" applyBorder="1" applyAlignment="1">
      <alignment vertical="top"/>
    </xf>
    <xf numFmtId="0" fontId="28" fillId="0" borderId="98" xfId="0" applyFont="1" applyBorder="1" applyAlignment="1">
      <alignment horizontal="left" vertical="center" wrapText="1"/>
    </xf>
    <xf numFmtId="41" fontId="28" fillId="0" borderId="164" xfId="0" applyNumberFormat="1" applyFont="1" applyFill="1" applyBorder="1" applyAlignment="1">
      <alignment horizontal="left" vertical="center" wrapText="1"/>
    </xf>
    <xf numFmtId="41" fontId="28" fillId="0" borderId="164" xfId="0" applyNumberFormat="1" applyFont="1" applyBorder="1" applyAlignment="1">
      <alignment vertical="center" wrapText="1"/>
    </xf>
    <xf numFmtId="41" fontId="7" fillId="8" borderId="326" xfId="1" applyFont="1" applyFill="1" applyBorder="1" applyAlignment="1">
      <alignment horizontal="left" vertical="center" wrapText="1"/>
    </xf>
    <xf numFmtId="41" fontId="7" fillId="0" borderId="27" xfId="1" applyFont="1" applyBorder="1" applyAlignment="1">
      <alignment vertical="center" wrapText="1"/>
    </xf>
    <xf numFmtId="41" fontId="7" fillId="0" borderId="20" xfId="1" applyFont="1" applyBorder="1" applyAlignment="1">
      <alignment vertical="center" wrapText="1"/>
    </xf>
    <xf numFmtId="41" fontId="5" fillId="6" borderId="25" xfId="1" applyFont="1" applyFill="1" applyBorder="1" applyAlignment="1">
      <alignment horizontal="right" vertical="center"/>
    </xf>
    <xf numFmtId="41" fontId="7" fillId="0" borderId="25" xfId="1" applyFont="1" applyBorder="1" applyAlignment="1">
      <alignment horizontal="right" vertical="center"/>
    </xf>
    <xf numFmtId="41" fontId="7" fillId="0" borderId="17" xfId="1" applyFont="1" applyBorder="1" applyAlignment="1">
      <alignment horizontal="right" vertical="center"/>
    </xf>
    <xf numFmtId="0" fontId="5" fillId="2" borderId="5" xfId="0" applyFont="1" applyFill="1" applyBorder="1" applyAlignment="1">
      <alignment vertical="center"/>
    </xf>
    <xf numFmtId="0" fontId="7" fillId="8" borderId="63" xfId="0" applyFont="1" applyFill="1" applyBorder="1" applyAlignment="1">
      <alignment horizontal="left" vertical="center" wrapText="1"/>
    </xf>
    <xf numFmtId="0" fontId="7" fillId="8" borderId="37" xfId="0" applyFont="1" applyFill="1" applyBorder="1" applyAlignment="1">
      <alignment horizontal="left" vertical="center" wrapText="1"/>
    </xf>
    <xf numFmtId="0" fontId="7" fillId="0" borderId="5" xfId="0" applyFont="1" applyFill="1" applyBorder="1" applyAlignment="1">
      <alignment horizontal="center" vertical="center"/>
    </xf>
    <xf numFmtId="0" fontId="7" fillId="0" borderId="63" xfId="0" applyFont="1" applyFill="1" applyBorder="1" applyAlignment="1">
      <alignment horizontal="left" vertical="center" wrapText="1"/>
    </xf>
    <xf numFmtId="41" fontId="7" fillId="0" borderId="61" xfId="0" applyNumberFormat="1" applyFont="1" applyFill="1" applyBorder="1" applyAlignment="1">
      <alignment horizontal="left" vertical="center" wrapText="1"/>
    </xf>
    <xf numFmtId="0" fontId="7" fillId="0" borderId="61" xfId="0" applyFont="1" applyFill="1" applyBorder="1" applyAlignment="1">
      <alignment horizontal="left" vertical="center" wrapText="1"/>
    </xf>
    <xf numFmtId="0" fontId="7" fillId="0" borderId="7" xfId="0" applyFont="1" applyFill="1" applyBorder="1" applyAlignment="1">
      <alignment horizontal="center" vertical="center"/>
    </xf>
    <xf numFmtId="0" fontId="7" fillId="0" borderId="37" xfId="0" applyFont="1" applyFill="1" applyBorder="1" applyAlignment="1">
      <alignment horizontal="left" vertical="center" wrapText="1"/>
    </xf>
    <xf numFmtId="41" fontId="7" fillId="0" borderId="316" xfId="1" applyFont="1" applyFill="1" applyBorder="1" applyAlignment="1">
      <alignment horizontal="center" vertical="center"/>
    </xf>
    <xf numFmtId="41" fontId="7" fillId="0" borderId="5" xfId="1" applyFont="1" applyFill="1" applyBorder="1" applyAlignment="1">
      <alignment horizontal="center" vertical="center"/>
    </xf>
    <xf numFmtId="41" fontId="7" fillId="0" borderId="329" xfId="1" applyFont="1" applyFill="1" applyBorder="1" applyAlignment="1">
      <alignment horizontal="center" vertical="center"/>
    </xf>
    <xf numFmtId="41" fontId="7" fillId="0" borderId="7" xfId="1" applyFont="1" applyFill="1" applyBorder="1" applyAlignment="1">
      <alignment horizontal="center" vertical="center"/>
    </xf>
    <xf numFmtId="41" fontId="7" fillId="0" borderId="58" xfId="1" applyFont="1" applyFill="1" applyBorder="1" applyAlignment="1">
      <alignment horizontal="center" vertical="center"/>
    </xf>
    <xf numFmtId="41" fontId="7" fillId="0" borderId="2" xfId="0" applyNumberFormat="1" applyFont="1" applyFill="1" applyBorder="1" applyAlignment="1">
      <alignment horizontal="left" vertical="center" wrapText="1"/>
    </xf>
    <xf numFmtId="41" fontId="7" fillId="0" borderId="129" xfId="0" applyNumberFormat="1" applyFont="1" applyFill="1" applyBorder="1" applyAlignment="1">
      <alignment horizontal="left" vertical="center" wrapText="1"/>
    </xf>
    <xf numFmtId="41" fontId="7" fillId="0" borderId="153" xfId="0" applyNumberFormat="1" applyFont="1" applyFill="1" applyBorder="1" applyAlignment="1">
      <alignment horizontal="left" vertical="center" wrapText="1"/>
    </xf>
    <xf numFmtId="41" fontId="7" fillId="0" borderId="98" xfId="0" applyNumberFormat="1" applyFont="1" applyFill="1" applyBorder="1" applyAlignment="1">
      <alignment horizontal="left" vertical="center" wrapText="1"/>
    </xf>
    <xf numFmtId="41" fontId="7" fillId="0" borderId="25" xfId="0" applyNumberFormat="1" applyFont="1" applyFill="1" applyBorder="1" applyAlignment="1">
      <alignment vertical="center" wrapText="1"/>
    </xf>
    <xf numFmtId="41" fontId="7" fillId="0" borderId="25" xfId="0" applyNumberFormat="1" applyFont="1" applyFill="1" applyBorder="1" applyAlignment="1">
      <alignment horizontal="center" vertical="center" wrapText="1"/>
    </xf>
    <xf numFmtId="0" fontId="7" fillId="0" borderId="0" xfId="0" applyFont="1" applyBorder="1" applyAlignment="1">
      <alignment vertical="center"/>
    </xf>
    <xf numFmtId="0" fontId="7" fillId="0" borderId="313" xfId="0" applyFont="1" applyBorder="1" applyAlignment="1">
      <alignment vertical="center" wrapText="1"/>
    </xf>
    <xf numFmtId="0" fontId="5" fillId="0" borderId="5" xfId="0" applyFont="1" applyFill="1" applyBorder="1" applyAlignment="1">
      <alignment vertical="center"/>
    </xf>
    <xf numFmtId="0" fontId="7" fillId="0" borderId="5" xfId="0" applyFont="1" applyFill="1" applyBorder="1" applyAlignment="1">
      <alignment vertical="center"/>
    </xf>
    <xf numFmtId="41" fontId="3" fillId="3" borderId="317" xfId="1" applyFont="1" applyFill="1" applyBorder="1" applyAlignment="1">
      <alignment vertical="center" wrapText="1"/>
    </xf>
    <xf numFmtId="41" fontId="5" fillId="6" borderId="326" xfId="1" applyFont="1" applyFill="1" applyBorder="1" applyAlignment="1">
      <alignment horizontal="left" vertical="center"/>
    </xf>
    <xf numFmtId="41" fontId="7" fillId="0" borderId="98" xfId="1" applyFont="1" applyBorder="1" applyAlignment="1">
      <alignment vertical="center"/>
    </xf>
    <xf numFmtId="41" fontId="7" fillId="0" borderId="98" xfId="1" applyFont="1" applyBorder="1" applyAlignment="1">
      <alignment vertical="center" wrapText="1"/>
    </xf>
    <xf numFmtId="0" fontId="42" fillId="0" borderId="0" xfId="0" applyFont="1" applyAlignment="1">
      <alignment horizontal="center"/>
    </xf>
    <xf numFmtId="0" fontId="7" fillId="8" borderId="334" xfId="0" applyFont="1" applyFill="1" applyBorder="1" applyAlignment="1"/>
    <xf numFmtId="0" fontId="7" fillId="8" borderId="334" xfId="0" applyFont="1" applyFill="1" applyBorder="1" applyAlignment="1">
      <alignment horizontal="right"/>
    </xf>
    <xf numFmtId="0" fontId="3" fillId="16" borderId="335" xfId="0" applyFont="1" applyFill="1" applyBorder="1" applyAlignment="1">
      <alignment horizontal="center" vertical="center"/>
    </xf>
    <xf numFmtId="0" fontId="3" fillId="16" borderId="336" xfId="0" applyFont="1" applyFill="1" applyBorder="1" applyAlignment="1">
      <alignment horizontal="center" vertical="center" wrapText="1"/>
    </xf>
    <xf numFmtId="0" fontId="4" fillId="16" borderId="336" xfId="0" applyFont="1" applyFill="1" applyBorder="1" applyAlignment="1">
      <alignment horizontal="center" vertical="center"/>
    </xf>
    <xf numFmtId="0" fontId="4" fillId="16" borderId="336" xfId="0" applyFont="1" applyFill="1" applyBorder="1" applyAlignment="1">
      <alignment horizontal="center" vertical="center" wrapText="1"/>
    </xf>
    <xf numFmtId="0" fontId="4" fillId="16" borderId="337" xfId="0" applyFont="1" applyFill="1" applyBorder="1" applyAlignment="1">
      <alignment horizontal="center" vertical="center"/>
    </xf>
    <xf numFmtId="0" fontId="4" fillId="3" borderId="338" xfId="0" applyFont="1" applyFill="1" applyBorder="1" applyAlignment="1">
      <alignment horizontal="center" vertical="center"/>
    </xf>
    <xf numFmtId="0" fontId="4" fillId="3" borderId="98" xfId="0" applyFont="1" applyFill="1" applyBorder="1" applyAlignment="1">
      <alignment vertical="center"/>
    </xf>
    <xf numFmtId="166" fontId="4" fillId="3" borderId="98" xfId="1" applyNumberFormat="1" applyFont="1" applyFill="1" applyBorder="1" applyAlignment="1">
      <alignment vertical="center"/>
    </xf>
    <xf numFmtId="166" fontId="4" fillId="3" borderId="339" xfId="1" applyNumberFormat="1" applyFont="1" applyFill="1" applyBorder="1" applyAlignment="1">
      <alignment vertical="center"/>
    </xf>
    <xf numFmtId="0" fontId="43" fillId="0" borderId="338" xfId="0" applyFont="1" applyFill="1" applyBorder="1" applyAlignment="1">
      <alignment horizontal="right"/>
    </xf>
    <xf numFmtId="0" fontId="43" fillId="0" borderId="98" xfId="0" applyFont="1" applyFill="1" applyBorder="1" applyAlignment="1">
      <alignment horizontal="left" indent="2"/>
    </xf>
    <xf numFmtId="166" fontId="43" fillId="0" borderId="98" xfId="0" applyNumberFormat="1" applyFont="1" applyBorder="1"/>
    <xf numFmtId="166" fontId="43" fillId="0" borderId="339" xfId="1" applyNumberFormat="1" applyFont="1" applyFill="1" applyBorder="1" applyAlignment="1">
      <alignment vertical="center"/>
    </xf>
    <xf numFmtId="166" fontId="43" fillId="0" borderId="98" xfId="1" applyNumberFormat="1" applyFont="1" applyFill="1" applyBorder="1" applyAlignment="1">
      <alignment vertical="center"/>
    </xf>
    <xf numFmtId="0" fontId="4" fillId="3" borderId="338" xfId="0" applyFont="1" applyFill="1" applyBorder="1" applyAlignment="1">
      <alignment horizontal="center"/>
    </xf>
    <xf numFmtId="0" fontId="4" fillId="3" borderId="98" xfId="0" applyFont="1" applyFill="1" applyBorder="1"/>
    <xf numFmtId="0" fontId="25" fillId="16" borderId="340" xfId="0" applyFont="1" applyFill="1" applyBorder="1" applyAlignment="1">
      <alignment vertical="center"/>
    </xf>
    <xf numFmtId="0" fontId="4" fillId="16" borderId="341" xfId="0" applyFont="1" applyFill="1" applyBorder="1" applyAlignment="1">
      <alignment horizontal="center" vertical="center"/>
    </xf>
    <xf numFmtId="164" fontId="4" fillId="16" borderId="341" xfId="0" applyNumberFormat="1" applyFont="1" applyFill="1" applyBorder="1" applyAlignment="1">
      <alignment horizontal="center" vertical="center"/>
    </xf>
    <xf numFmtId="164" fontId="4" fillId="16" borderId="342" xfId="0" applyNumberFormat="1" applyFont="1" applyFill="1" applyBorder="1" applyAlignment="1">
      <alignment horizontal="center" vertical="center"/>
    </xf>
    <xf numFmtId="0" fontId="7" fillId="8" borderId="0" xfId="0" applyFont="1" applyFill="1"/>
    <xf numFmtId="0" fontId="7" fillId="0" borderId="0" xfId="9" applyFont="1" applyFill="1" applyBorder="1" applyAlignment="1">
      <alignment horizontal="center" vertical="top" wrapText="1"/>
    </xf>
    <xf numFmtId="0" fontId="7" fillId="4" borderId="0" xfId="9" applyFont="1" applyFill="1" applyBorder="1" applyAlignment="1">
      <alignment vertical="center"/>
    </xf>
    <xf numFmtId="0" fontId="6" fillId="4" borderId="0" xfId="9" applyFont="1" applyFill="1" applyBorder="1" applyAlignment="1">
      <alignment vertical="center"/>
    </xf>
    <xf numFmtId="0" fontId="7" fillId="3" borderId="0" xfId="9" applyFont="1" applyFill="1" applyBorder="1" applyAlignment="1">
      <alignment vertical="center"/>
    </xf>
    <xf numFmtId="0" fontId="6" fillId="0" borderId="0" xfId="9" applyFont="1" applyFill="1" applyBorder="1" applyAlignment="1">
      <alignment vertical="center"/>
    </xf>
    <xf numFmtId="0" fontId="6" fillId="2" borderId="0" xfId="9" applyFont="1" applyFill="1" applyBorder="1" applyAlignment="1">
      <alignment vertical="center"/>
    </xf>
    <xf numFmtId="0" fontId="7" fillId="32" borderId="0" xfId="9" applyFont="1" applyFill="1" applyBorder="1" applyAlignment="1">
      <alignment vertical="center"/>
    </xf>
    <xf numFmtId="0" fontId="7" fillId="2" borderId="0" xfId="9" applyFont="1" applyFill="1" applyBorder="1" applyAlignment="1">
      <alignment vertical="center"/>
    </xf>
    <xf numFmtId="0" fontId="6" fillId="0" borderId="0" xfId="9" applyFont="1" applyBorder="1" applyAlignment="1">
      <alignment vertical="center"/>
    </xf>
    <xf numFmtId="0" fontId="44" fillId="4" borderId="0" xfId="9" applyFont="1" applyFill="1" applyBorder="1" applyAlignment="1">
      <alignment vertical="center"/>
    </xf>
    <xf numFmtId="0" fontId="45" fillId="33" borderId="0" xfId="9" applyFont="1" applyFill="1" applyBorder="1" applyAlignment="1">
      <alignment vertical="center"/>
    </xf>
    <xf numFmtId="0" fontId="6" fillId="33" borderId="0" xfId="9" applyFont="1" applyFill="1" applyBorder="1" applyAlignment="1">
      <alignment vertical="center"/>
    </xf>
    <xf numFmtId="0" fontId="7" fillId="34" borderId="0" xfId="9" applyFont="1" applyFill="1" applyBorder="1" applyAlignment="1">
      <alignment vertical="center"/>
    </xf>
    <xf numFmtId="0" fontId="5" fillId="0" borderId="0" xfId="9" applyFont="1" applyFill="1" applyBorder="1" applyAlignment="1">
      <alignment vertical="center"/>
    </xf>
    <xf numFmtId="0" fontId="5" fillId="34" borderId="0" xfId="9" applyFont="1" applyFill="1" applyBorder="1" applyAlignment="1">
      <alignment vertical="center"/>
    </xf>
    <xf numFmtId="0" fontId="5" fillId="4" borderId="0" xfId="9" applyFont="1" applyFill="1" applyBorder="1" applyAlignment="1">
      <alignment vertical="center"/>
    </xf>
    <xf numFmtId="0" fontId="46" fillId="0" borderId="0" xfId="9" applyFont="1" applyFill="1" applyBorder="1" applyAlignment="1">
      <alignment vertical="center"/>
    </xf>
    <xf numFmtId="0" fontId="46" fillId="3" borderId="0" xfId="9" applyFont="1" applyFill="1" applyBorder="1" applyAlignment="1">
      <alignment vertical="center"/>
    </xf>
    <xf numFmtId="0" fontId="5" fillId="3" borderId="0" xfId="9" applyFont="1" applyFill="1" applyBorder="1" applyAlignment="1">
      <alignment vertical="center"/>
    </xf>
    <xf numFmtId="0" fontId="6" fillId="0" borderId="0" xfId="9" applyFont="1" applyFill="1" applyBorder="1" applyAlignment="1">
      <alignment horizontal="left" vertical="center"/>
    </xf>
    <xf numFmtId="0" fontId="6" fillId="34" borderId="0" xfId="9" applyFont="1" applyFill="1" applyBorder="1" applyAlignment="1">
      <alignment horizontal="left" vertical="center"/>
    </xf>
    <xf numFmtId="0" fontId="6" fillId="4" borderId="0" xfId="9" applyFont="1" applyFill="1" applyBorder="1" applyAlignment="1">
      <alignment horizontal="left" vertical="center"/>
    </xf>
    <xf numFmtId="0" fontId="7" fillId="34" borderId="0" xfId="9" applyFont="1" applyFill="1" applyBorder="1" applyAlignment="1">
      <alignment horizontal="left" vertical="center"/>
    </xf>
    <xf numFmtId="0" fontId="44" fillId="4" borderId="0" xfId="9" applyFont="1" applyFill="1" applyBorder="1" applyAlignment="1">
      <alignment horizontal="left" vertical="center"/>
    </xf>
    <xf numFmtId="0" fontId="6" fillId="3" borderId="0" xfId="9" applyFont="1" applyFill="1" applyBorder="1" applyAlignment="1">
      <alignment horizontal="left" vertical="center"/>
    </xf>
    <xf numFmtId="0" fontId="7" fillId="0" borderId="0" xfId="9" applyFont="1" applyBorder="1" applyAlignment="1">
      <alignment vertical="center"/>
    </xf>
    <xf numFmtId="0" fontId="7" fillId="0" borderId="0" xfId="9" applyFont="1" applyFill="1" applyBorder="1" applyAlignment="1">
      <alignment horizontal="center" vertical="center"/>
    </xf>
    <xf numFmtId="0" fontId="7" fillId="0" borderId="0" xfId="9" applyFont="1" applyBorder="1" applyAlignment="1">
      <alignment horizontal="center" vertical="center"/>
    </xf>
    <xf numFmtId="0" fontId="7" fillId="0" borderId="0" xfId="9" applyFont="1" applyBorder="1" applyAlignment="1">
      <alignment horizontal="left" vertical="center"/>
    </xf>
    <xf numFmtId="1" fontId="7" fillId="0" borderId="0" xfId="9" applyNumberFormat="1" applyFont="1" applyBorder="1" applyAlignment="1">
      <alignment horizontal="center" vertical="center"/>
    </xf>
    <xf numFmtId="41" fontId="7" fillId="0" borderId="0" xfId="1" applyFont="1" applyBorder="1" applyAlignment="1">
      <alignment horizontal="right" vertical="center"/>
    </xf>
    <xf numFmtId="41" fontId="7" fillId="8" borderId="0" xfId="1" applyFont="1" applyFill="1" applyBorder="1" applyAlignment="1">
      <alignment horizontal="right" vertical="center"/>
    </xf>
    <xf numFmtId="168" fontId="7" fillId="8" borderId="0" xfId="1" applyNumberFormat="1" applyFont="1" applyFill="1" applyBorder="1" applyAlignment="1">
      <alignment horizontal="right" vertical="center"/>
    </xf>
    <xf numFmtId="168" fontId="7" fillId="8" borderId="0" xfId="1" applyNumberFormat="1" applyFont="1" applyFill="1" applyBorder="1" applyAlignment="1">
      <alignment horizontal="center" vertical="center"/>
    </xf>
    <xf numFmtId="0" fontId="7" fillId="8" borderId="0" xfId="1" applyNumberFormat="1" applyFont="1" applyFill="1" applyBorder="1" applyAlignment="1">
      <alignment horizontal="center" vertical="center"/>
    </xf>
    <xf numFmtId="167" fontId="7" fillId="8" borderId="0" xfId="1" applyNumberFormat="1" applyFont="1" applyFill="1" applyBorder="1" applyAlignment="1">
      <alignment horizontal="right" vertical="center"/>
    </xf>
    <xf numFmtId="168" fontId="7" fillId="35" borderId="0" xfId="1" applyNumberFormat="1" applyFont="1" applyFill="1" applyBorder="1" applyAlignment="1">
      <alignment horizontal="left" vertical="center"/>
    </xf>
    <xf numFmtId="168" fontId="7" fillId="0" borderId="0" xfId="1" applyNumberFormat="1" applyFont="1" applyFill="1" applyBorder="1" applyAlignment="1">
      <alignment horizontal="left" vertical="center"/>
    </xf>
    <xf numFmtId="168" fontId="7" fillId="8" borderId="0" xfId="1" applyNumberFormat="1" applyFont="1" applyFill="1" applyBorder="1" applyAlignment="1">
      <alignment horizontal="left" vertical="center"/>
    </xf>
    <xf numFmtId="1" fontId="7" fillId="0" borderId="0" xfId="9" applyNumberFormat="1" applyFont="1" applyFill="1" applyBorder="1" applyAlignment="1">
      <alignment horizontal="center" vertical="center"/>
    </xf>
    <xf numFmtId="0" fontId="7" fillId="0" borderId="0" xfId="9" applyFont="1" applyFill="1" applyBorder="1" applyAlignment="1">
      <alignment vertical="center"/>
    </xf>
    <xf numFmtId="0" fontId="7" fillId="0" borderId="0" xfId="9" applyFont="1" applyFill="1" applyBorder="1" applyAlignment="1">
      <alignment horizontal="right" vertical="center"/>
    </xf>
    <xf numFmtId="166" fontId="7" fillId="0" borderId="0" xfId="1" applyNumberFormat="1" applyFont="1" applyFill="1" applyBorder="1" applyAlignment="1">
      <alignment vertical="center"/>
    </xf>
    <xf numFmtId="0" fontId="5" fillId="0" borderId="98" xfId="9" applyFont="1" applyFill="1" applyBorder="1" applyAlignment="1">
      <alignment horizontal="center" vertical="top" wrapText="1"/>
    </xf>
    <xf numFmtId="0" fontId="5" fillId="0" borderId="18" xfId="9" applyFont="1" applyFill="1" applyBorder="1" applyAlignment="1">
      <alignment horizontal="center" vertical="top" wrapText="1"/>
    </xf>
    <xf numFmtId="0" fontId="5" fillId="0" borderId="7" xfId="9" applyFont="1" applyFill="1" applyBorder="1" applyAlignment="1">
      <alignment horizontal="center" vertical="top" wrapText="1"/>
    </xf>
    <xf numFmtId="0" fontId="7" fillId="4" borderId="18" xfId="9" applyFont="1" applyFill="1" applyBorder="1" applyAlignment="1">
      <alignment horizontal="center" vertical="center"/>
    </xf>
    <xf numFmtId="0" fontId="7" fillId="4" borderId="1" xfId="9" applyFont="1" applyFill="1" applyBorder="1" applyAlignment="1">
      <alignment horizontal="center" vertical="center"/>
    </xf>
    <xf numFmtId="0" fontId="7" fillId="4" borderId="1" xfId="9" applyFont="1" applyFill="1" applyBorder="1" applyAlignment="1">
      <alignment horizontal="left" vertical="center"/>
    </xf>
    <xf numFmtId="41" fontId="7" fillId="4" borderId="1" xfId="1" applyFont="1" applyFill="1" applyBorder="1" applyAlignment="1">
      <alignment horizontal="left" vertical="center"/>
    </xf>
    <xf numFmtId="0" fontId="6" fillId="4" borderId="4" xfId="9" applyFont="1" applyFill="1" applyBorder="1" applyAlignment="1">
      <alignment horizontal="center" vertical="center"/>
    </xf>
    <xf numFmtId="0" fontId="6" fillId="4" borderId="1" xfId="9" applyFont="1" applyFill="1" applyBorder="1" applyAlignment="1">
      <alignment horizontal="center" vertical="center"/>
    </xf>
    <xf numFmtId="0" fontId="6" fillId="4" borderId="1" xfId="9" applyFont="1" applyFill="1" applyBorder="1" applyAlignment="1">
      <alignment horizontal="left" vertical="center"/>
    </xf>
    <xf numFmtId="0" fontId="7" fillId="3" borderId="62" xfId="9" applyFont="1" applyFill="1" applyBorder="1" applyAlignment="1">
      <alignment horizontal="center" vertical="center"/>
    </xf>
    <xf numFmtId="0" fontId="7" fillId="3" borderId="1" xfId="9" applyFont="1" applyFill="1" applyBorder="1" applyAlignment="1">
      <alignment horizontal="center" vertical="center"/>
    </xf>
    <xf numFmtId="0" fontId="7" fillId="3" borderId="1" xfId="9" applyFont="1" applyFill="1" applyBorder="1" applyAlignment="1">
      <alignment horizontal="left" vertical="center"/>
    </xf>
    <xf numFmtId="41" fontId="7" fillId="3" borderId="1" xfId="1" applyFont="1" applyFill="1" applyBorder="1" applyAlignment="1">
      <alignment horizontal="left" vertical="center"/>
    </xf>
    <xf numFmtId="0" fontId="5" fillId="14" borderId="98" xfId="9" applyFont="1" applyFill="1" applyBorder="1" applyAlignment="1">
      <alignment horizontal="center" vertical="center" wrapText="1"/>
    </xf>
    <xf numFmtId="0" fontId="7" fillId="3" borderId="0" xfId="9" applyFont="1" applyFill="1" applyBorder="1" applyAlignment="1">
      <alignment horizontal="center" vertical="center"/>
    </xf>
    <xf numFmtId="0" fontId="7" fillId="3" borderId="0" xfId="9" applyFont="1" applyFill="1" applyBorder="1" applyAlignment="1">
      <alignment horizontal="left" vertical="center"/>
    </xf>
    <xf numFmtId="41" fontId="7" fillId="3" borderId="0" xfId="1" applyFont="1" applyFill="1" applyBorder="1" applyAlignment="1">
      <alignment horizontal="left" vertical="center"/>
    </xf>
    <xf numFmtId="0" fontId="5" fillId="0" borderId="98" xfId="9" applyFont="1" applyFill="1" applyBorder="1" applyAlignment="1">
      <alignment horizontal="left" vertical="center"/>
    </xf>
    <xf numFmtId="0" fontId="7" fillId="0" borderId="98" xfId="9" applyFont="1" applyFill="1" applyBorder="1" applyAlignment="1">
      <alignment horizontal="center" vertical="center"/>
    </xf>
    <xf numFmtId="0" fontId="6" fillId="0" borderId="4" xfId="9" applyFont="1" applyFill="1" applyBorder="1" applyAlignment="1">
      <alignment horizontal="center" vertical="center"/>
    </xf>
    <xf numFmtId="0" fontId="6" fillId="0" borderId="1" xfId="9" applyFont="1" applyFill="1" applyBorder="1" applyAlignment="1">
      <alignment horizontal="center" vertical="center"/>
    </xf>
    <xf numFmtId="0" fontId="6" fillId="0" borderId="1" xfId="9" applyFont="1" applyFill="1" applyBorder="1" applyAlignment="1">
      <alignment horizontal="left" vertical="center"/>
    </xf>
    <xf numFmtId="41" fontId="7" fillId="0" borderId="1" xfId="1" applyFont="1" applyFill="1" applyBorder="1" applyAlignment="1">
      <alignment horizontal="left" vertical="center"/>
    </xf>
    <xf numFmtId="0" fontId="7" fillId="0" borderId="18" xfId="9" applyFont="1" applyFill="1" applyBorder="1" applyAlignment="1">
      <alignment horizontal="center" vertical="center"/>
    </xf>
    <xf numFmtId="0" fontId="7" fillId="0" borderId="1" xfId="9" applyFont="1" applyFill="1" applyBorder="1" applyAlignment="1">
      <alignment horizontal="center" vertical="center"/>
    </xf>
    <xf numFmtId="0" fontId="7" fillId="0" borderId="1" xfId="9" applyFont="1" applyFill="1" applyBorder="1" applyAlignment="1">
      <alignment horizontal="left" vertical="center"/>
    </xf>
    <xf numFmtId="0" fontId="7" fillId="0" borderId="4" xfId="9" applyFont="1" applyFill="1" applyBorder="1" applyAlignment="1">
      <alignment horizontal="center" vertical="center"/>
    </xf>
    <xf numFmtId="0" fontId="6" fillId="2" borderId="4" xfId="9" applyFont="1" applyFill="1" applyBorder="1" applyAlignment="1">
      <alignment horizontal="center" vertical="center"/>
    </xf>
    <xf numFmtId="0" fontId="6" fillId="2" borderId="1" xfId="9" applyFont="1" applyFill="1" applyBorder="1" applyAlignment="1">
      <alignment horizontal="center" vertical="center"/>
    </xf>
    <xf numFmtId="0" fontId="6" fillId="2" borderId="1" xfId="9" applyFont="1" applyFill="1" applyBorder="1" applyAlignment="1">
      <alignment horizontal="left" vertical="center"/>
    </xf>
    <xf numFmtId="41" fontId="7" fillId="2" borderId="1" xfId="1" applyFont="1" applyFill="1" applyBorder="1" applyAlignment="1">
      <alignment horizontal="left" vertical="center"/>
    </xf>
    <xf numFmtId="0" fontId="7" fillId="32" borderId="4" xfId="9" applyFont="1" applyFill="1" applyBorder="1" applyAlignment="1">
      <alignment horizontal="center" vertical="center"/>
    </xf>
    <xf numFmtId="0" fontId="7" fillId="32" borderId="1" xfId="9" applyFont="1" applyFill="1" applyBorder="1" applyAlignment="1">
      <alignment horizontal="center" vertical="center"/>
    </xf>
    <xf numFmtId="0" fontId="7" fillId="32" borderId="1" xfId="9" applyFont="1" applyFill="1" applyBorder="1" applyAlignment="1">
      <alignment horizontal="left" vertical="center"/>
    </xf>
    <xf numFmtId="41" fontId="7" fillId="32" borderId="1" xfId="1" applyFont="1" applyFill="1" applyBorder="1" applyAlignment="1">
      <alignment horizontal="left" vertical="center"/>
    </xf>
    <xf numFmtId="0" fontId="7" fillId="0" borderId="62" xfId="9" applyFont="1" applyFill="1" applyBorder="1" applyAlignment="1">
      <alignment horizontal="center" vertical="center"/>
    </xf>
    <xf numFmtId="0" fontId="7" fillId="2" borderId="4" xfId="9" applyFont="1" applyFill="1" applyBorder="1" applyAlignment="1">
      <alignment horizontal="center" vertical="center"/>
    </xf>
    <xf numFmtId="0" fontId="7" fillId="2" borderId="1" xfId="9" applyFont="1" applyFill="1" applyBorder="1" applyAlignment="1">
      <alignment horizontal="center" vertical="center"/>
    </xf>
    <xf numFmtId="0" fontId="7" fillId="2" borderId="1" xfId="9" applyFont="1" applyFill="1" applyBorder="1" applyAlignment="1">
      <alignment horizontal="left" vertical="center"/>
    </xf>
    <xf numFmtId="41" fontId="31" fillId="2" borderId="1" xfId="1" applyFont="1" applyFill="1" applyBorder="1" applyAlignment="1">
      <alignment horizontal="left" vertical="center"/>
    </xf>
    <xf numFmtId="41" fontId="31" fillId="4" borderId="1" xfId="1" applyFont="1" applyFill="1" applyBorder="1" applyAlignment="1">
      <alignment horizontal="left" vertical="center"/>
    </xf>
    <xf numFmtId="0" fontId="7" fillId="3" borderId="4" xfId="9" applyFont="1" applyFill="1" applyBorder="1" applyAlignment="1">
      <alignment horizontal="center" vertical="center"/>
    </xf>
    <xf numFmtId="0" fontId="6" fillId="4" borderId="60" xfId="9" applyFont="1" applyFill="1" applyBorder="1" applyAlignment="1">
      <alignment horizontal="center" vertical="center"/>
    </xf>
    <xf numFmtId="0" fontId="7" fillId="3" borderId="18" xfId="9" applyFont="1" applyFill="1" applyBorder="1" applyAlignment="1">
      <alignment horizontal="center" vertical="center"/>
    </xf>
    <xf numFmtId="0" fontId="7" fillId="4" borderId="4" xfId="9" applyFont="1" applyFill="1" applyBorder="1" applyAlignment="1">
      <alignment horizontal="center" vertical="center"/>
    </xf>
    <xf numFmtId="0" fontId="44" fillId="4" borderId="4" xfId="9" applyFont="1" applyFill="1" applyBorder="1" applyAlignment="1">
      <alignment horizontal="center" vertical="center"/>
    </xf>
    <xf numFmtId="0" fontId="44" fillId="4" borderId="1" xfId="9" applyFont="1" applyFill="1" applyBorder="1" applyAlignment="1">
      <alignment horizontal="center" vertical="center"/>
    </xf>
    <xf numFmtId="0" fontId="44" fillId="4" borderId="1" xfId="9" applyFont="1" applyFill="1" applyBorder="1" applyAlignment="1">
      <alignment horizontal="left" vertical="center"/>
    </xf>
    <xf numFmtId="41" fontId="32" fillId="4" borderId="1" xfId="1" applyFont="1" applyFill="1" applyBorder="1" applyAlignment="1">
      <alignment horizontal="left" vertical="center"/>
    </xf>
    <xf numFmtId="41" fontId="31" fillId="0" borderId="1" xfId="1" applyFont="1" applyFill="1" applyBorder="1" applyAlignment="1">
      <alignment horizontal="left" vertical="center"/>
    </xf>
    <xf numFmtId="0" fontId="7" fillId="4" borderId="62" xfId="9" applyFont="1" applyFill="1" applyBorder="1" applyAlignment="1">
      <alignment horizontal="center" vertical="center"/>
    </xf>
    <xf numFmtId="0" fontId="5" fillId="0" borderId="37" xfId="9" applyFont="1" applyFill="1" applyBorder="1" applyAlignment="1">
      <alignment horizontal="center" vertical="top" wrapText="1"/>
    </xf>
    <xf numFmtId="1" fontId="5" fillId="0" borderId="7" xfId="9" applyNumberFormat="1" applyFont="1" applyFill="1" applyBorder="1" applyAlignment="1">
      <alignment horizontal="center" vertical="top" wrapText="1"/>
    </xf>
    <xf numFmtId="0" fontId="7" fillId="4" borderId="7" xfId="9" applyFont="1" applyFill="1" applyBorder="1" applyAlignment="1">
      <alignment vertical="center"/>
    </xf>
    <xf numFmtId="1" fontId="7" fillId="4" borderId="1" xfId="9" applyNumberFormat="1" applyFont="1" applyFill="1" applyBorder="1" applyAlignment="1">
      <alignment horizontal="center" vertical="center"/>
    </xf>
    <xf numFmtId="0" fontId="6" fillId="4" borderId="1" xfId="9" applyFont="1" applyFill="1" applyBorder="1" applyAlignment="1">
      <alignment vertical="center"/>
    </xf>
    <xf numFmtId="1" fontId="6" fillId="4" borderId="1" xfId="9" applyNumberFormat="1" applyFont="1" applyFill="1" applyBorder="1" applyAlignment="1">
      <alignment horizontal="center" vertical="center"/>
    </xf>
    <xf numFmtId="0" fontId="7" fillId="3" borderId="5" xfId="9" applyFont="1" applyFill="1" applyBorder="1" applyAlignment="1">
      <alignment vertical="center"/>
    </xf>
    <xf numFmtId="1" fontId="7" fillId="3" borderId="1" xfId="9" applyNumberFormat="1" applyFont="1" applyFill="1" applyBorder="1" applyAlignment="1">
      <alignment horizontal="center" vertical="center"/>
    </xf>
    <xf numFmtId="0" fontId="6" fillId="0" borderId="2" xfId="9" applyFont="1" applyFill="1" applyBorder="1" applyAlignment="1">
      <alignment horizontal="center" vertical="center"/>
    </xf>
    <xf numFmtId="0" fontId="7" fillId="0" borderId="98" xfId="9" applyFont="1" applyFill="1" applyBorder="1" applyAlignment="1">
      <alignment vertical="center"/>
    </xf>
    <xf numFmtId="1" fontId="6" fillId="0" borderId="1" xfId="9" applyNumberFormat="1" applyFont="1" applyFill="1" applyBorder="1" applyAlignment="1">
      <alignment horizontal="center" vertical="center"/>
    </xf>
    <xf numFmtId="0" fontId="7" fillId="0" borderId="7" xfId="9" applyFont="1" applyFill="1" applyBorder="1" applyAlignment="1">
      <alignment horizontal="left" vertical="center"/>
    </xf>
    <xf numFmtId="1" fontId="7" fillId="0" borderId="1" xfId="9" applyNumberFormat="1" applyFont="1" applyFill="1" applyBorder="1" applyAlignment="1">
      <alignment horizontal="center" vertical="center"/>
    </xf>
    <xf numFmtId="0" fontId="6" fillId="2" borderId="1" xfId="9" applyFont="1" applyFill="1" applyBorder="1" applyAlignment="1">
      <alignment vertical="center"/>
    </xf>
    <xf numFmtId="1" fontId="6" fillId="2" borderId="1" xfId="9" applyNumberFormat="1" applyFont="1" applyFill="1" applyBorder="1" applyAlignment="1">
      <alignment horizontal="center" vertical="center"/>
    </xf>
    <xf numFmtId="0" fontId="7" fillId="0" borderId="1" xfId="9" applyFont="1" applyFill="1" applyBorder="1" applyAlignment="1">
      <alignment vertical="center"/>
    </xf>
    <xf numFmtId="0" fontId="7" fillId="32" borderId="1" xfId="9" applyFont="1" applyFill="1" applyBorder="1" applyAlignment="1">
      <alignment vertical="center"/>
    </xf>
    <xf numFmtId="1" fontId="7" fillId="32" borderId="1" xfId="9" applyNumberFormat="1" applyFont="1" applyFill="1" applyBorder="1" applyAlignment="1">
      <alignment horizontal="center" vertical="center"/>
    </xf>
    <xf numFmtId="0" fontId="7" fillId="0" borderId="5" xfId="9" applyFont="1" applyFill="1" applyBorder="1" applyAlignment="1">
      <alignment vertical="center"/>
    </xf>
    <xf numFmtId="0" fontId="6" fillId="2" borderId="2" xfId="9" applyFont="1" applyFill="1" applyBorder="1" applyAlignment="1">
      <alignment horizontal="center" vertical="center"/>
    </xf>
    <xf numFmtId="0" fontId="7" fillId="0" borderId="98" xfId="9" applyFont="1" applyFill="1" applyBorder="1" applyAlignment="1">
      <alignment horizontal="left" vertical="center"/>
    </xf>
    <xf numFmtId="0" fontId="7" fillId="0" borderId="2" xfId="9" applyFont="1" applyFill="1" applyBorder="1" applyAlignment="1">
      <alignment horizontal="center" vertical="center"/>
    </xf>
    <xf numFmtId="1" fontId="7" fillId="2" borderId="1" xfId="9" applyNumberFormat="1" applyFont="1" applyFill="1" applyBorder="1" applyAlignment="1">
      <alignment horizontal="center" vertical="center"/>
    </xf>
    <xf numFmtId="0" fontId="6" fillId="4" borderId="2" xfId="9" applyFont="1" applyFill="1" applyBorder="1" applyAlignment="1">
      <alignment horizontal="center" vertical="center"/>
    </xf>
    <xf numFmtId="0" fontId="6" fillId="4" borderId="6" xfId="9" applyFont="1" applyFill="1" applyBorder="1" applyAlignment="1">
      <alignment vertical="center"/>
    </xf>
    <xf numFmtId="0" fontId="7" fillId="3" borderId="7" xfId="9" applyFont="1" applyFill="1" applyBorder="1" applyAlignment="1">
      <alignment horizontal="left" vertical="center"/>
    </xf>
    <xf numFmtId="0" fontId="32" fillId="4" borderId="1" xfId="9" applyFont="1" applyFill="1" applyBorder="1" applyAlignment="1">
      <alignment horizontal="center" vertical="center"/>
    </xf>
    <xf numFmtId="0" fontId="7" fillId="0" borderId="5" xfId="9" applyFont="1" applyFill="1" applyBorder="1" applyAlignment="1">
      <alignment horizontal="left" vertical="center"/>
    </xf>
    <xf numFmtId="0" fontId="7" fillId="2" borderId="2" xfId="9" applyFont="1" applyFill="1" applyBorder="1" applyAlignment="1">
      <alignment horizontal="center" vertical="center"/>
    </xf>
    <xf numFmtId="0" fontId="7" fillId="4" borderId="5" xfId="9" applyFont="1" applyFill="1" applyBorder="1" applyAlignment="1">
      <alignment horizontal="left" vertical="center"/>
    </xf>
    <xf numFmtId="41" fontId="5" fillId="0" borderId="7" xfId="1" applyFont="1" applyFill="1" applyBorder="1" applyAlignment="1">
      <alignment horizontal="center" vertical="top" wrapText="1"/>
    </xf>
    <xf numFmtId="168" fontId="5" fillId="0" borderId="7" xfId="1" applyNumberFormat="1" applyFont="1" applyFill="1" applyBorder="1" applyAlignment="1">
      <alignment horizontal="center" vertical="top" wrapText="1"/>
    </xf>
    <xf numFmtId="41" fontId="7" fillId="4" borderId="1" xfId="1" applyFont="1" applyFill="1" applyBorder="1" applyAlignment="1">
      <alignment vertical="center"/>
    </xf>
    <xf numFmtId="41" fontId="7" fillId="4" borderId="1" xfId="1" applyFont="1" applyFill="1" applyBorder="1" applyAlignment="1">
      <alignment horizontal="right" vertical="center"/>
    </xf>
    <xf numFmtId="41" fontId="6" fillId="4" borderId="1" xfId="1" applyFont="1" applyFill="1" applyBorder="1" applyAlignment="1">
      <alignment vertical="center"/>
    </xf>
    <xf numFmtId="41" fontId="6" fillId="4" borderId="1" xfId="1" applyFont="1" applyFill="1" applyBorder="1" applyAlignment="1">
      <alignment horizontal="right" vertical="center"/>
    </xf>
    <xf numFmtId="41" fontId="7" fillId="3" borderId="1" xfId="1" applyFont="1" applyFill="1" applyBorder="1" applyAlignment="1">
      <alignment vertical="center"/>
    </xf>
    <xf numFmtId="41" fontId="7" fillId="3" borderId="1" xfId="1" applyFont="1" applyFill="1" applyBorder="1" applyAlignment="1">
      <alignment horizontal="right" vertical="center"/>
    </xf>
    <xf numFmtId="41" fontId="6" fillId="0" borderId="1" xfId="1" applyFont="1" applyFill="1" applyBorder="1" applyAlignment="1">
      <alignment horizontal="right" vertical="center"/>
    </xf>
    <xf numFmtId="41" fontId="7" fillId="0" borderId="1" xfId="1" applyFont="1" applyFill="1" applyBorder="1" applyAlignment="1">
      <alignment horizontal="right" vertical="center"/>
    </xf>
    <xf numFmtId="41" fontId="6" fillId="2" borderId="1" xfId="1" applyFont="1" applyFill="1" applyBorder="1" applyAlignment="1">
      <alignment horizontal="right" vertical="center"/>
    </xf>
    <xf numFmtId="0" fontId="6" fillId="32" borderId="1" xfId="9" applyFont="1" applyFill="1" applyBorder="1" applyAlignment="1">
      <alignment horizontal="center" vertical="center"/>
    </xf>
    <xf numFmtId="41" fontId="7" fillId="32" borderId="1" xfId="1" applyFont="1" applyFill="1" applyBorder="1" applyAlignment="1">
      <alignment horizontal="right" vertical="center"/>
    </xf>
    <xf numFmtId="41" fontId="6" fillId="2" borderId="1" xfId="1" applyNumberFormat="1" applyFont="1" applyFill="1" applyBorder="1" applyAlignment="1">
      <alignment horizontal="center" vertical="center"/>
    </xf>
    <xf numFmtId="41" fontId="7" fillId="2" borderId="1" xfId="1" applyFont="1" applyFill="1" applyBorder="1" applyAlignment="1">
      <alignment horizontal="right" vertical="center"/>
    </xf>
    <xf numFmtId="41" fontId="7" fillId="3" borderId="1" xfId="1" applyFont="1" applyFill="1" applyBorder="1" applyAlignment="1">
      <alignment horizontal="center" vertical="center"/>
    </xf>
    <xf numFmtId="41" fontId="6" fillId="4" borderId="1" xfId="1" applyFont="1" applyFill="1" applyBorder="1" applyAlignment="1">
      <alignment horizontal="center" vertical="center"/>
    </xf>
    <xf numFmtId="41" fontId="7" fillId="2" borderId="1" xfId="1" applyNumberFormat="1" applyFont="1" applyFill="1" applyBorder="1" applyAlignment="1">
      <alignment horizontal="center" vertical="center"/>
    </xf>
    <xf numFmtId="41" fontId="44" fillId="4" borderId="1" xfId="1" applyFont="1" applyFill="1" applyBorder="1" applyAlignment="1">
      <alignment vertical="center"/>
    </xf>
    <xf numFmtId="41" fontId="44" fillId="4" borderId="1" xfId="1" applyFont="1" applyFill="1" applyBorder="1" applyAlignment="1">
      <alignment horizontal="right" vertical="center"/>
    </xf>
    <xf numFmtId="0" fontId="5" fillId="0" borderId="7" xfId="1" applyNumberFormat="1" applyFont="1" applyFill="1" applyBorder="1" applyAlignment="1">
      <alignment horizontal="center" vertical="top" wrapText="1"/>
    </xf>
    <xf numFmtId="167" fontId="5" fillId="0" borderId="7" xfId="1" applyNumberFormat="1" applyFont="1" applyFill="1" applyBorder="1" applyAlignment="1">
      <alignment horizontal="center" vertical="top" wrapText="1"/>
    </xf>
    <xf numFmtId="41" fontId="7" fillId="4" borderId="1" xfId="1" applyFont="1" applyFill="1" applyBorder="1" applyAlignment="1">
      <alignment horizontal="center" vertical="center"/>
    </xf>
    <xf numFmtId="0" fontId="7" fillId="4" borderId="1" xfId="1" applyNumberFormat="1" applyFont="1" applyFill="1" applyBorder="1" applyAlignment="1">
      <alignment horizontal="center" vertical="center"/>
    </xf>
    <xf numFmtId="167" fontId="7" fillId="4" borderId="1" xfId="1" applyNumberFormat="1" applyFont="1" applyFill="1" applyBorder="1" applyAlignment="1">
      <alignment horizontal="right" vertical="center"/>
    </xf>
    <xf numFmtId="0" fontId="6" fillId="4" borderId="1" xfId="1" applyNumberFormat="1" applyFont="1" applyFill="1" applyBorder="1" applyAlignment="1">
      <alignment horizontal="center" vertical="center"/>
    </xf>
    <xf numFmtId="167" fontId="6" fillId="4" borderId="1" xfId="1" applyNumberFormat="1" applyFont="1" applyFill="1" applyBorder="1" applyAlignment="1">
      <alignment horizontal="right" vertical="center"/>
    </xf>
    <xf numFmtId="0" fontId="7" fillId="3" borderId="1" xfId="1" applyNumberFormat="1" applyFont="1" applyFill="1" applyBorder="1" applyAlignment="1">
      <alignment horizontal="center" vertical="center"/>
    </xf>
    <xf numFmtId="167" fontId="7" fillId="3" borderId="1" xfId="1" applyNumberFormat="1" applyFont="1" applyFill="1" applyBorder="1" applyAlignment="1">
      <alignment horizontal="right" vertical="center"/>
    </xf>
    <xf numFmtId="41" fontId="6" fillId="0" borderId="1" xfId="1" applyFont="1" applyFill="1" applyBorder="1" applyAlignment="1">
      <alignment horizontal="center" vertical="center"/>
    </xf>
    <xf numFmtId="0" fontId="6" fillId="0" borderId="1" xfId="1" applyNumberFormat="1" applyFont="1" applyFill="1" applyBorder="1" applyAlignment="1">
      <alignment horizontal="center" vertical="center"/>
    </xf>
    <xf numFmtId="167" fontId="6" fillId="0" borderId="1" xfId="1" applyNumberFormat="1" applyFont="1" applyFill="1" applyBorder="1" applyAlignment="1">
      <alignment horizontal="right" vertical="center"/>
    </xf>
    <xf numFmtId="41" fontId="7" fillId="0" borderId="1" xfId="1" applyFont="1" applyFill="1" applyBorder="1" applyAlignment="1">
      <alignment horizontal="center" vertical="center"/>
    </xf>
    <xf numFmtId="0" fontId="7" fillId="0" borderId="1" xfId="1" applyNumberFormat="1" applyFont="1" applyFill="1" applyBorder="1" applyAlignment="1">
      <alignment horizontal="center" vertical="center"/>
    </xf>
    <xf numFmtId="167" fontId="7" fillId="0" borderId="1" xfId="1" applyNumberFormat="1" applyFont="1" applyFill="1" applyBorder="1" applyAlignment="1">
      <alignment horizontal="right" vertical="center"/>
    </xf>
    <xf numFmtId="0" fontId="7" fillId="0" borderId="1" xfId="9" applyNumberFormat="1" applyFont="1" applyFill="1" applyBorder="1" applyAlignment="1">
      <alignment horizontal="center" vertical="center"/>
    </xf>
    <xf numFmtId="41" fontId="6" fillId="2" borderId="1" xfId="1" applyFont="1" applyFill="1" applyBorder="1" applyAlignment="1">
      <alignment horizontal="center" vertical="center"/>
    </xf>
    <xf numFmtId="0" fontId="6" fillId="2" borderId="1" xfId="1" applyNumberFormat="1" applyFont="1" applyFill="1" applyBorder="1" applyAlignment="1">
      <alignment horizontal="center" vertical="center"/>
    </xf>
    <xf numFmtId="167" fontId="6" fillId="2" borderId="1" xfId="1" applyNumberFormat="1" applyFont="1" applyFill="1" applyBorder="1" applyAlignment="1">
      <alignment horizontal="right" vertical="center"/>
    </xf>
    <xf numFmtId="41" fontId="7" fillId="32" borderId="1" xfId="1" applyFont="1" applyFill="1" applyBorder="1" applyAlignment="1">
      <alignment horizontal="center" vertical="center"/>
    </xf>
    <xf numFmtId="0" fontId="7" fillId="32" borderId="1" xfId="1" applyNumberFormat="1" applyFont="1" applyFill="1" applyBorder="1" applyAlignment="1">
      <alignment horizontal="center" vertical="center"/>
    </xf>
    <xf numFmtId="167" fontId="7" fillId="32" borderId="1" xfId="1" applyNumberFormat="1" applyFont="1" applyFill="1" applyBorder="1" applyAlignment="1">
      <alignment horizontal="right" vertical="center"/>
    </xf>
    <xf numFmtId="167" fontId="6" fillId="2" borderId="1" xfId="1" applyNumberFormat="1" applyFont="1" applyFill="1" applyBorder="1" applyAlignment="1">
      <alignment horizontal="center" vertical="center"/>
    </xf>
    <xf numFmtId="41" fontId="31" fillId="0" borderId="1" xfId="1" applyFont="1" applyFill="1" applyBorder="1" applyAlignment="1">
      <alignment horizontal="center" vertical="center"/>
    </xf>
    <xf numFmtId="41" fontId="31" fillId="2" borderId="1" xfId="1" applyFont="1" applyFill="1" applyBorder="1" applyAlignment="1">
      <alignment horizontal="center" vertical="center"/>
    </xf>
    <xf numFmtId="0" fontId="7" fillId="2" borderId="1" xfId="1" applyNumberFormat="1" applyFont="1" applyFill="1" applyBorder="1" applyAlignment="1">
      <alignment horizontal="center" vertical="center"/>
    </xf>
    <xf numFmtId="167" fontId="7" fillId="2" borderId="1" xfId="1" applyNumberFormat="1" applyFont="1" applyFill="1" applyBorder="1" applyAlignment="1">
      <alignment horizontal="right" vertical="center"/>
    </xf>
    <xf numFmtId="41" fontId="45" fillId="2" borderId="1" xfId="1" applyFont="1" applyFill="1" applyBorder="1" applyAlignment="1">
      <alignment horizontal="center" vertical="center"/>
    </xf>
    <xf numFmtId="41" fontId="45" fillId="4" borderId="1" xfId="1" applyFont="1" applyFill="1" applyBorder="1" applyAlignment="1">
      <alignment horizontal="center" vertical="center"/>
    </xf>
    <xf numFmtId="167" fontId="7" fillId="2" borderId="1" xfId="1" applyNumberFormat="1" applyFont="1" applyFill="1" applyBorder="1" applyAlignment="1">
      <alignment horizontal="center" vertical="center"/>
    </xf>
    <xf numFmtId="41" fontId="7" fillId="4" borderId="1" xfId="1" applyNumberFormat="1" applyFont="1" applyFill="1" applyBorder="1" applyAlignment="1">
      <alignment horizontal="center" vertical="center"/>
    </xf>
    <xf numFmtId="41" fontId="6" fillId="4" borderId="1" xfId="1" applyNumberFormat="1" applyFont="1" applyFill="1" applyBorder="1" applyAlignment="1">
      <alignment horizontal="center" vertical="center"/>
    </xf>
    <xf numFmtId="41" fontId="44" fillId="4" borderId="1" xfId="1" applyFont="1" applyFill="1" applyBorder="1" applyAlignment="1">
      <alignment horizontal="center" vertical="center"/>
    </xf>
    <xf numFmtId="41" fontId="32" fillId="4" borderId="1" xfId="1" applyFont="1" applyFill="1" applyBorder="1" applyAlignment="1">
      <alignment horizontal="center" vertical="center"/>
    </xf>
    <xf numFmtId="41" fontId="44" fillId="4" borderId="1" xfId="1" applyNumberFormat="1" applyFont="1" applyFill="1" applyBorder="1" applyAlignment="1">
      <alignment horizontal="center" vertical="center"/>
    </xf>
    <xf numFmtId="167" fontId="44" fillId="4" borderId="1" xfId="1" applyNumberFormat="1" applyFont="1" applyFill="1" applyBorder="1" applyAlignment="1">
      <alignment horizontal="right" vertical="center"/>
    </xf>
    <xf numFmtId="41" fontId="45" fillId="0" borderId="1" xfId="1" applyFont="1" applyFill="1" applyBorder="1" applyAlignment="1">
      <alignment horizontal="center" vertical="center"/>
    </xf>
    <xf numFmtId="41" fontId="5" fillId="3" borderId="7" xfId="1" applyNumberFormat="1" applyFont="1" applyFill="1" applyBorder="1" applyAlignment="1">
      <alignment horizontal="center" vertical="top" wrapText="1"/>
    </xf>
    <xf numFmtId="41" fontId="5" fillId="0" borderId="7" xfId="1" applyNumberFormat="1" applyFont="1" applyFill="1" applyBorder="1" applyAlignment="1">
      <alignment horizontal="center" vertical="top" wrapText="1"/>
    </xf>
    <xf numFmtId="41" fontId="5" fillId="35" borderId="7" xfId="1" applyNumberFormat="1" applyFont="1" applyFill="1" applyBorder="1" applyAlignment="1">
      <alignment horizontal="center" vertical="top" wrapText="1"/>
    </xf>
    <xf numFmtId="41" fontId="7" fillId="35" borderId="1" xfId="1" applyFont="1" applyFill="1" applyBorder="1" applyAlignment="1">
      <alignment horizontal="left" vertical="center"/>
    </xf>
    <xf numFmtId="41" fontId="6" fillId="4" borderId="1" xfId="1" applyFont="1" applyFill="1" applyBorder="1" applyAlignment="1">
      <alignment horizontal="left" vertical="center"/>
    </xf>
    <xf numFmtId="41" fontId="6" fillId="4" borderId="1" xfId="1" applyFont="1" applyFill="1" applyBorder="1" applyAlignment="1">
      <alignment horizontal="left" vertical="center" wrapText="1"/>
    </xf>
    <xf numFmtId="41" fontId="6" fillId="35" borderId="1" xfId="1" applyFont="1" applyFill="1" applyBorder="1" applyAlignment="1">
      <alignment horizontal="left" vertical="center"/>
    </xf>
    <xf numFmtId="41" fontId="6" fillId="0" borderId="1" xfId="1" applyFont="1" applyFill="1" applyBorder="1" applyAlignment="1">
      <alignment horizontal="left" vertical="center" wrapText="1"/>
    </xf>
    <xf numFmtId="41" fontId="6" fillId="0" borderId="1" xfId="1" applyFont="1" applyFill="1" applyBorder="1" applyAlignment="1">
      <alignment horizontal="left" vertical="center"/>
    </xf>
    <xf numFmtId="9" fontId="6" fillId="0" borderId="1" xfId="1" applyNumberFormat="1" applyFont="1" applyFill="1" applyBorder="1" applyAlignment="1">
      <alignment horizontal="center" vertical="center"/>
    </xf>
    <xf numFmtId="41" fontId="7" fillId="35" borderId="1" xfId="1" applyFont="1" applyFill="1" applyBorder="1" applyAlignment="1">
      <alignment horizontal="left" vertical="center" wrapText="1"/>
    </xf>
    <xf numFmtId="41" fontId="6" fillId="2" borderId="1" xfId="1" applyFont="1" applyFill="1" applyBorder="1" applyAlignment="1">
      <alignment horizontal="left" vertical="center"/>
    </xf>
    <xf numFmtId="41" fontId="6" fillId="2" borderId="1" xfId="1" applyNumberFormat="1" applyFont="1" applyFill="1" applyBorder="1" applyAlignment="1">
      <alignment horizontal="left" vertical="center"/>
    </xf>
    <xf numFmtId="41" fontId="7" fillId="0" borderId="1" xfId="1" applyFont="1" applyFill="1" applyBorder="1" applyAlignment="1">
      <alignment horizontal="left" vertical="center" wrapText="1"/>
    </xf>
    <xf numFmtId="41" fontId="45" fillId="4" borderId="1" xfId="1" applyFont="1" applyFill="1" applyBorder="1" applyAlignment="1">
      <alignment horizontal="left" vertical="center"/>
    </xf>
    <xf numFmtId="41" fontId="6" fillId="35" borderId="1" xfId="1" applyFont="1" applyFill="1" applyBorder="1" applyAlignment="1">
      <alignment horizontal="left" vertical="center" wrapText="1"/>
    </xf>
    <xf numFmtId="41" fontId="45" fillId="2" borderId="1" xfId="1" applyFont="1" applyFill="1" applyBorder="1" applyAlignment="1">
      <alignment horizontal="left" vertical="center"/>
    </xf>
    <xf numFmtId="41" fontId="7" fillId="2" borderId="1" xfId="1" applyNumberFormat="1" applyFont="1" applyFill="1" applyBorder="1" applyAlignment="1">
      <alignment horizontal="left" vertical="center"/>
    </xf>
    <xf numFmtId="0" fontId="44" fillId="4" borderId="1" xfId="1" applyNumberFormat="1" applyFont="1" applyFill="1" applyBorder="1" applyAlignment="1">
      <alignment horizontal="center" vertical="center"/>
    </xf>
    <xf numFmtId="41" fontId="44" fillId="4" borderId="1" xfId="1" applyFont="1" applyFill="1" applyBorder="1" applyAlignment="1">
      <alignment horizontal="left" vertical="center"/>
    </xf>
    <xf numFmtId="0" fontId="32" fillId="4" borderId="1" xfId="1" applyNumberFormat="1" applyFont="1" applyFill="1" applyBorder="1" applyAlignment="1">
      <alignment horizontal="center" vertical="center"/>
    </xf>
    <xf numFmtId="41" fontId="7" fillId="35" borderId="1" xfId="1" applyNumberFormat="1" applyFont="1" applyFill="1" applyBorder="1" applyAlignment="1">
      <alignment horizontal="left" vertical="center"/>
    </xf>
    <xf numFmtId="0" fontId="7" fillId="4" borderId="1" xfId="1" applyNumberFormat="1" applyFont="1" applyFill="1" applyBorder="1" applyAlignment="1">
      <alignment horizontal="left" vertical="center"/>
    </xf>
    <xf numFmtId="0" fontId="6" fillId="4" borderId="1" xfId="1" applyNumberFormat="1" applyFont="1" applyFill="1" applyBorder="1" applyAlignment="1">
      <alignment horizontal="left" vertical="center"/>
    </xf>
    <xf numFmtId="0" fontId="6" fillId="4" borderId="1" xfId="1" applyNumberFormat="1" applyFont="1" applyFill="1" applyBorder="1" applyAlignment="1">
      <alignment horizontal="left" vertical="center" wrapText="1"/>
    </xf>
    <xf numFmtId="9" fontId="6" fillId="4" borderId="1" xfId="1" applyNumberFormat="1" applyFont="1" applyFill="1" applyBorder="1" applyAlignment="1">
      <alignment horizontal="center" vertical="center"/>
    </xf>
    <xf numFmtId="41" fontId="5" fillId="0" borderId="37" xfId="1" applyNumberFormat="1" applyFont="1" applyFill="1" applyBorder="1" applyAlignment="1">
      <alignment horizontal="center" vertical="top" wrapText="1"/>
    </xf>
    <xf numFmtId="41" fontId="5" fillId="0" borderId="98" xfId="1" applyNumberFormat="1" applyFont="1" applyFill="1" applyBorder="1" applyAlignment="1">
      <alignment horizontal="center" vertical="top" wrapText="1"/>
    </xf>
    <xf numFmtId="41" fontId="7" fillId="4" borderId="7" xfId="1" applyFont="1" applyFill="1" applyBorder="1" applyAlignment="1">
      <alignment horizontal="right" vertical="center"/>
    </xf>
    <xf numFmtId="41" fontId="7" fillId="4" borderId="7" xfId="1" applyFont="1" applyFill="1" applyBorder="1" applyAlignment="1">
      <alignment horizontal="center" vertical="center"/>
    </xf>
    <xf numFmtId="41" fontId="7" fillId="3" borderId="5" xfId="1" applyFont="1" applyFill="1" applyBorder="1" applyAlignment="1">
      <alignment horizontal="right" vertical="center"/>
    </xf>
    <xf numFmtId="41" fontId="7" fillId="3" borderId="5" xfId="1" applyFont="1" applyFill="1" applyBorder="1" applyAlignment="1">
      <alignment horizontal="center" vertical="center"/>
    </xf>
    <xf numFmtId="41" fontId="7" fillId="3" borderId="2" xfId="1" applyFont="1" applyFill="1" applyBorder="1" applyAlignment="1">
      <alignment horizontal="left" vertical="center"/>
    </xf>
    <xf numFmtId="41" fontId="6" fillId="0" borderId="2" xfId="1" applyFont="1" applyFill="1" applyBorder="1" applyAlignment="1">
      <alignment horizontal="left" vertical="center" wrapText="1"/>
    </xf>
    <xf numFmtId="41" fontId="6" fillId="0" borderId="2" xfId="1" applyFont="1" applyFill="1" applyBorder="1" applyAlignment="1">
      <alignment horizontal="left" vertical="center"/>
    </xf>
    <xf numFmtId="41" fontId="7" fillId="0" borderId="7" xfId="1" applyFont="1" applyFill="1" applyBorder="1" applyAlignment="1">
      <alignment horizontal="right" vertical="center"/>
    </xf>
    <xf numFmtId="41" fontId="6" fillId="2" borderId="1" xfId="1" applyFont="1" applyFill="1" applyBorder="1" applyAlignment="1">
      <alignment horizontal="left" vertical="center" wrapText="1"/>
    </xf>
    <xf numFmtId="41" fontId="7" fillId="0" borderId="5" xfId="1" applyFont="1" applyFill="1" applyBorder="1" applyAlignment="1">
      <alignment horizontal="right" vertical="center"/>
    </xf>
    <xf numFmtId="41" fontId="6" fillId="2" borderId="2" xfId="1" applyNumberFormat="1" applyFont="1" applyFill="1" applyBorder="1" applyAlignment="1">
      <alignment horizontal="left" vertical="center"/>
    </xf>
    <xf numFmtId="41" fontId="7" fillId="0" borderId="2" xfId="1" applyFont="1" applyFill="1" applyBorder="1" applyAlignment="1">
      <alignment horizontal="left" vertical="center"/>
    </xf>
    <xf numFmtId="41" fontId="31" fillId="0" borderId="7" xfId="1" applyFont="1" applyFill="1" applyBorder="1" applyAlignment="1">
      <alignment horizontal="center" vertical="center"/>
    </xf>
    <xf numFmtId="41" fontId="44" fillId="2" borderId="1" xfId="1" applyFont="1" applyFill="1" applyBorder="1" applyAlignment="1">
      <alignment horizontal="center" vertical="center"/>
    </xf>
    <xf numFmtId="41" fontId="6" fillId="4" borderId="2" xfId="1" applyFont="1" applyFill="1" applyBorder="1" applyAlignment="1">
      <alignment horizontal="left" vertical="center" wrapText="1"/>
    </xf>
    <xf numFmtId="41" fontId="6" fillId="4" borderId="6" xfId="1" applyFont="1" applyFill="1" applyBorder="1" applyAlignment="1">
      <alignment horizontal="right" vertical="center"/>
    </xf>
    <xf numFmtId="41" fontId="44" fillId="4" borderId="6" xfId="1" applyFont="1" applyFill="1" applyBorder="1" applyAlignment="1">
      <alignment horizontal="center" vertical="center"/>
    </xf>
    <xf numFmtId="41" fontId="7" fillId="2" borderId="2" xfId="1" applyNumberFormat="1" applyFont="1" applyFill="1" applyBorder="1" applyAlignment="1">
      <alignment horizontal="left" vertical="center"/>
    </xf>
    <xf numFmtId="41" fontId="7" fillId="3" borderId="7" xfId="1" applyFont="1" applyFill="1" applyBorder="1" applyAlignment="1">
      <alignment horizontal="right" vertical="center"/>
    </xf>
    <xf numFmtId="41" fontId="7" fillId="3" borderId="7" xfId="1" applyFont="1" applyFill="1" applyBorder="1" applyAlignment="1">
      <alignment horizontal="center" vertical="center"/>
    </xf>
    <xf numFmtId="41" fontId="44" fillId="4" borderId="1" xfId="1" applyFont="1" applyFill="1" applyBorder="1" applyAlignment="1">
      <alignment horizontal="left" vertical="center" wrapText="1"/>
    </xf>
    <xf numFmtId="41" fontId="7" fillId="4" borderId="5" xfId="1" applyFont="1" applyFill="1" applyBorder="1" applyAlignment="1">
      <alignment horizontal="right" vertical="center"/>
    </xf>
    <xf numFmtId="41" fontId="7" fillId="4" borderId="5" xfId="1" applyFont="1" applyFill="1" applyBorder="1" applyAlignment="1">
      <alignment horizontal="center" vertical="center"/>
    </xf>
    <xf numFmtId="41" fontId="5" fillId="0" borderId="18" xfId="1" applyNumberFormat="1" applyFont="1" applyFill="1" applyBorder="1" applyAlignment="1">
      <alignment horizontal="center" vertical="top" wrapText="1"/>
    </xf>
    <xf numFmtId="0" fontId="5" fillId="14" borderId="7" xfId="9" applyFont="1" applyFill="1" applyBorder="1" applyAlignment="1">
      <alignment horizontal="center" vertical="top" wrapText="1"/>
    </xf>
    <xf numFmtId="41" fontId="5" fillId="0" borderId="0" xfId="1" applyNumberFormat="1" applyFont="1" applyFill="1" applyBorder="1" applyAlignment="1">
      <alignment horizontal="center" vertical="top" wrapText="1"/>
    </xf>
    <xf numFmtId="166" fontId="7" fillId="0" borderId="0" xfId="1" applyNumberFormat="1" applyFont="1" applyFill="1" applyBorder="1" applyAlignment="1">
      <alignment horizontal="center" vertical="top" wrapText="1"/>
    </xf>
    <xf numFmtId="41" fontId="7" fillId="4" borderId="2" xfId="1" applyNumberFormat="1" applyFont="1" applyFill="1" applyBorder="1" applyAlignment="1">
      <alignment horizontal="left" vertical="center"/>
    </xf>
    <xf numFmtId="41" fontId="7" fillId="4" borderId="0" xfId="1" applyNumberFormat="1" applyFont="1" applyFill="1" applyBorder="1" applyAlignment="1">
      <alignment horizontal="left" vertical="center"/>
    </xf>
    <xf numFmtId="166" fontId="7" fillId="4" borderId="0" xfId="1" applyNumberFormat="1" applyFont="1" applyFill="1" applyBorder="1" applyAlignment="1">
      <alignment vertical="center"/>
    </xf>
    <xf numFmtId="41" fontId="6" fillId="4" borderId="2" xfId="1" applyNumberFormat="1" applyFont="1" applyFill="1" applyBorder="1" applyAlignment="1">
      <alignment horizontal="left" vertical="center"/>
    </xf>
    <xf numFmtId="41" fontId="6" fillId="4" borderId="0" xfId="1" applyNumberFormat="1" applyFont="1" applyFill="1" applyBorder="1" applyAlignment="1">
      <alignment horizontal="left" vertical="center"/>
    </xf>
    <xf numFmtId="166" fontId="6" fillId="4" borderId="0" xfId="1" applyNumberFormat="1" applyFont="1" applyFill="1" applyBorder="1" applyAlignment="1">
      <alignment vertical="center"/>
    </xf>
    <xf numFmtId="41" fontId="7" fillId="3" borderId="2" xfId="1" applyNumberFormat="1" applyFont="1" applyFill="1" applyBorder="1" applyAlignment="1">
      <alignment horizontal="left" vertical="center"/>
    </xf>
    <xf numFmtId="41" fontId="7" fillId="3" borderId="0" xfId="1" applyNumberFormat="1" applyFont="1" applyFill="1" applyBorder="1" applyAlignment="1">
      <alignment horizontal="left" vertical="center"/>
    </xf>
    <xf numFmtId="166" fontId="7" fillId="3" borderId="0" xfId="1" applyNumberFormat="1" applyFont="1" applyFill="1" applyBorder="1" applyAlignment="1">
      <alignment vertical="center"/>
    </xf>
    <xf numFmtId="41" fontId="7" fillId="3" borderId="4" xfId="1" applyFont="1" applyFill="1" applyBorder="1" applyAlignment="1">
      <alignment horizontal="right" vertical="center"/>
    </xf>
    <xf numFmtId="41" fontId="6" fillId="0" borderId="4" xfId="1" applyFont="1" applyFill="1" applyBorder="1" applyAlignment="1">
      <alignment horizontal="right" vertical="center"/>
    </xf>
    <xf numFmtId="41" fontId="6" fillId="0" borderId="1" xfId="1" applyFont="1" applyFill="1" applyBorder="1" applyAlignment="1">
      <alignment vertical="center"/>
    </xf>
    <xf numFmtId="166" fontId="6" fillId="0" borderId="0" xfId="1" applyNumberFormat="1" applyFont="1" applyFill="1" applyBorder="1" applyAlignment="1">
      <alignment vertical="center"/>
    </xf>
    <xf numFmtId="41" fontId="6" fillId="0" borderId="2" xfId="1" applyNumberFormat="1" applyFont="1" applyFill="1" applyBorder="1" applyAlignment="1">
      <alignment horizontal="left" vertical="center"/>
    </xf>
    <xf numFmtId="1" fontId="7" fillId="2" borderId="98" xfId="1" applyNumberFormat="1" applyFont="1" applyFill="1" applyBorder="1" applyAlignment="1">
      <alignment horizontal="center" vertical="center" wrapText="1"/>
    </xf>
    <xf numFmtId="0" fontId="7" fillId="0" borderId="1" xfId="1" applyNumberFormat="1" applyFont="1" applyFill="1" applyBorder="1" applyAlignment="1">
      <alignment vertical="center"/>
    </xf>
    <xf numFmtId="41" fontId="7" fillId="0" borderId="2" xfId="1" applyNumberFormat="1" applyFont="1" applyFill="1" applyBorder="1" applyAlignment="1">
      <alignment horizontal="left" vertical="center"/>
    </xf>
    <xf numFmtId="41" fontId="7" fillId="0" borderId="0" xfId="1" applyNumberFormat="1" applyFont="1" applyFill="1" applyBorder="1" applyAlignment="1">
      <alignment horizontal="left" vertical="center"/>
    </xf>
    <xf numFmtId="41" fontId="6" fillId="2" borderId="0" xfId="1" applyNumberFormat="1" applyFont="1" applyFill="1" applyBorder="1" applyAlignment="1">
      <alignment horizontal="left" vertical="center"/>
    </xf>
    <xf numFmtId="166" fontId="6" fillId="2" borderId="0" xfId="1" applyNumberFormat="1" applyFont="1" applyFill="1" applyBorder="1" applyAlignment="1">
      <alignment vertical="center"/>
    </xf>
    <xf numFmtId="41" fontId="6" fillId="14" borderId="1" xfId="1" applyFont="1" applyFill="1" applyBorder="1" applyAlignment="1">
      <alignment vertical="center"/>
    </xf>
    <xf numFmtId="41" fontId="7" fillId="32" borderId="2" xfId="1" applyNumberFormat="1" applyFont="1" applyFill="1" applyBorder="1" applyAlignment="1">
      <alignment horizontal="left" vertical="center"/>
    </xf>
    <xf numFmtId="41" fontId="7" fillId="32" borderId="0" xfId="1" applyNumberFormat="1" applyFont="1" applyFill="1" applyBorder="1" applyAlignment="1">
      <alignment horizontal="left" vertical="center"/>
    </xf>
    <xf numFmtId="166" fontId="7" fillId="32" borderId="0" xfId="1" applyNumberFormat="1" applyFont="1" applyFill="1" applyBorder="1" applyAlignment="1">
      <alignment vertical="center"/>
    </xf>
    <xf numFmtId="0" fontId="7" fillId="0" borderId="2" xfId="1" applyNumberFormat="1" applyFont="1" applyFill="1" applyBorder="1" applyAlignment="1">
      <alignment horizontal="left" vertical="center"/>
    </xf>
    <xf numFmtId="0" fontId="7" fillId="0" borderId="0" xfId="1" applyNumberFormat="1" applyFont="1" applyFill="1" applyBorder="1" applyAlignment="1">
      <alignment horizontal="left" vertical="center"/>
    </xf>
    <xf numFmtId="41" fontId="7" fillId="14" borderId="1" xfId="1" applyFont="1" applyFill="1" applyBorder="1" applyAlignment="1">
      <alignment vertical="center"/>
    </xf>
    <xf numFmtId="41" fontId="6" fillId="2" borderId="4" xfId="1" applyNumberFormat="1" applyFont="1" applyFill="1" applyBorder="1" applyAlignment="1">
      <alignment horizontal="center" vertical="center"/>
    </xf>
    <xf numFmtId="0" fontId="7" fillId="0" borderId="1" xfId="1" applyNumberFormat="1" applyFont="1" applyFill="1" applyBorder="1" applyAlignment="1">
      <alignment horizontal="left" vertical="center" wrapText="1"/>
    </xf>
    <xf numFmtId="41" fontId="31" fillId="0" borderId="2" xfId="1" applyNumberFormat="1" applyFont="1" applyFill="1" applyBorder="1" applyAlignment="1">
      <alignment horizontal="left" vertical="center"/>
    </xf>
    <xf numFmtId="41" fontId="31" fillId="2" borderId="2" xfId="1" applyNumberFormat="1" applyFont="1" applyFill="1" applyBorder="1" applyAlignment="1">
      <alignment horizontal="left" vertical="center"/>
    </xf>
    <xf numFmtId="41" fontId="31" fillId="2" borderId="0" xfId="1" applyNumberFormat="1" applyFont="1" applyFill="1" applyBorder="1" applyAlignment="1">
      <alignment horizontal="left" vertical="center"/>
    </xf>
    <xf numFmtId="166" fontId="7" fillId="2" borderId="0" xfId="1" applyNumberFormat="1" applyFont="1" applyFill="1" applyBorder="1" applyAlignment="1">
      <alignment vertical="center"/>
    </xf>
    <xf numFmtId="41" fontId="45" fillId="4" borderId="2" xfId="1" applyNumberFormat="1" applyFont="1" applyFill="1" applyBorder="1" applyAlignment="1">
      <alignment horizontal="left" vertical="center"/>
    </xf>
    <xf numFmtId="41" fontId="45" fillId="4" borderId="0" xfId="1" applyNumberFormat="1" applyFont="1" applyFill="1" applyBorder="1" applyAlignment="1">
      <alignment horizontal="left" vertical="center"/>
    </xf>
    <xf numFmtId="0" fontId="45" fillId="4" borderId="2" xfId="1" applyNumberFormat="1" applyFont="1" applyFill="1" applyBorder="1" applyAlignment="1">
      <alignment horizontal="left" vertical="center"/>
    </xf>
    <xf numFmtId="0" fontId="45" fillId="4" borderId="0" xfId="1" applyNumberFormat="1" applyFont="1" applyFill="1" applyBorder="1" applyAlignment="1">
      <alignment horizontal="left" vertical="center"/>
    </xf>
    <xf numFmtId="0" fontId="45" fillId="2" borderId="0" xfId="1" applyNumberFormat="1" applyFont="1" applyFill="1" applyBorder="1" applyAlignment="1">
      <alignment horizontal="left" vertical="center"/>
    </xf>
    <xf numFmtId="41" fontId="7" fillId="34" borderId="1" xfId="1" applyFont="1" applyFill="1" applyBorder="1" applyAlignment="1">
      <alignment vertical="center"/>
    </xf>
    <xf numFmtId="41" fontId="31" fillId="3" borderId="2" xfId="1" applyNumberFormat="1" applyFont="1" applyFill="1" applyBorder="1" applyAlignment="1">
      <alignment horizontal="left" vertical="center"/>
    </xf>
    <xf numFmtId="41" fontId="31" fillId="3" borderId="0" xfId="1" applyNumberFormat="1" applyFont="1" applyFill="1" applyBorder="1" applyAlignment="1">
      <alignment horizontal="left" vertical="center"/>
    </xf>
    <xf numFmtId="41" fontId="45" fillId="0" borderId="2" xfId="1" applyNumberFormat="1" applyFont="1" applyFill="1" applyBorder="1" applyAlignment="1">
      <alignment horizontal="left" vertical="center"/>
    </xf>
    <xf numFmtId="41" fontId="45" fillId="0" borderId="0" xfId="1" applyNumberFormat="1" applyFont="1" applyFill="1" applyBorder="1" applyAlignment="1">
      <alignment horizontal="left" vertical="center"/>
    </xf>
    <xf numFmtId="0" fontId="31" fillId="3" borderId="0" xfId="1" applyNumberFormat="1" applyFont="1" applyFill="1" applyBorder="1" applyAlignment="1">
      <alignment horizontal="left" vertical="center"/>
    </xf>
    <xf numFmtId="41" fontId="6" fillId="4" borderId="4" xfId="1" applyFont="1" applyFill="1" applyBorder="1" applyAlignment="1">
      <alignment horizontal="center" vertical="center"/>
    </xf>
    <xf numFmtId="0" fontId="6" fillId="4" borderId="1" xfId="1" applyNumberFormat="1" applyFont="1" applyFill="1" applyBorder="1" applyAlignment="1">
      <alignment vertical="center" wrapText="1"/>
    </xf>
    <xf numFmtId="41" fontId="7" fillId="2" borderId="4" xfId="1" applyNumberFormat="1" applyFont="1" applyFill="1" applyBorder="1" applyAlignment="1">
      <alignment horizontal="center" vertical="center"/>
    </xf>
    <xf numFmtId="41" fontId="7" fillId="14" borderId="1" xfId="1" applyFont="1" applyFill="1" applyBorder="1" applyAlignment="1">
      <alignment horizontal="left" vertical="center"/>
    </xf>
    <xf numFmtId="41" fontId="6" fillId="14" borderId="1" xfId="1" applyFont="1" applyFill="1" applyBorder="1" applyAlignment="1">
      <alignment horizontal="left" vertical="center"/>
    </xf>
    <xf numFmtId="41" fontId="32" fillId="4" borderId="2" xfId="1" applyNumberFormat="1" applyFont="1" applyFill="1" applyBorder="1" applyAlignment="1">
      <alignment horizontal="left" vertical="center"/>
    </xf>
    <xf numFmtId="41" fontId="32" fillId="4" borderId="0" xfId="1" applyNumberFormat="1" applyFont="1" applyFill="1" applyBorder="1" applyAlignment="1">
      <alignment horizontal="left" vertical="center"/>
    </xf>
    <xf numFmtId="166" fontId="44" fillId="4" borderId="0" xfId="1" applyNumberFormat="1" applyFont="1" applyFill="1" applyBorder="1" applyAlignment="1">
      <alignment vertical="center"/>
    </xf>
    <xf numFmtId="41" fontId="7" fillId="0" borderId="1" xfId="1" applyNumberFormat="1" applyFont="1" applyFill="1" applyBorder="1" applyAlignment="1">
      <alignment horizontal="left" vertical="center"/>
    </xf>
    <xf numFmtId="41" fontId="7" fillId="0" borderId="1" xfId="1" applyFont="1" applyFill="1" applyBorder="1" applyAlignment="1">
      <alignment vertical="center" wrapText="1"/>
    </xf>
    <xf numFmtId="0" fontId="6" fillId="14" borderId="1" xfId="1" applyNumberFormat="1" applyFont="1" applyFill="1" applyBorder="1" applyAlignment="1">
      <alignment horizontal="left" vertical="center"/>
    </xf>
    <xf numFmtId="41" fontId="6" fillId="0" borderId="0" xfId="9" applyNumberFormat="1" applyFont="1" applyFill="1" applyBorder="1" applyAlignment="1">
      <alignment vertical="center"/>
    </xf>
    <xf numFmtId="41" fontId="7" fillId="0" borderId="0" xfId="9" applyNumberFormat="1" applyFont="1" applyFill="1" applyBorder="1" applyAlignment="1">
      <alignment vertical="center"/>
    </xf>
    <xf numFmtId="41" fontId="6" fillId="2" borderId="0" xfId="9" applyNumberFormat="1" applyFont="1" applyFill="1" applyBorder="1" applyAlignment="1">
      <alignment vertical="center"/>
    </xf>
    <xf numFmtId="0" fontId="44" fillId="4" borderId="18" xfId="9" applyFont="1" applyFill="1" applyBorder="1" applyAlignment="1">
      <alignment horizontal="center" vertical="center"/>
    </xf>
    <xf numFmtId="0" fontId="7" fillId="8" borderId="4" xfId="9" applyFont="1" applyFill="1" applyBorder="1" applyAlignment="1">
      <alignment horizontal="center" vertical="center"/>
    </xf>
    <xf numFmtId="0" fontId="45" fillId="33" borderId="4" xfId="9" applyFont="1" applyFill="1" applyBorder="1" applyAlignment="1">
      <alignment horizontal="center" vertical="center"/>
    </xf>
    <xf numFmtId="0" fontId="45" fillId="33" borderId="1" xfId="9" applyFont="1" applyFill="1" applyBorder="1" applyAlignment="1">
      <alignment horizontal="center" vertical="center"/>
    </xf>
    <xf numFmtId="0" fontId="45" fillId="33" borderId="1" xfId="9" applyFont="1" applyFill="1" applyBorder="1" applyAlignment="1">
      <alignment horizontal="left" vertical="center"/>
    </xf>
    <xf numFmtId="41" fontId="31" fillId="33" borderId="1" xfId="1" applyFont="1" applyFill="1" applyBorder="1" applyAlignment="1">
      <alignment horizontal="left" vertical="center"/>
    </xf>
    <xf numFmtId="0" fontId="6" fillId="33" borderId="4" xfId="9" applyFont="1" applyFill="1" applyBorder="1" applyAlignment="1">
      <alignment horizontal="center" vertical="center"/>
    </xf>
    <xf numFmtId="0" fontId="6" fillId="33" borderId="1" xfId="9" applyFont="1" applyFill="1" applyBorder="1" applyAlignment="1">
      <alignment horizontal="center" vertical="center"/>
    </xf>
    <xf numFmtId="0" fontId="6" fillId="33" borderId="1" xfId="9" applyFont="1" applyFill="1" applyBorder="1" applyAlignment="1">
      <alignment horizontal="left" vertical="center"/>
    </xf>
    <xf numFmtId="41" fontId="45" fillId="0" borderId="1" xfId="1" applyFont="1" applyFill="1" applyBorder="1" applyAlignment="1">
      <alignment horizontal="left" vertical="center"/>
    </xf>
    <xf numFmtId="0" fontId="7" fillId="34" borderId="62" xfId="9" applyFont="1" applyFill="1" applyBorder="1" applyAlignment="1">
      <alignment horizontal="center" vertical="center"/>
    </xf>
    <xf numFmtId="0" fontId="7" fillId="34" borderId="1" xfId="9" applyFont="1" applyFill="1" applyBorder="1" applyAlignment="1">
      <alignment horizontal="center" vertical="center"/>
    </xf>
    <xf numFmtId="0" fontId="7" fillId="34" borderId="1" xfId="9" applyFont="1" applyFill="1" applyBorder="1" applyAlignment="1">
      <alignment horizontal="left" vertical="center"/>
    </xf>
    <xf numFmtId="41" fontId="7" fillId="34" borderId="1" xfId="1" applyFont="1" applyFill="1" applyBorder="1" applyAlignment="1">
      <alignment horizontal="left" vertical="center"/>
    </xf>
    <xf numFmtId="0" fontId="6" fillId="4" borderId="18" xfId="9" applyFont="1" applyFill="1" applyBorder="1" applyAlignment="1">
      <alignment horizontal="center" vertical="center"/>
    </xf>
    <xf numFmtId="0" fontId="6" fillId="4" borderId="62" xfId="9" applyFont="1" applyFill="1" applyBorder="1" applyAlignment="1">
      <alignment horizontal="center" vertical="center"/>
    </xf>
    <xf numFmtId="0" fontId="6" fillId="0" borderId="62" xfId="9" applyFont="1" applyFill="1" applyBorder="1" applyAlignment="1">
      <alignment horizontal="center" vertical="center"/>
    </xf>
    <xf numFmtId="41" fontId="32" fillId="0" borderId="1" xfId="1" applyFont="1" applyFill="1" applyBorder="1" applyAlignment="1">
      <alignment horizontal="left" vertical="center"/>
    </xf>
    <xf numFmtId="0" fontId="7" fillId="34" borderId="18" xfId="9" applyFont="1" applyFill="1" applyBorder="1" applyAlignment="1">
      <alignment horizontal="center" vertical="center"/>
    </xf>
    <xf numFmtId="0" fontId="7" fillId="34" borderId="4" xfId="9" applyFont="1" applyFill="1" applyBorder="1" applyAlignment="1">
      <alignment horizontal="center" vertical="center"/>
    </xf>
    <xf numFmtId="0" fontId="44" fillId="4" borderId="7" xfId="9" applyFont="1" applyFill="1" applyBorder="1" applyAlignment="1">
      <alignment horizontal="left" vertical="center"/>
    </xf>
    <xf numFmtId="0" fontId="31" fillId="33" borderId="1" xfId="9" applyFont="1" applyFill="1" applyBorder="1" applyAlignment="1">
      <alignment horizontal="center" vertical="center"/>
    </xf>
    <xf numFmtId="1" fontId="7" fillId="33" borderId="1" xfId="9" applyNumberFormat="1" applyFont="1" applyFill="1" applyBorder="1" applyAlignment="1">
      <alignment horizontal="center" vertical="center"/>
    </xf>
    <xf numFmtId="0" fontId="31" fillId="0" borderId="1" xfId="9" applyFont="1" applyFill="1" applyBorder="1" applyAlignment="1">
      <alignment horizontal="left" vertical="center"/>
    </xf>
    <xf numFmtId="0" fontId="31" fillId="0" borderId="1" xfId="9" applyFont="1" applyFill="1" applyBorder="1" applyAlignment="1">
      <alignment horizontal="center" vertical="center"/>
    </xf>
    <xf numFmtId="0" fontId="31" fillId="34" borderId="1" xfId="9" applyFont="1" applyFill="1" applyBorder="1" applyAlignment="1">
      <alignment horizontal="left" vertical="center"/>
    </xf>
    <xf numFmtId="0" fontId="31" fillId="34" borderId="1" xfId="9" applyFont="1" applyFill="1" applyBorder="1" applyAlignment="1">
      <alignment horizontal="center" vertical="center"/>
    </xf>
    <xf numFmtId="0" fontId="7" fillId="34" borderId="5" xfId="9" applyFont="1" applyFill="1" applyBorder="1" applyAlignment="1">
      <alignment horizontal="left" vertical="center"/>
    </xf>
    <xf numFmtId="1" fontId="7" fillId="34" borderId="1" xfId="9" applyNumberFormat="1" applyFont="1" applyFill="1" applyBorder="1" applyAlignment="1">
      <alignment horizontal="center" vertical="center"/>
    </xf>
    <xf numFmtId="0" fontId="45" fillId="4" borderId="1" xfId="9" applyFont="1" applyFill="1" applyBorder="1" applyAlignment="1">
      <alignment horizontal="left" vertical="center"/>
    </xf>
    <xf numFmtId="0" fontId="45" fillId="4" borderId="2" xfId="9" applyFont="1" applyFill="1" applyBorder="1" applyAlignment="1">
      <alignment horizontal="center" vertical="center"/>
    </xf>
    <xf numFmtId="0" fontId="6" fillId="4" borderId="4" xfId="9" applyNumberFormat="1" applyFont="1" applyFill="1" applyBorder="1" applyAlignment="1">
      <alignment horizontal="center" vertical="center"/>
    </xf>
    <xf numFmtId="169" fontId="6" fillId="4" borderId="1" xfId="9" applyNumberFormat="1" applyFont="1" applyFill="1" applyBorder="1" applyAlignment="1">
      <alignment horizontal="center" vertical="center"/>
    </xf>
    <xf numFmtId="0" fontId="45" fillId="4" borderId="1" xfId="9" applyFont="1" applyFill="1" applyBorder="1" applyAlignment="1">
      <alignment horizontal="center" vertical="center"/>
    </xf>
    <xf numFmtId="0" fontId="6" fillId="4" borderId="7" xfId="9" applyFont="1" applyFill="1" applyBorder="1" applyAlignment="1">
      <alignment horizontal="left" vertical="center"/>
    </xf>
    <xf numFmtId="0" fontId="6" fillId="4" borderId="1" xfId="9" applyNumberFormat="1" applyFont="1" applyFill="1" applyBorder="1" applyAlignment="1">
      <alignment horizontal="center" vertical="center"/>
    </xf>
    <xf numFmtId="0" fontId="6" fillId="4" borderId="5" xfId="9" applyFont="1" applyFill="1" applyBorder="1" applyAlignment="1">
      <alignment horizontal="left" vertical="center"/>
    </xf>
    <xf numFmtId="0" fontId="7" fillId="3" borderId="5" xfId="9" applyFont="1" applyFill="1" applyBorder="1" applyAlignment="1">
      <alignment horizontal="left" vertical="center"/>
    </xf>
    <xf numFmtId="0" fontId="6" fillId="0" borderId="5" xfId="9" applyFont="1" applyFill="1" applyBorder="1" applyAlignment="1">
      <alignment horizontal="left" vertical="center"/>
    </xf>
    <xf numFmtId="0" fontId="7" fillId="34" borderId="7" xfId="9" applyFont="1" applyFill="1" applyBorder="1" applyAlignment="1">
      <alignment horizontal="left" vertical="center"/>
    </xf>
    <xf numFmtId="41" fontId="32" fillId="4" borderId="1" xfId="1" applyFont="1" applyFill="1" applyBorder="1" applyAlignment="1">
      <alignment horizontal="right" vertical="center"/>
    </xf>
    <xf numFmtId="0" fontId="7" fillId="0" borderId="1" xfId="9" applyFont="1" applyFill="1" applyBorder="1" applyAlignment="1">
      <alignment horizontal="right" vertical="center"/>
    </xf>
    <xf numFmtId="41" fontId="7" fillId="8" borderId="1" xfId="1" applyFont="1" applyFill="1" applyBorder="1" applyAlignment="1">
      <alignment horizontal="right" vertical="center"/>
    </xf>
    <xf numFmtId="41" fontId="45" fillId="33" borderId="1" xfId="1" applyFont="1" applyFill="1" applyBorder="1" applyAlignment="1">
      <alignment horizontal="center" vertical="center"/>
    </xf>
    <xf numFmtId="41" fontId="45" fillId="33" borderId="1" xfId="1" applyFont="1" applyFill="1" applyBorder="1" applyAlignment="1">
      <alignment horizontal="right" vertical="center"/>
    </xf>
    <xf numFmtId="0" fontId="7" fillId="33" borderId="1" xfId="9" applyFont="1" applyFill="1" applyBorder="1" applyAlignment="1">
      <alignment horizontal="center" vertical="center"/>
    </xf>
    <xf numFmtId="41" fontId="6" fillId="33" borderId="1" xfId="1" applyFont="1" applyFill="1" applyBorder="1" applyAlignment="1">
      <alignment horizontal="center" vertical="center"/>
    </xf>
    <xf numFmtId="41" fontId="6" fillId="33" borderId="1" xfId="1" applyFont="1" applyFill="1" applyBorder="1" applyAlignment="1">
      <alignment horizontal="right" vertical="center"/>
    </xf>
    <xf numFmtId="41" fontId="7" fillId="34" borderId="1" xfId="1" applyFont="1" applyFill="1" applyBorder="1" applyAlignment="1">
      <alignment horizontal="right" vertical="center"/>
    </xf>
    <xf numFmtId="41" fontId="7" fillId="34" borderId="1" xfId="1" applyNumberFormat="1" applyFont="1" applyFill="1" applyBorder="1" applyAlignment="1">
      <alignment horizontal="center" vertical="center"/>
    </xf>
    <xf numFmtId="41" fontId="7" fillId="8" borderId="1" xfId="1" applyNumberFormat="1" applyFont="1" applyFill="1" applyBorder="1" applyAlignment="1">
      <alignment horizontal="center" vertical="center"/>
    </xf>
    <xf numFmtId="41" fontId="7" fillId="0" borderId="1" xfId="1" applyNumberFormat="1" applyFont="1" applyFill="1" applyBorder="1" applyAlignment="1">
      <alignment horizontal="center" vertical="center"/>
    </xf>
    <xf numFmtId="41" fontId="46" fillId="0" borderId="1" xfId="1" applyFont="1" applyFill="1" applyBorder="1" applyAlignment="1">
      <alignment horizontal="right" vertical="center"/>
    </xf>
    <xf numFmtId="41" fontId="6" fillId="0" borderId="1" xfId="1" applyNumberFormat="1" applyFont="1" applyFill="1" applyBorder="1" applyAlignment="1">
      <alignment horizontal="center" vertical="center"/>
    </xf>
    <xf numFmtId="41" fontId="32" fillId="8" borderId="1" xfId="1" applyNumberFormat="1" applyFont="1" applyFill="1" applyBorder="1" applyAlignment="1">
      <alignment horizontal="center" vertical="center"/>
    </xf>
    <xf numFmtId="41" fontId="32" fillId="0" borderId="1" xfId="1" applyFont="1" applyFill="1" applyBorder="1" applyAlignment="1">
      <alignment horizontal="center" vertical="center"/>
    </xf>
    <xf numFmtId="41" fontId="32" fillId="8" borderId="1" xfId="1" applyFont="1" applyFill="1" applyBorder="1" applyAlignment="1">
      <alignment horizontal="center" vertical="center"/>
    </xf>
    <xf numFmtId="167" fontId="7" fillId="0" borderId="5" xfId="1" applyNumberFormat="1" applyFont="1" applyFill="1" applyBorder="1" applyAlignment="1">
      <alignment horizontal="center" vertical="center"/>
    </xf>
    <xf numFmtId="41" fontId="7" fillId="0" borderId="5" xfId="1" applyNumberFormat="1" applyFont="1" applyFill="1" applyBorder="1" applyAlignment="1">
      <alignment horizontal="center" vertical="center"/>
    </xf>
    <xf numFmtId="41" fontId="31" fillId="33" borderId="1" xfId="1" applyFont="1" applyFill="1" applyBorder="1" applyAlignment="1">
      <alignment horizontal="center" vertical="center"/>
    </xf>
    <xf numFmtId="0" fontId="45" fillId="33" borderId="1" xfId="1" applyNumberFormat="1" applyFont="1" applyFill="1" applyBorder="1" applyAlignment="1">
      <alignment horizontal="center" vertical="center"/>
    </xf>
    <xf numFmtId="167" fontId="45" fillId="33" borderId="1" xfId="1" applyNumberFormat="1" applyFont="1" applyFill="1" applyBorder="1" applyAlignment="1">
      <alignment horizontal="right" vertical="center"/>
    </xf>
    <xf numFmtId="0" fontId="6" fillId="33" borderId="1" xfId="1" applyNumberFormat="1" applyFont="1" applyFill="1" applyBorder="1" applyAlignment="1">
      <alignment horizontal="center" vertical="center"/>
    </xf>
    <xf numFmtId="167" fontId="6" fillId="33" borderId="1" xfId="1" applyNumberFormat="1" applyFont="1" applyFill="1" applyBorder="1" applyAlignment="1">
      <alignment horizontal="right" vertical="center"/>
    </xf>
    <xf numFmtId="41" fontId="7" fillId="34" borderId="1" xfId="1" applyFont="1" applyFill="1" applyBorder="1" applyAlignment="1">
      <alignment horizontal="center" vertical="center"/>
    </xf>
    <xf numFmtId="0" fontId="7" fillId="34" borderId="1" xfId="1" applyNumberFormat="1" applyFont="1" applyFill="1" applyBorder="1" applyAlignment="1">
      <alignment horizontal="center" vertical="center"/>
    </xf>
    <xf numFmtId="167" fontId="7" fillId="34" borderId="1" xfId="1" applyNumberFormat="1" applyFont="1" applyFill="1" applyBorder="1" applyAlignment="1">
      <alignment horizontal="right" vertical="center"/>
    </xf>
    <xf numFmtId="41" fontId="44" fillId="0" borderId="1" xfId="1" applyFont="1" applyFill="1" applyBorder="1" applyAlignment="1">
      <alignment horizontal="center" vertical="center"/>
    </xf>
    <xf numFmtId="41" fontId="31" fillId="34" borderId="1" xfId="1" applyNumberFormat="1" applyFont="1" applyFill="1" applyBorder="1" applyAlignment="1">
      <alignment horizontal="center" vertical="center"/>
    </xf>
    <xf numFmtId="41" fontId="31" fillId="34" borderId="1" xfId="1" applyFont="1" applyFill="1" applyBorder="1" applyAlignment="1">
      <alignment horizontal="center" vertical="center"/>
    </xf>
    <xf numFmtId="41" fontId="7" fillId="34" borderId="5" xfId="1" applyFont="1" applyFill="1" applyBorder="1" applyAlignment="1">
      <alignment horizontal="center" vertical="center"/>
    </xf>
    <xf numFmtId="167" fontId="7" fillId="34" borderId="5" xfId="1" applyNumberFormat="1" applyFont="1" applyFill="1" applyBorder="1" applyAlignment="1">
      <alignment horizontal="center" vertical="center"/>
    </xf>
    <xf numFmtId="41" fontId="7" fillId="34" borderId="5" xfId="1" applyNumberFormat="1" applyFont="1" applyFill="1" applyBorder="1" applyAlignment="1">
      <alignment horizontal="center" vertical="center"/>
    </xf>
    <xf numFmtId="41" fontId="31" fillId="4" borderId="1" xfId="1" applyNumberFormat="1" applyFont="1" applyFill="1" applyBorder="1" applyAlignment="1">
      <alignment horizontal="center" vertical="center"/>
    </xf>
    <xf numFmtId="41" fontId="31" fillId="4" borderId="1" xfId="1" applyFont="1" applyFill="1" applyBorder="1" applyAlignment="1">
      <alignment horizontal="center" vertical="center"/>
    </xf>
    <xf numFmtId="167" fontId="7" fillId="4" borderId="5" xfId="1" applyNumberFormat="1" applyFont="1" applyFill="1" applyBorder="1" applyAlignment="1">
      <alignment horizontal="center" vertical="center"/>
    </xf>
    <xf numFmtId="41" fontId="7" fillId="4" borderId="5" xfId="1" applyNumberFormat="1" applyFont="1" applyFill="1" applyBorder="1" applyAlignment="1">
      <alignment horizontal="center" vertical="center"/>
    </xf>
    <xf numFmtId="41" fontId="7" fillId="8" borderId="1" xfId="1" applyFont="1" applyFill="1" applyBorder="1" applyAlignment="1">
      <alignment horizontal="center" vertical="center"/>
    </xf>
    <xf numFmtId="167" fontId="7" fillId="0" borderId="1" xfId="1" applyNumberFormat="1" applyFont="1" applyFill="1" applyBorder="1" applyAlignment="1">
      <alignment horizontal="center" vertical="center"/>
    </xf>
    <xf numFmtId="0" fontId="5" fillId="3" borderId="1" xfId="1" applyNumberFormat="1" applyFont="1" applyFill="1" applyBorder="1" applyAlignment="1">
      <alignment horizontal="center" vertical="center"/>
    </xf>
    <xf numFmtId="41" fontId="44" fillId="0" borderId="1" xfId="1" applyNumberFormat="1" applyFont="1" applyFill="1" applyBorder="1" applyAlignment="1">
      <alignment horizontal="center" vertical="center"/>
    </xf>
    <xf numFmtId="167" fontId="6" fillId="0" borderId="1" xfId="1" applyNumberFormat="1" applyFont="1" applyFill="1" applyBorder="1" applyAlignment="1">
      <alignment horizontal="center" vertical="center"/>
    </xf>
    <xf numFmtId="9" fontId="44" fillId="4" borderId="1" xfId="1" applyNumberFormat="1" applyFont="1" applyFill="1" applyBorder="1" applyAlignment="1">
      <alignment horizontal="center" vertical="center"/>
    </xf>
    <xf numFmtId="41" fontId="44" fillId="35" borderId="1" xfId="1" applyFont="1" applyFill="1" applyBorder="1" applyAlignment="1">
      <alignment horizontal="left" vertical="center" wrapText="1"/>
    </xf>
    <xf numFmtId="41" fontId="7" fillId="8" borderId="1" xfId="1" applyFont="1" applyFill="1" applyBorder="1" applyAlignment="1">
      <alignment horizontal="left" vertical="center"/>
    </xf>
    <xf numFmtId="41" fontId="7" fillId="8" borderId="1" xfId="1" applyNumberFormat="1" applyFont="1" applyFill="1" applyBorder="1" applyAlignment="1">
      <alignment horizontal="left" vertical="center"/>
    </xf>
    <xf numFmtId="41" fontId="45" fillId="33" borderId="1" xfId="1" applyFont="1" applyFill="1" applyBorder="1" applyAlignment="1">
      <alignment vertical="center"/>
    </xf>
    <xf numFmtId="0" fontId="31" fillId="33" borderId="1" xfId="1" applyNumberFormat="1" applyFont="1" applyFill="1" applyBorder="1" applyAlignment="1">
      <alignment horizontal="center" vertical="center"/>
    </xf>
    <xf numFmtId="41" fontId="6" fillId="33" borderId="1" xfId="1" applyFont="1" applyFill="1" applyBorder="1" applyAlignment="1">
      <alignment vertical="center"/>
    </xf>
    <xf numFmtId="0" fontId="7" fillId="33" borderId="1" xfId="1" applyNumberFormat="1" applyFont="1" applyFill="1" applyBorder="1" applyAlignment="1">
      <alignment horizontal="center" vertical="center"/>
    </xf>
    <xf numFmtId="41" fontId="7" fillId="33" borderId="1" xfId="1" applyFont="1" applyFill="1" applyBorder="1" applyAlignment="1">
      <alignment horizontal="left" vertical="center"/>
    </xf>
    <xf numFmtId="0" fontId="6" fillId="0" borderId="1" xfId="9" applyNumberFormat="1" applyFont="1" applyFill="1" applyBorder="1" applyAlignment="1">
      <alignment horizontal="center" vertical="center"/>
    </xf>
    <xf numFmtId="41" fontId="7" fillId="34" borderId="1" xfId="1" applyFont="1" applyFill="1" applyBorder="1" applyAlignment="1">
      <alignment vertical="center" wrapText="1"/>
    </xf>
    <xf numFmtId="0" fontId="7" fillId="34" borderId="1" xfId="9" applyNumberFormat="1" applyFont="1" applyFill="1" applyBorder="1" applyAlignment="1">
      <alignment horizontal="center" vertical="center"/>
    </xf>
    <xf numFmtId="41" fontId="6" fillId="0" borderId="1" xfId="1" applyNumberFormat="1" applyFont="1" applyFill="1" applyBorder="1" applyAlignment="1">
      <alignment horizontal="right" vertical="center"/>
    </xf>
    <xf numFmtId="41" fontId="7" fillId="34" borderId="1" xfId="1" applyNumberFormat="1" applyFont="1" applyFill="1" applyBorder="1" applyAlignment="1">
      <alignment horizontal="right" vertical="center"/>
    </xf>
    <xf numFmtId="41" fontId="7" fillId="34" borderId="1" xfId="1" applyNumberFormat="1" applyFont="1" applyFill="1" applyBorder="1" applyAlignment="1">
      <alignment horizontal="left" vertical="center"/>
    </xf>
    <xf numFmtId="41" fontId="7" fillId="4" borderId="1" xfId="1" applyNumberFormat="1" applyFont="1" applyFill="1" applyBorder="1" applyAlignment="1">
      <alignment horizontal="right" vertical="center"/>
    </xf>
    <xf numFmtId="41" fontId="7" fillId="4" borderId="1" xfId="1" applyNumberFormat="1" applyFont="1" applyFill="1" applyBorder="1" applyAlignment="1">
      <alignment horizontal="left" vertical="center"/>
    </xf>
    <xf numFmtId="0" fontId="7" fillId="4" borderId="1" xfId="9" applyNumberFormat="1" applyFont="1" applyFill="1" applyBorder="1" applyAlignment="1">
      <alignment horizontal="center" vertical="center"/>
    </xf>
    <xf numFmtId="41" fontId="5" fillId="0" borderId="1" xfId="1" applyNumberFormat="1" applyFont="1" applyFill="1" applyBorder="1" applyAlignment="1">
      <alignment horizontal="center" vertical="center"/>
    </xf>
    <xf numFmtId="41" fontId="6" fillId="0" borderId="1" xfId="1" applyNumberFormat="1" applyFont="1" applyFill="1" applyBorder="1" applyAlignment="1">
      <alignment horizontal="left" vertical="center"/>
    </xf>
    <xf numFmtId="41" fontId="44" fillId="4" borderId="7" xfId="1" applyFont="1" applyFill="1" applyBorder="1" applyAlignment="1">
      <alignment horizontal="right" vertical="center"/>
    </xf>
    <xf numFmtId="41" fontId="44" fillId="4" borderId="7" xfId="1" applyFont="1" applyFill="1" applyBorder="1" applyAlignment="1">
      <alignment horizontal="center" vertical="center"/>
    </xf>
    <xf numFmtId="41" fontId="32" fillId="0" borderId="5" xfId="1" applyFont="1" applyFill="1" applyBorder="1" applyAlignment="1">
      <alignment horizontal="center" vertical="center"/>
    </xf>
    <xf numFmtId="0" fontId="6" fillId="0" borderId="1" xfId="1" applyNumberFormat="1" applyFont="1" applyFill="1" applyBorder="1" applyAlignment="1">
      <alignment horizontal="left" vertical="center" wrapText="1"/>
    </xf>
    <xf numFmtId="0" fontId="7" fillId="0" borderId="1" xfId="1" applyNumberFormat="1" applyFont="1" applyFill="1" applyBorder="1" applyAlignment="1">
      <alignment horizontal="left" vertical="center"/>
    </xf>
    <xf numFmtId="0" fontId="7" fillId="0" borderId="2" xfId="1" applyNumberFormat="1" applyFont="1" applyFill="1" applyBorder="1" applyAlignment="1">
      <alignment vertical="center"/>
    </xf>
    <xf numFmtId="41" fontId="32" fillId="0" borderId="7" xfId="1" applyFont="1" applyFill="1" applyBorder="1" applyAlignment="1">
      <alignment horizontal="center" vertical="center"/>
    </xf>
    <xf numFmtId="41" fontId="7" fillId="34" borderId="5" xfId="1" applyFont="1" applyFill="1" applyBorder="1" applyAlignment="1">
      <alignment horizontal="right" vertical="center"/>
    </xf>
    <xf numFmtId="41" fontId="6" fillId="4" borderId="2" xfId="1" applyFont="1" applyFill="1" applyBorder="1" applyAlignment="1">
      <alignment horizontal="left" vertical="center"/>
    </xf>
    <xf numFmtId="41" fontId="6" fillId="4" borderId="7" xfId="1" applyFont="1" applyFill="1" applyBorder="1" applyAlignment="1">
      <alignment horizontal="right" vertical="center"/>
    </xf>
    <xf numFmtId="41" fontId="6" fillId="4" borderId="7" xfId="1" applyFont="1" applyFill="1" applyBorder="1" applyAlignment="1">
      <alignment horizontal="center" vertical="center"/>
    </xf>
    <xf numFmtId="41" fontId="6" fillId="4" borderId="5" xfId="1" applyFont="1" applyFill="1" applyBorder="1" applyAlignment="1">
      <alignment horizontal="right" vertical="center"/>
    </xf>
    <xf numFmtId="41" fontId="44" fillId="4" borderId="5" xfId="1" applyFont="1" applyFill="1" applyBorder="1" applyAlignment="1">
      <alignment horizontal="center" vertical="center"/>
    </xf>
    <xf numFmtId="0" fontId="6" fillId="0" borderId="1" xfId="1" applyNumberFormat="1" applyFont="1" applyFill="1" applyBorder="1" applyAlignment="1">
      <alignment horizontal="left" vertical="center"/>
    </xf>
    <xf numFmtId="41" fontId="6" fillId="0" borderId="5" xfId="1" applyFont="1" applyFill="1" applyBorder="1" applyAlignment="1">
      <alignment horizontal="right" vertical="center"/>
    </xf>
    <xf numFmtId="41" fontId="45" fillId="0" borderId="5" xfId="1" applyFont="1" applyFill="1" applyBorder="1" applyAlignment="1">
      <alignment horizontal="center" vertical="center"/>
    </xf>
    <xf numFmtId="0" fontId="6" fillId="0" borderId="2" xfId="1" applyNumberFormat="1" applyFont="1" applyFill="1" applyBorder="1" applyAlignment="1">
      <alignment vertical="center"/>
    </xf>
    <xf numFmtId="0" fontId="7" fillId="34" borderId="1" xfId="1" applyNumberFormat="1" applyFont="1" applyFill="1" applyBorder="1" applyAlignment="1">
      <alignment horizontal="left" vertical="center"/>
    </xf>
    <xf numFmtId="41" fontId="7" fillId="34" borderId="7" xfId="1" applyFont="1" applyFill="1" applyBorder="1" applyAlignment="1">
      <alignment horizontal="right" vertical="center"/>
    </xf>
    <xf numFmtId="41" fontId="7" fillId="34" borderId="7" xfId="1" applyFont="1" applyFill="1" applyBorder="1" applyAlignment="1">
      <alignment horizontal="center" vertical="center"/>
    </xf>
    <xf numFmtId="41" fontId="7" fillId="34" borderId="5" xfId="1" applyNumberFormat="1" applyFont="1" applyFill="1" applyBorder="1" applyAlignment="1">
      <alignment horizontal="left" vertical="center"/>
    </xf>
    <xf numFmtId="41" fontId="7" fillId="34" borderId="5" xfId="1" applyFont="1" applyFill="1" applyBorder="1" applyAlignment="1">
      <alignment horizontal="left" vertical="center"/>
    </xf>
    <xf numFmtId="41" fontId="7" fillId="4" borderId="5" xfId="1" applyNumberFormat="1" applyFont="1" applyFill="1" applyBorder="1" applyAlignment="1">
      <alignment horizontal="left" vertical="center"/>
    </xf>
    <xf numFmtId="41" fontId="7" fillId="4" borderId="5" xfId="1" applyFont="1" applyFill="1" applyBorder="1" applyAlignment="1">
      <alignment horizontal="left" vertical="center"/>
    </xf>
    <xf numFmtId="41" fontId="6" fillId="0" borderId="5" xfId="1" applyFont="1" applyFill="1" applyBorder="1" applyAlignment="1">
      <alignment horizontal="left" vertical="center"/>
    </xf>
    <xf numFmtId="41" fontId="7" fillId="0" borderId="5" xfId="1" applyFont="1" applyFill="1" applyBorder="1" applyAlignment="1">
      <alignment horizontal="left" vertical="center"/>
    </xf>
    <xf numFmtId="0" fontId="6" fillId="0" borderId="2" xfId="1" applyNumberFormat="1" applyFont="1" applyFill="1" applyBorder="1" applyAlignment="1">
      <alignment horizontal="left" vertical="center"/>
    </xf>
    <xf numFmtId="41" fontId="7" fillId="2" borderId="98" xfId="1" applyFont="1" applyFill="1" applyBorder="1" applyAlignment="1">
      <alignment horizontal="right" vertical="center"/>
    </xf>
    <xf numFmtId="41" fontId="44" fillId="4" borderId="2" xfId="1" applyNumberFormat="1" applyFont="1" applyFill="1" applyBorder="1" applyAlignment="1">
      <alignment horizontal="left" vertical="center"/>
    </xf>
    <xf numFmtId="41" fontId="44" fillId="4" borderId="0" xfId="1" applyNumberFormat="1" applyFont="1" applyFill="1" applyBorder="1" applyAlignment="1">
      <alignment horizontal="left" vertical="center"/>
    </xf>
    <xf numFmtId="41" fontId="7" fillId="8" borderId="2" xfId="1" applyNumberFormat="1" applyFont="1" applyFill="1" applyBorder="1" applyAlignment="1">
      <alignment horizontal="left" vertical="center"/>
    </xf>
    <xf numFmtId="41" fontId="7" fillId="8" borderId="0" xfId="1" applyNumberFormat="1" applyFont="1" applyFill="1" applyBorder="1" applyAlignment="1">
      <alignment horizontal="left" vertical="center"/>
    </xf>
    <xf numFmtId="41" fontId="7" fillId="0" borderId="2" xfId="1" applyFont="1" applyFill="1" applyBorder="1" applyAlignment="1">
      <alignment horizontal="center" vertical="center"/>
    </xf>
    <xf numFmtId="0" fontId="31" fillId="33" borderId="2" xfId="1" applyNumberFormat="1" applyFont="1" applyFill="1" applyBorder="1" applyAlignment="1">
      <alignment horizontal="left" vertical="center"/>
    </xf>
    <xf numFmtId="0" fontId="31" fillId="33" borderId="0" xfId="1" applyNumberFormat="1" applyFont="1" applyFill="1" applyBorder="1" applyAlignment="1">
      <alignment horizontal="left" vertical="center"/>
    </xf>
    <xf numFmtId="166" fontId="45" fillId="33" borderId="0" xfId="1" applyNumberFormat="1" applyFont="1" applyFill="1" applyBorder="1" applyAlignment="1">
      <alignment vertical="center"/>
    </xf>
    <xf numFmtId="0" fontId="7" fillId="8" borderId="2" xfId="1" applyNumberFormat="1" applyFont="1" applyFill="1" applyBorder="1" applyAlignment="1">
      <alignment horizontal="left" vertical="center"/>
    </xf>
    <xf numFmtId="0" fontId="7" fillId="8" borderId="0" xfId="1" applyNumberFormat="1" applyFont="1" applyFill="1" applyBorder="1" applyAlignment="1">
      <alignment horizontal="left" vertical="center"/>
    </xf>
    <xf numFmtId="41" fontId="7" fillId="33" borderId="1" xfId="1" applyFont="1" applyFill="1" applyBorder="1" applyAlignment="1">
      <alignment vertical="center"/>
    </xf>
    <xf numFmtId="41" fontId="7" fillId="33" borderId="2" xfId="1" applyNumberFormat="1" applyFont="1" applyFill="1" applyBorder="1" applyAlignment="1">
      <alignment horizontal="left" vertical="center"/>
    </xf>
    <xf numFmtId="41" fontId="7" fillId="33" borderId="0" xfId="1" applyNumberFormat="1" applyFont="1" applyFill="1" applyBorder="1" applyAlignment="1">
      <alignment horizontal="left" vertical="center"/>
    </xf>
    <xf numFmtId="166" fontId="6" fillId="33" borderId="0" xfId="1" applyNumberFormat="1" applyFont="1" applyFill="1" applyBorder="1" applyAlignment="1">
      <alignment vertical="center"/>
    </xf>
    <xf numFmtId="41" fontId="6" fillId="8" borderId="1" xfId="1" applyFont="1" applyFill="1" applyBorder="1" applyAlignment="1">
      <alignment vertical="center"/>
    </xf>
    <xf numFmtId="41" fontId="6" fillId="8" borderId="2" xfId="1" applyNumberFormat="1" applyFont="1" applyFill="1" applyBorder="1" applyAlignment="1">
      <alignment horizontal="left" vertical="center"/>
    </xf>
    <xf numFmtId="41" fontId="6" fillId="8" borderId="0" xfId="1" applyNumberFormat="1" applyFont="1" applyFill="1" applyBorder="1" applyAlignment="1">
      <alignment horizontal="left" vertical="center"/>
    </xf>
    <xf numFmtId="41" fontId="45" fillId="0" borderId="4" xfId="1" applyFont="1" applyFill="1" applyBorder="1" applyAlignment="1">
      <alignment horizontal="center" vertical="center"/>
    </xf>
    <xf numFmtId="0" fontId="7" fillId="34" borderId="1" xfId="1" applyNumberFormat="1" applyFont="1" applyFill="1" applyBorder="1" applyAlignment="1">
      <alignment vertical="center"/>
    </xf>
    <xf numFmtId="0" fontId="7" fillId="34" borderId="0" xfId="1" applyNumberFormat="1" applyFont="1" applyFill="1" applyBorder="1" applyAlignment="1">
      <alignment horizontal="left" vertical="center"/>
    </xf>
    <xf numFmtId="166" fontId="7" fillId="34" borderId="0" xfId="1" applyNumberFormat="1" applyFont="1" applyFill="1" applyBorder="1" applyAlignment="1">
      <alignment vertical="center"/>
    </xf>
    <xf numFmtId="0" fontId="6" fillId="4" borderId="1" xfId="1" applyNumberFormat="1" applyFont="1" applyFill="1" applyBorder="1" applyAlignment="1">
      <alignment vertical="center"/>
    </xf>
    <xf numFmtId="0" fontId="6" fillId="4" borderId="0" xfId="1" applyNumberFormat="1" applyFont="1" applyFill="1" applyBorder="1" applyAlignment="1">
      <alignment horizontal="left" vertical="center"/>
    </xf>
    <xf numFmtId="166" fontId="5" fillId="0" borderId="0" xfId="1" applyNumberFormat="1" applyFont="1" applyFill="1" applyBorder="1" applyAlignment="1">
      <alignment vertical="center"/>
    </xf>
    <xf numFmtId="0" fontId="7" fillId="3" borderId="1" xfId="1" applyNumberFormat="1" applyFont="1" applyFill="1" applyBorder="1" applyAlignment="1">
      <alignment vertical="center"/>
    </xf>
    <xf numFmtId="41" fontId="6" fillId="0" borderId="0" xfId="1" applyNumberFormat="1" applyFont="1" applyFill="1" applyBorder="1" applyAlignment="1">
      <alignment horizontal="left" vertical="center"/>
    </xf>
    <xf numFmtId="41" fontId="7" fillId="34" borderId="2" xfId="1" applyNumberFormat="1" applyFont="1" applyFill="1" applyBorder="1" applyAlignment="1">
      <alignment horizontal="left" vertical="center"/>
    </xf>
    <xf numFmtId="41" fontId="7" fillId="34" borderId="0" xfId="1" applyNumberFormat="1" applyFont="1" applyFill="1" applyBorder="1" applyAlignment="1">
      <alignment horizontal="left" vertical="center"/>
    </xf>
    <xf numFmtId="166" fontId="5" fillId="0" borderId="0" xfId="1" applyNumberFormat="1" applyFont="1" applyFill="1" applyBorder="1" applyAlignment="1">
      <alignment horizontal="left" vertical="center"/>
    </xf>
    <xf numFmtId="41" fontId="7" fillId="34" borderId="2" xfId="1" applyFont="1" applyFill="1" applyBorder="1" applyAlignment="1">
      <alignment horizontal="center" vertical="center"/>
    </xf>
    <xf numFmtId="41" fontId="7" fillId="34" borderId="4" xfId="1" applyFont="1" applyFill="1" applyBorder="1" applyAlignment="1">
      <alignment vertical="center"/>
    </xf>
    <xf numFmtId="166" fontId="5" fillId="34" borderId="0" xfId="1" applyNumberFormat="1" applyFont="1" applyFill="1" applyBorder="1" applyAlignment="1">
      <alignment horizontal="left" vertical="center"/>
    </xf>
    <xf numFmtId="41" fontId="7" fillId="4" borderId="2" xfId="1" applyFont="1" applyFill="1" applyBorder="1" applyAlignment="1">
      <alignment horizontal="center" vertical="center"/>
    </xf>
    <xf numFmtId="41" fontId="7" fillId="4" borderId="4" xfId="1" applyFont="1" applyFill="1" applyBorder="1" applyAlignment="1">
      <alignment vertical="center"/>
    </xf>
    <xf numFmtId="166" fontId="5" fillId="4" borderId="0" xfId="1" applyNumberFormat="1" applyFont="1" applyFill="1" applyBorder="1" applyAlignment="1">
      <alignment horizontal="left" vertical="center"/>
    </xf>
    <xf numFmtId="41" fontId="6" fillId="0" borderId="2" xfId="1" applyFont="1" applyFill="1" applyBorder="1" applyAlignment="1">
      <alignment horizontal="center" vertical="center"/>
    </xf>
    <xf numFmtId="41" fontId="7" fillId="3" borderId="4" xfId="1" applyFont="1" applyFill="1" applyBorder="1" applyAlignment="1">
      <alignment horizontal="center" vertical="center"/>
    </xf>
    <xf numFmtId="0" fontId="7" fillId="34" borderId="0" xfId="9" applyFont="1" applyFill="1" applyBorder="1" applyAlignment="1">
      <alignment horizontal="right" vertical="center"/>
    </xf>
    <xf numFmtId="0" fontId="6" fillId="4" borderId="0" xfId="9" applyFont="1" applyFill="1" applyBorder="1" applyAlignment="1">
      <alignment horizontal="right" vertical="center"/>
    </xf>
    <xf numFmtId="0" fontId="5" fillId="0" borderId="0" xfId="9" applyFont="1" applyFill="1" applyBorder="1" applyAlignment="1">
      <alignment horizontal="right" vertical="center"/>
    </xf>
    <xf numFmtId="0" fontId="5" fillId="34" borderId="0" xfId="9" applyFont="1" applyFill="1" applyBorder="1" applyAlignment="1">
      <alignment horizontal="right" vertical="center"/>
    </xf>
    <xf numFmtId="0" fontId="5" fillId="4" borderId="0" xfId="9" applyFont="1" applyFill="1" applyBorder="1" applyAlignment="1">
      <alignment horizontal="right" vertical="center"/>
    </xf>
    <xf numFmtId="0" fontId="6" fillId="0" borderId="18" xfId="9" applyFont="1" applyFill="1" applyBorder="1" applyAlignment="1">
      <alignment horizontal="center" vertical="center"/>
    </xf>
    <xf numFmtId="0" fontId="7" fillId="8" borderId="18" xfId="9" applyFont="1" applyFill="1" applyBorder="1" applyAlignment="1">
      <alignment horizontal="center" vertical="center"/>
    </xf>
    <xf numFmtId="0" fontId="7" fillId="8" borderId="62" xfId="9" applyFont="1" applyFill="1" applyBorder="1" applyAlignment="1">
      <alignment horizontal="center" vertical="center"/>
    </xf>
    <xf numFmtId="0" fontId="7" fillId="8" borderId="0" xfId="9" applyFont="1" applyFill="1" applyBorder="1" applyAlignment="1">
      <alignment horizontal="center" vertical="center"/>
    </xf>
    <xf numFmtId="41" fontId="7" fillId="3" borderId="1" xfId="1" applyNumberFormat="1" applyFont="1" applyFill="1" applyBorder="1" applyAlignment="1">
      <alignment horizontal="left" vertical="center"/>
    </xf>
    <xf numFmtId="0" fontId="6" fillId="8" borderId="4" xfId="9" applyFont="1" applyFill="1" applyBorder="1" applyAlignment="1">
      <alignment horizontal="center" vertical="center"/>
    </xf>
    <xf numFmtId="0" fontId="6" fillId="0" borderId="7" xfId="9" applyFont="1" applyFill="1" applyBorder="1" applyAlignment="1">
      <alignment horizontal="left" vertical="center"/>
    </xf>
    <xf numFmtId="0" fontId="7" fillId="34" borderId="1" xfId="0" applyFont="1" applyFill="1" applyBorder="1" applyAlignment="1">
      <alignment vertical="center"/>
    </xf>
    <xf numFmtId="0" fontId="6" fillId="4" borderId="1" xfId="0" applyFont="1" applyFill="1" applyBorder="1" applyAlignment="1">
      <alignment vertical="center"/>
    </xf>
    <xf numFmtId="0" fontId="7" fillId="34" borderId="1" xfId="0" applyFont="1" applyFill="1" applyBorder="1" applyAlignment="1">
      <alignment vertical="center" wrapText="1"/>
    </xf>
    <xf numFmtId="0" fontId="6" fillId="4" borderId="1" xfId="0" applyFont="1" applyFill="1" applyBorder="1" applyAlignment="1">
      <alignment vertical="center" wrapText="1"/>
    </xf>
    <xf numFmtId="0" fontId="44" fillId="4" borderId="1" xfId="0" applyFont="1" applyFill="1" applyBorder="1" applyAlignment="1">
      <alignment vertical="center" wrapText="1"/>
    </xf>
    <xf numFmtId="1" fontId="44" fillId="4" borderId="1" xfId="9" applyNumberFormat="1" applyFont="1" applyFill="1" applyBorder="1" applyAlignment="1">
      <alignment horizontal="center" vertical="center"/>
    </xf>
    <xf numFmtId="41" fontId="7" fillId="0" borderId="1" xfId="1" applyNumberFormat="1" applyFont="1" applyFill="1" applyBorder="1" applyAlignment="1">
      <alignment horizontal="right" vertical="center"/>
    </xf>
    <xf numFmtId="41" fontId="31" fillId="0" borderId="4" xfId="1" applyFont="1" applyBorder="1" applyAlignment="1">
      <alignment vertical="center"/>
    </xf>
    <xf numFmtId="41" fontId="31" fillId="0" borderId="3" xfId="1" applyFont="1" applyBorder="1" applyAlignment="1">
      <alignment vertical="center"/>
    </xf>
    <xf numFmtId="41" fontId="31" fillId="8" borderId="1" xfId="1" applyFont="1" applyFill="1" applyBorder="1" applyAlignment="1">
      <alignment horizontal="right" vertical="center"/>
    </xf>
    <xf numFmtId="41" fontId="31" fillId="34" borderId="1" xfId="1" applyFont="1" applyFill="1" applyBorder="1" applyAlignment="1">
      <alignment vertical="center"/>
    </xf>
    <xf numFmtId="41" fontId="31" fillId="34" borderId="313" xfId="1" applyFont="1" applyFill="1" applyBorder="1" applyAlignment="1">
      <alignment vertical="center"/>
    </xf>
    <xf numFmtId="41" fontId="45" fillId="4" borderId="1" xfId="1" applyFont="1" applyFill="1" applyBorder="1" applyAlignment="1">
      <alignment vertical="center"/>
    </xf>
    <xf numFmtId="41" fontId="45" fillId="4" borderId="313" xfId="1" applyFont="1" applyFill="1" applyBorder="1" applyAlignment="1">
      <alignment vertical="center"/>
    </xf>
    <xf numFmtId="41" fontId="44" fillId="4" borderId="313" xfId="1" applyFont="1" applyFill="1" applyBorder="1" applyAlignment="1">
      <alignment vertical="center"/>
    </xf>
    <xf numFmtId="41" fontId="7" fillId="0" borderId="1" xfId="9" applyNumberFormat="1" applyFont="1" applyFill="1" applyBorder="1" applyAlignment="1">
      <alignment horizontal="center" vertical="center"/>
    </xf>
    <xf numFmtId="41" fontId="44" fillId="8" borderId="1" xfId="1" applyNumberFormat="1" applyFont="1" applyFill="1" applyBorder="1" applyAlignment="1">
      <alignment horizontal="center" vertical="center"/>
    </xf>
    <xf numFmtId="0" fontId="7" fillId="3" borderId="1" xfId="9" applyNumberFormat="1" applyFont="1" applyFill="1" applyBorder="1" applyAlignment="1">
      <alignment horizontal="center" vertical="center"/>
    </xf>
    <xf numFmtId="41" fontId="6" fillId="4" borderId="5" xfId="1" applyFont="1" applyFill="1" applyBorder="1" applyAlignment="1">
      <alignment horizontal="center" vertical="center"/>
    </xf>
    <xf numFmtId="167" fontId="6" fillId="4" borderId="5" xfId="1" applyNumberFormat="1" applyFont="1" applyFill="1" applyBorder="1" applyAlignment="1">
      <alignment horizontal="center" vertical="center"/>
    </xf>
    <xf numFmtId="41" fontId="6" fillId="4" borderId="5" xfId="1" applyNumberFormat="1" applyFont="1" applyFill="1" applyBorder="1" applyAlignment="1">
      <alignment horizontal="center" vertical="center"/>
    </xf>
    <xf numFmtId="167" fontId="44" fillId="4" borderId="5" xfId="1" applyNumberFormat="1" applyFont="1" applyFill="1" applyBorder="1" applyAlignment="1">
      <alignment horizontal="center" vertical="center"/>
    </xf>
    <xf numFmtId="41" fontId="44" fillId="4" borderId="5" xfId="1" applyNumberFormat="1" applyFont="1" applyFill="1" applyBorder="1" applyAlignment="1">
      <alignment horizontal="center" vertical="center"/>
    </xf>
    <xf numFmtId="41" fontId="7" fillId="3" borderId="1" xfId="1" applyNumberFormat="1" applyFont="1" applyFill="1" applyBorder="1" applyAlignment="1">
      <alignment horizontal="center" vertical="center"/>
    </xf>
    <xf numFmtId="41" fontId="6" fillId="8" borderId="1" xfId="1" applyFont="1" applyFill="1" applyBorder="1" applyAlignment="1">
      <alignment horizontal="center" vertical="center"/>
    </xf>
    <xf numFmtId="41" fontId="6" fillId="0" borderId="5" xfId="1" applyFont="1" applyFill="1" applyBorder="1" applyAlignment="1">
      <alignment horizontal="center" vertical="center"/>
    </xf>
    <xf numFmtId="167" fontId="6" fillId="0" borderId="5" xfId="1" applyNumberFormat="1" applyFont="1" applyFill="1" applyBorder="1" applyAlignment="1">
      <alignment horizontal="center" vertical="center"/>
    </xf>
    <xf numFmtId="41" fontId="6" fillId="0" borderId="5" xfId="1" applyNumberFormat="1" applyFont="1" applyFill="1" applyBorder="1" applyAlignment="1">
      <alignment horizontal="center" vertical="center"/>
    </xf>
    <xf numFmtId="41" fontId="6" fillId="35" borderId="1" xfId="1" applyNumberFormat="1" applyFont="1" applyFill="1" applyBorder="1" applyAlignment="1">
      <alignment horizontal="left" vertical="center"/>
    </xf>
    <xf numFmtId="41" fontId="7" fillId="35" borderId="1" xfId="1" applyNumberFormat="1" applyFont="1" applyFill="1" applyBorder="1" applyAlignment="1">
      <alignment horizontal="left" vertical="center" wrapText="1"/>
    </xf>
    <xf numFmtId="9" fontId="7" fillId="0" borderId="1" xfId="1" applyNumberFormat="1" applyFont="1" applyFill="1" applyBorder="1" applyAlignment="1">
      <alignment horizontal="center" vertical="center"/>
    </xf>
    <xf numFmtId="9" fontId="7" fillId="3" borderId="1" xfId="1" applyNumberFormat="1" applyFont="1" applyFill="1" applyBorder="1" applyAlignment="1">
      <alignment horizontal="center" vertical="center"/>
    </xf>
    <xf numFmtId="9" fontId="6" fillId="0" borderId="1" xfId="1" applyNumberFormat="1" applyFont="1" applyFill="1" applyBorder="1" applyAlignment="1">
      <alignment horizontal="left" vertical="center"/>
    </xf>
    <xf numFmtId="9" fontId="7" fillId="0" borderId="1" xfId="1" applyNumberFormat="1" applyFont="1" applyFill="1" applyBorder="1" applyAlignment="1">
      <alignment horizontal="left" vertical="center"/>
    </xf>
    <xf numFmtId="41" fontId="6" fillId="4" borderId="1" xfId="1" applyNumberFormat="1" applyFont="1" applyFill="1" applyBorder="1" applyAlignment="1">
      <alignment horizontal="left" vertical="center"/>
    </xf>
    <xf numFmtId="41" fontId="44" fillId="4" borderId="1" xfId="1" applyNumberFormat="1" applyFont="1" applyFill="1" applyBorder="1" applyAlignment="1">
      <alignment horizontal="left" vertical="center"/>
    </xf>
    <xf numFmtId="0" fontId="44" fillId="4" borderId="1" xfId="9" applyNumberFormat="1" applyFont="1" applyFill="1" applyBorder="1" applyAlignment="1">
      <alignment horizontal="center" vertical="center"/>
    </xf>
    <xf numFmtId="41" fontId="5" fillId="3" borderId="1" xfId="1" applyNumberFormat="1" applyFont="1" applyFill="1" applyBorder="1" applyAlignment="1">
      <alignment horizontal="center" vertical="center"/>
    </xf>
    <xf numFmtId="41" fontId="46" fillId="0" borderId="1" xfId="1" applyNumberFormat="1" applyFont="1" applyFill="1" applyBorder="1" applyAlignment="1">
      <alignment horizontal="center" vertical="center"/>
    </xf>
    <xf numFmtId="41" fontId="6" fillId="8" borderId="1" xfId="1" applyNumberFormat="1" applyFont="1" applyFill="1" applyBorder="1" applyAlignment="1">
      <alignment horizontal="left" vertical="center"/>
    </xf>
    <xf numFmtId="41" fontId="7" fillId="3" borderId="1" xfId="1" applyNumberFormat="1" applyFont="1" applyFill="1" applyBorder="1" applyAlignment="1">
      <alignment vertical="center"/>
    </xf>
    <xf numFmtId="41" fontId="6" fillId="0" borderId="1" xfId="1" applyNumberFormat="1" applyFont="1" applyFill="1" applyBorder="1" applyAlignment="1">
      <alignment vertical="center"/>
    </xf>
    <xf numFmtId="0" fontId="6" fillId="0" borderId="2" xfId="1" applyNumberFormat="1" applyFont="1" applyFill="1" applyBorder="1" applyAlignment="1">
      <alignment horizontal="left" vertical="center" wrapText="1"/>
    </xf>
    <xf numFmtId="41" fontId="6" fillId="0" borderId="7" xfId="1" applyFont="1" applyFill="1" applyBorder="1" applyAlignment="1">
      <alignment horizontal="right" vertical="center"/>
    </xf>
    <xf numFmtId="41" fontId="45" fillId="0" borderId="5" xfId="1" applyFont="1" applyFill="1" applyBorder="1" applyAlignment="1">
      <alignment horizontal="left" vertical="center"/>
    </xf>
    <xf numFmtId="41" fontId="6" fillId="0" borderId="6" xfId="1" applyFont="1" applyFill="1" applyBorder="1" applyAlignment="1">
      <alignment horizontal="left" vertical="center"/>
    </xf>
    <xf numFmtId="41" fontId="44" fillId="0" borderId="7" xfId="1" applyFont="1" applyFill="1" applyBorder="1" applyAlignment="1">
      <alignment horizontal="center" vertical="center"/>
    </xf>
    <xf numFmtId="41" fontId="44" fillId="0" borderId="5" xfId="1" applyFont="1" applyFill="1" applyBorder="1" applyAlignment="1">
      <alignment horizontal="center" vertical="center"/>
    </xf>
    <xf numFmtId="41" fontId="6" fillId="0" borderId="63" xfId="1" applyFont="1" applyFill="1" applyBorder="1" applyAlignment="1">
      <alignment horizontal="left" vertical="center"/>
    </xf>
    <xf numFmtId="41" fontId="7" fillId="0" borderId="5" xfId="1" applyNumberFormat="1" applyFont="1" applyFill="1" applyBorder="1" applyAlignment="1">
      <alignment horizontal="left" vertical="center"/>
    </xf>
    <xf numFmtId="41" fontId="6" fillId="0" borderId="7" xfId="1" applyFont="1" applyFill="1" applyBorder="1" applyAlignment="1">
      <alignment horizontal="center" vertical="center"/>
    </xf>
    <xf numFmtId="41" fontId="6" fillId="34" borderId="1" xfId="1" applyFont="1" applyFill="1" applyBorder="1" applyAlignment="1">
      <alignment horizontal="left" vertical="center"/>
    </xf>
    <xf numFmtId="41" fontId="6" fillId="34" borderId="5" xfId="1" applyFont="1" applyFill="1" applyBorder="1" applyAlignment="1">
      <alignment horizontal="left" vertical="center"/>
    </xf>
    <xf numFmtId="41" fontId="6" fillId="4" borderId="5" xfId="1" applyFont="1" applyFill="1" applyBorder="1" applyAlignment="1">
      <alignment horizontal="left" vertical="center"/>
    </xf>
    <xf numFmtId="41" fontId="44" fillId="4" borderId="5" xfId="1" applyFont="1" applyFill="1" applyBorder="1" applyAlignment="1">
      <alignment horizontal="left" vertical="center"/>
    </xf>
    <xf numFmtId="41" fontId="7" fillId="3" borderId="5" xfId="1" applyNumberFormat="1" applyFont="1" applyFill="1" applyBorder="1" applyAlignment="1">
      <alignment horizontal="center" vertical="center"/>
    </xf>
    <xf numFmtId="0" fontId="6" fillId="35" borderId="1" xfId="1" applyNumberFormat="1" applyFont="1" applyFill="1" applyBorder="1" applyAlignment="1">
      <alignment horizontal="left" vertical="center"/>
    </xf>
    <xf numFmtId="41" fontId="6" fillId="0" borderId="7" xfId="1" applyNumberFormat="1" applyFont="1" applyFill="1" applyBorder="1" applyAlignment="1">
      <alignment horizontal="center" vertical="center"/>
    </xf>
    <xf numFmtId="0" fontId="7" fillId="35" borderId="1" xfId="1" applyNumberFormat="1" applyFont="1" applyFill="1" applyBorder="1" applyAlignment="1">
      <alignment horizontal="left" vertical="center" wrapText="1"/>
    </xf>
    <xf numFmtId="0" fontId="7" fillId="35" borderId="1" xfId="1" applyNumberFormat="1" applyFont="1" applyFill="1" applyBorder="1" applyAlignment="1">
      <alignment horizontal="left" vertical="center"/>
    </xf>
    <xf numFmtId="41" fontId="6" fillId="0" borderId="4" xfId="1" applyNumberFormat="1" applyFont="1" applyFill="1" applyBorder="1" applyAlignment="1">
      <alignment horizontal="center" vertical="center"/>
    </xf>
    <xf numFmtId="41" fontId="7" fillId="0" borderId="4" xfId="1" applyNumberFormat="1" applyFont="1" applyFill="1" applyBorder="1" applyAlignment="1">
      <alignment vertical="center"/>
    </xf>
    <xf numFmtId="41" fontId="7" fillId="0" borderId="1" xfId="1" applyNumberFormat="1" applyFont="1" applyFill="1" applyBorder="1" applyAlignment="1">
      <alignment vertical="center"/>
    </xf>
    <xf numFmtId="41" fontId="7" fillId="8" borderId="1" xfId="1" applyFont="1" applyFill="1" applyBorder="1" applyAlignment="1">
      <alignment vertical="center"/>
    </xf>
    <xf numFmtId="0" fontId="7" fillId="8" borderId="1" xfId="1" applyNumberFormat="1" applyFont="1" applyFill="1" applyBorder="1" applyAlignment="1">
      <alignment vertical="center"/>
    </xf>
    <xf numFmtId="166" fontId="46" fillId="0" borderId="0" xfId="1" applyNumberFormat="1" applyFont="1" applyFill="1" applyBorder="1" applyAlignment="1">
      <alignment vertical="center"/>
    </xf>
    <xf numFmtId="0" fontId="7" fillId="3" borderId="1" xfId="1" applyNumberFormat="1" applyFont="1" applyFill="1" applyBorder="1" applyAlignment="1">
      <alignment horizontal="left" vertical="center"/>
    </xf>
    <xf numFmtId="166" fontId="46" fillId="3" borderId="0" xfId="1" applyNumberFormat="1" applyFont="1" applyFill="1" applyBorder="1" applyAlignment="1">
      <alignment vertical="center"/>
    </xf>
    <xf numFmtId="41" fontId="6" fillId="0" borderId="4" xfId="1" applyFont="1" applyFill="1" applyBorder="1" applyAlignment="1">
      <alignment horizontal="center" vertical="center"/>
    </xf>
    <xf numFmtId="166" fontId="5" fillId="3" borderId="0" xfId="1" applyNumberFormat="1" applyFont="1" applyFill="1" applyBorder="1" applyAlignment="1">
      <alignment vertical="center"/>
    </xf>
    <xf numFmtId="166" fontId="6" fillId="0" borderId="0" xfId="1" applyNumberFormat="1" applyFont="1" applyFill="1" applyBorder="1" applyAlignment="1">
      <alignment horizontal="left" vertical="center"/>
    </xf>
    <xf numFmtId="41" fontId="6" fillId="34" borderId="2" xfId="1" applyFont="1" applyFill="1" applyBorder="1" applyAlignment="1">
      <alignment horizontal="center" vertical="center"/>
    </xf>
    <xf numFmtId="166" fontId="6" fillId="34" borderId="0" xfId="1" applyNumberFormat="1" applyFont="1" applyFill="1" applyBorder="1" applyAlignment="1">
      <alignment horizontal="left" vertical="center"/>
    </xf>
    <xf numFmtId="41" fontId="6" fillId="4" borderId="2" xfId="1" applyFont="1" applyFill="1" applyBorder="1" applyAlignment="1">
      <alignment horizontal="center" vertical="center"/>
    </xf>
    <xf numFmtId="41" fontId="6" fillId="4" borderId="4" xfId="1" applyFont="1" applyFill="1" applyBorder="1" applyAlignment="1">
      <alignment vertical="center"/>
    </xf>
    <xf numFmtId="166" fontId="6" fillId="4" borderId="0" xfId="1" applyNumberFormat="1" applyFont="1" applyFill="1" applyBorder="1" applyAlignment="1">
      <alignment horizontal="left" vertical="center"/>
    </xf>
    <xf numFmtId="166" fontId="7" fillId="34" borderId="0" xfId="1" applyNumberFormat="1" applyFont="1" applyFill="1" applyBorder="1" applyAlignment="1">
      <alignment horizontal="left" vertical="center"/>
    </xf>
    <xf numFmtId="41" fontId="44" fillId="4" borderId="2" xfId="1" applyFont="1" applyFill="1" applyBorder="1" applyAlignment="1">
      <alignment horizontal="center" vertical="center"/>
    </xf>
    <xf numFmtId="41" fontId="44" fillId="4" borderId="4" xfId="1" applyFont="1" applyFill="1" applyBorder="1" applyAlignment="1">
      <alignment vertical="center"/>
    </xf>
    <xf numFmtId="166" fontId="44" fillId="4" borderId="0" xfId="1" applyNumberFormat="1" applyFont="1" applyFill="1" applyBorder="1" applyAlignment="1">
      <alignment horizontal="left" vertical="center"/>
    </xf>
    <xf numFmtId="41" fontId="7" fillId="3" borderId="4" xfId="1" applyNumberFormat="1" applyFont="1" applyFill="1" applyBorder="1" applyAlignment="1">
      <alignment horizontal="center" vertical="center"/>
    </xf>
    <xf numFmtId="166" fontId="6" fillId="3" borderId="0" xfId="1" applyNumberFormat="1" applyFont="1" applyFill="1" applyBorder="1" applyAlignment="1">
      <alignment horizontal="left" vertical="center"/>
    </xf>
    <xf numFmtId="41" fontId="6" fillId="0" borderId="4" xfId="1" applyNumberFormat="1" applyFont="1" applyFill="1" applyBorder="1" applyAlignment="1">
      <alignment vertical="center"/>
    </xf>
    <xf numFmtId="0" fontId="6" fillId="0" borderId="1" xfId="1" applyNumberFormat="1" applyFont="1" applyFill="1" applyBorder="1" applyAlignment="1">
      <alignment vertical="center"/>
    </xf>
    <xf numFmtId="41" fontId="32" fillId="4" borderId="1" xfId="1" applyNumberFormat="1" applyFont="1" applyFill="1" applyBorder="1" applyAlignment="1">
      <alignment horizontal="left" vertical="center"/>
    </xf>
    <xf numFmtId="0" fontId="7" fillId="4" borderId="1" xfId="0" applyFont="1" applyFill="1" applyBorder="1" applyAlignment="1">
      <alignment horizontal="left" vertical="center"/>
    </xf>
    <xf numFmtId="0" fontId="6" fillId="4" borderId="1" xfId="0" applyFont="1" applyFill="1" applyBorder="1" applyAlignment="1">
      <alignment horizontal="left" vertical="center"/>
    </xf>
    <xf numFmtId="0" fontId="7" fillId="0" borderId="1" xfId="0" applyFont="1" applyFill="1" applyBorder="1" applyAlignment="1">
      <alignment horizontal="left" vertical="center"/>
    </xf>
    <xf numFmtId="41" fontId="31" fillId="0" borderId="1" xfId="1" applyNumberFormat="1" applyFont="1" applyFill="1" applyBorder="1" applyAlignment="1">
      <alignment horizontal="left" vertical="center"/>
    </xf>
    <xf numFmtId="41" fontId="32" fillId="0" borderId="1" xfId="1" applyNumberFormat="1" applyFont="1" applyFill="1" applyBorder="1" applyAlignment="1">
      <alignment horizontal="left" vertical="center"/>
    </xf>
    <xf numFmtId="0" fontId="7" fillId="0" borderId="5" xfId="9" applyFont="1" applyFill="1" applyBorder="1" applyAlignment="1">
      <alignment horizontal="center" vertical="center"/>
    </xf>
    <xf numFmtId="0" fontId="7" fillId="8" borderId="62" xfId="0" applyNumberFormat="1" applyFont="1" applyFill="1" applyBorder="1" applyAlignment="1" applyProtection="1">
      <alignment horizontal="center" vertical="center"/>
    </xf>
    <xf numFmtId="0" fontId="7" fillId="0" borderId="5" xfId="0" applyNumberFormat="1" applyFont="1" applyFill="1" applyBorder="1" applyAlignment="1" applyProtection="1">
      <alignment horizontal="center" vertical="center"/>
    </xf>
    <xf numFmtId="0" fontId="7" fillId="0" borderId="5" xfId="0" applyNumberFormat="1" applyFont="1" applyFill="1" applyBorder="1" applyAlignment="1" applyProtection="1">
      <alignment horizontal="left" vertical="center"/>
    </xf>
    <xf numFmtId="41" fontId="7" fillId="0" borderId="5" xfId="0" applyNumberFormat="1" applyFont="1" applyFill="1" applyBorder="1" applyAlignment="1">
      <alignment horizontal="left" vertical="center"/>
    </xf>
    <xf numFmtId="0" fontId="5" fillId="0" borderId="102" xfId="9" applyFont="1" applyFill="1" applyBorder="1" applyAlignment="1">
      <alignment horizontal="left" vertical="center"/>
    </xf>
    <xf numFmtId="0" fontId="7" fillId="0" borderId="0" xfId="0" applyNumberFormat="1" applyFont="1" applyFill="1" applyBorder="1" applyAlignment="1" applyProtection="1">
      <alignment horizontal="center" vertical="center"/>
    </xf>
    <xf numFmtId="0" fontId="7" fillId="0" borderId="0" xfId="0" applyNumberFormat="1" applyFont="1" applyFill="1" applyBorder="1" applyAlignment="1" applyProtection="1">
      <alignment horizontal="left" vertical="center"/>
    </xf>
    <xf numFmtId="41" fontId="7" fillId="0" borderId="0" xfId="0" applyNumberFormat="1" applyFont="1" applyFill="1" applyBorder="1" applyAlignment="1">
      <alignment horizontal="left" vertical="center"/>
    </xf>
    <xf numFmtId="0" fontId="7" fillId="0" borderId="98" xfId="9" applyFont="1" applyBorder="1" applyAlignment="1">
      <alignment horizontal="center" vertical="center"/>
    </xf>
    <xf numFmtId="0" fontId="5" fillId="14" borderId="98" xfId="9" applyFont="1" applyFill="1" applyBorder="1" applyAlignment="1">
      <alignment horizontal="center" vertical="center"/>
    </xf>
    <xf numFmtId="0" fontId="7" fillId="4" borderId="1" xfId="0" applyFont="1" applyFill="1" applyBorder="1" applyAlignment="1">
      <alignment horizontal="center" vertical="center"/>
    </xf>
    <xf numFmtId="0" fontId="6" fillId="4" borderId="1" xfId="0" applyFont="1" applyFill="1" applyBorder="1" applyAlignment="1">
      <alignment horizontal="center" vertical="center"/>
    </xf>
    <xf numFmtId="0" fontId="7" fillId="0" borderId="62" xfId="0" applyFont="1" applyBorder="1" applyAlignment="1">
      <alignment vertical="center" wrapText="1"/>
    </xf>
    <xf numFmtId="0" fontId="7" fillId="0" borderId="1" xfId="9" applyFont="1" applyFill="1" applyBorder="1" applyAlignment="1">
      <alignment horizontal="left" vertical="center" wrapText="1"/>
    </xf>
    <xf numFmtId="0" fontId="7" fillId="0" borderId="1" xfId="9" applyFont="1" applyFill="1" applyBorder="1" applyAlignment="1">
      <alignment horizontal="center" vertical="center" wrapText="1"/>
    </xf>
    <xf numFmtId="1" fontId="7" fillId="0" borderId="5" xfId="9" applyNumberFormat="1" applyFont="1" applyFill="1" applyBorder="1" applyAlignment="1">
      <alignment horizontal="center" vertical="center"/>
    </xf>
    <xf numFmtId="1" fontId="7" fillId="0" borderId="5" xfId="0" applyNumberFormat="1" applyFont="1" applyFill="1" applyBorder="1" applyAlignment="1" applyProtection="1">
      <alignment horizontal="center" vertical="center"/>
    </xf>
    <xf numFmtId="1" fontId="7" fillId="0" borderId="0" xfId="0" applyNumberFormat="1" applyFont="1" applyFill="1" applyBorder="1" applyAlignment="1" applyProtection="1">
      <alignment horizontal="center" vertical="center"/>
    </xf>
    <xf numFmtId="0" fontId="0" fillId="0" borderId="0" xfId="9" applyFont="1" applyBorder="1" applyAlignment="1">
      <alignment horizontal="center" vertical="center"/>
    </xf>
    <xf numFmtId="0" fontId="7" fillId="0" borderId="98" xfId="9" applyFont="1" applyBorder="1" applyAlignment="1">
      <alignment horizontal="left" vertical="center"/>
    </xf>
    <xf numFmtId="41" fontId="7" fillId="0" borderId="0" xfId="1" applyNumberFormat="1" applyFont="1" applyBorder="1" applyAlignment="1">
      <alignment horizontal="center" vertical="center"/>
    </xf>
    <xf numFmtId="41" fontId="7" fillId="0" borderId="0" xfId="9" applyNumberFormat="1" applyFont="1" applyBorder="1" applyAlignment="1">
      <alignment horizontal="center" vertical="center"/>
    </xf>
    <xf numFmtId="41" fontId="7" fillId="0" borderId="0" xfId="1" applyFont="1" applyFill="1" applyBorder="1" applyAlignment="1">
      <alignment horizontal="right" vertical="center"/>
    </xf>
    <xf numFmtId="41" fontId="7" fillId="0" borderId="0" xfId="1" applyFont="1" applyBorder="1" applyAlignment="1">
      <alignment horizontal="center" vertical="center"/>
    </xf>
    <xf numFmtId="1" fontId="7" fillId="0" borderId="0" xfId="1" applyNumberFormat="1" applyFont="1" applyBorder="1" applyAlignment="1">
      <alignment horizontal="right" vertical="center"/>
    </xf>
    <xf numFmtId="41" fontId="5" fillId="0" borderId="1" xfId="1" applyFont="1" applyFill="1" applyBorder="1" applyAlignment="1">
      <alignment horizontal="right" vertical="center"/>
    </xf>
    <xf numFmtId="41" fontId="5" fillId="4" borderId="1" xfId="1" applyFont="1" applyFill="1" applyBorder="1" applyAlignment="1">
      <alignment horizontal="right" vertical="center"/>
    </xf>
    <xf numFmtId="41" fontId="46" fillId="4" borderId="1" xfId="1" applyFont="1" applyFill="1" applyBorder="1" applyAlignment="1">
      <alignment horizontal="right" vertical="center"/>
    </xf>
    <xf numFmtId="41" fontId="7" fillId="8" borderId="4" xfId="1" applyFont="1" applyFill="1" applyBorder="1" applyAlignment="1">
      <alignment horizontal="right" vertical="center"/>
    </xf>
    <xf numFmtId="41" fontId="7" fillId="0" borderId="4" xfId="1" applyFont="1" applyFill="1" applyBorder="1" applyAlignment="1">
      <alignment horizontal="right" vertical="center"/>
    </xf>
    <xf numFmtId="41" fontId="7" fillId="0" borderId="62" xfId="1" applyFont="1" applyFill="1" applyBorder="1" applyAlignment="1">
      <alignment horizontal="right" vertical="center"/>
    </xf>
    <xf numFmtId="41" fontId="31" fillId="0" borderId="313" xfId="1" applyFont="1" applyBorder="1" applyAlignment="1">
      <alignment vertical="center"/>
    </xf>
    <xf numFmtId="41" fontId="7" fillId="0" borderId="5" xfId="0" applyNumberFormat="1" applyFont="1" applyFill="1" applyBorder="1" applyAlignment="1">
      <alignment horizontal="right" vertical="center"/>
    </xf>
    <xf numFmtId="41" fontId="7" fillId="8" borderId="5" xfId="0" applyNumberFormat="1" applyFont="1" applyFill="1" applyBorder="1" applyAlignment="1">
      <alignment horizontal="right" vertical="center"/>
    </xf>
    <xf numFmtId="41" fontId="7" fillId="8" borderId="5" xfId="0" applyNumberFormat="1" applyFont="1" applyFill="1" applyBorder="1" applyAlignment="1">
      <alignment horizontal="center" vertical="center"/>
    </xf>
    <xf numFmtId="41" fontId="7" fillId="0" borderId="0" xfId="0" applyNumberFormat="1" applyFont="1" applyFill="1" applyBorder="1" applyAlignment="1">
      <alignment horizontal="right" vertical="center"/>
    </xf>
    <xf numFmtId="41" fontId="7" fillId="8" borderId="0" xfId="0" applyNumberFormat="1" applyFont="1" applyFill="1" applyBorder="1" applyAlignment="1">
      <alignment horizontal="right" vertical="center"/>
    </xf>
    <xf numFmtId="41" fontId="7" fillId="8" borderId="0" xfId="0" applyNumberFormat="1" applyFont="1" applyFill="1" applyBorder="1" applyAlignment="1">
      <alignment horizontal="center" vertical="center"/>
    </xf>
    <xf numFmtId="167" fontId="7" fillId="4" borderId="1" xfId="1" applyNumberFormat="1" applyFont="1" applyFill="1" applyBorder="1" applyAlignment="1">
      <alignment horizontal="center" vertical="center"/>
    </xf>
    <xf numFmtId="167" fontId="6" fillId="4" borderId="1" xfId="1" applyNumberFormat="1" applyFont="1" applyFill="1" applyBorder="1" applyAlignment="1">
      <alignment horizontal="center" vertical="center"/>
    </xf>
    <xf numFmtId="167" fontId="7" fillId="4" borderId="1" xfId="1" applyNumberFormat="1" applyFont="1" applyFill="1" applyBorder="1" applyAlignment="1">
      <alignment vertical="center"/>
    </xf>
    <xf numFmtId="167" fontId="6" fillId="4" borderId="1" xfId="1" applyNumberFormat="1" applyFont="1" applyFill="1" applyBorder="1" applyAlignment="1">
      <alignment vertical="center"/>
    </xf>
    <xf numFmtId="167" fontId="7" fillId="0" borderId="1" xfId="1" applyNumberFormat="1" applyFont="1" applyFill="1" applyBorder="1" applyAlignment="1">
      <alignment vertical="center"/>
    </xf>
    <xf numFmtId="41" fontId="31" fillId="0" borderId="1" xfId="1" applyNumberFormat="1" applyFont="1" applyFill="1" applyBorder="1" applyAlignment="1">
      <alignment horizontal="center" vertical="center"/>
    </xf>
    <xf numFmtId="41" fontId="32" fillId="0" borderId="1" xfId="1" applyNumberFormat="1" applyFont="1" applyFill="1" applyBorder="1" applyAlignment="1">
      <alignment horizontal="center" vertical="center"/>
    </xf>
    <xf numFmtId="0" fontId="7" fillId="0" borderId="5" xfId="1" applyNumberFormat="1" applyFont="1" applyFill="1" applyBorder="1" applyAlignment="1">
      <alignment horizontal="center" vertical="center"/>
    </xf>
    <xf numFmtId="168" fontId="7" fillId="8" borderId="5" xfId="0" applyNumberFormat="1" applyFont="1" applyFill="1" applyBorder="1" applyAlignment="1">
      <alignment horizontal="center" vertical="center"/>
    </xf>
    <xf numFmtId="0" fontId="7" fillId="0" borderId="5" xfId="0" applyNumberFormat="1" applyFont="1" applyFill="1" applyBorder="1" applyAlignment="1">
      <alignment horizontal="center" vertical="center"/>
    </xf>
    <xf numFmtId="41" fontId="7" fillId="0" borderId="5" xfId="0" applyNumberFormat="1" applyFont="1" applyFill="1" applyBorder="1" applyAlignment="1">
      <alignment horizontal="center" vertical="center"/>
    </xf>
    <xf numFmtId="167" fontId="7" fillId="0" borderId="5" xfId="0" applyNumberFormat="1" applyFont="1" applyFill="1" applyBorder="1" applyAlignment="1">
      <alignment horizontal="center" vertical="center"/>
    </xf>
    <xf numFmtId="168" fontId="7" fillId="8" borderId="0" xfId="0" applyNumberFormat="1" applyFont="1" applyFill="1" applyBorder="1" applyAlignment="1">
      <alignment horizontal="center" vertical="center"/>
    </xf>
    <xf numFmtId="0" fontId="7" fillId="0" borderId="0" xfId="0" applyNumberFormat="1" applyFont="1" applyFill="1" applyBorder="1" applyAlignment="1">
      <alignment horizontal="center" vertical="center"/>
    </xf>
    <xf numFmtId="41" fontId="7" fillId="0" borderId="0" xfId="0" applyNumberFormat="1" applyFont="1" applyFill="1" applyBorder="1" applyAlignment="1">
      <alignment horizontal="center" vertical="center"/>
    </xf>
    <xf numFmtId="167" fontId="7" fillId="0" borderId="0" xfId="0" applyNumberFormat="1" applyFont="1" applyFill="1" applyBorder="1" applyAlignment="1">
      <alignment horizontal="center" vertical="center"/>
    </xf>
    <xf numFmtId="9" fontId="7" fillId="4" borderId="1" xfId="1" applyNumberFormat="1" applyFont="1" applyFill="1" applyBorder="1" applyAlignment="1">
      <alignment horizontal="center" vertical="center"/>
    </xf>
    <xf numFmtId="41" fontId="5" fillId="0" borderId="5" xfId="1" applyNumberFormat="1" applyFont="1" applyFill="1" applyBorder="1" applyAlignment="1">
      <alignment horizontal="center" vertical="center"/>
    </xf>
    <xf numFmtId="0" fontId="6" fillId="0" borderId="5" xfId="1" applyNumberFormat="1" applyFont="1" applyFill="1" applyBorder="1" applyAlignment="1">
      <alignment horizontal="center" vertical="center"/>
    </xf>
    <xf numFmtId="168" fontId="7" fillId="8" borderId="5" xfId="0" applyNumberFormat="1" applyFont="1" applyFill="1" applyBorder="1" applyAlignment="1">
      <alignment horizontal="right" vertical="center"/>
    </xf>
    <xf numFmtId="0" fontId="7" fillId="8" borderId="5" xfId="0" applyNumberFormat="1" applyFont="1" applyFill="1" applyBorder="1" applyAlignment="1">
      <alignment horizontal="center" vertical="center"/>
    </xf>
    <xf numFmtId="41" fontId="7" fillId="8" borderId="5" xfId="0" applyNumberFormat="1" applyFont="1" applyFill="1" applyBorder="1" applyAlignment="1">
      <alignment horizontal="left" vertical="center"/>
    </xf>
    <xf numFmtId="41" fontId="7" fillId="35" borderId="5" xfId="0" applyNumberFormat="1" applyFont="1" applyFill="1" applyBorder="1" applyAlignment="1">
      <alignment horizontal="left" vertical="center"/>
    </xf>
    <xf numFmtId="168" fontId="7" fillId="8" borderId="0" xfId="0" applyNumberFormat="1" applyFont="1" applyFill="1" applyBorder="1" applyAlignment="1">
      <alignment horizontal="right" vertical="center"/>
    </xf>
    <xf numFmtId="0" fontId="7" fillId="8" borderId="0" xfId="0" applyNumberFormat="1" applyFont="1" applyFill="1" applyBorder="1" applyAlignment="1">
      <alignment horizontal="center" vertical="center"/>
    </xf>
    <xf numFmtId="41" fontId="7" fillId="8" borderId="0" xfId="0" applyNumberFormat="1" applyFont="1" applyFill="1" applyBorder="1" applyAlignment="1">
      <alignment horizontal="left" vertical="center"/>
    </xf>
    <xf numFmtId="41" fontId="7" fillId="35" borderId="0" xfId="0" applyNumberFormat="1" applyFont="1" applyFill="1" applyBorder="1" applyAlignment="1">
      <alignment horizontal="left" vertical="center"/>
    </xf>
    <xf numFmtId="41" fontId="6" fillId="0" borderId="5" xfId="1" applyFont="1" applyFill="1" applyBorder="1" applyAlignment="1">
      <alignment horizontal="left" vertical="center" wrapText="1"/>
    </xf>
    <xf numFmtId="41" fontId="6" fillId="0" borderId="5" xfId="0" applyNumberFormat="1" applyFont="1" applyFill="1" applyBorder="1" applyAlignment="1">
      <alignment horizontal="left" vertical="center"/>
    </xf>
    <xf numFmtId="41" fontId="6" fillId="0" borderId="0" xfId="0" applyNumberFormat="1" applyFont="1" applyFill="1" applyBorder="1" applyAlignment="1">
      <alignment horizontal="left" vertical="center"/>
    </xf>
    <xf numFmtId="168" fontId="7" fillId="8" borderId="98" xfId="1" applyNumberFormat="1" applyFont="1" applyFill="1" applyBorder="1" applyAlignment="1">
      <alignment horizontal="left" vertical="center"/>
    </xf>
    <xf numFmtId="165" fontId="5" fillId="0" borderId="98" xfId="1" applyNumberFormat="1" applyFont="1" applyFill="1" applyBorder="1" applyAlignment="1">
      <alignment horizontal="left" vertical="center"/>
    </xf>
    <xf numFmtId="165" fontId="5" fillId="0" borderId="98" xfId="1" applyNumberFormat="1" applyFont="1" applyFill="1" applyBorder="1" applyAlignment="1">
      <alignment horizontal="center" vertical="center"/>
    </xf>
    <xf numFmtId="41" fontId="5" fillId="0" borderId="98" xfId="1" applyFont="1" applyFill="1" applyBorder="1" applyAlignment="1">
      <alignment horizontal="center" vertical="center"/>
    </xf>
    <xf numFmtId="41" fontId="7" fillId="0" borderId="98" xfId="1" applyFont="1" applyFill="1" applyBorder="1" applyAlignment="1">
      <alignment horizontal="left" vertical="center"/>
    </xf>
    <xf numFmtId="41" fontId="7" fillId="2" borderId="98" xfId="1" applyFont="1" applyFill="1" applyBorder="1" applyAlignment="1">
      <alignment horizontal="center" vertical="center"/>
    </xf>
    <xf numFmtId="41" fontId="5" fillId="2" borderId="98" xfId="1" applyFont="1" applyFill="1" applyBorder="1" applyAlignment="1">
      <alignment horizontal="center" vertical="center"/>
    </xf>
    <xf numFmtId="0" fontId="7" fillId="35" borderId="0" xfId="9" applyFont="1" applyFill="1" applyBorder="1" applyAlignment="1">
      <alignment vertical="center"/>
    </xf>
    <xf numFmtId="0" fontId="7" fillId="4" borderId="0" xfId="1" applyNumberFormat="1" applyFont="1" applyFill="1" applyBorder="1" applyAlignment="1">
      <alignment horizontal="left" vertical="center"/>
    </xf>
    <xf numFmtId="166" fontId="7" fillId="0" borderId="0" xfId="1" applyNumberFormat="1" applyFont="1" applyBorder="1" applyAlignment="1">
      <alignment vertical="center"/>
    </xf>
    <xf numFmtId="41" fontId="32" fillId="0" borderId="5" xfId="1" applyNumberFormat="1" applyFont="1" applyFill="1" applyBorder="1" applyAlignment="1">
      <alignment horizontal="center" vertical="center"/>
    </xf>
    <xf numFmtId="0" fontId="7" fillId="14" borderId="0" xfId="9" applyFont="1" applyFill="1" applyBorder="1" applyAlignment="1">
      <alignment vertical="center"/>
    </xf>
    <xf numFmtId="41" fontId="7" fillId="0" borderId="5" xfId="1" applyFont="1" applyFill="1" applyBorder="1" applyAlignment="1">
      <alignment vertical="center"/>
    </xf>
    <xf numFmtId="41" fontId="6" fillId="0" borderId="63" xfId="0" applyNumberFormat="1" applyFont="1" applyFill="1" applyBorder="1" applyAlignment="1">
      <alignment horizontal="center" vertical="center"/>
    </xf>
    <xf numFmtId="0" fontId="7" fillId="0" borderId="62" xfId="0" applyNumberFormat="1" applyFont="1" applyFill="1" applyBorder="1" applyAlignment="1" applyProtection="1">
      <alignment vertical="center"/>
    </xf>
    <xf numFmtId="0" fontId="7" fillId="14" borderId="5" xfId="0" applyNumberFormat="1" applyFont="1" applyFill="1" applyBorder="1" applyAlignment="1" applyProtection="1">
      <alignment vertical="center"/>
    </xf>
    <xf numFmtId="41" fontId="7" fillId="8" borderId="63" xfId="0" applyNumberFormat="1" applyFont="1" applyFill="1" applyBorder="1" applyAlignment="1" applyProtection="1">
      <alignment horizontal="left" vertical="center"/>
    </xf>
    <xf numFmtId="41" fontId="7" fillId="8" borderId="0" xfId="0" applyNumberFormat="1" applyFont="1" applyFill="1" applyBorder="1" applyAlignment="1" applyProtection="1">
      <alignment horizontal="left" vertical="center"/>
    </xf>
    <xf numFmtId="41" fontId="6" fillId="0" borderId="0" xfId="0" applyNumberFormat="1" applyFont="1" applyFill="1" applyBorder="1" applyAlignment="1">
      <alignment horizontal="center" vertical="center"/>
    </xf>
    <xf numFmtId="0" fontId="7" fillId="0" borderId="0" xfId="0" applyNumberFormat="1" applyFont="1" applyFill="1" applyBorder="1" applyAlignment="1" applyProtection="1">
      <alignment vertical="center"/>
    </xf>
    <xf numFmtId="0" fontId="7" fillId="14" borderId="0" xfId="0" applyNumberFormat="1" applyFont="1" applyFill="1" applyBorder="1" applyAlignment="1" applyProtection="1">
      <alignment vertical="center"/>
    </xf>
    <xf numFmtId="0" fontId="7" fillId="0" borderId="98" xfId="9" applyFont="1" applyBorder="1" applyAlignment="1">
      <alignment vertical="center"/>
    </xf>
    <xf numFmtId="1" fontId="7" fillId="14" borderId="98" xfId="9" applyNumberFormat="1" applyFont="1" applyFill="1" applyBorder="1" applyAlignment="1">
      <alignment horizontal="center" vertical="center"/>
    </xf>
    <xf numFmtId="41" fontId="7" fillId="8" borderId="0" xfId="1" applyFont="1" applyFill="1" applyBorder="1" applyAlignment="1">
      <alignment horizontal="left" vertical="center"/>
    </xf>
    <xf numFmtId="1" fontId="5" fillId="0" borderId="98" xfId="9" applyNumberFormat="1" applyFont="1" applyFill="1" applyBorder="1" applyAlignment="1">
      <alignment horizontal="center" vertical="center"/>
    </xf>
    <xf numFmtId="1" fontId="5" fillId="2" borderId="98" xfId="9" applyNumberFormat="1" applyFont="1" applyFill="1" applyBorder="1" applyAlignment="1">
      <alignment horizontal="center" vertical="center"/>
    </xf>
    <xf numFmtId="0" fontId="7" fillId="0" borderId="0" xfId="9" applyFont="1" applyBorder="1" applyAlignment="1">
      <alignment horizontal="right" vertical="center"/>
    </xf>
    <xf numFmtId="1" fontId="7" fillId="0" borderId="0" xfId="1" applyNumberFormat="1" applyFont="1" applyFill="1" applyBorder="1" applyAlignment="1">
      <alignment horizontal="center" vertical="center"/>
    </xf>
    <xf numFmtId="167" fontId="7" fillId="0" borderId="0" xfId="1" applyNumberFormat="1" applyFont="1" applyFill="1" applyBorder="1" applyAlignment="1">
      <alignment vertical="center"/>
    </xf>
    <xf numFmtId="0" fontId="3" fillId="3" borderId="7" xfId="0" applyFont="1" applyFill="1" applyBorder="1" applyAlignment="1">
      <alignment horizontal="center" vertical="center"/>
    </xf>
    <xf numFmtId="0" fontId="3" fillId="3" borderId="37" xfId="0" applyFont="1" applyFill="1" applyBorder="1" applyAlignment="1">
      <alignment horizontal="center" vertical="center"/>
    </xf>
    <xf numFmtId="41" fontId="7" fillId="0" borderId="345" xfId="1" applyFont="1" applyBorder="1" applyAlignment="1">
      <alignment vertical="center"/>
    </xf>
    <xf numFmtId="41" fontId="3" fillId="4" borderId="345" xfId="1" applyFont="1" applyFill="1" applyBorder="1" applyAlignment="1">
      <alignment vertical="center"/>
    </xf>
    <xf numFmtId="41" fontId="4" fillId="5" borderId="345" xfId="1" applyFont="1" applyFill="1" applyBorder="1" applyAlignment="1">
      <alignment vertical="center"/>
    </xf>
    <xf numFmtId="41" fontId="5" fillId="6" borderId="345" xfId="1" applyFont="1" applyFill="1" applyBorder="1" applyAlignment="1">
      <alignment vertical="center"/>
    </xf>
    <xf numFmtId="41" fontId="7" fillId="0" borderId="345" xfId="1" applyFont="1" applyBorder="1" applyAlignment="1">
      <alignment vertical="center" wrapText="1"/>
    </xf>
    <xf numFmtId="41" fontId="7" fillId="0" borderId="345" xfId="1" applyFont="1" applyBorder="1" applyAlignment="1">
      <alignment horizontal="center" vertical="center"/>
    </xf>
    <xf numFmtId="41" fontId="7" fillId="0" borderId="346" xfId="1" applyFont="1" applyBorder="1" applyAlignment="1">
      <alignment horizontal="center" vertical="center"/>
    </xf>
    <xf numFmtId="0" fontId="1" fillId="3" borderId="38" xfId="0" applyFont="1" applyFill="1" applyBorder="1" applyAlignment="1">
      <alignment horizontal="center" vertical="center" wrapText="1"/>
    </xf>
    <xf numFmtId="0" fontId="1" fillId="3" borderId="1" xfId="0" applyFont="1" applyFill="1" applyBorder="1" applyAlignment="1">
      <alignment horizontal="center" vertical="center" wrapText="1"/>
    </xf>
    <xf numFmtId="41" fontId="1" fillId="3" borderId="33" xfId="1" applyFont="1" applyFill="1" applyBorder="1" applyAlignment="1">
      <alignment horizontal="center" vertical="center" wrapText="1"/>
    </xf>
    <xf numFmtId="41" fontId="3" fillId="4" borderId="17" xfId="1" applyFont="1" applyFill="1" applyBorder="1" applyAlignment="1">
      <alignment horizontal="center" wrapText="1"/>
    </xf>
    <xf numFmtId="41" fontId="3" fillId="4" borderId="345" xfId="1" applyFont="1" applyFill="1" applyBorder="1" applyAlignment="1">
      <alignment horizontal="center" vertical="center"/>
    </xf>
    <xf numFmtId="41" fontId="4" fillId="5" borderId="17" xfId="1" applyFont="1" applyFill="1" applyBorder="1" applyAlignment="1">
      <alignment horizontal="center" wrapText="1"/>
    </xf>
    <xf numFmtId="41" fontId="4" fillId="5" borderId="345" xfId="1" applyFont="1" applyFill="1" applyBorder="1" applyAlignment="1">
      <alignment horizontal="center" vertical="center"/>
    </xf>
    <xf numFmtId="41" fontId="5" fillId="6" borderId="17" xfId="1" applyFont="1" applyFill="1" applyBorder="1" applyAlignment="1">
      <alignment horizontal="center" wrapText="1"/>
    </xf>
    <xf numFmtId="41" fontId="5" fillId="6" borderId="345" xfId="1" applyFont="1" applyFill="1" applyBorder="1" applyAlignment="1">
      <alignment horizontal="center" vertical="center"/>
    </xf>
    <xf numFmtId="0" fontId="5" fillId="29" borderId="0" xfId="0" applyFont="1" applyFill="1" applyAlignment="1">
      <alignment vertical="center"/>
    </xf>
    <xf numFmtId="41" fontId="7" fillId="0" borderId="346" xfId="1" applyFont="1" applyBorder="1" applyAlignment="1">
      <alignment horizontal="center" vertical="center" wrapText="1"/>
    </xf>
    <xf numFmtId="0" fontId="7" fillId="29" borderId="0" xfId="0" applyFont="1" applyFill="1" applyAlignment="1">
      <alignment vertical="center"/>
    </xf>
    <xf numFmtId="41" fontId="7" fillId="0" borderId="17" xfId="1" applyFont="1" applyBorder="1" applyAlignment="1">
      <alignment horizontal="center" wrapText="1"/>
    </xf>
    <xf numFmtId="41" fontId="7" fillId="0" borderId="345" xfId="1" applyFont="1" applyBorder="1" applyAlignment="1">
      <alignment horizontal="center" vertical="center" wrapText="1"/>
    </xf>
    <xf numFmtId="41" fontId="5" fillId="6" borderId="17" xfId="1" applyFont="1" applyFill="1" applyBorder="1" applyAlignment="1">
      <alignment horizontal="center" vertical="center" wrapText="1"/>
    </xf>
    <xf numFmtId="41" fontId="7" fillId="0" borderId="17" xfId="1" applyFont="1" applyBorder="1" applyAlignment="1">
      <alignment horizontal="center" vertical="center" wrapText="1"/>
    </xf>
    <xf numFmtId="41" fontId="7" fillId="2" borderId="17" xfId="1" applyFont="1" applyFill="1" applyBorder="1" applyAlignment="1">
      <alignment horizontal="center" vertical="center" wrapText="1"/>
    </xf>
    <xf numFmtId="41" fontId="7" fillId="29" borderId="0" xfId="0" applyNumberFormat="1" applyFont="1" applyFill="1" applyAlignment="1">
      <alignment vertical="center"/>
    </xf>
    <xf numFmtId="0" fontId="31" fillId="0" borderId="1" xfId="0" applyFont="1" applyBorder="1" applyAlignment="1">
      <alignment vertical="center" wrapText="1"/>
    </xf>
    <xf numFmtId="41" fontId="5" fillId="29" borderId="0" xfId="0" applyNumberFormat="1" applyFont="1" applyFill="1" applyAlignment="1">
      <alignment vertical="center"/>
    </xf>
    <xf numFmtId="41" fontId="4" fillId="5" borderId="17" xfId="1" applyFont="1" applyFill="1" applyBorder="1" applyAlignment="1">
      <alignment horizontal="center" vertical="center" wrapText="1"/>
    </xf>
    <xf numFmtId="41" fontId="7" fillId="0" borderId="3" xfId="1" applyFont="1" applyBorder="1" applyAlignment="1">
      <alignment vertical="center"/>
    </xf>
    <xf numFmtId="0" fontId="28" fillId="0" borderId="1" xfId="0" applyFont="1" applyBorder="1" applyAlignment="1">
      <alignment vertical="center" wrapText="1"/>
    </xf>
    <xf numFmtId="0" fontId="4" fillId="5" borderId="6" xfId="0" applyFont="1" applyFill="1" applyBorder="1" applyAlignment="1">
      <alignment vertical="center" wrapText="1"/>
    </xf>
    <xf numFmtId="41" fontId="7" fillId="0" borderId="345" xfId="1" applyFont="1" applyFill="1" applyBorder="1" applyAlignment="1">
      <alignment vertical="center"/>
    </xf>
    <xf numFmtId="41" fontId="7" fillId="0" borderId="3" xfId="1" applyFont="1" applyFill="1" applyBorder="1" applyAlignment="1">
      <alignment vertical="center"/>
    </xf>
    <xf numFmtId="41" fontId="7" fillId="0" borderId="17" xfId="1" applyFont="1" applyFill="1" applyBorder="1" applyAlignment="1">
      <alignment horizontal="center" vertical="center" wrapText="1"/>
    </xf>
    <xf numFmtId="41" fontId="7" fillId="0" borderId="345" xfId="1" applyFont="1" applyFill="1" applyBorder="1" applyAlignment="1">
      <alignment horizontal="center" vertical="center"/>
    </xf>
    <xf numFmtId="0" fontId="4" fillId="29" borderId="0" xfId="0" applyFont="1" applyFill="1" applyAlignment="1">
      <alignment vertical="center"/>
    </xf>
    <xf numFmtId="41" fontId="3" fillId="4" borderId="17" xfId="1" applyFont="1" applyFill="1" applyBorder="1" applyAlignment="1">
      <alignment horizontal="center" vertical="center" wrapText="1"/>
    </xf>
    <xf numFmtId="0" fontId="7" fillId="0" borderId="349" xfId="0" applyFont="1" applyBorder="1" applyAlignment="1">
      <alignment horizontal="center" vertical="center"/>
    </xf>
    <xf numFmtId="0" fontId="7" fillId="0" borderId="63" xfId="0" applyFont="1" applyBorder="1" applyAlignment="1">
      <alignment vertical="center"/>
    </xf>
    <xf numFmtId="41" fontId="7" fillId="0" borderId="326" xfId="0" applyNumberFormat="1" applyFont="1" applyBorder="1" applyAlignment="1">
      <alignment horizontal="center" vertical="center" wrapText="1"/>
    </xf>
    <xf numFmtId="41" fontId="7" fillId="2" borderId="19" xfId="1" applyFont="1" applyFill="1" applyBorder="1" applyAlignment="1">
      <alignment horizontal="center" vertical="center" wrapText="1"/>
    </xf>
    <xf numFmtId="0" fontId="5" fillId="6" borderId="7" xfId="0" applyFont="1" applyFill="1" applyBorder="1" applyAlignment="1">
      <alignment horizontal="center" vertical="center"/>
    </xf>
    <xf numFmtId="0" fontId="7" fillId="0" borderId="25" xfId="0" applyFont="1" applyBorder="1" applyAlignment="1">
      <alignment vertical="center" wrapText="1"/>
    </xf>
    <xf numFmtId="41" fontId="7" fillId="0" borderId="346" xfId="1" applyFont="1" applyBorder="1" applyAlignment="1">
      <alignment vertical="center"/>
    </xf>
    <xf numFmtId="41" fontId="3" fillId="3" borderId="350" xfId="1" applyFont="1" applyFill="1" applyBorder="1" applyAlignment="1">
      <alignment vertical="center"/>
    </xf>
    <xf numFmtId="41" fontId="2" fillId="0" borderId="0" xfId="1" applyFont="1" applyAlignment="1">
      <alignment vertical="center"/>
    </xf>
    <xf numFmtId="41" fontId="3" fillId="3" borderId="48" xfId="1" applyFont="1" applyFill="1" applyBorder="1" applyAlignment="1">
      <alignment horizontal="center" vertical="center" wrapText="1"/>
    </xf>
    <xf numFmtId="41" fontId="3" fillId="3" borderId="350" xfId="1" applyFont="1" applyFill="1" applyBorder="1" applyAlignment="1">
      <alignment horizontal="center" vertical="center"/>
    </xf>
    <xf numFmtId="41" fontId="2" fillId="0" borderId="0" xfId="1" applyFont="1" applyAlignment="1">
      <alignment horizontal="center" vertical="center"/>
    </xf>
    <xf numFmtId="41" fontId="31" fillId="0" borderId="153" xfId="0" applyNumberFormat="1" applyFont="1" applyBorder="1" applyAlignment="1">
      <alignment horizontal="left" vertical="center" wrapText="1"/>
    </xf>
    <xf numFmtId="41" fontId="31" fillId="0" borderId="98" xfId="0" applyNumberFormat="1" applyFont="1" applyBorder="1" applyAlignment="1">
      <alignment horizontal="left" vertical="center" wrapText="1"/>
    </xf>
    <xf numFmtId="41" fontId="7" fillId="0" borderId="98" xfId="1" applyFont="1" applyBorder="1" applyAlignment="1">
      <alignment horizontal="left" vertical="center"/>
    </xf>
    <xf numFmtId="41" fontId="31" fillId="0" borderId="59" xfId="0" applyNumberFormat="1" applyFont="1" applyBorder="1" applyAlignment="1">
      <alignment horizontal="left" vertical="center" wrapText="1"/>
    </xf>
    <xf numFmtId="41" fontId="7" fillId="0" borderId="59" xfId="1" applyFont="1" applyBorder="1" applyAlignment="1">
      <alignment horizontal="left" vertical="center"/>
    </xf>
    <xf numFmtId="41" fontId="40" fillId="5" borderId="59" xfId="1" applyFont="1" applyFill="1" applyBorder="1" applyAlignment="1">
      <alignment vertical="center"/>
    </xf>
    <xf numFmtId="41" fontId="7" fillId="0" borderId="3" xfId="1" applyFont="1" applyFill="1" applyBorder="1" applyAlignment="1">
      <alignment horizontal="center" vertical="center"/>
    </xf>
    <xf numFmtId="41" fontId="27" fillId="5" borderId="17" xfId="1" applyFont="1" applyFill="1" applyBorder="1" applyAlignment="1">
      <alignment vertical="center"/>
    </xf>
    <xf numFmtId="41" fontId="7" fillId="0" borderId="129" xfId="1" applyFont="1" applyFill="1" applyBorder="1" applyAlignment="1">
      <alignment horizontal="left" vertical="center"/>
    </xf>
    <xf numFmtId="41" fontId="7" fillId="0" borderId="153" xfId="1" applyFont="1" applyFill="1" applyBorder="1" applyAlignment="1">
      <alignment horizontal="left" vertical="center"/>
    </xf>
    <xf numFmtId="41" fontId="28" fillId="0" borderId="122" xfId="0" applyNumberFormat="1" applyFont="1" applyBorder="1" applyAlignment="1">
      <alignment horizontal="center" vertical="center" wrapText="1"/>
    </xf>
    <xf numFmtId="41" fontId="7" fillId="0" borderId="351" xfId="0" applyNumberFormat="1" applyFont="1" applyBorder="1" applyAlignment="1">
      <alignment horizontal="center" vertical="center" wrapText="1"/>
    </xf>
    <xf numFmtId="0" fontId="28" fillId="0" borderId="169" xfId="0" applyFont="1" applyFill="1" applyBorder="1" applyAlignment="1">
      <alignment horizontal="left" vertical="center" wrapText="1"/>
    </xf>
    <xf numFmtId="41" fontId="28" fillId="0" borderId="98" xfId="0" applyNumberFormat="1" applyFont="1" applyBorder="1" applyAlignment="1">
      <alignment horizontal="center" vertical="center" wrapText="1"/>
    </xf>
    <xf numFmtId="0" fontId="28" fillId="0" borderId="130" xfId="0" applyFont="1" applyFill="1" applyBorder="1" applyAlignment="1">
      <alignment horizontal="left" vertical="center" wrapText="1"/>
    </xf>
    <xf numFmtId="0" fontId="28" fillId="0" borderId="101" xfId="0" applyFont="1" applyFill="1" applyBorder="1" applyAlignment="1">
      <alignment horizontal="left" vertical="center" wrapText="1"/>
    </xf>
    <xf numFmtId="41" fontId="7" fillId="0" borderId="141" xfId="0" applyNumberFormat="1" applyFont="1" applyBorder="1" applyAlignment="1">
      <alignment horizontal="left" vertical="center" wrapText="1"/>
    </xf>
    <xf numFmtId="41" fontId="7" fillId="0" borderId="25" xfId="0" applyNumberFormat="1" applyFont="1" applyFill="1" applyBorder="1" applyAlignment="1">
      <alignment horizontal="left" vertical="center" wrapText="1"/>
    </xf>
    <xf numFmtId="41" fontId="7" fillId="0" borderId="0" xfId="1" applyFont="1" applyAlignment="1">
      <alignment vertical="center" wrapText="1"/>
    </xf>
    <xf numFmtId="41" fontId="4" fillId="5" borderId="4" xfId="1" applyFont="1" applyFill="1" applyBorder="1" applyAlignment="1">
      <alignment horizontal="left" vertical="center"/>
    </xf>
    <xf numFmtId="41" fontId="7" fillId="0" borderId="25" xfId="0" applyNumberFormat="1" applyFont="1" applyBorder="1" applyAlignment="1">
      <alignment horizontal="right" vertical="center" wrapText="1"/>
    </xf>
    <xf numFmtId="41" fontId="28" fillId="0" borderId="0" xfId="0" applyNumberFormat="1" applyFont="1" applyBorder="1" applyAlignment="1">
      <alignment horizontal="left" vertical="center" wrapText="1"/>
    </xf>
    <xf numFmtId="0" fontId="31" fillId="0" borderId="5" xfId="0" applyFont="1" applyBorder="1" applyAlignment="1">
      <alignment horizontal="left" vertical="center" wrapText="1"/>
    </xf>
    <xf numFmtId="41" fontId="7" fillId="0" borderId="19" xfId="1" applyFont="1" applyFill="1" applyBorder="1" applyAlignment="1">
      <alignment vertical="center"/>
    </xf>
    <xf numFmtId="41" fontId="20" fillId="0" borderId="0" xfId="1" applyFont="1" applyAlignment="1">
      <alignment horizontal="center" vertical="center"/>
    </xf>
    <xf numFmtId="41" fontId="7" fillId="0" borderId="322" xfId="1" applyFont="1" applyBorder="1" applyAlignment="1">
      <alignment vertical="center"/>
    </xf>
    <xf numFmtId="41" fontId="3" fillId="4" borderId="42" xfId="1" applyFont="1" applyFill="1" applyBorder="1" applyAlignment="1">
      <alignment vertical="center"/>
    </xf>
    <xf numFmtId="41" fontId="4" fillId="5" borderId="42" xfId="1" applyFont="1" applyFill="1" applyBorder="1" applyAlignment="1">
      <alignment vertical="center"/>
    </xf>
    <xf numFmtId="41" fontId="5" fillId="6" borderId="42" xfId="1" applyFont="1" applyFill="1" applyBorder="1" applyAlignment="1">
      <alignment vertical="center"/>
    </xf>
    <xf numFmtId="41" fontId="5" fillId="6" borderId="41" xfId="1" applyFont="1" applyFill="1" applyBorder="1" applyAlignment="1">
      <alignment vertical="center"/>
    </xf>
    <xf numFmtId="41" fontId="7" fillId="0" borderId="352" xfId="1" applyFont="1" applyBorder="1" applyAlignment="1">
      <alignment horizontal="center" vertical="center" wrapText="1"/>
    </xf>
    <xf numFmtId="41" fontId="7" fillId="0" borderId="322" xfId="1" applyFont="1" applyBorder="1" applyAlignment="1">
      <alignment horizontal="center" vertical="center" wrapText="1"/>
    </xf>
    <xf numFmtId="41" fontId="7" fillId="0" borderId="40" xfId="1" applyFont="1" applyBorder="1" applyAlignment="1">
      <alignment vertical="center"/>
    </xf>
    <xf numFmtId="41" fontId="7" fillId="0" borderId="42" xfId="1" applyFont="1" applyBorder="1" applyAlignment="1">
      <alignment vertical="center"/>
    </xf>
    <xf numFmtId="41" fontId="31" fillId="0" borderId="17" xfId="1" applyFont="1" applyBorder="1" applyAlignment="1">
      <alignment horizontal="center" vertical="center"/>
    </xf>
    <xf numFmtId="41" fontId="7" fillId="0" borderId="352" xfId="1" applyFont="1" applyBorder="1" applyAlignment="1">
      <alignment vertical="center"/>
    </xf>
    <xf numFmtId="41" fontId="7" fillId="0" borderId="352" xfId="1" applyFont="1" applyBorder="1" applyAlignment="1">
      <alignment horizontal="center" vertical="center"/>
    </xf>
    <xf numFmtId="41" fontId="7" fillId="0" borderId="322" xfId="1" applyFont="1" applyBorder="1" applyAlignment="1">
      <alignment horizontal="center" vertical="center"/>
    </xf>
    <xf numFmtId="41" fontId="7" fillId="0" borderId="352" xfId="1" applyFont="1" applyFill="1" applyBorder="1" applyAlignment="1">
      <alignment horizontal="center" vertical="center"/>
    </xf>
    <xf numFmtId="41" fontId="7" fillId="0" borderId="333" xfId="1" applyFont="1" applyFill="1" applyBorder="1" applyAlignment="1">
      <alignment horizontal="center" vertical="center"/>
    </xf>
    <xf numFmtId="41" fontId="7" fillId="0" borderId="322" xfId="1" applyFont="1" applyFill="1" applyBorder="1" applyAlignment="1">
      <alignment horizontal="center" vertical="center"/>
    </xf>
    <xf numFmtId="41" fontId="31" fillId="0" borderId="40" xfId="1" applyFont="1" applyBorder="1" applyAlignment="1">
      <alignment horizontal="center" vertical="center"/>
    </xf>
    <xf numFmtId="41" fontId="7" fillId="0" borderId="333" xfId="1" applyFont="1" applyBorder="1" applyAlignment="1">
      <alignment horizontal="center" vertical="center"/>
    </xf>
    <xf numFmtId="0" fontId="1" fillId="0" borderId="0" xfId="0" applyFont="1" applyAlignment="1">
      <alignment horizontal="left" vertical="center" wrapText="1"/>
    </xf>
    <xf numFmtId="41" fontId="7" fillId="0" borderId="40" xfId="0" applyNumberFormat="1" applyFont="1" applyBorder="1" applyAlignment="1">
      <alignment horizontal="center" vertical="center" wrapText="1"/>
    </xf>
    <xf numFmtId="0" fontId="7" fillId="0" borderId="40" xfId="0" applyNumberFormat="1" applyFont="1" applyBorder="1" applyAlignment="1">
      <alignment horizontal="center" vertical="center" wrapText="1"/>
    </xf>
    <xf numFmtId="0" fontId="7" fillId="0" borderId="1" xfId="0" applyNumberFormat="1" applyFont="1" applyBorder="1" applyAlignment="1">
      <alignment horizontal="center" vertical="center" wrapText="1"/>
    </xf>
    <xf numFmtId="41" fontId="5" fillId="6" borderId="17" xfId="1" applyFont="1" applyFill="1" applyBorder="1" applyAlignment="1">
      <alignment horizontal="right" vertical="center"/>
    </xf>
    <xf numFmtId="41" fontId="5" fillId="0" borderId="42" xfId="1" applyFont="1" applyFill="1" applyBorder="1" applyAlignment="1">
      <alignment vertical="center"/>
    </xf>
    <xf numFmtId="41" fontId="5" fillId="5" borderId="42" xfId="1" applyFont="1" applyFill="1" applyBorder="1" applyAlignment="1">
      <alignment vertical="center"/>
    </xf>
    <xf numFmtId="41" fontId="7" fillId="0" borderId="38" xfId="1" applyFont="1" applyFill="1" applyBorder="1" applyAlignment="1">
      <alignment vertical="center"/>
    </xf>
    <xf numFmtId="41" fontId="7" fillId="0" borderId="42" xfId="1" applyFont="1" applyBorder="1" applyAlignment="1">
      <alignment vertical="center" wrapText="1"/>
    </xf>
    <xf numFmtId="41" fontId="40" fillId="5" borderId="42" xfId="1" applyFont="1" applyFill="1" applyBorder="1" applyAlignment="1">
      <alignment vertical="center"/>
    </xf>
    <xf numFmtId="41" fontId="5" fillId="5" borderId="40" xfId="1" applyFont="1" applyFill="1" applyBorder="1" applyAlignment="1">
      <alignment vertical="center"/>
    </xf>
    <xf numFmtId="41" fontId="5" fillId="4" borderId="42" xfId="1" applyFont="1" applyFill="1" applyBorder="1" applyAlignment="1">
      <alignment vertical="center"/>
    </xf>
    <xf numFmtId="0" fontId="4" fillId="5" borderId="5" xfId="0" applyFont="1" applyFill="1" applyBorder="1" applyAlignment="1">
      <alignment vertical="center" wrapText="1"/>
    </xf>
    <xf numFmtId="41" fontId="7" fillId="0" borderId="333" xfId="1" applyFont="1" applyBorder="1" applyAlignment="1">
      <alignment horizontal="center" vertical="center" wrapText="1"/>
    </xf>
    <xf numFmtId="41" fontId="3" fillId="3" borderId="353" xfId="1" applyFont="1" applyFill="1" applyBorder="1" applyAlignment="1">
      <alignment vertical="center"/>
    </xf>
    <xf numFmtId="41" fontId="3" fillId="3" borderId="354" xfId="1" applyFont="1" applyFill="1" applyBorder="1" applyAlignment="1">
      <alignment vertical="center"/>
    </xf>
    <xf numFmtId="41" fontId="5" fillId="6" borderId="1" xfId="1" applyFont="1" applyFill="1" applyBorder="1" applyAlignment="1">
      <alignment horizontal="right" vertical="center"/>
    </xf>
    <xf numFmtId="41" fontId="4" fillId="5" borderId="1" xfId="1" applyFont="1" applyFill="1" applyBorder="1" applyAlignment="1">
      <alignment horizontal="right" vertical="center"/>
    </xf>
    <xf numFmtId="0" fontId="7" fillId="0" borderId="38" xfId="0" applyFont="1" applyFill="1" applyBorder="1" applyAlignment="1">
      <alignment horizontal="center" vertical="center" wrapText="1"/>
    </xf>
    <xf numFmtId="0" fontId="4" fillId="0" borderId="12" xfId="0" applyFont="1" applyFill="1" applyBorder="1" applyAlignment="1">
      <alignment horizontal="center" vertical="center"/>
    </xf>
    <xf numFmtId="0" fontId="4" fillId="0" borderId="13" xfId="0" applyFont="1" applyFill="1" applyBorder="1" applyAlignment="1">
      <alignment horizontal="center" vertical="center"/>
    </xf>
    <xf numFmtId="0" fontId="7" fillId="0" borderId="39" xfId="0" applyFont="1" applyFill="1" applyBorder="1" applyAlignment="1">
      <alignment horizontal="center" vertical="center"/>
    </xf>
    <xf numFmtId="0" fontId="3" fillId="0" borderId="10" xfId="0" applyFont="1" applyFill="1" applyBorder="1" applyAlignment="1">
      <alignment horizontal="center" vertical="center"/>
    </xf>
    <xf numFmtId="0" fontId="7" fillId="0" borderId="28" xfId="0" applyFont="1" applyBorder="1" applyAlignment="1">
      <alignment vertical="center" wrapText="1"/>
    </xf>
    <xf numFmtId="0" fontId="7" fillId="0" borderId="349" xfId="0" applyFont="1" applyFill="1" applyBorder="1" applyAlignment="1">
      <alignment horizontal="center" vertical="center"/>
    </xf>
    <xf numFmtId="0" fontId="7" fillId="0" borderId="0" xfId="3" applyFont="1" applyFill="1" applyBorder="1" applyAlignment="1">
      <alignment horizontal="center" vertical="top" wrapText="1"/>
    </xf>
    <xf numFmtId="0" fontId="7" fillId="4" borderId="0" xfId="3" applyFont="1" applyFill="1" applyBorder="1" applyAlignment="1">
      <alignment vertical="center"/>
    </xf>
    <xf numFmtId="0" fontId="6" fillId="4" borderId="0" xfId="3" applyFont="1" applyFill="1" applyBorder="1" applyAlignment="1">
      <alignment vertical="center"/>
    </xf>
    <xf numFmtId="0" fontId="7" fillId="3" borderId="0" xfId="3" applyFont="1" applyFill="1" applyBorder="1" applyAlignment="1">
      <alignment vertical="center"/>
    </xf>
    <xf numFmtId="0" fontId="6" fillId="0" borderId="0" xfId="3" applyFont="1" applyFill="1" applyBorder="1" applyAlignment="1">
      <alignment vertical="center"/>
    </xf>
    <xf numFmtId="0" fontId="6" fillId="2" borderId="0" xfId="3" applyFont="1" applyFill="1" applyBorder="1" applyAlignment="1">
      <alignment vertical="center"/>
    </xf>
    <xf numFmtId="0" fontId="7" fillId="32" borderId="0" xfId="3" applyFont="1" applyFill="1" applyBorder="1" applyAlignment="1">
      <alignment vertical="center"/>
    </xf>
    <xf numFmtId="0" fontId="7" fillId="2" borderId="0" xfId="3" applyFont="1" applyFill="1" applyBorder="1" applyAlignment="1">
      <alignment vertical="center"/>
    </xf>
    <xf numFmtId="0" fontId="6" fillId="0" borderId="0" xfId="3" applyFont="1" applyBorder="1" applyAlignment="1">
      <alignment vertical="center"/>
    </xf>
    <xf numFmtId="0" fontId="44" fillId="4" borderId="0" xfId="3" applyFont="1" applyFill="1" applyBorder="1" applyAlignment="1">
      <alignment vertical="center"/>
    </xf>
    <xf numFmtId="0" fontId="45" fillId="33" borderId="0" xfId="3" applyFont="1" applyFill="1" applyBorder="1" applyAlignment="1">
      <alignment vertical="center"/>
    </xf>
    <xf numFmtId="0" fontId="6" fillId="33" borderId="0" xfId="3" applyFont="1" applyFill="1" applyBorder="1" applyAlignment="1">
      <alignment vertical="center"/>
    </xf>
    <xf numFmtId="0" fontId="7" fillId="34" borderId="0" xfId="3" applyFont="1" applyFill="1" applyBorder="1" applyAlignment="1">
      <alignment vertical="center"/>
    </xf>
    <xf numFmtId="0" fontId="5" fillId="0" borderId="0" xfId="3" applyFont="1" applyFill="1" applyBorder="1" applyAlignment="1">
      <alignment horizontal="left" vertical="center"/>
    </xf>
    <xf numFmtId="0" fontId="5" fillId="0" borderId="0" xfId="3" applyFont="1" applyFill="1" applyBorder="1" applyAlignment="1">
      <alignment vertical="center"/>
    </xf>
    <xf numFmtId="0" fontId="5" fillId="8" borderId="0" xfId="3" applyFont="1" applyFill="1" applyBorder="1" applyAlignment="1">
      <alignment vertical="center"/>
    </xf>
    <xf numFmtId="0" fontId="46" fillId="0" borderId="0" xfId="3" applyFont="1" applyFill="1" applyBorder="1" applyAlignment="1">
      <alignment vertical="center"/>
    </xf>
    <xf numFmtId="0" fontId="46" fillId="3" borderId="0" xfId="3" applyFont="1" applyFill="1" applyBorder="1" applyAlignment="1">
      <alignment vertical="center"/>
    </xf>
    <xf numFmtId="0" fontId="5" fillId="3" borderId="0" xfId="3" applyFont="1" applyFill="1" applyBorder="1" applyAlignment="1">
      <alignment vertical="center"/>
    </xf>
    <xf numFmtId="0" fontId="6" fillId="0" borderId="0" xfId="3" applyFont="1" applyFill="1" applyBorder="1" applyAlignment="1">
      <alignment horizontal="left" vertical="center"/>
    </xf>
    <xf numFmtId="0" fontId="6" fillId="34" borderId="0" xfId="3" applyFont="1" applyFill="1" applyBorder="1" applyAlignment="1">
      <alignment horizontal="left" vertical="center"/>
    </xf>
    <xf numFmtId="0" fontId="6" fillId="4" borderId="0" xfId="3" applyFont="1" applyFill="1" applyBorder="1" applyAlignment="1">
      <alignment horizontal="left" vertical="center"/>
    </xf>
    <xf numFmtId="0" fontId="7" fillId="34" borderId="0" xfId="3" applyFont="1" applyFill="1" applyBorder="1" applyAlignment="1">
      <alignment horizontal="left" vertical="center"/>
    </xf>
    <xf numFmtId="0" fontId="44" fillId="4" borderId="0" xfId="3" applyFont="1" applyFill="1" applyBorder="1" applyAlignment="1">
      <alignment horizontal="left" vertical="center"/>
    </xf>
    <xf numFmtId="0" fontId="6" fillId="3" borderId="0" xfId="3" applyFont="1" applyFill="1" applyBorder="1" applyAlignment="1">
      <alignment horizontal="left" vertical="center"/>
    </xf>
    <xf numFmtId="0" fontId="7" fillId="0" borderId="0" xfId="3" applyFont="1" applyBorder="1" applyAlignment="1">
      <alignment horizontal="center" vertical="center"/>
    </xf>
    <xf numFmtId="0" fontId="7" fillId="0" borderId="0" xfId="3" applyFont="1" applyBorder="1" applyAlignment="1">
      <alignment horizontal="left" vertical="center"/>
    </xf>
    <xf numFmtId="1" fontId="7" fillId="0" borderId="0" xfId="3" applyNumberFormat="1" applyFont="1" applyBorder="1" applyAlignment="1">
      <alignment horizontal="center" vertical="center"/>
    </xf>
    <xf numFmtId="0" fontId="7" fillId="0" borderId="0" xfId="3" applyFont="1" applyBorder="1" applyAlignment="1">
      <alignment vertical="center"/>
    </xf>
    <xf numFmtId="0" fontId="7" fillId="14" borderId="0" xfId="3" applyFont="1" applyFill="1" applyBorder="1" applyAlignment="1">
      <alignment vertical="center"/>
    </xf>
    <xf numFmtId="0" fontId="7" fillId="0" borderId="0" xfId="3" applyFont="1" applyBorder="1" applyAlignment="1">
      <alignment horizontal="right" vertical="center"/>
    </xf>
    <xf numFmtId="0" fontId="5" fillId="0" borderId="18" xfId="3" applyFont="1" applyFill="1" applyBorder="1" applyAlignment="1">
      <alignment horizontal="center" vertical="top" wrapText="1"/>
    </xf>
    <xf numFmtId="0" fontId="5" fillId="0" borderId="7" xfId="3" applyFont="1" applyFill="1" applyBorder="1" applyAlignment="1">
      <alignment horizontal="center" vertical="top" wrapText="1"/>
    </xf>
    <xf numFmtId="0" fontId="7" fillId="4" borderId="4" xfId="3" applyFont="1" applyFill="1" applyBorder="1" applyAlignment="1">
      <alignment horizontal="center" vertical="center"/>
    </xf>
    <xf numFmtId="0" fontId="7" fillId="4" borderId="1" xfId="3" applyFont="1" applyFill="1" applyBorder="1" applyAlignment="1">
      <alignment horizontal="center" vertical="center"/>
    </xf>
    <xf numFmtId="0" fontId="7" fillId="4" borderId="1" xfId="3" applyFont="1" applyFill="1" applyBorder="1" applyAlignment="1">
      <alignment horizontal="left" vertical="center"/>
    </xf>
    <xf numFmtId="0" fontId="6" fillId="4" borderId="4" xfId="3" applyFont="1" applyFill="1" applyBorder="1" applyAlignment="1">
      <alignment horizontal="center" vertical="center"/>
    </xf>
    <xf numFmtId="0" fontId="6" fillId="4" borderId="1" xfId="3" applyFont="1" applyFill="1" applyBorder="1" applyAlignment="1">
      <alignment horizontal="center" vertical="center"/>
    </xf>
    <xf numFmtId="0" fontId="6" fillId="4" borderId="1" xfId="3" applyFont="1" applyFill="1" applyBorder="1" applyAlignment="1">
      <alignment horizontal="left" vertical="center"/>
    </xf>
    <xf numFmtId="0" fontId="7" fillId="3" borderId="4" xfId="3" applyFont="1" applyFill="1" applyBorder="1" applyAlignment="1">
      <alignment horizontal="center" vertical="center"/>
    </xf>
    <xf numFmtId="0" fontId="7" fillId="3" borderId="1" xfId="3" applyFont="1" applyFill="1" applyBorder="1" applyAlignment="1">
      <alignment horizontal="center" vertical="center"/>
    </xf>
    <xf numFmtId="0" fontId="7" fillId="3" borderId="1" xfId="3" applyFont="1" applyFill="1" applyBorder="1" applyAlignment="1">
      <alignment horizontal="left" vertical="center"/>
    </xf>
    <xf numFmtId="0" fontId="6" fillId="0" borderId="4" xfId="3" applyFont="1" applyFill="1" applyBorder="1" applyAlignment="1">
      <alignment horizontal="center" vertical="center"/>
    </xf>
    <xf numFmtId="0" fontId="6" fillId="0" borderId="1" xfId="3" applyFont="1" applyFill="1" applyBorder="1" applyAlignment="1">
      <alignment horizontal="center" vertical="center"/>
    </xf>
    <xf numFmtId="0" fontId="6" fillId="0" borderId="1" xfId="3" applyFont="1" applyFill="1" applyBorder="1" applyAlignment="1">
      <alignment horizontal="left" vertical="center"/>
    </xf>
    <xf numFmtId="0" fontId="7" fillId="0" borderId="4" xfId="3" applyFont="1" applyFill="1" applyBorder="1" applyAlignment="1">
      <alignment horizontal="center" vertical="center"/>
    </xf>
    <xf numFmtId="0" fontId="7" fillId="0" borderId="1" xfId="3" applyFont="1" applyFill="1" applyBorder="1" applyAlignment="1">
      <alignment horizontal="center" vertical="center"/>
    </xf>
    <xf numFmtId="0" fontId="7" fillId="0" borderId="1" xfId="3" applyFont="1" applyFill="1" applyBorder="1" applyAlignment="1">
      <alignment horizontal="left" vertical="center"/>
    </xf>
    <xf numFmtId="0" fontId="6" fillId="2" borderId="4" xfId="3" applyFont="1" applyFill="1" applyBorder="1" applyAlignment="1">
      <alignment horizontal="center" vertical="center"/>
    </xf>
    <xf numFmtId="0" fontId="6" fillId="2" borderId="1" xfId="3" applyFont="1" applyFill="1" applyBorder="1" applyAlignment="1">
      <alignment horizontal="center" vertical="center"/>
    </xf>
    <xf numFmtId="0" fontId="6" fillId="2" borderId="1" xfId="3" applyFont="1" applyFill="1" applyBorder="1" applyAlignment="1">
      <alignment horizontal="left" vertical="center"/>
    </xf>
    <xf numFmtId="0" fontId="7" fillId="32" borderId="4" xfId="3" applyFont="1" applyFill="1" applyBorder="1" applyAlignment="1">
      <alignment horizontal="center" vertical="center"/>
    </xf>
    <xf numFmtId="0" fontId="7" fillId="32" borderId="1" xfId="3" applyFont="1" applyFill="1" applyBorder="1" applyAlignment="1">
      <alignment horizontal="center" vertical="center"/>
    </xf>
    <xf numFmtId="0" fontId="7" fillId="32" borderId="1" xfId="3" applyFont="1" applyFill="1" applyBorder="1" applyAlignment="1">
      <alignment horizontal="left" vertical="center"/>
    </xf>
    <xf numFmtId="0" fontId="7" fillId="2" borderId="4" xfId="3" applyFont="1" applyFill="1" applyBorder="1" applyAlignment="1">
      <alignment horizontal="center" vertical="center"/>
    </xf>
    <xf numFmtId="0" fontId="7" fillId="2" borderId="1" xfId="3" applyFont="1" applyFill="1" applyBorder="1" applyAlignment="1">
      <alignment horizontal="center" vertical="center"/>
    </xf>
    <xf numFmtId="0" fontId="7" fillId="2" borderId="1" xfId="3" applyFont="1" applyFill="1" applyBorder="1" applyAlignment="1">
      <alignment horizontal="left" vertical="center"/>
    </xf>
    <xf numFmtId="0" fontId="44" fillId="4" borderId="4" xfId="3" applyFont="1" applyFill="1" applyBorder="1" applyAlignment="1">
      <alignment horizontal="center" vertical="center"/>
    </xf>
    <xf numFmtId="0" fontId="44" fillId="4" borderId="1" xfId="3" applyFont="1" applyFill="1" applyBorder="1" applyAlignment="1">
      <alignment horizontal="center" vertical="center"/>
    </xf>
    <xf numFmtId="0" fontId="44" fillId="4" borderId="1" xfId="3" applyFont="1" applyFill="1" applyBorder="1" applyAlignment="1">
      <alignment horizontal="left" vertical="center"/>
    </xf>
    <xf numFmtId="0" fontId="7" fillId="8" borderId="4" xfId="3" applyFont="1" applyFill="1" applyBorder="1" applyAlignment="1">
      <alignment horizontal="center" vertical="center"/>
    </xf>
    <xf numFmtId="1" fontId="5" fillId="0" borderId="7" xfId="3" applyNumberFormat="1" applyFont="1" applyFill="1" applyBorder="1" applyAlignment="1">
      <alignment horizontal="center" vertical="top" wrapText="1"/>
    </xf>
    <xf numFmtId="0" fontId="7" fillId="4" borderId="1" xfId="3" applyFont="1" applyFill="1" applyBorder="1" applyAlignment="1">
      <alignment vertical="center"/>
    </xf>
    <xf numFmtId="1" fontId="7" fillId="4" borderId="1" xfId="3" applyNumberFormat="1" applyFont="1" applyFill="1" applyBorder="1" applyAlignment="1">
      <alignment horizontal="center" vertical="center"/>
    </xf>
    <xf numFmtId="0" fontId="6" fillId="4" borderId="1" xfId="3" applyFont="1" applyFill="1" applyBorder="1" applyAlignment="1">
      <alignment vertical="center"/>
    </xf>
    <xf numFmtId="1" fontId="6" fillId="4" borderId="1" xfId="3" applyNumberFormat="1" applyFont="1" applyFill="1" applyBorder="1" applyAlignment="1">
      <alignment horizontal="center" vertical="center"/>
    </xf>
    <xf numFmtId="0" fontId="7" fillId="3" borderId="1" xfId="3" applyFont="1" applyFill="1" applyBorder="1" applyAlignment="1">
      <alignment vertical="center"/>
    </xf>
    <xf numFmtId="1" fontId="7" fillId="3" borderId="1" xfId="3" applyNumberFormat="1" applyFont="1" applyFill="1" applyBorder="1" applyAlignment="1">
      <alignment horizontal="center" vertical="center"/>
    </xf>
    <xf numFmtId="0" fontId="6" fillId="0" borderId="1" xfId="3" applyFont="1" applyFill="1" applyBorder="1" applyAlignment="1">
      <alignment vertical="center"/>
    </xf>
    <xf numFmtId="1" fontId="6" fillId="0" borderId="1" xfId="3" applyNumberFormat="1" applyFont="1" applyFill="1" applyBorder="1" applyAlignment="1">
      <alignment horizontal="center" vertical="center"/>
    </xf>
    <xf numFmtId="1" fontId="7" fillId="0" borderId="1" xfId="3" applyNumberFormat="1" applyFont="1" applyFill="1" applyBorder="1" applyAlignment="1">
      <alignment horizontal="center" vertical="center"/>
    </xf>
    <xf numFmtId="0" fontId="6" fillId="2" borderId="1" xfId="3" applyFont="1" applyFill="1" applyBorder="1" applyAlignment="1">
      <alignment vertical="center"/>
    </xf>
    <xf numFmtId="1" fontId="6" fillId="2" borderId="1" xfId="3" applyNumberFormat="1" applyFont="1" applyFill="1" applyBorder="1" applyAlignment="1">
      <alignment horizontal="center" vertical="center"/>
    </xf>
    <xf numFmtId="0" fontId="7" fillId="0" borderId="1" xfId="3" applyFont="1" applyFill="1" applyBorder="1" applyAlignment="1">
      <alignment vertical="center"/>
    </xf>
    <xf numFmtId="0" fontId="7" fillId="32" borderId="1" xfId="3" applyFont="1" applyFill="1" applyBorder="1" applyAlignment="1">
      <alignment vertical="center"/>
    </xf>
    <xf numFmtId="1" fontId="7" fillId="32" borderId="1" xfId="3" applyNumberFormat="1" applyFont="1" applyFill="1" applyBorder="1" applyAlignment="1">
      <alignment horizontal="center" vertical="center"/>
    </xf>
    <xf numFmtId="1" fontId="7" fillId="2" borderId="1" xfId="3" applyNumberFormat="1" applyFont="1" applyFill="1" applyBorder="1" applyAlignment="1">
      <alignment horizontal="center" vertical="center"/>
    </xf>
    <xf numFmtId="0" fontId="32" fillId="4" borderId="1" xfId="3" applyFont="1" applyFill="1" applyBorder="1" applyAlignment="1">
      <alignment horizontal="center" vertical="center"/>
    </xf>
    <xf numFmtId="0" fontId="6" fillId="32" borderId="1" xfId="3" applyFont="1" applyFill="1" applyBorder="1" applyAlignment="1">
      <alignment horizontal="center" vertical="center"/>
    </xf>
    <xf numFmtId="0" fontId="7" fillId="0" borderId="1" xfId="3" applyFont="1" applyFill="1" applyBorder="1" applyAlignment="1">
      <alignment horizontal="right" vertical="center"/>
    </xf>
    <xf numFmtId="0" fontId="7" fillId="0" borderId="1" xfId="3" applyNumberFormat="1" applyFont="1" applyFill="1" applyBorder="1" applyAlignment="1">
      <alignment horizontal="center" vertical="center"/>
    </xf>
    <xf numFmtId="0" fontId="5" fillId="14" borderId="7" xfId="3" applyFont="1" applyFill="1" applyBorder="1" applyAlignment="1">
      <alignment horizontal="center" vertical="top" wrapText="1"/>
    </xf>
    <xf numFmtId="41" fontId="6" fillId="0" borderId="0" xfId="3" applyNumberFormat="1" applyFont="1" applyFill="1" applyBorder="1" applyAlignment="1">
      <alignment vertical="center"/>
    </xf>
    <xf numFmtId="41" fontId="7" fillId="0" borderId="0" xfId="3" applyNumberFormat="1" applyFont="1" applyFill="1" applyBorder="1" applyAlignment="1">
      <alignment vertical="center"/>
    </xf>
    <xf numFmtId="41" fontId="6" fillId="2" borderId="0" xfId="3" applyNumberFormat="1" applyFont="1" applyFill="1" applyBorder="1" applyAlignment="1">
      <alignment vertical="center"/>
    </xf>
    <xf numFmtId="0" fontId="45" fillId="33" borderId="4" xfId="3" applyFont="1" applyFill="1" applyBorder="1" applyAlignment="1">
      <alignment horizontal="center" vertical="center"/>
    </xf>
    <xf numFmtId="0" fontId="45" fillId="33" borderId="1" xfId="3" applyFont="1" applyFill="1" applyBorder="1" applyAlignment="1">
      <alignment horizontal="center" vertical="center"/>
    </xf>
    <xf numFmtId="0" fontId="45" fillId="33" borderId="1" xfId="3" applyFont="1" applyFill="1" applyBorder="1" applyAlignment="1">
      <alignment horizontal="left" vertical="center"/>
    </xf>
    <xf numFmtId="0" fontId="6" fillId="33" borderId="4" xfId="3" applyFont="1" applyFill="1" applyBorder="1" applyAlignment="1">
      <alignment horizontal="center" vertical="center"/>
    </xf>
    <xf numFmtId="0" fontId="6" fillId="33" borderId="1" xfId="3" applyFont="1" applyFill="1" applyBorder="1" applyAlignment="1">
      <alignment horizontal="center" vertical="center"/>
    </xf>
    <xf numFmtId="0" fontId="6" fillId="33" borderId="1" xfId="3" applyFont="1" applyFill="1" applyBorder="1" applyAlignment="1">
      <alignment horizontal="left" vertical="center"/>
    </xf>
    <xf numFmtId="0" fontId="7" fillId="34" borderId="4" xfId="3" applyFont="1" applyFill="1" applyBorder="1" applyAlignment="1">
      <alignment horizontal="center" vertical="center"/>
    </xf>
    <xf numFmtId="0" fontId="7" fillId="34" borderId="1" xfId="3" applyFont="1" applyFill="1" applyBorder="1" applyAlignment="1">
      <alignment horizontal="center" vertical="center"/>
    </xf>
    <xf numFmtId="0" fontId="7" fillId="34" borderId="1" xfId="3" applyFont="1" applyFill="1" applyBorder="1" applyAlignment="1">
      <alignment horizontal="left" vertical="center"/>
    </xf>
    <xf numFmtId="0" fontId="7" fillId="8" borderId="1" xfId="3" applyFont="1" applyFill="1" applyBorder="1" applyAlignment="1">
      <alignment horizontal="center" vertical="center"/>
    </xf>
    <xf numFmtId="0" fontId="7" fillId="8" borderId="1" xfId="3" applyFont="1" applyFill="1" applyBorder="1" applyAlignment="1">
      <alignment horizontal="left" vertical="center"/>
    </xf>
    <xf numFmtId="0" fontId="31" fillId="33" borderId="1" xfId="3" applyFont="1" applyFill="1" applyBorder="1" applyAlignment="1">
      <alignment horizontal="center" vertical="center"/>
    </xf>
    <xf numFmtId="1" fontId="7" fillId="33" borderId="1" xfId="3" applyNumberFormat="1" applyFont="1" applyFill="1" applyBorder="1" applyAlignment="1">
      <alignment horizontal="center" vertical="center"/>
    </xf>
    <xf numFmtId="0" fontId="31" fillId="0" borderId="1" xfId="3" applyFont="1" applyFill="1" applyBorder="1" applyAlignment="1">
      <alignment horizontal="left" vertical="center"/>
    </xf>
    <xf numFmtId="0" fontId="31" fillId="0" borderId="1" xfId="3" applyFont="1" applyFill="1" applyBorder="1" applyAlignment="1">
      <alignment horizontal="center" vertical="center"/>
    </xf>
    <xf numFmtId="0" fontId="31" fillId="34" borderId="1" xfId="3" applyFont="1" applyFill="1" applyBorder="1" applyAlignment="1">
      <alignment horizontal="left" vertical="center"/>
    </xf>
    <xf numFmtId="0" fontId="31" fillId="34" borderId="1" xfId="3" applyFont="1" applyFill="1" applyBorder="1" applyAlignment="1">
      <alignment horizontal="center" vertical="center"/>
    </xf>
    <xf numFmtId="1" fontId="7" fillId="34" borderId="1" xfId="3" applyNumberFormat="1" applyFont="1" applyFill="1" applyBorder="1" applyAlignment="1">
      <alignment horizontal="center" vertical="center"/>
    </xf>
    <xf numFmtId="0" fontId="45" fillId="4" borderId="1" xfId="3" applyFont="1" applyFill="1" applyBorder="1" applyAlignment="1">
      <alignment horizontal="left" vertical="center"/>
    </xf>
    <xf numFmtId="0" fontId="45" fillId="4" borderId="1" xfId="3" applyFont="1" applyFill="1" applyBorder="1" applyAlignment="1">
      <alignment horizontal="center" vertical="center"/>
    </xf>
    <xf numFmtId="0" fontId="6" fillId="4" borderId="1" xfId="3" applyNumberFormat="1" applyFont="1" applyFill="1" applyBorder="1" applyAlignment="1">
      <alignment horizontal="center" vertical="center"/>
    </xf>
    <xf numFmtId="169" fontId="6" fillId="4" borderId="1" xfId="3" applyNumberFormat="1" applyFont="1" applyFill="1" applyBorder="1" applyAlignment="1">
      <alignment horizontal="center" vertical="center"/>
    </xf>
    <xf numFmtId="1" fontId="7" fillId="8" borderId="1" xfId="3" applyNumberFormat="1" applyFont="1" applyFill="1" applyBorder="1" applyAlignment="1">
      <alignment horizontal="center" vertical="center"/>
    </xf>
    <xf numFmtId="0" fontId="7" fillId="33" borderId="1" xfId="3" applyFont="1" applyFill="1" applyBorder="1" applyAlignment="1">
      <alignment horizontal="center" vertical="center"/>
    </xf>
    <xf numFmtId="41" fontId="31" fillId="8" borderId="1" xfId="1" applyNumberFormat="1" applyFont="1" applyFill="1" applyBorder="1" applyAlignment="1">
      <alignment horizontal="center" vertical="center"/>
    </xf>
    <xf numFmtId="41" fontId="31" fillId="8" borderId="1" xfId="1" applyFont="1" applyFill="1" applyBorder="1" applyAlignment="1">
      <alignment horizontal="center" vertical="center"/>
    </xf>
    <xf numFmtId="0" fontId="7" fillId="8" borderId="1" xfId="1" applyNumberFormat="1" applyFont="1" applyFill="1" applyBorder="1" applyAlignment="1">
      <alignment horizontal="center" vertical="center"/>
    </xf>
    <xf numFmtId="41" fontId="7" fillId="8" borderId="5" xfId="1" applyFont="1" applyFill="1" applyBorder="1" applyAlignment="1">
      <alignment horizontal="center" vertical="center"/>
    </xf>
    <xf numFmtId="167" fontId="7" fillId="8" borderId="5" xfId="1" applyNumberFormat="1" applyFont="1" applyFill="1" applyBorder="1" applyAlignment="1">
      <alignment horizontal="center" vertical="center"/>
    </xf>
    <xf numFmtId="41" fontId="7" fillId="8" borderId="5" xfId="1" applyNumberFormat="1" applyFont="1" applyFill="1" applyBorder="1" applyAlignment="1">
      <alignment horizontal="center" vertical="center"/>
    </xf>
    <xf numFmtId="0" fontId="6" fillId="0" borderId="1" xfId="3" applyNumberFormat="1" applyFont="1" applyFill="1" applyBorder="1" applyAlignment="1">
      <alignment horizontal="center" vertical="center"/>
    </xf>
    <xf numFmtId="0" fontId="7" fillId="34" borderId="1" xfId="3" applyNumberFormat="1" applyFont="1" applyFill="1" applyBorder="1" applyAlignment="1">
      <alignment horizontal="center" vertical="center"/>
    </xf>
    <xf numFmtId="41" fontId="7" fillId="8" borderId="1" xfId="1" applyNumberFormat="1" applyFont="1" applyFill="1" applyBorder="1" applyAlignment="1">
      <alignment horizontal="right" vertical="center"/>
    </xf>
    <xf numFmtId="0" fontId="7" fillId="8" borderId="1" xfId="3" applyNumberFormat="1" applyFont="1" applyFill="1" applyBorder="1" applyAlignment="1">
      <alignment horizontal="center" vertical="center"/>
    </xf>
    <xf numFmtId="41" fontId="7" fillId="8" borderId="5" xfId="1" applyNumberFormat="1" applyFont="1" applyFill="1" applyBorder="1" applyAlignment="1">
      <alignment horizontal="left" vertical="center"/>
    </xf>
    <xf numFmtId="0" fontId="7" fillId="8" borderId="1" xfId="1" applyNumberFormat="1" applyFont="1" applyFill="1" applyBorder="1" applyAlignment="1">
      <alignment horizontal="left" vertical="center"/>
    </xf>
    <xf numFmtId="0" fontId="7" fillId="8" borderId="5" xfId="1" applyNumberFormat="1" applyFont="1" applyFill="1" applyBorder="1" applyAlignment="1">
      <alignment horizontal="left" vertical="center"/>
    </xf>
    <xf numFmtId="41" fontId="7" fillId="8" borderId="5" xfId="1" applyFont="1" applyFill="1" applyBorder="1" applyAlignment="1">
      <alignment horizontal="left" vertical="center"/>
    </xf>
    <xf numFmtId="0" fontId="7" fillId="0" borderId="5" xfId="1" applyNumberFormat="1" applyFont="1" applyFill="1" applyBorder="1" applyAlignment="1">
      <alignment horizontal="left" vertical="center"/>
    </xf>
    <xf numFmtId="0" fontId="7" fillId="34" borderId="0" xfId="3" applyFont="1" applyFill="1" applyBorder="1" applyAlignment="1">
      <alignment horizontal="right" vertical="center"/>
    </xf>
    <xf numFmtId="0" fontId="6" fillId="4" borderId="0" xfId="3" applyFont="1" applyFill="1" applyBorder="1" applyAlignment="1">
      <alignment horizontal="right" vertical="center"/>
    </xf>
    <xf numFmtId="0" fontId="7" fillId="0" borderId="0" xfId="3" applyFont="1" applyFill="1" applyBorder="1" applyAlignment="1">
      <alignment horizontal="right" vertical="center"/>
    </xf>
    <xf numFmtId="0" fontId="5" fillId="0" borderId="0" xfId="3" applyFont="1" applyFill="1" applyBorder="1" applyAlignment="1">
      <alignment horizontal="right" vertical="center"/>
    </xf>
    <xf numFmtId="41" fontId="7" fillId="8" borderId="2" xfId="1" applyFont="1" applyFill="1" applyBorder="1" applyAlignment="1">
      <alignment horizontal="center" vertical="center"/>
    </xf>
    <xf numFmtId="41" fontId="7" fillId="8" borderId="4" xfId="1" applyFont="1" applyFill="1" applyBorder="1" applyAlignment="1">
      <alignment vertical="center"/>
    </xf>
    <xf numFmtId="166" fontId="5" fillId="8" borderId="0" xfId="1" applyNumberFormat="1" applyFont="1" applyFill="1" applyBorder="1" applyAlignment="1">
      <alignment horizontal="left" vertical="center"/>
    </xf>
    <xf numFmtId="0" fontId="5" fillId="8" borderId="0" xfId="3" applyFont="1" applyFill="1" applyBorder="1" applyAlignment="1">
      <alignment horizontal="right" vertical="center"/>
    </xf>
    <xf numFmtId="0" fontId="6" fillId="8" borderId="4" xfId="3" applyFont="1" applyFill="1" applyBorder="1" applyAlignment="1">
      <alignment horizontal="center" vertical="center"/>
    </xf>
    <xf numFmtId="1" fontId="44" fillId="4" borderId="1" xfId="3" applyNumberFormat="1" applyFont="1" applyFill="1" applyBorder="1" applyAlignment="1">
      <alignment horizontal="center" vertical="center"/>
    </xf>
    <xf numFmtId="41" fontId="7" fillId="0" borderId="1" xfId="3" applyNumberFormat="1" applyFont="1" applyFill="1" applyBorder="1" applyAlignment="1">
      <alignment horizontal="center" vertical="center"/>
    </xf>
    <xf numFmtId="0" fontId="7" fillId="3" borderId="1" xfId="3" applyNumberFormat="1" applyFont="1" applyFill="1" applyBorder="1" applyAlignment="1">
      <alignment horizontal="center" vertical="center"/>
    </xf>
    <xf numFmtId="0" fontId="44" fillId="4" borderId="1" xfId="3" applyNumberFormat="1" applyFont="1" applyFill="1" applyBorder="1" applyAlignment="1">
      <alignment horizontal="center" vertical="center"/>
    </xf>
    <xf numFmtId="0" fontId="7" fillId="0" borderId="62" xfId="3" applyFont="1" applyFill="1" applyBorder="1" applyAlignment="1">
      <alignment horizontal="center" vertical="center"/>
    </xf>
    <xf numFmtId="0" fontId="7" fillId="0" borderId="5" xfId="3" applyFont="1" applyFill="1" applyBorder="1" applyAlignment="1">
      <alignment horizontal="center" vertical="center"/>
    </xf>
    <xf numFmtId="0" fontId="7" fillId="0" borderId="5" xfId="3" applyFont="1" applyFill="1" applyBorder="1" applyAlignment="1">
      <alignment horizontal="left" vertical="center"/>
    </xf>
    <xf numFmtId="0" fontId="7" fillId="0" borderId="1" xfId="3" applyFont="1" applyFill="1" applyBorder="1" applyAlignment="1">
      <alignment horizontal="left" vertical="center" wrapText="1"/>
    </xf>
    <xf numFmtId="0" fontId="7" fillId="0" borderId="1" xfId="3" applyFont="1" applyFill="1" applyBorder="1" applyAlignment="1">
      <alignment horizontal="center" vertical="center" wrapText="1"/>
    </xf>
    <xf numFmtId="1" fontId="7" fillId="0" borderId="5" xfId="3" applyNumberFormat="1" applyFont="1" applyFill="1" applyBorder="1" applyAlignment="1">
      <alignment horizontal="center" vertical="center"/>
    </xf>
    <xf numFmtId="0" fontId="0" fillId="0" borderId="0" xfId="3" applyFont="1" applyBorder="1" applyAlignment="1">
      <alignment horizontal="center" vertical="center"/>
    </xf>
    <xf numFmtId="41" fontId="7" fillId="0" borderId="0" xfId="3" applyNumberFormat="1" applyFont="1" applyBorder="1" applyAlignment="1">
      <alignment horizontal="center" vertical="center"/>
    </xf>
    <xf numFmtId="0" fontId="7" fillId="35" borderId="0" xfId="3" applyFont="1" applyFill="1" applyBorder="1" applyAlignment="1">
      <alignment vertical="center"/>
    </xf>
    <xf numFmtId="0" fontId="7" fillId="0" borderId="355" xfId="0" applyFont="1" applyBorder="1" applyAlignment="1">
      <alignment horizontal="center" vertical="center"/>
    </xf>
    <xf numFmtId="0" fontId="7" fillId="0" borderId="356" xfId="0" applyFont="1" applyBorder="1" applyAlignment="1">
      <alignment vertical="center"/>
    </xf>
    <xf numFmtId="0" fontId="7" fillId="0" borderId="46" xfId="0" applyFont="1" applyBorder="1" applyAlignment="1">
      <alignment vertical="center"/>
    </xf>
    <xf numFmtId="0" fontId="7" fillId="0" borderId="46" xfId="0" applyFont="1" applyBorder="1" applyAlignment="1">
      <alignment horizontal="center" vertical="center"/>
    </xf>
    <xf numFmtId="0" fontId="7" fillId="0" borderId="46" xfId="0" applyFont="1" applyBorder="1" applyAlignment="1">
      <alignment vertical="center" wrapText="1"/>
    </xf>
    <xf numFmtId="0" fontId="7" fillId="0" borderId="47" xfId="0" applyFont="1" applyBorder="1" applyAlignment="1">
      <alignment vertical="center"/>
    </xf>
    <xf numFmtId="41" fontId="7" fillId="0" borderId="48" xfId="1" applyFont="1" applyBorder="1" applyAlignment="1">
      <alignment vertical="center"/>
    </xf>
    <xf numFmtId="41" fontId="7" fillId="0" borderId="45" xfId="1" applyFont="1" applyBorder="1" applyAlignment="1">
      <alignment horizontal="center" vertical="center"/>
    </xf>
    <xf numFmtId="41" fontId="7" fillId="0" borderId="46" xfId="1" applyFont="1" applyBorder="1" applyAlignment="1">
      <alignment vertical="center"/>
    </xf>
    <xf numFmtId="0" fontId="7" fillId="0" borderId="46" xfId="0" applyFont="1" applyBorder="1" applyAlignment="1">
      <alignment horizontal="center" vertical="center" wrapText="1"/>
    </xf>
    <xf numFmtId="41" fontId="7" fillId="0" borderId="49" xfId="0" applyNumberFormat="1" applyFont="1" applyBorder="1" applyAlignment="1">
      <alignment horizontal="center" vertical="center" wrapText="1"/>
    </xf>
    <xf numFmtId="41" fontId="7" fillId="0" borderId="45" xfId="1" applyFont="1" applyBorder="1" applyAlignment="1">
      <alignment vertical="center"/>
    </xf>
    <xf numFmtId="41" fontId="7" fillId="0" borderId="46" xfId="0" applyNumberFormat="1" applyFont="1" applyBorder="1" applyAlignment="1">
      <alignment vertical="center" wrapText="1"/>
    </xf>
    <xf numFmtId="0" fontId="7" fillId="0" borderId="50" xfId="0" applyFont="1" applyBorder="1" applyAlignment="1">
      <alignment vertical="center" wrapText="1"/>
    </xf>
    <xf numFmtId="0" fontId="0" fillId="0" borderId="0" xfId="3" applyFont="1" applyFill="1" applyAlignment="1">
      <alignment vertical="center"/>
    </xf>
    <xf numFmtId="0" fontId="26" fillId="0" borderId="0" xfId="3" applyFont="1" applyAlignment="1">
      <alignment vertical="center"/>
    </xf>
    <xf numFmtId="0" fontId="26" fillId="0" borderId="0" xfId="3" applyFont="1" applyFill="1" applyAlignment="1">
      <alignment vertical="center"/>
    </xf>
    <xf numFmtId="0" fontId="48" fillId="0" borderId="0" xfId="3" applyFont="1" applyFill="1" applyAlignment="1">
      <alignment vertical="center"/>
    </xf>
    <xf numFmtId="0" fontId="49" fillId="0" borderId="0" xfId="3" applyFont="1" applyFill="1" applyAlignment="1">
      <alignment vertical="center"/>
    </xf>
    <xf numFmtId="0" fontId="49" fillId="0" borderId="0" xfId="3" applyFont="1" applyAlignment="1">
      <alignment vertical="center"/>
    </xf>
    <xf numFmtId="0" fontId="26" fillId="0" borderId="0" xfId="3" applyFont="1" applyFill="1" applyAlignment="1">
      <alignment horizontal="left" vertical="center"/>
    </xf>
    <xf numFmtId="0" fontId="0" fillId="8" borderId="0" xfId="3" applyFont="1" applyFill="1" applyAlignment="1">
      <alignment vertical="center"/>
    </xf>
    <xf numFmtId="0" fontId="26" fillId="0" borderId="0" xfId="3" applyFont="1" applyFill="1" applyAlignment="1">
      <alignment vertical="center" wrapText="1"/>
    </xf>
    <xf numFmtId="0" fontId="49" fillId="0" borderId="0" xfId="3" applyFont="1" applyFill="1" applyAlignment="1">
      <alignment horizontal="left" vertical="center"/>
    </xf>
    <xf numFmtId="0" fontId="0" fillId="0" borderId="0" xfId="3" applyFont="1" applyAlignment="1">
      <alignment horizontal="right" vertical="center"/>
    </xf>
    <xf numFmtId="0" fontId="0" fillId="0" borderId="0" xfId="3" applyFont="1" applyAlignment="1">
      <alignment vertical="center"/>
    </xf>
    <xf numFmtId="0" fontId="0" fillId="0" borderId="0" xfId="3" applyFont="1" applyAlignment="1">
      <alignment horizontal="center" vertical="center"/>
    </xf>
    <xf numFmtId="0" fontId="0" fillId="0" borderId="0" xfId="3" applyFont="1" applyAlignment="1">
      <alignment horizontal="center" vertical="center" wrapText="1"/>
    </xf>
    <xf numFmtId="41" fontId="0" fillId="0" borderId="0" xfId="1" applyNumberFormat="1" applyFont="1" applyAlignment="1">
      <alignment horizontal="right" vertical="center"/>
    </xf>
    <xf numFmtId="41" fontId="49" fillId="8" borderId="0" xfId="1" applyFont="1" applyFill="1" applyAlignment="1">
      <alignment horizontal="right" vertical="center"/>
    </xf>
    <xf numFmtId="41" fontId="49" fillId="8" borderId="0" xfId="1" applyNumberFormat="1" applyFont="1" applyFill="1" applyAlignment="1">
      <alignment horizontal="right" vertical="center"/>
    </xf>
    <xf numFmtId="168" fontId="49" fillId="8" borderId="0" xfId="1" applyNumberFormat="1" applyFont="1" applyFill="1" applyAlignment="1">
      <alignment horizontal="right" vertical="center"/>
    </xf>
    <xf numFmtId="168" fontId="0" fillId="8" borderId="0" xfId="1" applyNumberFormat="1" applyFont="1" applyFill="1" applyAlignment="1">
      <alignment horizontal="center" vertical="center"/>
    </xf>
    <xf numFmtId="168" fontId="0" fillId="8" borderId="0" xfId="1" applyNumberFormat="1" applyFont="1" applyFill="1" applyAlignment="1">
      <alignment horizontal="right" vertical="center"/>
    </xf>
    <xf numFmtId="0" fontId="49" fillId="0" borderId="0" xfId="3" applyFont="1" applyAlignment="1">
      <alignment vertical="center" wrapText="1"/>
    </xf>
    <xf numFmtId="166" fontId="0" fillId="0" borderId="0" xfId="1" applyNumberFormat="1" applyFont="1" applyAlignment="1">
      <alignment vertical="center"/>
    </xf>
    <xf numFmtId="0" fontId="0" fillId="0" borderId="0" xfId="3" applyFont="1" applyFill="1" applyAlignment="1">
      <alignment horizontal="center" vertical="center"/>
    </xf>
    <xf numFmtId="0" fontId="0" fillId="0" borderId="0" xfId="3" applyFont="1" applyFill="1" applyAlignment="1">
      <alignment horizontal="center" vertical="center" wrapText="1"/>
    </xf>
    <xf numFmtId="0" fontId="0" fillId="0" borderId="234" xfId="3" applyFont="1" applyFill="1" applyBorder="1" applyAlignment="1">
      <alignment horizontal="center" vertical="center" wrapText="1"/>
    </xf>
    <xf numFmtId="0" fontId="0" fillId="0" borderId="0" xfId="3" applyFont="1" applyFill="1" applyBorder="1" applyAlignment="1">
      <alignment horizontal="center" vertical="center" wrapText="1"/>
    </xf>
    <xf numFmtId="0" fontId="0" fillId="0" borderId="101" xfId="3" applyFont="1" applyFill="1" applyBorder="1" applyAlignment="1">
      <alignment vertical="center"/>
    </xf>
    <xf numFmtId="0" fontId="0" fillId="0" borderId="360" xfId="3" applyFont="1" applyFill="1" applyBorder="1" applyAlignment="1">
      <alignment horizontal="center" vertical="center"/>
    </xf>
    <xf numFmtId="0" fontId="26" fillId="0" borderId="360" xfId="3" applyFont="1" applyFill="1" applyBorder="1" applyAlignment="1">
      <alignment horizontal="center" vertical="center"/>
    </xf>
    <xf numFmtId="0" fontId="26" fillId="0" borderId="360" xfId="3" applyFont="1" applyFill="1" applyBorder="1" applyAlignment="1">
      <alignment horizontal="center" vertical="center" wrapText="1"/>
    </xf>
    <xf numFmtId="0" fontId="26" fillId="0" borderId="99" xfId="3" applyFont="1" applyFill="1" applyBorder="1" applyAlignment="1">
      <alignment vertical="center"/>
    </xf>
    <xf numFmtId="0" fontId="26" fillId="6" borderId="0" xfId="3" applyFont="1" applyFill="1" applyBorder="1" applyAlignment="1">
      <alignment horizontal="center" vertical="center"/>
    </xf>
    <xf numFmtId="0" fontId="26" fillId="6" borderId="98" xfId="3" applyFont="1" applyFill="1" applyBorder="1" applyAlignment="1">
      <alignment horizontal="left" vertical="center"/>
    </xf>
    <xf numFmtId="0" fontId="26" fillId="6" borderId="98" xfId="3" applyFont="1" applyFill="1" applyBorder="1" applyAlignment="1">
      <alignment horizontal="center" vertical="center"/>
    </xf>
    <xf numFmtId="0" fontId="26" fillId="6" borderId="98" xfId="3" applyFont="1" applyFill="1" applyBorder="1" applyAlignment="1">
      <alignment horizontal="center" vertical="center" wrapText="1"/>
    </xf>
    <xf numFmtId="0" fontId="26" fillId="36" borderId="99" xfId="3" applyFont="1" applyFill="1" applyBorder="1" applyAlignment="1">
      <alignment horizontal="center" vertical="center" wrapText="1"/>
    </xf>
    <xf numFmtId="0" fontId="48" fillId="0" borderId="104" xfId="3" applyFont="1" applyFill="1" applyBorder="1" applyAlignment="1">
      <alignment vertical="center"/>
    </xf>
    <xf numFmtId="0" fontId="48" fillId="0" borderId="99" xfId="3" applyFont="1" applyFill="1" applyBorder="1" applyAlignment="1">
      <alignment horizontal="center" vertical="center"/>
    </xf>
    <xf numFmtId="0" fontId="48" fillId="0" borderId="98" xfId="3" applyFont="1" applyFill="1" applyBorder="1" applyAlignment="1">
      <alignment horizontal="center" vertical="center"/>
    </xf>
    <xf numFmtId="0" fontId="48" fillId="0" borderId="231" xfId="3" applyFont="1" applyFill="1" applyBorder="1" applyAlignment="1">
      <alignment vertical="center"/>
    </xf>
    <xf numFmtId="0" fontId="49" fillId="0" borderId="104" xfId="3" applyFont="1" applyFill="1" applyBorder="1" applyAlignment="1">
      <alignment vertical="center"/>
    </xf>
    <xf numFmtId="0" fontId="49" fillId="0" borderId="104" xfId="3" applyFont="1" applyFill="1" applyBorder="1" applyAlignment="1">
      <alignment horizontal="center" vertical="center"/>
    </xf>
    <xf numFmtId="0" fontId="49" fillId="0" borderId="99" xfId="3" applyFont="1" applyFill="1" applyBorder="1" applyAlignment="1">
      <alignment horizontal="center" vertical="center"/>
    </xf>
    <xf numFmtId="0" fontId="49" fillId="8" borderId="361" xfId="3" applyFont="1" applyFill="1" applyBorder="1" applyAlignment="1">
      <alignment horizontal="center" vertical="center"/>
    </xf>
    <xf numFmtId="0" fontId="49" fillId="8" borderId="361" xfId="3" applyFont="1" applyFill="1" applyBorder="1" applyAlignment="1">
      <alignment vertical="center" wrapText="1"/>
    </xf>
    <xf numFmtId="0" fontId="49" fillId="8" borderId="362" xfId="3" applyFont="1" applyFill="1" applyBorder="1" applyAlignment="1">
      <alignment horizontal="center" vertical="center"/>
    </xf>
    <xf numFmtId="0" fontId="49" fillId="8" borderId="362" xfId="3" applyFont="1" applyFill="1" applyBorder="1" applyAlignment="1">
      <alignment vertical="center" wrapText="1"/>
    </xf>
    <xf numFmtId="0" fontId="49" fillId="8" borderId="104" xfId="3" applyFont="1" applyFill="1" applyBorder="1" applyAlignment="1">
      <alignment horizontal="center" vertical="center"/>
    </xf>
    <xf numFmtId="0" fontId="49" fillId="8" borderId="104" xfId="3" applyFont="1" applyFill="1" applyBorder="1" applyAlignment="1">
      <alignment vertical="center" wrapText="1"/>
    </xf>
    <xf numFmtId="0" fontId="48" fillId="0" borderId="104" xfId="3" applyFont="1" applyFill="1" applyBorder="1" applyAlignment="1">
      <alignment horizontal="center" vertical="center"/>
    </xf>
    <xf numFmtId="0" fontId="49" fillId="0" borderId="361" xfId="3" applyFont="1" applyFill="1" applyBorder="1" applyAlignment="1">
      <alignment horizontal="left" vertical="center" wrapText="1"/>
    </xf>
    <xf numFmtId="0" fontId="49" fillId="8" borderId="363" xfId="3" applyFont="1" applyFill="1" applyBorder="1" applyAlignment="1">
      <alignment horizontal="center" vertical="center"/>
    </xf>
    <xf numFmtId="0" fontId="49" fillId="0" borderId="363" xfId="3" applyFont="1" applyFill="1" applyBorder="1" applyAlignment="1">
      <alignment horizontal="left" vertical="center" wrapText="1"/>
    </xf>
    <xf numFmtId="0" fontId="49" fillId="0" borderId="363" xfId="3" applyFont="1" applyFill="1" applyBorder="1" applyAlignment="1">
      <alignment horizontal="center" vertical="center"/>
    </xf>
    <xf numFmtId="0" fontId="49" fillId="0" borderId="100" xfId="3" applyFont="1" applyFill="1" applyBorder="1" applyAlignment="1">
      <alignment horizontal="center" vertical="center"/>
    </xf>
    <xf numFmtId="0" fontId="49" fillId="0" borderId="364" xfId="3" applyFont="1" applyFill="1" applyBorder="1" applyAlignment="1">
      <alignment horizontal="center" vertical="center"/>
    </xf>
    <xf numFmtId="0" fontId="49" fillId="0" borderId="364" xfId="3" applyFont="1" applyFill="1" applyBorder="1" applyAlignment="1">
      <alignment horizontal="left" vertical="center" wrapText="1"/>
    </xf>
    <xf numFmtId="0" fontId="49" fillId="0" borderId="361" xfId="3" applyFont="1" applyFill="1" applyBorder="1" applyAlignment="1">
      <alignment horizontal="center" vertical="center"/>
    </xf>
    <xf numFmtId="0" fontId="49" fillId="0" borderId="361" xfId="3" applyFont="1" applyFill="1" applyBorder="1" applyAlignment="1">
      <alignment vertical="center" wrapText="1"/>
    </xf>
    <xf numFmtId="0" fontId="49" fillId="0" borderId="363" xfId="3" applyFont="1" applyFill="1" applyBorder="1" applyAlignment="1">
      <alignment vertical="center" wrapText="1"/>
    </xf>
    <xf numFmtId="0" fontId="49" fillId="0" borderId="364" xfId="3" applyFont="1" applyFill="1" applyBorder="1" applyAlignment="1">
      <alignment vertical="center" wrapText="1"/>
    </xf>
    <xf numFmtId="0" fontId="49" fillId="0" borderId="104" xfId="3" applyFont="1" applyBorder="1" applyAlignment="1">
      <alignment vertical="center"/>
    </xf>
    <xf numFmtId="0" fontId="49" fillId="0" borderId="104" xfId="3" applyFont="1" applyBorder="1" applyAlignment="1">
      <alignment horizontal="center" vertical="center"/>
    </xf>
    <xf numFmtId="0" fontId="49" fillId="0" borderId="104" xfId="3" applyFont="1" applyFill="1" applyBorder="1" applyAlignment="1">
      <alignment horizontal="left" vertical="center" wrapText="1"/>
    </xf>
    <xf numFmtId="0" fontId="49" fillId="0" borderId="362" xfId="3" applyFont="1" applyFill="1" applyBorder="1" applyAlignment="1">
      <alignment horizontal="center" vertical="center"/>
    </xf>
    <xf numFmtId="41" fontId="26" fillId="0" borderId="0" xfId="1" applyNumberFormat="1" applyFont="1" applyFill="1" applyAlignment="1">
      <alignment horizontal="right" vertical="center"/>
    </xf>
    <xf numFmtId="41" fontId="26" fillId="0" borderId="0" xfId="1" applyFont="1" applyFill="1" applyAlignment="1">
      <alignment horizontal="right" vertical="center"/>
    </xf>
    <xf numFmtId="168" fontId="26" fillId="0" borderId="0" xfId="1" applyNumberFormat="1" applyFont="1" applyFill="1" applyAlignment="1">
      <alignment horizontal="right" vertical="center"/>
    </xf>
    <xf numFmtId="168" fontId="26" fillId="0" borderId="0" xfId="1" applyNumberFormat="1" applyFont="1" applyFill="1" applyAlignment="1">
      <alignment horizontal="center" vertical="center"/>
    </xf>
    <xf numFmtId="41" fontId="0" fillId="0" borderId="0" xfId="1" applyNumberFormat="1" applyFont="1" applyFill="1" applyBorder="1" applyAlignment="1">
      <alignment horizontal="center" vertical="center" wrapText="1"/>
    </xf>
    <xf numFmtId="41" fontId="0" fillId="0" borderId="0" xfId="1" applyFont="1" applyFill="1" applyBorder="1" applyAlignment="1">
      <alignment horizontal="center" vertical="center" wrapText="1"/>
    </xf>
    <xf numFmtId="166" fontId="0" fillId="0" borderId="0" xfId="1" applyNumberFormat="1" applyFont="1" applyFill="1" applyAlignment="1">
      <alignment vertical="center"/>
    </xf>
    <xf numFmtId="168" fontId="0" fillId="0" borderId="234" xfId="1" applyNumberFormat="1" applyFont="1" applyFill="1" applyBorder="1" applyAlignment="1">
      <alignment horizontal="center" vertical="center" wrapText="1"/>
    </xf>
    <xf numFmtId="168" fontId="0" fillId="0" borderId="0" xfId="1" applyNumberFormat="1" applyFont="1" applyFill="1" applyBorder="1" applyAlignment="1">
      <alignment horizontal="center" vertical="center" wrapText="1"/>
    </xf>
    <xf numFmtId="41" fontId="26" fillId="14" borderId="98" xfId="1" applyNumberFormat="1" applyFont="1" applyFill="1" applyBorder="1" applyAlignment="1">
      <alignment horizontal="center" vertical="center" wrapText="1"/>
    </xf>
    <xf numFmtId="41" fontId="26" fillId="0" borderId="0" xfId="1" applyNumberFormat="1" applyFont="1" applyFill="1" applyBorder="1" applyAlignment="1">
      <alignment horizontal="center" vertical="center" wrapText="1"/>
    </xf>
    <xf numFmtId="41" fontId="26" fillId="8" borderId="0" xfId="1" applyFont="1" applyFill="1" applyBorder="1" applyAlignment="1">
      <alignment horizontal="center" vertical="center" wrapText="1"/>
    </xf>
    <xf numFmtId="41" fontId="26" fillId="8" borderId="0" xfId="1" applyNumberFormat="1" applyFont="1" applyFill="1" applyBorder="1" applyAlignment="1">
      <alignment horizontal="center" vertical="center" wrapText="1"/>
    </xf>
    <xf numFmtId="168" fontId="26" fillId="8" borderId="0" xfId="1" applyNumberFormat="1" applyFont="1" applyFill="1" applyBorder="1" applyAlignment="1">
      <alignment horizontal="center" vertical="center" wrapText="1"/>
    </xf>
    <xf numFmtId="41" fontId="26" fillId="5" borderId="98" xfId="1" applyNumberFormat="1" applyFont="1" applyFill="1" applyBorder="1" applyAlignment="1">
      <alignment horizontal="center" vertical="center"/>
    </xf>
    <xf numFmtId="0" fontId="26" fillId="36" borderId="98" xfId="3" applyFont="1" applyFill="1" applyBorder="1" applyAlignment="1">
      <alignment horizontal="left" vertical="center"/>
    </xf>
    <xf numFmtId="0" fontId="26" fillId="36" borderId="98" xfId="3" applyFont="1" applyFill="1" applyBorder="1" applyAlignment="1">
      <alignment horizontal="center" vertical="center" wrapText="1"/>
    </xf>
    <xf numFmtId="41" fontId="26" fillId="36" borderId="98" xfId="1" applyNumberFormat="1" applyFont="1" applyFill="1" applyBorder="1" applyAlignment="1">
      <alignment horizontal="center" vertical="center"/>
    </xf>
    <xf numFmtId="41" fontId="26" fillId="36" borderId="358" xfId="1" applyNumberFormat="1" applyFont="1" applyFill="1" applyBorder="1" applyAlignment="1">
      <alignment horizontal="center" vertical="center"/>
    </xf>
    <xf numFmtId="41" fontId="26" fillId="0" borderId="98" xfId="1" applyNumberFormat="1" applyFont="1" applyFill="1" applyBorder="1" applyAlignment="1">
      <alignment horizontal="right" vertical="center"/>
    </xf>
    <xf numFmtId="41" fontId="48" fillId="0" borderId="98" xfId="1" applyNumberFormat="1" applyFont="1" applyFill="1" applyBorder="1" applyAlignment="1">
      <alignment horizontal="right" vertical="center"/>
    </xf>
    <xf numFmtId="41" fontId="48" fillId="8" borderId="98" xfId="1" applyNumberFormat="1" applyFont="1" applyFill="1" applyBorder="1" applyAlignment="1">
      <alignment horizontal="right" vertical="center"/>
    </xf>
    <xf numFmtId="41" fontId="26" fillId="8" borderId="98" xfId="1" applyNumberFormat="1" applyFont="1" applyFill="1" applyBorder="1" applyAlignment="1">
      <alignment horizontal="center" vertical="center"/>
    </xf>
    <xf numFmtId="41" fontId="26" fillId="8" borderId="101" xfId="1" applyNumberFormat="1" applyFont="1" applyFill="1" applyBorder="1" applyAlignment="1">
      <alignment horizontal="center" vertical="center"/>
    </xf>
    <xf numFmtId="0" fontId="49" fillId="8" borderId="361" xfId="3" applyFont="1" applyFill="1" applyBorder="1" applyAlignment="1">
      <alignment vertical="center"/>
    </xf>
    <xf numFmtId="41" fontId="0" fillId="0" borderId="361" xfId="1" applyNumberFormat="1" applyFont="1" applyFill="1" applyBorder="1" applyAlignment="1">
      <alignment vertical="center"/>
    </xf>
    <xf numFmtId="41" fontId="49" fillId="8" borderId="362" xfId="1" applyFont="1" applyFill="1" applyBorder="1" applyAlignment="1">
      <alignment horizontal="right" vertical="center"/>
    </xf>
    <xf numFmtId="41" fontId="49" fillId="8" borderId="361" xfId="1" applyNumberFormat="1" applyFont="1" applyFill="1" applyBorder="1" applyAlignment="1">
      <alignment horizontal="right" vertical="center"/>
    </xf>
    <xf numFmtId="41" fontId="49" fillId="8" borderId="361" xfId="1" applyFont="1" applyFill="1" applyBorder="1" applyAlignment="1">
      <alignment horizontal="right" vertical="center"/>
    </xf>
    <xf numFmtId="41" fontId="0" fillId="0" borderId="361" xfId="1" applyFont="1" applyFill="1" applyBorder="1" applyAlignment="1">
      <alignment horizontal="center" vertical="center"/>
    </xf>
    <xf numFmtId="0" fontId="49" fillId="8" borderId="363" xfId="3" applyFont="1" applyFill="1" applyBorder="1" applyAlignment="1">
      <alignment vertical="center"/>
    </xf>
    <xf numFmtId="0" fontId="49" fillId="8" borderId="363" xfId="3" applyFont="1" applyFill="1" applyBorder="1" applyAlignment="1">
      <alignment vertical="center" wrapText="1"/>
    </xf>
    <xf numFmtId="41" fontId="0" fillId="0" borderId="363" xfId="1" applyNumberFormat="1" applyFont="1" applyFill="1" applyBorder="1" applyAlignment="1">
      <alignment vertical="center"/>
    </xf>
    <xf numFmtId="41" fontId="49" fillId="8" borderId="362" xfId="1" applyNumberFormat="1" applyFont="1" applyFill="1" applyBorder="1" applyAlignment="1">
      <alignment horizontal="right" vertical="center"/>
    </xf>
    <xf numFmtId="41" fontId="0" fillId="0" borderId="362" xfId="1" applyFont="1" applyFill="1" applyBorder="1" applyAlignment="1">
      <alignment horizontal="center" vertical="center"/>
    </xf>
    <xf numFmtId="41" fontId="0" fillId="0" borderId="362" xfId="1" applyNumberFormat="1" applyFont="1" applyFill="1" applyBorder="1" applyAlignment="1">
      <alignment horizontal="right" vertical="center"/>
    </xf>
    <xf numFmtId="41" fontId="49" fillId="8" borderId="363" xfId="1" applyFont="1" applyFill="1" applyBorder="1" applyAlignment="1">
      <alignment horizontal="right" vertical="center"/>
    </xf>
    <xf numFmtId="41" fontId="0" fillId="8" borderId="363" xfId="1" applyFont="1" applyFill="1" applyBorder="1" applyAlignment="1">
      <alignment horizontal="center" vertical="center"/>
    </xf>
    <xf numFmtId="41" fontId="0" fillId="8" borderId="363" xfId="1" applyFont="1" applyFill="1" applyBorder="1" applyAlignment="1">
      <alignment horizontal="right" vertical="center"/>
    </xf>
    <xf numFmtId="41" fontId="49" fillId="8" borderId="363" xfId="1" applyNumberFormat="1" applyFont="1" applyFill="1" applyBorder="1" applyAlignment="1">
      <alignment horizontal="right" vertical="center"/>
    </xf>
    <xf numFmtId="41" fontId="0" fillId="8" borderId="361" xfId="1" applyFont="1" applyFill="1" applyBorder="1" applyAlignment="1">
      <alignment horizontal="right" vertical="center"/>
    </xf>
    <xf numFmtId="41" fontId="0" fillId="0" borderId="363" xfId="1" applyFont="1" applyFill="1" applyBorder="1" applyAlignment="1">
      <alignment horizontal="center" vertical="center"/>
    </xf>
    <xf numFmtId="41" fontId="0" fillId="8" borderId="364" xfId="1" applyFont="1" applyFill="1" applyBorder="1" applyAlignment="1">
      <alignment horizontal="right" vertical="center"/>
    </xf>
    <xf numFmtId="41" fontId="49" fillId="8" borderId="364" xfId="1" applyNumberFormat="1" applyFont="1" applyFill="1" applyBorder="1" applyAlignment="1">
      <alignment horizontal="right" vertical="center"/>
    </xf>
    <xf numFmtId="41" fontId="49" fillId="8" borderId="364" xfId="1" applyFont="1" applyFill="1" applyBorder="1" applyAlignment="1">
      <alignment horizontal="right" vertical="center"/>
    </xf>
    <xf numFmtId="41" fontId="0" fillId="0" borderId="364" xfId="1" applyFont="1" applyFill="1" applyBorder="1" applyAlignment="1">
      <alignment horizontal="center" vertical="center"/>
    </xf>
    <xf numFmtId="41" fontId="0" fillId="8" borderId="362" xfId="1" applyFont="1" applyFill="1" applyBorder="1" applyAlignment="1">
      <alignment horizontal="center" vertical="center"/>
    </xf>
    <xf numFmtId="41" fontId="26" fillId="8" borderId="98" xfId="1" applyNumberFormat="1" applyFont="1" applyFill="1" applyBorder="1" applyAlignment="1">
      <alignment horizontal="right" vertical="center"/>
    </xf>
    <xf numFmtId="0" fontId="49" fillId="0" borderId="99" xfId="3" applyFont="1" applyFill="1" applyBorder="1" applyAlignment="1">
      <alignment horizontal="center" vertical="center" wrapText="1"/>
    </xf>
    <xf numFmtId="41" fontId="49" fillId="8" borderId="363" xfId="1" applyFont="1" applyFill="1" applyBorder="1" applyAlignment="1">
      <alignment horizontal="right" vertical="center" wrapText="1"/>
    </xf>
    <xf numFmtId="41" fontId="49" fillId="8" borderId="363" xfId="1" applyNumberFormat="1" applyFont="1" applyFill="1" applyBorder="1" applyAlignment="1">
      <alignment horizontal="right" vertical="center" wrapText="1"/>
    </xf>
    <xf numFmtId="0" fontId="49" fillId="0" borderId="104" xfId="3" applyFont="1" applyFill="1" applyBorder="1" applyAlignment="1">
      <alignment horizontal="center" vertical="center" wrapText="1"/>
    </xf>
    <xf numFmtId="41" fontId="0" fillId="0" borderId="363" xfId="1" applyFont="1" applyFill="1" applyBorder="1" applyAlignment="1">
      <alignment horizontal="right" vertical="center"/>
    </xf>
    <xf numFmtId="41" fontId="49" fillId="0" borderId="363" xfId="1" applyFont="1" applyFill="1" applyBorder="1" applyAlignment="1">
      <alignment horizontal="right" vertical="center" wrapText="1"/>
    </xf>
    <xf numFmtId="41" fontId="49" fillId="0" borderId="363" xfId="1" applyNumberFormat="1" applyFont="1" applyFill="1" applyBorder="1" applyAlignment="1">
      <alignment horizontal="right" vertical="center" wrapText="1"/>
    </xf>
    <xf numFmtId="41" fontId="49" fillId="0" borderId="363" xfId="1" applyFont="1" applyFill="1" applyBorder="1" applyAlignment="1">
      <alignment horizontal="right" vertical="center"/>
    </xf>
    <xf numFmtId="41" fontId="30" fillId="0" borderId="363" xfId="1" applyFont="1" applyFill="1" applyBorder="1" applyAlignment="1">
      <alignment horizontal="center" vertical="center"/>
    </xf>
    <xf numFmtId="0" fontId="49" fillId="0" borderId="365" xfId="3" applyFont="1" applyFill="1" applyBorder="1" applyAlignment="1">
      <alignment horizontal="center" vertical="center"/>
    </xf>
    <xf numFmtId="41" fontId="51" fillId="8" borderId="363" xfId="1" applyFont="1" applyFill="1" applyBorder="1" applyAlignment="1">
      <alignment horizontal="center" vertical="center"/>
    </xf>
    <xf numFmtId="0" fontId="49" fillId="0" borderId="100" xfId="3" applyFont="1" applyFill="1" applyBorder="1" applyAlignment="1">
      <alignment horizontal="center" vertical="center" wrapText="1"/>
    </xf>
    <xf numFmtId="0" fontId="49" fillId="0" borderId="365" xfId="3" applyFont="1" applyFill="1" applyBorder="1" applyAlignment="1">
      <alignment vertical="center" wrapText="1"/>
    </xf>
    <xf numFmtId="41" fontId="0" fillId="8" borderId="365" xfId="1" applyFont="1" applyFill="1" applyBorder="1" applyAlignment="1">
      <alignment horizontal="center" vertical="center"/>
    </xf>
    <xf numFmtId="41" fontId="49" fillId="8" borderId="365" xfId="1" applyFont="1" applyFill="1" applyBorder="1" applyAlignment="1">
      <alignment horizontal="center" vertical="center" wrapText="1"/>
    </xf>
    <xf numFmtId="41" fontId="49" fillId="8" borderId="365" xfId="1" applyNumberFormat="1" applyFont="1" applyFill="1" applyBorder="1" applyAlignment="1">
      <alignment horizontal="center" vertical="center" wrapText="1"/>
    </xf>
    <xf numFmtId="41" fontId="49" fillId="8" borderId="365" xfId="1" applyFont="1" applyFill="1" applyBorder="1" applyAlignment="1">
      <alignment horizontal="center" vertical="center"/>
    </xf>
    <xf numFmtId="41" fontId="26" fillId="8" borderId="98" xfId="1" applyFont="1" applyFill="1" applyBorder="1" applyAlignment="1">
      <alignment horizontal="right" vertical="center"/>
    </xf>
    <xf numFmtId="41" fontId="48" fillId="8" borderId="98" xfId="1" applyFont="1" applyFill="1" applyBorder="1" applyAlignment="1">
      <alignment horizontal="right" vertical="center"/>
    </xf>
    <xf numFmtId="0" fontId="49" fillId="0" borderId="99" xfId="3" applyFont="1" applyFill="1" applyBorder="1" applyAlignment="1">
      <alignment vertical="center"/>
    </xf>
    <xf numFmtId="0" fontId="49" fillId="0" borderId="99" xfId="3" applyFont="1" applyFill="1" applyBorder="1" applyAlignment="1">
      <alignment vertical="center" wrapText="1"/>
    </xf>
    <xf numFmtId="41" fontId="0" fillId="0" borderId="99" xfId="1" applyFont="1" applyFill="1" applyBorder="1" applyAlignment="1">
      <alignment vertical="center"/>
    </xf>
    <xf numFmtId="41" fontId="49" fillId="0" borderId="362" xfId="1" applyFont="1" applyFill="1" applyBorder="1" applyAlignment="1">
      <alignment horizontal="right" vertical="center" wrapText="1"/>
    </xf>
    <xf numFmtId="41" fontId="49" fillId="0" borderId="362" xfId="1" applyNumberFormat="1" applyFont="1" applyFill="1" applyBorder="1" applyAlignment="1">
      <alignment horizontal="right" vertical="center" wrapText="1"/>
    </xf>
    <xf numFmtId="41" fontId="49" fillId="8" borderId="362" xfId="1" applyFont="1" applyFill="1" applyBorder="1" applyAlignment="1">
      <alignment horizontal="right" vertical="center" wrapText="1"/>
    </xf>
    <xf numFmtId="41" fontId="49" fillId="8" borderId="362" xfId="1" applyNumberFormat="1" applyFont="1" applyFill="1" applyBorder="1" applyAlignment="1">
      <alignment horizontal="right" vertical="center" wrapText="1"/>
    </xf>
    <xf numFmtId="0" fontId="49" fillId="0" borderId="365" xfId="3" applyFont="1" applyFill="1" applyBorder="1" applyAlignment="1">
      <alignment vertical="center"/>
    </xf>
    <xf numFmtId="41" fontId="49" fillId="8" borderId="363" xfId="1" applyFont="1" applyFill="1" applyBorder="1" applyAlignment="1">
      <alignment vertical="center"/>
    </xf>
    <xf numFmtId="41" fontId="0" fillId="8" borderId="363" xfId="1" applyFont="1" applyFill="1" applyBorder="1" applyAlignment="1">
      <alignment vertical="center"/>
    </xf>
    <xf numFmtId="0" fontId="49" fillId="0" borderId="362" xfId="3" applyFont="1" applyFill="1" applyBorder="1" applyAlignment="1">
      <alignment vertical="center"/>
    </xf>
    <xf numFmtId="0" fontId="49" fillId="0" borderId="362" xfId="3" applyFont="1" applyFill="1" applyBorder="1" applyAlignment="1">
      <alignment horizontal="left" vertical="center" wrapText="1"/>
    </xf>
    <xf numFmtId="41" fontId="26" fillId="8" borderId="98" xfId="1" applyNumberFormat="1" applyFont="1" applyFill="1" applyBorder="1" applyAlignment="1">
      <alignment horizontal="right" vertical="center" wrapText="1"/>
    </xf>
    <xf numFmtId="41" fontId="48" fillId="8" borderId="98" xfId="1" applyNumberFormat="1" applyFont="1" applyFill="1" applyBorder="1" applyAlignment="1">
      <alignment horizontal="right" vertical="center" wrapText="1"/>
    </xf>
    <xf numFmtId="41" fontId="0" fillId="8" borderId="361" xfId="1" applyFont="1" applyFill="1" applyBorder="1" applyAlignment="1">
      <alignment horizontal="right" vertical="center" wrapText="1"/>
    </xf>
    <xf numFmtId="41" fontId="49" fillId="8" borderId="361" xfId="1" applyFont="1" applyFill="1" applyBorder="1" applyAlignment="1">
      <alignment horizontal="right" vertical="center" wrapText="1"/>
    </xf>
    <xf numFmtId="41" fontId="49" fillId="8" borderId="361" xfId="1" applyNumberFormat="1" applyFont="1" applyFill="1" applyBorder="1" applyAlignment="1">
      <alignment horizontal="right" vertical="center" wrapText="1"/>
    </xf>
    <xf numFmtId="41" fontId="0" fillId="8" borderId="361" xfId="1" applyFont="1" applyFill="1" applyBorder="1" applyAlignment="1">
      <alignment horizontal="center" vertical="center" wrapText="1"/>
    </xf>
    <xf numFmtId="41" fontId="0" fillId="8" borderId="364" xfId="1" applyFont="1" applyFill="1" applyBorder="1" applyAlignment="1">
      <alignment horizontal="right" vertical="center" wrapText="1"/>
    </xf>
    <xf numFmtId="41" fontId="49" fillId="8" borderId="364" xfId="1" applyFont="1" applyFill="1" applyBorder="1" applyAlignment="1">
      <alignment horizontal="right" vertical="center" wrapText="1"/>
    </xf>
    <xf numFmtId="41" fontId="49" fillId="8" borderId="364" xfId="1" applyNumberFormat="1" applyFont="1" applyFill="1" applyBorder="1" applyAlignment="1">
      <alignment horizontal="right" vertical="center" wrapText="1"/>
    </xf>
    <xf numFmtId="41" fontId="0" fillId="8" borderId="364" xfId="1" applyFont="1" applyFill="1" applyBorder="1" applyAlignment="1">
      <alignment horizontal="center" vertical="center" wrapText="1"/>
    </xf>
    <xf numFmtId="41" fontId="51" fillId="8" borderId="362" xfId="1" applyFont="1" applyFill="1" applyBorder="1" applyAlignment="1">
      <alignment horizontal="center" vertical="center" wrapText="1"/>
    </xf>
    <xf numFmtId="41" fontId="0" fillId="8" borderId="365" xfId="1" applyFont="1" applyFill="1" applyBorder="1" applyAlignment="1">
      <alignment vertical="center" wrapText="1"/>
    </xf>
    <xf numFmtId="41" fontId="0" fillId="0" borderId="362" xfId="1" applyFont="1" applyFill="1" applyBorder="1" applyAlignment="1">
      <alignment horizontal="center" vertical="center" wrapText="1"/>
    </xf>
    <xf numFmtId="41" fontId="0" fillId="8" borderId="362" xfId="1" applyFont="1" applyFill="1" applyBorder="1" applyAlignment="1">
      <alignment vertical="center" wrapText="1"/>
    </xf>
    <xf numFmtId="41" fontId="0" fillId="8" borderId="363" xfId="1" applyFont="1" applyFill="1" applyBorder="1" applyAlignment="1">
      <alignment horizontal="right" vertical="center" wrapText="1"/>
    </xf>
    <xf numFmtId="41" fontId="0" fillId="0" borderId="363" xfId="1" applyFont="1" applyFill="1" applyBorder="1" applyAlignment="1">
      <alignment horizontal="center" vertical="center" wrapText="1"/>
    </xf>
    <xf numFmtId="0" fontId="49" fillId="0" borderId="98" xfId="3" applyFont="1" applyFill="1" applyBorder="1" applyAlignment="1">
      <alignment horizontal="right" vertical="center" wrapText="1"/>
    </xf>
    <xf numFmtId="0" fontId="0" fillId="0" borderId="0" xfId="3" applyFont="1" applyFill="1" applyAlignment="1">
      <alignment horizontal="right" vertical="center"/>
    </xf>
    <xf numFmtId="0" fontId="26" fillId="0" borderId="0" xfId="3" applyFont="1" applyAlignment="1">
      <alignment horizontal="right" vertical="center"/>
    </xf>
    <xf numFmtId="0" fontId="49" fillId="0" borderId="0" xfId="3" applyFont="1" applyFill="1" applyAlignment="1">
      <alignment horizontal="right" vertical="center" wrapText="1"/>
    </xf>
    <xf numFmtId="0" fontId="49" fillId="0" borderId="0" xfId="3" applyFont="1" applyFill="1" applyAlignment="1">
      <alignment vertical="center" wrapText="1"/>
    </xf>
    <xf numFmtId="41" fontId="26" fillId="5" borderId="101" xfId="1" applyNumberFormat="1" applyFont="1" applyFill="1" applyBorder="1" applyAlignment="1">
      <alignment horizontal="center" vertical="center"/>
    </xf>
    <xf numFmtId="166" fontId="49" fillId="5" borderId="98" xfId="1" applyNumberFormat="1" applyFont="1" applyFill="1" applyBorder="1" applyAlignment="1">
      <alignment vertical="center" wrapText="1"/>
    </xf>
    <xf numFmtId="166" fontId="0" fillId="36" borderId="100" xfId="1" applyNumberFormat="1" applyFont="1" applyFill="1" applyBorder="1" applyAlignment="1">
      <alignment vertical="center" wrapText="1"/>
    </xf>
    <xf numFmtId="0" fontId="26" fillId="0" borderId="0" xfId="3" applyFont="1" applyFill="1" applyAlignment="1">
      <alignment horizontal="right" vertical="center"/>
    </xf>
    <xf numFmtId="0" fontId="0" fillId="0" borderId="98" xfId="3" applyFont="1" applyFill="1" applyBorder="1" applyAlignment="1">
      <alignment vertical="center" wrapText="1"/>
    </xf>
    <xf numFmtId="0" fontId="48" fillId="0" borderId="0" xfId="3" applyFont="1" applyFill="1" applyAlignment="1">
      <alignment horizontal="right" vertical="center"/>
    </xf>
    <xf numFmtId="41" fontId="0" fillId="8" borderId="361" xfId="1" applyFont="1" applyFill="1" applyBorder="1" applyAlignment="1">
      <alignment vertical="center" wrapText="1"/>
    </xf>
    <xf numFmtId="0" fontId="49" fillId="0" borderId="0" xfId="3" applyFont="1" applyFill="1" applyAlignment="1">
      <alignment horizontal="right" vertical="center"/>
    </xf>
    <xf numFmtId="41" fontId="0" fillId="8" borderId="362" xfId="1" applyFont="1" applyFill="1" applyBorder="1" applyAlignment="1">
      <alignment horizontal="right" vertical="center"/>
    </xf>
    <xf numFmtId="0" fontId="0" fillId="8" borderId="363" xfId="1" applyNumberFormat="1" applyFont="1" applyFill="1" applyBorder="1" applyAlignment="1">
      <alignment vertical="center" wrapText="1"/>
    </xf>
    <xf numFmtId="41" fontId="0" fillId="8" borderId="363" xfId="1" applyFont="1" applyFill="1" applyBorder="1" applyAlignment="1">
      <alignment horizontal="left" vertical="center" wrapText="1"/>
    </xf>
    <xf numFmtId="41" fontId="0" fillId="8" borderId="363" xfId="1" applyFont="1" applyFill="1" applyBorder="1" applyAlignment="1">
      <alignment horizontal="left" vertical="center"/>
    </xf>
    <xf numFmtId="9" fontId="0" fillId="8" borderId="363" xfId="1" applyNumberFormat="1" applyFont="1" applyFill="1" applyBorder="1" applyAlignment="1">
      <alignment horizontal="center" vertical="center"/>
    </xf>
    <xf numFmtId="41" fontId="0" fillId="8" borderId="363" xfId="1" applyFont="1" applyFill="1" applyBorder="1" applyAlignment="1">
      <alignment vertical="center" wrapText="1"/>
    </xf>
    <xf numFmtId="41" fontId="49" fillId="8" borderId="361" xfId="1" applyFont="1" applyFill="1" applyBorder="1" applyAlignment="1">
      <alignment horizontal="left" vertical="center"/>
    </xf>
    <xf numFmtId="41" fontId="49" fillId="8" borderId="363" xfId="1" applyFont="1" applyFill="1" applyBorder="1" applyAlignment="1">
      <alignment horizontal="left" vertical="center"/>
    </xf>
    <xf numFmtId="41" fontId="49" fillId="8" borderId="364" xfId="1" applyFont="1" applyFill="1" applyBorder="1" applyAlignment="1">
      <alignment horizontal="left" vertical="center"/>
    </xf>
    <xf numFmtId="41" fontId="0" fillId="8" borderId="364" xfId="1" applyFont="1" applyFill="1" applyBorder="1" applyAlignment="1">
      <alignment vertical="center" wrapText="1"/>
    </xf>
    <xf numFmtId="41" fontId="0" fillId="8" borderId="98" xfId="1" applyFont="1" applyFill="1" applyBorder="1" applyAlignment="1">
      <alignment vertical="center" wrapText="1"/>
    </xf>
    <xf numFmtId="41" fontId="0" fillId="8" borderId="98" xfId="1" applyNumberFormat="1" applyFont="1" applyFill="1" applyBorder="1" applyAlignment="1">
      <alignment vertical="center" wrapText="1"/>
    </xf>
    <xf numFmtId="41" fontId="0" fillId="8" borderId="361" xfId="1" applyFont="1" applyFill="1" applyBorder="1" applyAlignment="1">
      <alignment horizontal="left" vertical="center" wrapText="1"/>
    </xf>
    <xf numFmtId="41" fontId="52" fillId="0" borderId="363" xfId="1" applyFont="1" applyFill="1" applyBorder="1" applyAlignment="1">
      <alignment horizontal="left" vertical="center"/>
    </xf>
    <xf numFmtId="41" fontId="52" fillId="0" borderId="363" xfId="1" applyFont="1" applyFill="1" applyBorder="1" applyAlignment="1">
      <alignment horizontal="left" vertical="center" wrapText="1"/>
    </xf>
    <xf numFmtId="41" fontId="49" fillId="0" borderId="363" xfId="1" applyFont="1" applyFill="1" applyBorder="1" applyAlignment="1">
      <alignment horizontal="left" vertical="center"/>
    </xf>
    <xf numFmtId="41" fontId="0" fillId="0" borderId="363" xfId="1" applyFont="1" applyFill="1" applyBorder="1" applyAlignment="1">
      <alignment vertical="center" wrapText="1"/>
    </xf>
    <xf numFmtId="41" fontId="52" fillId="8" borderId="363" xfId="1" applyFont="1" applyFill="1" applyBorder="1" applyAlignment="1">
      <alignment horizontal="left" vertical="center"/>
    </xf>
    <xf numFmtId="0" fontId="49" fillId="0" borderId="0" xfId="3" applyFont="1" applyAlignment="1">
      <alignment horizontal="right" vertical="center"/>
    </xf>
    <xf numFmtId="41" fontId="30" fillId="8" borderId="363" xfId="1" applyFont="1" applyFill="1" applyBorder="1" applyAlignment="1">
      <alignment horizontal="left" vertical="center"/>
    </xf>
    <xf numFmtId="41" fontId="0" fillId="0" borderId="363" xfId="1" applyFont="1" applyFill="1" applyBorder="1" applyAlignment="1">
      <alignment horizontal="left" vertical="center"/>
    </xf>
    <xf numFmtId="41" fontId="49" fillId="8" borderId="365" xfId="1" applyFont="1" applyFill="1" applyBorder="1" applyAlignment="1">
      <alignment horizontal="right" vertical="center"/>
    </xf>
    <xf numFmtId="41" fontId="49" fillId="0" borderId="361" xfId="1" applyFont="1" applyFill="1" applyBorder="1" applyAlignment="1">
      <alignment horizontal="right" vertical="center"/>
    </xf>
    <xf numFmtId="41" fontId="0" fillId="0" borderId="363" xfId="1" applyFont="1" applyFill="1" applyBorder="1" applyAlignment="1">
      <alignment horizontal="left" vertical="center" wrapText="1"/>
    </xf>
    <xf numFmtId="41" fontId="0" fillId="8" borderId="99" xfId="1" applyFont="1" applyFill="1" applyBorder="1" applyAlignment="1">
      <alignment vertical="center" wrapText="1"/>
    </xf>
    <xf numFmtId="41" fontId="0" fillId="0" borderId="361" xfId="1" applyFont="1" applyFill="1" applyBorder="1" applyAlignment="1">
      <alignment horizontal="left" vertical="center" wrapText="1"/>
    </xf>
    <xf numFmtId="41" fontId="0" fillId="0" borderId="364" xfId="1" applyFont="1" applyFill="1" applyBorder="1" applyAlignment="1">
      <alignment horizontal="left" vertical="center" wrapText="1"/>
    </xf>
    <xf numFmtId="41" fontId="0" fillId="8" borderId="362" xfId="1" applyFont="1" applyFill="1" applyBorder="1" applyAlignment="1">
      <alignment horizontal="right" vertical="center" wrapText="1"/>
    </xf>
    <xf numFmtId="41" fontId="0" fillId="0" borderId="362" xfId="1" applyFont="1" applyFill="1" applyBorder="1" applyAlignment="1">
      <alignment horizontal="left" vertical="center" wrapText="1"/>
    </xf>
    <xf numFmtId="41" fontId="0" fillId="0" borderId="362" xfId="1" applyFont="1" applyFill="1" applyBorder="1" applyAlignment="1">
      <alignment horizontal="right" vertical="center" wrapText="1"/>
    </xf>
    <xf numFmtId="41" fontId="49" fillId="0" borderId="363" xfId="1" applyFont="1" applyFill="1" applyBorder="1" applyAlignment="1">
      <alignment vertical="center" wrapText="1"/>
    </xf>
    <xf numFmtId="41" fontId="49" fillId="8" borderId="362" xfId="1" applyFont="1" applyFill="1" applyBorder="1" applyAlignment="1">
      <alignment vertical="center" wrapText="1"/>
    </xf>
    <xf numFmtId="0" fontId="0" fillId="8" borderId="362" xfId="1" applyNumberFormat="1" applyFont="1" applyFill="1" applyBorder="1" applyAlignment="1">
      <alignment horizontal="left" vertical="center" wrapText="1"/>
    </xf>
    <xf numFmtId="41" fontId="0" fillId="0" borderId="363" xfId="1" applyFont="1" applyFill="1" applyBorder="1" applyAlignment="1">
      <alignment horizontal="right" vertical="center" wrapText="1"/>
    </xf>
    <xf numFmtId="166" fontId="26" fillId="0" borderId="0" xfId="1" applyNumberFormat="1" applyFont="1" applyAlignment="1">
      <alignment vertical="center"/>
    </xf>
    <xf numFmtId="166" fontId="26" fillId="0" borderId="0" xfId="1" applyNumberFormat="1" applyFont="1" applyFill="1" applyAlignment="1">
      <alignment vertical="center"/>
    </xf>
    <xf numFmtId="166" fontId="48" fillId="0" borderId="0" xfId="1" applyNumberFormat="1" applyFont="1" applyFill="1" applyAlignment="1">
      <alignment vertical="center"/>
    </xf>
    <xf numFmtId="166" fontId="49" fillId="0" borderId="0" xfId="1" applyNumberFormat="1" applyFont="1" applyFill="1" applyAlignment="1">
      <alignment vertical="center"/>
    </xf>
    <xf numFmtId="41" fontId="49" fillId="0" borderId="0" xfId="3" applyNumberFormat="1" applyFont="1" applyFill="1" applyAlignment="1">
      <alignment vertical="center"/>
    </xf>
    <xf numFmtId="41" fontId="48" fillId="0" borderId="0" xfId="3" applyNumberFormat="1" applyFont="1" applyFill="1" applyAlignment="1">
      <alignment vertical="center"/>
    </xf>
    <xf numFmtId="166" fontId="49" fillId="0" borderId="0" xfId="1" applyNumberFormat="1" applyFont="1" applyAlignment="1">
      <alignment vertical="center"/>
    </xf>
    <xf numFmtId="0" fontId="49" fillId="0" borderId="100" xfId="3" applyFont="1" applyFill="1" applyBorder="1" applyAlignment="1">
      <alignment horizontal="left" vertical="center" wrapText="1"/>
    </xf>
    <xf numFmtId="0" fontId="49" fillId="0" borderId="363" xfId="3" applyFont="1" applyFill="1" applyBorder="1" applyAlignment="1">
      <alignment horizontal="center" vertical="center" wrapText="1"/>
    </xf>
    <xf numFmtId="0" fontId="48" fillId="0" borderId="100" xfId="3" applyFont="1" applyFill="1" applyBorder="1" applyAlignment="1">
      <alignment horizontal="center" vertical="center"/>
    </xf>
    <xf numFmtId="0" fontId="49" fillId="0" borderId="361" xfId="3" applyFont="1" applyFill="1" applyBorder="1" applyAlignment="1">
      <alignment horizontal="center" vertical="center" wrapText="1"/>
    </xf>
    <xf numFmtId="0" fontId="49" fillId="0" borderId="362" xfId="3" applyFont="1" applyFill="1" applyBorder="1" applyAlignment="1">
      <alignment horizontal="center" vertical="center" wrapText="1"/>
    </xf>
    <xf numFmtId="0" fontId="49" fillId="0" borderId="364" xfId="3" applyFont="1" applyFill="1" applyBorder="1" applyAlignment="1">
      <alignment horizontal="center" vertical="center" wrapText="1"/>
    </xf>
    <xf numFmtId="0" fontId="26" fillId="0" borderId="104" xfId="3" applyFont="1" applyFill="1" applyBorder="1" applyAlignment="1">
      <alignment horizontal="left" vertical="center"/>
    </xf>
    <xf numFmtId="0" fontId="26" fillId="0" borderId="104" xfId="3" applyFont="1" applyFill="1" applyBorder="1" applyAlignment="1">
      <alignment horizontal="center" vertical="center"/>
    </xf>
    <xf numFmtId="0" fontId="26" fillId="0" borderId="104" xfId="3" applyFont="1" applyFill="1" applyBorder="1" applyAlignment="1">
      <alignment vertical="center"/>
    </xf>
    <xf numFmtId="0" fontId="26" fillId="0" borderId="100" xfId="3" applyFont="1" applyFill="1" applyBorder="1" applyAlignment="1">
      <alignment vertical="center"/>
    </xf>
    <xf numFmtId="0" fontId="26" fillId="0" borderId="100" xfId="3" applyFont="1" applyFill="1" applyBorder="1" applyAlignment="1">
      <alignment horizontal="center" vertical="center"/>
    </xf>
    <xf numFmtId="0" fontId="26" fillId="0" borderId="100" xfId="3" applyFont="1" applyFill="1" applyBorder="1" applyAlignment="1">
      <alignment horizontal="left" vertical="center"/>
    </xf>
    <xf numFmtId="0" fontId="26" fillId="36" borderId="98" xfId="3" applyFont="1" applyFill="1" applyBorder="1" applyAlignment="1">
      <alignment horizontal="center" vertical="center"/>
    </xf>
    <xf numFmtId="0" fontId="26" fillId="6" borderId="100" xfId="3" applyFont="1" applyFill="1" applyBorder="1" applyAlignment="1">
      <alignment horizontal="center" vertical="center"/>
    </xf>
    <xf numFmtId="0" fontId="26" fillId="36" borderId="100" xfId="3" applyFont="1" applyFill="1" applyBorder="1" applyAlignment="1">
      <alignment horizontal="center" vertical="center"/>
    </xf>
    <xf numFmtId="41" fontId="0" fillId="0" borderId="365" xfId="1" applyFont="1" applyFill="1" applyBorder="1" applyAlignment="1">
      <alignment horizontal="center" vertical="center" wrapText="1"/>
    </xf>
    <xf numFmtId="41" fontId="0" fillId="0" borderId="361" xfId="1" applyFont="1" applyFill="1" applyBorder="1" applyAlignment="1">
      <alignment horizontal="center" vertical="center" wrapText="1"/>
    </xf>
    <xf numFmtId="41" fontId="49" fillId="0" borderId="361" xfId="1" applyFont="1" applyFill="1" applyBorder="1" applyAlignment="1">
      <alignment horizontal="right" vertical="center" wrapText="1"/>
    </xf>
    <xf numFmtId="41" fontId="49" fillId="0" borderId="361" xfId="1" applyNumberFormat="1" applyFont="1" applyFill="1" applyBorder="1" applyAlignment="1">
      <alignment horizontal="right" vertical="center" wrapText="1"/>
    </xf>
    <xf numFmtId="0" fontId="49" fillId="0" borderId="361" xfId="3" applyFont="1" applyFill="1" applyBorder="1" applyAlignment="1">
      <alignment vertical="center"/>
    </xf>
    <xf numFmtId="41" fontId="0" fillId="8" borderId="362" xfId="1" applyFont="1" applyFill="1" applyBorder="1" applyAlignment="1">
      <alignment horizontal="center" vertical="center" wrapText="1"/>
    </xf>
    <xf numFmtId="41" fontId="51" fillId="0" borderId="362" xfId="1" applyFont="1" applyFill="1" applyBorder="1" applyAlignment="1">
      <alignment horizontal="center" vertical="center" wrapText="1"/>
    </xf>
    <xf numFmtId="41" fontId="0" fillId="8" borderId="363" xfId="1" applyFont="1" applyFill="1" applyBorder="1" applyAlignment="1">
      <alignment horizontal="center" vertical="center" wrapText="1"/>
    </xf>
    <xf numFmtId="41" fontId="0" fillId="8" borderId="104" xfId="1" applyFont="1" applyFill="1" applyBorder="1" applyAlignment="1">
      <alignment horizontal="right" vertical="center" wrapText="1"/>
    </xf>
    <xf numFmtId="41" fontId="49" fillId="8" borderId="104" xfId="1" applyFont="1" applyFill="1" applyBorder="1" applyAlignment="1">
      <alignment horizontal="right" vertical="center" wrapText="1"/>
    </xf>
    <xf numFmtId="41" fontId="26" fillId="8" borderId="100" xfId="1" applyNumberFormat="1" applyFont="1" applyFill="1" applyBorder="1" applyAlignment="1">
      <alignment horizontal="right" vertical="center"/>
    </xf>
    <xf numFmtId="41" fontId="48" fillId="8" borderId="100" xfId="1" applyNumberFormat="1" applyFont="1" applyFill="1" applyBorder="1" applyAlignment="1">
      <alignment horizontal="right" vertical="center"/>
    </xf>
    <xf numFmtId="0" fontId="49" fillId="0" borderId="365" xfId="3" applyFont="1" applyFill="1" applyBorder="1" applyAlignment="1">
      <alignment horizontal="center" vertical="center" wrapText="1"/>
    </xf>
    <xf numFmtId="0" fontId="49" fillId="0" borderId="365" xfId="3" applyFont="1" applyFill="1" applyBorder="1" applyAlignment="1">
      <alignment horizontal="left" vertical="center" wrapText="1"/>
    </xf>
    <xf numFmtId="41" fontId="0" fillId="8" borderId="365" xfId="1" applyFont="1" applyFill="1" applyBorder="1" applyAlignment="1">
      <alignment horizontal="left" vertical="center" wrapText="1"/>
    </xf>
    <xf numFmtId="41" fontId="0" fillId="0" borderId="361" xfId="1" applyFont="1" applyFill="1" applyBorder="1" applyAlignment="1">
      <alignment horizontal="right" vertical="center" wrapText="1"/>
    </xf>
    <xf numFmtId="41" fontId="30" fillId="0" borderId="361" xfId="1" applyFont="1" applyFill="1" applyBorder="1" applyAlignment="1">
      <alignment horizontal="center" vertical="center" wrapText="1"/>
    </xf>
    <xf numFmtId="41" fontId="30" fillId="0" borderId="363" xfId="1" applyFont="1" applyFill="1" applyBorder="1" applyAlignment="1">
      <alignment horizontal="center" vertical="center" wrapText="1"/>
    </xf>
    <xf numFmtId="41" fontId="0" fillId="8" borderId="365" xfId="1" applyFont="1" applyFill="1" applyBorder="1" applyAlignment="1">
      <alignment horizontal="right" vertical="center" wrapText="1"/>
    </xf>
    <xf numFmtId="41" fontId="49" fillId="8" borderId="365" xfId="1" applyFont="1" applyFill="1" applyBorder="1" applyAlignment="1">
      <alignment horizontal="right" vertical="center" wrapText="1"/>
    </xf>
    <xf numFmtId="41" fontId="49" fillId="8" borderId="365" xfId="1" applyNumberFormat="1" applyFont="1" applyFill="1" applyBorder="1" applyAlignment="1">
      <alignment horizontal="right" vertical="center" wrapText="1"/>
    </xf>
    <xf numFmtId="41" fontId="26" fillId="0" borderId="361" xfId="1" applyNumberFormat="1" applyFont="1" applyFill="1" applyBorder="1" applyAlignment="1">
      <alignment horizontal="right" vertical="center"/>
    </xf>
    <xf numFmtId="0" fontId="49" fillId="0" borderId="100" xfId="3" applyFont="1" applyFill="1" applyBorder="1" applyAlignment="1">
      <alignment vertical="center" wrapText="1"/>
    </xf>
    <xf numFmtId="41" fontId="0" fillId="0" borderId="361" xfId="1" applyNumberFormat="1" applyFont="1" applyFill="1" applyBorder="1" applyAlignment="1">
      <alignment horizontal="right" vertical="center"/>
    </xf>
    <xf numFmtId="41" fontId="49" fillId="8" borderId="100" xfId="1" applyFont="1" applyFill="1" applyBorder="1" applyAlignment="1">
      <alignment horizontal="right" vertical="center" wrapText="1"/>
    </xf>
    <xf numFmtId="41" fontId="49" fillId="8" borderId="100" xfId="1" applyNumberFormat="1" applyFont="1" applyFill="1" applyBorder="1" applyAlignment="1">
      <alignment horizontal="right" vertical="center" wrapText="1"/>
    </xf>
    <xf numFmtId="41" fontId="49" fillId="8" borderId="98" xfId="1" applyNumberFormat="1" applyFont="1" applyFill="1" applyBorder="1" applyAlignment="1">
      <alignment horizontal="center" vertical="center"/>
    </xf>
    <xf numFmtId="41" fontId="0" fillId="8" borderId="98" xfId="1" applyNumberFormat="1" applyFont="1" applyFill="1" applyBorder="1" applyAlignment="1">
      <alignment horizontal="center" vertical="center"/>
    </xf>
    <xf numFmtId="41" fontId="26" fillId="36" borderId="98" xfId="1" applyNumberFormat="1" applyFont="1" applyFill="1" applyBorder="1" applyAlignment="1">
      <alignment horizontal="right" vertical="center" wrapText="1"/>
    </xf>
    <xf numFmtId="41" fontId="26" fillId="0" borderId="98" xfId="1" applyNumberFormat="1" applyFont="1" applyFill="1" applyBorder="1" applyAlignment="1">
      <alignment horizontal="center" vertical="center"/>
    </xf>
    <xf numFmtId="41" fontId="0" fillId="8" borderId="100" xfId="1" applyFont="1" applyFill="1" applyBorder="1" applyAlignment="1">
      <alignment horizontal="right" vertical="center" wrapText="1"/>
    </xf>
    <xf numFmtId="41" fontId="0" fillId="0" borderId="100" xfId="1" applyFont="1" applyFill="1" applyBorder="1" applyAlignment="1">
      <alignment horizontal="center" vertical="center" wrapText="1"/>
    </xf>
    <xf numFmtId="41" fontId="0" fillId="0" borderId="363" xfId="1" applyNumberFormat="1" applyFont="1" applyFill="1" applyBorder="1" applyAlignment="1">
      <alignment horizontal="right" vertical="center"/>
    </xf>
    <xf numFmtId="41" fontId="49" fillId="0" borderId="363" xfId="1" applyNumberFormat="1" applyFont="1" applyFill="1" applyBorder="1" applyAlignment="1">
      <alignment horizontal="right" vertical="center"/>
    </xf>
    <xf numFmtId="41" fontId="0" fillId="0" borderId="363" xfId="1" applyNumberFormat="1" applyFont="1" applyFill="1" applyBorder="1" applyAlignment="1">
      <alignment horizontal="center" vertical="center"/>
    </xf>
    <xf numFmtId="41" fontId="51" fillId="0" borderId="363" xfId="1" applyNumberFormat="1" applyFont="1" applyFill="1" applyBorder="1" applyAlignment="1">
      <alignment horizontal="center" vertical="center"/>
    </xf>
    <xf numFmtId="41" fontId="49" fillId="0" borderId="363" xfId="1" applyNumberFormat="1" applyFont="1" applyFill="1" applyBorder="1" applyAlignment="1">
      <alignment horizontal="left" vertical="center" wrapText="1"/>
    </xf>
    <xf numFmtId="41" fontId="49" fillId="0" borderId="362" xfId="1" applyNumberFormat="1" applyFont="1" applyFill="1" applyBorder="1" applyAlignment="1">
      <alignment horizontal="left" vertical="center" wrapText="1"/>
    </xf>
    <xf numFmtId="41" fontId="49" fillId="0" borderId="362" xfId="1" applyNumberFormat="1" applyFont="1" applyFill="1" applyBorder="1" applyAlignment="1">
      <alignment horizontal="right" vertical="center"/>
    </xf>
    <xf numFmtId="41" fontId="0" fillId="0" borderId="362" xfId="1" applyNumberFormat="1" applyFont="1" applyFill="1" applyBorder="1" applyAlignment="1">
      <alignment horizontal="center" vertical="center"/>
    </xf>
    <xf numFmtId="41" fontId="0" fillId="0" borderId="104" xfId="1" applyNumberFormat="1" applyFont="1" applyFill="1" applyBorder="1" applyAlignment="1">
      <alignment horizontal="right" vertical="center"/>
    </xf>
    <xf numFmtId="41" fontId="49" fillId="0" borderId="104" xfId="1" applyNumberFormat="1" applyFont="1" applyFill="1" applyBorder="1" applyAlignment="1">
      <alignment horizontal="left" vertical="center" wrapText="1"/>
    </xf>
    <xf numFmtId="41" fontId="49" fillId="0" borderId="104" xfId="1" applyNumberFormat="1" applyFont="1" applyFill="1" applyBorder="1" applyAlignment="1">
      <alignment horizontal="right" vertical="center"/>
    </xf>
    <xf numFmtId="41" fontId="0" fillId="0" borderId="99" xfId="1" applyNumberFormat="1" applyFont="1" applyFill="1" applyBorder="1" applyAlignment="1">
      <alignment horizontal="right" vertical="center"/>
    </xf>
    <xf numFmtId="0" fontId="26" fillId="36" borderId="100" xfId="3" applyFont="1" applyFill="1" applyBorder="1" applyAlignment="1">
      <alignment horizontal="left" vertical="center"/>
    </xf>
    <xf numFmtId="0" fontId="26" fillId="36" borderId="100" xfId="3" applyFont="1" applyFill="1" applyBorder="1" applyAlignment="1">
      <alignment horizontal="center" vertical="center" wrapText="1"/>
    </xf>
    <xf numFmtId="41" fontId="26" fillId="36" borderId="98" xfId="1" applyNumberFormat="1" applyFont="1" applyFill="1" applyBorder="1" applyAlignment="1">
      <alignment horizontal="left" vertical="center" wrapText="1"/>
    </xf>
    <xf numFmtId="41" fontId="26" fillId="36" borderId="100" xfId="1" applyNumberFormat="1" applyFont="1" applyFill="1" applyBorder="1" applyAlignment="1">
      <alignment horizontal="left" vertical="center" wrapText="1"/>
    </xf>
    <xf numFmtId="41" fontId="30" fillId="8" borderId="361" xfId="1" applyFont="1" applyFill="1" applyBorder="1" applyAlignment="1">
      <alignment horizontal="right" vertical="center" wrapText="1"/>
    </xf>
    <xf numFmtId="41" fontId="52" fillId="8" borderId="361" xfId="1" applyFont="1" applyFill="1" applyBorder="1" applyAlignment="1">
      <alignment horizontal="right" vertical="center" wrapText="1"/>
    </xf>
    <xf numFmtId="41" fontId="52" fillId="8" borderId="361" xfId="1" applyNumberFormat="1" applyFont="1" applyFill="1" applyBorder="1" applyAlignment="1">
      <alignment horizontal="right" vertical="center" wrapText="1"/>
    </xf>
    <xf numFmtId="41" fontId="51" fillId="8" borderId="361" xfId="1" applyFont="1" applyFill="1" applyBorder="1" applyAlignment="1">
      <alignment horizontal="center" vertical="center" wrapText="1"/>
    </xf>
    <xf numFmtId="41" fontId="0" fillId="0" borderId="365" xfId="1" applyFont="1" applyFill="1" applyBorder="1" applyAlignment="1">
      <alignment horizontal="right" vertical="center" wrapText="1"/>
    </xf>
    <xf numFmtId="41" fontId="0" fillId="0" borderId="100" xfId="1" applyFont="1" applyFill="1" applyBorder="1" applyAlignment="1">
      <alignment horizontal="left" vertical="center" wrapText="1"/>
    </xf>
    <xf numFmtId="41" fontId="0" fillId="0" borderId="100" xfId="1" applyFont="1" applyFill="1" applyBorder="1" applyAlignment="1">
      <alignment horizontal="left" vertical="center"/>
    </xf>
    <xf numFmtId="41" fontId="49" fillId="0" borderId="366" xfId="3" applyNumberFormat="1" applyFont="1" applyFill="1" applyBorder="1" applyAlignment="1">
      <alignment vertical="center"/>
    </xf>
    <xf numFmtId="41" fontId="0" fillId="8" borderId="99" xfId="1" applyFont="1" applyFill="1" applyBorder="1" applyAlignment="1">
      <alignment horizontal="left" vertical="center" wrapText="1"/>
    </xf>
    <xf numFmtId="41" fontId="49" fillId="0" borderId="362" xfId="1" applyFont="1" applyFill="1" applyBorder="1" applyAlignment="1">
      <alignment horizontal="center" vertical="center" wrapText="1"/>
    </xf>
    <xf numFmtId="41" fontId="0" fillId="0" borderId="362" xfId="1" applyFont="1" applyFill="1" applyBorder="1" applyAlignment="1">
      <alignment vertical="center" wrapText="1"/>
    </xf>
    <xf numFmtId="41" fontId="49" fillId="8" borderId="362" xfId="1" applyFont="1" applyFill="1" applyBorder="1" applyAlignment="1">
      <alignment horizontal="center" vertical="center" wrapText="1"/>
    </xf>
    <xf numFmtId="41" fontId="49" fillId="8" borderId="363" xfId="1" applyFont="1" applyFill="1" applyBorder="1" applyAlignment="1">
      <alignment vertical="center" wrapText="1"/>
    </xf>
    <xf numFmtId="41" fontId="0" fillId="8" borderId="362" xfId="1" applyFont="1" applyFill="1" applyBorder="1" applyAlignment="1">
      <alignment horizontal="left" vertical="center" wrapText="1"/>
    </xf>
    <xf numFmtId="41" fontId="49" fillId="8" borderId="100" xfId="1" applyNumberFormat="1" applyFont="1" applyFill="1" applyBorder="1" applyAlignment="1">
      <alignment horizontal="center" vertical="center"/>
    </xf>
    <xf numFmtId="41" fontId="0" fillId="36" borderId="98" xfId="1" applyNumberFormat="1" applyFont="1" applyFill="1" applyBorder="1" applyAlignment="1">
      <alignment vertical="center" wrapText="1"/>
    </xf>
    <xf numFmtId="41" fontId="26" fillId="0" borderId="98" xfId="1" applyNumberFormat="1" applyFont="1" applyFill="1" applyBorder="1" applyAlignment="1">
      <alignment vertical="center"/>
    </xf>
    <xf numFmtId="41" fontId="0" fillId="8" borderId="100" xfId="1" applyFont="1" applyFill="1" applyBorder="1" applyAlignment="1">
      <alignment horizontal="left" vertical="center" wrapText="1"/>
    </xf>
    <xf numFmtId="41" fontId="0" fillId="8" borderId="100" xfId="1" applyFont="1" applyFill="1" applyBorder="1" applyAlignment="1">
      <alignment vertical="center" wrapText="1"/>
    </xf>
    <xf numFmtId="41" fontId="0" fillId="0" borderId="363" xfId="1" applyNumberFormat="1" applyFont="1" applyFill="1" applyBorder="1" applyAlignment="1">
      <alignment vertical="center" wrapText="1"/>
    </xf>
    <xf numFmtId="41" fontId="0" fillId="0" borderId="363" xfId="1" applyNumberFormat="1" applyFont="1" applyFill="1" applyBorder="1" applyAlignment="1">
      <alignment horizontal="left" vertical="center" wrapText="1"/>
    </xf>
    <xf numFmtId="41" fontId="0" fillId="0" borderId="363" xfId="1" applyNumberFormat="1" applyFont="1" applyFill="1" applyBorder="1" applyAlignment="1">
      <alignment horizontal="left" vertical="center"/>
    </xf>
    <xf numFmtId="41" fontId="0" fillId="0" borderId="362" xfId="1" applyNumberFormat="1" applyFont="1" applyFill="1" applyBorder="1" applyAlignment="1">
      <alignment horizontal="left" vertical="center" wrapText="1"/>
    </xf>
    <xf numFmtId="41" fontId="0" fillId="0" borderId="362" xfId="1" applyNumberFormat="1" applyFont="1" applyFill="1" applyBorder="1" applyAlignment="1">
      <alignment vertical="center" wrapText="1"/>
    </xf>
    <xf numFmtId="41" fontId="0" fillId="0" borderId="104" xfId="1" applyNumberFormat="1" applyFont="1" applyFill="1" applyBorder="1" applyAlignment="1">
      <alignment horizontal="left" vertical="center" wrapText="1"/>
    </xf>
    <xf numFmtId="41" fontId="0" fillId="0" borderId="104" xfId="1" applyNumberFormat="1" applyFont="1" applyFill="1" applyBorder="1" applyAlignment="1">
      <alignment vertical="center" wrapText="1"/>
    </xf>
    <xf numFmtId="9" fontId="0" fillId="8" borderId="98" xfId="1" applyNumberFormat="1" applyFont="1" applyFill="1" applyBorder="1" applyAlignment="1">
      <alignment horizontal="center" vertical="center"/>
    </xf>
    <xf numFmtId="166" fontId="26" fillId="0" borderId="0" xfId="1" applyNumberFormat="1" applyFont="1" applyFill="1" applyAlignment="1">
      <alignment horizontal="left" vertical="center"/>
    </xf>
    <xf numFmtId="164" fontId="26" fillId="0" borderId="0" xfId="3" applyNumberFormat="1" applyFont="1" applyFill="1" applyAlignment="1">
      <alignment vertical="center"/>
    </xf>
    <xf numFmtId="41" fontId="26" fillId="0" borderId="0" xfId="3" applyNumberFormat="1" applyFont="1" applyFill="1" applyAlignment="1">
      <alignment vertical="center"/>
    </xf>
    <xf numFmtId="0" fontId="0" fillId="8" borderId="100" xfId="3" applyFont="1" applyFill="1" applyBorder="1" applyAlignment="1">
      <alignment vertical="center"/>
    </xf>
    <xf numFmtId="0" fontId="0" fillId="8" borderId="100" xfId="3" applyFont="1" applyFill="1" applyBorder="1" applyAlignment="1">
      <alignment horizontal="center" vertical="center"/>
    </xf>
    <xf numFmtId="0" fontId="49" fillId="0" borderId="98" xfId="3" applyFont="1" applyFill="1" applyBorder="1" applyAlignment="1">
      <alignment horizontal="left" vertical="center" wrapText="1"/>
    </xf>
    <xf numFmtId="0" fontId="26" fillId="0" borderId="104" xfId="3" applyFont="1" applyBorder="1" applyAlignment="1">
      <alignment vertical="center"/>
    </xf>
    <xf numFmtId="0" fontId="26" fillId="6" borderId="100" xfId="3" applyFont="1" applyFill="1" applyBorder="1" applyAlignment="1">
      <alignment horizontal="left" vertical="center"/>
    </xf>
    <xf numFmtId="0" fontId="26" fillId="6" borderId="100" xfId="3" applyFont="1" applyFill="1" applyBorder="1" applyAlignment="1">
      <alignment horizontal="center" vertical="center" wrapText="1"/>
    </xf>
    <xf numFmtId="0" fontId="26" fillId="0" borderId="104" xfId="3" applyFont="1" applyFill="1" applyBorder="1" applyAlignment="1">
      <alignment vertical="center" wrapText="1"/>
    </xf>
    <xf numFmtId="0" fontId="26" fillId="0" borderId="104" xfId="3" applyFont="1" applyFill="1" applyBorder="1" applyAlignment="1">
      <alignment horizontal="center" vertical="center" wrapText="1"/>
    </xf>
    <xf numFmtId="0" fontId="49" fillId="0" borderId="104" xfId="3" applyFont="1" applyFill="1" applyBorder="1" applyAlignment="1">
      <alignment horizontal="left" vertical="center"/>
    </xf>
    <xf numFmtId="0" fontId="49" fillId="0" borderId="100" xfId="3" applyFont="1" applyFill="1" applyBorder="1" applyAlignment="1">
      <alignment horizontal="left" vertical="center"/>
    </xf>
    <xf numFmtId="0" fontId="0" fillId="0" borderId="104" xfId="3" applyFont="1" applyBorder="1" applyAlignment="1">
      <alignment vertical="center"/>
    </xf>
    <xf numFmtId="0" fontId="0" fillId="0" borderId="104" xfId="3" applyFont="1" applyBorder="1" applyAlignment="1">
      <alignment horizontal="center" vertical="center"/>
    </xf>
    <xf numFmtId="0" fontId="49" fillId="0" borderId="99" xfId="0" applyFont="1" applyFill="1" applyBorder="1" applyAlignment="1">
      <alignment horizontal="center" vertical="center"/>
    </xf>
    <xf numFmtId="0" fontId="49" fillId="0" borderId="361" xfId="0" applyFont="1" applyFill="1" applyBorder="1" applyAlignment="1">
      <alignment horizontal="center" vertical="center"/>
    </xf>
    <xf numFmtId="0" fontId="49" fillId="0" borderId="104" xfId="0" applyFont="1" applyFill="1" applyBorder="1" applyAlignment="1">
      <alignment horizontal="center" vertical="center"/>
    </xf>
    <xf numFmtId="0" fontId="49" fillId="0" borderId="100" xfId="0" applyFont="1" applyFill="1" applyBorder="1" applyAlignment="1">
      <alignment horizontal="center" vertical="center"/>
    </xf>
    <xf numFmtId="0" fontId="49" fillId="0" borderId="364" xfId="0" applyFont="1" applyFill="1" applyBorder="1" applyAlignment="1">
      <alignment horizontal="center" vertical="center"/>
    </xf>
    <xf numFmtId="0" fontId="49" fillId="0" borderId="100" xfId="3" applyFont="1" applyBorder="1" applyAlignment="1">
      <alignment horizontal="center" vertical="center"/>
    </xf>
    <xf numFmtId="41" fontId="30" fillId="8" borderId="363" xfId="1" applyFont="1" applyFill="1" applyBorder="1" applyAlignment="1">
      <alignment horizontal="right" vertical="center" wrapText="1"/>
    </xf>
    <xf numFmtId="41" fontId="52" fillId="8" borderId="363" xfId="1" applyFont="1" applyFill="1" applyBorder="1" applyAlignment="1">
      <alignment horizontal="right" vertical="center" wrapText="1"/>
    </xf>
    <xf numFmtId="41" fontId="52" fillId="8" borderId="363" xfId="1" applyNumberFormat="1" applyFont="1" applyFill="1" applyBorder="1" applyAlignment="1">
      <alignment horizontal="right" vertical="center" wrapText="1"/>
    </xf>
    <xf numFmtId="41" fontId="30" fillId="8" borderId="365" xfId="1" applyFont="1" applyFill="1" applyBorder="1" applyAlignment="1">
      <alignment horizontal="right" vertical="center" wrapText="1"/>
    </xf>
    <xf numFmtId="41" fontId="52" fillId="8" borderId="365" xfId="1" applyFont="1" applyFill="1" applyBorder="1" applyAlignment="1">
      <alignment horizontal="right" vertical="center" wrapText="1"/>
    </xf>
    <xf numFmtId="41" fontId="52" fillId="8" borderId="365" xfId="1" applyNumberFormat="1" applyFont="1" applyFill="1" applyBorder="1" applyAlignment="1">
      <alignment horizontal="right" vertical="center" wrapText="1"/>
    </xf>
    <xf numFmtId="41" fontId="48" fillId="8" borderId="98" xfId="1" applyNumberFormat="1" applyFont="1" applyFill="1" applyBorder="1" applyAlignment="1">
      <alignment horizontal="center" vertical="center"/>
    </xf>
    <xf numFmtId="41" fontId="0" fillId="0" borderId="362" xfId="1" applyNumberFormat="1" applyFont="1" applyFill="1" applyBorder="1" applyAlignment="1">
      <alignment horizontal="right" vertical="center" wrapText="1"/>
    </xf>
    <xf numFmtId="41" fontId="0" fillId="0" borderId="364" xfId="1" applyNumberFormat="1" applyFont="1" applyFill="1" applyBorder="1" applyAlignment="1">
      <alignment horizontal="right" vertical="center"/>
    </xf>
    <xf numFmtId="41" fontId="0" fillId="8" borderId="364" xfId="1" applyFont="1" applyFill="1" applyBorder="1" applyAlignment="1">
      <alignment horizontal="center" vertical="center"/>
    </xf>
    <xf numFmtId="41" fontId="26" fillId="36" borderId="98" xfId="1" applyNumberFormat="1" applyFont="1" applyFill="1" applyBorder="1" applyAlignment="1">
      <alignment horizontal="center" vertical="center" wrapText="1"/>
    </xf>
    <xf numFmtId="41" fontId="0" fillId="0" borderId="98" xfId="1" applyNumberFormat="1" applyFont="1" applyFill="1" applyBorder="1" applyAlignment="1">
      <alignment horizontal="left" vertical="center"/>
    </xf>
    <xf numFmtId="41" fontId="49" fillId="8" borderId="98" xfId="1" applyFont="1" applyFill="1" applyBorder="1" applyAlignment="1">
      <alignment horizontal="left" vertical="center" wrapText="1"/>
    </xf>
    <xf numFmtId="41" fontId="49" fillId="8" borderId="98" xfId="1" applyNumberFormat="1" applyFont="1" applyFill="1" applyBorder="1" applyAlignment="1">
      <alignment horizontal="right" vertical="center" wrapText="1"/>
    </xf>
    <xf numFmtId="0" fontId="49" fillId="36" borderId="98" xfId="3" applyFont="1" applyFill="1" applyBorder="1" applyAlignment="1">
      <alignment vertical="center"/>
    </xf>
    <xf numFmtId="41" fontId="49" fillId="8" borderId="361" xfId="1" applyNumberFormat="1" applyFont="1" applyFill="1" applyBorder="1" applyAlignment="1">
      <alignment horizontal="center" vertical="center"/>
    </xf>
    <xf numFmtId="41" fontId="0" fillId="8" borderId="361" xfId="1" applyNumberFormat="1" applyFont="1" applyFill="1" applyBorder="1" applyAlignment="1">
      <alignment horizontal="center" vertical="center"/>
    </xf>
    <xf numFmtId="41" fontId="49" fillId="8" borderId="363" xfId="1" applyNumberFormat="1" applyFont="1" applyFill="1" applyBorder="1" applyAlignment="1">
      <alignment horizontal="center" vertical="center"/>
    </xf>
    <xf numFmtId="41" fontId="0" fillId="8" borderId="363" xfId="1" applyNumberFormat="1" applyFont="1" applyFill="1" applyBorder="1" applyAlignment="1">
      <alignment horizontal="center" vertical="center"/>
    </xf>
    <xf numFmtId="41" fontId="49" fillId="8" borderId="364" xfId="1" applyNumberFormat="1" applyFont="1" applyFill="1" applyBorder="1" applyAlignment="1">
      <alignment horizontal="center" vertical="center"/>
    </xf>
    <xf numFmtId="41" fontId="0" fillId="8" borderId="364" xfId="1" applyNumberFormat="1" applyFont="1" applyFill="1" applyBorder="1" applyAlignment="1">
      <alignment horizontal="center" vertical="center"/>
    </xf>
    <xf numFmtId="41" fontId="0" fillId="0" borderId="98" xfId="1" applyNumberFormat="1" applyFont="1" applyFill="1" applyBorder="1" applyAlignment="1">
      <alignment horizontal="center" vertical="center"/>
    </xf>
    <xf numFmtId="0" fontId="49" fillId="0" borderId="99" xfId="0" applyFont="1" applyFill="1" applyBorder="1" applyAlignment="1">
      <alignment vertical="center"/>
    </xf>
    <xf numFmtId="0" fontId="49" fillId="0" borderId="99" xfId="0" applyFont="1" applyFill="1" applyBorder="1" applyAlignment="1">
      <alignment vertical="center" wrapText="1"/>
    </xf>
    <xf numFmtId="41" fontId="0" fillId="0" borderId="99" xfId="1" applyFont="1" applyFill="1" applyBorder="1" applyAlignment="1">
      <alignment vertical="center" wrapText="1"/>
    </xf>
    <xf numFmtId="41" fontId="49" fillId="0" borderId="361" xfId="1" applyFont="1" applyFill="1" applyBorder="1" applyAlignment="1">
      <alignment vertical="center" wrapText="1"/>
    </xf>
    <xf numFmtId="0" fontId="49" fillId="0" borderId="362" xfId="0" applyFont="1" applyFill="1" applyBorder="1" applyAlignment="1">
      <alignment vertical="center"/>
    </xf>
    <xf numFmtId="0" fontId="49" fillId="0" borderId="362" xfId="0" applyFont="1" applyFill="1" applyBorder="1" applyAlignment="1">
      <alignment vertical="center" wrapText="1"/>
    </xf>
    <xf numFmtId="41" fontId="49" fillId="0" borderId="104" xfId="1" applyFont="1" applyFill="1" applyBorder="1" applyAlignment="1">
      <alignment vertical="center" wrapText="1"/>
    </xf>
    <xf numFmtId="41" fontId="0" fillId="0" borderId="104" xfId="1" applyFont="1" applyFill="1" applyBorder="1" applyAlignment="1">
      <alignment horizontal="center" vertical="center" wrapText="1"/>
    </xf>
    <xf numFmtId="0" fontId="49" fillId="0" borderId="367" xfId="0" applyFont="1" applyFill="1" applyBorder="1" applyAlignment="1">
      <alignment vertical="center" wrapText="1"/>
    </xf>
    <xf numFmtId="41" fontId="0" fillId="0" borderId="365" xfId="1" applyFont="1" applyFill="1" applyBorder="1" applyAlignment="1">
      <alignment vertical="center" wrapText="1"/>
    </xf>
    <xf numFmtId="0" fontId="49" fillId="0" borderId="359" xfId="0" applyFont="1" applyFill="1" applyBorder="1" applyAlignment="1">
      <alignment vertical="center" wrapText="1"/>
    </xf>
    <xf numFmtId="41" fontId="0" fillId="0" borderId="100" xfId="1" applyFont="1" applyFill="1" applyBorder="1" applyAlignment="1">
      <alignment vertical="center" wrapText="1"/>
    </xf>
    <xf numFmtId="41" fontId="49" fillId="0" borderId="100" xfId="1" applyFont="1" applyFill="1" applyBorder="1" applyAlignment="1">
      <alignment vertical="center" wrapText="1"/>
    </xf>
    <xf numFmtId="0" fontId="49" fillId="0" borderId="361" xfId="0" applyFont="1" applyFill="1" applyBorder="1" applyAlignment="1">
      <alignment vertical="center" wrapText="1"/>
    </xf>
    <xf numFmtId="41" fontId="0" fillId="0" borderId="361" xfId="1" applyFont="1" applyFill="1" applyBorder="1" applyAlignment="1">
      <alignment vertical="center" wrapText="1"/>
    </xf>
    <xf numFmtId="0" fontId="49" fillId="0" borderId="364" xfId="0" applyFont="1" applyFill="1" applyBorder="1" applyAlignment="1">
      <alignment vertical="center" wrapText="1"/>
    </xf>
    <xf numFmtId="41" fontId="0" fillId="0" borderId="364" xfId="1" applyFont="1" applyFill="1" applyBorder="1" applyAlignment="1">
      <alignment vertical="center" wrapText="1"/>
    </xf>
    <xf numFmtId="41" fontId="49" fillId="0" borderId="364" xfId="1" applyFont="1" applyFill="1" applyBorder="1" applyAlignment="1">
      <alignment vertical="center" wrapText="1"/>
    </xf>
    <xf numFmtId="41" fontId="0" fillId="0" borderId="364" xfId="1" applyFont="1" applyFill="1" applyBorder="1" applyAlignment="1">
      <alignment horizontal="center" vertical="center" wrapText="1"/>
    </xf>
    <xf numFmtId="41" fontId="0" fillId="8" borderId="98" xfId="1" applyNumberFormat="1" applyFont="1" applyFill="1" applyBorder="1" applyAlignment="1">
      <alignment horizontal="left" vertical="center" wrapText="1"/>
    </xf>
    <xf numFmtId="41" fontId="0" fillId="8" borderId="98" xfId="1" applyNumberFormat="1" applyFont="1" applyFill="1" applyBorder="1" applyAlignment="1">
      <alignment horizontal="left" vertical="center"/>
    </xf>
    <xf numFmtId="0" fontId="0" fillId="8" borderId="0" xfId="3" applyFont="1" applyFill="1" applyAlignment="1">
      <alignment horizontal="right" vertical="center"/>
    </xf>
    <xf numFmtId="41" fontId="49" fillId="8" borderId="362" xfId="1" applyFont="1" applyFill="1" applyBorder="1" applyAlignment="1">
      <alignment horizontal="left" vertical="center" wrapText="1"/>
    </xf>
    <xf numFmtId="9" fontId="49" fillId="8" borderId="362" xfId="1" applyNumberFormat="1" applyFont="1" applyFill="1" applyBorder="1" applyAlignment="1">
      <alignment horizontal="center" vertical="center" wrapText="1"/>
    </xf>
    <xf numFmtId="9" fontId="0" fillId="8" borderId="362" xfId="1" applyNumberFormat="1" applyFont="1" applyFill="1" applyBorder="1" applyAlignment="1">
      <alignment horizontal="center" vertical="center" wrapText="1"/>
    </xf>
    <xf numFmtId="0" fontId="26" fillId="0" borderId="0" xfId="3" applyFont="1" applyFill="1" applyAlignment="1">
      <alignment horizontal="right" vertical="center" wrapText="1"/>
    </xf>
    <xf numFmtId="41" fontId="0" fillId="8" borderId="104" xfId="1" applyNumberFormat="1" applyFont="1" applyFill="1" applyBorder="1" applyAlignment="1">
      <alignment horizontal="left" vertical="center" wrapText="1"/>
    </xf>
    <xf numFmtId="9" fontId="0" fillId="8" borderId="363" xfId="1" applyNumberFormat="1" applyFont="1" applyFill="1" applyBorder="1" applyAlignment="1">
      <alignment horizontal="left" vertical="center" wrapText="1"/>
    </xf>
    <xf numFmtId="41" fontId="0" fillId="5" borderId="98" xfId="1" applyNumberFormat="1" applyFont="1" applyFill="1" applyBorder="1" applyAlignment="1">
      <alignment vertical="center" wrapText="1"/>
    </xf>
    <xf numFmtId="41" fontId="26" fillId="0" borderId="361" xfId="1" applyNumberFormat="1" applyFont="1" applyFill="1" applyBorder="1" applyAlignment="1">
      <alignment horizontal="center" vertical="center"/>
    </xf>
    <xf numFmtId="9" fontId="0" fillId="0" borderId="363" xfId="1" applyNumberFormat="1" applyFont="1" applyFill="1" applyBorder="1" applyAlignment="1">
      <alignment horizontal="center" vertical="center" wrapText="1"/>
    </xf>
    <xf numFmtId="41" fontId="26" fillId="0" borderId="363" xfId="1" applyNumberFormat="1" applyFont="1" applyFill="1" applyBorder="1" applyAlignment="1">
      <alignment horizontal="center" vertical="center"/>
    </xf>
    <xf numFmtId="41" fontId="26" fillId="0" borderId="364" xfId="1" applyNumberFormat="1" applyFont="1" applyFill="1" applyBorder="1" applyAlignment="1">
      <alignment horizontal="center" vertical="center"/>
    </xf>
    <xf numFmtId="41" fontId="49" fillId="8" borderId="104" xfId="1" applyNumberFormat="1" applyFont="1" applyFill="1" applyBorder="1" applyAlignment="1">
      <alignment horizontal="center" vertical="center"/>
    </xf>
    <xf numFmtId="41" fontId="49" fillId="8" borderId="104" xfId="1" applyNumberFormat="1" applyFont="1" applyFill="1" applyBorder="1" applyAlignment="1">
      <alignment horizontal="left" vertical="center"/>
    </xf>
    <xf numFmtId="41" fontId="0" fillId="8" borderId="363" xfId="1" applyNumberFormat="1" applyFont="1" applyFill="1" applyBorder="1" applyAlignment="1">
      <alignment horizontal="left" vertical="center"/>
    </xf>
    <xf numFmtId="41" fontId="0" fillId="8" borderId="363" xfId="1" applyNumberFormat="1" applyFont="1" applyFill="1" applyBorder="1" applyAlignment="1">
      <alignment horizontal="left" vertical="center" wrapText="1"/>
    </xf>
    <xf numFmtId="41" fontId="0" fillId="8" borderId="364" xfId="1" applyNumberFormat="1" applyFont="1" applyFill="1" applyBorder="1" applyAlignment="1">
      <alignment horizontal="left" vertical="center"/>
    </xf>
    <xf numFmtId="41" fontId="0" fillId="8" borderId="104" xfId="1" applyNumberFormat="1" applyFont="1" applyFill="1" applyBorder="1" applyAlignment="1">
      <alignment horizontal="left" vertical="center"/>
    </xf>
    <xf numFmtId="41" fontId="26" fillId="8" borderId="98" xfId="1" applyNumberFormat="1" applyFont="1" applyFill="1" applyBorder="1" applyAlignment="1">
      <alignment horizontal="left" vertical="center" wrapText="1"/>
    </xf>
    <xf numFmtId="9" fontId="0" fillId="8" borderId="98" xfId="1" applyNumberFormat="1" applyFont="1" applyFill="1" applyBorder="1" applyAlignment="1">
      <alignment horizontal="left" vertical="center" wrapText="1"/>
    </xf>
    <xf numFmtId="41" fontId="49" fillId="8" borderId="99" xfId="1" applyNumberFormat="1" applyFont="1" applyFill="1" applyBorder="1" applyAlignment="1">
      <alignment horizontal="center" vertical="center"/>
    </xf>
    <xf numFmtId="41" fontId="0" fillId="8" borderId="100" xfId="1" applyNumberFormat="1" applyFont="1" applyFill="1" applyBorder="1" applyAlignment="1">
      <alignment horizontal="left" vertical="center" wrapText="1"/>
    </xf>
    <xf numFmtId="9" fontId="0" fillId="8" borderId="98" xfId="1" applyNumberFormat="1" applyFont="1" applyFill="1" applyBorder="1" applyAlignment="1">
      <alignment horizontal="left" vertical="center"/>
    </xf>
    <xf numFmtId="41" fontId="0" fillId="0" borderId="361" xfId="1" applyNumberFormat="1" applyFont="1" applyFill="1" applyBorder="1" applyAlignment="1">
      <alignment vertical="center" wrapText="1"/>
    </xf>
    <xf numFmtId="41" fontId="0" fillId="0" borderId="104" xfId="1" applyFont="1" applyFill="1" applyBorder="1" applyAlignment="1">
      <alignment vertical="center" wrapText="1"/>
    </xf>
    <xf numFmtId="41" fontId="0" fillId="0" borderId="100" xfId="1" applyNumberFormat="1" applyFont="1" applyFill="1" applyBorder="1" applyAlignment="1">
      <alignment vertical="center" wrapText="1"/>
    </xf>
    <xf numFmtId="0" fontId="0" fillId="0" borderId="361" xfId="0" applyFont="1" applyFill="1" applyBorder="1" applyAlignment="1">
      <alignment vertical="center" wrapText="1"/>
    </xf>
    <xf numFmtId="0" fontId="0" fillId="0" borderId="362" xfId="0" applyFont="1" applyFill="1" applyBorder="1" applyAlignment="1">
      <alignment vertical="center" wrapText="1"/>
    </xf>
    <xf numFmtId="166" fontId="0" fillId="8" borderId="0" xfId="1" applyNumberFormat="1" applyFont="1" applyFill="1" applyAlignment="1">
      <alignment vertical="center"/>
    </xf>
    <xf numFmtId="166" fontId="26" fillId="0" borderId="0" xfId="1" applyNumberFormat="1" applyFont="1" applyFill="1" applyAlignment="1">
      <alignment vertical="center" wrapText="1"/>
    </xf>
    <xf numFmtId="166" fontId="49" fillId="0" borderId="0" xfId="1" applyNumberFormat="1" applyFont="1" applyFill="1" applyAlignment="1">
      <alignment horizontal="left" vertical="center"/>
    </xf>
    <xf numFmtId="41" fontId="49" fillId="0" borderId="0" xfId="3" applyNumberFormat="1" applyFont="1" applyAlignment="1">
      <alignment vertical="center"/>
    </xf>
    <xf numFmtId="164" fontId="49" fillId="0" borderId="0" xfId="3" applyNumberFormat="1" applyFont="1" applyAlignment="1">
      <alignment vertical="center"/>
    </xf>
    <xf numFmtId="164" fontId="49" fillId="0" borderId="0" xfId="3" applyNumberFormat="1" applyFont="1" applyFill="1" applyAlignment="1">
      <alignment vertical="center"/>
    </xf>
    <xf numFmtId="0" fontId="49" fillId="0" borderId="358" xfId="3" applyFont="1" applyFill="1" applyBorder="1" applyAlignment="1">
      <alignment horizontal="left" vertical="center" wrapText="1"/>
    </xf>
    <xf numFmtId="0" fontId="49" fillId="0" borderId="358" xfId="3" applyFont="1" applyFill="1" applyBorder="1" applyAlignment="1">
      <alignment horizontal="center" vertical="center"/>
    </xf>
    <xf numFmtId="0" fontId="49" fillId="0" borderId="0" xfId="3" applyFont="1" applyAlignment="1">
      <alignment horizontal="left" vertical="center"/>
    </xf>
    <xf numFmtId="41" fontId="0" fillId="0" borderId="99" xfId="1" applyNumberFormat="1" applyFont="1" applyFill="1" applyBorder="1" applyAlignment="1">
      <alignment horizontal="center" vertical="center"/>
    </xf>
    <xf numFmtId="0" fontId="49" fillId="0" borderId="98" xfId="3" applyFont="1" applyFill="1" applyBorder="1" applyAlignment="1">
      <alignment horizontal="center" vertical="center"/>
    </xf>
    <xf numFmtId="0" fontId="49" fillId="0" borderId="98" xfId="3" applyFont="1" applyFill="1" applyBorder="1" applyAlignment="1">
      <alignment horizontal="center" vertical="center" wrapText="1"/>
    </xf>
    <xf numFmtId="41" fontId="49" fillId="8" borderId="98" xfId="1" applyFont="1" applyFill="1" applyBorder="1" applyAlignment="1">
      <alignment horizontal="right" vertical="center" wrapText="1"/>
    </xf>
    <xf numFmtId="41" fontId="26" fillId="14" borderId="98" xfId="1" applyNumberFormat="1" applyFont="1" applyFill="1" applyBorder="1" applyAlignment="1">
      <alignment horizontal="center" vertical="center"/>
    </xf>
    <xf numFmtId="41" fontId="0" fillId="8" borderId="0" xfId="1" applyFont="1" applyFill="1" applyAlignment="1">
      <alignment horizontal="center" vertical="center"/>
    </xf>
    <xf numFmtId="41" fontId="0" fillId="0" borderId="99" xfId="1" applyNumberFormat="1" applyFont="1" applyFill="1" applyBorder="1" applyAlignment="1">
      <alignment horizontal="left" vertical="center" wrapText="1"/>
    </xf>
    <xf numFmtId="41" fontId="49" fillId="0" borderId="98" xfId="1" applyNumberFormat="1" applyFont="1" applyFill="1" applyBorder="1" applyAlignment="1">
      <alignment horizontal="center" vertical="center"/>
    </xf>
    <xf numFmtId="41" fontId="0" fillId="0" borderId="98" xfId="1" applyNumberFormat="1" applyFont="1" applyFill="1" applyBorder="1" applyAlignment="1">
      <alignment horizontal="left" vertical="center" wrapText="1"/>
    </xf>
    <xf numFmtId="166" fontId="0" fillId="14" borderId="98" xfId="1" applyNumberFormat="1" applyFont="1" applyFill="1" applyBorder="1" applyAlignment="1">
      <alignment vertical="center" wrapText="1"/>
    </xf>
    <xf numFmtId="41" fontId="0" fillId="8" borderId="0" xfId="1" applyFont="1" applyFill="1" applyAlignment="1">
      <alignment horizontal="right" vertical="center"/>
    </xf>
    <xf numFmtId="41" fontId="49" fillId="0" borderId="0" xfId="1" applyFont="1" applyAlignment="1">
      <alignment vertical="center" wrapText="1"/>
    </xf>
    <xf numFmtId="166" fontId="0" fillId="8" borderId="0" xfId="1" applyNumberFormat="1" applyFont="1" applyFill="1" applyAlignment="1">
      <alignment horizontal="right" vertical="center"/>
    </xf>
    <xf numFmtId="41" fontId="0" fillId="8" borderId="363" xfId="1" quotePrefix="1" applyFont="1" applyFill="1" applyBorder="1" applyAlignment="1">
      <alignment horizontal="left" vertical="center" wrapText="1"/>
    </xf>
    <xf numFmtId="41" fontId="49" fillId="8" borderId="363" xfId="1" quotePrefix="1" applyFont="1" applyFill="1" applyBorder="1" applyAlignment="1">
      <alignment horizontal="left" vertical="center" wrapText="1"/>
    </xf>
    <xf numFmtId="41" fontId="0" fillId="0" borderId="364" xfId="1" quotePrefix="1" applyFont="1" applyFill="1" applyBorder="1" applyAlignment="1">
      <alignment horizontal="left" vertical="center" wrapText="1"/>
    </xf>
    <xf numFmtId="41" fontId="0" fillId="0" borderId="362" xfId="1" quotePrefix="1" applyFont="1" applyFill="1" applyBorder="1" applyAlignment="1">
      <alignment horizontal="left" vertical="center" wrapText="1"/>
    </xf>
    <xf numFmtId="0" fontId="0" fillId="0" borderId="363" xfId="1" quotePrefix="1" applyNumberFormat="1" applyFont="1" applyFill="1" applyBorder="1" applyAlignment="1">
      <alignment vertical="center" wrapText="1"/>
    </xf>
    <xf numFmtId="0" fontId="0" fillId="8" borderId="363" xfId="1" quotePrefix="1" applyNumberFormat="1" applyFont="1" applyFill="1" applyBorder="1" applyAlignment="1">
      <alignment horizontal="left" vertical="center" wrapText="1"/>
    </xf>
    <xf numFmtId="0" fontId="0" fillId="8" borderId="362" xfId="1" quotePrefix="1" applyNumberFormat="1" applyFont="1" applyFill="1" applyBorder="1" applyAlignment="1">
      <alignment horizontal="left" vertical="center" wrapText="1"/>
    </xf>
    <xf numFmtId="41" fontId="0" fillId="0" borderId="363" xfId="1" quotePrefix="1" applyFont="1" applyFill="1" applyBorder="1" applyAlignment="1">
      <alignment horizontal="left" vertical="center" wrapText="1"/>
    </xf>
    <xf numFmtId="41" fontId="0" fillId="0" borderId="363" xfId="1" quotePrefix="1" applyFont="1" applyFill="1" applyBorder="1" applyAlignment="1">
      <alignment vertical="center" wrapText="1"/>
    </xf>
    <xf numFmtId="41" fontId="0" fillId="0" borderId="362" xfId="1" quotePrefix="1" applyFont="1" applyFill="1" applyBorder="1" applyAlignment="1">
      <alignment vertical="center" wrapText="1"/>
    </xf>
    <xf numFmtId="41" fontId="0" fillId="8" borderId="363" xfId="1" quotePrefix="1" applyFont="1" applyFill="1" applyBorder="1" applyAlignment="1">
      <alignment vertical="center" wrapText="1"/>
    </xf>
    <xf numFmtId="0" fontId="0" fillId="8" borderId="362" xfId="1" quotePrefix="1" applyNumberFormat="1" applyFont="1" applyFill="1" applyBorder="1" applyAlignment="1">
      <alignment vertical="center" wrapText="1"/>
    </xf>
    <xf numFmtId="41" fontId="49" fillId="8" borderId="361" xfId="1" quotePrefix="1" applyFont="1" applyFill="1" applyBorder="1" applyAlignment="1">
      <alignment horizontal="left" vertical="center" wrapText="1"/>
    </xf>
    <xf numFmtId="41" fontId="0" fillId="8" borderId="361" xfId="1" quotePrefix="1" applyFont="1" applyFill="1" applyBorder="1" applyAlignment="1">
      <alignment horizontal="left" vertical="center" wrapText="1"/>
    </xf>
    <xf numFmtId="0" fontId="0" fillId="8" borderId="364" xfId="1" quotePrefix="1" applyNumberFormat="1" applyFont="1" applyFill="1" applyBorder="1" applyAlignment="1">
      <alignment vertical="center" wrapText="1"/>
    </xf>
    <xf numFmtId="41" fontId="0" fillId="8" borderId="362" xfId="1" quotePrefix="1" applyFont="1" applyFill="1" applyBorder="1" applyAlignment="1">
      <alignment horizontal="left" vertical="center" wrapText="1"/>
    </xf>
    <xf numFmtId="0" fontId="0" fillId="8" borderId="363" xfId="1" quotePrefix="1" applyNumberFormat="1" applyFont="1" applyFill="1" applyBorder="1" applyAlignment="1">
      <alignment vertical="center" wrapText="1"/>
    </xf>
    <xf numFmtId="41" fontId="0" fillId="8" borderId="365" xfId="1" quotePrefix="1" applyFont="1" applyFill="1" applyBorder="1" applyAlignment="1">
      <alignment vertical="center" wrapText="1"/>
    </xf>
    <xf numFmtId="41" fontId="0" fillId="0" borderId="361" xfId="1" quotePrefix="1" applyFont="1" applyFill="1" applyBorder="1" applyAlignment="1">
      <alignment horizontal="left" vertical="center" wrapText="1"/>
    </xf>
    <xf numFmtId="0" fontId="49" fillId="0" borderId="100" xfId="3" quotePrefix="1" applyFont="1" applyFill="1" applyBorder="1" applyAlignment="1">
      <alignment vertical="center" wrapText="1"/>
    </xf>
    <xf numFmtId="0" fontId="0" fillId="8" borderId="100" xfId="1" quotePrefix="1" applyNumberFormat="1" applyFont="1" applyFill="1" applyBorder="1" applyAlignment="1">
      <alignment vertical="center" wrapText="1"/>
    </xf>
    <xf numFmtId="0" fontId="49" fillId="0" borderId="363" xfId="3" quotePrefix="1" applyFont="1" applyFill="1" applyBorder="1" applyAlignment="1">
      <alignment vertical="center" wrapText="1"/>
    </xf>
    <xf numFmtId="41" fontId="0" fillId="0" borderId="363" xfId="1" quotePrefix="1" applyNumberFormat="1" applyFont="1" applyFill="1" applyBorder="1" applyAlignment="1">
      <alignment horizontal="left" vertical="center" wrapText="1"/>
    </xf>
    <xf numFmtId="41" fontId="0" fillId="0" borderId="363" xfId="1" quotePrefix="1" applyNumberFormat="1" applyFont="1" applyFill="1" applyBorder="1" applyAlignment="1">
      <alignment vertical="center" wrapText="1"/>
    </xf>
    <xf numFmtId="0" fontId="49" fillId="0" borderId="362" xfId="3" quotePrefix="1" applyFont="1" applyFill="1" applyBorder="1" applyAlignment="1">
      <alignment vertical="center" wrapText="1"/>
    </xf>
    <xf numFmtId="41" fontId="0" fillId="0" borderId="362" xfId="1" quotePrefix="1" applyNumberFormat="1" applyFont="1" applyFill="1" applyBorder="1" applyAlignment="1">
      <alignment horizontal="left" vertical="center" wrapText="1"/>
    </xf>
    <xf numFmtId="0" fontId="49" fillId="0" borderId="104" xfId="3" quotePrefix="1" applyFont="1" applyFill="1" applyBorder="1" applyAlignment="1">
      <alignment vertical="center" wrapText="1"/>
    </xf>
    <xf numFmtId="41" fontId="0" fillId="0" borderId="104" xfId="1" quotePrefix="1" applyNumberFormat="1" applyFont="1" applyFill="1" applyBorder="1" applyAlignment="1">
      <alignment horizontal="left" vertical="center" wrapText="1"/>
    </xf>
    <xf numFmtId="41" fontId="0" fillId="8" borderId="361" xfId="1" quotePrefix="1" applyFont="1" applyFill="1" applyBorder="1" applyAlignment="1">
      <alignment vertical="center" wrapText="1"/>
    </xf>
    <xf numFmtId="41" fontId="0" fillId="8" borderId="365" xfId="1" quotePrefix="1" applyFont="1" applyFill="1" applyBorder="1" applyAlignment="1">
      <alignment horizontal="left" vertical="center" wrapText="1"/>
    </xf>
    <xf numFmtId="0" fontId="0" fillId="8" borderId="365" xfId="1" quotePrefix="1" applyNumberFormat="1" applyFont="1" applyFill="1" applyBorder="1" applyAlignment="1">
      <alignment vertical="center" wrapText="1"/>
    </xf>
    <xf numFmtId="41" fontId="0" fillId="8" borderId="98" xfId="1" quotePrefix="1" applyNumberFormat="1" applyFont="1" applyFill="1" applyBorder="1" applyAlignment="1">
      <alignment horizontal="left" vertical="center" wrapText="1"/>
    </xf>
    <xf numFmtId="9" fontId="0" fillId="8" borderId="362" xfId="1" quotePrefix="1" applyNumberFormat="1" applyFont="1" applyFill="1" applyBorder="1" applyAlignment="1">
      <alignment horizontal="left" vertical="center" wrapText="1"/>
    </xf>
    <xf numFmtId="41" fontId="0" fillId="8" borderId="364" xfId="1" quotePrefix="1" applyFont="1" applyFill="1" applyBorder="1" applyAlignment="1">
      <alignment vertical="center" wrapText="1"/>
    </xf>
    <xf numFmtId="0" fontId="49" fillId="0" borderId="100" xfId="3" quotePrefix="1" applyFont="1" applyFill="1" applyBorder="1" applyAlignment="1">
      <alignment horizontal="left" vertical="center" wrapText="1"/>
    </xf>
    <xf numFmtId="41" fontId="0" fillId="36" borderId="98" xfId="1" quotePrefix="1" applyNumberFormat="1" applyFont="1" applyFill="1" applyBorder="1" applyAlignment="1">
      <alignment vertical="center" wrapText="1"/>
    </xf>
    <xf numFmtId="0" fontId="49" fillId="0" borderId="361" xfId="3" quotePrefix="1" applyFont="1" applyFill="1" applyBorder="1" applyAlignment="1">
      <alignment vertical="center" wrapText="1"/>
    </xf>
    <xf numFmtId="41" fontId="0" fillId="8" borderId="363" xfId="1" quotePrefix="1" applyNumberFormat="1" applyFont="1" applyFill="1" applyBorder="1" applyAlignment="1">
      <alignment vertical="center" wrapText="1"/>
    </xf>
    <xf numFmtId="41" fontId="0" fillId="8" borderId="363" xfId="1" quotePrefix="1" applyNumberFormat="1" applyFont="1" applyFill="1" applyBorder="1" applyAlignment="1">
      <alignment horizontal="left" vertical="center" wrapText="1"/>
    </xf>
    <xf numFmtId="0" fontId="49" fillId="0" borderId="364" xfId="3" quotePrefix="1" applyFont="1" applyFill="1" applyBorder="1" applyAlignment="1">
      <alignment vertical="center" wrapText="1"/>
    </xf>
    <xf numFmtId="41" fontId="0" fillId="8" borderId="364" xfId="1" quotePrefix="1" applyNumberFormat="1" applyFont="1" applyFill="1" applyBorder="1" applyAlignment="1">
      <alignment horizontal="left" vertical="center" wrapText="1"/>
    </xf>
    <xf numFmtId="0" fontId="0" fillId="0" borderId="364" xfId="1" quotePrefix="1" applyNumberFormat="1" applyFont="1" applyFill="1" applyBorder="1" applyAlignment="1">
      <alignment vertical="center" wrapText="1"/>
    </xf>
    <xf numFmtId="41" fontId="49" fillId="8" borderId="104" xfId="1" quotePrefix="1" applyNumberFormat="1" applyFont="1" applyFill="1" applyBorder="1" applyAlignment="1">
      <alignment horizontal="left" vertical="center" wrapText="1"/>
    </xf>
    <xf numFmtId="41" fontId="0" fillId="8" borderId="100" xfId="1" quotePrefix="1" applyNumberFormat="1" applyFont="1" applyFill="1" applyBorder="1" applyAlignment="1">
      <alignment horizontal="left" vertical="center" wrapText="1"/>
    </xf>
    <xf numFmtId="0" fontId="0" fillId="8" borderId="98" xfId="1" quotePrefix="1" applyNumberFormat="1" applyFont="1" applyFill="1" applyBorder="1" applyAlignment="1">
      <alignment horizontal="left" vertical="center" wrapText="1"/>
    </xf>
    <xf numFmtId="0" fontId="49" fillId="0" borderId="99" xfId="3" quotePrefix="1" applyFont="1" applyFill="1" applyBorder="1" applyAlignment="1">
      <alignment horizontal="left" vertical="center" wrapText="1"/>
    </xf>
    <xf numFmtId="0" fontId="49" fillId="0" borderId="98" xfId="3" quotePrefix="1" applyFont="1" applyFill="1" applyBorder="1" applyAlignment="1">
      <alignment horizontal="left" vertical="center" wrapText="1"/>
    </xf>
    <xf numFmtId="41" fontId="0" fillId="0" borderId="98" xfId="1" quotePrefix="1" applyNumberFormat="1" applyFont="1" applyFill="1" applyBorder="1" applyAlignment="1">
      <alignment horizontal="left" vertical="center" wrapText="1"/>
    </xf>
    <xf numFmtId="41" fontId="6" fillId="4" borderId="1" xfId="1" quotePrefix="1" applyFont="1" applyFill="1" applyBorder="1" applyAlignment="1">
      <alignment vertical="center" wrapText="1"/>
    </xf>
    <xf numFmtId="41" fontId="6" fillId="4" borderId="1" xfId="1" quotePrefix="1" applyFont="1" applyFill="1" applyBorder="1" applyAlignment="1">
      <alignment horizontal="left" vertical="center" wrapText="1"/>
    </xf>
    <xf numFmtId="41" fontId="7" fillId="3" borderId="1" xfId="1" quotePrefix="1" applyFont="1" applyFill="1" applyBorder="1" applyAlignment="1">
      <alignment vertical="center"/>
    </xf>
    <xf numFmtId="41" fontId="6" fillId="0" borderId="1" xfId="1" quotePrefix="1" applyFont="1" applyFill="1" applyBorder="1" applyAlignment="1">
      <alignment horizontal="left" vertical="center" wrapText="1"/>
    </xf>
    <xf numFmtId="41" fontId="6" fillId="0" borderId="1" xfId="1" quotePrefix="1" applyFont="1" applyFill="1" applyBorder="1" applyAlignment="1">
      <alignment vertical="center"/>
    </xf>
    <xf numFmtId="41" fontId="6" fillId="0" borderId="2" xfId="1" quotePrefix="1" applyNumberFormat="1" applyFont="1" applyFill="1" applyBorder="1" applyAlignment="1">
      <alignment horizontal="left" vertical="center" wrapText="1"/>
    </xf>
    <xf numFmtId="41" fontId="7" fillId="0" borderId="1" xfId="1" quotePrefix="1" applyFont="1" applyFill="1" applyBorder="1" applyAlignment="1">
      <alignment horizontal="left" vertical="center" wrapText="1"/>
    </xf>
    <xf numFmtId="0" fontId="7" fillId="0" borderId="1" xfId="1" quotePrefix="1" applyNumberFormat="1" applyFont="1" applyFill="1" applyBorder="1" applyAlignment="1">
      <alignment vertical="center"/>
    </xf>
    <xf numFmtId="41" fontId="7" fillId="0" borderId="1" xfId="1" quotePrefix="1" applyFont="1" applyFill="1" applyBorder="1" applyAlignment="1">
      <alignment horizontal="left" vertical="center"/>
    </xf>
    <xf numFmtId="41" fontId="7" fillId="0" borderId="1" xfId="1" quotePrefix="1" applyFont="1" applyFill="1" applyBorder="1" applyAlignment="1">
      <alignment vertical="center"/>
    </xf>
    <xf numFmtId="41" fontId="6" fillId="2" borderId="1" xfId="1" quotePrefix="1" applyFont="1" applyFill="1" applyBorder="1" applyAlignment="1">
      <alignment horizontal="left" vertical="center" wrapText="1"/>
    </xf>
    <xf numFmtId="41" fontId="6" fillId="2" borderId="1" xfId="1" quotePrefix="1" applyFont="1" applyFill="1" applyBorder="1" applyAlignment="1">
      <alignment vertical="center"/>
    </xf>
    <xf numFmtId="41" fontId="7" fillId="32" borderId="1" xfId="1" quotePrefix="1" applyFont="1" applyFill="1" applyBorder="1" applyAlignment="1">
      <alignment vertical="center"/>
    </xf>
    <xf numFmtId="41" fontId="6" fillId="2" borderId="1" xfId="1" quotePrefix="1" applyNumberFormat="1" applyFont="1" applyFill="1" applyBorder="1" applyAlignment="1">
      <alignment horizontal="left" vertical="center" wrapText="1"/>
    </xf>
    <xf numFmtId="0" fontId="7" fillId="0" borderId="1" xfId="1" quotePrefix="1" applyNumberFormat="1" applyFont="1" applyFill="1" applyBorder="1" applyAlignment="1">
      <alignment horizontal="left" vertical="center" wrapText="1"/>
    </xf>
    <xf numFmtId="41" fontId="6" fillId="4" borderId="1" xfId="1" quotePrefix="1" applyFont="1" applyFill="1" applyBorder="1" applyAlignment="1">
      <alignment vertical="center"/>
    </xf>
    <xf numFmtId="0" fontId="45" fillId="4" borderId="2" xfId="1" quotePrefix="1" applyNumberFormat="1" applyFont="1" applyFill="1" applyBorder="1" applyAlignment="1">
      <alignment horizontal="left" vertical="center"/>
    </xf>
    <xf numFmtId="0" fontId="45" fillId="2" borderId="2" xfId="1" quotePrefix="1" applyNumberFormat="1" applyFont="1" applyFill="1" applyBorder="1" applyAlignment="1">
      <alignment horizontal="left" vertical="center"/>
    </xf>
    <xf numFmtId="41" fontId="45" fillId="4" borderId="2" xfId="1" quotePrefix="1" applyNumberFormat="1" applyFont="1" applyFill="1" applyBorder="1" applyAlignment="1">
      <alignment horizontal="left" vertical="center"/>
    </xf>
    <xf numFmtId="41" fontId="7" fillId="34" borderId="1" xfId="1" quotePrefix="1" applyFont="1" applyFill="1" applyBorder="1" applyAlignment="1">
      <alignment vertical="center"/>
    </xf>
    <xf numFmtId="0" fontId="7" fillId="3" borderId="1" xfId="1" quotePrefix="1" applyNumberFormat="1" applyFont="1" applyFill="1" applyBorder="1" applyAlignment="1">
      <alignment vertical="center" wrapText="1"/>
    </xf>
    <xf numFmtId="0" fontId="31" fillId="3" borderId="2" xfId="1" quotePrefix="1" applyNumberFormat="1" applyFont="1" applyFill="1" applyBorder="1" applyAlignment="1">
      <alignment horizontal="left" vertical="center"/>
    </xf>
    <xf numFmtId="0" fontId="6" fillId="14" borderId="1" xfId="1" quotePrefix="1" applyNumberFormat="1" applyFont="1" applyFill="1" applyBorder="1" applyAlignment="1">
      <alignment vertical="center" wrapText="1"/>
    </xf>
    <xf numFmtId="41" fontId="7" fillId="2" borderId="1" xfId="1" quotePrefix="1" applyNumberFormat="1" applyFont="1" applyFill="1" applyBorder="1" applyAlignment="1">
      <alignment horizontal="left" vertical="center"/>
    </xf>
    <xf numFmtId="41" fontId="7" fillId="3" borderId="1" xfId="1" quotePrefix="1" applyFont="1" applyFill="1" applyBorder="1" applyAlignment="1">
      <alignment horizontal="left" vertical="center" wrapText="1"/>
    </xf>
    <xf numFmtId="0" fontId="7" fillId="14" borderId="1" xfId="1" quotePrefix="1" applyNumberFormat="1" applyFont="1" applyFill="1" applyBorder="1" applyAlignment="1">
      <alignment horizontal="left" vertical="center" wrapText="1"/>
    </xf>
    <xf numFmtId="41" fontId="7" fillId="3" borderId="2" xfId="1" quotePrefix="1" applyNumberFormat="1" applyFont="1" applyFill="1" applyBorder="1" applyAlignment="1">
      <alignment horizontal="left" vertical="center"/>
    </xf>
    <xf numFmtId="0" fontId="6" fillId="14" borderId="1" xfId="1" quotePrefix="1" applyNumberFormat="1" applyFont="1" applyFill="1" applyBorder="1" applyAlignment="1">
      <alignment horizontal="left" vertical="center" wrapText="1"/>
    </xf>
    <xf numFmtId="41" fontId="6" fillId="4" borderId="2" xfId="1" quotePrefix="1" applyNumberFormat="1" applyFont="1" applyFill="1" applyBorder="1" applyAlignment="1">
      <alignment horizontal="left" vertical="center"/>
    </xf>
    <xf numFmtId="41" fontId="7" fillId="4" borderId="1" xfId="1" quotePrefix="1" applyFont="1" applyFill="1" applyBorder="1" applyAlignment="1">
      <alignment horizontal="left" vertical="center" wrapText="1"/>
    </xf>
    <xf numFmtId="41" fontId="44" fillId="4" borderId="1" xfId="1" quotePrefix="1" applyFont="1" applyFill="1" applyBorder="1" applyAlignment="1">
      <alignment horizontal="left" vertical="center" wrapText="1"/>
    </xf>
    <xf numFmtId="41" fontId="7" fillId="0" borderId="1" xfId="1" quotePrefix="1" applyNumberFormat="1" applyFont="1" applyFill="1" applyBorder="1" applyAlignment="1">
      <alignment horizontal="left" vertical="center"/>
    </xf>
    <xf numFmtId="41" fontId="7" fillId="0" borderId="1" xfId="1" quotePrefix="1" applyFont="1" applyFill="1" applyBorder="1" applyAlignment="1">
      <alignment vertical="center" wrapText="1"/>
    </xf>
    <xf numFmtId="41" fontId="7" fillId="14" borderId="1" xfId="1" quotePrefix="1" applyFont="1" applyFill="1" applyBorder="1" applyAlignment="1">
      <alignment vertical="center" wrapText="1"/>
    </xf>
    <xf numFmtId="0" fontId="7" fillId="0" borderId="1" xfId="1" quotePrefix="1" applyNumberFormat="1" applyFont="1" applyFill="1" applyBorder="1" applyAlignment="1">
      <alignment vertical="center" wrapText="1"/>
    </xf>
    <xf numFmtId="0" fontId="7" fillId="4" borderId="1" xfId="1" quotePrefix="1" applyNumberFormat="1" applyFont="1" applyFill="1" applyBorder="1" applyAlignment="1">
      <alignment horizontal="left" vertical="center"/>
    </xf>
    <xf numFmtId="41" fontId="7" fillId="4" borderId="1" xfId="1" quotePrefix="1" applyFont="1" applyFill="1" applyBorder="1" applyAlignment="1">
      <alignment horizontal="left" vertical="center"/>
    </xf>
    <xf numFmtId="0" fontId="7" fillId="4" borderId="1" xfId="1" quotePrefix="1" applyNumberFormat="1" applyFont="1" applyFill="1" applyBorder="1" applyAlignment="1">
      <alignment horizontal="left" vertical="center" wrapText="1"/>
    </xf>
    <xf numFmtId="41" fontId="7" fillId="4" borderId="2" xfId="1" quotePrefix="1" applyNumberFormat="1" applyFont="1" applyFill="1" applyBorder="1" applyAlignment="1">
      <alignment horizontal="left" vertical="center"/>
    </xf>
    <xf numFmtId="0" fontId="6" fillId="4" borderId="1" xfId="1" quotePrefix="1" applyNumberFormat="1" applyFont="1" applyFill="1" applyBorder="1" applyAlignment="1">
      <alignment horizontal="left" vertical="center"/>
    </xf>
    <xf numFmtId="41" fontId="6" fillId="4" borderId="1" xfId="1" quotePrefix="1" applyFont="1" applyFill="1" applyBorder="1" applyAlignment="1">
      <alignment horizontal="left" vertical="center"/>
    </xf>
    <xf numFmtId="0" fontId="6" fillId="4" borderId="1" xfId="1" quotePrefix="1" applyNumberFormat="1" applyFont="1" applyFill="1" applyBorder="1" applyAlignment="1">
      <alignment horizontal="left" vertical="center" wrapText="1"/>
    </xf>
    <xf numFmtId="0" fontId="6" fillId="14" borderId="1" xfId="1" quotePrefix="1" applyNumberFormat="1" applyFont="1" applyFill="1" applyBorder="1" applyAlignment="1">
      <alignment horizontal="left" vertical="center"/>
    </xf>
    <xf numFmtId="0" fontId="44" fillId="4" borderId="1" xfId="1" quotePrefix="1" applyNumberFormat="1" applyFont="1" applyFill="1" applyBorder="1" applyAlignment="1">
      <alignment horizontal="left" vertical="center"/>
    </xf>
    <xf numFmtId="41" fontId="44" fillId="4" borderId="1" xfId="1" quotePrefix="1" applyFont="1" applyFill="1" applyBorder="1" applyAlignment="1">
      <alignment horizontal="left" vertical="center"/>
    </xf>
    <xf numFmtId="0" fontId="44" fillId="4" borderId="1" xfId="1" quotePrefix="1" applyNumberFormat="1" applyFont="1" applyFill="1" applyBorder="1" applyAlignment="1">
      <alignment horizontal="left" vertical="center" wrapText="1"/>
    </xf>
    <xf numFmtId="41" fontId="44" fillId="4" borderId="2" xfId="1" quotePrefix="1" applyNumberFormat="1" applyFont="1" applyFill="1" applyBorder="1" applyAlignment="1">
      <alignment horizontal="left" vertical="center"/>
    </xf>
    <xf numFmtId="41" fontId="7" fillId="14" borderId="1" xfId="1" quotePrefix="1" applyFont="1" applyFill="1" applyBorder="1" applyAlignment="1">
      <alignment horizontal="left" vertical="center"/>
    </xf>
    <xf numFmtId="41" fontId="7" fillId="8" borderId="2" xfId="1" quotePrefix="1" applyNumberFormat="1" applyFont="1" applyFill="1" applyBorder="1" applyAlignment="1">
      <alignment horizontal="left" vertical="center"/>
    </xf>
    <xf numFmtId="41" fontId="7" fillId="3" borderId="1" xfId="1" quotePrefix="1" applyFont="1" applyFill="1" applyBorder="1" applyAlignment="1">
      <alignment horizontal="left" vertical="center"/>
    </xf>
    <xf numFmtId="41" fontId="45" fillId="33" borderId="1" xfId="1" quotePrefix="1" applyFont="1" applyFill="1" applyBorder="1" applyAlignment="1">
      <alignment vertical="center" wrapText="1"/>
    </xf>
    <xf numFmtId="41" fontId="31" fillId="33" borderId="1" xfId="1" quotePrefix="1" applyFont="1" applyFill="1" applyBorder="1" applyAlignment="1">
      <alignment vertical="center" wrapText="1"/>
    </xf>
    <xf numFmtId="41" fontId="45" fillId="33" borderId="1" xfId="1" quotePrefix="1" applyFont="1" applyFill="1" applyBorder="1" applyAlignment="1">
      <alignment vertical="center"/>
    </xf>
    <xf numFmtId="41" fontId="6" fillId="0" borderId="1" xfId="1" quotePrefix="1" applyFont="1" applyFill="1" applyBorder="1" applyAlignment="1">
      <alignment vertical="center" wrapText="1"/>
    </xf>
    <xf numFmtId="41" fontId="6" fillId="14" borderId="1" xfId="1" quotePrefix="1" applyFont="1" applyFill="1" applyBorder="1" applyAlignment="1">
      <alignment vertical="center"/>
    </xf>
    <xf numFmtId="0" fontId="6" fillId="0" borderId="1" xfId="1" quotePrefix="1" applyNumberFormat="1" applyFont="1" applyFill="1" applyBorder="1" applyAlignment="1">
      <alignment horizontal="left" vertical="center" wrapText="1"/>
    </xf>
    <xf numFmtId="0" fontId="7" fillId="8" borderId="2" xfId="1" quotePrefix="1" applyNumberFormat="1" applyFont="1" applyFill="1" applyBorder="1" applyAlignment="1">
      <alignment horizontal="left" vertical="center"/>
    </xf>
    <xf numFmtId="41" fontId="7" fillId="35" borderId="1" xfId="1" quotePrefix="1" applyFont="1" applyFill="1" applyBorder="1" applyAlignment="1">
      <alignment horizontal="left" vertical="center" wrapText="1"/>
    </xf>
    <xf numFmtId="0" fontId="7" fillId="0" borderId="2" xfId="1" quotePrefix="1" applyNumberFormat="1" applyFont="1" applyFill="1" applyBorder="1" applyAlignment="1">
      <alignment horizontal="left" vertical="center"/>
    </xf>
    <xf numFmtId="41" fontId="7" fillId="35" borderId="1" xfId="1" quotePrefix="1" applyFont="1" applyFill="1" applyBorder="1" applyAlignment="1">
      <alignment horizontal="left" vertical="center"/>
    </xf>
    <xf numFmtId="0" fontId="7" fillId="34" borderId="1" xfId="1" quotePrefix="1" applyNumberFormat="1" applyFont="1" applyFill="1" applyBorder="1" applyAlignment="1">
      <alignment vertical="center" wrapText="1"/>
    </xf>
    <xf numFmtId="0" fontId="7" fillId="34" borderId="2" xfId="1" quotePrefix="1" applyNumberFormat="1" applyFont="1" applyFill="1" applyBorder="1" applyAlignment="1">
      <alignment horizontal="left" vertical="center"/>
    </xf>
    <xf numFmtId="0" fontId="6" fillId="4" borderId="1" xfId="1" quotePrefix="1" applyNumberFormat="1" applyFont="1" applyFill="1" applyBorder="1" applyAlignment="1">
      <alignment vertical="center" wrapText="1"/>
    </xf>
    <xf numFmtId="0" fontId="6" fillId="4" borderId="2" xfId="1" quotePrefix="1" applyNumberFormat="1" applyFont="1" applyFill="1" applyBorder="1" applyAlignment="1">
      <alignment horizontal="left" vertical="center"/>
    </xf>
    <xf numFmtId="0" fontId="6" fillId="4" borderId="1" xfId="1" quotePrefix="1" applyNumberFormat="1" applyFont="1" applyFill="1" applyBorder="1" applyAlignment="1">
      <alignment vertical="center"/>
    </xf>
    <xf numFmtId="41" fontId="7" fillId="0" borderId="2" xfId="1" quotePrefix="1" applyNumberFormat="1" applyFont="1" applyFill="1" applyBorder="1" applyAlignment="1">
      <alignment horizontal="left" vertical="center"/>
    </xf>
    <xf numFmtId="41" fontId="7" fillId="3" borderId="1" xfId="1" quotePrefix="1" applyFont="1" applyFill="1" applyBorder="1" applyAlignment="1">
      <alignment vertical="center" wrapText="1"/>
    </xf>
    <xf numFmtId="41" fontId="6" fillId="35" borderId="1" xfId="1" quotePrefix="1" applyFont="1" applyFill="1" applyBorder="1" applyAlignment="1">
      <alignment horizontal="left" vertical="center"/>
    </xf>
    <xf numFmtId="0" fontId="7" fillId="3" borderId="1" xfId="1" quotePrefix="1" applyNumberFormat="1" applyFont="1" applyFill="1" applyBorder="1" applyAlignment="1">
      <alignment vertical="center"/>
    </xf>
    <xf numFmtId="41" fontId="6" fillId="0" borderId="1" xfId="1" quotePrefix="1" applyFont="1" applyFill="1" applyBorder="1" applyAlignment="1">
      <alignment horizontal="left" vertical="center"/>
    </xf>
    <xf numFmtId="41" fontId="6" fillId="0" borderId="2" xfId="1" quotePrefix="1" applyNumberFormat="1" applyFont="1" applyFill="1" applyBorder="1" applyAlignment="1">
      <alignment horizontal="left" vertical="center"/>
    </xf>
    <xf numFmtId="41" fontId="7" fillId="34" borderId="1" xfId="1" quotePrefix="1" applyFont="1" applyFill="1" applyBorder="1" applyAlignment="1">
      <alignment horizontal="left" vertical="center"/>
    </xf>
    <xf numFmtId="41" fontId="7" fillId="34" borderId="1" xfId="1" quotePrefix="1" applyFont="1" applyFill="1" applyBorder="1" applyAlignment="1">
      <alignment horizontal="left" vertical="center" wrapText="1"/>
    </xf>
    <xf numFmtId="41" fontId="7" fillId="35" borderId="1" xfId="1" quotePrefix="1" applyNumberFormat="1" applyFont="1" applyFill="1" applyBorder="1" applyAlignment="1">
      <alignment horizontal="left" vertical="center"/>
    </xf>
    <xf numFmtId="0" fontId="6" fillId="0" borderId="1" xfId="3" quotePrefix="1" applyFont="1" applyFill="1" applyBorder="1" applyAlignment="1">
      <alignment vertical="center"/>
    </xf>
    <xf numFmtId="41" fontId="6" fillId="0" borderId="1" xfId="1" quotePrefix="1" applyNumberFormat="1" applyFont="1" applyFill="1" applyBorder="1" applyAlignment="1">
      <alignment horizontal="left" vertical="center" wrapText="1"/>
    </xf>
    <xf numFmtId="41" fontId="6" fillId="0" borderId="1" xfId="1" quotePrefix="1" applyNumberFormat="1" applyFont="1" applyFill="1" applyBorder="1" applyAlignment="1">
      <alignment horizontal="left" vertical="center"/>
    </xf>
    <xf numFmtId="41" fontId="6" fillId="0" borderId="1" xfId="1" quotePrefix="1" applyNumberFormat="1" applyFont="1" applyFill="1" applyBorder="1" applyAlignment="1">
      <alignment vertical="center" wrapText="1"/>
    </xf>
    <xf numFmtId="41" fontId="7" fillId="35" borderId="1" xfId="1" quotePrefix="1" applyNumberFormat="1" applyFont="1" applyFill="1" applyBorder="1" applyAlignment="1">
      <alignment horizontal="left" vertical="center" wrapText="1"/>
    </xf>
    <xf numFmtId="41" fontId="7" fillId="0" borderId="1" xfId="1" quotePrefix="1" applyNumberFormat="1" applyFont="1" applyFill="1" applyBorder="1" applyAlignment="1">
      <alignment horizontal="left" vertical="center" wrapText="1"/>
    </xf>
    <xf numFmtId="0" fontId="7" fillId="0" borderId="1" xfId="1" quotePrefix="1" applyNumberFormat="1" applyFont="1" applyFill="1" applyBorder="1" applyAlignment="1">
      <alignment horizontal="left" vertical="center"/>
    </xf>
    <xf numFmtId="41" fontId="6" fillId="0" borderId="5" xfId="1" quotePrefix="1" applyFont="1" applyFill="1" applyBorder="1" applyAlignment="1">
      <alignment horizontal="left" vertical="center"/>
    </xf>
    <xf numFmtId="41" fontId="7" fillId="8" borderId="1" xfId="1" quotePrefix="1" applyFont="1" applyFill="1" applyBorder="1" applyAlignment="1">
      <alignment vertical="center" wrapText="1"/>
    </xf>
    <xf numFmtId="0" fontId="7" fillId="8" borderId="1" xfId="1" quotePrefix="1" applyNumberFormat="1" applyFont="1" applyFill="1" applyBorder="1" applyAlignment="1">
      <alignment vertical="center" wrapText="1"/>
    </xf>
    <xf numFmtId="0" fontId="7" fillId="3" borderId="1" xfId="1" quotePrefix="1" applyNumberFormat="1" applyFont="1" applyFill="1" applyBorder="1" applyAlignment="1">
      <alignment horizontal="center" vertical="center"/>
    </xf>
    <xf numFmtId="41" fontId="6" fillId="35" borderId="1" xfId="1" quotePrefix="1" applyFont="1" applyFill="1" applyBorder="1" applyAlignment="1">
      <alignment horizontal="left" vertical="center" wrapText="1"/>
    </xf>
    <xf numFmtId="0" fontId="6" fillId="0" borderId="1" xfId="1" quotePrefix="1" applyNumberFormat="1" applyFont="1" applyFill="1" applyBorder="1" applyAlignment="1">
      <alignment horizontal="left" vertical="center"/>
    </xf>
    <xf numFmtId="9" fontId="6" fillId="0" borderId="1" xfId="1" quotePrefix="1" applyNumberFormat="1" applyFont="1" applyFill="1" applyBorder="1" applyAlignment="1">
      <alignment horizontal="left" vertical="center"/>
    </xf>
    <xf numFmtId="9" fontId="6" fillId="35" borderId="1" xfId="1" quotePrefix="1" applyNumberFormat="1" applyFont="1" applyFill="1" applyBorder="1" applyAlignment="1">
      <alignment horizontal="left" vertical="center"/>
    </xf>
    <xf numFmtId="41" fontId="6" fillId="34" borderId="5" xfId="1" quotePrefix="1" applyFont="1" applyFill="1" applyBorder="1" applyAlignment="1">
      <alignment horizontal="left" vertical="center"/>
    </xf>
    <xf numFmtId="41" fontId="6" fillId="4" borderId="1" xfId="1" quotePrefix="1" applyNumberFormat="1" applyFont="1" applyFill="1" applyBorder="1" applyAlignment="1">
      <alignment horizontal="left" vertical="center"/>
    </xf>
    <xf numFmtId="41" fontId="6" fillId="4" borderId="5" xfId="1" quotePrefix="1" applyFont="1" applyFill="1" applyBorder="1" applyAlignment="1">
      <alignment horizontal="left" vertical="center"/>
    </xf>
    <xf numFmtId="41" fontId="7" fillId="34" borderId="5" xfId="1" quotePrefix="1" applyFont="1" applyFill="1" applyBorder="1" applyAlignment="1">
      <alignment horizontal="left" vertical="center"/>
    </xf>
    <xf numFmtId="41" fontId="44" fillId="4" borderId="1" xfId="1" quotePrefix="1" applyNumberFormat="1" applyFont="1" applyFill="1" applyBorder="1" applyAlignment="1">
      <alignment horizontal="left" vertical="center"/>
    </xf>
    <xf numFmtId="41" fontId="44" fillId="4" borderId="5" xfId="1" quotePrefix="1" applyFont="1" applyFill="1" applyBorder="1" applyAlignment="1">
      <alignment horizontal="left" vertical="center"/>
    </xf>
    <xf numFmtId="0" fontId="7" fillId="3" borderId="1" xfId="3" quotePrefix="1" applyFont="1" applyFill="1" applyBorder="1" applyAlignment="1">
      <alignment vertical="center"/>
    </xf>
    <xf numFmtId="41" fontId="7" fillId="3" borderId="1" xfId="1" quotePrefix="1" applyNumberFormat="1" applyFont="1" applyFill="1" applyBorder="1" applyAlignment="1">
      <alignment horizontal="left" vertical="center"/>
    </xf>
    <xf numFmtId="41" fontId="6" fillId="35" borderId="1" xfId="1" quotePrefix="1" applyNumberFormat="1" applyFont="1" applyFill="1" applyBorder="1" applyAlignment="1">
      <alignment horizontal="left" vertical="center" wrapText="1"/>
    </xf>
    <xf numFmtId="41" fontId="6" fillId="35" borderId="1" xfId="1" quotePrefix="1" applyNumberFormat="1" applyFont="1" applyFill="1" applyBorder="1" applyAlignment="1">
      <alignment horizontal="left" vertical="center"/>
    </xf>
    <xf numFmtId="41" fontId="7" fillId="3" borderId="1" xfId="1" quotePrefix="1" applyNumberFormat="1" applyFont="1" applyFill="1" applyBorder="1" applyAlignment="1">
      <alignment vertical="center"/>
    </xf>
    <xf numFmtId="41" fontId="6" fillId="0" borderId="1" xfId="1" quotePrefix="1" applyNumberFormat="1" applyFont="1" applyFill="1" applyBorder="1" applyAlignment="1">
      <alignment vertical="center"/>
    </xf>
    <xf numFmtId="0" fontId="6" fillId="0" borderId="1" xfId="1" quotePrefix="1" applyNumberFormat="1" applyFont="1" applyFill="1" applyBorder="1" applyAlignment="1">
      <alignment vertical="center" wrapText="1"/>
    </xf>
    <xf numFmtId="0" fontId="7" fillId="0" borderId="1" xfId="3" quotePrefix="1" applyFont="1" applyFill="1" applyBorder="1" applyAlignment="1">
      <alignment horizontal="left" vertical="center"/>
    </xf>
    <xf numFmtId="0" fontId="6" fillId="14" borderId="1" xfId="1" quotePrefix="1" applyNumberFormat="1" applyFont="1" applyFill="1" applyBorder="1" applyAlignment="1">
      <alignment vertical="center"/>
    </xf>
    <xf numFmtId="41" fontId="7" fillId="4" borderId="1" xfId="1" quotePrefix="1" applyNumberFormat="1" applyFont="1" applyFill="1" applyBorder="1" applyAlignment="1">
      <alignment horizontal="left" vertical="center"/>
    </xf>
    <xf numFmtId="0" fontId="7" fillId="4" borderId="1" xfId="1" quotePrefix="1" applyNumberFormat="1" applyFont="1" applyFill="1" applyBorder="1" applyAlignment="1">
      <alignment horizontal="center" vertical="center"/>
    </xf>
    <xf numFmtId="41" fontId="7" fillId="4" borderId="1" xfId="1" quotePrefix="1" applyNumberFormat="1" applyFont="1" applyFill="1" applyBorder="1" applyAlignment="1">
      <alignment horizontal="left" vertical="center" wrapText="1"/>
    </xf>
    <xf numFmtId="41" fontId="6" fillId="4" borderId="1" xfId="1" quotePrefix="1" applyNumberFormat="1" applyFont="1" applyFill="1" applyBorder="1" applyAlignment="1">
      <alignment horizontal="left" vertical="center" wrapText="1"/>
    </xf>
    <xf numFmtId="0" fontId="7" fillId="0" borderId="1" xfId="1" quotePrefix="1" applyNumberFormat="1" applyFont="1" applyFill="1" applyBorder="1" applyAlignment="1">
      <alignment horizontal="center" vertical="center"/>
    </xf>
    <xf numFmtId="0" fontId="7" fillId="35" borderId="1" xfId="1" quotePrefix="1" applyNumberFormat="1" applyFont="1" applyFill="1" applyBorder="1" applyAlignment="1">
      <alignment horizontal="left" vertical="center" wrapText="1"/>
    </xf>
    <xf numFmtId="41" fontId="31" fillId="4" borderId="1" xfId="1" quotePrefix="1" applyFont="1" applyFill="1" applyBorder="1" applyAlignment="1">
      <alignment horizontal="center" vertical="center"/>
    </xf>
    <xf numFmtId="41" fontId="7" fillId="4" borderId="1" xfId="1" quotePrefix="1" applyNumberFormat="1" applyFont="1" applyFill="1" applyBorder="1" applyAlignment="1">
      <alignment horizontal="center" vertical="center"/>
    </xf>
    <xf numFmtId="0" fontId="7" fillId="4" borderId="2" xfId="1" quotePrefix="1" applyNumberFormat="1" applyFont="1" applyFill="1" applyBorder="1" applyAlignment="1">
      <alignment horizontal="left" vertical="center"/>
    </xf>
    <xf numFmtId="41" fontId="45" fillId="4" borderId="1" xfId="1" quotePrefix="1" applyFont="1" applyFill="1" applyBorder="1" applyAlignment="1">
      <alignment horizontal="center" vertical="center"/>
    </xf>
    <xf numFmtId="41" fontId="6" fillId="4" borderId="1" xfId="1" quotePrefix="1" applyNumberFormat="1" applyFont="1" applyFill="1" applyBorder="1" applyAlignment="1">
      <alignment horizontal="center" vertical="center"/>
    </xf>
    <xf numFmtId="41" fontId="7" fillId="0" borderId="1" xfId="1" quotePrefix="1" applyNumberFormat="1" applyFont="1" applyFill="1" applyBorder="1" applyAlignment="1">
      <alignment vertical="center" wrapText="1"/>
    </xf>
    <xf numFmtId="41" fontId="7" fillId="0" borderId="5" xfId="1" quotePrefix="1" applyNumberFormat="1" applyFont="1" applyFill="1" applyBorder="1" applyAlignment="1">
      <alignment horizontal="left" vertical="center" wrapText="1"/>
    </xf>
    <xf numFmtId="41" fontId="7" fillId="0" borderId="5" xfId="1" quotePrefix="1" applyNumberFormat="1" applyFont="1" applyFill="1" applyBorder="1" applyAlignment="1">
      <alignment horizontal="left" vertical="center"/>
    </xf>
    <xf numFmtId="41" fontId="7" fillId="35" borderId="5" xfId="1" quotePrefix="1" applyNumberFormat="1" applyFont="1" applyFill="1" applyBorder="1" applyAlignment="1">
      <alignment horizontal="left" vertical="center" wrapText="1"/>
    </xf>
    <xf numFmtId="41" fontId="6" fillId="0" borderId="5" xfId="1" quotePrefix="1" applyFont="1" applyFill="1" applyBorder="1" applyAlignment="1">
      <alignment horizontal="left" vertical="center" wrapText="1"/>
    </xf>
    <xf numFmtId="41" fontId="7" fillId="0" borderId="5" xfId="1" quotePrefix="1" applyFont="1" applyFill="1" applyBorder="1" applyAlignment="1">
      <alignment vertical="center" wrapText="1"/>
    </xf>
    <xf numFmtId="41" fontId="7" fillId="0" borderId="63" xfId="1" quotePrefix="1" applyNumberFormat="1" applyFont="1" applyFill="1" applyBorder="1" applyAlignment="1">
      <alignment horizontal="left" vertical="center"/>
    </xf>
    <xf numFmtId="41" fontId="7" fillId="0" borderId="2" xfId="0" quotePrefix="1" applyNumberFormat="1" applyFont="1" applyBorder="1" applyAlignment="1">
      <alignment horizontal="left" vertical="center" wrapText="1"/>
    </xf>
    <xf numFmtId="0" fontId="28" fillId="0" borderId="162" xfId="0" quotePrefix="1" applyFont="1" applyBorder="1" applyAlignment="1">
      <alignment horizontal="left" vertical="center" wrapText="1"/>
    </xf>
    <xf numFmtId="41" fontId="28" fillId="0" borderId="164" xfId="0" quotePrefix="1" applyNumberFormat="1" applyFont="1" applyBorder="1" applyAlignment="1">
      <alignment horizontal="left" vertical="center" wrapText="1"/>
    </xf>
    <xf numFmtId="0" fontId="28" fillId="0" borderId="119" xfId="0" quotePrefix="1" applyFont="1" applyFill="1" applyBorder="1" applyAlignment="1">
      <alignment horizontal="left" vertical="center" wrapText="1"/>
    </xf>
    <xf numFmtId="0" fontId="28" fillId="0" borderId="164" xfId="0" quotePrefix="1" applyFont="1" applyBorder="1" applyAlignment="1">
      <alignment horizontal="left" vertical="center" wrapText="1"/>
    </xf>
    <xf numFmtId="41" fontId="7" fillId="0" borderId="59" xfId="0" quotePrefix="1" applyNumberFormat="1" applyFont="1" applyBorder="1" applyAlignment="1">
      <alignment horizontal="left" vertical="center" wrapText="1"/>
    </xf>
    <xf numFmtId="41" fontId="28" fillId="0" borderId="164" xfId="0" quotePrefix="1" applyNumberFormat="1" applyFont="1" applyFill="1" applyBorder="1" applyAlignment="1">
      <alignment horizontal="left" vertical="center" wrapText="1"/>
    </xf>
    <xf numFmtId="0" fontId="28" fillId="0" borderId="164" xfId="0" quotePrefix="1" applyFont="1" applyFill="1" applyBorder="1" applyAlignment="1">
      <alignment horizontal="left" vertical="center" wrapText="1"/>
    </xf>
    <xf numFmtId="41" fontId="28" fillId="0" borderId="119" xfId="0" quotePrefix="1" applyNumberFormat="1" applyFont="1" applyFill="1" applyBorder="1" applyAlignment="1">
      <alignment horizontal="left" vertical="center" wrapText="1"/>
    </xf>
    <xf numFmtId="0" fontId="41" fillId="0" borderId="102" xfId="0" quotePrefix="1" applyFont="1" applyBorder="1" applyAlignment="1">
      <alignment vertical="center" wrapText="1"/>
    </xf>
    <xf numFmtId="0" fontId="28" fillId="0" borderId="128" xfId="0" quotePrefix="1" applyFont="1" applyFill="1" applyBorder="1" applyAlignment="1">
      <alignment horizontal="left" vertical="center" wrapText="1"/>
    </xf>
    <xf numFmtId="0" fontId="28" fillId="0" borderId="98" xfId="0" quotePrefix="1" applyFont="1" applyFill="1" applyBorder="1" applyAlignment="1">
      <alignment horizontal="left" vertical="center" wrapText="1"/>
    </xf>
    <xf numFmtId="41" fontId="28" fillId="0" borderId="164" xfId="0" quotePrefix="1" applyNumberFormat="1" applyFont="1" applyBorder="1" applyAlignment="1">
      <alignment horizontal="left" vertical="top" wrapText="1"/>
    </xf>
    <xf numFmtId="1" fontId="31" fillId="0" borderId="98" xfId="1" quotePrefix="1" applyNumberFormat="1" applyFont="1" applyFill="1" applyBorder="1" applyAlignment="1">
      <alignment horizontal="center" vertical="center"/>
    </xf>
    <xf numFmtId="41" fontId="6" fillId="4" borderId="2" xfId="1" quotePrefix="1" applyFont="1" applyFill="1" applyBorder="1" applyAlignment="1">
      <alignment horizontal="left" vertical="center" wrapText="1"/>
    </xf>
    <xf numFmtId="0" fontId="7" fillId="0" borderId="98" xfId="9" quotePrefix="1" applyFont="1" applyFill="1" applyBorder="1" applyAlignment="1">
      <alignment vertical="center"/>
    </xf>
    <xf numFmtId="1" fontId="7" fillId="0" borderId="98" xfId="1" quotePrefix="1" applyNumberFormat="1" applyFont="1" applyFill="1" applyBorder="1" applyAlignment="1">
      <alignment horizontal="center" vertical="center"/>
    </xf>
    <xf numFmtId="0" fontId="6" fillId="0" borderId="7" xfId="9" quotePrefix="1" applyFont="1" applyFill="1" applyBorder="1" applyAlignment="1">
      <alignment vertical="center"/>
    </xf>
    <xf numFmtId="0" fontId="6" fillId="0" borderId="1" xfId="9" quotePrefix="1" applyFont="1" applyFill="1" applyBorder="1" applyAlignment="1">
      <alignment vertical="center"/>
    </xf>
    <xf numFmtId="0" fontId="6" fillId="0" borderId="2" xfId="1" quotePrefix="1" applyNumberFormat="1" applyFont="1" applyFill="1" applyBorder="1" applyAlignment="1">
      <alignment horizontal="left" vertical="center"/>
    </xf>
    <xf numFmtId="0" fontId="7" fillId="3" borderId="5" xfId="9" quotePrefix="1" applyFont="1" applyFill="1" applyBorder="1" applyAlignment="1">
      <alignment vertical="center"/>
    </xf>
    <xf numFmtId="0" fontId="7" fillId="0" borderId="98" xfId="9" quotePrefix="1" applyFont="1" applyFill="1" applyBorder="1" applyAlignment="1">
      <alignment vertical="center" wrapText="1"/>
    </xf>
    <xf numFmtId="0" fontId="7" fillId="3" borderId="1" xfId="9" quotePrefix="1" applyFont="1" applyFill="1" applyBorder="1" applyAlignment="1">
      <alignment vertical="center"/>
    </xf>
    <xf numFmtId="0" fontId="7" fillId="0" borderId="1" xfId="9" quotePrefix="1" applyFont="1" applyFill="1" applyBorder="1" applyAlignment="1">
      <alignment horizontal="left" vertical="center"/>
    </xf>
    <xf numFmtId="0" fontId="28" fillId="0" borderId="98" xfId="0" quotePrefix="1" applyFont="1" applyBorder="1" applyAlignment="1">
      <alignment horizontal="left" vertical="center" wrapText="1"/>
    </xf>
    <xf numFmtId="0" fontId="28" fillId="0" borderId="217" xfId="0" quotePrefix="1" applyFont="1" applyBorder="1" applyAlignment="1">
      <alignment horizontal="left" vertical="center" wrapText="1"/>
    </xf>
    <xf numFmtId="0" fontId="28" fillId="0" borderId="175" xfId="0" quotePrefix="1" applyFont="1" applyBorder="1" applyAlignment="1">
      <alignment horizontal="left" vertical="center" wrapText="1"/>
    </xf>
    <xf numFmtId="41" fontId="28" fillId="0" borderId="175" xfId="0" quotePrefix="1" applyNumberFormat="1" applyFont="1" applyBorder="1" applyAlignment="1">
      <alignment horizontal="left" vertical="center" wrapText="1"/>
    </xf>
    <xf numFmtId="41" fontId="28" fillId="0" borderId="217" xfId="0" quotePrefix="1" applyNumberFormat="1" applyFont="1" applyBorder="1" applyAlignment="1">
      <alignment horizontal="left" vertical="center" wrapText="1"/>
    </xf>
    <xf numFmtId="41" fontId="28" fillId="0" borderId="98" xfId="0" quotePrefix="1" applyNumberFormat="1" applyFont="1" applyBorder="1" applyAlignment="1">
      <alignment horizontal="left" vertical="center" wrapText="1"/>
    </xf>
    <xf numFmtId="41" fontId="28" fillId="0" borderId="175" xfId="0" quotePrefix="1" applyNumberFormat="1" applyFont="1" applyFill="1" applyBorder="1" applyAlignment="1">
      <alignment horizontal="left" vertical="center" wrapText="1"/>
    </xf>
    <xf numFmtId="41" fontId="28" fillId="0" borderId="98" xfId="0" quotePrefix="1" applyNumberFormat="1" applyFont="1" applyFill="1" applyBorder="1" applyAlignment="1">
      <alignment horizontal="left" vertical="center" wrapText="1"/>
    </xf>
    <xf numFmtId="0" fontId="41" fillId="0" borderId="98" xfId="0" quotePrefix="1" applyFont="1" applyBorder="1" applyAlignment="1">
      <alignment vertical="center" wrapText="1"/>
    </xf>
    <xf numFmtId="41" fontId="28" fillId="0" borderId="287" xfId="0" quotePrefix="1" applyNumberFormat="1" applyFont="1" applyBorder="1" applyAlignment="1">
      <alignment horizontal="left" vertical="center" wrapText="1"/>
    </xf>
    <xf numFmtId="41" fontId="28" fillId="0" borderId="176" xfId="0" quotePrefix="1" applyNumberFormat="1" applyFont="1" applyBorder="1" applyAlignment="1">
      <alignment horizontal="left" vertical="center" wrapText="1"/>
    </xf>
    <xf numFmtId="41" fontId="0" fillId="0" borderId="140" xfId="0" quotePrefix="1" applyNumberFormat="1" applyBorder="1" applyAlignment="1">
      <alignment vertical="center" wrapText="1"/>
    </xf>
    <xf numFmtId="41" fontId="28" fillId="0" borderId="151" xfId="0" quotePrefix="1" applyNumberFormat="1" applyFont="1" applyBorder="1" applyAlignment="1">
      <alignment horizontal="left" vertical="center" wrapText="1"/>
    </xf>
    <xf numFmtId="41" fontId="0" fillId="0" borderId="177" xfId="0" quotePrefix="1" applyNumberFormat="1" applyBorder="1" applyAlignment="1">
      <alignment vertical="center" wrapText="1"/>
    </xf>
    <xf numFmtId="1" fontId="31" fillId="2" borderId="98" xfId="1" quotePrefix="1" applyNumberFormat="1" applyFont="1" applyFill="1" applyBorder="1" applyAlignment="1">
      <alignment horizontal="center" vertical="center"/>
    </xf>
    <xf numFmtId="0" fontId="7" fillId="0" borderId="98" xfId="3" quotePrefix="1" applyFont="1" applyFill="1" applyBorder="1" applyAlignment="1">
      <alignment vertical="center"/>
    </xf>
    <xf numFmtId="0" fontId="7" fillId="0" borderId="98" xfId="3" quotePrefix="1" applyFont="1" applyFill="1" applyBorder="1" applyAlignment="1">
      <alignment vertical="center" wrapText="1"/>
    </xf>
    <xf numFmtId="0" fontId="7" fillId="0" borderId="1" xfId="0" applyFont="1" applyBorder="1" applyAlignment="1">
      <alignment horizontal="center" vertical="center"/>
    </xf>
    <xf numFmtId="3" fontId="25" fillId="0" borderId="0" xfId="0" applyNumberFormat="1" applyFont="1"/>
    <xf numFmtId="0" fontId="25" fillId="0" borderId="98" xfId="0" applyFont="1" applyBorder="1" applyAlignment="1">
      <alignment vertical="center" wrapText="1"/>
    </xf>
    <xf numFmtId="0" fontId="4" fillId="15" borderId="98" xfId="7" applyFont="1" applyFill="1" applyBorder="1" applyAlignment="1">
      <alignment vertical="center"/>
    </xf>
    <xf numFmtId="0" fontId="4" fillId="15" borderId="98" xfId="7" applyFont="1" applyFill="1" applyBorder="1"/>
    <xf numFmtId="41" fontId="4" fillId="15" borderId="98" xfId="7" applyNumberFormat="1" applyFont="1" applyFill="1" applyBorder="1"/>
    <xf numFmtId="0" fontId="50" fillId="0" borderId="0" xfId="3" applyFont="1" applyFill="1" applyBorder="1" applyAlignment="1">
      <alignment horizontal="center" vertical="center" wrapText="1"/>
    </xf>
    <xf numFmtId="41" fontId="26" fillId="14" borderId="98" xfId="1" applyNumberFormat="1" applyFont="1" applyFill="1" applyBorder="1" applyAlignment="1">
      <alignment horizontal="center" vertical="center" wrapText="1"/>
    </xf>
    <xf numFmtId="0" fontId="26" fillId="5" borderId="101" xfId="3" applyFont="1" applyFill="1" applyBorder="1" applyAlignment="1">
      <alignment horizontal="left" vertical="center"/>
    </xf>
    <xf numFmtId="0" fontId="26" fillId="5" borderId="360" xfId="3" applyFont="1" applyFill="1" applyBorder="1" applyAlignment="1">
      <alignment horizontal="left" vertical="center"/>
    </xf>
    <xf numFmtId="0" fontId="26" fillId="5" borderId="102" xfId="3" applyFont="1" applyFill="1" applyBorder="1" applyAlignment="1">
      <alignment horizontal="left" vertical="center"/>
    </xf>
    <xf numFmtId="0" fontId="48" fillId="0" borderId="98" xfId="3" applyFont="1" applyFill="1" applyBorder="1" applyAlignment="1">
      <alignment horizontal="left" vertical="center"/>
    </xf>
    <xf numFmtId="0" fontId="48" fillId="0" borderId="101" xfId="3" applyFont="1" applyFill="1" applyBorder="1" applyAlignment="1">
      <alignment horizontal="left" vertical="center" wrapText="1"/>
    </xf>
    <xf numFmtId="0" fontId="48" fillId="0" borderId="102" xfId="3" applyFont="1" applyFill="1" applyBorder="1" applyAlignment="1">
      <alignment horizontal="left" vertical="center" wrapText="1"/>
    </xf>
    <xf numFmtId="41" fontId="26" fillId="14" borderId="99" xfId="1" applyNumberFormat="1" applyFont="1" applyFill="1" applyBorder="1" applyAlignment="1">
      <alignment horizontal="center" vertical="center" wrapText="1"/>
    </xf>
    <xf numFmtId="41" fontId="26" fillId="14" borderId="100" xfId="1" applyNumberFormat="1" applyFont="1" applyFill="1" applyBorder="1" applyAlignment="1">
      <alignment horizontal="center" vertical="center" wrapText="1"/>
    </xf>
    <xf numFmtId="41" fontId="26" fillId="14" borderId="99" xfId="1" applyFont="1" applyFill="1" applyBorder="1" applyAlignment="1">
      <alignment horizontal="center" vertical="center" wrapText="1"/>
    </xf>
    <xf numFmtId="41" fontId="26" fillId="14" borderId="100" xfId="1" applyFont="1" applyFill="1" applyBorder="1" applyAlignment="1">
      <alignment horizontal="center" vertical="center" wrapText="1"/>
    </xf>
    <xf numFmtId="0" fontId="48" fillId="0" borderId="98" xfId="3" applyFont="1" applyFill="1" applyBorder="1" applyAlignment="1">
      <alignment horizontal="left" vertical="center" wrapText="1"/>
    </xf>
    <xf numFmtId="0" fontId="48" fillId="0" borderId="98" xfId="3" applyFont="1" applyFill="1" applyBorder="1" applyAlignment="1">
      <alignment vertical="center" wrapText="1"/>
    </xf>
    <xf numFmtId="0" fontId="48" fillId="0" borderId="100" xfId="3" applyFont="1" applyFill="1" applyBorder="1" applyAlignment="1">
      <alignment horizontal="left" vertical="center" wrapText="1"/>
    </xf>
    <xf numFmtId="0" fontId="26" fillId="14" borderId="101" xfId="3" applyFont="1" applyFill="1" applyBorder="1" applyAlignment="1">
      <alignment horizontal="center" vertical="center"/>
    </xf>
    <xf numFmtId="0" fontId="26" fillId="14" borderId="360" xfId="3" applyFont="1" applyFill="1" applyBorder="1" applyAlignment="1">
      <alignment horizontal="center" vertical="center"/>
    </xf>
    <xf numFmtId="0" fontId="26" fillId="14" borderId="102" xfId="3" applyFont="1" applyFill="1" applyBorder="1" applyAlignment="1">
      <alignment horizontal="center" vertical="center"/>
    </xf>
    <xf numFmtId="0" fontId="49" fillId="0" borderId="104" xfId="0" applyFont="1" applyFill="1" applyBorder="1" applyAlignment="1">
      <alignment horizontal="center" vertical="center"/>
    </xf>
    <xf numFmtId="0" fontId="49" fillId="0" borderId="100" xfId="0" applyFont="1" applyFill="1" applyBorder="1" applyAlignment="1">
      <alignment horizontal="center" vertical="center"/>
    </xf>
    <xf numFmtId="0" fontId="49" fillId="0" borderId="365" xfId="0" applyFont="1" applyFill="1" applyBorder="1" applyAlignment="1">
      <alignment horizontal="center" vertical="center"/>
    </xf>
    <xf numFmtId="41" fontId="49" fillId="0" borderId="365" xfId="1" quotePrefix="1" applyFont="1" applyFill="1" applyBorder="1" applyAlignment="1">
      <alignment horizontal="left" vertical="center" wrapText="1"/>
    </xf>
    <xf numFmtId="41" fontId="49" fillId="0" borderId="362" xfId="1" applyFont="1" applyFill="1" applyBorder="1" applyAlignment="1">
      <alignment horizontal="left" vertical="center" wrapText="1"/>
    </xf>
    <xf numFmtId="41" fontId="0" fillId="8" borderId="99" xfId="1" quotePrefix="1" applyNumberFormat="1" applyFont="1" applyFill="1" applyBorder="1" applyAlignment="1">
      <alignment horizontal="center" vertical="center" wrapText="1"/>
    </xf>
    <xf numFmtId="41" fontId="0" fillId="8" borderId="362" xfId="1" applyNumberFormat="1" applyFont="1" applyFill="1" applyBorder="1" applyAlignment="1">
      <alignment horizontal="center" vertical="center" wrapText="1"/>
    </xf>
    <xf numFmtId="41" fontId="0" fillId="8" borderId="104" xfId="1" quotePrefix="1" applyNumberFormat="1" applyFont="1" applyFill="1" applyBorder="1" applyAlignment="1">
      <alignment horizontal="center" vertical="center" wrapText="1"/>
    </xf>
    <xf numFmtId="41" fontId="0" fillId="8" borderId="100" xfId="1" applyNumberFormat="1" applyFont="1" applyFill="1" applyBorder="1" applyAlignment="1">
      <alignment horizontal="center" vertical="center" wrapText="1"/>
    </xf>
    <xf numFmtId="166" fontId="26" fillId="14" borderId="98" xfId="1" applyNumberFormat="1" applyFont="1" applyFill="1" applyBorder="1" applyAlignment="1">
      <alignment horizontal="center" vertical="center" wrapText="1"/>
    </xf>
    <xf numFmtId="41" fontId="0" fillId="8" borderId="99" xfId="1" applyNumberFormat="1" applyFont="1" applyFill="1" applyBorder="1" applyAlignment="1">
      <alignment horizontal="left" vertical="center" wrapText="1"/>
    </xf>
    <xf numFmtId="41" fontId="0" fillId="8" borderId="100" xfId="1" applyNumberFormat="1" applyFont="1" applyFill="1" applyBorder="1" applyAlignment="1">
      <alignment horizontal="left" vertical="center" wrapText="1"/>
    </xf>
    <xf numFmtId="0" fontId="26" fillId="14" borderId="224" xfId="3" applyFont="1" applyFill="1" applyBorder="1" applyAlignment="1">
      <alignment horizontal="center" vertical="center" wrapText="1"/>
    </xf>
    <xf numFmtId="0" fontId="26" fillId="14" borderId="105" xfId="3" applyFont="1" applyFill="1" applyBorder="1" applyAlignment="1">
      <alignment horizontal="center" vertical="center" wrapText="1"/>
    </xf>
    <xf numFmtId="0" fontId="26" fillId="14" borderId="357" xfId="3" applyFont="1" applyFill="1" applyBorder="1" applyAlignment="1">
      <alignment horizontal="center" vertical="center" wrapText="1"/>
    </xf>
    <xf numFmtId="0" fontId="26" fillId="14" borderId="358" xfId="3" applyFont="1" applyFill="1" applyBorder="1" applyAlignment="1">
      <alignment horizontal="center" vertical="center" wrapText="1"/>
    </xf>
    <xf numFmtId="0" fontId="26" fillId="14" borderId="234" xfId="3" applyFont="1" applyFill="1" applyBorder="1" applyAlignment="1">
      <alignment horizontal="center" vertical="center" wrapText="1"/>
    </xf>
    <xf numFmtId="0" fontId="26" fillId="14" borderId="359" xfId="3" applyFont="1" applyFill="1" applyBorder="1" applyAlignment="1">
      <alignment horizontal="center" vertical="center" wrapText="1"/>
    </xf>
    <xf numFmtId="41" fontId="49" fillId="0" borderId="99" xfId="1" applyFont="1" applyFill="1" applyBorder="1" applyAlignment="1">
      <alignment horizontal="center" vertical="center" wrapText="1"/>
    </xf>
    <xf numFmtId="41" fontId="49" fillId="0" borderId="362" xfId="1" applyFont="1" applyFill="1" applyBorder="1" applyAlignment="1">
      <alignment horizontal="center" vertical="center" wrapText="1"/>
    </xf>
    <xf numFmtId="41" fontId="49" fillId="0" borderId="365" xfId="1" applyFont="1" applyFill="1" applyBorder="1" applyAlignment="1">
      <alignment horizontal="center" vertical="center" wrapText="1"/>
    </xf>
    <xf numFmtId="41" fontId="49" fillId="0" borderId="100" xfId="1" applyFont="1" applyFill="1" applyBorder="1" applyAlignment="1">
      <alignment horizontal="center" vertical="center" wrapText="1"/>
    </xf>
    <xf numFmtId="0" fontId="0" fillId="0" borderId="365" xfId="1" quotePrefix="1" applyNumberFormat="1" applyFont="1" applyFill="1" applyBorder="1" applyAlignment="1">
      <alignment horizontal="left" vertical="center" wrapText="1"/>
    </xf>
    <xf numFmtId="0" fontId="0" fillId="0" borderId="362" xfId="1" applyNumberFormat="1" applyFont="1" applyFill="1" applyBorder="1" applyAlignment="1">
      <alignment horizontal="left" vertical="center" wrapText="1"/>
    </xf>
    <xf numFmtId="41" fontId="30" fillId="0" borderId="99" xfId="1" quotePrefix="1" applyFont="1" applyFill="1" applyBorder="1" applyAlignment="1">
      <alignment horizontal="center" vertical="center" wrapText="1"/>
    </xf>
    <xf numFmtId="41" fontId="30" fillId="0" borderId="362" xfId="1" applyFont="1" applyFill="1" applyBorder="1" applyAlignment="1">
      <alignment horizontal="center" vertical="center" wrapText="1"/>
    </xf>
    <xf numFmtId="41" fontId="30" fillId="0" borderId="104" xfId="1" quotePrefix="1" applyFont="1" applyFill="1" applyBorder="1" applyAlignment="1">
      <alignment horizontal="center" vertical="center" wrapText="1"/>
    </xf>
    <xf numFmtId="41" fontId="0" fillId="0" borderId="365" xfId="1" quotePrefix="1" applyFont="1" applyFill="1" applyBorder="1" applyAlignment="1">
      <alignment horizontal="left" vertical="center" wrapText="1"/>
    </xf>
    <xf numFmtId="41" fontId="0" fillId="0" borderId="362" xfId="1" applyFont="1" applyFill="1" applyBorder="1" applyAlignment="1">
      <alignment horizontal="left" vertical="center" wrapText="1"/>
    </xf>
    <xf numFmtId="41" fontId="0" fillId="0" borderId="99" xfId="1" applyFont="1" applyFill="1" applyBorder="1" applyAlignment="1">
      <alignment horizontal="center" vertical="center"/>
    </xf>
    <xf numFmtId="41" fontId="0" fillId="0" borderId="362" xfId="1" applyFont="1" applyFill="1" applyBorder="1" applyAlignment="1">
      <alignment horizontal="center" vertical="center"/>
    </xf>
    <xf numFmtId="41" fontId="0" fillId="0" borderId="365" xfId="1" applyFont="1" applyFill="1" applyBorder="1" applyAlignment="1">
      <alignment horizontal="center" vertical="center"/>
    </xf>
    <xf numFmtId="41" fontId="0" fillId="0" borderId="100" xfId="1" applyFont="1" applyFill="1" applyBorder="1" applyAlignment="1">
      <alignment horizontal="center" vertical="center"/>
    </xf>
    <xf numFmtId="9" fontId="0" fillId="0" borderId="99" xfId="1" applyNumberFormat="1" applyFont="1" applyFill="1" applyBorder="1" applyAlignment="1">
      <alignment horizontal="center" vertical="center" wrapText="1"/>
    </xf>
    <xf numFmtId="9" fontId="0" fillId="0" borderId="362" xfId="1" applyNumberFormat="1" applyFont="1" applyFill="1" applyBorder="1" applyAlignment="1">
      <alignment horizontal="center" vertical="center" wrapText="1"/>
    </xf>
    <xf numFmtId="9" fontId="0" fillId="0" borderId="365" xfId="1" applyNumberFormat="1" applyFont="1" applyFill="1" applyBorder="1" applyAlignment="1">
      <alignment horizontal="center" vertical="center" wrapText="1"/>
    </xf>
    <xf numFmtId="9" fontId="0" fillId="0" borderId="100" xfId="1" applyNumberFormat="1" applyFont="1" applyFill="1" applyBorder="1" applyAlignment="1">
      <alignment horizontal="center" vertical="center" wrapText="1"/>
    </xf>
    <xf numFmtId="0" fontId="26" fillId="36" borderId="101" xfId="3" applyFont="1" applyFill="1" applyBorder="1" applyAlignment="1">
      <alignment horizontal="left" vertical="center" wrapText="1"/>
    </xf>
    <xf numFmtId="0" fontId="26" fillId="36" borderId="360" xfId="3" applyFont="1" applyFill="1" applyBorder="1" applyAlignment="1">
      <alignment horizontal="left" vertical="center" wrapText="1"/>
    </xf>
    <xf numFmtId="0" fontId="26" fillId="36" borderId="102" xfId="3" applyFont="1" applyFill="1" applyBorder="1" applyAlignment="1">
      <alignment horizontal="left" vertical="center" wrapText="1"/>
    </xf>
    <xf numFmtId="0" fontId="1" fillId="0" borderId="0" xfId="0" applyFont="1" applyAlignment="1">
      <alignment horizontal="center" vertical="center"/>
    </xf>
    <xf numFmtId="0" fontId="7" fillId="0" borderId="0" xfId="0" applyFont="1" applyAlignment="1">
      <alignment horizontal="center" vertical="center"/>
    </xf>
    <xf numFmtId="0" fontId="5" fillId="0" borderId="0" xfId="0" applyFont="1" applyAlignment="1">
      <alignment horizontal="center" vertical="center"/>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4" xfId="0" applyFont="1" applyFill="1" applyBorder="1" applyAlignment="1">
      <alignment horizontal="center" vertical="center"/>
    </xf>
    <xf numFmtId="41" fontId="3" fillId="3" borderId="1" xfId="1" applyFont="1" applyFill="1" applyBorder="1" applyAlignment="1">
      <alignment horizontal="center" vertical="center" wrapText="1"/>
    </xf>
    <xf numFmtId="41" fontId="3" fillId="3" borderId="1" xfId="1" applyFont="1" applyFill="1" applyBorder="1" applyAlignment="1">
      <alignment horizontal="center" vertical="center"/>
    </xf>
    <xf numFmtId="41" fontId="3" fillId="3" borderId="5" xfId="1" applyFont="1" applyFill="1" applyBorder="1" applyAlignment="1">
      <alignment horizontal="center" vertical="center" wrapText="1"/>
    </xf>
    <xf numFmtId="41" fontId="3" fillId="3" borderId="7" xfId="1" applyFont="1" applyFill="1" applyBorder="1" applyAlignment="1">
      <alignment horizontal="center" vertical="center" wrapText="1"/>
    </xf>
    <xf numFmtId="0" fontId="3" fillId="3" borderId="5" xfId="0" applyFont="1" applyFill="1" applyBorder="1" applyAlignment="1">
      <alignment horizontal="center" vertical="center" wrapText="1"/>
    </xf>
    <xf numFmtId="0" fontId="3" fillId="3" borderId="7" xfId="0" applyFont="1" applyFill="1" applyBorder="1" applyAlignment="1">
      <alignment horizontal="center" vertical="center" wrapText="1"/>
    </xf>
    <xf numFmtId="0" fontId="3" fillId="3" borderId="9" xfId="0" applyFont="1" applyFill="1" applyBorder="1" applyAlignment="1">
      <alignment horizontal="center" vertical="center"/>
    </xf>
    <xf numFmtId="0" fontId="3" fillId="3" borderId="22" xfId="0" applyFont="1" applyFill="1" applyBorder="1" applyAlignment="1">
      <alignment horizontal="center" vertical="center"/>
    </xf>
    <xf numFmtId="0" fontId="3" fillId="3" borderId="14" xfId="0" applyFont="1" applyFill="1" applyBorder="1" applyAlignment="1">
      <alignment horizontal="center" vertical="center" wrapText="1"/>
    </xf>
    <xf numFmtId="0" fontId="3" fillId="3" borderId="24" xfId="0" applyFont="1" applyFill="1" applyBorder="1" applyAlignment="1">
      <alignment horizontal="center" vertical="center" wrapText="1"/>
    </xf>
    <xf numFmtId="0" fontId="3" fillId="3" borderId="29" xfId="0" applyFont="1" applyFill="1" applyBorder="1" applyAlignment="1">
      <alignment horizontal="center" vertical="center" wrapText="1"/>
    </xf>
    <xf numFmtId="0" fontId="3" fillId="3" borderId="35" xfId="0" applyFont="1" applyFill="1" applyBorder="1" applyAlignment="1">
      <alignment horizontal="center" vertical="center" wrapText="1"/>
    </xf>
    <xf numFmtId="0" fontId="3" fillId="3" borderId="9" xfId="0" applyFont="1" applyFill="1" applyBorder="1" applyAlignment="1">
      <alignment horizontal="center" vertical="center" wrapText="1"/>
    </xf>
    <xf numFmtId="0" fontId="3" fillId="3" borderId="36" xfId="0" applyFont="1" applyFill="1" applyBorder="1" applyAlignment="1">
      <alignment horizontal="center" vertical="center" wrapText="1"/>
    </xf>
    <xf numFmtId="41" fontId="3" fillId="3" borderId="15" xfId="1" applyFont="1" applyFill="1" applyBorder="1" applyAlignment="1">
      <alignment horizontal="center" vertical="center" wrapText="1"/>
    </xf>
    <xf numFmtId="41" fontId="3" fillId="3" borderId="17" xfId="1" applyFont="1" applyFill="1" applyBorder="1" applyAlignment="1">
      <alignment horizontal="center" vertical="center"/>
    </xf>
    <xf numFmtId="41" fontId="3" fillId="3" borderId="9" xfId="1" applyFont="1" applyFill="1" applyBorder="1" applyAlignment="1">
      <alignment horizontal="center" vertical="center" wrapText="1"/>
    </xf>
    <xf numFmtId="41" fontId="3" fillId="3" borderId="14" xfId="1" applyFont="1" applyFill="1" applyBorder="1" applyAlignment="1">
      <alignment horizontal="center" vertical="center" wrapText="1"/>
    </xf>
    <xf numFmtId="41" fontId="3" fillId="3" borderId="2" xfId="1" applyFont="1" applyFill="1" applyBorder="1" applyAlignment="1">
      <alignment horizontal="center" vertical="center"/>
    </xf>
    <xf numFmtId="0" fontId="3" fillId="3" borderId="23" xfId="0" applyFont="1" applyFill="1" applyBorder="1" applyAlignment="1">
      <alignment horizontal="center" vertical="center" wrapText="1"/>
    </xf>
    <xf numFmtId="0" fontId="3" fillId="3" borderId="34" xfId="0" applyFont="1" applyFill="1" applyBorder="1" applyAlignment="1">
      <alignment horizontal="center" vertical="center" wrapText="1"/>
    </xf>
    <xf numFmtId="0" fontId="3" fillId="3" borderId="37" xfId="0" applyFont="1" applyFill="1" applyBorder="1" applyAlignment="1">
      <alignment horizontal="center" vertical="center" wrapText="1"/>
    </xf>
    <xf numFmtId="0" fontId="3" fillId="3" borderId="8" xfId="0" applyFont="1" applyFill="1" applyBorder="1" applyAlignment="1">
      <alignment horizontal="center" vertical="center"/>
    </xf>
    <xf numFmtId="0" fontId="3" fillId="3" borderId="10" xfId="0" applyFont="1" applyFill="1" applyBorder="1" applyAlignment="1">
      <alignment horizontal="center" vertical="center"/>
    </xf>
    <xf numFmtId="0" fontId="7" fillId="0" borderId="5" xfId="0" applyFont="1" applyBorder="1" applyAlignment="1">
      <alignment horizontal="center" vertical="center"/>
    </xf>
    <xf numFmtId="0" fontId="7" fillId="0" borderId="7" xfId="0" applyFont="1" applyBorder="1" applyAlignment="1">
      <alignment horizontal="center" vertical="center"/>
    </xf>
    <xf numFmtId="0" fontId="7" fillId="0" borderId="6" xfId="0" applyFont="1" applyBorder="1" applyAlignment="1">
      <alignment horizontal="center" vertical="center"/>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8" borderId="5" xfId="0" applyFont="1" applyFill="1" applyBorder="1" applyAlignment="1">
      <alignment horizontal="left" vertical="center" wrapText="1"/>
    </xf>
    <xf numFmtId="0" fontId="7" fillId="8" borderId="7" xfId="0" applyFont="1" applyFill="1" applyBorder="1" applyAlignment="1">
      <alignment horizontal="left" vertical="center" wrapText="1"/>
    </xf>
    <xf numFmtId="0" fontId="7" fillId="0" borderId="6" xfId="0" applyFont="1" applyBorder="1" applyAlignment="1">
      <alignment horizontal="left" vertical="center" wrapText="1"/>
    </xf>
    <xf numFmtId="0" fontId="7" fillId="0" borderId="1" xfId="0" applyFont="1" applyBorder="1" applyAlignment="1">
      <alignment horizontal="center" vertical="center"/>
    </xf>
    <xf numFmtId="0" fontId="7" fillId="0" borderId="5" xfId="0" applyFont="1" applyBorder="1" applyAlignment="1">
      <alignment horizontal="center" vertical="center" wrapText="1"/>
    </xf>
    <xf numFmtId="0" fontId="0" fillId="0" borderId="7" xfId="0" applyFont="1" applyBorder="1" applyAlignment="1">
      <alignment horizontal="center" vertical="center"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41" fontId="7" fillId="0" borderId="19" xfId="1" applyFont="1" applyBorder="1" applyAlignment="1">
      <alignment horizontal="center" vertical="center"/>
    </xf>
    <xf numFmtId="41" fontId="7" fillId="0" borderId="20" xfId="1" applyFont="1" applyBorder="1" applyAlignment="1">
      <alignment horizontal="center" vertical="center"/>
    </xf>
    <xf numFmtId="41" fontId="7" fillId="0" borderId="21" xfId="1" applyFont="1" applyBorder="1" applyAlignment="1">
      <alignment horizontal="center" vertical="center"/>
    </xf>
    <xf numFmtId="41" fontId="3" fillId="3" borderId="16" xfId="1" applyFont="1" applyFill="1" applyBorder="1" applyAlignment="1">
      <alignment horizontal="center" vertical="center" wrapText="1"/>
    </xf>
    <xf numFmtId="41" fontId="3" fillId="3" borderId="18" xfId="1" applyFont="1" applyFill="1" applyBorder="1" applyAlignment="1">
      <alignment horizontal="center" vertical="center" wrapText="1"/>
    </xf>
    <xf numFmtId="41" fontId="7" fillId="0" borderId="19" xfId="1" applyFont="1" applyBorder="1" applyAlignment="1">
      <alignment horizontal="left" vertical="center" wrapText="1"/>
    </xf>
    <xf numFmtId="0" fontId="0" fillId="0" borderId="20" xfId="0" applyFont="1" applyBorder="1" applyAlignment="1">
      <alignment horizontal="left" vertical="center" wrapText="1"/>
    </xf>
    <xf numFmtId="41" fontId="7" fillId="8" borderId="19" xfId="1" applyFont="1" applyFill="1" applyBorder="1" applyAlignment="1">
      <alignment horizontal="left" vertical="center" wrapText="1"/>
    </xf>
    <xf numFmtId="41" fontId="7" fillId="0" borderId="19" xfId="1" applyFont="1" applyBorder="1" applyAlignment="1">
      <alignment horizontal="center" vertical="center" wrapText="1"/>
    </xf>
    <xf numFmtId="41" fontId="7" fillId="0" borderId="21" xfId="1" applyFont="1" applyBorder="1" applyAlignment="1">
      <alignment horizontal="center" vertical="center" wrapText="1"/>
    </xf>
    <xf numFmtId="41" fontId="7" fillId="0" borderId="20" xfId="1" applyFont="1" applyBorder="1" applyAlignment="1">
      <alignment horizontal="center" vertical="center" wrapText="1"/>
    </xf>
    <xf numFmtId="41" fontId="7" fillId="0" borderId="5" xfId="1" applyFont="1" applyBorder="1" applyAlignment="1">
      <alignment horizontal="center" vertical="center"/>
    </xf>
    <xf numFmtId="41" fontId="7" fillId="0" borderId="7" xfId="1" applyFont="1" applyBorder="1" applyAlignment="1">
      <alignment horizontal="center" vertical="center"/>
    </xf>
    <xf numFmtId="41" fontId="7" fillId="0" borderId="28" xfId="0" applyNumberFormat="1" applyFont="1" applyBorder="1" applyAlignment="1">
      <alignment horizontal="center" vertical="center" wrapText="1"/>
    </xf>
    <xf numFmtId="41" fontId="7" fillId="0" borderId="27" xfId="0" applyNumberFormat="1" applyFont="1" applyBorder="1" applyAlignment="1">
      <alignment horizontal="center" vertical="center" wrapText="1"/>
    </xf>
    <xf numFmtId="0" fontId="3" fillId="3" borderId="53" xfId="0" applyFont="1" applyFill="1" applyBorder="1" applyAlignment="1">
      <alignment horizontal="center" vertical="center"/>
    </xf>
    <xf numFmtId="0" fontId="3" fillId="3" borderId="65" xfId="0" applyFont="1" applyFill="1" applyBorder="1" applyAlignment="1">
      <alignment horizontal="center" vertical="center"/>
    </xf>
    <xf numFmtId="0" fontId="3" fillId="3" borderId="317" xfId="0" applyFont="1" applyFill="1" applyBorder="1" applyAlignment="1">
      <alignment horizontal="center" vertical="center" wrapText="1"/>
    </xf>
    <xf numFmtId="0" fontId="3" fillId="3" borderId="53" xfId="0" applyFont="1" applyFill="1" applyBorder="1" applyAlignment="1">
      <alignment horizontal="center" vertical="center" wrapText="1"/>
    </xf>
    <xf numFmtId="0" fontId="3" fillId="3" borderId="57" xfId="0" applyFont="1" applyFill="1" applyBorder="1" applyAlignment="1">
      <alignment horizontal="center" vertical="center" wrapText="1"/>
    </xf>
    <xf numFmtId="0" fontId="3" fillId="3" borderId="24" xfId="0" applyFont="1" applyFill="1" applyBorder="1" applyAlignment="1">
      <alignment horizontal="center" vertical="center"/>
    </xf>
    <xf numFmtId="0" fontId="3" fillId="3" borderId="315" xfId="0" applyFont="1" applyFill="1" applyBorder="1" applyAlignment="1">
      <alignment horizontal="center" vertical="center"/>
    </xf>
    <xf numFmtId="0" fontId="3" fillId="3" borderId="52" xfId="0" applyFont="1" applyFill="1" applyBorder="1" applyAlignment="1">
      <alignment horizontal="center" vertical="center" wrapText="1"/>
    </xf>
    <xf numFmtId="0" fontId="3" fillId="3" borderId="315" xfId="0" applyFont="1" applyFill="1" applyBorder="1" applyAlignment="1">
      <alignment horizontal="center" vertical="center" wrapText="1"/>
    </xf>
    <xf numFmtId="0" fontId="5" fillId="6" borderId="2" xfId="0" applyFont="1" applyFill="1" applyBorder="1" applyAlignment="1">
      <alignment horizontal="left" vertical="center" wrapText="1"/>
    </xf>
    <xf numFmtId="0" fontId="0" fillId="0" borderId="4" xfId="0" applyBorder="1" applyAlignment="1">
      <alignment horizontal="left" vertical="center" wrapText="1"/>
    </xf>
    <xf numFmtId="41" fontId="3" fillId="3" borderId="301" xfId="1" applyFont="1" applyFill="1" applyBorder="1" applyAlignment="1">
      <alignment horizontal="center" vertical="center" wrapText="1"/>
    </xf>
    <xf numFmtId="41" fontId="3" fillId="3" borderId="20" xfId="1" applyFont="1" applyFill="1" applyBorder="1" applyAlignment="1">
      <alignment horizontal="center" vertical="center" wrapText="1"/>
    </xf>
    <xf numFmtId="41" fontId="7" fillId="0" borderId="19" xfId="1" applyFont="1" applyFill="1" applyBorder="1" applyAlignment="1">
      <alignment horizontal="center" vertical="center"/>
    </xf>
    <xf numFmtId="41" fontId="7" fillId="0" borderId="21" xfId="1" applyFont="1" applyFill="1" applyBorder="1" applyAlignment="1">
      <alignment horizontal="center" vertical="center"/>
    </xf>
    <xf numFmtId="41" fontId="7" fillId="0" borderId="20" xfId="1" applyFont="1" applyFill="1" applyBorder="1" applyAlignment="1">
      <alignment horizontal="center" vertical="center"/>
    </xf>
    <xf numFmtId="41" fontId="34" fillId="3" borderId="301" xfId="1" applyFont="1" applyFill="1" applyBorder="1" applyAlignment="1">
      <alignment horizontal="center" vertical="center" wrapText="1"/>
    </xf>
    <xf numFmtId="41" fontId="34" fillId="3" borderId="20" xfId="1" applyFont="1" applyFill="1" applyBorder="1" applyAlignment="1">
      <alignment horizontal="center" vertical="center" wrapText="1"/>
    </xf>
    <xf numFmtId="41" fontId="31" fillId="0" borderId="19" xfId="1" applyFont="1" applyBorder="1" applyAlignment="1">
      <alignment horizontal="center" vertical="center" wrapText="1"/>
    </xf>
    <xf numFmtId="41" fontId="31" fillId="0" borderId="20" xfId="1" applyFont="1" applyBorder="1" applyAlignment="1">
      <alignment horizontal="center" vertical="center" wrapText="1"/>
    </xf>
    <xf numFmtId="41" fontId="31" fillId="8" borderId="19" xfId="1" applyFont="1" applyFill="1" applyBorder="1" applyAlignment="1">
      <alignment horizontal="center" vertical="center" wrapText="1"/>
    </xf>
    <xf numFmtId="41" fontId="31" fillId="8" borderId="20" xfId="1" applyFont="1" applyFill="1" applyBorder="1" applyAlignment="1">
      <alignment horizontal="center" vertical="center" wrapText="1"/>
    </xf>
    <xf numFmtId="41" fontId="31" fillId="0" borderId="19" xfId="1" applyFont="1" applyFill="1" applyBorder="1" applyAlignment="1">
      <alignment horizontal="center" vertical="center"/>
    </xf>
    <xf numFmtId="41" fontId="31" fillId="0" borderId="21" xfId="1" applyFont="1" applyFill="1" applyBorder="1" applyAlignment="1">
      <alignment horizontal="center" vertical="center"/>
    </xf>
    <xf numFmtId="41" fontId="31" fillId="0" borderId="20" xfId="1" applyFont="1" applyFill="1" applyBorder="1" applyAlignment="1">
      <alignment horizontal="center" vertical="center"/>
    </xf>
    <xf numFmtId="41" fontId="31" fillId="0" borderId="19" xfId="1" applyFont="1" applyBorder="1" applyAlignment="1">
      <alignment horizontal="center" vertical="center"/>
    </xf>
    <xf numFmtId="41" fontId="31" fillId="0" borderId="21" xfId="1" applyFont="1" applyBorder="1" applyAlignment="1">
      <alignment horizontal="center" vertical="center"/>
    </xf>
    <xf numFmtId="41" fontId="31" fillId="0" borderId="20" xfId="1" applyFont="1" applyBorder="1" applyAlignment="1">
      <alignment horizontal="center" vertical="center"/>
    </xf>
    <xf numFmtId="0" fontId="5" fillId="6" borderId="4" xfId="0" applyFont="1" applyFill="1" applyBorder="1" applyAlignment="1">
      <alignment horizontal="left" vertical="center" wrapText="1"/>
    </xf>
    <xf numFmtId="41" fontId="5" fillId="6" borderId="2" xfId="0" applyNumberFormat="1" applyFont="1" applyFill="1" applyBorder="1" applyAlignment="1">
      <alignment horizontal="left" vertical="center" wrapText="1"/>
    </xf>
    <xf numFmtId="0" fontId="5" fillId="6" borderId="1" xfId="0" applyFont="1" applyFill="1" applyBorder="1" applyAlignment="1">
      <alignment horizontal="left" vertical="center" wrapText="1"/>
    </xf>
    <xf numFmtId="0" fontId="5" fillId="6" borderId="25" xfId="0" applyFont="1" applyFill="1" applyBorder="1" applyAlignment="1">
      <alignment horizontal="left" vertical="center" wrapText="1"/>
    </xf>
    <xf numFmtId="0" fontId="3" fillId="3" borderId="43" xfId="0" applyFont="1" applyFill="1" applyBorder="1" applyAlignment="1">
      <alignment horizontal="center" vertical="center"/>
    </xf>
    <xf numFmtId="0" fontId="3" fillId="3" borderId="44" xfId="0" applyFont="1" applyFill="1" applyBorder="1" applyAlignment="1">
      <alignment horizontal="center" vertical="center"/>
    </xf>
    <xf numFmtId="0" fontId="3" fillId="3" borderId="45" xfId="0" applyFont="1" applyFill="1" applyBorder="1" applyAlignment="1">
      <alignment horizontal="center" vertical="center"/>
    </xf>
    <xf numFmtId="0" fontId="7" fillId="0" borderId="5" xfId="0" applyFont="1" applyFill="1" applyBorder="1" applyAlignment="1">
      <alignment horizontal="center" vertical="center"/>
    </xf>
    <xf numFmtId="0" fontId="7" fillId="0" borderId="6" xfId="0" applyFont="1" applyFill="1" applyBorder="1" applyAlignment="1">
      <alignment horizontal="center" vertical="center"/>
    </xf>
    <xf numFmtId="0" fontId="7" fillId="0" borderId="7" xfId="0" applyFont="1" applyFill="1" applyBorder="1" applyAlignment="1">
      <alignment horizontal="center" vertical="center"/>
    </xf>
    <xf numFmtId="0" fontId="0" fillId="0" borderId="7" xfId="0" applyBorder="1" applyAlignment="1">
      <alignment horizontal="left" vertical="center" wrapText="1"/>
    </xf>
    <xf numFmtId="0" fontId="7" fillId="0" borderId="5"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28" xfId="0" applyFont="1" applyBorder="1" applyAlignment="1">
      <alignment horizontal="left" vertical="center" wrapText="1"/>
    </xf>
    <xf numFmtId="0" fontId="7" fillId="0" borderId="328" xfId="0" applyFont="1" applyBorder="1" applyAlignment="1">
      <alignment horizontal="left" vertical="center" wrapText="1"/>
    </xf>
    <xf numFmtId="0" fontId="7" fillId="0" borderId="27" xfId="0" applyFont="1" applyBorder="1" applyAlignment="1">
      <alignment horizontal="left" vertical="center" wrapText="1"/>
    </xf>
    <xf numFmtId="0" fontId="0" fillId="0" borderId="20" xfId="0" applyBorder="1" applyAlignment="1">
      <alignment horizontal="left" vertical="center" wrapText="1"/>
    </xf>
    <xf numFmtId="41" fontId="7" fillId="0" borderId="21" xfId="1" applyFont="1" applyBorder="1" applyAlignment="1">
      <alignment horizontal="left" vertical="center" wrapText="1"/>
    </xf>
    <xf numFmtId="41" fontId="7" fillId="0" borderId="20" xfId="1" applyFont="1" applyBorder="1" applyAlignment="1">
      <alignment horizontal="left" vertical="center" wrapText="1"/>
    </xf>
    <xf numFmtId="41" fontId="47" fillId="3" borderId="301" xfId="1" applyFont="1" applyFill="1" applyBorder="1" applyAlignment="1">
      <alignment horizontal="center" vertical="center" wrapText="1"/>
    </xf>
    <xf numFmtId="41" fontId="47" fillId="3" borderId="20" xfId="1" applyFont="1" applyFill="1" applyBorder="1" applyAlignment="1">
      <alignment horizontal="center" vertical="center" wrapText="1"/>
    </xf>
    <xf numFmtId="41" fontId="31" fillId="0" borderId="19" xfId="1" applyFont="1" applyBorder="1" applyAlignment="1">
      <alignment horizontal="left" vertical="center" wrapText="1"/>
    </xf>
    <xf numFmtId="41" fontId="31" fillId="0" borderId="21" xfId="1" applyFont="1" applyBorder="1" applyAlignment="1">
      <alignment horizontal="center" vertical="center" wrapText="1"/>
    </xf>
    <xf numFmtId="41" fontId="7" fillId="0" borderId="19" xfId="0" applyNumberFormat="1" applyFont="1" applyBorder="1" applyAlignment="1">
      <alignment horizontal="center" vertical="center" wrapText="1"/>
    </xf>
    <xf numFmtId="41" fontId="7" fillId="0" borderId="21" xfId="0" applyNumberFormat="1" applyFont="1" applyBorder="1" applyAlignment="1">
      <alignment horizontal="center" vertical="center" wrapText="1"/>
    </xf>
    <xf numFmtId="41" fontId="7" fillId="0" borderId="20" xfId="0" applyNumberFormat="1" applyFont="1" applyBorder="1" applyAlignment="1">
      <alignment horizontal="center" vertical="center" wrapText="1"/>
    </xf>
    <xf numFmtId="41" fontId="7" fillId="0" borderId="19" xfId="1" applyFont="1" applyFill="1" applyBorder="1" applyAlignment="1">
      <alignment horizontal="center" vertical="center" wrapText="1"/>
    </xf>
    <xf numFmtId="41" fontId="7" fillId="0" borderId="21" xfId="1" applyFont="1" applyFill="1" applyBorder="1" applyAlignment="1">
      <alignment horizontal="center" vertical="center" wrapText="1"/>
    </xf>
    <xf numFmtId="41" fontId="7" fillId="0" borderId="20" xfId="1" applyFont="1" applyFill="1" applyBorder="1" applyAlignment="1">
      <alignment horizontal="center" vertical="center" wrapText="1"/>
    </xf>
    <xf numFmtId="41" fontId="3" fillId="3" borderId="314" xfId="1" applyFont="1" applyFill="1" applyBorder="1" applyAlignment="1">
      <alignment horizontal="center" vertical="center" wrapText="1"/>
    </xf>
    <xf numFmtId="41" fontId="3" fillId="3" borderId="322" xfId="1" applyFont="1" applyFill="1" applyBorder="1" applyAlignment="1">
      <alignment horizontal="center" vertical="center" wrapText="1"/>
    </xf>
    <xf numFmtId="41" fontId="7" fillId="0" borderId="352" xfId="1" applyFont="1" applyBorder="1" applyAlignment="1">
      <alignment horizontal="center" vertical="center"/>
    </xf>
    <xf numFmtId="41" fontId="7" fillId="0" borderId="333" xfId="1" applyFont="1" applyBorder="1" applyAlignment="1">
      <alignment horizontal="center" vertical="center"/>
    </xf>
    <xf numFmtId="41" fontId="7" fillId="0" borderId="322" xfId="1" applyFont="1" applyBorder="1" applyAlignment="1">
      <alignment horizontal="center" vertical="center"/>
    </xf>
    <xf numFmtId="41" fontId="7" fillId="0" borderId="352" xfId="1" applyFont="1" applyBorder="1" applyAlignment="1">
      <alignment horizontal="left" vertical="center" wrapText="1"/>
    </xf>
    <xf numFmtId="0" fontId="0" fillId="0" borderId="322" xfId="0" applyBorder="1" applyAlignment="1">
      <alignment horizontal="left" vertical="center" wrapText="1"/>
    </xf>
    <xf numFmtId="41" fontId="7" fillId="0" borderId="352" xfId="1" applyFont="1" applyBorder="1" applyAlignment="1">
      <alignment horizontal="center" vertical="center" wrapText="1"/>
    </xf>
    <xf numFmtId="41" fontId="7" fillId="0" borderId="333" xfId="1" applyFont="1" applyBorder="1" applyAlignment="1">
      <alignment horizontal="center" vertical="center" wrapText="1"/>
    </xf>
    <xf numFmtId="41" fontId="7" fillId="0" borderId="322" xfId="1" applyFont="1" applyBorder="1" applyAlignment="1">
      <alignment horizontal="center" vertical="center" wrapText="1"/>
    </xf>
    <xf numFmtId="0" fontId="7" fillId="0" borderId="62" xfId="0" applyFont="1" applyFill="1" applyBorder="1" applyAlignment="1">
      <alignment horizontal="center" vertical="center" wrapText="1"/>
    </xf>
    <xf numFmtId="0" fontId="7" fillId="0" borderId="18" xfId="0" applyFont="1" applyFill="1" applyBorder="1" applyAlignment="1">
      <alignment horizontal="center" vertical="center" wrapText="1"/>
    </xf>
    <xf numFmtId="0" fontId="7" fillId="0" borderId="62" xfId="0" applyFont="1" applyBorder="1" applyAlignment="1">
      <alignment horizontal="center" vertical="center" wrapText="1"/>
    </xf>
    <xf numFmtId="0" fontId="7" fillId="0" borderId="60" xfId="0" applyFont="1" applyBorder="1" applyAlignment="1">
      <alignment horizontal="center" vertical="center" wrapText="1"/>
    </xf>
    <xf numFmtId="0" fontId="7" fillId="0" borderId="18" xfId="0" applyFont="1" applyBorder="1" applyAlignment="1">
      <alignment horizontal="center" vertical="center" wrapText="1"/>
    </xf>
    <xf numFmtId="41" fontId="7" fillId="0" borderId="5" xfId="1" applyFont="1" applyFill="1" applyBorder="1" applyAlignment="1">
      <alignment horizontal="center" vertical="center"/>
    </xf>
    <xf numFmtId="41" fontId="7" fillId="0" borderId="7" xfId="1" applyFont="1" applyFill="1" applyBorder="1" applyAlignment="1">
      <alignment horizontal="center" vertical="center"/>
    </xf>
    <xf numFmtId="41" fontId="7" fillId="0" borderId="5" xfId="1" applyFont="1" applyBorder="1" applyAlignment="1">
      <alignment horizontal="left" vertical="center" wrapText="1"/>
    </xf>
    <xf numFmtId="41" fontId="7" fillId="0" borderId="6" xfId="1" applyFont="1" applyBorder="1" applyAlignment="1">
      <alignment horizontal="center" vertical="center"/>
    </xf>
    <xf numFmtId="41" fontId="7" fillId="0" borderId="62" xfId="1" applyFont="1" applyBorder="1" applyAlignment="1">
      <alignment horizontal="center" vertical="center" wrapText="1"/>
    </xf>
    <xf numFmtId="41" fontId="7" fillId="0" borderId="60" xfId="1" applyFont="1" applyBorder="1" applyAlignment="1">
      <alignment horizontal="center" vertical="center" wrapText="1"/>
    </xf>
    <xf numFmtId="41" fontId="7" fillId="0" borderId="18" xfId="1" applyFont="1" applyBorder="1" applyAlignment="1">
      <alignment horizontal="center" vertical="center" wrapText="1"/>
    </xf>
    <xf numFmtId="41" fontId="7" fillId="0" borderId="28" xfId="0" applyNumberFormat="1" applyFont="1" applyFill="1" applyBorder="1" applyAlignment="1">
      <alignment horizontal="center" vertical="center" wrapText="1"/>
    </xf>
    <xf numFmtId="41" fontId="7" fillId="0" borderId="27" xfId="0" applyNumberFormat="1" applyFont="1" applyFill="1" applyBorder="1" applyAlignment="1">
      <alignment horizontal="center" vertical="center" wrapText="1"/>
    </xf>
    <xf numFmtId="0" fontId="0" fillId="0" borderId="27" xfId="0" applyBorder="1" applyAlignment="1">
      <alignment horizontal="center" vertical="center" wrapText="1"/>
    </xf>
    <xf numFmtId="41" fontId="7" fillId="0" borderId="328" xfId="0" applyNumberFormat="1" applyFont="1" applyBorder="1" applyAlignment="1">
      <alignment horizontal="center" vertical="center" wrapText="1"/>
    </xf>
    <xf numFmtId="41" fontId="7" fillId="0" borderId="5" xfId="1" applyFont="1" applyBorder="1" applyAlignment="1">
      <alignment horizontal="center" vertical="center" wrapText="1"/>
    </xf>
    <xf numFmtId="41" fontId="7" fillId="0" borderId="7" xfId="1" applyFont="1" applyBorder="1" applyAlignment="1">
      <alignment horizontal="center" vertical="center" wrapText="1"/>
    </xf>
    <xf numFmtId="41" fontId="7" fillId="0" borderId="326" xfId="1" applyFont="1" applyBorder="1" applyAlignment="1">
      <alignment horizontal="left" vertical="center" wrapText="1"/>
    </xf>
    <xf numFmtId="0" fontId="0" fillId="0" borderId="32" xfId="0" applyFont="1" applyBorder="1" applyAlignment="1">
      <alignment horizontal="left" vertical="center" wrapText="1"/>
    </xf>
    <xf numFmtId="41" fontId="7" fillId="0" borderId="326" xfId="1" applyFont="1" applyFill="1" applyBorder="1" applyAlignment="1">
      <alignment horizontal="left" vertical="center" wrapText="1"/>
    </xf>
    <xf numFmtId="41" fontId="7" fillId="0" borderId="325" xfId="1" applyFont="1" applyFill="1" applyBorder="1" applyAlignment="1">
      <alignment horizontal="left" vertical="center" wrapText="1"/>
    </xf>
    <xf numFmtId="41" fontId="7" fillId="0" borderId="32" xfId="1" applyFont="1" applyFill="1" applyBorder="1" applyAlignment="1">
      <alignment horizontal="left" vertical="center" wrapText="1"/>
    </xf>
    <xf numFmtId="41" fontId="7" fillId="0" borderId="325" xfId="1" applyFont="1" applyBorder="1" applyAlignment="1">
      <alignment horizontal="left" vertical="center" wrapText="1"/>
    </xf>
    <xf numFmtId="41" fontId="7" fillId="0" borderId="32" xfId="1" applyFont="1" applyBorder="1" applyAlignment="1">
      <alignment horizontal="left" vertical="center" wrapText="1"/>
    </xf>
    <xf numFmtId="0" fontId="3" fillId="3" borderId="302" xfId="0" applyFont="1" applyFill="1" applyBorder="1" applyAlignment="1">
      <alignment horizontal="center" vertical="center"/>
    </xf>
    <xf numFmtId="0" fontId="3" fillId="3" borderId="304" xfId="0" applyFont="1" applyFill="1" applyBorder="1" applyAlignment="1">
      <alignment horizontal="center" vertical="center"/>
    </xf>
    <xf numFmtId="0" fontId="3" fillId="3" borderId="54" xfId="0" applyFont="1" applyFill="1" applyBorder="1" applyAlignment="1">
      <alignment horizontal="center" vertical="center"/>
    </xf>
    <xf numFmtId="0" fontId="3" fillId="3" borderId="67" xfId="0" applyFont="1" applyFill="1" applyBorder="1" applyAlignment="1">
      <alignment horizontal="center" vertical="center"/>
    </xf>
    <xf numFmtId="41" fontId="7" fillId="8" borderId="5" xfId="1" applyFont="1" applyFill="1" applyBorder="1" applyAlignment="1">
      <alignment horizontal="center" vertical="center" wrapText="1"/>
    </xf>
    <xf numFmtId="41" fontId="7" fillId="0" borderId="5" xfId="1" applyFont="1" applyFill="1" applyBorder="1" applyAlignment="1">
      <alignment horizontal="center" vertical="center" wrapText="1"/>
    </xf>
    <xf numFmtId="41" fontId="7" fillId="0" borderId="6" xfId="1" applyFont="1" applyFill="1" applyBorder="1" applyAlignment="1">
      <alignment horizontal="center" vertical="center" wrapText="1"/>
    </xf>
    <xf numFmtId="41" fontId="7" fillId="0" borderId="7" xfId="1" applyFont="1" applyFill="1" applyBorder="1" applyAlignment="1">
      <alignment horizontal="center" vertical="center" wrapText="1"/>
    </xf>
    <xf numFmtId="41" fontId="7" fillId="0" borderId="6" xfId="1" applyFont="1" applyBorder="1" applyAlignment="1">
      <alignment horizontal="center" vertical="center" wrapText="1"/>
    </xf>
    <xf numFmtId="41" fontId="7" fillId="0" borderId="56" xfId="0" applyNumberFormat="1" applyFont="1" applyBorder="1" applyAlignment="1">
      <alignment horizontal="center" vertical="center" wrapText="1"/>
    </xf>
    <xf numFmtId="41" fontId="7" fillId="0" borderId="55" xfId="0" applyNumberFormat="1" applyFont="1" applyBorder="1" applyAlignment="1">
      <alignment horizontal="center" vertical="center" wrapText="1"/>
    </xf>
    <xf numFmtId="0" fontId="0" fillId="0" borderId="18" xfId="0" applyFont="1" applyBorder="1" applyAlignment="1">
      <alignment horizontal="center" vertical="center" wrapText="1"/>
    </xf>
    <xf numFmtId="41" fontId="7" fillId="8" borderId="62" xfId="1" applyFont="1" applyFill="1" applyBorder="1" applyAlignment="1">
      <alignment horizontal="center" vertical="center" wrapText="1"/>
    </xf>
    <xf numFmtId="41" fontId="7" fillId="0" borderId="62" xfId="1" applyFont="1" applyFill="1" applyBorder="1" applyAlignment="1">
      <alignment horizontal="center" vertical="center" wrapText="1"/>
    </xf>
    <xf numFmtId="41" fontId="7" fillId="0" borderId="60" xfId="1" applyFont="1" applyFill="1" applyBorder="1" applyAlignment="1">
      <alignment horizontal="center" vertical="center" wrapText="1"/>
    </xf>
    <xf numFmtId="41" fontId="7" fillId="0" borderId="18" xfId="1" applyFont="1" applyFill="1" applyBorder="1" applyAlignment="1">
      <alignment horizontal="center" vertical="center" wrapText="1"/>
    </xf>
    <xf numFmtId="0" fontId="3" fillId="3" borderId="14" xfId="0" applyFont="1" applyFill="1" applyBorder="1" applyAlignment="1">
      <alignment horizontal="center" vertical="center"/>
    </xf>
    <xf numFmtId="0" fontId="3" fillId="3" borderId="29" xfId="0" applyFont="1" applyFill="1" applyBorder="1" applyAlignment="1">
      <alignment horizontal="center" vertical="center"/>
    </xf>
    <xf numFmtId="0" fontId="3" fillId="3" borderId="40" xfId="0" applyFont="1" applyFill="1" applyBorder="1" applyAlignment="1">
      <alignment horizontal="center" vertical="center"/>
    </xf>
    <xf numFmtId="0" fontId="3" fillId="3" borderId="41" xfId="0" applyFont="1" applyFill="1" applyBorder="1" applyAlignment="1">
      <alignment horizontal="center" vertical="center"/>
    </xf>
    <xf numFmtId="0" fontId="3" fillId="3" borderId="40" xfId="0" applyFont="1" applyFill="1" applyBorder="1" applyAlignment="1">
      <alignment horizontal="center" vertical="center" wrapText="1"/>
    </xf>
    <xf numFmtId="0" fontId="3" fillId="3" borderId="59" xfId="0" applyFont="1" applyFill="1" applyBorder="1" applyAlignment="1">
      <alignment horizontal="center" vertical="center" wrapText="1"/>
    </xf>
    <xf numFmtId="0" fontId="7" fillId="0" borderId="56" xfId="0" applyFont="1" applyBorder="1" applyAlignment="1">
      <alignment horizontal="center" vertical="center" wrapText="1"/>
    </xf>
    <xf numFmtId="0" fontId="7" fillId="0" borderId="55" xfId="0" applyFont="1" applyBorder="1" applyAlignment="1">
      <alignment horizontal="center" vertical="center" wrapText="1"/>
    </xf>
    <xf numFmtId="41" fontId="7" fillId="0" borderId="19" xfId="1" applyFont="1" applyBorder="1" applyAlignment="1">
      <alignment horizontal="center" wrapText="1"/>
    </xf>
    <xf numFmtId="0" fontId="0" fillId="0" borderId="20" xfId="0" applyFont="1" applyBorder="1" applyAlignment="1">
      <alignment horizontal="center" wrapText="1"/>
    </xf>
    <xf numFmtId="41" fontId="7" fillId="0" borderId="20" xfId="1" applyFont="1" applyBorder="1" applyAlignment="1">
      <alignment horizontal="center" wrapText="1"/>
    </xf>
    <xf numFmtId="41" fontId="7" fillId="8" borderId="19" xfId="1" applyFont="1" applyFill="1" applyBorder="1" applyAlignment="1">
      <alignment horizontal="center" vertical="center" wrapText="1"/>
    </xf>
    <xf numFmtId="0" fontId="0" fillId="0" borderId="20" xfId="0" applyFont="1" applyBorder="1" applyAlignment="1">
      <alignment horizontal="center" vertical="center" wrapText="1"/>
    </xf>
    <xf numFmtId="0" fontId="3" fillId="3" borderId="39" xfId="0" applyFont="1" applyFill="1" applyBorder="1" applyAlignment="1">
      <alignment horizontal="center" vertical="center"/>
    </xf>
    <xf numFmtId="0" fontId="3" fillId="3" borderId="7" xfId="0" applyFont="1" applyFill="1" applyBorder="1" applyAlignment="1">
      <alignment horizontal="center" vertical="center"/>
    </xf>
    <xf numFmtId="0" fontId="1" fillId="3" borderId="348" xfId="0" applyFont="1" applyFill="1" applyBorder="1" applyAlignment="1">
      <alignment horizontal="center" vertical="center" wrapText="1"/>
    </xf>
    <xf numFmtId="0" fontId="1" fillId="3" borderId="313" xfId="0" applyFont="1" applyFill="1" applyBorder="1" applyAlignment="1">
      <alignment horizontal="center" vertical="center" wrapText="1"/>
    </xf>
    <xf numFmtId="0" fontId="1" fillId="3" borderId="62" xfId="0" applyFont="1" applyFill="1" applyBorder="1" applyAlignment="1">
      <alignment horizontal="center" vertical="center" wrapText="1"/>
    </xf>
    <xf numFmtId="0" fontId="1" fillId="3" borderId="304" xfId="0" applyFont="1" applyFill="1" applyBorder="1" applyAlignment="1">
      <alignment horizontal="center" vertical="center" wrapText="1"/>
    </xf>
    <xf numFmtId="0" fontId="1" fillId="3" borderId="54" xfId="0" applyFont="1" applyFill="1" applyBorder="1" applyAlignment="1">
      <alignment horizontal="center" vertical="center" wrapText="1"/>
    </xf>
    <xf numFmtId="0" fontId="1" fillId="3" borderId="18" xfId="0" applyFont="1" applyFill="1" applyBorder="1" applyAlignment="1">
      <alignment horizontal="center" vertical="center" wrapText="1"/>
    </xf>
    <xf numFmtId="0" fontId="4" fillId="0" borderId="0" xfId="0" applyFont="1" applyAlignment="1">
      <alignment horizontal="center" vertical="center"/>
    </xf>
    <xf numFmtId="0" fontId="3" fillId="3" borderId="319" xfId="0" applyFont="1" applyFill="1" applyBorder="1" applyAlignment="1">
      <alignment horizontal="center" vertical="center" wrapText="1"/>
    </xf>
    <xf numFmtId="0" fontId="3" fillId="3" borderId="320" xfId="0" applyFont="1" applyFill="1" applyBorder="1" applyAlignment="1">
      <alignment horizontal="center" vertical="center" wrapText="1"/>
    </xf>
    <xf numFmtId="0" fontId="3" fillId="3" borderId="324" xfId="0" applyFont="1" applyFill="1" applyBorder="1" applyAlignment="1">
      <alignment horizontal="center" vertical="center" wrapText="1"/>
    </xf>
    <xf numFmtId="41" fontId="3" fillId="3" borderId="317" xfId="1" applyFont="1" applyFill="1" applyBorder="1" applyAlignment="1">
      <alignment horizontal="center" vertical="center" wrapText="1"/>
    </xf>
    <xf numFmtId="41" fontId="3" fillId="3" borderId="53" xfId="1" applyFont="1" applyFill="1" applyBorder="1" applyAlignment="1">
      <alignment horizontal="center" vertical="center" wrapText="1"/>
    </xf>
    <xf numFmtId="41" fontId="3" fillId="3" borderId="65" xfId="1" applyFont="1" applyFill="1" applyBorder="1" applyAlignment="1">
      <alignment horizontal="center" vertical="center" wrapText="1"/>
    </xf>
    <xf numFmtId="0" fontId="3" fillId="3" borderId="321" xfId="0" applyFont="1" applyFill="1" applyBorder="1" applyAlignment="1">
      <alignment horizontal="center" vertical="center" wrapText="1"/>
    </xf>
    <xf numFmtId="0" fontId="0" fillId="0" borderId="3" xfId="0" applyBorder="1" applyAlignment="1">
      <alignment horizontal="left" vertical="center" wrapText="1"/>
    </xf>
    <xf numFmtId="41" fontId="3" fillId="3" borderId="66" xfId="1" applyFont="1" applyFill="1" applyBorder="1" applyAlignment="1">
      <alignment horizontal="center" vertical="center" wrapText="1"/>
    </xf>
    <xf numFmtId="41" fontId="3" fillId="3" borderId="55" xfId="1" applyFont="1" applyFill="1" applyBorder="1" applyAlignment="1">
      <alignment horizontal="center" vertical="center" wrapText="1"/>
    </xf>
    <xf numFmtId="41" fontId="7" fillId="0" borderId="56" xfId="1" applyFont="1" applyBorder="1" applyAlignment="1">
      <alignment horizontal="center" vertical="center" wrapText="1"/>
    </xf>
    <xf numFmtId="41" fontId="7" fillId="0" borderId="68" xfId="1" applyFont="1" applyBorder="1" applyAlignment="1">
      <alignment horizontal="center" vertical="center" wrapText="1"/>
    </xf>
    <xf numFmtId="41" fontId="7" fillId="0" borderId="55" xfId="1" applyFont="1" applyBorder="1" applyAlignment="1">
      <alignment horizontal="center" vertical="center" wrapText="1"/>
    </xf>
    <xf numFmtId="41" fontId="3" fillId="3" borderId="57" xfId="1" applyFont="1" applyFill="1" applyBorder="1" applyAlignment="1">
      <alignment horizontal="center" vertical="center" wrapText="1"/>
    </xf>
    <xf numFmtId="41" fontId="3" fillId="3" borderId="58" xfId="1" applyFont="1" applyFill="1" applyBorder="1" applyAlignment="1">
      <alignment horizontal="center" vertical="center" wrapText="1"/>
    </xf>
    <xf numFmtId="0" fontId="5" fillId="6" borderId="3" xfId="0" applyFont="1" applyFill="1" applyBorder="1" applyAlignment="1">
      <alignment horizontal="left" vertical="center" wrapText="1"/>
    </xf>
    <xf numFmtId="0" fontId="5" fillId="6" borderId="2"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5" fillId="6" borderId="5" xfId="0" applyFont="1" applyFill="1" applyBorder="1" applyAlignment="1">
      <alignment horizontal="left" vertical="center" wrapText="1"/>
    </xf>
    <xf numFmtId="0" fontId="5" fillId="6" borderId="63" xfId="0" applyFont="1" applyFill="1" applyBorder="1" applyAlignment="1">
      <alignment horizontal="left" vertical="center" wrapText="1"/>
    </xf>
    <xf numFmtId="0" fontId="31" fillId="0" borderId="63" xfId="0" applyFont="1" applyBorder="1" applyAlignment="1">
      <alignment horizontal="left" vertical="center" wrapText="1"/>
    </xf>
    <xf numFmtId="0" fontId="31" fillId="0" borderId="37" xfId="0" applyFont="1" applyBorder="1" applyAlignment="1">
      <alignment horizontal="left" vertical="center" wrapText="1"/>
    </xf>
    <xf numFmtId="0" fontId="7" fillId="0" borderId="308" xfId="0" applyFont="1" applyBorder="1" applyAlignment="1">
      <alignment horizontal="left" vertical="center" wrapText="1"/>
    </xf>
    <xf numFmtId="0" fontId="7" fillId="0" borderId="37" xfId="0" applyFont="1" applyBorder="1" applyAlignment="1">
      <alignment horizontal="left" vertical="center" wrapText="1"/>
    </xf>
    <xf numFmtId="0" fontId="3" fillId="3" borderId="313" xfId="0" applyFont="1" applyFill="1" applyBorder="1" applyAlignment="1">
      <alignment horizontal="center" vertical="center"/>
    </xf>
    <xf numFmtId="0" fontId="0" fillId="0" borderId="7" xfId="0" applyBorder="1" applyAlignment="1">
      <alignment horizontal="center" vertical="center" wrapText="1"/>
    </xf>
    <xf numFmtId="0" fontId="7" fillId="0" borderId="307" xfId="0" applyFont="1" applyBorder="1" applyAlignment="1">
      <alignment horizontal="center" vertical="center"/>
    </xf>
    <xf numFmtId="0" fontId="7" fillId="0" borderId="63" xfId="0" applyFont="1" applyBorder="1" applyAlignment="1">
      <alignment horizontal="center" vertical="center"/>
    </xf>
    <xf numFmtId="0" fontId="7" fillId="0" borderId="37" xfId="0" applyFont="1" applyBorder="1" applyAlignment="1">
      <alignment horizontal="center" vertical="center"/>
    </xf>
    <xf numFmtId="0" fontId="7" fillId="0" borderId="63" xfId="0" applyFont="1" applyBorder="1" applyAlignment="1">
      <alignment horizontal="left" vertical="center" wrapText="1"/>
    </xf>
    <xf numFmtId="0" fontId="7" fillId="0" borderId="61" xfId="0" applyFont="1" applyBorder="1" applyAlignment="1">
      <alignment horizontal="left" vertical="center" wrapText="1"/>
    </xf>
    <xf numFmtId="0" fontId="7" fillId="8" borderId="63" xfId="0" applyFont="1" applyFill="1" applyBorder="1" applyAlignment="1">
      <alignment horizontal="left" vertical="center" wrapText="1"/>
    </xf>
    <xf numFmtId="0" fontId="7" fillId="8" borderId="37" xfId="0" applyFont="1" applyFill="1" applyBorder="1" applyAlignment="1">
      <alignment horizontal="left" vertical="center" wrapText="1"/>
    </xf>
    <xf numFmtId="0" fontId="7" fillId="0" borderId="63" xfId="0" applyFont="1" applyFill="1" applyBorder="1" applyAlignment="1">
      <alignment horizontal="left" vertical="center" wrapText="1"/>
    </xf>
    <xf numFmtId="0" fontId="7" fillId="0" borderId="61" xfId="0" applyFont="1" applyFill="1" applyBorder="1" applyAlignment="1">
      <alignment horizontal="left" vertical="center" wrapText="1"/>
    </xf>
    <xf numFmtId="0" fontId="7" fillId="0" borderId="37" xfId="0" applyFont="1" applyFill="1" applyBorder="1" applyAlignment="1">
      <alignment horizontal="left" vertical="center" wrapText="1"/>
    </xf>
    <xf numFmtId="0" fontId="7" fillId="0" borderId="310" xfId="0" applyFont="1" applyBorder="1" applyAlignment="1">
      <alignment horizontal="center" vertical="center" wrapText="1"/>
    </xf>
    <xf numFmtId="0" fontId="7" fillId="0" borderId="311" xfId="0" applyFont="1" applyBorder="1" applyAlignment="1">
      <alignment horizontal="center" vertical="center" wrapText="1"/>
    </xf>
    <xf numFmtId="41" fontId="3" fillId="3" borderId="303" xfId="1" applyFont="1" applyFill="1" applyBorder="1" applyAlignment="1">
      <alignment horizontal="center" vertical="center" wrapText="1"/>
    </xf>
    <xf numFmtId="41" fontId="3" fillId="3" borderId="27" xfId="1" applyFont="1" applyFill="1" applyBorder="1" applyAlignment="1">
      <alignment horizontal="center" vertical="center" wrapText="1"/>
    </xf>
    <xf numFmtId="41" fontId="7" fillId="0" borderId="28" xfId="1" applyFont="1" applyBorder="1" applyAlignment="1">
      <alignment horizontal="left" vertical="center" wrapText="1"/>
    </xf>
    <xf numFmtId="41" fontId="7" fillId="0" borderId="328" xfId="1" applyFont="1" applyBorder="1" applyAlignment="1">
      <alignment horizontal="left" vertical="center" wrapText="1"/>
    </xf>
    <xf numFmtId="0" fontId="0" fillId="0" borderId="27" xfId="0" applyFont="1" applyBorder="1" applyAlignment="1">
      <alignment horizontal="left" vertical="center" wrapText="1"/>
    </xf>
    <xf numFmtId="41" fontId="7" fillId="8" borderId="28" xfId="1" applyFont="1" applyFill="1" applyBorder="1" applyAlignment="1">
      <alignment horizontal="left" vertical="center" wrapText="1"/>
    </xf>
    <xf numFmtId="41" fontId="7" fillId="0" borderId="28" xfId="1" applyFont="1" applyFill="1" applyBorder="1" applyAlignment="1">
      <alignment horizontal="center" vertical="center"/>
    </xf>
    <xf numFmtId="41" fontId="7" fillId="0" borderId="328" xfId="1" applyFont="1" applyFill="1" applyBorder="1" applyAlignment="1">
      <alignment horizontal="center" vertical="center"/>
    </xf>
    <xf numFmtId="41" fontId="7" fillId="0" borderId="27" xfId="1" applyFont="1" applyFill="1" applyBorder="1" applyAlignment="1">
      <alignment horizontal="center" vertical="center"/>
    </xf>
    <xf numFmtId="41" fontId="7" fillId="0" borderId="28" xfId="1" applyFont="1" applyBorder="1" applyAlignment="1">
      <alignment horizontal="center" vertical="center"/>
    </xf>
    <xf numFmtId="41" fontId="7" fillId="0" borderId="27" xfId="1" applyFont="1" applyBorder="1" applyAlignment="1">
      <alignment horizontal="center" vertical="center"/>
    </xf>
    <xf numFmtId="41" fontId="7" fillId="0" borderId="28" xfId="1" applyFont="1" applyBorder="1" applyAlignment="1">
      <alignment horizontal="center" vertical="center" wrapText="1"/>
    </xf>
    <xf numFmtId="41" fontId="7" fillId="0" borderId="309" xfId="1" applyFont="1" applyBorder="1" applyAlignment="1">
      <alignment horizontal="center" vertical="center"/>
    </xf>
    <xf numFmtId="41" fontId="7" fillId="0" borderId="27" xfId="1" applyFont="1" applyBorder="1" applyAlignment="1">
      <alignment horizontal="left" vertical="center" wrapText="1"/>
    </xf>
    <xf numFmtId="41" fontId="7" fillId="0" borderId="328" xfId="1" applyFont="1" applyBorder="1" applyAlignment="1">
      <alignment horizontal="center" vertical="center" wrapText="1"/>
    </xf>
    <xf numFmtId="0" fontId="0" fillId="0" borderId="20" xfId="0" applyBorder="1" applyAlignment="1">
      <alignment horizontal="center" vertical="center" wrapText="1"/>
    </xf>
    <xf numFmtId="41" fontId="7" fillId="0" borderId="56" xfId="1" applyFont="1" applyBorder="1" applyAlignment="1">
      <alignment horizontal="center" vertical="center"/>
    </xf>
    <xf numFmtId="41" fontId="7" fillId="0" borderId="55" xfId="1" applyFont="1" applyBorder="1" applyAlignment="1">
      <alignment horizontal="center" vertical="center"/>
    </xf>
    <xf numFmtId="41" fontId="7" fillId="0" borderId="56" xfId="1" applyFont="1" applyFill="1" applyBorder="1" applyAlignment="1">
      <alignment horizontal="center" vertical="center"/>
    </xf>
    <xf numFmtId="41" fontId="7" fillId="0" borderId="68" xfId="1" applyFont="1" applyFill="1" applyBorder="1" applyAlignment="1">
      <alignment horizontal="center" vertical="center"/>
    </xf>
    <xf numFmtId="41" fontId="7" fillId="0" borderId="55" xfId="1" applyFont="1" applyFill="1" applyBorder="1" applyAlignment="1">
      <alignment horizontal="center" vertical="center"/>
    </xf>
    <xf numFmtId="41" fontId="7" fillId="0" borderId="68" xfId="0" applyNumberFormat="1" applyFont="1" applyBorder="1" applyAlignment="1">
      <alignment horizontal="center" vertical="center" wrapText="1"/>
    </xf>
    <xf numFmtId="41" fontId="7" fillId="0" borderId="56" xfId="1" applyFont="1" applyFill="1" applyBorder="1" applyAlignment="1">
      <alignment horizontal="center" vertical="center" wrapText="1"/>
    </xf>
    <xf numFmtId="41" fontId="7" fillId="0" borderId="68" xfId="1" applyFont="1" applyFill="1" applyBorder="1" applyAlignment="1">
      <alignment horizontal="center" vertical="center" wrapText="1"/>
    </xf>
    <xf numFmtId="41" fontId="7" fillId="0" borderId="329" xfId="1" applyFont="1" applyBorder="1" applyAlignment="1">
      <alignment horizontal="center" vertical="center"/>
    </xf>
    <xf numFmtId="41" fontId="7" fillId="0" borderId="58" xfId="1" applyFont="1" applyBorder="1" applyAlignment="1">
      <alignment horizontal="center" vertical="center"/>
    </xf>
    <xf numFmtId="41" fontId="7" fillId="0" borderId="316" xfId="1" applyFont="1" applyBorder="1" applyAlignment="1">
      <alignment horizontal="center" vertical="center"/>
    </xf>
    <xf numFmtId="41" fontId="7" fillId="0" borderId="316" xfId="1" applyFont="1" applyBorder="1" applyAlignment="1">
      <alignment horizontal="center" vertical="center" wrapText="1"/>
    </xf>
    <xf numFmtId="41" fontId="7" fillId="0" borderId="329" xfId="1" applyFont="1" applyBorder="1" applyAlignment="1">
      <alignment horizontal="center" vertical="center" wrapText="1"/>
    </xf>
    <xf numFmtId="41" fontId="7" fillId="0" borderId="63" xfId="0" applyNumberFormat="1" applyFont="1" applyFill="1" applyBorder="1" applyAlignment="1">
      <alignment horizontal="center" vertical="center" wrapText="1"/>
    </xf>
    <xf numFmtId="41" fontId="7" fillId="0" borderId="37" xfId="0" applyNumberFormat="1" applyFont="1" applyFill="1" applyBorder="1" applyAlignment="1">
      <alignment horizontal="center" vertical="center" wrapText="1"/>
    </xf>
    <xf numFmtId="41" fontId="7" fillId="0" borderId="63" xfId="0" applyNumberFormat="1" applyFont="1" applyBorder="1" applyAlignment="1">
      <alignment horizontal="center" vertical="center" wrapText="1"/>
    </xf>
    <xf numFmtId="41" fontId="7" fillId="0" borderId="37" xfId="0" applyNumberFormat="1" applyFont="1" applyBorder="1" applyAlignment="1">
      <alignment horizontal="center" vertical="center" wrapText="1"/>
    </xf>
    <xf numFmtId="41" fontId="7" fillId="0" borderId="5" xfId="0" applyNumberFormat="1" applyFont="1" applyBorder="1" applyAlignment="1">
      <alignment horizontal="center" vertical="center" wrapText="1"/>
    </xf>
    <xf numFmtId="41" fontId="7" fillId="0" borderId="7" xfId="0" applyNumberFormat="1" applyFont="1" applyBorder="1" applyAlignment="1">
      <alignment horizontal="center" vertical="center" wrapText="1"/>
    </xf>
    <xf numFmtId="41" fontId="7" fillId="0" borderId="63" xfId="0" applyNumberFormat="1" applyFont="1" applyBorder="1" applyAlignment="1">
      <alignment horizontal="left" vertical="center" wrapText="1"/>
    </xf>
    <xf numFmtId="41" fontId="7" fillId="0" borderId="37" xfId="0" applyNumberFormat="1" applyFont="1" applyBorder="1" applyAlignment="1">
      <alignment horizontal="left" vertical="center" wrapText="1"/>
    </xf>
    <xf numFmtId="41" fontId="7" fillId="0" borderId="330" xfId="0" quotePrefix="1" applyNumberFormat="1" applyFont="1" applyBorder="1" applyAlignment="1">
      <alignment horizontal="center" vertical="center" wrapText="1"/>
    </xf>
    <xf numFmtId="41" fontId="7" fillId="0" borderId="58" xfId="0" applyNumberFormat="1" applyFont="1" applyBorder="1" applyAlignment="1">
      <alignment horizontal="center" vertical="center" wrapText="1"/>
    </xf>
    <xf numFmtId="41" fontId="28" fillId="0" borderId="323" xfId="0" quotePrefix="1" applyNumberFormat="1" applyFont="1" applyBorder="1" applyAlignment="1">
      <alignment horizontal="left" vertical="center" wrapText="1"/>
    </xf>
    <xf numFmtId="41" fontId="28" fillId="0" borderId="162" xfId="0" applyNumberFormat="1" applyFont="1" applyBorder="1" applyAlignment="1">
      <alignment horizontal="left" vertical="center" wrapText="1"/>
    </xf>
    <xf numFmtId="0" fontId="28" fillId="0" borderId="323" xfId="0" applyFont="1" applyBorder="1" applyAlignment="1">
      <alignment horizontal="left" vertical="center" wrapText="1"/>
    </xf>
    <xf numFmtId="0" fontId="28" fillId="0" borderId="162" xfId="0" applyFont="1" applyBorder="1" applyAlignment="1">
      <alignment horizontal="left" vertical="center" wrapText="1"/>
    </xf>
    <xf numFmtId="41" fontId="7" fillId="8" borderId="7" xfId="1" applyFont="1" applyFill="1" applyBorder="1" applyAlignment="1">
      <alignment horizontal="center" vertical="center" wrapText="1"/>
    </xf>
    <xf numFmtId="0" fontId="1" fillId="0" borderId="0" xfId="0" quotePrefix="1" applyFont="1" applyAlignment="1">
      <alignment horizontal="center" vertical="center"/>
    </xf>
    <xf numFmtId="0" fontId="5" fillId="6" borderId="37" xfId="0" applyFont="1" applyFill="1" applyBorder="1" applyAlignment="1">
      <alignment horizontal="left" vertical="center" wrapText="1"/>
    </xf>
    <xf numFmtId="0" fontId="5" fillId="6" borderId="67" xfId="0" applyFont="1" applyFill="1" applyBorder="1" applyAlignment="1">
      <alignment horizontal="left" vertical="center" wrapText="1"/>
    </xf>
    <xf numFmtId="41" fontId="3" fillId="3" borderId="343" xfId="1" applyFont="1" applyFill="1" applyBorder="1" applyAlignment="1">
      <alignment horizontal="center" vertical="center" wrapText="1"/>
    </xf>
    <xf numFmtId="41" fontId="3" fillId="3" borderId="344" xfId="1" applyFont="1" applyFill="1" applyBorder="1" applyAlignment="1">
      <alignment horizontal="center" vertical="center" wrapText="1"/>
    </xf>
    <xf numFmtId="41" fontId="3" fillId="3" borderId="345" xfId="1" applyFont="1" applyFill="1" applyBorder="1" applyAlignment="1">
      <alignment horizontal="center" vertical="center"/>
    </xf>
    <xf numFmtId="41" fontId="7" fillId="0" borderId="346" xfId="1" applyFont="1" applyBorder="1" applyAlignment="1">
      <alignment horizontal="left" vertical="center" wrapText="1"/>
    </xf>
    <xf numFmtId="0" fontId="0" fillId="0" borderId="344" xfId="0" applyFont="1" applyBorder="1" applyAlignment="1">
      <alignment horizontal="left" vertical="center" wrapText="1"/>
    </xf>
    <xf numFmtId="41" fontId="7" fillId="0" borderId="346" xfId="1" applyFont="1" applyBorder="1" applyAlignment="1">
      <alignment horizontal="center" vertical="center"/>
    </xf>
    <xf numFmtId="41" fontId="7" fillId="0" borderId="344" xfId="1" applyFont="1" applyBorder="1" applyAlignment="1">
      <alignment horizontal="center" vertical="center"/>
    </xf>
    <xf numFmtId="41" fontId="7" fillId="8" borderId="346" xfId="1" applyFont="1" applyFill="1" applyBorder="1" applyAlignment="1">
      <alignment horizontal="left" vertical="center" wrapText="1"/>
    </xf>
    <xf numFmtId="41" fontId="7" fillId="0" borderId="347" xfId="1" applyFont="1" applyBorder="1" applyAlignment="1">
      <alignment horizontal="center" vertical="center"/>
    </xf>
    <xf numFmtId="41" fontId="7" fillId="0" borderId="346" xfId="1" applyFont="1" applyFill="1" applyBorder="1" applyAlignment="1">
      <alignment horizontal="center" vertical="center" wrapText="1"/>
    </xf>
    <xf numFmtId="41" fontId="7" fillId="0" borderId="347" xfId="1" applyFont="1" applyFill="1" applyBorder="1" applyAlignment="1">
      <alignment horizontal="center" vertical="center" wrapText="1"/>
    </xf>
    <xf numFmtId="41" fontId="7" fillId="0" borderId="344" xfId="1" applyFont="1" applyFill="1" applyBorder="1" applyAlignment="1">
      <alignment horizontal="center" vertical="center" wrapText="1"/>
    </xf>
    <xf numFmtId="41" fontId="7" fillId="0" borderId="347" xfId="1" applyFont="1" applyBorder="1" applyAlignment="1">
      <alignment horizontal="left" vertical="center" wrapText="1"/>
    </xf>
    <xf numFmtId="41" fontId="7" fillId="0" borderId="344" xfId="1" applyFont="1" applyBorder="1" applyAlignment="1">
      <alignment horizontal="left" vertical="center" wrapText="1"/>
    </xf>
    <xf numFmtId="41" fontId="7" fillId="0" borderId="346" xfId="1" applyFont="1" applyBorder="1" applyAlignment="1">
      <alignment horizontal="center" vertical="center" wrapText="1"/>
    </xf>
    <xf numFmtId="0" fontId="0" fillId="0" borderId="344" xfId="0" applyFont="1" applyBorder="1" applyAlignment="1">
      <alignment horizontal="center" vertical="center" wrapText="1"/>
    </xf>
    <xf numFmtId="41" fontId="7" fillId="8" borderId="346" xfId="1" applyFont="1" applyFill="1" applyBorder="1" applyAlignment="1">
      <alignment horizontal="center" vertical="center" wrapText="1"/>
    </xf>
    <xf numFmtId="41" fontId="7" fillId="0" borderId="347" xfId="1" applyFont="1" applyBorder="1" applyAlignment="1">
      <alignment horizontal="center" vertical="center" wrapText="1"/>
    </xf>
    <xf numFmtId="41" fontId="7" fillId="0" borderId="344" xfId="1" applyFont="1" applyBorder="1" applyAlignment="1">
      <alignment horizontal="center" vertical="center" wrapText="1"/>
    </xf>
    <xf numFmtId="0" fontId="3" fillId="0" borderId="0" xfId="9" applyFont="1" applyFill="1" applyBorder="1" applyAlignment="1">
      <alignment horizontal="center" vertical="center" wrapText="1"/>
    </xf>
    <xf numFmtId="0" fontId="7" fillId="0" borderId="0" xfId="9" applyFont="1" applyBorder="1" applyAlignment="1">
      <alignment horizontal="center" vertical="center"/>
    </xf>
    <xf numFmtId="0" fontId="3" fillId="0" borderId="0" xfId="9" applyFont="1" applyFill="1" applyBorder="1" applyAlignment="1">
      <alignment horizontal="center" vertical="center"/>
    </xf>
    <xf numFmtId="0" fontId="5" fillId="0" borderId="98" xfId="9" applyFont="1" applyFill="1" applyBorder="1" applyAlignment="1">
      <alignment horizontal="left" vertical="center"/>
    </xf>
    <xf numFmtId="0" fontId="7" fillId="3" borderId="0" xfId="9" applyFont="1" applyFill="1" applyBorder="1" applyAlignment="1">
      <alignment horizontal="center" vertical="center"/>
    </xf>
    <xf numFmtId="0" fontId="7" fillId="0" borderId="99" xfId="9" applyFont="1" applyFill="1" applyBorder="1" applyAlignment="1">
      <alignment horizontal="center" vertical="center"/>
    </xf>
    <xf numFmtId="0" fontId="7" fillId="0" borderId="104" xfId="9" applyFont="1" applyFill="1" applyBorder="1" applyAlignment="1">
      <alignment horizontal="center" vertical="center"/>
    </xf>
    <xf numFmtId="0" fontId="7" fillId="0" borderId="100" xfId="9" applyFont="1" applyFill="1" applyBorder="1" applyAlignment="1">
      <alignment horizontal="center" vertical="center"/>
    </xf>
    <xf numFmtId="0" fontId="7" fillId="0" borderId="99" xfId="9" applyFont="1" applyFill="1" applyBorder="1" applyAlignment="1">
      <alignment horizontal="left" vertical="center"/>
    </xf>
    <xf numFmtId="0" fontId="7" fillId="0" borderId="104" xfId="9" applyFont="1" applyFill="1" applyBorder="1" applyAlignment="1">
      <alignment horizontal="left" vertical="center"/>
    </xf>
    <xf numFmtId="0" fontId="7" fillId="0" borderId="100" xfId="9" applyFont="1" applyFill="1" applyBorder="1" applyAlignment="1">
      <alignment horizontal="left" vertical="center"/>
    </xf>
    <xf numFmtId="41" fontId="7" fillId="0" borderId="99" xfId="1" applyFont="1" applyFill="1" applyBorder="1" applyAlignment="1">
      <alignment horizontal="center" vertical="center"/>
    </xf>
    <xf numFmtId="41" fontId="7" fillId="0" borderId="104" xfId="1" applyFont="1" applyFill="1" applyBorder="1" applyAlignment="1">
      <alignment horizontal="center" vertical="center"/>
    </xf>
    <xf numFmtId="41" fontId="7" fillId="0" borderId="100" xfId="1" applyFont="1" applyFill="1" applyBorder="1" applyAlignment="1">
      <alignment horizontal="center" vertical="center"/>
    </xf>
    <xf numFmtId="0" fontId="3" fillId="0" borderId="0" xfId="0" applyFont="1" applyAlignment="1">
      <alignment horizontal="center"/>
    </xf>
    <xf numFmtId="0" fontId="7" fillId="0" borderId="0" xfId="0" applyFont="1" applyAlignment="1">
      <alignment horizontal="center"/>
    </xf>
    <xf numFmtId="0" fontId="3" fillId="3" borderId="98" xfId="0" applyFont="1" applyFill="1" applyBorder="1" applyAlignment="1">
      <alignment horizontal="center" vertical="center"/>
    </xf>
    <xf numFmtId="41" fontId="3" fillId="3" borderId="331" xfId="1" applyFont="1" applyFill="1" applyBorder="1" applyAlignment="1">
      <alignment horizontal="center" vertical="center" wrapText="1"/>
    </xf>
    <xf numFmtId="41" fontId="3" fillId="3" borderId="0" xfId="1" applyFont="1" applyFill="1" applyBorder="1" applyAlignment="1">
      <alignment horizontal="center" vertical="center" wrapText="1"/>
    </xf>
    <xf numFmtId="41" fontId="3" fillId="3" borderId="332" xfId="1" applyFont="1" applyFill="1" applyBorder="1" applyAlignment="1">
      <alignment horizontal="center" vertical="center" wrapText="1"/>
    </xf>
    <xf numFmtId="0" fontId="3" fillId="3" borderId="304" xfId="0" applyFont="1" applyFill="1" applyBorder="1" applyAlignment="1">
      <alignment horizontal="center" vertical="center" wrapText="1"/>
    </xf>
    <xf numFmtId="0" fontId="3" fillId="3" borderId="54" xfId="0" applyFont="1" applyFill="1" applyBorder="1" applyAlignment="1">
      <alignment horizontal="center" vertical="center" wrapText="1"/>
    </xf>
    <xf numFmtId="0" fontId="3" fillId="3" borderId="67" xfId="0" applyFont="1" applyFill="1" applyBorder="1" applyAlignment="1">
      <alignment horizontal="center" vertical="center" wrapText="1"/>
    </xf>
    <xf numFmtId="41" fontId="3" fillId="3" borderId="21" xfId="1" applyFont="1" applyFill="1" applyBorder="1" applyAlignment="1">
      <alignment horizontal="center" vertical="center" wrapText="1"/>
    </xf>
    <xf numFmtId="41" fontId="3" fillId="3" borderId="333" xfId="1" applyFont="1" applyFill="1" applyBorder="1" applyAlignment="1">
      <alignment horizontal="center" vertical="center" wrapText="1"/>
    </xf>
    <xf numFmtId="41" fontId="7" fillId="0" borderId="5" xfId="0" applyNumberFormat="1" applyFont="1" applyBorder="1" applyAlignment="1">
      <alignment vertical="center" wrapText="1"/>
    </xf>
    <xf numFmtId="41" fontId="7" fillId="0" borderId="6" xfId="0" applyNumberFormat="1" applyFont="1" applyBorder="1" applyAlignment="1">
      <alignment vertical="center" wrapText="1"/>
    </xf>
    <xf numFmtId="41" fontId="7" fillId="0" borderId="7" xfId="0" applyNumberFormat="1" applyFont="1" applyBorder="1" applyAlignment="1">
      <alignment vertical="center" wrapText="1"/>
    </xf>
    <xf numFmtId="41" fontId="7" fillId="0" borderId="5" xfId="0" applyNumberFormat="1" applyFont="1" applyBorder="1" applyAlignment="1">
      <alignment horizontal="left" vertical="center" wrapText="1"/>
    </xf>
    <xf numFmtId="41" fontId="7" fillId="0" borderId="7" xfId="0" applyNumberFormat="1" applyFont="1" applyBorder="1" applyAlignment="1">
      <alignment horizontal="left" vertical="center" wrapText="1"/>
    </xf>
    <xf numFmtId="41" fontId="7" fillId="0" borderId="6" xfId="0" applyNumberFormat="1" applyFont="1" applyBorder="1" applyAlignment="1">
      <alignment horizontal="center" vertical="center" wrapText="1"/>
    </xf>
    <xf numFmtId="0" fontId="4" fillId="5" borderId="2" xfId="0" applyFont="1" applyFill="1" applyBorder="1" applyAlignment="1">
      <alignment horizontal="left" vertical="center" wrapText="1"/>
    </xf>
    <xf numFmtId="0" fontId="4" fillId="5" borderId="3" xfId="0" applyFont="1" applyFill="1" applyBorder="1" applyAlignment="1">
      <alignment horizontal="left" vertical="center" wrapText="1"/>
    </xf>
    <xf numFmtId="0" fontId="4" fillId="5" borderId="4" xfId="0" applyFont="1" applyFill="1" applyBorder="1" applyAlignment="1">
      <alignment horizontal="left" vertical="center" wrapText="1"/>
    </xf>
    <xf numFmtId="41" fontId="7" fillId="0" borderId="6" xfId="0" applyNumberFormat="1" applyFont="1" applyBorder="1" applyAlignment="1">
      <alignment horizontal="left" vertical="center" wrapText="1"/>
    </xf>
    <xf numFmtId="41" fontId="7" fillId="0" borderId="326" xfId="0" applyNumberFormat="1" applyFont="1" applyBorder="1" applyAlignment="1">
      <alignment horizontal="left" vertical="center" wrapText="1"/>
    </xf>
    <xf numFmtId="41" fontId="7" fillId="0" borderId="325" xfId="0" applyNumberFormat="1" applyFont="1" applyBorder="1" applyAlignment="1">
      <alignment horizontal="left" vertical="center" wrapText="1"/>
    </xf>
    <xf numFmtId="41" fontId="7" fillId="0" borderId="32" xfId="0" applyNumberFormat="1" applyFont="1" applyBorder="1" applyAlignment="1">
      <alignment horizontal="left" vertical="center" wrapText="1"/>
    </xf>
    <xf numFmtId="41" fontId="7" fillId="0" borderId="316" xfId="0" applyNumberFormat="1" applyFont="1" applyBorder="1" applyAlignment="1">
      <alignment horizontal="left" vertical="center" wrapText="1"/>
    </xf>
    <xf numFmtId="41" fontId="7" fillId="0" borderId="329" xfId="0" applyNumberFormat="1" applyFont="1" applyBorder="1" applyAlignment="1">
      <alignment horizontal="left" vertical="center" wrapText="1"/>
    </xf>
    <xf numFmtId="41" fontId="7" fillId="0" borderId="58" xfId="0" applyNumberFormat="1" applyFont="1" applyBorder="1" applyAlignment="1">
      <alignment horizontal="left" vertical="center" wrapText="1"/>
    </xf>
    <xf numFmtId="41" fontId="28" fillId="0" borderId="217" xfId="0" quotePrefix="1" applyNumberFormat="1" applyFont="1" applyBorder="1" applyAlignment="1">
      <alignment horizontal="left" vertical="center" wrapText="1"/>
    </xf>
    <xf numFmtId="41" fontId="28" fillId="0" borderId="173" xfId="0" applyNumberFormat="1" applyFont="1" applyBorder="1" applyAlignment="1">
      <alignment horizontal="left" vertical="center" wrapText="1"/>
    </xf>
    <xf numFmtId="0" fontId="15" fillId="0" borderId="0" xfId="0" applyFont="1" applyAlignment="1">
      <alignment horizontal="center"/>
    </xf>
    <xf numFmtId="0" fontId="0" fillId="0" borderId="0" xfId="0" applyFont="1" applyAlignment="1"/>
    <xf numFmtId="0" fontId="16" fillId="0" borderId="0" xfId="0" applyFont="1" applyAlignment="1">
      <alignment horizontal="center"/>
    </xf>
    <xf numFmtId="166" fontId="17" fillId="9" borderId="71" xfId="0" applyNumberFormat="1" applyFont="1" applyFill="1" applyBorder="1" applyAlignment="1">
      <alignment horizontal="center" vertical="center" wrapText="1"/>
    </xf>
    <xf numFmtId="0" fontId="19" fillId="0" borderId="72" xfId="0" applyFont="1" applyBorder="1"/>
    <xf numFmtId="0" fontId="19" fillId="0" borderId="73" xfId="0" applyFont="1" applyBorder="1"/>
    <xf numFmtId="41" fontId="17" fillId="10" borderId="74" xfId="0" applyNumberFormat="1" applyFont="1" applyFill="1" applyBorder="1" applyAlignment="1">
      <alignment horizontal="center" vertical="center" wrapText="1"/>
    </xf>
    <xf numFmtId="0" fontId="19" fillId="0" borderId="75" xfId="0" applyFont="1" applyBorder="1"/>
    <xf numFmtId="0" fontId="17" fillId="9" borderId="69" xfId="0" applyFont="1" applyFill="1" applyBorder="1" applyAlignment="1">
      <alignment horizontal="center" vertical="center" wrapText="1"/>
    </xf>
    <xf numFmtId="0" fontId="19" fillId="0" borderId="76" xfId="0" applyFont="1" applyBorder="1"/>
    <xf numFmtId="0" fontId="17" fillId="9" borderId="70" xfId="0" applyFont="1" applyFill="1" applyBorder="1" applyAlignment="1">
      <alignment horizontal="center" vertical="center" wrapText="1"/>
    </xf>
    <xf numFmtId="0" fontId="19" fillId="0" borderId="77" xfId="0" applyFont="1" applyBorder="1"/>
    <xf numFmtId="0" fontId="17" fillId="0" borderId="0" xfId="0" applyFont="1" applyAlignment="1">
      <alignment horizontal="center" vertical="center"/>
    </xf>
    <xf numFmtId="0" fontId="25" fillId="0" borderId="0" xfId="0" applyFont="1" applyAlignment="1"/>
    <xf numFmtId="0" fontId="33" fillId="11" borderId="265" xfId="0" applyFont="1" applyFill="1" applyBorder="1" applyAlignment="1">
      <alignment horizontal="center" vertical="center"/>
    </xf>
    <xf numFmtId="0" fontId="38" fillId="0" borderId="265" xfId="0" applyFont="1" applyBorder="1"/>
    <xf numFmtId="0" fontId="38" fillId="0" borderId="266" xfId="0" applyFont="1" applyBorder="1"/>
    <xf numFmtId="0" fontId="33" fillId="11" borderId="159" xfId="0" applyFont="1" applyFill="1" applyBorder="1" applyAlignment="1">
      <alignment horizontal="center" vertical="center" wrapText="1"/>
    </xf>
    <xf numFmtId="0" fontId="38" fillId="0" borderId="159" xfId="0" applyFont="1" applyBorder="1"/>
    <xf numFmtId="0" fontId="38" fillId="0" borderId="160" xfId="0" applyFont="1" applyBorder="1"/>
    <xf numFmtId="0" fontId="33" fillId="11" borderId="171" xfId="0" applyFont="1" applyFill="1" applyBorder="1" applyAlignment="1">
      <alignment horizontal="center" vertical="center" wrapText="1"/>
    </xf>
    <xf numFmtId="0" fontId="38" fillId="0" borderId="186" xfId="0" applyFont="1" applyBorder="1"/>
    <xf numFmtId="0" fontId="36" fillId="13" borderId="128" xfId="0" applyFont="1" applyFill="1" applyBorder="1" applyAlignment="1">
      <alignment horizontal="left" vertical="center"/>
    </xf>
    <xf numFmtId="0" fontId="36" fillId="13" borderId="152" xfId="0" applyFont="1" applyFill="1" applyBorder="1" applyAlignment="1">
      <alignment horizontal="left" vertical="center"/>
    </xf>
    <xf numFmtId="0" fontId="36" fillId="13" borderId="166" xfId="0" applyFont="1" applyFill="1" applyBorder="1" applyAlignment="1">
      <alignment horizontal="left" vertical="center"/>
    </xf>
    <xf numFmtId="0" fontId="36" fillId="13" borderId="176" xfId="0" applyFont="1" applyFill="1" applyBorder="1" applyAlignment="1">
      <alignment horizontal="left" vertical="center"/>
    </xf>
    <xf numFmtId="0" fontId="36" fillId="13" borderId="111" xfId="0" applyFont="1" applyFill="1" applyBorder="1" applyAlignment="1">
      <alignment horizontal="left" vertical="center"/>
    </xf>
    <xf numFmtId="0" fontId="36" fillId="13" borderId="180" xfId="0" applyFont="1" applyFill="1" applyBorder="1" applyAlignment="1">
      <alignment horizontal="left" vertical="center"/>
    </xf>
    <xf numFmtId="41" fontId="36" fillId="13" borderId="127" xfId="0" applyNumberFormat="1" applyFont="1" applyFill="1" applyBorder="1" applyAlignment="1">
      <alignment horizontal="left" vertical="center"/>
    </xf>
    <xf numFmtId="0" fontId="36" fillId="13" borderId="133" xfId="0" applyFont="1" applyFill="1" applyBorder="1" applyAlignment="1">
      <alignment horizontal="left" vertical="center"/>
    </xf>
    <xf numFmtId="0" fontId="36" fillId="13" borderId="115" xfId="0" applyFont="1" applyFill="1" applyBorder="1" applyAlignment="1">
      <alignment horizontal="left" vertical="center"/>
    </xf>
    <xf numFmtId="0" fontId="36" fillId="13" borderId="282" xfId="0" applyFont="1" applyFill="1" applyBorder="1" applyAlignment="1">
      <alignment horizontal="left" vertical="center"/>
    </xf>
    <xf numFmtId="0" fontId="36" fillId="13" borderId="119" xfId="0" applyFont="1" applyFill="1" applyBorder="1" applyAlignment="1">
      <alignment horizontal="left" vertical="center"/>
    </xf>
    <xf numFmtId="0" fontId="36" fillId="13" borderId="285" xfId="0" applyFont="1" applyFill="1" applyBorder="1" applyAlignment="1">
      <alignment horizontal="left" vertical="center"/>
    </xf>
    <xf numFmtId="0" fontId="36" fillId="13" borderId="124" xfId="0" applyFont="1" applyFill="1" applyBorder="1" applyAlignment="1">
      <alignment horizontal="left" vertical="center"/>
    </xf>
    <xf numFmtId="0" fontId="36" fillId="13" borderId="165" xfId="0" applyFont="1" applyFill="1" applyBorder="1" applyAlignment="1">
      <alignment horizontal="left" vertical="center"/>
    </xf>
    <xf numFmtId="0" fontId="36" fillId="13" borderId="288" xfId="0" applyFont="1" applyFill="1" applyBorder="1" applyAlignment="1">
      <alignment horizontal="left" vertical="center"/>
    </xf>
    <xf numFmtId="0" fontId="36" fillId="13" borderId="148" xfId="0" applyFont="1" applyFill="1" applyBorder="1" applyAlignment="1">
      <alignment horizontal="left" vertical="center"/>
    </xf>
    <xf numFmtId="0" fontId="36" fillId="13" borderId="147" xfId="0" applyFont="1" applyFill="1" applyBorder="1" applyAlignment="1">
      <alignment horizontal="left" vertical="center"/>
    </xf>
    <xf numFmtId="0" fontId="36" fillId="13" borderId="138" xfId="0" applyFont="1" applyFill="1" applyBorder="1" applyAlignment="1">
      <alignment horizontal="left" vertical="center"/>
    </xf>
    <xf numFmtId="41" fontId="36" fillId="13" borderId="165" xfId="0" applyNumberFormat="1" applyFont="1" applyFill="1" applyBorder="1" applyAlignment="1">
      <alignment horizontal="left" vertical="center"/>
    </xf>
    <xf numFmtId="0" fontId="35" fillId="18" borderId="127" xfId="0" applyFont="1" applyFill="1" applyBorder="1" applyAlignment="1">
      <alignment horizontal="left" vertical="center"/>
    </xf>
    <xf numFmtId="0" fontId="35" fillId="18" borderId="115" xfId="0" applyFont="1" applyFill="1" applyBorder="1" applyAlignment="1">
      <alignment horizontal="left" vertical="center"/>
    </xf>
    <xf numFmtId="0" fontId="35" fillId="18" borderId="133" xfId="0" applyFont="1" applyFill="1" applyBorder="1" applyAlignment="1">
      <alignment horizontal="left" vertical="center"/>
    </xf>
    <xf numFmtId="41" fontId="36" fillId="13" borderId="133" xfId="0" applyNumberFormat="1" applyFont="1" applyFill="1" applyBorder="1" applyAlignment="1">
      <alignment horizontal="left" vertical="center"/>
    </xf>
    <xf numFmtId="0" fontId="36" fillId="13" borderId="127" xfId="0" applyFont="1" applyFill="1" applyBorder="1" applyAlignment="1">
      <alignment horizontal="left" vertical="center"/>
    </xf>
    <xf numFmtId="0" fontId="35" fillId="18" borderId="148" xfId="0" applyFont="1" applyFill="1" applyBorder="1" applyAlignment="1">
      <alignment horizontal="left" vertical="center"/>
    </xf>
    <xf numFmtId="0" fontId="35" fillId="18" borderId="111" xfId="0" applyFont="1" applyFill="1" applyBorder="1" applyAlignment="1">
      <alignment horizontal="left" vertical="center"/>
    </xf>
    <xf numFmtId="0" fontId="35" fillId="18" borderId="180" xfId="0" applyFont="1" applyFill="1" applyBorder="1" applyAlignment="1">
      <alignment horizontal="left" vertical="center"/>
    </xf>
    <xf numFmtId="41" fontId="36" fillId="13" borderId="115" xfId="0" applyNumberFormat="1" applyFont="1" applyFill="1" applyBorder="1" applyAlignment="1">
      <alignment horizontal="left" vertical="center"/>
    </xf>
    <xf numFmtId="41" fontId="36" fillId="13" borderId="285" xfId="0" applyNumberFormat="1" applyFont="1" applyFill="1" applyBorder="1" applyAlignment="1">
      <alignment horizontal="left" vertical="center"/>
    </xf>
    <xf numFmtId="41" fontId="33" fillId="11" borderId="247" xfId="0" applyNumberFormat="1" applyFont="1" applyFill="1" applyBorder="1" applyAlignment="1">
      <alignment horizontal="center" vertical="center" wrapText="1"/>
    </xf>
    <xf numFmtId="0" fontId="38" fillId="0" borderId="250" xfId="0" applyFont="1" applyBorder="1"/>
    <xf numFmtId="41" fontId="33" fillId="11" borderId="248" xfId="0" applyNumberFormat="1" applyFont="1" applyFill="1" applyBorder="1" applyAlignment="1">
      <alignment horizontal="center" vertical="center" wrapText="1"/>
    </xf>
    <xf numFmtId="0" fontId="38" fillId="0" borderId="241" xfId="0" applyFont="1" applyBorder="1"/>
    <xf numFmtId="41" fontId="34" fillId="11" borderId="248" xfId="0" applyNumberFormat="1" applyFont="1" applyFill="1" applyBorder="1" applyAlignment="1">
      <alignment horizontal="center" vertical="center" wrapText="1"/>
    </xf>
    <xf numFmtId="41" fontId="33" fillId="11" borderId="263" xfId="0" applyNumberFormat="1" applyFont="1" applyFill="1" applyBorder="1" applyAlignment="1">
      <alignment horizontal="center" vertical="center" wrapText="1"/>
    </xf>
    <xf numFmtId="0" fontId="38" fillId="0" borderId="174" xfId="0" applyFont="1" applyBorder="1"/>
    <xf numFmtId="41" fontId="33" fillId="11" borderId="264" xfId="0" applyNumberFormat="1" applyFont="1" applyFill="1" applyBorder="1" applyAlignment="1">
      <alignment horizontal="center" vertical="center" wrapText="1"/>
    </xf>
    <xf numFmtId="0" fontId="38" fillId="0" borderId="267" xfId="0" applyFont="1" applyBorder="1"/>
    <xf numFmtId="0" fontId="38" fillId="0" borderId="113" xfId="0" applyFont="1" applyBorder="1"/>
    <xf numFmtId="41" fontId="33" fillId="11" borderId="271" xfId="0" applyNumberFormat="1" applyFont="1" applyFill="1" applyBorder="1" applyAlignment="1">
      <alignment horizontal="center" vertical="center" wrapText="1"/>
    </xf>
    <xf numFmtId="0" fontId="38" fillId="0" borderId="272" xfId="0" applyFont="1" applyBorder="1"/>
    <xf numFmtId="0" fontId="33" fillId="11" borderId="245" xfId="0" applyFont="1" applyFill="1" applyBorder="1" applyAlignment="1">
      <alignment horizontal="center" vertical="center"/>
    </xf>
    <xf numFmtId="0" fontId="38" fillId="0" borderId="246" xfId="0" applyFont="1" applyBorder="1"/>
    <xf numFmtId="0" fontId="38" fillId="0" borderId="249" xfId="0" applyFont="1" applyBorder="1"/>
    <xf numFmtId="0" fontId="38" fillId="0" borderId="0" xfId="0" applyFont="1" applyBorder="1"/>
    <xf numFmtId="0" fontId="36" fillId="13" borderId="155" xfId="0" applyFont="1" applyFill="1" applyBorder="1" applyAlignment="1">
      <alignment horizontal="left" vertical="center"/>
    </xf>
    <xf numFmtId="0" fontId="36" fillId="13" borderId="191" xfId="0" applyFont="1" applyFill="1" applyBorder="1" applyAlignment="1">
      <alignment horizontal="left" vertical="center"/>
    </xf>
    <xf numFmtId="0" fontId="33" fillId="11" borderId="237" xfId="0" applyFont="1" applyFill="1" applyBorder="1" applyAlignment="1">
      <alignment horizontal="center" vertical="center"/>
    </xf>
    <xf numFmtId="0" fontId="19" fillId="0" borderId="237" xfId="0" applyFont="1" applyBorder="1"/>
    <xf numFmtId="0" fontId="19" fillId="0" borderId="238" xfId="0" applyFont="1" applyBorder="1"/>
    <xf numFmtId="0" fontId="19" fillId="0" borderId="159" xfId="0" applyFont="1" applyBorder="1"/>
    <xf numFmtId="0" fontId="19" fillId="0" borderId="160" xfId="0" applyFont="1" applyBorder="1"/>
    <xf numFmtId="0" fontId="19" fillId="0" borderId="186" xfId="0" applyFont="1" applyBorder="1"/>
    <xf numFmtId="41" fontId="33" fillId="11" borderId="225" xfId="0" applyNumberFormat="1" applyFont="1" applyFill="1" applyBorder="1" applyAlignment="1">
      <alignment horizontal="center" vertical="center" wrapText="1"/>
    </xf>
    <xf numFmtId="0" fontId="19" fillId="0" borderId="112" xfId="0" applyFont="1" applyBorder="1"/>
    <xf numFmtId="41" fontId="33" fillId="11" borderId="226" xfId="0" applyNumberFormat="1" applyFont="1" applyFill="1" applyBorder="1" applyAlignment="1">
      <alignment horizontal="center" vertical="center" wrapText="1"/>
    </xf>
    <xf numFmtId="0" fontId="19" fillId="0" borderId="113" xfId="0" applyFont="1" applyBorder="1"/>
    <xf numFmtId="41" fontId="34" fillId="11" borderId="226" xfId="0" applyNumberFormat="1" applyFont="1" applyFill="1" applyBorder="1" applyAlignment="1">
      <alignment horizontal="center" vertical="center" wrapText="1"/>
    </xf>
    <xf numFmtId="41" fontId="33" fillId="11" borderId="235" xfId="0" applyNumberFormat="1" applyFont="1" applyFill="1" applyBorder="1" applyAlignment="1">
      <alignment horizontal="center" vertical="center" wrapText="1"/>
    </xf>
    <xf numFmtId="0" fontId="19" fillId="0" borderId="161" xfId="0" applyFont="1" applyBorder="1"/>
    <xf numFmtId="41" fontId="33" fillId="11" borderId="236" xfId="0" applyNumberFormat="1" applyFont="1" applyFill="1" applyBorder="1" applyAlignment="1">
      <alignment horizontal="center" vertical="center" wrapText="1"/>
    </xf>
    <xf numFmtId="0" fontId="19" fillId="0" borderId="162" xfId="0" applyFont="1" applyBorder="1"/>
    <xf numFmtId="0" fontId="19" fillId="0" borderId="241" xfId="0" applyFont="1" applyBorder="1"/>
    <xf numFmtId="41" fontId="33" fillId="11" borderId="240" xfId="0" applyNumberFormat="1" applyFont="1" applyFill="1" applyBorder="1" applyAlignment="1">
      <alignment horizontal="center" vertical="center" wrapText="1"/>
    </xf>
    <xf numFmtId="0" fontId="19" fillId="0" borderId="242" xfId="0" applyFont="1" applyBorder="1"/>
    <xf numFmtId="0" fontId="33" fillId="11" borderId="224" xfId="0" applyFont="1" applyFill="1" applyBorder="1" applyAlignment="1">
      <alignment horizontal="center" vertical="center"/>
    </xf>
    <xf numFmtId="0" fontId="19" fillId="0" borderId="105" xfId="0" applyFont="1" applyBorder="1"/>
    <xf numFmtId="0" fontId="19" fillId="0" borderId="227" xfId="0" applyFont="1" applyBorder="1"/>
    <xf numFmtId="0" fontId="19" fillId="0" borderId="111" xfId="0" applyFont="1" applyBorder="1"/>
    <xf numFmtId="0" fontId="36" fillId="13" borderId="177" xfId="0" applyFont="1" applyFill="1" applyBorder="1" applyAlignment="1">
      <alignment horizontal="left" vertical="center"/>
    </xf>
    <xf numFmtId="0" fontId="36" fillId="13" borderId="139" xfId="0" applyFont="1" applyFill="1" applyBorder="1" applyAlignment="1">
      <alignment horizontal="left" vertical="center"/>
    </xf>
    <xf numFmtId="41" fontId="36" fillId="13" borderId="119" xfId="0" applyNumberFormat="1" applyFont="1" applyFill="1" applyBorder="1" applyAlignment="1">
      <alignment horizontal="left" vertical="center"/>
    </xf>
    <xf numFmtId="0" fontId="36" fillId="13" borderId="243" xfId="0" applyFont="1" applyFill="1" applyBorder="1" applyAlignment="1">
      <alignment horizontal="left" vertical="center"/>
    </xf>
    <xf numFmtId="0" fontId="35" fillId="18" borderId="155" xfId="0" applyFont="1" applyFill="1" applyBorder="1" applyAlignment="1">
      <alignment horizontal="left" vertical="center"/>
    </xf>
    <xf numFmtId="0" fontId="35" fillId="18" borderId="219" xfId="0" applyFont="1" applyFill="1" applyBorder="1" applyAlignment="1">
      <alignment horizontal="left" vertical="center"/>
    </xf>
    <xf numFmtId="0" fontId="35" fillId="18" borderId="191" xfId="0" applyFont="1" applyFill="1" applyBorder="1" applyAlignment="1">
      <alignment horizontal="left" vertical="center"/>
    </xf>
    <xf numFmtId="0" fontId="35" fillId="18" borderId="124" xfId="0" applyFont="1" applyFill="1" applyBorder="1" applyAlignment="1">
      <alignment horizontal="left" vertical="center"/>
    </xf>
    <xf numFmtId="0" fontId="35" fillId="18" borderId="119" xfId="0" applyFont="1" applyFill="1" applyBorder="1" applyAlignment="1">
      <alignment horizontal="left" vertical="center"/>
    </xf>
    <xf numFmtId="41" fontId="36" fillId="13" borderId="134" xfId="0" applyNumberFormat="1" applyFont="1" applyFill="1" applyBorder="1" applyAlignment="1">
      <alignment horizontal="left" vertical="center"/>
    </xf>
    <xf numFmtId="0" fontId="36" fillId="13" borderId="206" xfId="0" applyFont="1" applyFill="1" applyBorder="1" applyAlignment="1">
      <alignment horizontal="left" vertical="center"/>
    </xf>
    <xf numFmtId="41" fontId="36" fillId="13" borderId="124" xfId="0" applyNumberFormat="1" applyFont="1" applyFill="1" applyBorder="1" applyAlignment="1">
      <alignment horizontal="left" vertical="center"/>
    </xf>
    <xf numFmtId="41" fontId="36" fillId="13" borderId="128" xfId="0" applyNumberFormat="1" applyFont="1" applyFill="1" applyBorder="1" applyAlignment="1">
      <alignment horizontal="left" vertical="center"/>
    </xf>
    <xf numFmtId="0" fontId="26" fillId="0" borderId="153" xfId="0" applyFont="1" applyBorder="1" applyAlignment="1">
      <alignment horizontal="center"/>
    </xf>
    <xf numFmtId="0" fontId="26" fillId="0" borderId="130" xfId="0" applyFont="1" applyBorder="1" applyAlignment="1">
      <alignment horizontal="center"/>
    </xf>
    <xf numFmtId="0" fontId="26" fillId="0" borderId="140" xfId="0" applyFont="1" applyBorder="1" applyAlignment="1">
      <alignment horizontal="center"/>
    </xf>
    <xf numFmtId="0" fontId="33" fillId="11" borderId="159" xfId="0" applyFont="1" applyFill="1" applyBorder="1" applyAlignment="1">
      <alignment horizontal="center" vertical="center"/>
    </xf>
    <xf numFmtId="41" fontId="33" fillId="11" borderId="109" xfId="0" applyNumberFormat="1" applyFont="1" applyFill="1" applyBorder="1" applyAlignment="1">
      <alignment horizontal="center" vertical="center" wrapText="1"/>
    </xf>
    <xf numFmtId="41" fontId="33" fillId="11" borderId="170" xfId="0" applyNumberFormat="1" applyFont="1" applyFill="1" applyBorder="1" applyAlignment="1">
      <alignment horizontal="center" vertical="center" wrapText="1"/>
    </xf>
    <xf numFmtId="0" fontId="19" fillId="0" borderId="172" xfId="0" applyFont="1" applyBorder="1"/>
    <xf numFmtId="41" fontId="33" fillId="11" borderId="108" xfId="0" applyNumberFormat="1" applyFont="1" applyFill="1" applyBorder="1" applyAlignment="1">
      <alignment horizontal="center" vertical="center" wrapText="1"/>
    </xf>
    <xf numFmtId="41" fontId="34" fillId="11" borderId="109" xfId="0" applyNumberFormat="1" applyFont="1" applyFill="1" applyBorder="1" applyAlignment="1">
      <alignment horizontal="center" vertical="center" wrapText="1"/>
    </xf>
    <xf numFmtId="41" fontId="33" fillId="11" borderId="157" xfId="0" applyNumberFormat="1" applyFont="1" applyFill="1" applyBorder="1" applyAlignment="1">
      <alignment horizontal="center" vertical="center" wrapText="1"/>
    </xf>
    <xf numFmtId="41" fontId="33" fillId="11" borderId="158" xfId="0" applyNumberFormat="1" applyFont="1" applyFill="1" applyBorder="1" applyAlignment="1">
      <alignment horizontal="center" vertical="center" wrapText="1"/>
    </xf>
    <xf numFmtId="0" fontId="33" fillId="11" borderId="106" xfId="0" applyFont="1" applyFill="1" applyBorder="1" applyAlignment="1">
      <alignment horizontal="center" vertical="center"/>
    </xf>
    <xf numFmtId="0" fontId="19" fillId="0" borderId="107" xfId="0" applyFont="1" applyBorder="1"/>
    <xf numFmtId="0" fontId="19" fillId="0" borderId="110" xfId="0" applyFont="1" applyBorder="1"/>
    <xf numFmtId="0" fontId="36" fillId="13" borderId="132" xfId="0" applyFont="1" applyFill="1" applyBorder="1" applyAlignment="1">
      <alignment horizontal="left" vertical="center"/>
    </xf>
    <xf numFmtId="0" fontId="36" fillId="13" borderId="143" xfId="0" applyFont="1" applyFill="1" applyBorder="1" applyAlignment="1">
      <alignment horizontal="left" vertical="center"/>
    </xf>
    <xf numFmtId="0" fontId="36" fillId="13" borderId="137" xfId="0" applyFont="1" applyFill="1" applyBorder="1" applyAlignment="1">
      <alignment horizontal="left" vertical="center"/>
    </xf>
    <xf numFmtId="0" fontId="36" fillId="13" borderId="134" xfId="0" applyFont="1" applyFill="1" applyBorder="1" applyAlignment="1">
      <alignment horizontal="left" vertical="center"/>
    </xf>
    <xf numFmtId="0" fontId="36" fillId="13" borderId="150" xfId="0" applyFont="1" applyFill="1" applyBorder="1" applyAlignment="1">
      <alignment horizontal="left" vertical="center"/>
    </xf>
    <xf numFmtId="0" fontId="36" fillId="13" borderId="169" xfId="0" applyFont="1" applyFill="1" applyBorder="1" applyAlignment="1">
      <alignment horizontal="left" vertical="center"/>
    </xf>
    <xf numFmtId="0" fontId="26" fillId="0" borderId="181" xfId="0" applyFont="1" applyBorder="1" applyAlignment="1">
      <alignment horizontal="center"/>
    </xf>
    <xf numFmtId="0" fontId="0" fillId="0" borderId="123" xfId="0" applyBorder="1" applyAlignment="1">
      <alignment horizontal="center" vertical="center"/>
    </xf>
    <xf numFmtId="0" fontId="0" fillId="0" borderId="151" xfId="0" applyBorder="1" applyAlignment="1">
      <alignment horizontal="center" vertical="center"/>
    </xf>
    <xf numFmtId="0" fontId="36" fillId="13" borderId="119" xfId="0" applyFont="1" applyFill="1" applyBorder="1" applyAlignment="1">
      <alignment horizontal="left" vertical="center" wrapText="1"/>
    </xf>
    <xf numFmtId="0" fontId="36" fillId="13" borderId="124" xfId="0" applyFont="1" applyFill="1" applyBorder="1" applyAlignment="1">
      <alignment horizontal="left" vertical="center" wrapText="1"/>
    </xf>
    <xf numFmtId="0" fontId="35" fillId="18" borderId="147" xfId="0" applyFont="1" applyFill="1" applyBorder="1" applyAlignment="1">
      <alignment horizontal="left" vertical="center"/>
    </xf>
    <xf numFmtId="0" fontId="35" fillId="18" borderId="138" xfId="0" applyFont="1" applyFill="1" applyBorder="1" applyAlignment="1">
      <alignment horizontal="left" vertical="center"/>
    </xf>
    <xf numFmtId="41" fontId="33" fillId="11" borderId="212" xfId="0" applyNumberFormat="1" applyFont="1" applyFill="1" applyBorder="1" applyAlignment="1">
      <alignment horizontal="center" vertical="center"/>
    </xf>
    <xf numFmtId="41" fontId="33" fillId="11" borderId="213" xfId="0" applyNumberFormat="1" applyFont="1" applyFill="1" applyBorder="1" applyAlignment="1">
      <alignment horizontal="center" vertical="center"/>
    </xf>
    <xf numFmtId="41" fontId="33" fillId="11" borderId="214" xfId="0" applyNumberFormat="1" applyFont="1" applyFill="1" applyBorder="1" applyAlignment="1">
      <alignment horizontal="center" vertical="center"/>
    </xf>
    <xf numFmtId="0" fontId="0" fillId="0" borderId="165" xfId="0" applyBorder="1" applyAlignment="1">
      <alignment horizontal="center" vertical="center"/>
    </xf>
    <xf numFmtId="0" fontId="0" fillId="0" borderId="166" xfId="0" applyBorder="1" applyAlignment="1">
      <alignment horizontal="center" vertical="center"/>
    </xf>
    <xf numFmtId="0" fontId="0" fillId="0" borderId="146" xfId="0" applyBorder="1" applyAlignment="1">
      <alignment horizontal="left" vertical="center" wrapText="1"/>
    </xf>
    <xf numFmtId="0" fontId="0" fillId="0" borderId="125" xfId="0" applyBorder="1" applyAlignment="1">
      <alignment horizontal="left" vertical="center" wrapText="1"/>
    </xf>
    <xf numFmtId="0" fontId="36" fillId="13" borderId="135" xfId="0" applyFont="1" applyFill="1" applyBorder="1" applyAlignment="1">
      <alignment horizontal="left" vertical="center"/>
    </xf>
    <xf numFmtId="41" fontId="0" fillId="0" borderId="146" xfId="0" applyNumberFormat="1" applyBorder="1" applyAlignment="1">
      <alignment horizontal="left" vertical="center"/>
    </xf>
    <xf numFmtId="0" fontId="0" fillId="0" borderId="131" xfId="0" applyBorder="1" applyAlignment="1">
      <alignment horizontal="left" vertical="center"/>
    </xf>
    <xf numFmtId="0" fontId="0" fillId="0" borderId="131" xfId="0" applyBorder="1" applyAlignment="1">
      <alignment horizontal="left" vertical="center" wrapText="1"/>
    </xf>
    <xf numFmtId="0" fontId="36" fillId="13" borderId="0" xfId="0" applyFont="1" applyFill="1" applyBorder="1" applyAlignment="1">
      <alignment horizontal="left" vertical="center"/>
    </xf>
    <xf numFmtId="0" fontId="36" fillId="13" borderId="187" xfId="0" applyFont="1" applyFill="1" applyBorder="1" applyAlignment="1">
      <alignment horizontal="left" vertical="center"/>
    </xf>
    <xf numFmtId="41" fontId="0" fillId="0" borderId="123" xfId="0" applyNumberFormat="1" applyBorder="1" applyAlignment="1">
      <alignment horizontal="left" vertical="center"/>
    </xf>
    <xf numFmtId="41" fontId="0" fillId="0" borderId="151" xfId="0" applyNumberFormat="1" applyBorder="1" applyAlignment="1">
      <alignment horizontal="left" vertical="center"/>
    </xf>
    <xf numFmtId="41" fontId="0" fillId="0" borderId="123" xfId="0" applyNumberFormat="1" applyBorder="1" applyAlignment="1">
      <alignment horizontal="left" vertical="center" wrapText="1"/>
    </xf>
    <xf numFmtId="41" fontId="0" fillId="0" borderId="151" xfId="0" applyNumberFormat="1" applyBorder="1" applyAlignment="1">
      <alignment horizontal="left" vertical="center" wrapText="1"/>
    </xf>
    <xf numFmtId="0" fontId="36" fillId="13" borderId="197" xfId="0" applyFont="1" applyFill="1" applyBorder="1" applyAlignment="1">
      <alignment horizontal="left" vertical="center"/>
    </xf>
    <xf numFmtId="41" fontId="36" fillId="13" borderId="132" xfId="0" applyNumberFormat="1" applyFont="1" applyFill="1" applyBorder="1" applyAlignment="1">
      <alignment horizontal="left" vertical="center"/>
    </xf>
    <xf numFmtId="0" fontId="36" fillId="13" borderId="153" xfId="0" applyFont="1" applyFill="1" applyBorder="1" applyAlignment="1">
      <alignment horizontal="left" vertical="center"/>
    </xf>
    <xf numFmtId="0" fontId="36" fillId="13" borderId="140" xfId="0" applyFont="1" applyFill="1" applyBorder="1" applyAlignment="1">
      <alignment horizontal="left" vertical="center"/>
    </xf>
    <xf numFmtId="0" fontId="0" fillId="0" borderId="123" xfId="0" applyBorder="1" applyAlignment="1">
      <alignment horizontal="center" vertical="center" wrapText="1"/>
    </xf>
    <xf numFmtId="0" fontId="0" fillId="0" borderId="125" xfId="0" applyBorder="1" applyAlignment="1">
      <alignment horizontal="center" vertical="center" wrapText="1"/>
    </xf>
    <xf numFmtId="41" fontId="36" fillId="13" borderId="150" xfId="0" applyNumberFormat="1" applyFont="1" applyFill="1" applyBorder="1" applyAlignment="1">
      <alignment horizontal="left" vertical="center"/>
    </xf>
    <xf numFmtId="0" fontId="36" fillId="13" borderId="141" xfId="0" applyFont="1" applyFill="1" applyBorder="1" applyAlignment="1">
      <alignment horizontal="left" vertical="center"/>
    </xf>
    <xf numFmtId="0" fontId="36" fillId="13" borderId="142" xfId="0" applyFont="1" applyFill="1" applyBorder="1" applyAlignment="1">
      <alignment horizontal="left" vertical="center"/>
    </xf>
    <xf numFmtId="0" fontId="0" fillId="0" borderId="147" xfId="0" applyBorder="1" applyAlignment="1">
      <alignment horizontal="center" vertical="center" wrapText="1"/>
    </xf>
    <xf numFmtId="0" fontId="0" fillId="0" borderId="0" xfId="0" applyBorder="1" applyAlignment="1">
      <alignment horizontal="center" vertical="center" wrapText="1"/>
    </xf>
    <xf numFmtId="0" fontId="0" fillId="0" borderId="111" xfId="0" applyBorder="1" applyAlignment="1">
      <alignment horizontal="center" vertical="center" wrapText="1"/>
    </xf>
    <xf numFmtId="0" fontId="36" fillId="13" borderId="195" xfId="0" applyFont="1" applyFill="1" applyBorder="1" applyAlignment="1">
      <alignment horizontal="left" vertical="center"/>
    </xf>
    <xf numFmtId="0" fontId="36" fillId="13" borderId="136" xfId="0" applyFont="1" applyFill="1" applyBorder="1" applyAlignment="1">
      <alignment horizontal="left" vertical="center"/>
    </xf>
    <xf numFmtId="41" fontId="36" fillId="13" borderId="148" xfId="0" applyNumberFormat="1" applyFont="1" applyFill="1" applyBorder="1" applyAlignment="1">
      <alignment horizontal="left" vertical="center"/>
    </xf>
    <xf numFmtId="0" fontId="36" fillId="13" borderId="144" xfId="0" applyFont="1" applyFill="1" applyBorder="1" applyAlignment="1">
      <alignment horizontal="left" vertical="center"/>
    </xf>
    <xf numFmtId="0" fontId="36" fillId="13" borderId="145" xfId="0" applyFont="1" applyFill="1" applyBorder="1" applyAlignment="1">
      <alignment horizontal="left" vertical="center"/>
    </xf>
    <xf numFmtId="0" fontId="35" fillId="18" borderId="143" xfId="0" applyFont="1" applyFill="1" applyBorder="1" applyAlignment="1">
      <alignment horizontal="left" vertical="center"/>
    </xf>
    <xf numFmtId="0" fontId="0" fillId="0" borderId="125" xfId="0" applyBorder="1" applyAlignment="1">
      <alignment horizontal="center" vertical="center"/>
    </xf>
    <xf numFmtId="0" fontId="0" fillId="0" borderId="131" xfId="0" applyBorder="1" applyAlignment="1">
      <alignment horizontal="center" vertical="center"/>
    </xf>
    <xf numFmtId="0" fontId="36" fillId="13" borderId="128" xfId="0" applyFont="1" applyFill="1" applyBorder="1" applyAlignment="1">
      <alignment horizontal="left" vertical="center" wrapText="1"/>
    </xf>
    <xf numFmtId="0" fontId="36" fillId="13" borderId="138" xfId="0" applyFont="1" applyFill="1" applyBorder="1" applyAlignment="1">
      <alignment horizontal="left" vertical="center" wrapText="1"/>
    </xf>
    <xf numFmtId="0" fontId="35" fillId="18" borderId="152" xfId="0" applyFont="1" applyFill="1" applyBorder="1" applyAlignment="1">
      <alignment horizontal="left" vertical="center"/>
    </xf>
    <xf numFmtId="0" fontId="7" fillId="0" borderId="99" xfId="3" applyFont="1" applyFill="1" applyBorder="1" applyAlignment="1">
      <alignment horizontal="center" vertical="center"/>
    </xf>
    <xf numFmtId="0" fontId="7" fillId="0" borderId="104" xfId="3" applyFont="1" applyFill="1" applyBorder="1" applyAlignment="1">
      <alignment horizontal="center" vertical="center"/>
    </xf>
    <xf numFmtId="0" fontId="7" fillId="0" borderId="100" xfId="3" applyFont="1" applyFill="1" applyBorder="1" applyAlignment="1">
      <alignment horizontal="center" vertical="center"/>
    </xf>
    <xf numFmtId="0" fontId="7" fillId="0" borderId="99" xfId="3" applyFont="1" applyFill="1" applyBorder="1" applyAlignment="1">
      <alignment horizontal="left" vertical="center"/>
    </xf>
    <xf numFmtId="0" fontId="7" fillId="0" borderId="104" xfId="3" applyFont="1" applyFill="1" applyBorder="1" applyAlignment="1">
      <alignment horizontal="left" vertical="center"/>
    </xf>
    <xf numFmtId="0" fontId="7" fillId="0" borderId="100" xfId="3" applyFont="1" applyFill="1" applyBorder="1" applyAlignment="1">
      <alignment horizontal="left" vertical="center"/>
    </xf>
    <xf numFmtId="0" fontId="4" fillId="0" borderId="0" xfId="0" applyFont="1" applyAlignment="1">
      <alignment horizontal="center" vertical="center" wrapText="1"/>
    </xf>
    <xf numFmtId="0" fontId="0" fillId="0" borderId="0" xfId="0" applyAlignment="1">
      <alignment horizontal="center"/>
    </xf>
    <xf numFmtId="0" fontId="4" fillId="0" borderId="105" xfId="0" applyFont="1" applyBorder="1" applyAlignment="1">
      <alignment horizontal="left"/>
    </xf>
    <xf numFmtId="0" fontId="3" fillId="15" borderId="98" xfId="0" applyFont="1" applyFill="1" applyBorder="1" applyAlignment="1">
      <alignment horizontal="left"/>
    </xf>
    <xf numFmtId="0" fontId="25" fillId="0" borderId="99" xfId="0" applyFont="1" applyBorder="1" applyAlignment="1">
      <alignment horizontal="right" vertical="center"/>
    </xf>
    <xf numFmtId="0" fontId="25" fillId="0" borderId="104" xfId="0" applyFont="1" applyBorder="1" applyAlignment="1">
      <alignment horizontal="right" vertical="center"/>
    </xf>
    <xf numFmtId="0" fontId="25" fillId="0" borderId="100" xfId="0" applyFont="1" applyBorder="1" applyAlignment="1">
      <alignment horizontal="right" vertical="center"/>
    </xf>
    <xf numFmtId="41" fontId="25" fillId="0" borderId="99" xfId="0" applyNumberFormat="1" applyFont="1" applyBorder="1" applyAlignment="1">
      <alignment horizontal="center" vertical="center"/>
    </xf>
    <xf numFmtId="41" fontId="25" fillId="0" borderId="100" xfId="0" applyNumberFormat="1" applyFont="1" applyBorder="1" applyAlignment="1">
      <alignment horizontal="center" vertical="center"/>
    </xf>
    <xf numFmtId="0" fontId="26" fillId="14" borderId="101" xfId="5" applyFont="1" applyBorder="1" applyAlignment="1">
      <alignment horizontal="center"/>
    </xf>
    <xf numFmtId="0" fontId="26" fillId="14" borderId="102" xfId="5" applyFont="1" applyBorder="1" applyAlignment="1">
      <alignment horizontal="center"/>
    </xf>
    <xf numFmtId="0" fontId="25" fillId="0" borderId="98" xfId="0" applyFont="1" applyBorder="1" applyAlignment="1">
      <alignment horizontal="left" vertical="center" wrapText="1"/>
    </xf>
    <xf numFmtId="0" fontId="4" fillId="14" borderId="98" xfId="5" applyFont="1" applyBorder="1" applyAlignment="1">
      <alignment horizontal="center"/>
    </xf>
    <xf numFmtId="0" fontId="4" fillId="15" borderId="98" xfId="0" applyFont="1" applyFill="1" applyBorder="1" applyAlignment="1">
      <alignment horizontal="left" vertical="top"/>
    </xf>
    <xf numFmtId="0" fontId="27" fillId="16" borderId="101" xfId="6" applyFont="1" applyBorder="1" applyAlignment="1">
      <alignment horizontal="center" vertical="center"/>
    </xf>
    <xf numFmtId="0" fontId="27" fillId="16" borderId="102" xfId="6" applyFont="1" applyBorder="1" applyAlignment="1">
      <alignment horizontal="center" vertical="center"/>
    </xf>
    <xf numFmtId="0" fontId="25" fillId="2" borderId="99" xfId="0" applyFont="1" applyFill="1" applyBorder="1" applyAlignment="1">
      <alignment horizontal="right" vertical="center" wrapText="1"/>
    </xf>
    <xf numFmtId="0" fontId="0" fillId="2" borderId="100" xfId="0" applyFill="1" applyBorder="1" applyAlignment="1">
      <alignment horizontal="right" vertical="center" wrapText="1"/>
    </xf>
    <xf numFmtId="0" fontId="25" fillId="0" borderId="99" xfId="0" applyFont="1" applyBorder="1" applyAlignment="1">
      <alignment horizontal="right"/>
    </xf>
    <xf numFmtId="0" fontId="25" fillId="0" borderId="100" xfId="0" applyFont="1" applyBorder="1" applyAlignment="1">
      <alignment horizontal="right"/>
    </xf>
    <xf numFmtId="0" fontId="25" fillId="0" borderId="98" xfId="0" applyFont="1" applyBorder="1" applyAlignment="1">
      <alignment horizontal="left" vertical="center"/>
    </xf>
    <xf numFmtId="0" fontId="4" fillId="14" borderId="101" xfId="5" applyFont="1" applyBorder="1" applyAlignment="1">
      <alignment horizontal="center"/>
    </xf>
    <xf numFmtId="0" fontId="4" fillId="14" borderId="102" xfId="5" applyFont="1" applyBorder="1" applyAlignment="1">
      <alignment horizontal="center"/>
    </xf>
    <xf numFmtId="0" fontId="25" fillId="0" borderId="99" xfId="0" applyFont="1" applyBorder="1" applyAlignment="1">
      <alignment horizontal="center" vertical="center"/>
    </xf>
    <xf numFmtId="0" fontId="25" fillId="0" borderId="100" xfId="0" applyFont="1" applyBorder="1" applyAlignment="1">
      <alignment horizontal="center" vertical="center"/>
    </xf>
    <xf numFmtId="0" fontId="25" fillId="2" borderId="99" xfId="0" applyFont="1" applyFill="1" applyBorder="1" applyAlignment="1">
      <alignment horizontal="center" vertical="center"/>
    </xf>
    <xf numFmtId="0" fontId="25" fillId="2" borderId="100" xfId="0" applyFont="1" applyFill="1" applyBorder="1" applyAlignment="1">
      <alignment horizontal="center" vertical="center"/>
    </xf>
    <xf numFmtId="0" fontId="0" fillId="0" borderId="0" xfId="0" applyAlignment="1">
      <alignment horizontal="left" vertical="top" wrapText="1"/>
    </xf>
    <xf numFmtId="0" fontId="17" fillId="9" borderId="77" xfId="0" applyFont="1" applyFill="1" applyBorder="1" applyAlignment="1">
      <alignment horizontal="center" vertical="center" wrapText="1"/>
    </xf>
    <xf numFmtId="166" fontId="17" fillId="9" borderId="71" xfId="0" applyNumberFormat="1" applyFont="1" applyFill="1" applyBorder="1" applyAlignment="1">
      <alignment horizontal="center" vertical="center"/>
    </xf>
    <xf numFmtId="0" fontId="17" fillId="11" borderId="94" xfId="0" applyFont="1" applyFill="1" applyBorder="1" applyAlignment="1">
      <alignment horizontal="left" vertical="center"/>
    </xf>
    <xf numFmtId="0" fontId="19" fillId="0" borderId="80" xfId="0" applyFont="1" applyBorder="1"/>
    <xf numFmtId="0" fontId="17" fillId="9" borderId="70" xfId="0" applyFont="1" applyFill="1" applyBorder="1" applyAlignment="1">
      <alignment horizontal="center" vertical="center"/>
    </xf>
    <xf numFmtId="0" fontId="17" fillId="9" borderId="90" xfId="0" applyFont="1" applyFill="1" applyBorder="1" applyAlignment="1">
      <alignment horizontal="center" vertical="center"/>
    </xf>
    <xf numFmtId="0" fontId="19" fillId="0" borderId="91" xfId="0" applyFont="1" applyBorder="1"/>
    <xf numFmtId="0" fontId="19" fillId="0" borderId="92" xfId="0" applyFont="1" applyBorder="1"/>
    <xf numFmtId="0" fontId="19" fillId="0" borderId="93" xfId="0" applyFont="1" applyBorder="1"/>
    <xf numFmtId="0" fontId="17" fillId="13" borderId="94" xfId="0" applyFont="1" applyFill="1" applyBorder="1" applyAlignment="1">
      <alignment horizontal="left" vertical="center"/>
    </xf>
    <xf numFmtId="0" fontId="17" fillId="9" borderId="97" xfId="0" applyFont="1" applyFill="1" applyBorder="1" applyAlignment="1">
      <alignment horizontal="center" vertical="center"/>
    </xf>
    <xf numFmtId="0" fontId="19" fillId="0" borderId="88" xfId="0" applyFont="1" applyBorder="1"/>
    <xf numFmtId="0" fontId="8" fillId="0" borderId="0" xfId="0" applyFont="1" applyAlignment="1">
      <alignment horizontal="center" vertical="center"/>
    </xf>
    <xf numFmtId="0" fontId="10" fillId="0" borderId="0" xfId="0" applyFont="1" applyAlignment="1">
      <alignment horizontal="center" vertical="center"/>
    </xf>
    <xf numFmtId="0" fontId="10" fillId="3" borderId="40" xfId="0" applyFont="1" applyFill="1" applyBorder="1" applyAlignment="1">
      <alignment horizontal="center" vertical="center"/>
    </xf>
    <xf numFmtId="0" fontId="10" fillId="3" borderId="3" xfId="0" applyFont="1" applyFill="1" applyBorder="1" applyAlignment="1">
      <alignment horizontal="center" vertical="center"/>
    </xf>
    <xf numFmtId="0" fontId="10" fillId="3" borderId="41" xfId="0" applyFont="1" applyFill="1" applyBorder="1" applyAlignment="1">
      <alignment horizontal="center" vertical="center"/>
    </xf>
    <xf numFmtId="0" fontId="12" fillId="6" borderId="2" xfId="0" applyFont="1" applyFill="1" applyBorder="1" applyAlignment="1">
      <alignment horizontal="left" vertical="center" wrapText="1"/>
    </xf>
    <xf numFmtId="0" fontId="14" fillId="0" borderId="4" xfId="0" applyFont="1" applyBorder="1" applyAlignment="1">
      <alignment horizontal="left" vertical="center" wrapText="1"/>
    </xf>
    <xf numFmtId="41" fontId="10" fillId="3" borderId="15" xfId="1" applyFont="1" applyFill="1" applyBorder="1" applyAlignment="1">
      <alignment horizontal="center" vertical="center" wrapText="1"/>
    </xf>
    <xf numFmtId="41" fontId="10" fillId="3" borderId="20" xfId="1" applyFont="1" applyFill="1" applyBorder="1" applyAlignment="1">
      <alignment horizontal="center" vertical="center" wrapText="1"/>
    </xf>
    <xf numFmtId="41" fontId="10" fillId="3" borderId="17" xfId="1" applyFont="1" applyFill="1" applyBorder="1" applyAlignment="1">
      <alignment horizontal="center" vertical="center"/>
    </xf>
    <xf numFmtId="41" fontId="13" fillId="0" borderId="19" xfId="1" applyFont="1" applyFill="1" applyBorder="1" applyAlignment="1">
      <alignment horizontal="center" vertical="center"/>
    </xf>
    <xf numFmtId="41" fontId="13" fillId="0" borderId="20" xfId="1" applyFont="1" applyFill="1" applyBorder="1" applyAlignment="1">
      <alignment horizontal="center" vertical="center"/>
    </xf>
    <xf numFmtId="41" fontId="13" fillId="0" borderId="21" xfId="1" applyFont="1" applyFill="1" applyBorder="1" applyAlignment="1">
      <alignment horizontal="center" vertical="center"/>
    </xf>
    <xf numFmtId="41" fontId="13" fillId="0" borderId="56" xfId="1" applyFont="1" applyFill="1" applyBorder="1" applyAlignment="1">
      <alignment horizontal="center" vertical="center" wrapText="1"/>
    </xf>
    <xf numFmtId="41" fontId="13" fillId="0" borderId="55" xfId="1" applyFont="1" applyFill="1" applyBorder="1" applyAlignment="1">
      <alignment horizontal="center" vertical="center" wrapText="1"/>
    </xf>
    <xf numFmtId="41" fontId="13" fillId="0" borderId="68" xfId="1" applyFont="1" applyFill="1" applyBorder="1" applyAlignment="1">
      <alignment horizontal="center" vertical="center" wrapText="1"/>
    </xf>
    <xf numFmtId="41" fontId="13" fillId="0" borderId="5" xfId="1" applyFont="1" applyFill="1" applyBorder="1" applyAlignment="1">
      <alignment horizontal="center" vertical="center" wrapText="1"/>
    </xf>
    <xf numFmtId="41" fontId="13" fillId="0" borderId="7" xfId="1" applyFont="1" applyFill="1" applyBorder="1" applyAlignment="1">
      <alignment horizontal="center" vertical="center" wrapText="1"/>
    </xf>
    <xf numFmtId="41" fontId="13" fillId="0" borderId="6" xfId="1" applyFont="1" applyFill="1" applyBorder="1" applyAlignment="1">
      <alignment horizontal="center" vertical="center" wrapText="1"/>
    </xf>
    <xf numFmtId="41" fontId="13" fillId="0" borderId="63" xfId="1" applyFont="1" applyFill="1" applyBorder="1" applyAlignment="1">
      <alignment horizontal="center" vertical="center" wrapText="1"/>
    </xf>
    <xf numFmtId="41" fontId="13" fillId="0" borderId="37" xfId="1" applyFont="1" applyFill="1" applyBorder="1" applyAlignment="1">
      <alignment horizontal="center" vertical="center" wrapText="1"/>
    </xf>
    <xf numFmtId="0" fontId="10" fillId="3" borderId="43"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3" fillId="0" borderId="1" xfId="0" applyFont="1" applyFill="1" applyBorder="1" applyAlignment="1">
      <alignment horizontal="center" vertical="center"/>
    </xf>
    <xf numFmtId="0" fontId="13" fillId="0" borderId="5" xfId="0" applyFont="1" applyFill="1" applyBorder="1" applyAlignment="1">
      <alignment horizontal="center" vertical="center"/>
    </xf>
    <xf numFmtId="0" fontId="13" fillId="0" borderId="7" xfId="0" applyFont="1" applyFill="1" applyBorder="1" applyAlignment="1">
      <alignment horizontal="center" vertical="center"/>
    </xf>
    <xf numFmtId="0" fontId="13" fillId="0" borderId="6" xfId="0" applyFont="1" applyFill="1" applyBorder="1" applyAlignment="1">
      <alignment horizontal="center" vertical="center"/>
    </xf>
    <xf numFmtId="0" fontId="13" fillId="0" borderId="5" xfId="0" applyFont="1" applyFill="1" applyBorder="1" applyAlignment="1">
      <alignment horizontal="left" vertical="center" wrapText="1"/>
    </xf>
    <xf numFmtId="0" fontId="13" fillId="0" borderId="7" xfId="0" applyFont="1" applyFill="1" applyBorder="1" applyAlignment="1">
      <alignment horizontal="left" vertical="center" wrapText="1"/>
    </xf>
    <xf numFmtId="0" fontId="13" fillId="0" borderId="6" xfId="0" applyFont="1" applyFill="1" applyBorder="1" applyAlignment="1">
      <alignment horizontal="left" vertical="center" wrapText="1"/>
    </xf>
    <xf numFmtId="0" fontId="10" fillId="3" borderId="35" xfId="0" applyFont="1" applyFill="1" applyBorder="1" applyAlignment="1">
      <alignment horizontal="center" vertical="center"/>
    </xf>
    <xf numFmtId="0" fontId="10" fillId="3" borderId="9" xfId="0" applyFont="1" applyFill="1" applyBorder="1" applyAlignment="1">
      <alignment horizontal="center" vertical="center"/>
    </xf>
    <xf numFmtId="0" fontId="10" fillId="3" borderId="36" xfId="0" applyFont="1" applyFill="1" applyBorder="1" applyAlignment="1">
      <alignment horizontal="center" vertical="center"/>
    </xf>
    <xf numFmtId="0" fontId="10" fillId="3" borderId="38" xfId="0" applyFont="1" applyFill="1" applyBorder="1" applyAlignment="1">
      <alignment horizontal="center" vertical="center"/>
    </xf>
    <xf numFmtId="0" fontId="10" fillId="3" borderId="1" xfId="0" applyFont="1" applyFill="1" applyBorder="1" applyAlignment="1">
      <alignment horizontal="center" vertical="center"/>
    </xf>
    <xf numFmtId="0" fontId="10" fillId="3" borderId="33" xfId="0" applyFont="1" applyFill="1" applyBorder="1" applyAlignment="1">
      <alignment horizontal="center" vertical="center"/>
    </xf>
    <xf numFmtId="41" fontId="13" fillId="0" borderId="61" xfId="1" applyFont="1" applyFill="1" applyBorder="1" applyAlignment="1">
      <alignment horizontal="center" vertical="center" wrapText="1"/>
    </xf>
    <xf numFmtId="0" fontId="10" fillId="3" borderId="8" xfId="0" applyFont="1" applyFill="1" applyBorder="1" applyAlignment="1">
      <alignment horizontal="center" vertical="center"/>
    </xf>
    <xf numFmtId="0" fontId="10" fillId="3" borderId="39" xfId="0" applyFont="1" applyFill="1" applyBorder="1" applyAlignment="1">
      <alignment horizontal="center" vertical="center"/>
    </xf>
    <xf numFmtId="0" fontId="10" fillId="3" borderId="7" xfId="0" applyFont="1" applyFill="1" applyBorder="1" applyAlignment="1">
      <alignment horizontal="center" vertical="center"/>
    </xf>
    <xf numFmtId="0" fontId="10" fillId="3" borderId="10" xfId="0" applyFont="1" applyFill="1" applyBorder="1" applyAlignment="1">
      <alignment horizontal="center" vertical="center"/>
    </xf>
    <xf numFmtId="0" fontId="10" fillId="3" borderId="53" xfId="0" applyFont="1" applyFill="1" applyBorder="1" applyAlignment="1">
      <alignment horizontal="center" vertical="center"/>
    </xf>
    <xf numFmtId="0" fontId="10" fillId="3" borderId="65" xfId="0" applyFont="1" applyFill="1" applyBorder="1" applyAlignment="1">
      <alignment horizontal="center" vertical="center"/>
    </xf>
    <xf numFmtId="0" fontId="10" fillId="3" borderId="54" xfId="0" applyFont="1" applyFill="1" applyBorder="1" applyAlignment="1">
      <alignment horizontal="center" vertical="center"/>
    </xf>
    <xf numFmtId="0" fontId="10" fillId="3" borderId="67" xfId="0" applyFont="1" applyFill="1" applyBorder="1" applyAlignment="1">
      <alignment horizontal="center" vertical="center"/>
    </xf>
    <xf numFmtId="0" fontId="10" fillId="3" borderId="66" xfId="0" applyFont="1" applyFill="1" applyBorder="1" applyAlignment="1">
      <alignment horizontal="center" vertical="center" wrapText="1"/>
    </xf>
    <xf numFmtId="0" fontId="10" fillId="3" borderId="23" xfId="0" applyFont="1" applyFill="1" applyBorder="1" applyAlignment="1">
      <alignment horizontal="center" vertical="center" wrapText="1"/>
    </xf>
    <xf numFmtId="0" fontId="10" fillId="3" borderId="34" xfId="0" applyFont="1" applyFill="1" applyBorder="1" applyAlignment="1">
      <alignment horizontal="center" vertical="center" wrapText="1"/>
    </xf>
    <xf numFmtId="0" fontId="10" fillId="3" borderId="55" xfId="0" applyFont="1" applyFill="1" applyBorder="1" applyAlignment="1">
      <alignment horizontal="center" vertical="center" wrapText="1"/>
    </xf>
    <xf numFmtId="0" fontId="10" fillId="3" borderId="7" xfId="0" applyFont="1" applyFill="1" applyBorder="1" applyAlignment="1">
      <alignment horizontal="center" vertical="center" wrapText="1"/>
    </xf>
    <xf numFmtId="0" fontId="10" fillId="3" borderId="37" xfId="0" applyFont="1" applyFill="1" applyBorder="1" applyAlignment="1">
      <alignment horizontal="center" vertical="center" wrapText="1"/>
    </xf>
    <xf numFmtId="41" fontId="13" fillId="0" borderId="5" xfId="1" applyFont="1" applyBorder="1" applyAlignment="1">
      <alignment horizontal="center" vertical="center"/>
    </xf>
    <xf numFmtId="41" fontId="13" fillId="0" borderId="7" xfId="1" applyFont="1" applyBorder="1" applyAlignment="1">
      <alignment horizontal="center" vertical="center"/>
    </xf>
    <xf numFmtId="41" fontId="13" fillId="0" borderId="28" xfId="0" applyNumberFormat="1" applyFont="1" applyBorder="1" applyAlignment="1">
      <alignment horizontal="center" vertical="center" wrapText="1"/>
    </xf>
    <xf numFmtId="41" fontId="13" fillId="0" borderId="27" xfId="0" applyNumberFormat="1" applyFont="1" applyBorder="1" applyAlignment="1">
      <alignment horizontal="center" vertical="center" wrapText="1"/>
    </xf>
    <xf numFmtId="0" fontId="12" fillId="6" borderId="4" xfId="0" applyFont="1" applyFill="1" applyBorder="1" applyAlignment="1">
      <alignment horizontal="left" vertical="center" wrapText="1"/>
    </xf>
    <xf numFmtId="41" fontId="13" fillId="0" borderId="19" xfId="1" applyFont="1" applyBorder="1" applyAlignment="1">
      <alignment horizontal="left" vertical="center" wrapText="1"/>
    </xf>
    <xf numFmtId="0" fontId="14" fillId="0" borderId="20" xfId="0" applyFont="1" applyBorder="1" applyAlignment="1">
      <alignment horizontal="left" vertical="center" wrapText="1"/>
    </xf>
    <xf numFmtId="41" fontId="13" fillId="0" borderId="19" xfId="1" applyFont="1" applyBorder="1" applyAlignment="1">
      <alignment horizontal="center" vertical="center"/>
    </xf>
    <xf numFmtId="41" fontId="13" fillId="0" borderId="20" xfId="1" applyFont="1" applyBorder="1" applyAlignment="1">
      <alignment horizontal="center" vertical="center"/>
    </xf>
    <xf numFmtId="41" fontId="13" fillId="8" borderId="19" xfId="1" applyFont="1" applyFill="1" applyBorder="1" applyAlignment="1">
      <alignment horizontal="left" vertical="center" wrapText="1"/>
    </xf>
    <xf numFmtId="41" fontId="13" fillId="0" borderId="21" xfId="1" applyFont="1" applyBorder="1" applyAlignment="1">
      <alignment horizontal="center" vertical="center"/>
    </xf>
    <xf numFmtId="41" fontId="13" fillId="0" borderId="19" xfId="1" applyFont="1" applyBorder="1" applyAlignment="1">
      <alignment horizontal="center" vertical="center" wrapText="1"/>
    </xf>
    <xf numFmtId="41" fontId="13" fillId="0" borderId="21" xfId="1" applyFont="1" applyBorder="1" applyAlignment="1">
      <alignment horizontal="center" vertical="center" wrapText="1"/>
    </xf>
    <xf numFmtId="41" fontId="13" fillId="0" borderId="20" xfId="1" applyFont="1" applyBorder="1" applyAlignment="1">
      <alignment horizontal="center" vertical="center" wrapText="1"/>
    </xf>
    <xf numFmtId="0" fontId="13" fillId="0" borderId="5" xfId="0" applyFont="1" applyBorder="1" applyAlignment="1">
      <alignment horizontal="center" vertical="center"/>
    </xf>
    <xf numFmtId="0" fontId="13" fillId="0" borderId="7" xfId="0" applyFont="1" applyBorder="1" applyAlignment="1">
      <alignment horizontal="center" vertical="center"/>
    </xf>
    <xf numFmtId="0" fontId="13" fillId="0" borderId="1" xfId="0" applyFont="1" applyBorder="1" applyAlignment="1">
      <alignment horizontal="center" vertical="center"/>
    </xf>
    <xf numFmtId="0" fontId="13" fillId="0" borderId="5" xfId="0" applyFont="1" applyBorder="1" applyAlignment="1">
      <alignment horizontal="center" vertical="center" wrapText="1"/>
    </xf>
    <xf numFmtId="0" fontId="14" fillId="0" borderId="7" xfId="0" applyFont="1" applyBorder="1" applyAlignment="1">
      <alignment horizontal="center" vertical="center" wrapText="1"/>
    </xf>
    <xf numFmtId="0" fontId="13" fillId="0" borderId="6" xfId="0" applyFont="1" applyBorder="1" applyAlignment="1">
      <alignment horizontal="center" vertical="center"/>
    </xf>
    <xf numFmtId="0" fontId="13" fillId="0" borderId="6"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5" xfId="0" applyFont="1" applyBorder="1" applyAlignment="1">
      <alignment horizontal="left" vertical="center" wrapText="1"/>
    </xf>
    <xf numFmtId="0" fontId="13" fillId="0" borderId="7" xfId="0" applyFont="1" applyBorder="1" applyAlignment="1">
      <alignment horizontal="left" vertical="center" wrapText="1"/>
    </xf>
    <xf numFmtId="0" fontId="13" fillId="8" borderId="5" xfId="0" applyFont="1" applyFill="1" applyBorder="1" applyAlignment="1">
      <alignment horizontal="left" vertical="center" wrapText="1"/>
    </xf>
    <xf numFmtId="0" fontId="13" fillId="8" borderId="7" xfId="0" applyFont="1" applyFill="1" applyBorder="1" applyAlignment="1">
      <alignment horizontal="left" vertical="center" wrapText="1"/>
    </xf>
    <xf numFmtId="0" fontId="13" fillId="0" borderId="6" xfId="0" applyFont="1" applyBorder="1" applyAlignment="1">
      <alignment horizontal="left" vertical="center" wrapText="1"/>
    </xf>
    <xf numFmtId="41" fontId="13" fillId="0" borderId="21" xfId="1" applyFont="1" applyBorder="1" applyAlignment="1">
      <alignment horizontal="left" vertical="center" wrapText="1"/>
    </xf>
    <xf numFmtId="41" fontId="13" fillId="0" borderId="20" xfId="1" applyFont="1" applyBorder="1" applyAlignment="1">
      <alignment horizontal="left" vertical="center" wrapText="1"/>
    </xf>
    <xf numFmtId="0" fontId="13" fillId="0" borderId="56" xfId="0" applyFont="1" applyBorder="1" applyAlignment="1">
      <alignment horizontal="center" vertical="center" wrapText="1"/>
    </xf>
    <xf numFmtId="0" fontId="13" fillId="0" borderId="55" xfId="0" applyFont="1" applyBorder="1" applyAlignment="1">
      <alignment horizontal="center" vertical="center" wrapText="1"/>
    </xf>
    <xf numFmtId="41" fontId="13" fillId="0" borderId="5" xfId="1" applyFont="1" applyBorder="1" applyAlignment="1">
      <alignment horizontal="center" vertical="center" wrapText="1"/>
    </xf>
    <xf numFmtId="41" fontId="13" fillId="0" borderId="6" xfId="1" applyFont="1" applyBorder="1" applyAlignment="1">
      <alignment horizontal="center" vertical="center" wrapText="1"/>
    </xf>
    <xf numFmtId="41" fontId="13" fillId="0" borderId="7" xfId="1" applyFont="1" applyBorder="1" applyAlignment="1">
      <alignment horizontal="center" vertical="center" wrapText="1"/>
    </xf>
    <xf numFmtId="41" fontId="13" fillId="0" borderId="62" xfId="1" applyFont="1" applyBorder="1" applyAlignment="1">
      <alignment horizontal="center" vertical="center" wrapText="1"/>
    </xf>
    <xf numFmtId="0" fontId="14" fillId="0" borderId="18" xfId="0" applyFont="1" applyBorder="1" applyAlignment="1">
      <alignment horizontal="center" vertical="center" wrapText="1"/>
    </xf>
    <xf numFmtId="41" fontId="13" fillId="0" borderId="18" xfId="1" applyFont="1" applyBorder="1" applyAlignment="1">
      <alignment horizontal="center" vertical="center" wrapText="1"/>
    </xf>
    <xf numFmtId="41" fontId="13" fillId="8" borderId="62" xfId="1" applyFont="1" applyFill="1" applyBorder="1" applyAlignment="1">
      <alignment horizontal="center" vertical="center" wrapText="1"/>
    </xf>
    <xf numFmtId="41" fontId="13" fillId="0" borderId="60" xfId="1" applyFont="1" applyBorder="1" applyAlignment="1">
      <alignment horizontal="center" vertical="center" wrapText="1"/>
    </xf>
    <xf numFmtId="41" fontId="13" fillId="0" borderId="63" xfId="1" applyFont="1" applyBorder="1" applyAlignment="1">
      <alignment horizontal="center" vertical="center" wrapText="1"/>
    </xf>
    <xf numFmtId="41" fontId="13" fillId="0" borderId="61" xfId="1" applyFont="1" applyBorder="1" applyAlignment="1">
      <alignment horizontal="center" vertical="center" wrapText="1"/>
    </xf>
    <xf numFmtId="41" fontId="13" fillId="0" borderId="37" xfId="1" applyFont="1" applyBorder="1" applyAlignment="1">
      <alignment horizontal="center" vertical="center" wrapText="1"/>
    </xf>
    <xf numFmtId="0" fontId="10" fillId="3" borderId="57" xfId="0" applyFont="1" applyFill="1" applyBorder="1" applyAlignment="1">
      <alignment horizontal="center" vertical="center"/>
    </xf>
    <xf numFmtId="0" fontId="10" fillId="3" borderId="58" xfId="0" applyFont="1" applyFill="1" applyBorder="1" applyAlignment="1">
      <alignment horizontal="center" vertical="center"/>
    </xf>
    <xf numFmtId="0" fontId="10" fillId="3" borderId="16" xfId="0" applyFont="1" applyFill="1" applyBorder="1" applyAlignment="1">
      <alignment horizontal="center" vertical="center" wrapText="1"/>
    </xf>
    <xf numFmtId="0" fontId="10" fillId="3" borderId="18" xfId="0" applyFont="1" applyFill="1" applyBorder="1" applyAlignment="1">
      <alignment horizontal="center" vertical="center" wrapText="1"/>
    </xf>
    <xf numFmtId="0" fontId="14" fillId="0" borderId="37" xfId="0" applyFont="1" applyBorder="1" applyAlignment="1">
      <alignment horizontal="center" vertical="center" wrapText="1"/>
    </xf>
    <xf numFmtId="41" fontId="13" fillId="8" borderId="63" xfId="1" applyFont="1" applyFill="1" applyBorder="1" applyAlignment="1">
      <alignment horizontal="center" vertical="center" wrapText="1"/>
    </xf>
    <xf numFmtId="41" fontId="13" fillId="8" borderId="5" xfId="1" applyFont="1" applyFill="1" applyBorder="1" applyAlignment="1">
      <alignment horizontal="center" vertical="center" wrapText="1"/>
    </xf>
    <xf numFmtId="0" fontId="0" fillId="0" borderId="21" xfId="0" applyFont="1" applyBorder="1" applyAlignment="1">
      <alignment horizontal="left" vertical="center" wrapText="1"/>
    </xf>
    <xf numFmtId="0" fontId="7" fillId="0" borderId="0" xfId="0" applyFont="1" applyAlignment="1">
      <alignment horizontal="left" vertical="top" wrapText="1"/>
    </xf>
    <xf numFmtId="0" fontId="7" fillId="0" borderId="0" xfId="0" applyFont="1" applyAlignment="1">
      <alignment horizontal="left" vertical="top"/>
    </xf>
  </cellXfs>
  <cellStyles count="10">
    <cellStyle name="40% - Accent5" xfId="5" builtinId="47"/>
    <cellStyle name="40% - Accent6" xfId="7" builtinId="51"/>
    <cellStyle name="60% - Accent5" xfId="6" builtinId="48"/>
    <cellStyle name="Comma [0]" xfId="1" builtinId="6"/>
    <cellStyle name="Currency [0]" xfId="2" builtinId="7"/>
    <cellStyle name="Normal" xfId="0" builtinId="0"/>
    <cellStyle name="Normal 2" xfId="3"/>
    <cellStyle name="Normal 2 2" xfId="8"/>
    <cellStyle name="Normal 2 3" xfId="9"/>
    <cellStyle name="Normal 3" xfId="4"/>
  </cellStyles>
  <dxfs count="14">
    <dxf>
      <border>
        <left style="thin">
          <color auto="1"/>
        </left>
        <right style="thin">
          <color auto="1"/>
        </right>
        <top style="thin">
          <color auto="1"/>
        </top>
        <bottom style="thin">
          <color auto="1"/>
        </bottom>
        <vertical style="thin">
          <color auto="1"/>
        </vertical>
        <horizontal style="thin">
          <color auto="1"/>
        </horizontal>
      </border>
    </dxf>
    <dxf>
      <border>
        <top style="thin">
          <color theme="4" tint="0.79995117038483843"/>
        </top>
        <bottom style="thin">
          <color theme="4" tint="0.79995117038483843"/>
        </bottom>
      </border>
    </dxf>
    <dxf>
      <border>
        <top style="thin">
          <color theme="4" tint="0.79995117038483843"/>
        </top>
        <bottom style="thin">
          <color theme="4" tint="0.79995117038483843"/>
        </bottom>
      </border>
    </dxf>
    <dxf>
      <fill>
        <patternFill patternType="solid">
          <fgColor theme="4" tint="0.79995117038483843"/>
          <bgColor theme="4" tint="0.79995117038483843"/>
        </patternFill>
      </fill>
      <border>
        <bottom style="thin">
          <color theme="4"/>
        </bottom>
      </border>
    </dxf>
    <dxf>
      <font>
        <color theme="0"/>
      </font>
      <fill>
        <patternFill patternType="solid">
          <fgColor theme="4" tint="0.39994506668294322"/>
          <bgColor theme="4" tint="0.39994506668294322"/>
        </patternFill>
      </fill>
      <border>
        <bottom style="thin">
          <color theme="4" tint="0.79995117038483843"/>
        </bottom>
        <horizontal style="thin">
          <color theme="4" tint="0.39994506668294322"/>
        </horizontal>
      </border>
    </dxf>
    <dxf>
      <border>
        <bottom style="thin">
          <color theme="4" tint="0.59999389629810485"/>
        </bottom>
      </border>
    </dxf>
    <dxf>
      <font>
        <b/>
        <color theme="1"/>
      </font>
      <fill>
        <patternFill patternType="solid">
          <fgColor theme="0" tint="-0.14996795556505021"/>
          <bgColor theme="0" tint="-0.14996795556505021"/>
        </patternFill>
      </fill>
    </dxf>
    <dxf>
      <font>
        <b/>
        <color theme="0"/>
      </font>
      <fill>
        <patternFill patternType="solid">
          <fgColor theme="4" tint="0.39994506668294322"/>
          <bgColor theme="4" tint="0.39994506668294322"/>
        </patternFill>
      </fill>
    </dxf>
    <dxf>
      <font>
        <b/>
        <color theme="0"/>
      </font>
    </dxf>
    <dxf>
      <border>
        <left style="thin">
          <color theme="4" tint="-0.249977111117893"/>
        </left>
        <right style="thin">
          <color theme="4" tint="-0.249977111117893"/>
        </right>
      </border>
    </dxf>
    <dxf>
      <border>
        <top style="thin">
          <color theme="4" tint="-0.249977111117893"/>
        </top>
        <bottom style="thin">
          <color theme="4" tint="-0.249977111117893"/>
        </bottom>
        <horizontal style="thin">
          <color theme="4" tint="-0.249977111117893"/>
        </horizontal>
      </border>
    </dxf>
    <dxf>
      <font>
        <b/>
        <color theme="1"/>
      </font>
      <border>
        <top style="double">
          <color theme="4" tint="-0.249977111117893"/>
        </top>
      </border>
    </dxf>
    <dxf>
      <font>
        <color theme="0"/>
      </font>
      <fill>
        <patternFill patternType="solid">
          <fgColor theme="4" tint="-0.249977111117893"/>
          <bgColor theme="4" tint="-0.249977111117893"/>
        </patternFill>
      </fill>
      <border>
        <horizontal style="thin">
          <color theme="4" tint="-0.249977111117893"/>
        </horizontal>
      </border>
    </dxf>
    <dxf>
      <font>
        <color theme="1"/>
      </font>
      <border>
        <left style="thin">
          <color theme="4" tint="-0.24994659260841701"/>
        </left>
        <right style="thin">
          <color theme="4" tint="-0.24994659260841701"/>
        </right>
        <top style="thin">
          <color theme="4" tint="-0.24994659260841701"/>
        </top>
        <bottom style="thin">
          <color theme="4" tint="-0.24994659260841701"/>
        </bottom>
        <vertical style="thin">
          <color theme="4" tint="-0.24994659260841701"/>
        </vertical>
        <horizontal style="thin">
          <color theme="4" tint="-0.24994659260841701"/>
        </horizontal>
      </border>
    </dxf>
  </dxfs>
  <tableStyles count="3" defaultTableStyle="TableStyleMedium2" defaultPivotStyle="PivotStyleLight16">
    <tableStyle name="DINI" table="0" count="13">
      <tableStyleElement type="wholeTable" dxfId="13"/>
      <tableStyleElement type="headerRow" dxfId="12"/>
      <tableStyleElement type="totalRow" dxfId="11"/>
      <tableStyleElement type="firstRowStripe" dxfId="10"/>
      <tableStyleElement type="firstColumnStripe" dxfId="9"/>
      <tableStyleElement type="firstHeaderCell" dxfId="8"/>
      <tableStyleElement type="firstSubtotalRow" dxfId="7"/>
      <tableStyleElement type="secondSubtotalRow" dxfId="6"/>
      <tableStyleElement type="firstColumnSubheading" dxfId="5"/>
      <tableStyleElement type="firstRowSubheading" dxfId="4"/>
      <tableStyleElement type="secondRowSubheading" dxfId="3"/>
      <tableStyleElement type="pageFieldLabels" dxfId="2"/>
      <tableStyleElement type="pageFieldValues" dxfId="1"/>
    </tableStyle>
    <tableStyle name="PivotTable Style 1" table="0" count="1">
      <tableStyleElement type="wholeTable" dxfId="0"/>
    </tableStyle>
    <tableStyle name="Table Style 1" pivot="0" count="0"/>
  </tableStyles>
  <colors>
    <mruColors>
      <color rgb="FFC40C8F"/>
      <color rgb="FF1CA3F6"/>
      <color rgb="FF8A87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3.xml"/><Relationship Id="rId68" Type="http://schemas.openxmlformats.org/officeDocument/2006/relationships/externalLink" Target="externalLinks/externalLink8.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5.xml"/><Relationship Id="rId7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4.xml"/><Relationship Id="rId69" Type="http://schemas.openxmlformats.org/officeDocument/2006/relationships/externalLink" Target="externalLinks/externalLink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2.xml"/><Relationship Id="rId7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017%20-%20File%20Dini/001%20-%20MAPPING%20BLUE%20BOOK%20REVISI/001%20List%20BB%202015-2019%20SUDAH%20L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5%20-%20File%20Dini/028.%20Indikasi%20Lender%20BB%202015-2019/023.%20Indikasi%20Lender%20-%2023%20Desember%202015/BB%202015-2019%20-%20Indikasi%20Lender%20&amp;%20Kesiapan%20Per%20Lender_2015.12.2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2016%20-%20File%20Dini/014%20-%20BB%202015-2019%20dan%20Revisinya/016.%20BB%202015-2019%20dan%20Revisinya%20-%202017.03.24/BB%202015-2019%20dan%20Revisinya%20-%202017.03.2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017%20-%20File%20Dini/001%20-%20MAPPING%20BLUE%20BOOK%20REVISI/000%20MAPPING%20BLUE%20BOOK%20REVISI%202015-2019%20170217%20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Eftin%20Ula%20Kurnia/Downloads/BB%202015-2019%20dan%20Revisinya%20update%20Faisal%2022%20Januari%20201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Asus/Downloads/002.%20BB%202015-2019%20dan%20Revisinya-18%20Januari%202018%20v2%20update%20sektor%20dan%20SDA%20faizah%20(5%20sekto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Asus/Downloads/002.%20BB%202015-2019%20dan%20Revisinya-18%20Januari%202018%20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Eftin%20Ula%20Kurnia/Downloads/005.%20BB%202015-2019%20dan%20Revisinya-22%20Januari%202018%20v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Eftin%20Ula%20Kurnia/Downloads/Program%20yang%20sudah%20diklasifikasikan%20menjadi%20sek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 15-19 SUDAH LA"/>
      <sheetName val="BB 15-19 Ket LA"/>
      <sheetName val="10 kegiatan LA"/>
      <sheetName val="Update 30 Jan"/>
      <sheetName val="Update 31 Des"/>
      <sheetName val="oktober 15"/>
      <sheetName val="des 15"/>
      <sheetName val="Sheet2"/>
      <sheetName val="Sheet3"/>
    </sheetNames>
    <sheetDataSet>
      <sheetData sheetId="0">
        <row r="41">
          <cell r="D41">
            <v>23000000</v>
          </cell>
        </row>
        <row r="48">
          <cell r="D48">
            <v>1050000000</v>
          </cell>
        </row>
      </sheetData>
      <sheetData sheetId="1"/>
      <sheetData sheetId="2"/>
      <sheetData sheetId="3"/>
      <sheetData sheetId="4"/>
      <sheetData sheetId="5"/>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SI LENDER&amp;KESIAPAN JUMLAH"/>
      <sheetName val="DATA"/>
      <sheetName val="PU-LAMA2"/>
      <sheetName val="PU-LAMA"/>
      <sheetName val="ALL-39,8"/>
      <sheetName val="REKAP"/>
      <sheetName val="PRANCIS-"/>
      <sheetName val="HUNGARIA-"/>
      <sheetName val="SPANYOL-"/>
      <sheetName val="BD"/>
      <sheetName val="ADB-"/>
      <sheetName val="IDB-"/>
      <sheetName val="IFAD-"/>
      <sheetName val="AIIB-"/>
      <sheetName val="BATAL"/>
      <sheetName val="NO LENDER-ALL"/>
      <sheetName val="NO LENDER-"/>
      <sheetName val="KPS-"/>
      <sheetName val="RM-"/>
      <sheetName val="MULTILENDER"/>
      <sheetName val="US EXIM-"/>
      <sheetName val="KOREA- (2)"/>
      <sheetName val="KOREA-"/>
      <sheetName val="JERMAN-"/>
      <sheetName val="RRT-"/>
      <sheetName val="JICA-"/>
      <sheetName val="ALL2"/>
      <sheetName val="SANDINGAN BM"/>
      <sheetName val="lain"/>
      <sheetName val="130 lama"/>
      <sheetName val="ALL"/>
      <sheetName val="TANPA TAHUN"/>
      <sheetName val="2019"/>
      <sheetName val="2018"/>
      <sheetName val="2017"/>
      <sheetName val="2016"/>
      <sheetName val="2015"/>
      <sheetName val="ES"/>
      <sheetName val="ES edit"/>
      <sheetName val="UBAH"/>
      <sheetName val="PENJ.PERUBAHAN"/>
      <sheetName val="OD3"/>
      <sheetName val="OD2"/>
      <sheetName val="OD"/>
      <sheetName val="OD B-ICHA"/>
      <sheetName val="SHORT21"/>
      <sheetName val="SHORT10"/>
      <sheetName val="BU ANA"/>
      <sheetName val="ALL PENYIAPAN"/>
      <sheetName val="PIVOT"/>
      <sheetName val="GB15 (3)"/>
      <sheetName val="GB15"/>
      <sheetName val="2016&amp;GB15"/>
      <sheetName val="2015&amp;GB15"/>
      <sheetName val="JICA"/>
      <sheetName val="RRT"/>
      <sheetName val="JERMAN"/>
      <sheetName val="KOREA"/>
      <sheetName val="US EXIM"/>
      <sheetName val="PERANCIS (AFD) "/>
      <sheetName val="AUSTRIA"/>
      <sheetName val="HUNGARIA"/>
      <sheetName val="SPANYOL"/>
      <sheetName val="BANK DUNIA"/>
      <sheetName val="ADB"/>
      <sheetName val="IDB"/>
      <sheetName val="IFAD"/>
      <sheetName val="MULTI LENDER"/>
      <sheetName val="RM"/>
      <sheetName val="KPS"/>
      <sheetName val="NO LENDER"/>
      <sheetName val="BLM KONFIRM"/>
      <sheetName val="NO LENDER (PINJAMAN)"/>
      <sheetName val="LAIN2"/>
      <sheetName val="DJPPR"/>
      <sheetName val="PENYIAPAN"/>
      <sheetName val="LIST KONFIRMASI"/>
      <sheetName val="REKAPLAMA"/>
    </sheetNames>
    <sheetDataSet>
      <sheetData sheetId="0"/>
      <sheetData sheetId="1">
        <row r="2">
          <cell r="B2" t="str">
            <v>I</v>
          </cell>
          <cell r="C2" t="str">
            <v>INFRASTRUKTUR</v>
          </cell>
          <cell r="D2">
            <v>1</v>
          </cell>
          <cell r="E2" t="str">
            <v>Kementerian Pekerjaan Umum dan Perumahan Rakyat</v>
          </cell>
          <cell r="G2" t="str">
            <v>A</v>
          </cell>
          <cell r="H2" t="str">
            <v>Program Pembangunan Jalan Tol</v>
          </cell>
          <cell r="J2" t="str">
            <v>Toll Road Development in Kalimantan, Sumatera, and Java Islands</v>
          </cell>
          <cell r="R2">
            <v>1250000000</v>
          </cell>
          <cell r="Z2">
            <v>1250000000</v>
          </cell>
        </row>
        <row r="3">
          <cell r="A3">
            <v>1</v>
          </cell>
          <cell r="B3">
            <v>0</v>
          </cell>
          <cell r="C3" t="str">
            <v>INFRASTRUKTUR</v>
          </cell>
          <cell r="D3">
            <v>1</v>
          </cell>
          <cell r="E3" t="str">
            <v>Kementerian Pekerjaan Umum dan Perumahan Rakyat</v>
          </cell>
          <cell r="F3" t="str">
            <v>Toll Road Development Program</v>
          </cell>
          <cell r="G3" t="str">
            <v>A</v>
          </cell>
          <cell r="H3" t="str">
            <v>Program Pembangunan Jalan Tol</v>
          </cell>
          <cell r="I3">
            <v>1</v>
          </cell>
          <cell r="O3">
            <v>0.5</v>
          </cell>
          <cell r="P3">
            <v>0</v>
          </cell>
          <cell r="Q3">
            <v>0</v>
          </cell>
          <cell r="W3" t="str">
            <v>RRT</v>
          </cell>
          <cell r="AN3">
            <v>1000000000</v>
          </cell>
          <cell r="AO3" t="str">
            <v>RRT</v>
          </cell>
          <cell r="AP3" t="str">
            <v>-</v>
          </cell>
        </row>
        <row r="4">
          <cell r="A4">
            <v>2</v>
          </cell>
          <cell r="B4">
            <v>0</v>
          </cell>
          <cell r="C4" t="str">
            <v>INFRASTRUKTUR</v>
          </cell>
          <cell r="D4">
            <v>1</v>
          </cell>
          <cell r="E4" t="str">
            <v>Kementerian Pekerjaan Umum dan Perumahan Rakyat</v>
          </cell>
          <cell r="F4" t="str">
            <v>Toll Road Development Program</v>
          </cell>
          <cell r="G4" t="str">
            <v>A</v>
          </cell>
          <cell r="H4" t="str">
            <v>Program Pembangunan Jalan Tol</v>
          </cell>
          <cell r="I4">
            <v>1</v>
          </cell>
          <cell r="O4">
            <v>0.5</v>
          </cell>
          <cell r="P4">
            <v>0</v>
          </cell>
          <cell r="Q4">
            <v>0</v>
          </cell>
          <cell r="W4" t="str">
            <v>Korea</v>
          </cell>
          <cell r="AN4">
            <v>250000000</v>
          </cell>
          <cell r="AO4" t="str">
            <v>Korea</v>
          </cell>
          <cell r="AP4" t="str">
            <v>belum masuk rolling plan EDCF (Korea)</v>
          </cell>
        </row>
        <row r="6">
          <cell r="A6">
            <v>4</v>
          </cell>
          <cell r="B6">
            <v>0</v>
          </cell>
          <cell r="C6" t="str">
            <v>INFRASTRUKTUR</v>
          </cell>
          <cell r="D6">
            <v>1</v>
          </cell>
          <cell r="E6" t="str">
            <v>Kementerian Pekerjaan Umum dan Perumahan Rakyat</v>
          </cell>
          <cell r="F6" t="str">
            <v>Toll Road Development Program</v>
          </cell>
          <cell r="G6" t="str">
            <v>A</v>
          </cell>
          <cell r="H6" t="str">
            <v>Program Pembangunan Jalan Tol</v>
          </cell>
          <cell r="I6">
            <v>2</v>
          </cell>
          <cell r="J6" t="str">
            <v>Development of Cileunyi - Sumedang - Dawuan Toll Road Phase II</v>
          </cell>
          <cell r="O6">
            <v>1</v>
          </cell>
          <cell r="P6">
            <v>1</v>
          </cell>
          <cell r="Q6">
            <v>2</v>
          </cell>
          <cell r="R6">
            <v>330000000</v>
          </cell>
          <cell r="W6" t="str">
            <v>RRT</v>
          </cell>
          <cell r="Z6">
            <v>330000000</v>
          </cell>
          <cell r="AN6">
            <v>330000000</v>
          </cell>
          <cell r="AO6" t="str">
            <v>RRT</v>
          </cell>
          <cell r="AP6" t="str">
            <v>-</v>
          </cell>
        </row>
        <row r="7">
          <cell r="A7">
            <v>5</v>
          </cell>
          <cell r="B7">
            <v>0</v>
          </cell>
          <cell r="C7" t="str">
            <v>INFRASTRUKTUR</v>
          </cell>
          <cell r="D7">
            <v>1</v>
          </cell>
          <cell r="E7" t="str">
            <v>Kementerian Pekerjaan Umum dan Perumahan Rakyat</v>
          </cell>
          <cell r="F7" t="str">
            <v>Toll Road Development Program</v>
          </cell>
          <cell r="G7" t="str">
            <v>A</v>
          </cell>
          <cell r="H7" t="str">
            <v>Program Pembangunan Jalan Tol</v>
          </cell>
          <cell r="I7">
            <v>2</v>
          </cell>
          <cell r="J7" t="str">
            <v>Toll Road Development of Balikpapan - Samarinda</v>
          </cell>
          <cell r="O7">
            <v>1</v>
          </cell>
          <cell r="P7">
            <v>1</v>
          </cell>
          <cell r="Q7">
            <v>3</v>
          </cell>
          <cell r="R7">
            <v>65000000</v>
          </cell>
          <cell r="W7" t="str">
            <v>RRT</v>
          </cell>
          <cell r="Z7">
            <v>65000000</v>
          </cell>
          <cell r="AN7">
            <v>65000000</v>
          </cell>
          <cell r="AO7" t="str">
            <v>RRT</v>
          </cell>
          <cell r="AP7" t="str">
            <v>-</v>
          </cell>
        </row>
        <row r="8">
          <cell r="A8">
            <v>6</v>
          </cell>
          <cell r="B8">
            <v>0</v>
          </cell>
          <cell r="C8" t="str">
            <v>INFRASTRUKTUR</v>
          </cell>
          <cell r="D8">
            <v>1</v>
          </cell>
          <cell r="E8" t="str">
            <v>Kementerian Pekerjaan Umum dan Perumahan Rakyat</v>
          </cell>
          <cell r="F8" t="str">
            <v>Toll Road Development Program</v>
          </cell>
          <cell r="G8" t="str">
            <v>A</v>
          </cell>
          <cell r="H8" t="str">
            <v>Program Pembangunan Jalan Tol</v>
          </cell>
          <cell r="I8">
            <v>2</v>
          </cell>
          <cell r="J8" t="str">
            <v>Toll Road Development of Manado - Bitung</v>
          </cell>
          <cell r="O8">
            <v>1</v>
          </cell>
          <cell r="P8">
            <v>1</v>
          </cell>
          <cell r="Q8">
            <v>4</v>
          </cell>
          <cell r="R8">
            <v>80000000</v>
          </cell>
          <cell r="W8" t="str">
            <v>RRT</v>
          </cell>
          <cell r="Z8">
            <v>80000000</v>
          </cell>
          <cell r="AN8">
            <v>80000000</v>
          </cell>
          <cell r="AO8" t="str">
            <v>RRT</v>
          </cell>
          <cell r="AP8" t="str">
            <v>-</v>
          </cell>
        </row>
        <row r="9">
          <cell r="A9">
            <v>7</v>
          </cell>
          <cell r="B9">
            <v>0</v>
          </cell>
          <cell r="C9" t="str">
            <v>INFRASTRUKTUR</v>
          </cell>
          <cell r="D9">
            <v>1</v>
          </cell>
          <cell r="E9" t="str">
            <v>Kementerian Pekerjaan Umum dan Perumahan Rakyat</v>
          </cell>
          <cell r="F9" t="str">
            <v>Toll Road Development Program</v>
          </cell>
          <cell r="G9" t="str">
            <v>A</v>
          </cell>
          <cell r="H9" t="str">
            <v>Program Pembangunan Jalan Tol</v>
          </cell>
          <cell r="I9">
            <v>2</v>
          </cell>
          <cell r="J9" t="str">
            <v>Toll Road Development of Solo - Kertosono</v>
          </cell>
          <cell r="O9">
            <v>1</v>
          </cell>
          <cell r="P9">
            <v>1</v>
          </cell>
          <cell r="Q9">
            <v>5</v>
          </cell>
          <cell r="R9">
            <v>300000000</v>
          </cell>
          <cell r="W9" t="str">
            <v>RRT</v>
          </cell>
          <cell r="Z9">
            <v>300000000</v>
          </cell>
          <cell r="AN9">
            <v>300000000</v>
          </cell>
          <cell r="AO9" t="str">
            <v>RRT</v>
          </cell>
          <cell r="AP9" t="str">
            <v>-</v>
          </cell>
        </row>
        <row r="10">
          <cell r="A10">
            <v>8</v>
          </cell>
          <cell r="B10">
            <v>0</v>
          </cell>
          <cell r="C10" t="str">
            <v>INFRASTRUKTUR</v>
          </cell>
          <cell r="D10">
            <v>1</v>
          </cell>
          <cell r="E10" t="str">
            <v>Kementerian Pekerjaan Umum dan Perumahan Rakyat</v>
          </cell>
          <cell r="F10" t="str">
            <v>Development and Improvement of National Bridges Program</v>
          </cell>
          <cell r="G10" t="str">
            <v>B</v>
          </cell>
          <cell r="H10" t="str">
            <v>Program Pembangunan / Peningkatan Jembatan</v>
          </cell>
          <cell r="I10">
            <v>1</v>
          </cell>
          <cell r="J10" t="str">
            <v>Material Procurement for Construction and Bridge Rehabilitation</v>
          </cell>
          <cell r="O10">
            <v>1</v>
          </cell>
          <cell r="P10">
            <v>1</v>
          </cell>
          <cell r="Q10">
            <v>6</v>
          </cell>
          <cell r="R10">
            <v>450000000</v>
          </cell>
          <cell r="W10" t="str">
            <v>Spanyol/RRT</v>
          </cell>
          <cell r="Z10">
            <v>450000000</v>
          </cell>
          <cell r="AN10">
            <v>450000000</v>
          </cell>
          <cell r="AO10" t="str">
            <v>Spanyol/RRT</v>
          </cell>
          <cell r="AP10" t="str">
            <v>- Spanyol berminat mendanai sebagian (USD 50-100 juta), tetapi setelah permasalahan proyek LIPI selesai.
- RRT belum ada keputusan.</v>
          </cell>
        </row>
        <row r="11">
          <cell r="A11">
            <v>9</v>
          </cell>
          <cell r="B11">
            <v>0</v>
          </cell>
          <cell r="C11" t="str">
            <v>INFRASTRUKTUR</v>
          </cell>
          <cell r="D11">
            <v>1</v>
          </cell>
          <cell r="E11" t="str">
            <v>Kementerian Pekerjaan Umum dan Perumahan Rakyat</v>
          </cell>
          <cell r="F11" t="str">
            <v>Development and Improvement of National Bridges Program</v>
          </cell>
          <cell r="G11" t="str">
            <v>B</v>
          </cell>
          <cell r="H11" t="str">
            <v>Program Pembangunan / Peningkatan Jembatan</v>
          </cell>
          <cell r="I11">
            <v>2</v>
          </cell>
          <cell r="J11" t="str">
            <v>Development of Fly Over/ Under Pass for Railways Crossing</v>
          </cell>
          <cell r="O11">
            <v>1</v>
          </cell>
          <cell r="P11">
            <v>1</v>
          </cell>
          <cell r="Q11">
            <v>7</v>
          </cell>
          <cell r="R11">
            <v>250000000</v>
          </cell>
          <cell r="W11" t="str">
            <v>JICA</v>
          </cell>
          <cell r="Z11">
            <v>250000000</v>
          </cell>
          <cell r="AN11">
            <v>250000000</v>
          </cell>
          <cell r="AO11" t="str">
            <v>JICA</v>
          </cell>
          <cell r="AP11" t="str">
            <v>-</v>
          </cell>
        </row>
        <row r="12">
          <cell r="A12">
            <v>10</v>
          </cell>
          <cell r="B12">
            <v>0</v>
          </cell>
          <cell r="C12" t="str">
            <v>INFRASTRUKTUR</v>
          </cell>
          <cell r="D12">
            <v>1</v>
          </cell>
          <cell r="E12" t="str">
            <v>Kementerian Pekerjaan Umum dan Perumahan Rakyat</v>
          </cell>
          <cell r="F12" t="str">
            <v>Development and Improvement of National Bridges Program</v>
          </cell>
          <cell r="G12" t="str">
            <v>B</v>
          </cell>
          <cell r="H12" t="str">
            <v>Program Pembangunan / Peningkatan Jembatan</v>
          </cell>
          <cell r="I12">
            <v>3</v>
          </cell>
          <cell r="J12" t="str">
            <v>Development of Fly Over/ Under Pass in Major Cities</v>
          </cell>
          <cell r="O12">
            <v>1</v>
          </cell>
          <cell r="P12">
            <v>1</v>
          </cell>
          <cell r="Q12">
            <v>8</v>
          </cell>
          <cell r="R12">
            <v>270000000</v>
          </cell>
          <cell r="W12" t="str">
            <v>JICA</v>
          </cell>
          <cell r="Z12">
            <v>270000000</v>
          </cell>
          <cell r="AN12">
            <v>270000000</v>
          </cell>
          <cell r="AO12" t="str">
            <v>JICA</v>
          </cell>
          <cell r="AP12" t="str">
            <v>-</v>
          </cell>
        </row>
        <row r="13">
          <cell r="A13">
            <v>11</v>
          </cell>
          <cell r="B13">
            <v>0</v>
          </cell>
          <cell r="C13" t="str">
            <v>INFRASTRUKTUR</v>
          </cell>
          <cell r="D13">
            <v>1</v>
          </cell>
          <cell r="E13" t="str">
            <v>Kementerian Pekerjaan Umum dan Perumahan Rakyat</v>
          </cell>
          <cell r="F13" t="str">
            <v>Development and Improvement of National Bridges Program</v>
          </cell>
          <cell r="G13" t="str">
            <v>B</v>
          </cell>
          <cell r="H13" t="str">
            <v>Program Pembangunan / Peningkatan Jembatan</v>
          </cell>
          <cell r="I13">
            <v>4</v>
          </cell>
          <cell r="J13" t="str">
            <v>Balinka - Matur - Ngarai Sianok Tunnel Construction</v>
          </cell>
          <cell r="O13">
            <v>1</v>
          </cell>
          <cell r="P13">
            <v>1</v>
          </cell>
          <cell r="Q13">
            <v>9</v>
          </cell>
          <cell r="R13">
            <v>175000000</v>
          </cell>
          <cell r="W13" t="str">
            <v>Korea/RRT</v>
          </cell>
          <cell r="Z13">
            <v>175000000</v>
          </cell>
          <cell r="AN13">
            <v>175000000</v>
          </cell>
          <cell r="AO13" t="str">
            <v>Korea/RRT</v>
          </cell>
          <cell r="AP13" t="str">
            <v>- RRT dan Korea belum ada keputusan</v>
          </cell>
        </row>
        <row r="14">
          <cell r="A14">
            <v>12</v>
          </cell>
          <cell r="B14">
            <v>0</v>
          </cell>
          <cell r="C14" t="str">
            <v>INFRASTRUKTUR</v>
          </cell>
          <cell r="D14">
            <v>1</v>
          </cell>
          <cell r="E14" t="str">
            <v>Kementerian Pekerjaan Umum dan Perumahan Rakyat</v>
          </cell>
          <cell r="F14" t="str">
            <v>Development and Improvement of National Bridges Program</v>
          </cell>
          <cell r="G14" t="str">
            <v>B</v>
          </cell>
          <cell r="H14" t="str">
            <v>Program Pembangunan / Peningkatan Jembatan</v>
          </cell>
          <cell r="I14">
            <v>5</v>
          </cell>
          <cell r="J14" t="str">
            <v>Long Span Bridge Development for Selected Area</v>
          </cell>
          <cell r="O14">
            <v>1</v>
          </cell>
          <cell r="P14">
            <v>1</v>
          </cell>
          <cell r="Q14">
            <v>10</v>
          </cell>
          <cell r="R14">
            <v>355000000</v>
          </cell>
          <cell r="W14" t="str">
            <v>Korea/RRT</v>
          </cell>
          <cell r="Z14">
            <v>355000000</v>
          </cell>
          <cell r="AN14">
            <v>355000000</v>
          </cell>
          <cell r="AO14" t="str">
            <v>Korea/RRT</v>
          </cell>
          <cell r="AP14" t="str">
            <v>- RRT dan Korea belum ada keputusan</v>
          </cell>
        </row>
        <row r="15">
          <cell r="G15" t="str">
            <v>C</v>
          </cell>
          <cell r="J15" t="str">
            <v>Urban Arterial Road Improvement Project</v>
          </cell>
          <cell r="O15">
            <v>1</v>
          </cell>
          <cell r="P15">
            <v>1</v>
          </cell>
          <cell r="Q15">
            <v>0</v>
          </cell>
          <cell r="R15">
            <v>250000000</v>
          </cell>
          <cell r="W15" t="str">
            <v>JICA</v>
          </cell>
          <cell r="Z15">
            <v>205000000</v>
          </cell>
          <cell r="AN15">
            <v>205000000</v>
          </cell>
          <cell r="AO15" t="str">
            <v>JICA</v>
          </cell>
          <cell r="AP15" t="str">
            <v>-</v>
          </cell>
        </row>
        <row r="16">
          <cell r="A16">
            <v>14</v>
          </cell>
          <cell r="B16">
            <v>0</v>
          </cell>
          <cell r="C16" t="str">
            <v>INFRASTRUKTUR</v>
          </cell>
          <cell r="D16">
            <v>1</v>
          </cell>
          <cell r="E16" t="str">
            <v>Kementerian Pekerjaan Umum dan Perumahan Rakyat</v>
          </cell>
          <cell r="F16" t="str">
            <v>Development and Improvement of National Roads Program</v>
          </cell>
          <cell r="G16" t="str">
            <v>C</v>
          </cell>
          <cell r="H16" t="str">
            <v>Program Pembangunan / Peningkatan Jalan</v>
          </cell>
          <cell r="I16">
            <v>2</v>
          </cell>
          <cell r="J16" t="str">
            <v>Construction of Development of Trans South-South, Eastern Java</v>
          </cell>
          <cell r="O16">
            <v>1</v>
          </cell>
          <cell r="P16">
            <v>1</v>
          </cell>
          <cell r="Q16">
            <v>12</v>
          </cell>
          <cell r="R16">
            <v>250000000</v>
          </cell>
          <cell r="W16" t="str">
            <v>IDB</v>
          </cell>
          <cell r="Z16">
            <v>250000000</v>
          </cell>
          <cell r="AN16">
            <v>250000000</v>
          </cell>
          <cell r="AO16" t="str">
            <v>IDB</v>
          </cell>
          <cell r="AP16" t="str">
            <v>-</v>
          </cell>
        </row>
        <row r="17">
          <cell r="A17">
            <v>15</v>
          </cell>
          <cell r="B17">
            <v>0</v>
          </cell>
          <cell r="C17" t="str">
            <v>INFRASTRUKTUR</v>
          </cell>
          <cell r="D17">
            <v>1</v>
          </cell>
          <cell r="E17" t="str">
            <v>Kementerian Pekerjaan Umum dan Perumahan Rakyat</v>
          </cell>
          <cell r="F17" t="str">
            <v>Development and Improvement of National Roads Program</v>
          </cell>
          <cell r="G17" t="str">
            <v>C</v>
          </cell>
          <cell r="H17" t="str">
            <v>Program Pembangunan / Peningkatan Jalan</v>
          </cell>
          <cell r="I17">
            <v>3</v>
          </cell>
          <cell r="J17" t="str">
            <v>Road Improvement Project to Support Integrated Land and Sea Toll Way - Northern Area</v>
          </cell>
          <cell r="O17">
            <v>1</v>
          </cell>
          <cell r="P17">
            <v>1</v>
          </cell>
          <cell r="Q17">
            <v>13</v>
          </cell>
          <cell r="R17">
            <v>250000000</v>
          </cell>
          <cell r="W17" t="str">
            <v>Bank Dunia</v>
          </cell>
          <cell r="Z17">
            <v>250000000</v>
          </cell>
          <cell r="AN17">
            <v>250000000</v>
          </cell>
          <cell r="AO17" t="str">
            <v>Bank Dunia</v>
          </cell>
          <cell r="AP17" t="str">
            <v>-</v>
          </cell>
        </row>
        <row r="18">
          <cell r="A18">
            <v>16</v>
          </cell>
          <cell r="B18">
            <v>0</v>
          </cell>
          <cell r="C18" t="str">
            <v>INFRASTRUKTUR</v>
          </cell>
          <cell r="D18">
            <v>1</v>
          </cell>
          <cell r="E18" t="str">
            <v>Kementerian Pekerjaan Umum dan Perumahan Rakyat</v>
          </cell>
          <cell r="F18" t="str">
            <v>Development and Improvement of National Roads Program</v>
          </cell>
          <cell r="G18" t="str">
            <v>C</v>
          </cell>
          <cell r="H18" t="str">
            <v>Program Pembangunan / Peningkatan Jalan</v>
          </cell>
          <cell r="I18">
            <v>4</v>
          </cell>
          <cell r="J18" t="str">
            <v>Road Improvement Project to Support Integrated Land and Sea Toll Way - Southern Area</v>
          </cell>
          <cell r="O18">
            <v>1</v>
          </cell>
          <cell r="P18">
            <v>1</v>
          </cell>
          <cell r="Q18">
            <v>14</v>
          </cell>
          <cell r="R18">
            <v>250000000</v>
          </cell>
          <cell r="W18" t="str">
            <v>Bank Dunia/ADB</v>
          </cell>
          <cell r="Z18">
            <v>250000000</v>
          </cell>
          <cell r="AN18">
            <v>250000000</v>
          </cell>
          <cell r="AO18" t="str">
            <v>Bank Dunia</v>
          </cell>
          <cell r="AP18" t="str">
            <v>- usulan K/L lender: Bank Dunia/ADB. 
- Hanya Bank Dunia saja yang berminat.</v>
          </cell>
        </row>
        <row r="19">
          <cell r="A19">
            <v>17</v>
          </cell>
          <cell r="B19">
            <v>0</v>
          </cell>
          <cell r="C19" t="str">
            <v>INFRASTRUKTUR</v>
          </cell>
          <cell r="D19">
            <v>1</v>
          </cell>
          <cell r="E19" t="str">
            <v>Kementerian Pekerjaan Umum dan Perumahan Rakyat</v>
          </cell>
          <cell r="F19" t="str">
            <v>Development and Improvement of National Roads Program</v>
          </cell>
          <cell r="G19" t="str">
            <v>C</v>
          </cell>
          <cell r="H19" t="str">
            <v>Program Pembangunan / Peningkatan Jalan</v>
          </cell>
          <cell r="I19">
            <v>5</v>
          </cell>
          <cell r="J19" t="str">
            <v>National Road Improvement in West and South Kalimantan</v>
          </cell>
          <cell r="O19">
            <v>1</v>
          </cell>
          <cell r="P19">
            <v>1</v>
          </cell>
          <cell r="Q19">
            <v>15</v>
          </cell>
          <cell r="R19">
            <v>250000000</v>
          </cell>
          <cell r="W19" t="str">
            <v>IDB</v>
          </cell>
          <cell r="Z19">
            <v>250000000</v>
          </cell>
          <cell r="AN19">
            <v>250000000</v>
          </cell>
          <cell r="AO19" t="str">
            <v>IDB</v>
          </cell>
          <cell r="AP19" t="str">
            <v>-</v>
          </cell>
        </row>
        <row r="20">
          <cell r="A20">
            <v>18</v>
          </cell>
          <cell r="B20">
            <v>0</v>
          </cell>
          <cell r="C20" t="str">
            <v>INFRASTRUKTUR</v>
          </cell>
          <cell r="D20">
            <v>1</v>
          </cell>
          <cell r="E20" t="str">
            <v>Kementerian Pekerjaan Umum dan Perumahan Rakyat</v>
          </cell>
          <cell r="F20" t="str">
            <v>Development and Improvement of National Roads Program</v>
          </cell>
          <cell r="G20" t="str">
            <v>C</v>
          </cell>
          <cell r="H20" t="str">
            <v>Program Pembangunan / Peningkatan Jalan</v>
          </cell>
          <cell r="I20">
            <v>6</v>
          </cell>
          <cell r="J20" t="str">
            <v>National Road Improvement in Central Kalimantan</v>
          </cell>
          <cell r="O20">
            <v>1</v>
          </cell>
          <cell r="P20">
            <v>1</v>
          </cell>
          <cell r="Q20">
            <v>16</v>
          </cell>
          <cell r="R20">
            <v>250000000</v>
          </cell>
          <cell r="W20" t="str">
            <v>Bank Dunia/ADB</v>
          </cell>
          <cell r="Z20">
            <v>250000000</v>
          </cell>
          <cell r="AN20">
            <v>250000000</v>
          </cell>
          <cell r="AO20" t="str">
            <v>Belum Ada Indikasi</v>
          </cell>
          <cell r="AP20" t="str">
            <v>usulan K/L lender: Bank Dunia/ADB. Kedua calon lender tidak berminat mendanai proyek ini.</v>
          </cell>
        </row>
        <row r="21">
          <cell r="A21">
            <v>19</v>
          </cell>
          <cell r="B21">
            <v>0</v>
          </cell>
          <cell r="C21" t="str">
            <v>INFRASTRUKTUR</v>
          </cell>
          <cell r="D21">
            <v>1</v>
          </cell>
          <cell r="E21" t="str">
            <v>Kementerian Pekerjaan Umum dan Perumahan Rakyat</v>
          </cell>
          <cell r="F21" t="str">
            <v>Development and Improvement of National Roads Program</v>
          </cell>
          <cell r="G21" t="str">
            <v>C</v>
          </cell>
          <cell r="H21" t="str">
            <v>Program Pembangunan / Peningkatan Jalan</v>
          </cell>
          <cell r="I21">
            <v>7</v>
          </cell>
          <cell r="J21" t="str">
            <v>National Road Improvement in North and East Kalimantan</v>
          </cell>
          <cell r="O21">
            <v>1</v>
          </cell>
          <cell r="P21">
            <v>1</v>
          </cell>
          <cell r="Q21">
            <v>17</v>
          </cell>
          <cell r="R21">
            <v>250000000</v>
          </cell>
          <cell r="W21" t="str">
            <v>IDB</v>
          </cell>
          <cell r="Z21">
            <v>250000000</v>
          </cell>
          <cell r="AN21">
            <v>250000000</v>
          </cell>
          <cell r="AO21" t="str">
            <v>AIIB</v>
          </cell>
          <cell r="AP21" t="str">
            <v>- usulan K/L semula lender: IDB. 
- Pihak IDB tidak berminat mendanai kegiatan ini, diusulkan kepada AIIB.</v>
          </cell>
        </row>
        <row r="22">
          <cell r="A22">
            <v>20</v>
          </cell>
          <cell r="B22">
            <v>0</v>
          </cell>
          <cell r="C22" t="str">
            <v>INFRASTRUKTUR</v>
          </cell>
          <cell r="D22">
            <v>1</v>
          </cell>
          <cell r="E22" t="str">
            <v>Kementerian Pekerjaan Umum dan Perumahan Rakyat</v>
          </cell>
          <cell r="F22" t="str">
            <v>Development and Improvement of National Roads Program</v>
          </cell>
          <cell r="G22" t="str">
            <v>C</v>
          </cell>
          <cell r="H22" t="str">
            <v>Program Pembangunan / Peningkatan Jalan</v>
          </cell>
          <cell r="I22">
            <v>8</v>
          </cell>
          <cell r="J22" t="str">
            <v>Road Improvement Project in Sulawesi Island and Major Cities</v>
          </cell>
          <cell r="O22">
            <v>1</v>
          </cell>
          <cell r="P22">
            <v>1</v>
          </cell>
          <cell r="Q22">
            <v>18</v>
          </cell>
          <cell r="R22">
            <v>250000000</v>
          </cell>
          <cell r="W22" t="str">
            <v>IDB</v>
          </cell>
          <cell r="Z22">
            <v>250000000</v>
          </cell>
          <cell r="AN22">
            <v>250000000</v>
          </cell>
          <cell r="AO22" t="str">
            <v>IDB</v>
          </cell>
          <cell r="AP22" t="str">
            <v>-</v>
          </cell>
        </row>
        <row r="23">
          <cell r="J23" t="str">
            <v>Engineering Service for National Roads Development Project</v>
          </cell>
          <cell r="O23">
            <v>0</v>
          </cell>
          <cell r="P23">
            <v>0</v>
          </cell>
          <cell r="Q23">
            <v>0</v>
          </cell>
          <cell r="R23">
            <v>0</v>
          </cell>
          <cell r="W23" t="str">
            <v>ADB</v>
          </cell>
          <cell r="Z23">
            <v>45000000</v>
          </cell>
          <cell r="AN23">
            <v>45000000</v>
          </cell>
          <cell r="AO23" t="str">
            <v>ADB</v>
          </cell>
          <cell r="AP23" t="str">
            <v>-</v>
          </cell>
        </row>
        <row r="24">
          <cell r="A24">
            <v>21</v>
          </cell>
          <cell r="B24">
            <v>0</v>
          </cell>
          <cell r="C24" t="str">
            <v>INFRASTRUKTUR</v>
          </cell>
          <cell r="D24">
            <v>1</v>
          </cell>
          <cell r="E24" t="str">
            <v>Kementerian Pekerjaan Umum dan Perumahan Rakyat</v>
          </cell>
          <cell r="F24" t="str">
            <v>Drinking Water Development Program</v>
          </cell>
          <cell r="G24" t="str">
            <v>D</v>
          </cell>
          <cell r="H24" t="str">
            <v>Program Pembangunan Air Minum</v>
          </cell>
          <cell r="I24">
            <v>1</v>
          </cell>
          <cell r="J24" t="str">
            <v>Community Based Water and Sanitation Program  (PAMSIMAS)</v>
          </cell>
          <cell r="O24">
            <v>1</v>
          </cell>
          <cell r="P24">
            <v>1</v>
          </cell>
          <cell r="Q24">
            <v>19</v>
          </cell>
          <cell r="R24">
            <v>300000000</v>
          </cell>
          <cell r="W24" t="str">
            <v>Bank Dunia</v>
          </cell>
          <cell r="Z24">
            <v>300000000</v>
          </cell>
          <cell r="AN24">
            <v>300000000</v>
          </cell>
          <cell r="AO24" t="str">
            <v>Bank Dunia</v>
          </cell>
          <cell r="AP24" t="str">
            <v>-</v>
          </cell>
        </row>
        <row r="25">
          <cell r="A25">
            <v>22</v>
          </cell>
          <cell r="B25">
            <v>0</v>
          </cell>
          <cell r="C25" t="str">
            <v>INFRASTRUKTUR</v>
          </cell>
          <cell r="D25">
            <v>1</v>
          </cell>
          <cell r="E25" t="str">
            <v>Kementerian Pekerjaan Umum dan Perumahan Rakyat</v>
          </cell>
          <cell r="F25" t="str">
            <v>Drinking Water Development Program</v>
          </cell>
          <cell r="G25" t="str">
            <v>D</v>
          </cell>
          <cell r="H25" t="str">
            <v>Program Pembangunan Air Minum</v>
          </cell>
          <cell r="I25">
            <v>2</v>
          </cell>
          <cell r="J25" t="str">
            <v>National Urban Water Supply</v>
          </cell>
          <cell r="O25">
            <v>1</v>
          </cell>
          <cell r="P25">
            <v>1</v>
          </cell>
          <cell r="Q25">
            <v>20</v>
          </cell>
          <cell r="R25">
            <v>100000000</v>
          </cell>
          <cell r="W25" t="str">
            <v>Bank Dunia</v>
          </cell>
          <cell r="Z25">
            <v>100000000</v>
          </cell>
          <cell r="AN25">
            <v>100000000</v>
          </cell>
          <cell r="AO25" t="str">
            <v>Bank Dunia</v>
          </cell>
          <cell r="AP25" t="str">
            <v>-</v>
          </cell>
        </row>
        <row r="27">
          <cell r="A27">
            <v>24</v>
          </cell>
          <cell r="B27">
            <v>0</v>
          </cell>
          <cell r="C27" t="str">
            <v>INFRASTRUKTUR</v>
          </cell>
          <cell r="D27">
            <v>1</v>
          </cell>
          <cell r="E27" t="str">
            <v>Kementerian Pekerjaan Umum dan Perumahan Rakyat</v>
          </cell>
          <cell r="F27" t="str">
            <v>Drinking Water Development Program</v>
          </cell>
          <cell r="G27" t="str">
            <v>D</v>
          </cell>
          <cell r="H27" t="str">
            <v>Program Pembangunan Air Minum</v>
          </cell>
          <cell r="I27">
            <v>3</v>
          </cell>
          <cell r="J27" t="str">
            <v>Maminasata Water Supply Development Project</v>
          </cell>
          <cell r="O27">
            <v>1</v>
          </cell>
          <cell r="P27">
            <v>1</v>
          </cell>
          <cell r="Q27">
            <v>21</v>
          </cell>
          <cell r="R27">
            <v>100000000</v>
          </cell>
          <cell r="W27" t="str">
            <v>JICA</v>
          </cell>
          <cell r="Z27">
            <v>100000000</v>
          </cell>
          <cell r="AN27">
            <v>100000000</v>
          </cell>
          <cell r="AO27" t="str">
            <v>JICA</v>
          </cell>
          <cell r="AP27" t="str">
            <v>-</v>
          </cell>
        </row>
        <row r="28">
          <cell r="A28">
            <v>25</v>
          </cell>
          <cell r="B28">
            <v>0</v>
          </cell>
          <cell r="C28" t="str">
            <v>INFRASTRUKTUR</v>
          </cell>
          <cell r="D28">
            <v>1</v>
          </cell>
          <cell r="E28" t="str">
            <v>Kementerian Pekerjaan Umum dan Perumahan Rakyat</v>
          </cell>
          <cell r="F28" t="str">
            <v>Drinking Water Development Program</v>
          </cell>
          <cell r="G28" t="str">
            <v>D</v>
          </cell>
          <cell r="H28" t="str">
            <v>Program Pembangunan Air Minum</v>
          </cell>
          <cell r="I28">
            <v>3</v>
          </cell>
          <cell r="J28" t="str">
            <v>The Development of Regional Water Supply System in Benteng Kobema</v>
          </cell>
          <cell r="O28">
            <v>1</v>
          </cell>
          <cell r="P28">
            <v>1</v>
          </cell>
          <cell r="Q28">
            <v>22</v>
          </cell>
          <cell r="R28">
            <v>74300000</v>
          </cell>
          <cell r="W28" t="str">
            <v>Bank Dunia/JICA/ADB</v>
          </cell>
          <cell r="Z28">
            <v>74300000</v>
          </cell>
          <cell r="AN28">
            <v>74300000</v>
          </cell>
          <cell r="AO28" t="str">
            <v>Bank Dunia</v>
          </cell>
          <cell r="AP28" t="str">
            <v>- usulan K/L lender: Bank Dunia/JICA/ADB. 
- Pihak Bank Dunia berminat, ADB dan JICA tidak minat.</v>
          </cell>
        </row>
        <row r="29">
          <cell r="A29">
            <v>26</v>
          </cell>
          <cell r="B29">
            <v>0</v>
          </cell>
          <cell r="C29" t="str">
            <v>INFRASTRUKTUR</v>
          </cell>
          <cell r="D29">
            <v>1</v>
          </cell>
          <cell r="E29" t="str">
            <v>Kementerian Pekerjaan Umum dan Perumahan Rakyat</v>
          </cell>
          <cell r="F29" t="str">
            <v>Drinking Water Development Program</v>
          </cell>
          <cell r="G29" t="str">
            <v>D</v>
          </cell>
          <cell r="H29" t="str">
            <v>Program Pembangunan Air Minum</v>
          </cell>
          <cell r="I29">
            <v>3</v>
          </cell>
          <cell r="J29" t="str">
            <v>The Development of Regional Water Supply System in Wosusokas</v>
          </cell>
          <cell r="O29">
            <v>1</v>
          </cell>
          <cell r="P29">
            <v>1</v>
          </cell>
          <cell r="Q29">
            <v>23</v>
          </cell>
          <cell r="R29">
            <v>106200000</v>
          </cell>
          <cell r="W29" t="str">
            <v>Jerman (KfW)</v>
          </cell>
          <cell r="Z29">
            <v>106200000</v>
          </cell>
          <cell r="AN29">
            <v>106200000</v>
          </cell>
          <cell r="AO29" t="str">
            <v>Jerman (KfW)</v>
          </cell>
          <cell r="AP29" t="str">
            <v>-</v>
          </cell>
        </row>
        <row r="30">
          <cell r="A30">
            <v>27</v>
          </cell>
          <cell r="B30">
            <v>0</v>
          </cell>
          <cell r="C30" t="str">
            <v>INFRASTRUKTUR</v>
          </cell>
          <cell r="D30">
            <v>1</v>
          </cell>
          <cell r="E30" t="str">
            <v>Kementerian Pekerjaan Umum dan Perumahan Rakyat</v>
          </cell>
          <cell r="F30" t="str">
            <v>Drinking Water Development Program</v>
          </cell>
          <cell r="G30" t="str">
            <v>D</v>
          </cell>
          <cell r="H30" t="str">
            <v>Program Pembangunan Air Minum</v>
          </cell>
          <cell r="I30">
            <v>3</v>
          </cell>
          <cell r="J30" t="str">
            <v>The Development of Regional Water Supply System of Jatigede</v>
          </cell>
          <cell r="O30">
            <v>1</v>
          </cell>
          <cell r="P30">
            <v>1</v>
          </cell>
          <cell r="Q30">
            <v>24</v>
          </cell>
          <cell r="R30">
            <v>167000000</v>
          </cell>
          <cell r="W30" t="str">
            <v>Bank Dunia/JICA/ADB</v>
          </cell>
          <cell r="Z30">
            <v>140620000</v>
          </cell>
          <cell r="AN30">
            <v>140620000</v>
          </cell>
          <cell r="AO30" t="str">
            <v>Belum Ada Indikasi</v>
          </cell>
          <cell r="AP30" t="str">
            <v>- terdapat pengurangan nilai pinjaman sebesar USD 26,38 juta yang dialihkan untuk membiayai kegiatan ES.
- usulan K/L lender: Bank Dunia/JICA/ADB. 
- Pihak Bank Dunia, ADB, dan JICA tidak berminat.</v>
          </cell>
        </row>
        <row r="31">
          <cell r="A31">
            <v>28</v>
          </cell>
          <cell r="B31">
            <v>0</v>
          </cell>
          <cell r="C31" t="str">
            <v>INFRASTRUKTUR</v>
          </cell>
          <cell r="D31">
            <v>1</v>
          </cell>
          <cell r="E31" t="str">
            <v>Kementerian Pekerjaan Umum dan Perumahan Rakyat</v>
          </cell>
          <cell r="F31" t="str">
            <v>Drinking Water Development Program</v>
          </cell>
          <cell r="G31" t="str">
            <v>D</v>
          </cell>
          <cell r="H31" t="str">
            <v>Program Pembangunan Air Minum</v>
          </cell>
          <cell r="I31">
            <v>3</v>
          </cell>
          <cell r="J31" t="str">
            <v>The Development of Regional Water Supply System of Petanglong</v>
          </cell>
          <cell r="O31">
            <v>1</v>
          </cell>
          <cell r="P31">
            <v>1</v>
          </cell>
          <cell r="Q31">
            <v>25</v>
          </cell>
          <cell r="R31">
            <v>95380000</v>
          </cell>
          <cell r="W31" t="str">
            <v>Bank Dunia/JICA/ADB</v>
          </cell>
          <cell r="Z31">
            <v>95380000</v>
          </cell>
          <cell r="AN31">
            <v>95380000</v>
          </cell>
          <cell r="AO31" t="str">
            <v>Belum Ada Indikasi</v>
          </cell>
          <cell r="AP31" t="str">
            <v>- usulan K/L lender: Bank Dunia/JICA/ADB. 
- Pihak Bank Dunia, ADB, dan JICA tidak berminat.</v>
          </cell>
        </row>
        <row r="32">
          <cell r="A32">
            <v>29</v>
          </cell>
          <cell r="B32">
            <v>0</v>
          </cell>
          <cell r="C32" t="str">
            <v>INFRASTRUKTUR</v>
          </cell>
          <cell r="D32">
            <v>1</v>
          </cell>
          <cell r="E32" t="str">
            <v>Kementerian Pekerjaan Umum dan Perumahan Rakyat</v>
          </cell>
          <cell r="F32" t="str">
            <v>Drinking Water Development Program</v>
          </cell>
          <cell r="G32" t="str">
            <v>D</v>
          </cell>
          <cell r="H32" t="str">
            <v>Program Pembangunan Air Minum</v>
          </cell>
          <cell r="I32">
            <v>3</v>
          </cell>
          <cell r="J32" t="str">
            <v>The Development of Regional Water Supply System of Durolis</v>
          </cell>
          <cell r="O32">
            <v>1</v>
          </cell>
          <cell r="P32">
            <v>1</v>
          </cell>
          <cell r="Q32">
            <v>26</v>
          </cell>
          <cell r="R32">
            <v>33400000</v>
          </cell>
          <cell r="W32" t="str">
            <v>Bank Dunia/JICA/ADB</v>
          </cell>
          <cell r="Z32">
            <v>33400000</v>
          </cell>
          <cell r="AN32">
            <v>33400000</v>
          </cell>
          <cell r="AO32" t="str">
            <v>Belum Ada Indikasi</v>
          </cell>
          <cell r="AP32" t="str">
            <v>- usulan K/L lender: Bank Dunia/JICA/ADB.
- Pihak Bank Dunia, ADB, dan JICA tidak berminat.</v>
          </cell>
        </row>
        <row r="33">
          <cell r="A33">
            <v>30</v>
          </cell>
          <cell r="B33">
            <v>0</v>
          </cell>
          <cell r="C33" t="str">
            <v>INFRASTRUKTUR</v>
          </cell>
          <cell r="D33">
            <v>1</v>
          </cell>
          <cell r="E33" t="str">
            <v>Kementerian Pekerjaan Umum dan Perumahan Rakyat</v>
          </cell>
          <cell r="F33" t="str">
            <v>Drinking Water Development Program</v>
          </cell>
          <cell r="G33" t="str">
            <v>D</v>
          </cell>
          <cell r="H33" t="str">
            <v>Program Pembangunan Air Minum</v>
          </cell>
          <cell r="I33">
            <v>3</v>
          </cell>
          <cell r="J33" t="str">
            <v>The Development of Regional Water Supply System of  Banten - Jakarta from Karian Dam</v>
          </cell>
          <cell r="O33">
            <v>1</v>
          </cell>
          <cell r="P33">
            <v>1</v>
          </cell>
          <cell r="Q33">
            <v>27</v>
          </cell>
          <cell r="R33">
            <v>40000000</v>
          </cell>
          <cell r="W33" t="str">
            <v>Korea</v>
          </cell>
          <cell r="Z33">
            <v>40000000</v>
          </cell>
          <cell r="AN33">
            <v>40000000</v>
          </cell>
          <cell r="AO33" t="str">
            <v>Korea</v>
          </cell>
          <cell r="AP33" t="str">
            <v>belum masuk rolling plan EDCF (Korea)</v>
          </cell>
        </row>
        <row r="34">
          <cell r="A34">
            <v>31</v>
          </cell>
          <cell r="B34">
            <v>0</v>
          </cell>
          <cell r="C34" t="str">
            <v>INFRASTRUKTUR</v>
          </cell>
          <cell r="D34">
            <v>1</v>
          </cell>
          <cell r="E34" t="str">
            <v>Kementerian Pekerjaan Umum dan Perumahan Rakyat</v>
          </cell>
          <cell r="F34" t="str">
            <v>Drinking Water Development Program</v>
          </cell>
          <cell r="G34" t="str">
            <v>D</v>
          </cell>
          <cell r="H34" t="str">
            <v>Program Pembangunan Air Minum</v>
          </cell>
          <cell r="I34">
            <v>3</v>
          </cell>
          <cell r="J34" t="str">
            <v>The Development of Regional Water Supply System of Mebidang</v>
          </cell>
          <cell r="O34">
            <v>1</v>
          </cell>
          <cell r="P34">
            <v>1</v>
          </cell>
          <cell r="Q34">
            <v>28</v>
          </cell>
          <cell r="R34">
            <v>56400000</v>
          </cell>
          <cell r="W34" t="str">
            <v>Jerman (KfW)</v>
          </cell>
          <cell r="Z34">
            <v>56400000</v>
          </cell>
          <cell r="AN34">
            <v>56400000</v>
          </cell>
          <cell r="AO34" t="str">
            <v>Jerman (KfW)</v>
          </cell>
          <cell r="AP34" t="str">
            <v>-</v>
          </cell>
        </row>
        <row r="36">
          <cell r="A36">
            <v>33</v>
          </cell>
          <cell r="B36">
            <v>0</v>
          </cell>
          <cell r="C36" t="str">
            <v>INFRASTRUKTUR</v>
          </cell>
          <cell r="D36">
            <v>1</v>
          </cell>
          <cell r="E36" t="str">
            <v>Kementerian Pekerjaan Umum dan Perumahan Rakyat</v>
          </cell>
          <cell r="F36" t="str">
            <v>Drinking Water Development Program</v>
          </cell>
          <cell r="G36" t="str">
            <v>D</v>
          </cell>
          <cell r="H36" t="str">
            <v>Program Pembangunan Air Minum</v>
          </cell>
          <cell r="I36">
            <v>4</v>
          </cell>
          <cell r="J36" t="str">
            <v>Small Scale Water Treatment Plants for Emergency Relief</v>
          </cell>
          <cell r="O36">
            <v>1</v>
          </cell>
          <cell r="P36">
            <v>1</v>
          </cell>
          <cell r="Q36">
            <v>29</v>
          </cell>
          <cell r="R36">
            <v>25000000</v>
          </cell>
          <cell r="W36" t="str">
            <v>Spanyol</v>
          </cell>
          <cell r="Z36">
            <v>25000000</v>
          </cell>
          <cell r="AN36">
            <v>25000000</v>
          </cell>
          <cell r="AO36" t="str">
            <v>Spanyol</v>
          </cell>
          <cell r="AP36" t="str">
            <v>-</v>
          </cell>
        </row>
        <row r="37">
          <cell r="R37">
            <v>100000000</v>
          </cell>
        </row>
        <row r="38">
          <cell r="A38">
            <v>34</v>
          </cell>
          <cell r="B38">
            <v>0</v>
          </cell>
          <cell r="C38" t="str">
            <v>INFRASTRUKTUR</v>
          </cell>
          <cell r="D38">
            <v>1</v>
          </cell>
          <cell r="E38" t="str">
            <v>Kementerian Pekerjaan Umum dan Perumahan Rakyat</v>
          </cell>
          <cell r="F38" t="str">
            <v>Drinking Water Development Program</v>
          </cell>
          <cell r="G38" t="str">
            <v>D</v>
          </cell>
          <cell r="H38" t="str">
            <v>Program Pembangunan Air Minum</v>
          </cell>
          <cell r="I38">
            <v>4</v>
          </cell>
          <cell r="J38" t="str">
            <v>IKK Water Supply Program and Small Water Treatment Plant for Water Scarcity Area</v>
          </cell>
          <cell r="O38">
            <v>0.5</v>
          </cell>
          <cell r="P38">
            <v>1</v>
          </cell>
          <cell r="Q38">
            <v>0</v>
          </cell>
          <cell r="W38" t="str">
            <v>Hungaria</v>
          </cell>
          <cell r="Z38">
            <v>50000000</v>
          </cell>
          <cell r="AN38">
            <v>50000000</v>
          </cell>
          <cell r="AO38" t="str">
            <v>Hungaria</v>
          </cell>
          <cell r="AP38" t="str">
            <v>-</v>
          </cell>
        </row>
        <row r="39">
          <cell r="O39">
            <v>0.5</v>
          </cell>
          <cell r="P39">
            <v>0</v>
          </cell>
          <cell r="Q39">
            <v>0</v>
          </cell>
          <cell r="W39" t="str">
            <v>IDB</v>
          </cell>
          <cell r="Z39">
            <v>50000000</v>
          </cell>
          <cell r="AN39">
            <v>50000000</v>
          </cell>
          <cell r="AO39" t="str">
            <v>AIIB</v>
          </cell>
          <cell r="AP39" t="str">
            <v>- usulan K/L lender:IDB.
- pihak IDB tidak berminat mendanai kegiatan ini, diusulkan kepada AIIB.</v>
          </cell>
        </row>
        <row r="40">
          <cell r="J40" t="str">
            <v>Engineering Service for Water Supply Development Project</v>
          </cell>
          <cell r="O40">
            <v>0</v>
          </cell>
          <cell r="P40">
            <v>0</v>
          </cell>
          <cell r="Q40">
            <v>0</v>
          </cell>
          <cell r="R40">
            <v>0</v>
          </cell>
          <cell r="W40" t="str">
            <v>ADB</v>
          </cell>
          <cell r="Z40">
            <v>26380000</v>
          </cell>
          <cell r="AN40">
            <v>26380000</v>
          </cell>
          <cell r="AO40" t="str">
            <v>ADB</v>
          </cell>
          <cell r="AP40" t="str">
            <v>-</v>
          </cell>
        </row>
        <row r="41">
          <cell r="G41" t="str">
            <v>E</v>
          </cell>
          <cell r="H41" t="str">
            <v>Program Pembangunan Sistem Pengelolaan Air Limbah</v>
          </cell>
          <cell r="R41">
            <v>250000000</v>
          </cell>
        </row>
        <row r="42">
          <cell r="J42" t="str">
            <v>Community Based Sanitation Program (SANIMAS)</v>
          </cell>
          <cell r="O42">
            <v>0.5</v>
          </cell>
          <cell r="P42">
            <v>1</v>
          </cell>
          <cell r="Q42">
            <v>31</v>
          </cell>
          <cell r="W42" t="str">
            <v>ADB</v>
          </cell>
          <cell r="Z42">
            <v>125000000</v>
          </cell>
          <cell r="AN42">
            <v>125000000</v>
          </cell>
          <cell r="AO42" t="str">
            <v>ADB</v>
          </cell>
          <cell r="AP42" t="str">
            <v>-</v>
          </cell>
        </row>
        <row r="43">
          <cell r="W43" t="str">
            <v>IDB</v>
          </cell>
          <cell r="Z43">
            <v>125000000</v>
          </cell>
          <cell r="AN43">
            <v>125000000</v>
          </cell>
          <cell r="AO43" t="str">
            <v>IDB</v>
          </cell>
          <cell r="AP43" t="str">
            <v>-</v>
          </cell>
        </row>
        <row r="44">
          <cell r="A44">
            <v>36</v>
          </cell>
          <cell r="B44">
            <v>0</v>
          </cell>
          <cell r="C44" t="str">
            <v>INFRASTRUKTUR</v>
          </cell>
          <cell r="D44">
            <v>1</v>
          </cell>
          <cell r="E44" t="str">
            <v>Kementerian Pekerjaan Umum dan Perumahan Rakyat</v>
          </cell>
          <cell r="F44" t="str">
            <v>Development of Waste Water Management Program</v>
          </cell>
          <cell r="G44" t="str">
            <v>E</v>
          </cell>
          <cell r="H44" t="str">
            <v>Program Pembangunan Sistem Pengelolaan Air Limbah</v>
          </cell>
          <cell r="I44">
            <v>2</v>
          </cell>
          <cell r="J44" t="str">
            <v>Jakarta Sewerage Development Project - Zone 1 and Zone 6</v>
          </cell>
          <cell r="O44">
            <v>1</v>
          </cell>
          <cell r="P44">
            <v>1</v>
          </cell>
          <cell r="Q44">
            <v>32</v>
          </cell>
          <cell r="R44">
            <v>1950000000</v>
          </cell>
          <cell r="W44" t="str">
            <v>JICA</v>
          </cell>
          <cell r="Z44">
            <v>1950000000</v>
          </cell>
          <cell r="AN44">
            <v>1950000000</v>
          </cell>
          <cell r="AO44" t="str">
            <v>JICA</v>
          </cell>
          <cell r="AP44" t="str">
            <v>-</v>
          </cell>
        </row>
        <row r="45">
          <cell r="A45">
            <v>37</v>
          </cell>
          <cell r="B45">
            <v>0</v>
          </cell>
          <cell r="C45" t="str">
            <v>INFRASTRUKTUR</v>
          </cell>
          <cell r="D45">
            <v>1</v>
          </cell>
          <cell r="E45" t="str">
            <v>Kementerian Pekerjaan Umum dan Perumahan Rakyat</v>
          </cell>
          <cell r="F45" t="str">
            <v>Development of Waste Water Management Program</v>
          </cell>
          <cell r="G45" t="str">
            <v>E</v>
          </cell>
          <cell r="H45" t="str">
            <v>Program Pembangunan Sistem Pengelolaan Air Limbah</v>
          </cell>
          <cell r="I45">
            <v>3</v>
          </cell>
          <cell r="J45" t="str">
            <v>The Development of Sewage Treatment Plant Facility in Priority Area</v>
          </cell>
          <cell r="O45">
            <v>1</v>
          </cell>
          <cell r="P45">
            <v>1</v>
          </cell>
          <cell r="Q45">
            <v>33</v>
          </cell>
          <cell r="R45">
            <v>75000000</v>
          </cell>
          <cell r="W45" t="str">
            <v>Bank Dunia/JICA</v>
          </cell>
          <cell r="Z45">
            <v>75000000</v>
          </cell>
          <cell r="AN45">
            <v>75000000</v>
          </cell>
          <cell r="AO45" t="str">
            <v>Bank Dunia</v>
          </cell>
          <cell r="AP45" t="str">
            <v>- usulan K/L lender: Bank Dunia/JICA/ADB. 
- pihak Bank Dunia berminat, ADB dan JICA tidak berminat
- dalam rencana pembiayaan Bank Dunia, kegiatan ini dijadikan satu paket dengan kegiatan "Sewerage System Development in Indonesia"</v>
          </cell>
        </row>
        <row r="46">
          <cell r="R46">
            <v>975000000</v>
          </cell>
        </row>
        <row r="47">
          <cell r="A47">
            <v>38</v>
          </cell>
          <cell r="B47">
            <v>0</v>
          </cell>
          <cell r="C47" t="str">
            <v>INFRASTRUKTUR</v>
          </cell>
          <cell r="D47">
            <v>1</v>
          </cell>
          <cell r="E47" t="str">
            <v>Kementerian Pekerjaan Umum dan Perumahan Rakyat</v>
          </cell>
          <cell r="F47" t="str">
            <v>Development of Waste Water Management Program</v>
          </cell>
          <cell r="G47" t="str">
            <v>E</v>
          </cell>
          <cell r="H47" t="str">
            <v>Program Pembangunan Sistem Pengelolaan Air Limbah</v>
          </cell>
          <cell r="I47">
            <v>4</v>
          </cell>
          <cell r="J47" t="str">
            <v>Sewerage System Development in Indonesia</v>
          </cell>
          <cell r="O47">
            <v>0.33333333333333298</v>
          </cell>
          <cell r="P47">
            <v>0</v>
          </cell>
          <cell r="Q47">
            <v>0</v>
          </cell>
          <cell r="W47" t="str">
            <v>ADB</v>
          </cell>
          <cell r="Z47">
            <v>424800000</v>
          </cell>
          <cell r="AN47">
            <v>400000000</v>
          </cell>
          <cell r="AO47" t="str">
            <v>ADB</v>
          </cell>
          <cell r="AP47" t="str">
            <v>- nilai kegiatan yang tercantum dalam COBP ADB sebesar USD 400 juta.
- nilai kegiatan berkurang sebesar USD 25,2 yang dialihkan untuk membiayai kegiatan ES</v>
          </cell>
        </row>
        <row r="48">
          <cell r="A48">
            <v>39</v>
          </cell>
          <cell r="B48">
            <v>0</v>
          </cell>
          <cell r="C48" t="str">
            <v>INFRASTRUKTUR</v>
          </cell>
          <cell r="D48">
            <v>1</v>
          </cell>
          <cell r="E48" t="str">
            <v>Kementerian Pekerjaan Umum dan Perumahan Rakyat</v>
          </cell>
          <cell r="F48" t="str">
            <v>Development of Waste Water Management Program</v>
          </cell>
          <cell r="G48" t="str">
            <v>E</v>
          </cell>
          <cell r="H48" t="str">
            <v>Program Pembangunan Sistem Pengelolaan Air Limbah</v>
          </cell>
          <cell r="I48">
            <v>4</v>
          </cell>
          <cell r="W48" t="str">
            <v>IDB</v>
          </cell>
          <cell r="Z48">
            <v>325000000</v>
          </cell>
          <cell r="AN48">
            <v>325000000</v>
          </cell>
          <cell r="AO48" t="str">
            <v>IDB</v>
          </cell>
          <cell r="AP48" t="str">
            <v>-</v>
          </cell>
        </row>
        <row r="49">
          <cell r="A49">
            <v>40</v>
          </cell>
          <cell r="B49">
            <v>0</v>
          </cell>
          <cell r="C49" t="str">
            <v>INFRASTRUKTUR</v>
          </cell>
          <cell r="D49">
            <v>1</v>
          </cell>
          <cell r="E49" t="str">
            <v>Kementerian Pekerjaan Umum dan Perumahan Rakyat</v>
          </cell>
          <cell r="F49" t="str">
            <v>Development of Waste Water Management Program</v>
          </cell>
          <cell r="G49" t="str">
            <v>E</v>
          </cell>
          <cell r="H49" t="str">
            <v>Program Pembangunan Sistem Pengelolaan Air Limbah</v>
          </cell>
          <cell r="I49">
            <v>4</v>
          </cell>
          <cell r="W49" t="str">
            <v>Bank Dunia</v>
          </cell>
          <cell r="Z49">
            <v>200000000</v>
          </cell>
          <cell r="AN49">
            <v>200000000</v>
          </cell>
          <cell r="AO49" t="str">
            <v>Bank Dunia</v>
          </cell>
          <cell r="AP49" t="str">
            <v>-</v>
          </cell>
        </row>
        <row r="50">
          <cell r="AN50">
            <v>24800000</v>
          </cell>
          <cell r="AO50" t="str">
            <v>Belum Ada Indikasi</v>
          </cell>
          <cell r="AP50" t="str">
            <v>-</v>
          </cell>
        </row>
        <row r="51">
          <cell r="A51">
            <v>41</v>
          </cell>
          <cell r="B51">
            <v>0</v>
          </cell>
          <cell r="C51" t="str">
            <v>INFRASTRUKTUR</v>
          </cell>
          <cell r="D51">
            <v>1</v>
          </cell>
          <cell r="E51" t="str">
            <v>Kementerian Pekerjaan Umum dan Perumahan Rakyat</v>
          </cell>
          <cell r="F51" t="str">
            <v>Development of Waste Water Management Program</v>
          </cell>
          <cell r="G51" t="str">
            <v>E</v>
          </cell>
          <cell r="H51" t="str">
            <v>Program Pembangunan Sistem Pengelolaan Air Limbah</v>
          </cell>
          <cell r="I51">
            <v>5</v>
          </cell>
          <cell r="J51" t="str">
            <v>Denpasar Sewerage Development Project - Phase III</v>
          </cell>
          <cell r="O51">
            <v>1</v>
          </cell>
          <cell r="P51">
            <v>1</v>
          </cell>
          <cell r="Q51">
            <v>35</v>
          </cell>
          <cell r="R51">
            <v>233000000</v>
          </cell>
          <cell r="W51" t="str">
            <v>JICA</v>
          </cell>
          <cell r="Z51">
            <v>233000000</v>
          </cell>
          <cell r="AN51">
            <v>233000000</v>
          </cell>
          <cell r="AO51" t="str">
            <v>JICA</v>
          </cell>
          <cell r="AP51" t="str">
            <v>-</v>
          </cell>
        </row>
        <row r="52">
          <cell r="A52">
            <v>42</v>
          </cell>
          <cell r="B52">
            <v>0</v>
          </cell>
          <cell r="C52" t="str">
            <v>INFRASTRUKTUR</v>
          </cell>
          <cell r="D52">
            <v>1</v>
          </cell>
          <cell r="E52" t="str">
            <v>Kementerian Pekerjaan Umum dan Perumahan Rakyat</v>
          </cell>
          <cell r="F52" t="str">
            <v>Development of Waste Water Management Program</v>
          </cell>
          <cell r="G52" t="str">
            <v>E</v>
          </cell>
          <cell r="H52" t="str">
            <v>Program Pembangunan Sistem Pengelolaan Air Limbah</v>
          </cell>
          <cell r="I52">
            <v>6</v>
          </cell>
          <cell r="J52" t="str">
            <v>The Development and Optimization of Wastewater Treatment in Greater Bandung</v>
          </cell>
          <cell r="O52">
            <v>1</v>
          </cell>
          <cell r="P52">
            <v>1</v>
          </cell>
          <cell r="Q52">
            <v>36</v>
          </cell>
          <cell r="R52">
            <v>100000000</v>
          </cell>
          <cell r="W52" t="str">
            <v>Jerman (KfW)</v>
          </cell>
          <cell r="Z52">
            <v>100000000</v>
          </cell>
          <cell r="AN52">
            <v>100000000</v>
          </cell>
          <cell r="AO52" t="str">
            <v>Jerman (KfW)</v>
          </cell>
          <cell r="AP52" t="str">
            <v>-</v>
          </cell>
        </row>
        <row r="53">
          <cell r="J53" t="str">
            <v>Engineering Service for Sanitation Improvement Project</v>
          </cell>
          <cell r="O53">
            <v>0</v>
          </cell>
          <cell r="P53">
            <v>0</v>
          </cell>
          <cell r="Q53">
            <v>0</v>
          </cell>
          <cell r="R53">
            <v>0</v>
          </cell>
          <cell r="W53" t="str">
            <v>ADB</v>
          </cell>
          <cell r="Z53">
            <v>25200000</v>
          </cell>
          <cell r="AN53">
            <v>25200000</v>
          </cell>
          <cell r="AO53" t="str">
            <v>ADB</v>
          </cell>
          <cell r="AP53" t="str">
            <v>pada konfirmasi K/L nilai ES sebesar USD 26,38 juta, seharusnya USD 25,2 juta.</v>
          </cell>
        </row>
        <row r="54">
          <cell r="A54">
            <v>43</v>
          </cell>
          <cell r="B54">
            <v>0</v>
          </cell>
          <cell r="C54" t="str">
            <v>INFRASTRUKTUR</v>
          </cell>
          <cell r="D54">
            <v>1</v>
          </cell>
          <cell r="E54" t="str">
            <v>Kementerian Pekerjaan Umum dan Perumahan Rakyat</v>
          </cell>
          <cell r="F54" t="str">
            <v>Development of Solid Waste Management Program</v>
          </cell>
          <cell r="G54" t="str">
            <v>F</v>
          </cell>
          <cell r="H54" t="str">
            <v>Program Pembangunan Sistem Pengelolaan Persampahan</v>
          </cell>
          <cell r="I54">
            <v>1</v>
          </cell>
          <cell r="J54" t="str">
            <v>Advanced Solid Waste Management for Sustainable Urban Development (Advance SWM-SUD)</v>
          </cell>
          <cell r="O54">
            <v>1</v>
          </cell>
          <cell r="P54">
            <v>1</v>
          </cell>
          <cell r="Q54">
            <v>37</v>
          </cell>
          <cell r="R54">
            <v>150000000</v>
          </cell>
          <cell r="W54" t="str">
            <v>Jerman (KfW)</v>
          </cell>
          <cell r="Z54">
            <v>150000000</v>
          </cell>
          <cell r="AN54">
            <v>150000000</v>
          </cell>
          <cell r="AO54" t="str">
            <v>Jerman (KfW)</v>
          </cell>
          <cell r="AP54" t="str">
            <v>-</v>
          </cell>
        </row>
        <row r="55">
          <cell r="A55">
            <v>44</v>
          </cell>
          <cell r="B55">
            <v>0</v>
          </cell>
          <cell r="C55" t="str">
            <v>INFRASTRUKTUR</v>
          </cell>
          <cell r="D55">
            <v>1</v>
          </cell>
          <cell r="E55" t="str">
            <v>Kementerian Pekerjaan Umum dan Perumahan Rakyat</v>
          </cell>
          <cell r="F55" t="str">
            <v>Development of Solid Waste Management Program</v>
          </cell>
          <cell r="G55" t="str">
            <v>F</v>
          </cell>
          <cell r="H55" t="str">
            <v>Program Pembangunan Sistem Pengelolaan Persampahan</v>
          </cell>
          <cell r="I55">
            <v>2</v>
          </cell>
          <cell r="J55" t="str">
            <v>The Improvement of Solid Waste Management to Support Regional Area and Metropolitan Cities</v>
          </cell>
          <cell r="O55">
            <v>1</v>
          </cell>
          <cell r="P55">
            <v>1</v>
          </cell>
          <cell r="Q55">
            <v>38</v>
          </cell>
          <cell r="R55">
            <v>100000000</v>
          </cell>
          <cell r="W55" t="str">
            <v>Bank Dunia</v>
          </cell>
          <cell r="Z55">
            <v>100000000</v>
          </cell>
          <cell r="AN55">
            <v>100000000</v>
          </cell>
          <cell r="AO55" t="str">
            <v>Bank Dunia</v>
          </cell>
          <cell r="AP55" t="str">
            <v>-</v>
          </cell>
        </row>
        <row r="56">
          <cell r="A56">
            <v>45</v>
          </cell>
          <cell r="B56">
            <v>0</v>
          </cell>
          <cell r="C56" t="str">
            <v>INFRASTRUKTUR</v>
          </cell>
          <cell r="D56">
            <v>1</v>
          </cell>
          <cell r="E56" t="str">
            <v>Kementerian Pekerjaan Umum dan Perumahan Rakyat</v>
          </cell>
          <cell r="F56" t="str">
            <v>Slum Alleviation Program</v>
          </cell>
          <cell r="G56" t="str">
            <v>G</v>
          </cell>
          <cell r="H56" t="str">
            <v>Program Penanganan Kumuh</v>
          </cell>
          <cell r="I56">
            <v>1</v>
          </cell>
          <cell r="J56" t="str">
            <v>Slum Improvement in Strategic Human Settlements Area (SISHA)</v>
          </cell>
          <cell r="O56">
            <v>1</v>
          </cell>
          <cell r="P56">
            <v>1</v>
          </cell>
          <cell r="Q56">
            <v>39</v>
          </cell>
          <cell r="R56">
            <v>2100000000</v>
          </cell>
          <cell r="W56" t="str">
            <v>Bank Dunia/JICA/ADB</v>
          </cell>
          <cell r="Z56">
            <v>2100000000</v>
          </cell>
          <cell r="AN56">
            <v>2100000000</v>
          </cell>
          <cell r="AO56" t="str">
            <v>Belum Ada Indikasi</v>
          </cell>
          <cell r="AP56" t="str">
            <v>- usulan K/L lender: Bank Dunia/JICA/ADB.
- Pihak Bank Dunia, ADB dan JICA tidak berminat.</v>
          </cell>
        </row>
        <row r="57">
          <cell r="R57">
            <v>1052640000</v>
          </cell>
        </row>
        <row r="58">
          <cell r="A58">
            <v>46</v>
          </cell>
          <cell r="B58">
            <v>0</v>
          </cell>
          <cell r="C58" t="str">
            <v>INFRASTRUKTUR</v>
          </cell>
          <cell r="D58">
            <v>1</v>
          </cell>
          <cell r="E58" t="str">
            <v>Kementerian Pekerjaan Umum dan Perumahan Rakyat</v>
          </cell>
          <cell r="F58" t="str">
            <v>Slum Alleviation Program</v>
          </cell>
          <cell r="G58" t="str">
            <v>G</v>
          </cell>
          <cell r="H58" t="str">
            <v>Program Penanganan Kumuh</v>
          </cell>
          <cell r="I58">
            <v>2</v>
          </cell>
          <cell r="J58" t="str">
            <v>National Slum Upgrading</v>
          </cell>
          <cell r="O58">
            <v>0.5</v>
          </cell>
          <cell r="P58">
            <v>0</v>
          </cell>
          <cell r="Q58">
            <v>0</v>
          </cell>
          <cell r="W58" t="str">
            <v>IDB</v>
          </cell>
          <cell r="Z58">
            <v>329750000</v>
          </cell>
          <cell r="AN58">
            <v>329750000</v>
          </cell>
          <cell r="AO58" t="str">
            <v>IDB</v>
          </cell>
          <cell r="AP58" t="str">
            <v>-</v>
          </cell>
        </row>
        <row r="59">
          <cell r="A59">
            <v>47</v>
          </cell>
          <cell r="B59">
            <v>0</v>
          </cell>
          <cell r="C59" t="str">
            <v>INFRASTRUKTUR</v>
          </cell>
          <cell r="D59">
            <v>1</v>
          </cell>
          <cell r="E59" t="str">
            <v>Kementerian Pekerjaan Umum dan Perumahan Rakyat</v>
          </cell>
          <cell r="F59" t="str">
            <v>Slum Alleviation Program</v>
          </cell>
          <cell r="G59" t="str">
            <v>G</v>
          </cell>
          <cell r="H59" t="str">
            <v>Program Penanganan Kumuh</v>
          </cell>
          <cell r="I59">
            <v>2</v>
          </cell>
          <cell r="W59" t="str">
            <v>Bank Dunia</v>
          </cell>
          <cell r="Z59">
            <v>722890000</v>
          </cell>
          <cell r="AN59">
            <v>433000000</v>
          </cell>
          <cell r="AO59" t="str">
            <v>Bank Dunia</v>
          </cell>
          <cell r="AP59" t="str">
            <v>- Bank Dunia berminat sebesar USD 433 juta.
- Ada informasi dari hasil rapat dengan K/L, bahwa nilai proyek turun menjadi USD 700 juta-an (pendanaan IDB dan Bank Dunia).</v>
          </cell>
        </row>
        <row r="60">
          <cell r="AN60">
            <v>289890000</v>
          </cell>
          <cell r="AO60" t="str">
            <v>Belum Ada Indikasi</v>
          </cell>
          <cell r="AP60">
            <v>0</v>
          </cell>
        </row>
        <row r="61">
          <cell r="A61">
            <v>48</v>
          </cell>
          <cell r="B61">
            <v>0</v>
          </cell>
          <cell r="C61" t="str">
            <v>INFRASTRUKTUR</v>
          </cell>
          <cell r="D61">
            <v>1</v>
          </cell>
          <cell r="E61" t="str">
            <v>Kementerian Pekerjaan Umum dan Perumahan Rakyat</v>
          </cell>
          <cell r="F61" t="str">
            <v>Slum Alleviation Program</v>
          </cell>
          <cell r="G61" t="str">
            <v>G</v>
          </cell>
          <cell r="H61" t="str">
            <v>Program Penanganan Kumuh</v>
          </cell>
          <cell r="I61">
            <v>3</v>
          </cell>
          <cell r="J61" t="str">
            <v>Rural Settlement Infrastructure Development (RSID)</v>
          </cell>
          <cell r="O61">
            <v>1</v>
          </cell>
          <cell r="P61">
            <v>1</v>
          </cell>
          <cell r="Q61">
            <v>41</v>
          </cell>
          <cell r="R61">
            <v>201000000</v>
          </cell>
          <cell r="W61" t="str">
            <v>JICA</v>
          </cell>
          <cell r="Z61">
            <v>201000000</v>
          </cell>
          <cell r="AN61">
            <v>201000000</v>
          </cell>
          <cell r="AO61" t="str">
            <v>JICA</v>
          </cell>
          <cell r="AP61" t="str">
            <v>-</v>
          </cell>
        </row>
        <row r="62">
          <cell r="A62">
            <v>49</v>
          </cell>
          <cell r="B62">
            <v>0</v>
          </cell>
          <cell r="C62" t="str">
            <v>INFRASTRUKTUR</v>
          </cell>
          <cell r="D62">
            <v>1</v>
          </cell>
          <cell r="E62" t="str">
            <v>Kementerian Pekerjaan Umum dan Perumahan Rakyat</v>
          </cell>
          <cell r="F62" t="str">
            <v>Slum Alleviation Program</v>
          </cell>
          <cell r="G62" t="str">
            <v>G</v>
          </cell>
          <cell r="H62" t="str">
            <v>Program Penanganan Kumuh</v>
          </cell>
          <cell r="I62">
            <v>4</v>
          </cell>
          <cell r="J62" t="str">
            <v>Building Administration and Capacity Enforcement Development for Seismic Resilience</v>
          </cell>
          <cell r="O62">
            <v>1</v>
          </cell>
          <cell r="P62">
            <v>1</v>
          </cell>
          <cell r="Q62">
            <v>42</v>
          </cell>
          <cell r="R62">
            <v>261100000</v>
          </cell>
          <cell r="W62" t="str">
            <v>JICA</v>
          </cell>
          <cell r="Z62">
            <v>261100000</v>
          </cell>
          <cell r="AN62">
            <v>261100000</v>
          </cell>
          <cell r="AO62" t="str">
            <v>JICA</v>
          </cell>
          <cell r="AP62" t="str">
            <v>-</v>
          </cell>
        </row>
        <row r="64">
          <cell r="A64">
            <v>51</v>
          </cell>
          <cell r="B64">
            <v>0</v>
          </cell>
          <cell r="C64" t="str">
            <v>INFRASTRUKTUR</v>
          </cell>
          <cell r="D64">
            <v>1</v>
          </cell>
          <cell r="E64" t="str">
            <v>Kementerian Pekerjaan Umum dan Perumahan Rakyat</v>
          </cell>
          <cell r="F64" t="str">
            <v>Development and Management of Irrigation Program</v>
          </cell>
          <cell r="G64" t="str">
            <v>H</v>
          </cell>
          <cell r="H64" t="str">
            <v>Program Pengembangan dan Pengelolaan Irigasi</v>
          </cell>
          <cell r="I64">
            <v>1</v>
          </cell>
          <cell r="J64" t="str">
            <v>Integrated Participatory Development and Management of Irrigation Project - Phase I</v>
          </cell>
          <cell r="O64">
            <v>0.5</v>
          </cell>
          <cell r="P64">
            <v>1</v>
          </cell>
          <cell r="Q64">
            <v>43</v>
          </cell>
          <cell r="R64">
            <v>700000000</v>
          </cell>
          <cell r="W64" t="str">
            <v>ADB</v>
          </cell>
          <cell r="Z64">
            <v>600000000</v>
          </cell>
          <cell r="AN64">
            <v>600000000</v>
          </cell>
          <cell r="AO64" t="str">
            <v>ADB</v>
          </cell>
          <cell r="AP64" t="str">
            <v>-</v>
          </cell>
        </row>
        <row r="65">
          <cell r="A65">
            <v>52</v>
          </cell>
          <cell r="B65">
            <v>0</v>
          </cell>
          <cell r="C65" t="str">
            <v>INFRASTRUKTUR</v>
          </cell>
          <cell r="D65">
            <v>1</v>
          </cell>
          <cell r="E65" t="str">
            <v>Kementerian Pekerjaan Umum dan Perumahan Rakyat</v>
          </cell>
          <cell r="F65" t="str">
            <v>Development and Management of Irrigation Program</v>
          </cell>
          <cell r="G65" t="str">
            <v>H</v>
          </cell>
          <cell r="H65" t="str">
            <v>Program Pengembangan dan Pengelolaan Irigasi</v>
          </cell>
          <cell r="I65">
            <v>1</v>
          </cell>
          <cell r="W65" t="str">
            <v>IFAD</v>
          </cell>
          <cell r="Z65">
            <v>100000000</v>
          </cell>
          <cell r="AN65">
            <v>100000000</v>
          </cell>
          <cell r="AO65" t="str">
            <v>IFAD</v>
          </cell>
          <cell r="AP65" t="str">
            <v>-</v>
          </cell>
        </row>
        <row r="66">
          <cell r="A66">
            <v>53</v>
          </cell>
          <cell r="B66">
            <v>0</v>
          </cell>
          <cell r="C66" t="str">
            <v>INFRASTRUKTUR</v>
          </cell>
          <cell r="D66">
            <v>1</v>
          </cell>
          <cell r="E66" t="str">
            <v>Kementerian Pekerjaan Umum dan Perumahan Rakyat</v>
          </cell>
          <cell r="F66" t="str">
            <v>Development and Management of Irrigation Program</v>
          </cell>
          <cell r="G66" t="str">
            <v>H</v>
          </cell>
          <cell r="H66" t="str">
            <v>Program Pengembangan dan Pengelolaan Irigasi</v>
          </cell>
          <cell r="I66">
            <v>1</v>
          </cell>
          <cell r="J66" t="str">
            <v>Integrated Participatory Development and Management of Irrigation Project - Phase II</v>
          </cell>
          <cell r="O66">
            <v>1</v>
          </cell>
          <cell r="P66">
            <v>1</v>
          </cell>
          <cell r="Q66">
            <v>44</v>
          </cell>
          <cell r="R66">
            <v>500000000</v>
          </cell>
          <cell r="W66" t="str">
            <v>ADB</v>
          </cell>
          <cell r="Z66">
            <v>500000000</v>
          </cell>
          <cell r="AN66">
            <v>400000000</v>
          </cell>
          <cell r="AO66" t="str">
            <v>ADB</v>
          </cell>
          <cell r="AP66" t="str">
            <v>nilai kegiatan yang tercantum dalam COBP ADB sebesar USD 400 juta.</v>
          </cell>
        </row>
        <row r="67">
          <cell r="AN67">
            <v>100000000</v>
          </cell>
          <cell r="AO67" t="str">
            <v>Belum Ada Indikasi</v>
          </cell>
          <cell r="AP67" t="str">
            <v>-</v>
          </cell>
        </row>
        <row r="68">
          <cell r="A68">
            <v>54</v>
          </cell>
          <cell r="B68">
            <v>0</v>
          </cell>
          <cell r="C68" t="str">
            <v>INFRASTRUKTUR</v>
          </cell>
          <cell r="D68">
            <v>1</v>
          </cell>
          <cell r="E68" t="str">
            <v>Kementerian Pekerjaan Umum dan Perumahan Rakyat</v>
          </cell>
          <cell r="F68" t="str">
            <v>Development and Management of Irrigation Program</v>
          </cell>
          <cell r="G68" t="str">
            <v>H</v>
          </cell>
          <cell r="H68" t="str">
            <v>Program Pengembangan dan Pengelolaan Irigasi</v>
          </cell>
          <cell r="I68">
            <v>2</v>
          </cell>
          <cell r="J68" t="str">
            <v>The Urgent Rehabilitation of Strategic Irrigation for Western Region of Indonesia</v>
          </cell>
          <cell r="O68">
            <v>1</v>
          </cell>
          <cell r="P68">
            <v>1</v>
          </cell>
          <cell r="Q68">
            <v>45</v>
          </cell>
          <cell r="R68">
            <v>195778000</v>
          </cell>
          <cell r="W68" t="str">
            <v>Korea</v>
          </cell>
          <cell r="Z68">
            <v>195778000</v>
          </cell>
          <cell r="AN68">
            <v>195778000</v>
          </cell>
          <cell r="AO68" t="str">
            <v>Korea</v>
          </cell>
          <cell r="AP68" t="str">
            <v>masuk rolling plan EDCF (Korea)</v>
          </cell>
        </row>
        <row r="69">
          <cell r="A69">
            <v>55</v>
          </cell>
          <cell r="B69">
            <v>0</v>
          </cell>
          <cell r="C69" t="str">
            <v>INFRASTRUKTUR</v>
          </cell>
          <cell r="D69">
            <v>1</v>
          </cell>
          <cell r="E69" t="str">
            <v>Kementerian Pekerjaan Umum dan Perumahan Rakyat</v>
          </cell>
          <cell r="F69" t="str">
            <v>Development and Management of Irrigation Program</v>
          </cell>
          <cell r="G69" t="str">
            <v>H</v>
          </cell>
          <cell r="H69" t="str">
            <v>Program Pengembangan dan Pengelolaan Irigasi</v>
          </cell>
          <cell r="I69">
            <v>3</v>
          </cell>
          <cell r="J69" t="str">
            <v>Rentang Modernization Strategic Irrigation (RIMP)</v>
          </cell>
          <cell r="O69">
            <v>1</v>
          </cell>
          <cell r="P69">
            <v>1</v>
          </cell>
          <cell r="Q69">
            <v>46</v>
          </cell>
          <cell r="R69">
            <v>480000000</v>
          </cell>
          <cell r="W69" t="str">
            <v>JICA</v>
          </cell>
          <cell r="Z69">
            <v>480000000</v>
          </cell>
          <cell r="AN69">
            <v>480000000</v>
          </cell>
          <cell r="AO69" t="str">
            <v>JICA</v>
          </cell>
          <cell r="AP69" t="str">
            <v>-</v>
          </cell>
        </row>
        <row r="70">
          <cell r="A70">
            <v>56</v>
          </cell>
          <cell r="B70">
            <v>0</v>
          </cell>
          <cell r="C70" t="str">
            <v>INFRASTRUKTUR</v>
          </cell>
          <cell r="D70">
            <v>1</v>
          </cell>
          <cell r="E70" t="str">
            <v>Kementerian Pekerjaan Umum dan Perumahan Rakyat</v>
          </cell>
          <cell r="F70" t="str">
            <v>Development and Management of Irrigation Program</v>
          </cell>
          <cell r="G70" t="str">
            <v>H</v>
          </cell>
          <cell r="H70" t="str">
            <v>Program Pengembangan dan Pengelolaan Irigasi</v>
          </cell>
          <cell r="I70">
            <v>4</v>
          </cell>
          <cell r="J70" t="str">
            <v>Komering Irrigation Project Stage III</v>
          </cell>
          <cell r="O70">
            <v>1</v>
          </cell>
          <cell r="P70">
            <v>1</v>
          </cell>
          <cell r="Q70">
            <v>47</v>
          </cell>
          <cell r="R70">
            <v>120000000</v>
          </cell>
          <cell r="W70" t="str">
            <v>JICA</v>
          </cell>
          <cell r="Z70">
            <v>120000000</v>
          </cell>
          <cell r="AN70">
            <v>120000000</v>
          </cell>
          <cell r="AO70" t="str">
            <v>JICA</v>
          </cell>
          <cell r="AP70" t="str">
            <v>-</v>
          </cell>
        </row>
        <row r="71">
          <cell r="A71">
            <v>57</v>
          </cell>
          <cell r="B71">
            <v>0</v>
          </cell>
          <cell r="C71" t="str">
            <v>INFRASTRUKTUR</v>
          </cell>
          <cell r="D71">
            <v>1</v>
          </cell>
          <cell r="E71" t="str">
            <v>Kementerian Pekerjaan Umum dan Perumahan Rakyat</v>
          </cell>
          <cell r="F71" t="str">
            <v>Development and Management of Irrigation Program</v>
          </cell>
          <cell r="G71" t="str">
            <v>H</v>
          </cell>
          <cell r="H71" t="str">
            <v>Program Pengembangan dan Pengelolaan Irigasi</v>
          </cell>
          <cell r="I71">
            <v>5</v>
          </cell>
          <cell r="J71" t="str">
            <v>Irrigation Development in North Sumatera</v>
          </cell>
          <cell r="O71">
            <v>1</v>
          </cell>
          <cell r="P71">
            <v>1</v>
          </cell>
          <cell r="Q71">
            <v>48</v>
          </cell>
          <cell r="R71">
            <v>350000000</v>
          </cell>
          <cell r="W71" t="str">
            <v>ADB</v>
          </cell>
          <cell r="Z71">
            <v>350000000</v>
          </cell>
          <cell r="AN71">
            <v>350000000</v>
          </cell>
          <cell r="AO71" t="str">
            <v>Belum Ada Indikasi</v>
          </cell>
          <cell r="AP71" t="str">
            <v>- usulan K/L lender: ADB
- tidak masuk COBP ADB</v>
          </cell>
        </row>
        <row r="72">
          <cell r="A72">
            <v>58</v>
          </cell>
          <cell r="B72">
            <v>0</v>
          </cell>
          <cell r="C72" t="str">
            <v>INFRASTRUKTUR</v>
          </cell>
          <cell r="D72">
            <v>1</v>
          </cell>
          <cell r="E72" t="str">
            <v>Kementerian Pekerjaan Umum dan Perumahan Rakyat</v>
          </cell>
          <cell r="F72" t="str">
            <v>Development and Management of Irrigation Program</v>
          </cell>
          <cell r="G72" t="str">
            <v>H</v>
          </cell>
          <cell r="H72" t="str">
            <v>Program Pengembangan dan Pengelolaan Irigasi</v>
          </cell>
          <cell r="I72">
            <v>6</v>
          </cell>
          <cell r="J72" t="str">
            <v>Integrated Participatory Development and Management of Lhok Guci and Peureulak Irrigation Project</v>
          </cell>
          <cell r="O72">
            <v>1</v>
          </cell>
          <cell r="P72">
            <v>1</v>
          </cell>
          <cell r="Q72">
            <v>49</v>
          </cell>
          <cell r="R72">
            <v>161298000</v>
          </cell>
          <cell r="W72" t="str">
            <v>ADB</v>
          </cell>
          <cell r="Z72">
            <v>161298000</v>
          </cell>
          <cell r="AN72">
            <v>161298000</v>
          </cell>
          <cell r="AO72" t="str">
            <v>Belum Ada Indikasi</v>
          </cell>
          <cell r="AP72" t="str">
            <v>- usulan K/L lender: ADB
- tidak masuk COBP ADB</v>
          </cell>
        </row>
        <row r="73">
          <cell r="A73">
            <v>59</v>
          </cell>
          <cell r="B73">
            <v>0</v>
          </cell>
          <cell r="C73" t="str">
            <v>INFRASTRUKTUR</v>
          </cell>
          <cell r="D73">
            <v>1</v>
          </cell>
          <cell r="E73" t="str">
            <v>Kementerian Pekerjaan Umum dan Perumahan Rakyat</v>
          </cell>
          <cell r="F73" t="str">
            <v>Development and Management of Irrigation Program</v>
          </cell>
          <cell r="G73" t="str">
            <v>H</v>
          </cell>
          <cell r="H73" t="str">
            <v>Program Pengembangan dan Pengelolaan Irigasi</v>
          </cell>
          <cell r="I73">
            <v>7</v>
          </cell>
          <cell r="J73" t="str">
            <v>Modernization Strategic Irrigation Project (MSIP)</v>
          </cell>
          <cell r="O73">
            <v>1</v>
          </cell>
          <cell r="P73">
            <v>1</v>
          </cell>
          <cell r="Q73">
            <v>50</v>
          </cell>
          <cell r="R73">
            <v>278355000</v>
          </cell>
          <cell r="W73" t="str">
            <v>JICA</v>
          </cell>
          <cell r="Z73">
            <v>278355000</v>
          </cell>
          <cell r="AN73">
            <v>278355000</v>
          </cell>
          <cell r="AO73" t="str">
            <v>JICA</v>
          </cell>
          <cell r="AP73" t="str">
            <v>-</v>
          </cell>
        </row>
        <row r="74">
          <cell r="A74">
            <v>60</v>
          </cell>
          <cell r="B74">
            <v>0</v>
          </cell>
          <cell r="C74" t="str">
            <v>INFRASTRUKTUR</v>
          </cell>
          <cell r="D74">
            <v>1</v>
          </cell>
          <cell r="E74" t="str">
            <v>Kementerian Pekerjaan Umum dan Perumahan Rakyat</v>
          </cell>
          <cell r="F74" t="str">
            <v>Development and Management of Irrigation Program</v>
          </cell>
          <cell r="G74" t="str">
            <v>H</v>
          </cell>
          <cell r="H74" t="str">
            <v>Program Pengembangan dan Pengelolaan Irigasi</v>
          </cell>
          <cell r="I74">
            <v>8</v>
          </cell>
          <cell r="J74" t="str">
            <v>Urgent Rehabilitation of  Irrigation Project in Indonesia (URIP)</v>
          </cell>
          <cell r="O74">
            <v>1</v>
          </cell>
          <cell r="P74">
            <v>1</v>
          </cell>
          <cell r="Q74">
            <v>51</v>
          </cell>
          <cell r="R74">
            <v>272100000</v>
          </cell>
          <cell r="W74" t="str">
            <v>Bank Dunia</v>
          </cell>
          <cell r="Z74">
            <v>272100000</v>
          </cell>
          <cell r="AN74">
            <v>272100000</v>
          </cell>
          <cell r="AO74" t="str">
            <v>Bank Dunia</v>
          </cell>
          <cell r="AP74" t="str">
            <v>-</v>
          </cell>
        </row>
        <row r="75">
          <cell r="A75">
            <v>61</v>
          </cell>
          <cell r="B75">
            <v>0</v>
          </cell>
          <cell r="C75" t="str">
            <v>INFRASTRUKTUR</v>
          </cell>
          <cell r="D75">
            <v>1</v>
          </cell>
          <cell r="E75" t="str">
            <v>Kementerian Pekerjaan Umum dan Perumahan Rakyat</v>
          </cell>
          <cell r="F75" t="str">
            <v>Development and Management of Irrigation Program</v>
          </cell>
          <cell r="G75" t="str">
            <v>H</v>
          </cell>
          <cell r="H75" t="str">
            <v>Program Pengembangan dan Pengelolaan Irigasi</v>
          </cell>
          <cell r="I75">
            <v>9</v>
          </cell>
          <cell r="J75" t="str">
            <v>Revitalition Groundwater Irrigation in Indonesia</v>
          </cell>
          <cell r="O75">
            <v>1</v>
          </cell>
          <cell r="P75">
            <v>1</v>
          </cell>
          <cell r="Q75">
            <v>52</v>
          </cell>
          <cell r="R75">
            <v>100000000</v>
          </cell>
          <cell r="W75" t="str">
            <v>JICA</v>
          </cell>
          <cell r="Z75">
            <v>100000000</v>
          </cell>
          <cell r="AN75">
            <v>100000000</v>
          </cell>
          <cell r="AO75" t="str">
            <v>JICA</v>
          </cell>
          <cell r="AP75" t="str">
            <v>-</v>
          </cell>
        </row>
        <row r="76">
          <cell r="A76">
            <v>62</v>
          </cell>
          <cell r="B76">
            <v>0</v>
          </cell>
          <cell r="C76" t="str">
            <v>INFRASTRUKTUR</v>
          </cell>
          <cell r="D76">
            <v>1</v>
          </cell>
          <cell r="E76" t="str">
            <v>Kementerian Pekerjaan Umum dan Perumahan Rakyat</v>
          </cell>
          <cell r="F76" t="str">
            <v>Development and Management of Irrigation Program</v>
          </cell>
          <cell r="G76" t="str">
            <v>H</v>
          </cell>
          <cell r="H76" t="str">
            <v>Program Pengembangan dan Pengelolaan Irigasi</v>
          </cell>
          <cell r="I76">
            <v>10</v>
          </cell>
          <cell r="J76" t="str">
            <v>Engineering Service for Irrigation and Low Land Development Project</v>
          </cell>
          <cell r="O76">
            <v>1</v>
          </cell>
          <cell r="P76">
            <v>1</v>
          </cell>
          <cell r="Q76">
            <v>53</v>
          </cell>
          <cell r="R76">
            <v>100000000</v>
          </cell>
          <cell r="W76" t="str">
            <v>ADB</v>
          </cell>
          <cell r="Z76">
            <v>100000000</v>
          </cell>
          <cell r="AN76">
            <v>100000000</v>
          </cell>
          <cell r="AO76" t="str">
            <v>ADB</v>
          </cell>
          <cell r="AP76" t="str">
            <v>-</v>
          </cell>
        </row>
        <row r="77">
          <cell r="A77">
            <v>63</v>
          </cell>
          <cell r="B77">
            <v>0</v>
          </cell>
          <cell r="C77" t="str">
            <v>INFRASTRUKTUR</v>
          </cell>
          <cell r="D77">
            <v>1</v>
          </cell>
          <cell r="E77" t="str">
            <v>Kementerian Pekerjaan Umum dan Perumahan Rakyat</v>
          </cell>
          <cell r="F77" t="str">
            <v>Provision and Management of Bulk Water Supply Program</v>
          </cell>
          <cell r="G77" t="str">
            <v>I</v>
          </cell>
          <cell r="H77" t="str">
            <v>Program Penyediaan Air Baku</v>
          </cell>
          <cell r="I77">
            <v>1</v>
          </cell>
          <cell r="J77" t="str">
            <v>Integrated Citarum Water Resources Management Investment Program II</v>
          </cell>
          <cell r="O77">
            <v>1</v>
          </cell>
          <cell r="P77">
            <v>1</v>
          </cell>
          <cell r="Q77">
            <v>54</v>
          </cell>
          <cell r="R77">
            <v>200000000</v>
          </cell>
          <cell r="W77" t="str">
            <v>ADB</v>
          </cell>
          <cell r="Z77">
            <v>200000000</v>
          </cell>
          <cell r="AN77">
            <v>200000000</v>
          </cell>
          <cell r="AO77" t="str">
            <v>ADB</v>
          </cell>
          <cell r="AP77" t="str">
            <v>-</v>
          </cell>
        </row>
        <row r="78">
          <cell r="A78">
            <v>64</v>
          </cell>
          <cell r="B78">
            <v>0</v>
          </cell>
          <cell r="C78" t="str">
            <v>INFRASTRUKTUR</v>
          </cell>
          <cell r="D78">
            <v>1</v>
          </cell>
          <cell r="E78" t="str">
            <v>Kementerian Pekerjaan Umum dan Perumahan Rakyat</v>
          </cell>
          <cell r="F78" t="str">
            <v>Provision and Management of Bulk Water Supply Program</v>
          </cell>
          <cell r="G78" t="str">
            <v>I</v>
          </cell>
          <cell r="H78" t="str">
            <v>Program Penyediaan Air Baku</v>
          </cell>
          <cell r="I78">
            <v>2</v>
          </cell>
          <cell r="J78" t="str">
            <v>Karian Dam-Serpong Water Conveyance and Supply System Project</v>
          </cell>
          <cell r="O78">
            <v>1</v>
          </cell>
          <cell r="P78">
            <v>1</v>
          </cell>
          <cell r="Q78">
            <v>55</v>
          </cell>
          <cell r="R78">
            <v>373862000</v>
          </cell>
          <cell r="W78" t="str">
            <v>Korea</v>
          </cell>
          <cell r="Z78">
            <v>373862000</v>
          </cell>
          <cell r="AN78">
            <v>373862000</v>
          </cell>
          <cell r="AO78" t="str">
            <v>Korea</v>
          </cell>
          <cell r="AP78" t="str">
            <v>masuk rolling plan EDCF (Korea)</v>
          </cell>
        </row>
        <row r="79">
          <cell r="A79">
            <v>65</v>
          </cell>
          <cell r="B79">
            <v>0</v>
          </cell>
          <cell r="C79" t="str">
            <v>INFRASTRUKTUR</v>
          </cell>
          <cell r="D79">
            <v>1</v>
          </cell>
          <cell r="E79" t="str">
            <v>Kementerian Pekerjaan Umum dan Perumahan Rakyat</v>
          </cell>
          <cell r="F79" t="str">
            <v>Provision and Management of Bulk Water Supply Program</v>
          </cell>
          <cell r="G79" t="str">
            <v>I</v>
          </cell>
          <cell r="H79" t="str">
            <v>Program Penyediaan Air Baku</v>
          </cell>
          <cell r="I79">
            <v>3</v>
          </cell>
          <cell r="J79" t="str">
            <v>Engineering Service for Bulk Water and Water Supply Development Project</v>
          </cell>
          <cell r="O79">
            <v>1</v>
          </cell>
          <cell r="P79">
            <v>1</v>
          </cell>
          <cell r="Q79">
            <v>56</v>
          </cell>
          <cell r="R79">
            <v>50000000</v>
          </cell>
          <cell r="W79" t="str">
            <v>ADB</v>
          </cell>
          <cell r="Z79">
            <v>50000000</v>
          </cell>
          <cell r="AN79">
            <v>50000000</v>
          </cell>
          <cell r="AO79" t="str">
            <v>ADB</v>
          </cell>
          <cell r="AP79" t="str">
            <v>-</v>
          </cell>
        </row>
        <row r="80">
          <cell r="A80">
            <v>66</v>
          </cell>
          <cell r="B80">
            <v>0</v>
          </cell>
          <cell r="C80" t="str">
            <v>INFRASTRUKTUR</v>
          </cell>
          <cell r="D80">
            <v>1</v>
          </cell>
          <cell r="E80" t="str">
            <v>Kementerian Pekerjaan Umum dan Perumahan Rakyat</v>
          </cell>
          <cell r="F80" t="str">
            <v>Dam Development Program</v>
          </cell>
          <cell r="G80" t="str">
            <v>J</v>
          </cell>
          <cell r="H80" t="str">
            <v>Program Pembangunan Waduk</v>
          </cell>
          <cell r="I80">
            <v>1</v>
          </cell>
          <cell r="J80" t="str">
            <v>Jambo Aye Multipurpose Dam Project</v>
          </cell>
          <cell r="O80">
            <v>1</v>
          </cell>
          <cell r="P80">
            <v>1</v>
          </cell>
          <cell r="Q80">
            <v>57</v>
          </cell>
          <cell r="R80">
            <v>662200000</v>
          </cell>
          <cell r="W80" t="str">
            <v>Rupiah Murni</v>
          </cell>
          <cell r="Z80">
            <v>662200000</v>
          </cell>
          <cell r="AN80">
            <v>662200000</v>
          </cell>
          <cell r="AO80" t="str">
            <v>Rupiah Murni</v>
          </cell>
          <cell r="AP80" t="str">
            <v>-</v>
          </cell>
        </row>
        <row r="81">
          <cell r="A81">
            <v>67</v>
          </cell>
          <cell r="B81">
            <v>0</v>
          </cell>
          <cell r="C81" t="str">
            <v>INFRASTRUKTUR</v>
          </cell>
          <cell r="D81">
            <v>1</v>
          </cell>
          <cell r="E81" t="str">
            <v>Kementerian Pekerjaan Umum dan Perumahan Rakyat</v>
          </cell>
          <cell r="F81" t="str">
            <v>Dam Development Program</v>
          </cell>
          <cell r="G81" t="str">
            <v>J</v>
          </cell>
          <cell r="H81" t="str">
            <v>Program Pembangunan Waduk</v>
          </cell>
          <cell r="I81">
            <v>2</v>
          </cell>
          <cell r="J81" t="str">
            <v>Komering Multipurpose Dam Project - Phase II</v>
          </cell>
          <cell r="O81">
            <v>1</v>
          </cell>
          <cell r="P81">
            <v>1</v>
          </cell>
          <cell r="Q81">
            <v>58</v>
          </cell>
          <cell r="R81">
            <v>200000000</v>
          </cell>
          <cell r="W81" t="str">
            <v>Rupiah Murni</v>
          </cell>
          <cell r="Z81">
            <v>200000000</v>
          </cell>
          <cell r="AN81">
            <v>200000000</v>
          </cell>
          <cell r="AO81" t="str">
            <v>Rupiah Murni</v>
          </cell>
          <cell r="AP81" t="str">
            <v>-</v>
          </cell>
        </row>
        <row r="82">
          <cell r="A82">
            <v>68</v>
          </cell>
          <cell r="B82">
            <v>0</v>
          </cell>
          <cell r="C82" t="str">
            <v>INFRASTRUKTUR</v>
          </cell>
          <cell r="D82">
            <v>1</v>
          </cell>
          <cell r="E82" t="str">
            <v>Kementerian Pekerjaan Umum dan Perumahan Rakyat</v>
          </cell>
          <cell r="F82" t="str">
            <v>Dam Development Program</v>
          </cell>
          <cell r="G82" t="str">
            <v>J</v>
          </cell>
          <cell r="H82" t="str">
            <v>Program Pembangunan Waduk</v>
          </cell>
          <cell r="I82">
            <v>3</v>
          </cell>
          <cell r="J82" t="str">
            <v>Pelosika Multipurpose Dam Construction Project</v>
          </cell>
          <cell r="O82">
            <v>1</v>
          </cell>
          <cell r="P82">
            <v>1</v>
          </cell>
          <cell r="Q82">
            <v>59</v>
          </cell>
          <cell r="R82">
            <v>200000000</v>
          </cell>
          <cell r="W82" t="str">
            <v>Rupiah Murni</v>
          </cell>
          <cell r="Z82">
            <v>200000000</v>
          </cell>
          <cell r="AN82">
            <v>200000000</v>
          </cell>
          <cell r="AO82" t="str">
            <v>Rupiah Murni</v>
          </cell>
          <cell r="AP82" t="str">
            <v>-</v>
          </cell>
        </row>
        <row r="83">
          <cell r="A83">
            <v>69</v>
          </cell>
          <cell r="B83">
            <v>0</v>
          </cell>
          <cell r="C83" t="str">
            <v>INFRASTRUKTUR</v>
          </cell>
          <cell r="D83">
            <v>1</v>
          </cell>
          <cell r="E83" t="str">
            <v>Kementerian Pekerjaan Umum dan Perumahan Rakyat</v>
          </cell>
          <cell r="F83" t="str">
            <v>Dam Development Program</v>
          </cell>
          <cell r="G83" t="str">
            <v>J</v>
          </cell>
          <cell r="H83" t="str">
            <v>Program Pembangunan Waduk</v>
          </cell>
          <cell r="I83">
            <v>4</v>
          </cell>
          <cell r="J83" t="str">
            <v>Lambakan  Dam Project</v>
          </cell>
          <cell r="O83">
            <v>1</v>
          </cell>
          <cell r="P83">
            <v>1</v>
          </cell>
          <cell r="Q83">
            <v>60</v>
          </cell>
          <cell r="R83">
            <v>258000000</v>
          </cell>
          <cell r="W83" t="str">
            <v>IDB</v>
          </cell>
          <cell r="Z83">
            <v>258000000</v>
          </cell>
          <cell r="AN83">
            <v>258000000</v>
          </cell>
          <cell r="AO83" t="str">
            <v>IDB</v>
          </cell>
          <cell r="AP83" t="str">
            <v>-</v>
          </cell>
        </row>
        <row r="84">
          <cell r="A84">
            <v>70</v>
          </cell>
          <cell r="B84">
            <v>0</v>
          </cell>
          <cell r="C84" t="str">
            <v>INFRASTRUKTUR</v>
          </cell>
          <cell r="D84">
            <v>1</v>
          </cell>
          <cell r="E84" t="str">
            <v>Kementerian Pekerjaan Umum dan Perumahan Rakyat</v>
          </cell>
          <cell r="F84" t="str">
            <v>Dam Development Program</v>
          </cell>
          <cell r="G84" t="str">
            <v>J</v>
          </cell>
          <cell r="H84" t="str">
            <v>Program Pembangunan Waduk</v>
          </cell>
          <cell r="I84">
            <v>5</v>
          </cell>
          <cell r="J84" t="str">
            <v>Jenelata Dam Construction Project</v>
          </cell>
          <cell r="O84">
            <v>1</v>
          </cell>
          <cell r="P84">
            <v>1</v>
          </cell>
          <cell r="Q84">
            <v>61</v>
          </cell>
          <cell r="R84">
            <v>200000000</v>
          </cell>
          <cell r="W84" t="str">
            <v>RRT</v>
          </cell>
          <cell r="Z84">
            <v>200000000</v>
          </cell>
          <cell r="AN84">
            <v>200000000</v>
          </cell>
          <cell r="AO84" t="str">
            <v>RRT</v>
          </cell>
          <cell r="AP84" t="str">
            <v>-</v>
          </cell>
        </row>
        <row r="85">
          <cell r="A85">
            <v>71</v>
          </cell>
          <cell r="B85">
            <v>0</v>
          </cell>
          <cell r="C85" t="str">
            <v>INFRASTRUKTUR</v>
          </cell>
          <cell r="D85">
            <v>1</v>
          </cell>
          <cell r="E85" t="str">
            <v>Kementerian Pekerjaan Umum dan Perumahan Rakyat</v>
          </cell>
          <cell r="F85" t="str">
            <v>Dam Development Program</v>
          </cell>
          <cell r="G85" t="str">
            <v>J</v>
          </cell>
          <cell r="H85" t="str">
            <v>Program Pembangunan Waduk</v>
          </cell>
          <cell r="I85">
            <v>6</v>
          </cell>
          <cell r="J85" t="str">
            <v>Bonehulu Dam Construction Project</v>
          </cell>
          <cell r="O85">
            <v>1</v>
          </cell>
          <cell r="P85">
            <v>1</v>
          </cell>
          <cell r="Q85">
            <v>62</v>
          </cell>
          <cell r="R85">
            <v>128250000</v>
          </cell>
          <cell r="W85" t="str">
            <v>RRT</v>
          </cell>
          <cell r="Z85">
            <v>128250000</v>
          </cell>
          <cell r="AN85">
            <v>128250000</v>
          </cell>
          <cell r="AO85" t="str">
            <v>RRT</v>
          </cell>
          <cell r="AP85" t="str">
            <v>-</v>
          </cell>
        </row>
        <row r="86">
          <cell r="A86">
            <v>72</v>
          </cell>
          <cell r="B86">
            <v>0</v>
          </cell>
          <cell r="C86" t="str">
            <v>INFRASTRUKTUR</v>
          </cell>
          <cell r="D86">
            <v>1</v>
          </cell>
          <cell r="E86" t="str">
            <v>Kementerian Pekerjaan Umum dan Perumahan Rakyat</v>
          </cell>
          <cell r="F86" t="str">
            <v>Dam Development Program</v>
          </cell>
          <cell r="G86" t="str">
            <v>J</v>
          </cell>
          <cell r="H86" t="str">
            <v>Program Pembangunan Waduk</v>
          </cell>
          <cell r="I86">
            <v>7</v>
          </cell>
          <cell r="J86" t="str">
            <v>Ladongi Dam Construction Project</v>
          </cell>
          <cell r="O86">
            <v>1</v>
          </cell>
          <cell r="P86">
            <v>1</v>
          </cell>
          <cell r="Q86">
            <v>63</v>
          </cell>
          <cell r="R86">
            <v>70000000</v>
          </cell>
          <cell r="W86" t="str">
            <v>RRT</v>
          </cell>
          <cell r="Z86">
            <v>70000000</v>
          </cell>
          <cell r="AN86">
            <v>70000000</v>
          </cell>
          <cell r="AO86" t="str">
            <v>RRT</v>
          </cell>
          <cell r="AP86" t="str">
            <v>-</v>
          </cell>
        </row>
        <row r="87">
          <cell r="A87">
            <v>73</v>
          </cell>
          <cell r="B87">
            <v>0</v>
          </cell>
          <cell r="C87" t="str">
            <v>INFRASTRUKTUR</v>
          </cell>
          <cell r="D87">
            <v>1</v>
          </cell>
          <cell r="E87" t="str">
            <v>Kementerian Pekerjaan Umum dan Perumahan Rakyat</v>
          </cell>
          <cell r="F87" t="str">
            <v>Dam Development Program</v>
          </cell>
          <cell r="G87" t="str">
            <v>J</v>
          </cell>
          <cell r="H87" t="str">
            <v>Program Pembangunan Waduk</v>
          </cell>
          <cell r="I87">
            <v>8</v>
          </cell>
          <cell r="J87" t="str">
            <v>Kuwil Kawangkoan Dam Construction Project</v>
          </cell>
          <cell r="O87">
            <v>1</v>
          </cell>
          <cell r="P87">
            <v>1</v>
          </cell>
          <cell r="Q87">
            <v>64</v>
          </cell>
          <cell r="R87">
            <v>110000000</v>
          </cell>
          <cell r="W87" t="str">
            <v>Rupiah Murni</v>
          </cell>
          <cell r="Z87">
            <v>110000000</v>
          </cell>
          <cell r="AN87">
            <v>110000000</v>
          </cell>
          <cell r="AO87" t="str">
            <v>Rupiah Murni</v>
          </cell>
          <cell r="AP87" t="str">
            <v>-</v>
          </cell>
        </row>
        <row r="88">
          <cell r="A88">
            <v>74</v>
          </cell>
          <cell r="B88">
            <v>0</v>
          </cell>
          <cell r="C88" t="str">
            <v>INFRASTRUKTUR</v>
          </cell>
          <cell r="D88">
            <v>1</v>
          </cell>
          <cell r="E88" t="str">
            <v>Kementerian Pekerjaan Umum dan Perumahan Rakyat</v>
          </cell>
          <cell r="F88" t="str">
            <v>Dam Development Program</v>
          </cell>
          <cell r="G88" t="str">
            <v>J</v>
          </cell>
          <cell r="H88" t="str">
            <v>Program Pembangunan Waduk</v>
          </cell>
          <cell r="I88">
            <v>9</v>
          </cell>
          <cell r="J88" t="str">
            <v>Lompatan Harimau Dam Construction Project (Rokan Kiri Dam Construction Project)</v>
          </cell>
          <cell r="O88">
            <v>1</v>
          </cell>
          <cell r="P88">
            <v>1</v>
          </cell>
          <cell r="Q88">
            <v>65</v>
          </cell>
          <cell r="R88">
            <v>152100000</v>
          </cell>
          <cell r="W88" t="str">
            <v>RRT</v>
          </cell>
          <cell r="Z88">
            <v>152100000</v>
          </cell>
          <cell r="AN88">
            <v>152100000</v>
          </cell>
          <cell r="AO88" t="str">
            <v>RRT</v>
          </cell>
          <cell r="AP88" t="str">
            <v>-</v>
          </cell>
        </row>
        <row r="89">
          <cell r="R89">
            <v>100000000</v>
          </cell>
        </row>
        <row r="90">
          <cell r="J90" t="str">
            <v>Engineering Service for Dam Multipurpose Development Project</v>
          </cell>
          <cell r="O90">
            <v>0.33333333333333298</v>
          </cell>
          <cell r="P90">
            <v>0</v>
          </cell>
          <cell r="Q90">
            <v>66</v>
          </cell>
          <cell r="W90" t="str">
            <v>ADB</v>
          </cell>
          <cell r="Z90">
            <v>1930000</v>
          </cell>
          <cell r="AN90">
            <v>1930000</v>
          </cell>
          <cell r="AO90" t="str">
            <v>ADB</v>
          </cell>
          <cell r="AP90" t="str">
            <v>-</v>
          </cell>
        </row>
        <row r="91">
          <cell r="W91" t="str">
            <v>Korea</v>
          </cell>
          <cell r="Z91">
            <v>21678596</v>
          </cell>
          <cell r="AN91">
            <v>21678596</v>
          </cell>
          <cell r="AO91" t="str">
            <v>Korea</v>
          </cell>
          <cell r="AP91" t="str">
            <v>masuk rolling plan EDCF (Korea)</v>
          </cell>
        </row>
        <row r="92">
          <cell r="W92" t="str">
            <v>Belum Ada Indikasi</v>
          </cell>
          <cell r="Z92">
            <v>76391404</v>
          </cell>
          <cell r="AN92">
            <v>76391404</v>
          </cell>
          <cell r="AO92" t="str">
            <v>Belum Ada Indikasi</v>
          </cell>
          <cell r="AP92" t="str">
            <v>-</v>
          </cell>
        </row>
        <row r="93">
          <cell r="A93">
            <v>76</v>
          </cell>
          <cell r="B93">
            <v>0</v>
          </cell>
          <cell r="C93" t="str">
            <v>INFRASTRUKTUR</v>
          </cell>
          <cell r="D93">
            <v>1</v>
          </cell>
          <cell r="E93" t="str">
            <v>Kementerian Pekerjaan Umum dan Perumahan Rakyat</v>
          </cell>
          <cell r="F93" t="str">
            <v>Dam Development Program</v>
          </cell>
          <cell r="G93" t="str">
            <v>J</v>
          </cell>
          <cell r="H93" t="str">
            <v>Program Pembangunan Waduk</v>
          </cell>
          <cell r="I93">
            <v>11</v>
          </cell>
          <cell r="J93" t="str">
            <v>Additional Loan for Jatigede Dam Project 2</v>
          </cell>
          <cell r="O93">
            <v>1</v>
          </cell>
          <cell r="P93">
            <v>1</v>
          </cell>
          <cell r="Q93">
            <v>67</v>
          </cell>
          <cell r="R93">
            <v>53200000</v>
          </cell>
          <cell r="W93" t="str">
            <v>RRT</v>
          </cell>
          <cell r="Z93">
            <v>53200000</v>
          </cell>
          <cell r="AN93">
            <v>53200000</v>
          </cell>
          <cell r="AO93" t="str">
            <v>RRT</v>
          </cell>
          <cell r="AP93" t="str">
            <v>-</v>
          </cell>
        </row>
        <row r="94">
          <cell r="A94">
            <v>77</v>
          </cell>
          <cell r="B94">
            <v>0</v>
          </cell>
          <cell r="C94" t="str">
            <v>INFRASTRUKTUR</v>
          </cell>
          <cell r="D94">
            <v>1</v>
          </cell>
          <cell r="E94" t="str">
            <v>Kementerian Pekerjaan Umum dan Perumahan Rakyat</v>
          </cell>
          <cell r="F94" t="str">
            <v>Mitigation of Water Hazards Program</v>
          </cell>
          <cell r="G94" t="str">
            <v>K</v>
          </cell>
          <cell r="H94" t="str">
            <v>Program Mitigasi Terhadap Daya Rusak Air</v>
          </cell>
          <cell r="I94">
            <v>1</v>
          </cell>
          <cell r="J94" t="str">
            <v>Lower Solo River Improvement Project - Phase II</v>
          </cell>
          <cell r="O94">
            <v>1</v>
          </cell>
          <cell r="P94">
            <v>1</v>
          </cell>
          <cell r="Q94">
            <v>68</v>
          </cell>
          <cell r="R94">
            <v>155836000</v>
          </cell>
          <cell r="W94" t="str">
            <v>JICA</v>
          </cell>
          <cell r="Z94">
            <v>155836000</v>
          </cell>
          <cell r="AN94">
            <v>155836000</v>
          </cell>
          <cell r="AO94" t="str">
            <v>JICA</v>
          </cell>
          <cell r="AP94" t="str">
            <v>-</v>
          </cell>
        </row>
        <row r="95">
          <cell r="A95">
            <v>78</v>
          </cell>
          <cell r="B95">
            <v>0</v>
          </cell>
          <cell r="C95" t="str">
            <v>INFRASTRUKTUR</v>
          </cell>
          <cell r="D95">
            <v>1</v>
          </cell>
          <cell r="E95" t="str">
            <v>Kementerian Pekerjaan Umum dan Perumahan Rakyat</v>
          </cell>
          <cell r="F95" t="str">
            <v>Mitigation of Water Hazards Program</v>
          </cell>
          <cell r="G95" t="str">
            <v>K</v>
          </cell>
          <cell r="H95" t="str">
            <v>Program Mitigasi Terhadap Daya Rusak Air</v>
          </cell>
          <cell r="I95">
            <v>2</v>
          </cell>
          <cell r="J95" t="str">
            <v>Comprehensive Countermeasure for Sediment &amp; Flood Problems in South Sulawesi Province</v>
          </cell>
          <cell r="O95">
            <v>1</v>
          </cell>
          <cell r="P95">
            <v>1</v>
          </cell>
          <cell r="Q95">
            <v>69</v>
          </cell>
          <cell r="R95">
            <v>108100000</v>
          </cell>
          <cell r="W95" t="str">
            <v>JICA</v>
          </cell>
          <cell r="Z95">
            <v>108100000</v>
          </cell>
          <cell r="AN95">
            <v>108100000</v>
          </cell>
          <cell r="AO95" t="str">
            <v>JICA</v>
          </cell>
          <cell r="AP95" t="str">
            <v>-</v>
          </cell>
        </row>
        <row r="96">
          <cell r="A96">
            <v>79</v>
          </cell>
          <cell r="B96">
            <v>0</v>
          </cell>
          <cell r="C96" t="str">
            <v>INFRASTRUKTUR</v>
          </cell>
          <cell r="D96">
            <v>1</v>
          </cell>
          <cell r="E96" t="str">
            <v>Kementerian Pekerjaan Umum dan Perumahan Rakyat</v>
          </cell>
          <cell r="F96" t="str">
            <v>Mitigation of Water Hazards Program</v>
          </cell>
          <cell r="G96" t="str">
            <v>K</v>
          </cell>
          <cell r="H96" t="str">
            <v>Program Mitigasi Terhadap Daya Rusak Air</v>
          </cell>
          <cell r="I96">
            <v>3</v>
          </cell>
          <cell r="J96" t="str">
            <v>Bali Beach Conservation Project - Phase II</v>
          </cell>
          <cell r="O96">
            <v>1</v>
          </cell>
          <cell r="P96">
            <v>1</v>
          </cell>
          <cell r="Q96">
            <v>70</v>
          </cell>
          <cell r="R96">
            <v>150000000</v>
          </cell>
          <cell r="W96" t="str">
            <v>JICA</v>
          </cell>
          <cell r="Z96">
            <v>150000000</v>
          </cell>
          <cell r="AN96">
            <v>150000000</v>
          </cell>
          <cell r="AO96" t="str">
            <v>JICA</v>
          </cell>
          <cell r="AP96" t="str">
            <v>-</v>
          </cell>
        </row>
        <row r="97">
          <cell r="A97">
            <v>80</v>
          </cell>
          <cell r="B97">
            <v>0</v>
          </cell>
          <cell r="C97" t="str">
            <v>INFRASTRUKTUR</v>
          </cell>
          <cell r="D97">
            <v>1</v>
          </cell>
          <cell r="E97" t="str">
            <v>Kementerian Pekerjaan Umum dan Perumahan Rakyat</v>
          </cell>
          <cell r="F97" t="str">
            <v>Mitigation of Water Hazards Program</v>
          </cell>
          <cell r="G97" t="str">
            <v>K</v>
          </cell>
          <cell r="H97" t="str">
            <v>Program Mitigasi Terhadap Daya Rusak Air</v>
          </cell>
          <cell r="I97">
            <v>4</v>
          </cell>
          <cell r="J97" t="str">
            <v>Urgent Disaster Reduction of Mt. Sinabung, Mt. Semeru, Mt. Kelud Mt. Lokon, and Mt. Gamalama</v>
          </cell>
          <cell r="O97">
            <v>1</v>
          </cell>
          <cell r="P97">
            <v>1</v>
          </cell>
          <cell r="Q97">
            <v>71</v>
          </cell>
          <cell r="R97">
            <v>260000000</v>
          </cell>
          <cell r="W97" t="str">
            <v>JICA</v>
          </cell>
          <cell r="Z97">
            <v>260000000</v>
          </cell>
          <cell r="AN97">
            <v>260000000</v>
          </cell>
          <cell r="AO97" t="str">
            <v>JICA</v>
          </cell>
          <cell r="AP97" t="str">
            <v>-</v>
          </cell>
        </row>
        <row r="98">
          <cell r="A98">
            <v>81</v>
          </cell>
          <cell r="B98">
            <v>0</v>
          </cell>
          <cell r="C98" t="str">
            <v>INFRASTRUKTUR</v>
          </cell>
          <cell r="D98">
            <v>1</v>
          </cell>
          <cell r="E98" t="str">
            <v>Kementerian Pekerjaan Umum dan Perumahan Rakyat</v>
          </cell>
          <cell r="F98" t="str">
            <v>Mitigation of Water Hazards Program</v>
          </cell>
          <cell r="G98" t="str">
            <v>K</v>
          </cell>
          <cell r="H98" t="str">
            <v>Program Mitigasi Terhadap Daya Rusak Air</v>
          </cell>
          <cell r="I98">
            <v>5</v>
          </cell>
          <cell r="J98" t="str">
            <v>Urban Flood Control System Improvement in Selected Cities -Phase II</v>
          </cell>
          <cell r="O98">
            <v>1</v>
          </cell>
          <cell r="P98">
            <v>1</v>
          </cell>
          <cell r="Q98">
            <v>72</v>
          </cell>
          <cell r="R98">
            <v>120000000</v>
          </cell>
          <cell r="W98" t="str">
            <v>JICA</v>
          </cell>
          <cell r="Z98">
            <v>120000000</v>
          </cell>
          <cell r="AN98">
            <v>120000000</v>
          </cell>
          <cell r="AO98" t="str">
            <v>JICA</v>
          </cell>
          <cell r="AP98" t="str">
            <v>-</v>
          </cell>
        </row>
        <row r="99">
          <cell r="A99">
            <v>82</v>
          </cell>
          <cell r="B99">
            <v>0</v>
          </cell>
          <cell r="C99" t="str">
            <v>INFRASTRUKTUR</v>
          </cell>
          <cell r="D99">
            <v>1</v>
          </cell>
          <cell r="E99" t="str">
            <v>Kementerian Pekerjaan Umum dan Perumahan Rakyat</v>
          </cell>
          <cell r="F99" t="str">
            <v>Mitigation of Water Hazards Program</v>
          </cell>
          <cell r="G99" t="str">
            <v>K</v>
          </cell>
          <cell r="H99" t="str">
            <v>Program Mitigasi Terhadap Daya Rusak Air</v>
          </cell>
          <cell r="I99">
            <v>6</v>
          </cell>
          <cell r="J99" t="str">
            <v>Engineering Service for Coastal and River Development Project</v>
          </cell>
          <cell r="O99">
            <v>1</v>
          </cell>
          <cell r="P99">
            <v>1</v>
          </cell>
          <cell r="Q99">
            <v>73</v>
          </cell>
          <cell r="R99">
            <v>50000000</v>
          </cell>
          <cell r="W99" t="str">
            <v>ADB</v>
          </cell>
          <cell r="Z99">
            <v>50000000</v>
          </cell>
          <cell r="AN99">
            <v>50000000</v>
          </cell>
          <cell r="AO99" t="str">
            <v>ADB</v>
          </cell>
          <cell r="AP99" t="str">
            <v>masuk rolling plan EDCF (Korea)</v>
          </cell>
        </row>
        <row r="101">
          <cell r="A101">
            <v>83</v>
          </cell>
          <cell r="B101">
            <v>0</v>
          </cell>
          <cell r="C101" t="str">
            <v>INFRASTRUKTUR</v>
          </cell>
          <cell r="D101">
            <v>1</v>
          </cell>
          <cell r="E101" t="str">
            <v>Kementerian Pekerjaan Umum dan Perumahan Rakyat</v>
          </cell>
          <cell r="F101" t="str">
            <v>Mitigation of Water Hazards Program</v>
          </cell>
          <cell r="G101" t="str">
            <v>K</v>
          </cell>
          <cell r="H101" t="str">
            <v>Program Mitigasi Terhadap Daya Rusak Air</v>
          </cell>
          <cell r="I101">
            <v>7</v>
          </cell>
          <cell r="J101" t="str">
            <v>Flood Management in Selected River Basins Sector Project (Additional Financing)</v>
          </cell>
          <cell r="O101">
            <v>1</v>
          </cell>
          <cell r="P101">
            <v>1</v>
          </cell>
          <cell r="Q101">
            <v>74</v>
          </cell>
          <cell r="R101">
            <v>200000000</v>
          </cell>
          <cell r="W101" t="str">
            <v>Belum Ada Indikasi</v>
          </cell>
          <cell r="Z101">
            <v>200000000</v>
          </cell>
          <cell r="AN101">
            <v>200000000</v>
          </cell>
          <cell r="AO101" t="str">
            <v>ADB</v>
          </cell>
          <cell r="AP101" t="str">
            <v>sudah masuk COBP ADB</v>
          </cell>
        </row>
        <row r="102">
          <cell r="A102">
            <v>84</v>
          </cell>
          <cell r="B102">
            <v>0</v>
          </cell>
          <cell r="C102" t="str">
            <v>INFRASTRUKTUR</v>
          </cell>
          <cell r="D102">
            <v>1</v>
          </cell>
          <cell r="E102" t="str">
            <v>Kementerian Pekerjaan Umum dan Perumahan Rakyat</v>
          </cell>
          <cell r="F102" t="str">
            <v>Mitigation of Water Hazards Program</v>
          </cell>
          <cell r="G102" t="str">
            <v>K</v>
          </cell>
          <cell r="H102" t="str">
            <v>Program Mitigasi Terhadap Daya Rusak Air</v>
          </cell>
          <cell r="I102">
            <v>7</v>
          </cell>
          <cell r="J102" t="str">
            <v>Flood Management in Selected River Basins</v>
          </cell>
          <cell r="O102">
            <v>1</v>
          </cell>
          <cell r="P102">
            <v>1</v>
          </cell>
          <cell r="Q102">
            <v>75</v>
          </cell>
          <cell r="R102">
            <v>108700000</v>
          </cell>
          <cell r="W102" t="str">
            <v>ADB</v>
          </cell>
          <cell r="Z102">
            <v>108700000</v>
          </cell>
          <cell r="AN102">
            <v>108700000</v>
          </cell>
          <cell r="AO102" t="str">
            <v>ADB</v>
          </cell>
          <cell r="AP102" t="str">
            <v>-</v>
          </cell>
        </row>
        <row r="103">
          <cell r="A103">
            <v>85</v>
          </cell>
          <cell r="B103">
            <v>0</v>
          </cell>
          <cell r="C103" t="str">
            <v>INFRASTRUKTUR</v>
          </cell>
          <cell r="D103">
            <v>1</v>
          </cell>
          <cell r="E103" t="str">
            <v>Kementerian Pekerjaan Umum dan Perumahan Rakyat</v>
          </cell>
          <cell r="F103" t="str">
            <v>Management of Water Resources Infrastructure Program</v>
          </cell>
          <cell r="G103" t="str">
            <v>L</v>
          </cell>
          <cell r="H103" t="str">
            <v>Program Pengelolaan Infrastruktur Sumber Daya Air</v>
          </cell>
          <cell r="I103">
            <v>1</v>
          </cell>
          <cell r="J103" t="str">
            <v>Dam Operational Improvement and Safety Project (DOISP) - Phase II</v>
          </cell>
          <cell r="O103">
            <v>1</v>
          </cell>
          <cell r="P103">
            <v>1</v>
          </cell>
          <cell r="Q103">
            <v>76</v>
          </cell>
          <cell r="R103">
            <v>250000000</v>
          </cell>
          <cell r="W103" t="str">
            <v>Bank Dunia</v>
          </cell>
          <cell r="Z103">
            <v>250000000</v>
          </cell>
          <cell r="AN103">
            <v>250000000</v>
          </cell>
          <cell r="AO103" t="str">
            <v>Bank Dunia</v>
          </cell>
          <cell r="AP103" t="str">
            <v>-</v>
          </cell>
        </row>
        <row r="104">
          <cell r="A104">
            <v>86</v>
          </cell>
          <cell r="B104">
            <v>0</v>
          </cell>
          <cell r="C104" t="str">
            <v>INFRASTRUKTUR</v>
          </cell>
          <cell r="D104">
            <v>1</v>
          </cell>
          <cell r="E104" t="str">
            <v>Kementerian Pekerjaan Umum dan Perumahan Rakyat</v>
          </cell>
          <cell r="F104" t="str">
            <v>Management of Water Resources Infrastructure Program</v>
          </cell>
          <cell r="G104" t="str">
            <v>L</v>
          </cell>
          <cell r="H104" t="str">
            <v>Program Pengelolaan Infrastruktur Sumber Daya Air</v>
          </cell>
          <cell r="I104">
            <v>2</v>
          </cell>
          <cell r="J104" t="str">
            <v>Enhanced Water Security Investment Program</v>
          </cell>
          <cell r="O104">
            <v>1</v>
          </cell>
          <cell r="P104">
            <v>1</v>
          </cell>
          <cell r="Q104">
            <v>77</v>
          </cell>
          <cell r="R104">
            <v>350000000</v>
          </cell>
          <cell r="W104" t="str">
            <v>ADB</v>
          </cell>
          <cell r="Z104">
            <v>350000000</v>
          </cell>
          <cell r="AN104">
            <v>350000000</v>
          </cell>
          <cell r="AO104" t="str">
            <v>ADB</v>
          </cell>
          <cell r="AP104" t="str">
            <v>-</v>
          </cell>
        </row>
        <row r="105">
          <cell r="A105">
            <v>87</v>
          </cell>
          <cell r="B105">
            <v>0</v>
          </cell>
          <cell r="C105" t="str">
            <v>INFRASTRUKTUR</v>
          </cell>
          <cell r="D105">
            <v>1</v>
          </cell>
          <cell r="E105" t="str">
            <v>Kementerian Pekerjaan Umum dan Perumahan Rakyat</v>
          </cell>
          <cell r="F105" t="str">
            <v>Management of Water Resources Infrastructure Program</v>
          </cell>
          <cell r="G105" t="str">
            <v>L</v>
          </cell>
          <cell r="H105" t="str">
            <v>Program Pengelolaan Infrastruktur Sumber Daya Air</v>
          </cell>
          <cell r="I105">
            <v>3</v>
          </cell>
          <cell r="J105" t="str">
            <v>Engineering Service for Water Resources Infrastructure Management</v>
          </cell>
          <cell r="O105">
            <v>1</v>
          </cell>
          <cell r="P105">
            <v>1</v>
          </cell>
          <cell r="Q105">
            <v>78</v>
          </cell>
          <cell r="R105">
            <v>50000000</v>
          </cell>
          <cell r="W105" t="str">
            <v>Belum Ada Indikasi</v>
          </cell>
          <cell r="Z105">
            <v>50000000</v>
          </cell>
          <cell r="AN105">
            <v>50000000</v>
          </cell>
          <cell r="AO105" t="str">
            <v>ADB</v>
          </cell>
          <cell r="AP105" t="str">
            <v>sudah masuk COBP ADB</v>
          </cell>
        </row>
        <row r="106">
          <cell r="A106">
            <v>88</v>
          </cell>
          <cell r="B106">
            <v>0</v>
          </cell>
          <cell r="C106" t="str">
            <v>INFRASTRUKTUR</v>
          </cell>
          <cell r="D106">
            <v>1</v>
          </cell>
          <cell r="E106" t="str">
            <v>Kementerian Pekerjaan Umum dan Perumahan Rakyat</v>
          </cell>
          <cell r="F106" t="str">
            <v>Program for Provision of Housing For Low-Income Households</v>
          </cell>
          <cell r="G106" t="str">
            <v>M</v>
          </cell>
          <cell r="H106" t="str">
            <v>Program Penyediaaan Perumahan Bagi MBR</v>
          </cell>
          <cell r="I106">
            <v>1</v>
          </cell>
          <cell r="J106" t="str">
            <v>Financial Support for Low Income Households</v>
          </cell>
          <cell r="O106">
            <v>1</v>
          </cell>
          <cell r="P106">
            <v>1</v>
          </cell>
          <cell r="Q106">
            <v>79</v>
          </cell>
          <cell r="R106">
            <v>300000000</v>
          </cell>
          <cell r="W106" t="str">
            <v>Bank Dunia</v>
          </cell>
          <cell r="Z106">
            <v>300000000</v>
          </cell>
          <cell r="AN106">
            <v>300000000</v>
          </cell>
          <cell r="AO106" t="str">
            <v>Bank Dunia</v>
          </cell>
          <cell r="AP106" t="str">
            <v>-</v>
          </cell>
        </row>
        <row r="107">
          <cell r="A107">
            <v>89</v>
          </cell>
          <cell r="B107">
            <v>0</v>
          </cell>
          <cell r="C107" t="str">
            <v>INFRASTRUKTUR</v>
          </cell>
          <cell r="D107">
            <v>2</v>
          </cell>
          <cell r="E107" t="str">
            <v>PERUMNAS</v>
          </cell>
          <cell r="F107" t="str">
            <v>Program for Provision of Housing For Low-Income Households</v>
          </cell>
          <cell r="G107" t="str">
            <v>A</v>
          </cell>
          <cell r="H107" t="str">
            <v>Program Penyediaaan Perumahan Bagi MBR</v>
          </cell>
          <cell r="I107">
            <v>1</v>
          </cell>
          <cell r="J107" t="str">
            <v>Support for National Housing and Urban Development Cooperation</v>
          </cell>
          <cell r="O107">
            <v>1</v>
          </cell>
          <cell r="P107">
            <v>1</v>
          </cell>
          <cell r="Q107">
            <v>80</v>
          </cell>
          <cell r="R107">
            <v>200000000</v>
          </cell>
          <cell r="W107" t="str">
            <v>JICA</v>
          </cell>
          <cell r="Z107">
            <v>200000000</v>
          </cell>
          <cell r="AN107">
            <v>200000000</v>
          </cell>
          <cell r="AO107" t="str">
            <v>JICA</v>
          </cell>
          <cell r="AP107" t="str">
            <v>-</v>
          </cell>
        </row>
        <row r="108">
          <cell r="D108">
            <v>3</v>
          </cell>
          <cell r="E108" t="str">
            <v>Kementerian Perhubungan</v>
          </cell>
          <cell r="G108" t="str">
            <v>A</v>
          </cell>
          <cell r="H108" t="str">
            <v>Program Pengembangan Perkeretaapian</v>
          </cell>
        </row>
        <row r="109">
          <cell r="A109">
            <v>91</v>
          </cell>
          <cell r="B109">
            <v>0</v>
          </cell>
          <cell r="C109" t="str">
            <v>INFRASTRUKTUR</v>
          </cell>
          <cell r="D109">
            <v>3</v>
          </cell>
          <cell r="E109" t="str">
            <v>Kementerian Perhubungan</v>
          </cell>
          <cell r="F109" t="str">
            <v>Railway Development Program</v>
          </cell>
          <cell r="G109" t="str">
            <v>A</v>
          </cell>
          <cell r="H109" t="str">
            <v>Program Pengembangan Perkeretaapian</v>
          </cell>
          <cell r="I109">
            <v>1</v>
          </cell>
          <cell r="J109" t="str">
            <v>Procurement of Track Material and Turn Out - Phase II</v>
          </cell>
          <cell r="O109">
            <v>1</v>
          </cell>
          <cell r="P109">
            <v>1</v>
          </cell>
          <cell r="Q109">
            <v>81</v>
          </cell>
          <cell r="R109">
            <v>200000000</v>
          </cell>
          <cell r="W109" t="str">
            <v>RRT</v>
          </cell>
          <cell r="Z109">
            <v>200000000</v>
          </cell>
          <cell r="AN109">
            <v>200000000</v>
          </cell>
          <cell r="AO109" t="str">
            <v>RRT</v>
          </cell>
          <cell r="AP109" t="str">
            <v>-</v>
          </cell>
        </row>
        <row r="110">
          <cell r="A110">
            <v>92</v>
          </cell>
          <cell r="B110">
            <v>0</v>
          </cell>
          <cell r="C110" t="str">
            <v>INFRASTRUKTUR</v>
          </cell>
          <cell r="D110">
            <v>3</v>
          </cell>
          <cell r="E110" t="str">
            <v>Kementerian Perhubungan</v>
          </cell>
          <cell r="F110" t="str">
            <v>Railway Development Program</v>
          </cell>
          <cell r="G110" t="str">
            <v>A</v>
          </cell>
          <cell r="H110" t="str">
            <v>Program Pengembangan Perkeretaapian</v>
          </cell>
          <cell r="I110">
            <v>1</v>
          </cell>
          <cell r="J110" t="str">
            <v>Procurement of Track Material and Turn Out - Phase III</v>
          </cell>
          <cell r="O110">
            <v>1</v>
          </cell>
          <cell r="P110">
            <v>1</v>
          </cell>
          <cell r="Q110">
            <v>82</v>
          </cell>
          <cell r="R110">
            <v>292336700</v>
          </cell>
          <cell r="W110" t="str">
            <v>Belum Ada Indikasi</v>
          </cell>
          <cell r="Z110">
            <v>292336700</v>
          </cell>
          <cell r="AN110">
            <v>292336700</v>
          </cell>
          <cell r="AO110" t="str">
            <v>Belum Ada Indikasi</v>
          </cell>
          <cell r="AP110" t="str">
            <v>-</v>
          </cell>
        </row>
        <row r="111">
          <cell r="A111">
            <v>93</v>
          </cell>
          <cell r="B111">
            <v>0</v>
          </cell>
          <cell r="C111" t="str">
            <v>INFRASTRUKTUR</v>
          </cell>
          <cell r="D111">
            <v>3</v>
          </cell>
          <cell r="E111" t="str">
            <v>Kementerian Perhubungan</v>
          </cell>
          <cell r="F111" t="str">
            <v>Railway Development Program</v>
          </cell>
          <cell r="G111" t="str">
            <v>A</v>
          </cell>
          <cell r="H111" t="str">
            <v>Program Pengembangan Perkeretaapian</v>
          </cell>
          <cell r="I111">
            <v>2</v>
          </cell>
          <cell r="J111" t="str">
            <v>Construction of Jakarta Mass Rapid Transit Project - Phase II</v>
          </cell>
          <cell r="O111">
            <v>1</v>
          </cell>
          <cell r="P111">
            <v>1</v>
          </cell>
          <cell r="Q111">
            <v>83</v>
          </cell>
          <cell r="R111">
            <v>1678000000</v>
          </cell>
          <cell r="W111" t="str">
            <v>JICA</v>
          </cell>
          <cell r="Z111">
            <v>1678000000</v>
          </cell>
          <cell r="AN111">
            <v>1678000000</v>
          </cell>
          <cell r="AO111" t="str">
            <v>JICA</v>
          </cell>
          <cell r="AP111" t="str">
            <v>-</v>
          </cell>
        </row>
        <row r="112">
          <cell r="A112">
            <v>94</v>
          </cell>
          <cell r="B112">
            <v>0</v>
          </cell>
          <cell r="C112" t="str">
            <v>INFRASTRUKTUR</v>
          </cell>
          <cell r="D112">
            <v>3</v>
          </cell>
          <cell r="E112" t="str">
            <v>Kementerian Perhubungan</v>
          </cell>
          <cell r="F112" t="str">
            <v>Railway Development Program</v>
          </cell>
          <cell r="G112" t="str">
            <v>A</v>
          </cell>
          <cell r="H112" t="str">
            <v>Program Pengembangan Perkeretaapian</v>
          </cell>
          <cell r="I112">
            <v>3</v>
          </cell>
          <cell r="J112" t="str">
            <v>Construction of Jakarta Mass Rapid Transit East-West Line Project - Phase I</v>
          </cell>
          <cell r="O112">
            <v>1</v>
          </cell>
          <cell r="P112">
            <v>1</v>
          </cell>
          <cell r="Q112">
            <v>84</v>
          </cell>
          <cell r="R112">
            <v>3572000000</v>
          </cell>
          <cell r="W112" t="str">
            <v>JICA</v>
          </cell>
          <cell r="Z112">
            <v>3572000000</v>
          </cell>
          <cell r="AN112">
            <v>3572000000</v>
          </cell>
          <cell r="AO112" t="str">
            <v>JICA</v>
          </cell>
          <cell r="AP112" t="str">
            <v>-</v>
          </cell>
        </row>
        <row r="113">
          <cell r="A113">
            <v>95</v>
          </cell>
          <cell r="B113">
            <v>0</v>
          </cell>
          <cell r="C113" t="str">
            <v>INFRASTRUKTUR</v>
          </cell>
          <cell r="D113">
            <v>3</v>
          </cell>
          <cell r="E113" t="str">
            <v>Kementerian Perhubungan</v>
          </cell>
          <cell r="F113" t="str">
            <v>Railway Development Program</v>
          </cell>
          <cell r="G113" t="str">
            <v>A</v>
          </cell>
          <cell r="H113" t="str">
            <v>Program Pengembangan Perkeretaapian</v>
          </cell>
          <cell r="I113">
            <v>4</v>
          </cell>
          <cell r="J113" t="str">
            <v>Engineering Services Jakarta Mass Rapid Transit (MRT) East West Line Project - Phase I</v>
          </cell>
          <cell r="O113">
            <v>1</v>
          </cell>
          <cell r="P113">
            <v>1</v>
          </cell>
          <cell r="Q113">
            <v>86</v>
          </cell>
          <cell r="R113">
            <v>23000000</v>
          </cell>
          <cell r="W113" t="str">
            <v>JICA</v>
          </cell>
          <cell r="Z113">
            <v>23000000</v>
          </cell>
          <cell r="AN113">
            <v>23000000</v>
          </cell>
          <cell r="AO113" t="str">
            <v>JICA</v>
          </cell>
          <cell r="AP113" t="str">
            <v>-</v>
          </cell>
        </row>
        <row r="114">
          <cell r="A114">
            <v>96</v>
          </cell>
          <cell r="B114">
            <v>0</v>
          </cell>
          <cell r="C114" t="str">
            <v>INFRASTRUKTUR</v>
          </cell>
          <cell r="D114">
            <v>4</v>
          </cell>
          <cell r="E114" t="str">
            <v>Pemprov. DKI Jakarta</v>
          </cell>
          <cell r="F114" t="str">
            <v>Railway Development Program</v>
          </cell>
          <cell r="G114" t="str">
            <v>A</v>
          </cell>
          <cell r="H114" t="str">
            <v>Program Pengembangan Perkeretaapian</v>
          </cell>
          <cell r="I114">
            <v>1</v>
          </cell>
          <cell r="O114">
            <v>1</v>
          </cell>
          <cell r="P114">
            <v>1</v>
          </cell>
          <cell r="Q114">
            <v>85</v>
          </cell>
          <cell r="R114">
            <v>1050000000</v>
          </cell>
          <cell r="W114" t="str">
            <v>JICA</v>
          </cell>
          <cell r="Z114">
            <v>1050000000</v>
          </cell>
          <cell r="AN114">
            <v>1050000000</v>
          </cell>
          <cell r="AO114" t="str">
            <v>JICA</v>
          </cell>
          <cell r="AP114" t="str">
            <v>-</v>
          </cell>
        </row>
        <row r="115">
          <cell r="A115">
            <v>97</v>
          </cell>
          <cell r="B115">
            <v>0</v>
          </cell>
          <cell r="C115" t="str">
            <v>INFRASTRUKTUR</v>
          </cell>
          <cell r="D115">
            <v>5</v>
          </cell>
          <cell r="E115" t="str">
            <v>Kementerian Komunikasi dan Informatika</v>
          </cell>
          <cell r="F115" t="str">
            <v>Information Communication And Technology (ICT) And Broadcasting Infrastructure Development Program</v>
          </cell>
          <cell r="G115" t="str">
            <v>A</v>
          </cell>
          <cell r="H115" t="str">
            <v>Program Pengembangan Infrastruktur TIK dan Penyiaran</v>
          </cell>
          <cell r="I115">
            <v>1</v>
          </cell>
          <cell r="J115" t="str">
            <v>Improvement on TV Transmitting Stations (Digitalization of TVRI) - Phase III</v>
          </cell>
          <cell r="O115">
            <v>1</v>
          </cell>
          <cell r="P115">
            <v>1</v>
          </cell>
          <cell r="Q115">
            <v>87</v>
          </cell>
          <cell r="R115">
            <v>411000000</v>
          </cell>
          <cell r="W115" t="str">
            <v>Belum Ada Indikasi</v>
          </cell>
          <cell r="Z115">
            <v>411000000</v>
          </cell>
          <cell r="AN115">
            <v>411000000</v>
          </cell>
          <cell r="AO115" t="str">
            <v>Belum Ada Indikasi</v>
          </cell>
          <cell r="AP115" t="str">
            <v>-</v>
          </cell>
        </row>
        <row r="116">
          <cell r="A116">
            <v>98</v>
          </cell>
          <cell r="B116">
            <v>0</v>
          </cell>
          <cell r="C116" t="str">
            <v>INFRASTRUKTUR</v>
          </cell>
          <cell r="D116">
            <v>5</v>
          </cell>
          <cell r="E116" t="str">
            <v>Kementerian Komunikasi dan Informatika</v>
          </cell>
          <cell r="F116" t="str">
            <v>Information Communication And Technology (ICT) And Broadcasting Infrastructure Development Program</v>
          </cell>
          <cell r="G116" t="str">
            <v>A</v>
          </cell>
          <cell r="H116" t="str">
            <v>Program Pengembangan Infrastruktur TIK dan Penyiaran</v>
          </cell>
          <cell r="I116">
            <v>2</v>
          </cell>
          <cell r="J116" t="str">
            <v>Strengthening of e-Government Infrastructure</v>
          </cell>
          <cell r="O116">
            <v>1</v>
          </cell>
          <cell r="P116">
            <v>1</v>
          </cell>
          <cell r="Q116">
            <v>88</v>
          </cell>
          <cell r="R116">
            <v>145000000</v>
          </cell>
          <cell r="W116" t="str">
            <v>Korea</v>
          </cell>
          <cell r="Z116">
            <v>145000000</v>
          </cell>
          <cell r="AN116">
            <v>145000000</v>
          </cell>
          <cell r="AO116" t="str">
            <v>Korea</v>
          </cell>
          <cell r="AP116" t="str">
            <v>masuk rolling plan EDCF (Korea)</v>
          </cell>
        </row>
        <row r="117">
          <cell r="A117">
            <v>99</v>
          </cell>
          <cell r="B117">
            <v>0</v>
          </cell>
          <cell r="C117" t="str">
            <v>INFRASTRUKTUR</v>
          </cell>
          <cell r="D117">
            <v>5</v>
          </cell>
          <cell r="E117" t="str">
            <v>Kementerian Komunikasi dan Informatika</v>
          </cell>
          <cell r="F117" t="str">
            <v>Information Communication And Technology (ICT) And Broadcasting Infrastructure Development Program</v>
          </cell>
          <cell r="G117" t="str">
            <v>A</v>
          </cell>
          <cell r="H117" t="str">
            <v>Program Pengembangan Infrastruktur TIK dan Penyiaran</v>
          </cell>
          <cell r="I117">
            <v>3</v>
          </cell>
          <cell r="J117" t="str">
            <v>National Fiber Optic Backbone (Palapa Ring)</v>
          </cell>
          <cell r="O117">
            <v>1</v>
          </cell>
          <cell r="P117">
            <v>1</v>
          </cell>
          <cell r="Q117">
            <v>89</v>
          </cell>
          <cell r="R117">
            <v>500000000</v>
          </cell>
          <cell r="W117" t="str">
            <v>KPS</v>
          </cell>
          <cell r="Z117">
            <v>500000000</v>
          </cell>
          <cell r="AN117">
            <v>500000000</v>
          </cell>
          <cell r="AO117" t="str">
            <v>KPS</v>
          </cell>
          <cell r="AP117" t="str">
            <v>-</v>
          </cell>
        </row>
        <row r="118">
          <cell r="A118">
            <v>100</v>
          </cell>
          <cell r="B118">
            <v>0</v>
          </cell>
          <cell r="C118" t="str">
            <v>INFRASTRUKTUR</v>
          </cell>
          <cell r="D118">
            <v>6</v>
          </cell>
          <cell r="E118" t="str">
            <v>Kepolisian RI</v>
          </cell>
          <cell r="F118" t="str">
            <v>Information Communication And Technology (ICT) And Broadcasting Infrastructure Development Program</v>
          </cell>
          <cell r="G118" t="str">
            <v>A</v>
          </cell>
          <cell r="H118" t="str">
            <v>Program Pengembangan Infrastruktur TIK dan Penyiaran</v>
          </cell>
          <cell r="I118">
            <v>1</v>
          </cell>
          <cell r="O118">
            <v>1</v>
          </cell>
          <cell r="P118">
            <v>1</v>
          </cell>
          <cell r="Q118">
            <v>90</v>
          </cell>
          <cell r="R118">
            <v>20000000</v>
          </cell>
          <cell r="W118" t="str">
            <v>Korea</v>
          </cell>
          <cell r="Z118">
            <v>20000000</v>
          </cell>
          <cell r="AN118">
            <v>20000000</v>
          </cell>
          <cell r="AO118" t="str">
            <v>Korea</v>
          </cell>
          <cell r="AP118" t="str">
            <v>masuk rolling plan EDCF (Korea)</v>
          </cell>
        </row>
        <row r="119">
          <cell r="D119">
            <v>7</v>
          </cell>
          <cell r="E119" t="str">
            <v>PT. PLN</v>
          </cell>
          <cell r="G119" t="str">
            <v>A</v>
          </cell>
          <cell r="H119" t="str">
            <v>Program Pembangunan Infrastruktur Ketenagalistrikan</v>
          </cell>
        </row>
        <row r="120">
          <cell r="A120">
            <v>102</v>
          </cell>
          <cell r="B120">
            <v>0</v>
          </cell>
          <cell r="C120" t="str">
            <v>INFRASTRUKTUR</v>
          </cell>
          <cell r="D120">
            <v>7</v>
          </cell>
          <cell r="E120" t="str">
            <v>PT. PLN</v>
          </cell>
          <cell r="F120" t="str">
            <v>Electricity Infrastructure Development Program</v>
          </cell>
          <cell r="G120" t="str">
            <v>A</v>
          </cell>
          <cell r="H120" t="str">
            <v>Program Pembangunan Infrastruktur Ketenagalistrikan</v>
          </cell>
          <cell r="I120">
            <v>1</v>
          </cell>
          <cell r="J120" t="str">
            <v>Java-Sumatera Interconnection Transmission Line (HVDC) 500 kV (Phase II)</v>
          </cell>
          <cell r="O120">
            <v>1</v>
          </cell>
          <cell r="P120">
            <v>1</v>
          </cell>
          <cell r="Q120">
            <v>91</v>
          </cell>
          <cell r="R120">
            <v>629000000</v>
          </cell>
          <cell r="W120" t="str">
            <v>JICA</v>
          </cell>
          <cell r="Z120">
            <v>629000000</v>
          </cell>
          <cell r="AN120">
            <v>629000000</v>
          </cell>
          <cell r="AO120" t="str">
            <v>JICA</v>
          </cell>
          <cell r="AP120" t="str">
            <v>-</v>
          </cell>
        </row>
        <row r="121">
          <cell r="A121">
            <v>103</v>
          </cell>
          <cell r="B121">
            <v>0</v>
          </cell>
          <cell r="C121" t="str">
            <v>INFRASTRUKTUR</v>
          </cell>
          <cell r="D121">
            <v>7</v>
          </cell>
          <cell r="E121" t="str">
            <v>PT. PLN</v>
          </cell>
          <cell r="F121" t="str">
            <v>Electricity Infrastructure Development Program</v>
          </cell>
          <cell r="G121" t="str">
            <v>A</v>
          </cell>
          <cell r="H121" t="str">
            <v>Program Pembangunan Infrastruktur Ketenagalistrikan</v>
          </cell>
          <cell r="I121">
            <v>1</v>
          </cell>
          <cell r="J121" t="str">
            <v>Construction of Java Sumatera Interconnection 500 kV (HVDC-Phase 3 &amp; 4)</v>
          </cell>
          <cell r="O121">
            <v>1</v>
          </cell>
          <cell r="P121">
            <v>1</v>
          </cell>
          <cell r="Q121">
            <v>92</v>
          </cell>
          <cell r="R121">
            <v>933000000</v>
          </cell>
          <cell r="W121" t="str">
            <v>JICA</v>
          </cell>
          <cell r="Z121">
            <v>933000000</v>
          </cell>
          <cell r="AN121">
            <v>933000000</v>
          </cell>
          <cell r="AO121" t="str">
            <v>JICA</v>
          </cell>
          <cell r="AP121" t="str">
            <v>-</v>
          </cell>
        </row>
        <row r="123">
          <cell r="A123">
            <v>105</v>
          </cell>
          <cell r="B123">
            <v>0</v>
          </cell>
          <cell r="C123" t="str">
            <v>INFRASTRUKTUR</v>
          </cell>
          <cell r="D123">
            <v>7</v>
          </cell>
          <cell r="E123" t="str">
            <v>PT. PLN</v>
          </cell>
          <cell r="F123" t="str">
            <v>Electricity Infrastructure Development Program</v>
          </cell>
          <cell r="G123" t="str">
            <v>A</v>
          </cell>
          <cell r="H123" t="str">
            <v>Program Pembangunan Infrastruktur Ketenagalistrikan</v>
          </cell>
          <cell r="I123">
            <v>2</v>
          </cell>
          <cell r="J123" t="str">
            <v>Engineering Service for Hululais 1&amp;2 Geothermal Power Plant Project (2x55 MW</v>
          </cell>
          <cell r="O123">
            <v>1</v>
          </cell>
          <cell r="P123">
            <v>1</v>
          </cell>
          <cell r="Q123">
            <v>93</v>
          </cell>
          <cell r="R123">
            <v>6600000</v>
          </cell>
          <cell r="W123" t="str">
            <v>JICA</v>
          </cell>
          <cell r="Z123">
            <v>6600000</v>
          </cell>
          <cell r="AN123">
            <v>6600000</v>
          </cell>
          <cell r="AO123" t="str">
            <v>JICA</v>
          </cell>
          <cell r="AP123" t="str">
            <v>-</v>
          </cell>
        </row>
        <row r="124">
          <cell r="A124">
            <v>106</v>
          </cell>
          <cell r="B124">
            <v>0</v>
          </cell>
          <cell r="C124" t="str">
            <v>INFRASTRUKTUR</v>
          </cell>
          <cell r="D124">
            <v>7</v>
          </cell>
          <cell r="E124" t="str">
            <v>PT. PLN</v>
          </cell>
          <cell r="F124" t="str">
            <v>Electricity Infrastructure Development Program</v>
          </cell>
          <cell r="G124" t="str">
            <v>A</v>
          </cell>
          <cell r="H124" t="str">
            <v>Program Pembangunan Infrastruktur Ketenagalistrikan</v>
          </cell>
          <cell r="I124">
            <v>2</v>
          </cell>
          <cell r="J124" t="str">
            <v>Hululais Geothermal Power Plant</v>
          </cell>
          <cell r="O124">
            <v>1</v>
          </cell>
          <cell r="P124">
            <v>1</v>
          </cell>
          <cell r="Q124">
            <v>94</v>
          </cell>
          <cell r="R124">
            <v>204000000</v>
          </cell>
          <cell r="W124" t="str">
            <v>JICA</v>
          </cell>
          <cell r="Z124">
            <v>204000000</v>
          </cell>
          <cell r="AN124">
            <v>204000000</v>
          </cell>
          <cell r="AO124" t="str">
            <v>JICA</v>
          </cell>
          <cell r="AP124" t="str">
            <v>-</v>
          </cell>
        </row>
        <row r="125">
          <cell r="A125">
            <v>107</v>
          </cell>
          <cell r="B125">
            <v>0</v>
          </cell>
          <cell r="C125" t="str">
            <v>INFRASTRUKTUR</v>
          </cell>
          <cell r="D125">
            <v>7</v>
          </cell>
          <cell r="E125" t="str">
            <v>PT. PLN</v>
          </cell>
          <cell r="F125" t="str">
            <v>Electricity Infrastructure Development Program</v>
          </cell>
          <cell r="G125" t="str">
            <v>A</v>
          </cell>
          <cell r="H125" t="str">
            <v>Program Pembangunan Infrastruktur Ketenagalistrikan</v>
          </cell>
          <cell r="I125">
            <v>3</v>
          </cell>
          <cell r="J125" t="str">
            <v>Bakaru II Hydro Electrical Power Plant (2x63MW)</v>
          </cell>
          <cell r="O125">
            <v>1</v>
          </cell>
          <cell r="P125">
            <v>1</v>
          </cell>
          <cell r="Q125">
            <v>95</v>
          </cell>
          <cell r="R125">
            <v>280000000</v>
          </cell>
          <cell r="W125" t="str">
            <v>Jerman (KfW)</v>
          </cell>
          <cell r="Z125">
            <v>280000000</v>
          </cell>
          <cell r="AN125">
            <v>280000000</v>
          </cell>
          <cell r="AO125" t="str">
            <v>Jerman (KfW)</v>
          </cell>
          <cell r="AP125" t="str">
            <v>-</v>
          </cell>
        </row>
        <row r="126">
          <cell r="A126">
            <v>108</v>
          </cell>
          <cell r="B126">
            <v>0</v>
          </cell>
          <cell r="C126" t="str">
            <v>INFRASTRUKTUR</v>
          </cell>
          <cell r="D126">
            <v>7</v>
          </cell>
          <cell r="E126" t="str">
            <v>PT. PLN</v>
          </cell>
          <cell r="F126" t="str">
            <v>Electricity Infrastructure Development Program</v>
          </cell>
          <cell r="G126" t="str">
            <v>A</v>
          </cell>
          <cell r="H126" t="str">
            <v>Program Pembangunan Infrastruktur Ketenagalistrikan</v>
          </cell>
          <cell r="I126">
            <v>4</v>
          </cell>
          <cell r="J126" t="str">
            <v>Tulehu Geothermal Power Plant Project Unit 1&amp;2 (2x10MW)</v>
          </cell>
          <cell r="O126">
            <v>1</v>
          </cell>
          <cell r="P126">
            <v>1</v>
          </cell>
          <cell r="Q126">
            <v>96</v>
          </cell>
          <cell r="R126">
            <v>104000000</v>
          </cell>
          <cell r="W126" t="str">
            <v>JICA</v>
          </cell>
          <cell r="Z126">
            <v>104000000</v>
          </cell>
          <cell r="AN126">
            <v>104000000</v>
          </cell>
          <cell r="AO126" t="str">
            <v>JICA</v>
          </cell>
          <cell r="AP126" t="str">
            <v>-</v>
          </cell>
        </row>
        <row r="127">
          <cell r="A127">
            <v>109</v>
          </cell>
          <cell r="B127">
            <v>0</v>
          </cell>
          <cell r="C127" t="str">
            <v>INFRASTRUKTUR</v>
          </cell>
          <cell r="D127">
            <v>7</v>
          </cell>
          <cell r="E127" t="str">
            <v>PT. PLN</v>
          </cell>
          <cell r="F127" t="str">
            <v>Electricity Infrastructure Development Program</v>
          </cell>
          <cell r="G127" t="str">
            <v>A</v>
          </cell>
          <cell r="H127" t="str">
            <v>Program Pembangunan Infrastruktur Ketenagalistrikan</v>
          </cell>
          <cell r="I127">
            <v>5</v>
          </cell>
          <cell r="J127" t="str">
            <v>Indramayu Coal Fired Power Plant  #4 (1x1000MW)</v>
          </cell>
          <cell r="O127">
            <v>1</v>
          </cell>
          <cell r="P127">
            <v>1</v>
          </cell>
          <cell r="Q127">
            <v>97</v>
          </cell>
          <cell r="R127">
            <v>1845000000</v>
          </cell>
          <cell r="W127" t="str">
            <v>JICA</v>
          </cell>
          <cell r="Z127">
            <v>1845000000</v>
          </cell>
          <cell r="AN127">
            <v>1845000000</v>
          </cell>
          <cell r="AO127" t="str">
            <v>JICA</v>
          </cell>
          <cell r="AP127" t="str">
            <v>-</v>
          </cell>
        </row>
        <row r="128">
          <cell r="A128">
            <v>110</v>
          </cell>
          <cell r="B128">
            <v>0</v>
          </cell>
          <cell r="C128" t="str">
            <v>INFRASTRUKTUR</v>
          </cell>
          <cell r="D128">
            <v>7</v>
          </cell>
          <cell r="E128" t="str">
            <v>PT. PLN</v>
          </cell>
          <cell r="F128" t="str">
            <v>Electricity Infrastructure Development Program</v>
          </cell>
          <cell r="G128" t="str">
            <v>A</v>
          </cell>
          <cell r="H128" t="str">
            <v>Program Pembangunan Infrastruktur Ketenagalistrikan</v>
          </cell>
          <cell r="I128">
            <v>6</v>
          </cell>
          <cell r="J128" t="str">
            <v>Additional Loan for Upper Cisokan Pumped Storage Hydro Electrical Power Plant (4x260MW)</v>
          </cell>
          <cell r="O128">
            <v>1</v>
          </cell>
          <cell r="P128">
            <v>1</v>
          </cell>
          <cell r="Q128">
            <v>98</v>
          </cell>
          <cell r="R128">
            <v>200000000</v>
          </cell>
          <cell r="W128" t="str">
            <v>Bank Dunia</v>
          </cell>
          <cell r="Z128">
            <v>200000000</v>
          </cell>
          <cell r="AN128">
            <v>200000000</v>
          </cell>
          <cell r="AO128" t="str">
            <v>Bank Dunia</v>
          </cell>
          <cell r="AP128" t="str">
            <v>-</v>
          </cell>
        </row>
        <row r="129">
          <cell r="A129">
            <v>111</v>
          </cell>
          <cell r="B129">
            <v>0</v>
          </cell>
          <cell r="C129" t="str">
            <v>INFRASTRUKTUR</v>
          </cell>
          <cell r="D129">
            <v>7</v>
          </cell>
          <cell r="E129" t="str">
            <v>PT. PLN</v>
          </cell>
          <cell r="F129" t="str">
            <v>Electricity Infrastructure Development Program</v>
          </cell>
          <cell r="G129" t="str">
            <v>A</v>
          </cell>
          <cell r="H129" t="str">
            <v>Program Pembangunan Infrastruktur Ketenagalistrikan</v>
          </cell>
          <cell r="I129">
            <v>7</v>
          </cell>
          <cell r="J129" t="str">
            <v>Sungai Penuh Geothermal Power Plant 1&amp;2 (2x55MW)</v>
          </cell>
          <cell r="O129">
            <v>1</v>
          </cell>
          <cell r="P129">
            <v>1</v>
          </cell>
          <cell r="Q129">
            <v>99</v>
          </cell>
          <cell r="R129">
            <v>205000000</v>
          </cell>
          <cell r="W129" t="str">
            <v>ADB</v>
          </cell>
          <cell r="Z129">
            <v>205000000</v>
          </cell>
          <cell r="AN129">
            <v>205000000</v>
          </cell>
          <cell r="AO129" t="str">
            <v>ADB</v>
          </cell>
          <cell r="AP129" t="str">
            <v>-</v>
          </cell>
        </row>
        <row r="130">
          <cell r="A130">
            <v>112</v>
          </cell>
          <cell r="B130">
            <v>0</v>
          </cell>
          <cell r="C130" t="str">
            <v>INFRASTRUKTUR</v>
          </cell>
          <cell r="D130">
            <v>7</v>
          </cell>
          <cell r="E130" t="str">
            <v>PT. PLN</v>
          </cell>
          <cell r="F130" t="str">
            <v>Electricity Infrastructure Development Program</v>
          </cell>
          <cell r="G130" t="str">
            <v>A</v>
          </cell>
          <cell r="H130" t="str">
            <v>Program Pembangunan Infrastruktur Ketenagalistrikan</v>
          </cell>
          <cell r="I130">
            <v>8</v>
          </cell>
          <cell r="J130" t="str">
            <v>Matenggeng Pumped Storage Hydro Electrical Power Plant (4x225MW)</v>
          </cell>
          <cell r="O130">
            <v>1</v>
          </cell>
          <cell r="P130">
            <v>1</v>
          </cell>
          <cell r="Q130">
            <v>100</v>
          </cell>
          <cell r="R130">
            <v>500000000</v>
          </cell>
          <cell r="W130" t="str">
            <v>Bank Dunia</v>
          </cell>
          <cell r="Z130">
            <v>500000000</v>
          </cell>
          <cell r="AN130">
            <v>500000000</v>
          </cell>
          <cell r="AO130" t="str">
            <v>Bank Dunia</v>
          </cell>
          <cell r="AP130" t="str">
            <v>-</v>
          </cell>
        </row>
        <row r="131">
          <cell r="B131" t="str">
            <v>II</v>
          </cell>
          <cell r="C131" t="str">
            <v>NON-INFRASTRUKTUR</v>
          </cell>
          <cell r="D131">
            <v>8</v>
          </cell>
          <cell r="E131" t="str">
            <v>Kementerian Riset, Teknologi, dan Pendidikan Tinggi</v>
          </cell>
          <cell r="G131" t="str">
            <v>A</v>
          </cell>
          <cell r="H131" t="str">
            <v>Program Peningkatan Akses, Kualitas, Relevansi, dan Daya Saing Pendidikan Tinggi</v>
          </cell>
        </row>
        <row r="132">
          <cell r="A132">
            <v>114</v>
          </cell>
          <cell r="B132">
            <v>0</v>
          </cell>
          <cell r="C132" t="str">
            <v>NON-INFRASTRUKTUR</v>
          </cell>
          <cell r="D132">
            <v>8</v>
          </cell>
          <cell r="E132" t="str">
            <v>Kementerian Riset, Teknologi, dan Pendidikan Tinggi</v>
          </cell>
          <cell r="F132" t="str">
            <v>Improving Access, Quality, Relevance, and Competitiveness of Higher Education Program</v>
          </cell>
          <cell r="G132" t="str">
            <v>A</v>
          </cell>
          <cell r="H132" t="str">
            <v>Program Peningkatan Akses, Kualitas, Relevansi, dan Daya Saing Pendidikan Tinggi</v>
          </cell>
          <cell r="I132">
            <v>1</v>
          </cell>
          <cell r="J132" t="str">
            <v>The Development of Sultan Ageng Tirtayasa University (UNTIRTA)</v>
          </cell>
          <cell r="O132">
            <v>0.14285714285714299</v>
          </cell>
          <cell r="P132">
            <v>0</v>
          </cell>
          <cell r="Q132">
            <v>0</v>
          </cell>
          <cell r="R132">
            <v>49882300</v>
          </cell>
          <cell r="W132" t="str">
            <v>IDB</v>
          </cell>
          <cell r="Z132">
            <v>49882300</v>
          </cell>
          <cell r="AN132">
            <v>49882300</v>
          </cell>
          <cell r="AO132" t="str">
            <v>IDB</v>
          </cell>
          <cell r="AP132" t="str">
            <v>-</v>
          </cell>
        </row>
        <row r="133">
          <cell r="A133">
            <v>115</v>
          </cell>
          <cell r="B133">
            <v>0</v>
          </cell>
          <cell r="C133" t="str">
            <v>NON-INFRASTRUKTUR</v>
          </cell>
          <cell r="D133">
            <v>8</v>
          </cell>
          <cell r="E133" t="str">
            <v>Kementerian Riset, Teknologi, dan Pendidikan Tinggi</v>
          </cell>
          <cell r="F133" t="str">
            <v>Improving Access, Quality, Relevance, and Competitiveness of Higher Education Program</v>
          </cell>
          <cell r="G133" t="str">
            <v>A</v>
          </cell>
          <cell r="H133" t="str">
            <v>Program Peningkatan Akses, Kualitas, Relevansi, dan Daya Saing Pendidikan Tinggi</v>
          </cell>
          <cell r="I133">
            <v>1</v>
          </cell>
          <cell r="J133" t="str">
            <v>Development for State University of Malang as The Learning University</v>
          </cell>
          <cell r="O133">
            <v>0.14285714285714299</v>
          </cell>
          <cell r="P133">
            <v>0</v>
          </cell>
          <cell r="Q133">
            <v>0</v>
          </cell>
          <cell r="R133">
            <v>38400000</v>
          </cell>
          <cell r="W133" t="str">
            <v>IDB</v>
          </cell>
          <cell r="Z133">
            <v>38400000</v>
          </cell>
          <cell r="AN133">
            <v>38400000</v>
          </cell>
          <cell r="AO133" t="str">
            <v>IDB</v>
          </cell>
          <cell r="AP133" t="str">
            <v>-</v>
          </cell>
        </row>
        <row r="134">
          <cell r="A134">
            <v>116</v>
          </cell>
          <cell r="B134">
            <v>0</v>
          </cell>
          <cell r="C134" t="str">
            <v>NON-INFRASTRUKTUR</v>
          </cell>
          <cell r="D134">
            <v>8</v>
          </cell>
          <cell r="E134" t="str">
            <v>Kementerian Riset, Teknologi, dan Pendidikan Tinggi</v>
          </cell>
          <cell r="F134" t="str">
            <v>Improving Access, Quality, Relevance, and Competitiveness of Higher Education Program</v>
          </cell>
          <cell r="G134" t="str">
            <v>A</v>
          </cell>
          <cell r="H134" t="str">
            <v>Program Peningkatan Akses, Kualitas, Relevansi, dan Daya Saing Pendidikan Tinggi</v>
          </cell>
          <cell r="I134">
            <v>1</v>
          </cell>
          <cell r="J134" t="str">
            <v>The Development and Upgrading Mulawarman University</v>
          </cell>
          <cell r="O134">
            <v>0.14285714285714299</v>
          </cell>
          <cell r="P134">
            <v>0</v>
          </cell>
          <cell r="Q134">
            <v>0</v>
          </cell>
          <cell r="R134">
            <v>44400000</v>
          </cell>
          <cell r="W134" t="str">
            <v>IDB</v>
          </cell>
          <cell r="Z134">
            <v>44400000</v>
          </cell>
          <cell r="AN134">
            <v>44400000</v>
          </cell>
          <cell r="AO134" t="str">
            <v>IDB</v>
          </cell>
          <cell r="AP134" t="str">
            <v>-</v>
          </cell>
        </row>
        <row r="135">
          <cell r="A135">
            <v>117</v>
          </cell>
          <cell r="B135">
            <v>0</v>
          </cell>
          <cell r="C135" t="str">
            <v>NON-INFRASTRUKTUR</v>
          </cell>
          <cell r="D135">
            <v>8</v>
          </cell>
          <cell r="E135" t="str">
            <v>Kementerian Riset, Teknologi, dan Pendidikan Tinggi</v>
          </cell>
          <cell r="F135" t="str">
            <v>Improving Access, Quality, Relevance, and Competitiveness of Higher Education Program</v>
          </cell>
          <cell r="G135" t="str">
            <v>A</v>
          </cell>
          <cell r="H135" t="str">
            <v>Program Peningkatan Akses, Kualitas, Relevansi, dan Daya Saing Pendidikan Tinggi</v>
          </cell>
          <cell r="I135">
            <v>1</v>
          </cell>
          <cell r="J135" t="str">
            <v>Improvement of The Capacity and Contribution of The University of Jember on Standardized and Excellent Tridharma Implementation in South East Asia Region</v>
          </cell>
          <cell r="O135">
            <v>0.14285714285714299</v>
          </cell>
          <cell r="P135">
            <v>0</v>
          </cell>
          <cell r="Q135">
            <v>0</v>
          </cell>
          <cell r="R135">
            <v>44091200</v>
          </cell>
          <cell r="W135" t="str">
            <v>IDB</v>
          </cell>
          <cell r="Z135">
            <v>44091200</v>
          </cell>
          <cell r="AN135">
            <v>44091200</v>
          </cell>
          <cell r="AO135" t="str">
            <v>IDB</v>
          </cell>
          <cell r="AP135" t="str">
            <v>-</v>
          </cell>
        </row>
        <row r="136">
          <cell r="A136">
            <v>118</v>
          </cell>
          <cell r="B136">
            <v>0</v>
          </cell>
          <cell r="C136" t="str">
            <v>NON-INFRASTRUKTUR</v>
          </cell>
          <cell r="D136">
            <v>8</v>
          </cell>
          <cell r="E136" t="str">
            <v>Kementerian Riset, Teknologi, dan Pendidikan Tinggi</v>
          </cell>
          <cell r="F136" t="str">
            <v>Improving Access, Quality, Relevance, and Competitiveness of Higher Education Program</v>
          </cell>
          <cell r="G136" t="str">
            <v>A</v>
          </cell>
          <cell r="H136" t="str">
            <v>Program Peningkatan Akses, Kualitas, Relevansi, dan Daya Saing Pendidikan Tinggi</v>
          </cell>
          <cell r="I136">
            <v>1</v>
          </cell>
          <cell r="J136" t="str">
            <v>The Plan of Hasanuddin University Hospital Development</v>
          </cell>
          <cell r="O136">
            <v>0.14285714285714299</v>
          </cell>
          <cell r="P136">
            <v>0</v>
          </cell>
          <cell r="Q136">
            <v>0</v>
          </cell>
          <cell r="R136">
            <v>31565800</v>
          </cell>
          <cell r="W136" t="str">
            <v>Jerman (KfW)</v>
          </cell>
          <cell r="Z136">
            <v>31565800</v>
          </cell>
          <cell r="AN136">
            <v>31565800</v>
          </cell>
          <cell r="AO136" t="str">
            <v>Jerman (KfW)</v>
          </cell>
          <cell r="AP136" t="str">
            <v>-</v>
          </cell>
        </row>
        <row r="137">
          <cell r="A137">
            <v>119</v>
          </cell>
          <cell r="B137">
            <v>0</v>
          </cell>
          <cell r="C137" t="str">
            <v>NON-INFRASTRUKTUR</v>
          </cell>
          <cell r="D137">
            <v>8</v>
          </cell>
          <cell r="E137" t="str">
            <v>Kementerian Riset, Teknologi, dan Pendidikan Tinggi</v>
          </cell>
          <cell r="F137" t="str">
            <v>Improving Access, Quality, Relevance, and Competitiveness of Higher Education Program</v>
          </cell>
          <cell r="G137" t="str">
            <v>A</v>
          </cell>
          <cell r="H137" t="str">
            <v>Program Peningkatan Akses, Kualitas, Relevansi, dan Daya Saing Pendidikan Tinggi</v>
          </cell>
          <cell r="I137">
            <v>1</v>
          </cell>
          <cell r="J137" t="str">
            <v>Establishment of University of Bengkulu’s Hospital</v>
          </cell>
          <cell r="O137">
            <v>0.14285714285714299</v>
          </cell>
          <cell r="P137">
            <v>0</v>
          </cell>
          <cell r="Q137">
            <v>0</v>
          </cell>
          <cell r="R137">
            <v>10278200</v>
          </cell>
          <cell r="W137" t="str">
            <v>JICA</v>
          </cell>
          <cell r="Z137">
            <v>10278200</v>
          </cell>
          <cell r="AN137">
            <v>10278200</v>
          </cell>
          <cell r="AO137" t="str">
            <v>JICA</v>
          </cell>
          <cell r="AP137" t="str">
            <v>-</v>
          </cell>
        </row>
        <row r="138">
          <cell r="A138">
            <v>120</v>
          </cell>
          <cell r="B138">
            <v>0</v>
          </cell>
          <cell r="C138" t="str">
            <v>NON-INFRASTRUKTUR</v>
          </cell>
          <cell r="D138">
            <v>8</v>
          </cell>
          <cell r="E138" t="str">
            <v>Kementerian Riset, Teknologi, dan Pendidikan Tinggi</v>
          </cell>
          <cell r="F138" t="str">
            <v>Improving Access, Quality, Relevance, and Competitiveness of Higher Education Program</v>
          </cell>
          <cell r="G138" t="str">
            <v>A</v>
          </cell>
          <cell r="H138" t="str">
            <v>Program Peningkatan Akses, Kualitas, Relevansi, dan Daya Saing Pendidikan Tinggi</v>
          </cell>
          <cell r="I138">
            <v>1</v>
          </cell>
          <cell r="J138" t="str">
            <v>Universitas Gadjah Mada Achieving World Class University with Socio-Entrepreneurial Spirit</v>
          </cell>
          <cell r="O138">
            <v>0.14285714285714299</v>
          </cell>
          <cell r="P138">
            <v>0</v>
          </cell>
          <cell r="Q138">
            <v>0</v>
          </cell>
          <cell r="R138">
            <v>71694000</v>
          </cell>
          <cell r="W138" t="str">
            <v>JICA</v>
          </cell>
          <cell r="Z138">
            <v>71694000</v>
          </cell>
          <cell r="AN138">
            <v>71694000</v>
          </cell>
          <cell r="AO138" t="str">
            <v>JICA</v>
          </cell>
          <cell r="AP138" t="str">
            <v>-</v>
          </cell>
        </row>
        <row r="139">
          <cell r="D139">
            <v>9</v>
          </cell>
          <cell r="E139" t="str">
            <v>Kementerian Agama</v>
          </cell>
          <cell r="G139" t="str">
            <v>A</v>
          </cell>
          <cell r="H139" t="str">
            <v>Program Peningkatan Akses, Kualitas, Relevansi, dan Daya Saing Pendidikan Tinggi Islam</v>
          </cell>
        </row>
        <row r="140">
          <cell r="A140">
            <v>124</v>
          </cell>
          <cell r="B140">
            <v>0</v>
          </cell>
          <cell r="C140" t="str">
            <v>NON-INFRASTRUKTUR</v>
          </cell>
          <cell r="D140">
            <v>9</v>
          </cell>
          <cell r="E140" t="str">
            <v>Kementerian Agama</v>
          </cell>
          <cell r="F140" t="str">
            <v>Improving Access, Quality, Relevance, and Competitiveness of Islamic Higher Education Program</v>
          </cell>
          <cell r="G140" t="str">
            <v>A</v>
          </cell>
          <cell r="H140" t="str">
            <v>Program Peningkatan Akses, Kualitas, Relevansi, dan Daya Saing Pendidikan Tinggi Islam</v>
          </cell>
          <cell r="I140">
            <v>1</v>
          </cell>
          <cell r="J140" t="str">
            <v>Improvement and Optimalization of Sunan Ampel Surabaya State Islamic University</v>
          </cell>
          <cell r="O140">
            <v>0.16666666666666699</v>
          </cell>
          <cell r="P140">
            <v>0</v>
          </cell>
          <cell r="Q140">
            <v>0</v>
          </cell>
          <cell r="R140">
            <v>40000000</v>
          </cell>
          <cell r="W140" t="str">
            <v>IDB</v>
          </cell>
          <cell r="Z140">
            <v>40000000</v>
          </cell>
          <cell r="AN140">
            <v>40000000</v>
          </cell>
          <cell r="AO140" t="str">
            <v>IDB</v>
          </cell>
          <cell r="AP140" t="str">
            <v>-</v>
          </cell>
        </row>
        <row r="141">
          <cell r="A141">
            <v>125</v>
          </cell>
          <cell r="B141">
            <v>0</v>
          </cell>
          <cell r="C141" t="str">
            <v>NON-INFRASTRUKTUR</v>
          </cell>
          <cell r="D141">
            <v>9</v>
          </cell>
          <cell r="E141" t="str">
            <v>Kementerian Agama</v>
          </cell>
          <cell r="F141" t="str">
            <v>Improving Access, Quality, Relevance, and Competitiveness of Islamic Higher Education Program</v>
          </cell>
          <cell r="G141" t="str">
            <v>A</v>
          </cell>
          <cell r="H141" t="str">
            <v>Program Peningkatan Akses, Kualitas, Relevansi, dan Daya Saing Pendidikan Tinggi Islam</v>
          </cell>
          <cell r="I141">
            <v>1</v>
          </cell>
          <cell r="J141" t="str">
            <v>Improvement Access and Quality of State Islamic Institute  Suthan Maulana Hasanuddin Banten</v>
          </cell>
          <cell r="O141">
            <v>0.16666666666666699</v>
          </cell>
          <cell r="P141">
            <v>0</v>
          </cell>
          <cell r="Q141">
            <v>0</v>
          </cell>
          <cell r="R141">
            <v>40000000</v>
          </cell>
          <cell r="W141" t="str">
            <v>IDB</v>
          </cell>
          <cell r="Z141">
            <v>40000000</v>
          </cell>
          <cell r="AN141">
            <v>40000000</v>
          </cell>
          <cell r="AO141" t="str">
            <v>IDB</v>
          </cell>
          <cell r="AP141" t="str">
            <v>-</v>
          </cell>
        </row>
        <row r="142">
          <cell r="A142">
            <v>126</v>
          </cell>
          <cell r="B142">
            <v>0</v>
          </cell>
          <cell r="C142" t="str">
            <v>NON-INFRASTRUKTUR</v>
          </cell>
          <cell r="D142">
            <v>9</v>
          </cell>
          <cell r="E142" t="str">
            <v>Kementerian Agama</v>
          </cell>
          <cell r="F142" t="str">
            <v>Improving Access, Quality, Relevance, and Competitiveness of Islamic Higher Education Program</v>
          </cell>
          <cell r="G142" t="str">
            <v>A</v>
          </cell>
          <cell r="H142" t="str">
            <v>Program Peningkatan Akses, Kualitas, Relevansi, dan Daya Saing Pendidikan Tinggi Islam</v>
          </cell>
          <cell r="I142">
            <v>1</v>
          </cell>
          <cell r="J142" t="str">
            <v>Development and Quality Improvement  of Antasari State Islamic Institute</v>
          </cell>
          <cell r="O142">
            <v>0.16666666666666699</v>
          </cell>
          <cell r="P142">
            <v>0</v>
          </cell>
          <cell r="Q142">
            <v>0</v>
          </cell>
          <cell r="R142">
            <v>39908600</v>
          </cell>
          <cell r="W142" t="str">
            <v>IDB</v>
          </cell>
          <cell r="Z142">
            <v>39900000</v>
          </cell>
          <cell r="AN142">
            <v>39900000</v>
          </cell>
          <cell r="AO142" t="str">
            <v>IDB</v>
          </cell>
          <cell r="AP142" t="str">
            <v>-</v>
          </cell>
        </row>
        <row r="143">
          <cell r="A143">
            <v>127</v>
          </cell>
          <cell r="B143">
            <v>0</v>
          </cell>
          <cell r="C143" t="str">
            <v>NON-INFRASTRUKTUR</v>
          </cell>
          <cell r="D143">
            <v>9</v>
          </cell>
          <cell r="E143" t="str">
            <v>Kementerian Agama</v>
          </cell>
          <cell r="F143" t="str">
            <v>Improving Access, Quality, Relevance, and Competitiveness of Islamic Higher Education Program</v>
          </cell>
          <cell r="G143" t="str">
            <v>A</v>
          </cell>
          <cell r="H143" t="str">
            <v>Program Peningkatan Akses, Kualitas, Relevansi, dan Daya Saing Pendidikan Tinggi Islam</v>
          </cell>
          <cell r="I143">
            <v>1</v>
          </cell>
          <cell r="J143" t="str">
            <v>Tranformation of State Islamic Institute  Sulthan Thaha Saifuddin to State Islamic University</v>
          </cell>
          <cell r="O143">
            <v>0.16666666666666699</v>
          </cell>
          <cell r="P143">
            <v>0</v>
          </cell>
          <cell r="Q143">
            <v>0</v>
          </cell>
          <cell r="R143">
            <v>40000000</v>
          </cell>
          <cell r="W143" t="str">
            <v>IDB</v>
          </cell>
          <cell r="Z143">
            <v>40000000</v>
          </cell>
          <cell r="AN143">
            <v>40000000</v>
          </cell>
          <cell r="AO143" t="str">
            <v>IDB</v>
          </cell>
          <cell r="AP143" t="str">
            <v>-</v>
          </cell>
        </row>
        <row r="144">
          <cell r="A144">
            <v>128</v>
          </cell>
          <cell r="B144">
            <v>0</v>
          </cell>
          <cell r="C144" t="str">
            <v>NON-INFRASTRUKTUR</v>
          </cell>
          <cell r="D144">
            <v>9</v>
          </cell>
          <cell r="E144" t="str">
            <v>Kementerian Agama</v>
          </cell>
          <cell r="F144" t="str">
            <v>Improving Access, Quality, Relevance, and Competitiveness of Islamic Higher Education Program</v>
          </cell>
          <cell r="G144" t="str">
            <v>A</v>
          </cell>
          <cell r="H144" t="str">
            <v>Program Peningkatan Akses, Kualitas, Relevansi, dan Daya Saing Pendidikan Tinggi Islam</v>
          </cell>
          <cell r="I144">
            <v>1</v>
          </cell>
          <cell r="J144" t="str">
            <v>Development and Institutional Transformation of State Islamic Institute  Raden Intan Lampung</v>
          </cell>
          <cell r="O144">
            <v>0.16666666666666699</v>
          </cell>
          <cell r="P144">
            <v>0</v>
          </cell>
          <cell r="Q144">
            <v>0</v>
          </cell>
          <cell r="R144">
            <v>40000000</v>
          </cell>
          <cell r="W144" t="str">
            <v>IDB</v>
          </cell>
          <cell r="Z144">
            <v>40000000</v>
          </cell>
          <cell r="AN144">
            <v>40000000</v>
          </cell>
          <cell r="AO144" t="str">
            <v>IDB</v>
          </cell>
          <cell r="AP144" t="str">
            <v>-</v>
          </cell>
        </row>
        <row r="145">
          <cell r="A145">
            <v>123</v>
          </cell>
          <cell r="B145">
            <v>0</v>
          </cell>
          <cell r="C145" t="str">
            <v>NON-INFRASTRUKTUR</v>
          </cell>
          <cell r="D145">
            <v>9</v>
          </cell>
          <cell r="E145" t="str">
            <v>Kementerian Agama</v>
          </cell>
          <cell r="F145" t="str">
            <v>Improving Access, Quality, Relevance, and Competitiveness of Islamic Higher Education Program</v>
          </cell>
          <cell r="G145" t="str">
            <v>A</v>
          </cell>
          <cell r="H145" t="str">
            <v>Program Peningkatan Akses, Kualitas, Relevansi, dan Daya Saing Pendidikan Tinggi Islam</v>
          </cell>
          <cell r="I145">
            <v>1</v>
          </cell>
          <cell r="J145" t="str">
            <v>Development of Imam Bonjol State Islamic Institute Project</v>
          </cell>
          <cell r="O145">
            <v>0.16666666666666699</v>
          </cell>
          <cell r="P145">
            <v>0</v>
          </cell>
          <cell r="Q145">
            <v>0</v>
          </cell>
          <cell r="R145">
            <v>38301400</v>
          </cell>
          <cell r="W145" t="str">
            <v>IDB</v>
          </cell>
          <cell r="Z145">
            <v>38310000</v>
          </cell>
          <cell r="AN145">
            <v>38310000</v>
          </cell>
          <cell r="AO145" t="str">
            <v>IDB</v>
          </cell>
          <cell r="AP145" t="str">
            <v>-</v>
          </cell>
        </row>
        <row r="146">
          <cell r="A146">
            <v>129</v>
          </cell>
          <cell r="B146">
            <v>0</v>
          </cell>
          <cell r="C146" t="str">
            <v>NON-INFRASTRUKTUR</v>
          </cell>
          <cell r="D146">
            <v>10</v>
          </cell>
          <cell r="E146" t="str">
            <v>Kementerian PPN/Bappenas</v>
          </cell>
          <cell r="F146" t="str">
            <v>Human Resources Development for Bureaucracy Reform Program</v>
          </cell>
          <cell r="G146" t="str">
            <v>A</v>
          </cell>
          <cell r="H146" t="str">
            <v>Program Pengembangan Sumber Daya Aparatur  dalam Rangka Reformasi Birokrasi</v>
          </cell>
          <cell r="I146">
            <v>1</v>
          </cell>
          <cell r="J146" t="str">
            <v>Development of Capacity, Quality, and Competency of Human Resources for Government Officer</v>
          </cell>
          <cell r="O146">
            <v>1</v>
          </cell>
          <cell r="P146">
            <v>1</v>
          </cell>
          <cell r="Q146">
            <v>103</v>
          </cell>
          <cell r="R146">
            <v>300000000</v>
          </cell>
          <cell r="W146" t="str">
            <v>Bank Dunia</v>
          </cell>
          <cell r="Z146">
            <v>300000000</v>
          </cell>
          <cell r="AN146">
            <v>300000000</v>
          </cell>
          <cell r="AO146" t="str">
            <v>Bank Dunia</v>
          </cell>
          <cell r="AP146" t="str">
            <v>-</v>
          </cell>
        </row>
        <row r="147">
          <cell r="A147">
            <v>130</v>
          </cell>
          <cell r="B147">
            <v>0</v>
          </cell>
          <cell r="C147" t="str">
            <v>NON-INFRASTRUKTUR</v>
          </cell>
          <cell r="D147">
            <v>11</v>
          </cell>
          <cell r="E147" t="str">
            <v>Kementerian Kesehatan</v>
          </cell>
          <cell r="F147" t="str">
            <v>Basic Health Care Program</v>
          </cell>
          <cell r="G147" t="str">
            <v>A</v>
          </cell>
          <cell r="H147" t="str">
            <v>Program Pelayanan Kesehatan Dasar</v>
          </cell>
          <cell r="I147">
            <v>1</v>
          </cell>
          <cell r="J147" t="str">
            <v>Improvement of Primary Health Care</v>
          </cell>
          <cell r="O147">
            <v>1</v>
          </cell>
          <cell r="P147">
            <v>1</v>
          </cell>
          <cell r="Q147">
            <v>104</v>
          </cell>
          <cell r="R147">
            <v>150000000</v>
          </cell>
          <cell r="W147" t="str">
            <v>Bank Dunia</v>
          </cell>
          <cell r="Z147">
            <v>150000000</v>
          </cell>
          <cell r="AN147">
            <v>150000000</v>
          </cell>
          <cell r="AO147" t="str">
            <v>Bank Dunia</v>
          </cell>
          <cell r="AP147" t="str">
            <v>-</v>
          </cell>
        </row>
        <row r="148">
          <cell r="A148">
            <v>131</v>
          </cell>
          <cell r="B148">
            <v>0</v>
          </cell>
          <cell r="C148" t="str">
            <v>NON-INFRASTRUKTUR</v>
          </cell>
          <cell r="D148">
            <v>11</v>
          </cell>
          <cell r="E148" t="str">
            <v>Kementerian Kesehatan</v>
          </cell>
          <cell r="F148" t="str">
            <v>Program for Human Resources Development in Health Sector</v>
          </cell>
          <cell r="G148" t="str">
            <v>B</v>
          </cell>
          <cell r="H148" t="str">
            <v>Program Pengembangan Sumber Daya Manusia Kesehatan</v>
          </cell>
          <cell r="I148">
            <v>1</v>
          </cell>
          <cell r="J148" t="str">
            <v>Improvement of Facilities and Infrastructure for Teaching and Learning Activities in Health Sector</v>
          </cell>
          <cell r="O148">
            <v>1</v>
          </cell>
          <cell r="P148">
            <v>1</v>
          </cell>
          <cell r="Q148">
            <v>105</v>
          </cell>
          <cell r="R148">
            <v>240000000</v>
          </cell>
          <cell r="W148" t="str">
            <v>IDB</v>
          </cell>
          <cell r="Z148">
            <v>240000000</v>
          </cell>
          <cell r="AA148">
            <v>0</v>
          </cell>
          <cell r="AN148">
            <v>240000000</v>
          </cell>
          <cell r="AO148" t="str">
            <v>IDB</v>
          </cell>
          <cell r="AP148" t="str">
            <v>-</v>
          </cell>
        </row>
        <row r="149">
          <cell r="A149">
            <v>132</v>
          </cell>
          <cell r="B149">
            <v>0</v>
          </cell>
          <cell r="C149" t="str">
            <v>NON-INFRASTRUKTUR</v>
          </cell>
          <cell r="D149">
            <v>11</v>
          </cell>
          <cell r="E149" t="str">
            <v>Kementerian Kesehatan</v>
          </cell>
          <cell r="F149" t="str">
            <v>Program for Disease Control, Environmental Health, and Strengthening Health Research and Development</v>
          </cell>
          <cell r="G149" t="str">
            <v>C</v>
          </cell>
          <cell r="H149" t="str">
            <v>Program Pengendalian Penyakit, Penyehatan Lingkungan, dan Penguatan Litbang Kesehatan</v>
          </cell>
          <cell r="I149">
            <v>1</v>
          </cell>
          <cell r="J149" t="str">
            <v>Improvement of Capacity on Disease Control, Environmental Health, and Strengthening Health’s Research and Development</v>
          </cell>
          <cell r="O149">
            <v>1</v>
          </cell>
          <cell r="P149">
            <v>1</v>
          </cell>
          <cell r="Q149">
            <v>106</v>
          </cell>
          <cell r="R149">
            <v>100400000</v>
          </cell>
          <cell r="W149" t="str">
            <v>Jerman (KfW)</v>
          </cell>
          <cell r="Z149">
            <v>100400000</v>
          </cell>
          <cell r="AA149">
            <v>0</v>
          </cell>
          <cell r="AN149">
            <v>100400000</v>
          </cell>
          <cell r="AO149" t="str">
            <v>Jerman (KfW)</v>
          </cell>
          <cell r="AP149" t="str">
            <v>-</v>
          </cell>
        </row>
        <row r="150">
          <cell r="G150" t="str">
            <v>D</v>
          </cell>
          <cell r="H150" t="str">
            <v>Program Pelayanan Kesehatan Rujukan</v>
          </cell>
          <cell r="R150">
            <v>1255600000</v>
          </cell>
        </row>
        <row r="151">
          <cell r="A151">
            <v>133</v>
          </cell>
          <cell r="B151">
            <v>0</v>
          </cell>
          <cell r="C151" t="str">
            <v>NON-INFRASTRUKTUR</v>
          </cell>
          <cell r="D151">
            <v>11</v>
          </cell>
          <cell r="E151" t="str">
            <v>Kementerian Kesehatan</v>
          </cell>
          <cell r="F151" t="str">
            <v>Referral Health Services Program</v>
          </cell>
          <cell r="G151" t="str">
            <v>D</v>
          </cell>
          <cell r="H151" t="str">
            <v>Program Pelayanan Kesehatan Rujukan</v>
          </cell>
          <cell r="I151">
            <v>1</v>
          </cell>
          <cell r="J151" t="str">
            <v>Strengthening of National Referral Hospitals, Province Referral Hospital and Vertical Technical Units</v>
          </cell>
          <cell r="O151">
            <v>0.33333333333333298</v>
          </cell>
          <cell r="P151">
            <v>0</v>
          </cell>
          <cell r="Q151">
            <v>0</v>
          </cell>
          <cell r="W151" t="str">
            <v>IDB</v>
          </cell>
          <cell r="Z151">
            <v>250000000</v>
          </cell>
          <cell r="AN151">
            <v>250000000</v>
          </cell>
          <cell r="AO151" t="str">
            <v>IDB</v>
          </cell>
          <cell r="AP151" t="str">
            <v>-</v>
          </cell>
        </row>
        <row r="152">
          <cell r="A152">
            <v>134</v>
          </cell>
          <cell r="B152">
            <v>0</v>
          </cell>
          <cell r="C152" t="str">
            <v>NON-INFRASTRUKTUR</v>
          </cell>
          <cell r="D152">
            <v>11</v>
          </cell>
          <cell r="E152" t="str">
            <v>Kementerian Kesehatan</v>
          </cell>
          <cell r="F152" t="str">
            <v>Referral Health Services Program</v>
          </cell>
          <cell r="G152" t="str">
            <v>D</v>
          </cell>
          <cell r="H152" t="str">
            <v>Program Pelayanan Kesehatan Rujukan</v>
          </cell>
          <cell r="I152">
            <v>1</v>
          </cell>
          <cell r="W152" t="str">
            <v>Jerman (KfW)</v>
          </cell>
          <cell r="Z152">
            <v>250000000</v>
          </cell>
          <cell r="AN152">
            <v>250000000</v>
          </cell>
          <cell r="AO152" t="str">
            <v>Jerman (KfW)</v>
          </cell>
          <cell r="AP152" t="str">
            <v>-</v>
          </cell>
        </row>
        <row r="153">
          <cell r="A153">
            <v>135</v>
          </cell>
          <cell r="B153">
            <v>0</v>
          </cell>
          <cell r="C153" t="str">
            <v>NON-INFRASTRUKTUR</v>
          </cell>
          <cell r="D153">
            <v>11</v>
          </cell>
          <cell r="E153" t="str">
            <v>Kementerian Kesehatan</v>
          </cell>
          <cell r="F153" t="str">
            <v>Referral Health Services Program</v>
          </cell>
          <cell r="G153" t="str">
            <v>D</v>
          </cell>
          <cell r="H153" t="str">
            <v>Program Pelayanan Kesehatan Rujukan</v>
          </cell>
          <cell r="I153">
            <v>1</v>
          </cell>
          <cell r="W153" t="str">
            <v>Belum Ada Indikasi</v>
          </cell>
          <cell r="Z153">
            <v>755600000</v>
          </cell>
          <cell r="AN153">
            <v>755600000</v>
          </cell>
          <cell r="AO153" t="str">
            <v>Belum Ada Indikasi</v>
          </cell>
          <cell r="AP153" t="str">
            <v>-</v>
          </cell>
        </row>
        <row r="154">
          <cell r="A154">
            <v>136</v>
          </cell>
          <cell r="B154">
            <v>0</v>
          </cell>
          <cell r="C154" t="str">
            <v>NON-INFRASTRUKTUR</v>
          </cell>
          <cell r="D154">
            <v>12</v>
          </cell>
          <cell r="E154" t="str">
            <v>Pemprov. Aceh</v>
          </cell>
          <cell r="F154" t="str">
            <v>Health Services Referral Program</v>
          </cell>
          <cell r="G154" t="str">
            <v>A</v>
          </cell>
          <cell r="H154" t="str">
            <v>Program Pelayanan Kesehatan Rujukan</v>
          </cell>
          <cell r="I154">
            <v>1</v>
          </cell>
          <cell r="J154" t="str">
            <v>Rengineering and Improving The Hospital and Referral System in Selected Aceh Districts</v>
          </cell>
          <cell r="O154">
            <v>1</v>
          </cell>
          <cell r="P154">
            <v>1</v>
          </cell>
          <cell r="Q154">
            <v>108</v>
          </cell>
          <cell r="R154">
            <v>106800000</v>
          </cell>
          <cell r="W154" t="str">
            <v>Jerman (KfW)</v>
          </cell>
          <cell r="Z154">
            <v>106800000</v>
          </cell>
          <cell r="AN154">
            <v>106800000</v>
          </cell>
          <cell r="AO154" t="str">
            <v>Jerman (KfW)</v>
          </cell>
          <cell r="AP154" t="str">
            <v>-</v>
          </cell>
        </row>
        <row r="155">
          <cell r="D155">
            <v>13</v>
          </cell>
          <cell r="E155" t="str">
            <v>Kementerian Pertanian</v>
          </cell>
          <cell r="G155" t="str">
            <v>A</v>
          </cell>
          <cell r="H155" t="str">
            <v>Program Penyediaan dan Pengembangan Prasarana dan Sarana Pertanian</v>
          </cell>
          <cell r="R155">
            <v>811166600</v>
          </cell>
        </row>
        <row r="156">
          <cell r="A156">
            <v>137</v>
          </cell>
          <cell r="B156">
            <v>0</v>
          </cell>
          <cell r="C156" t="str">
            <v>NON-INFRASTRUKTUR</v>
          </cell>
          <cell r="D156">
            <v>13</v>
          </cell>
          <cell r="E156" t="str">
            <v>Kementerian Pertanian</v>
          </cell>
          <cell r="F156" t="str">
            <v>Provision and Development of Agriculture Infrastructure Program</v>
          </cell>
          <cell r="G156" t="str">
            <v>A</v>
          </cell>
          <cell r="H156" t="str">
            <v>Program Penyediaan dan Pengembangan Prasarana dan Sarana Pertanian</v>
          </cell>
          <cell r="I156">
            <v>1</v>
          </cell>
          <cell r="J156" t="str">
            <v>Extensification of New Paddy Field Area</v>
          </cell>
          <cell r="O156">
            <v>0.33333333333333298</v>
          </cell>
          <cell r="P156">
            <v>0</v>
          </cell>
          <cell r="Q156">
            <v>0</v>
          </cell>
          <cell r="W156" t="str">
            <v>Bank Dunia</v>
          </cell>
          <cell r="Z156">
            <v>225000000</v>
          </cell>
          <cell r="AN156">
            <v>0</v>
          </cell>
          <cell r="AO156">
            <v>0</v>
          </cell>
          <cell r="AP156" t="str">
            <v>Bank Dunia tidak berminat mendanai kegiatan ini.</v>
          </cell>
        </row>
        <row r="157">
          <cell r="A157">
            <v>138</v>
          </cell>
          <cell r="B157">
            <v>0</v>
          </cell>
          <cell r="C157" t="str">
            <v>NON-INFRASTRUKTUR</v>
          </cell>
          <cell r="D157">
            <v>13</v>
          </cell>
          <cell r="E157" t="str">
            <v>Kementerian Pertanian</v>
          </cell>
          <cell r="F157" t="str">
            <v>Provision and Development of Agriculture Infrastructure Program</v>
          </cell>
          <cell r="G157" t="str">
            <v>A</v>
          </cell>
          <cell r="H157" t="str">
            <v>Program Penyediaan dan Pengembangan Prasarana dan Sarana Pertanian</v>
          </cell>
          <cell r="I157">
            <v>1</v>
          </cell>
          <cell r="W157" t="str">
            <v>IDB</v>
          </cell>
          <cell r="Z157">
            <v>125000000</v>
          </cell>
          <cell r="AN157">
            <v>125000000</v>
          </cell>
          <cell r="AO157" t="str">
            <v>IDB</v>
          </cell>
          <cell r="AP157" t="str">
            <v>-</v>
          </cell>
        </row>
        <row r="158">
          <cell r="A158">
            <v>139</v>
          </cell>
          <cell r="B158">
            <v>0</v>
          </cell>
          <cell r="C158" t="str">
            <v>NON-INFRASTRUKTUR</v>
          </cell>
          <cell r="D158">
            <v>13</v>
          </cell>
          <cell r="E158" t="str">
            <v>Kementerian Pertanian</v>
          </cell>
          <cell r="F158" t="str">
            <v>Provision and Development of Agriculture Infrastructure Program</v>
          </cell>
          <cell r="G158" t="str">
            <v>A</v>
          </cell>
          <cell r="H158" t="str">
            <v>Program Penyediaan dan Pengembangan Prasarana dan Sarana Pertanian</v>
          </cell>
          <cell r="I158">
            <v>1</v>
          </cell>
          <cell r="W158" t="str">
            <v>Belum Ada Indikasi</v>
          </cell>
          <cell r="Z158">
            <v>461166600</v>
          </cell>
          <cell r="AN158">
            <v>686166600</v>
          </cell>
          <cell r="AO158" t="str">
            <v>Belum Ada Indikasi</v>
          </cell>
          <cell r="AP158" t="str">
            <v>total belum ada indikasi menjadi USD 686,2 juta karena ditambahkan USD 225 juta dari yang sebelumnya Bank Dunia.</v>
          </cell>
        </row>
        <row r="159">
          <cell r="J159" t="str">
            <v>Upland Development for National Food Security</v>
          </cell>
          <cell r="R159">
            <v>535676000</v>
          </cell>
        </row>
        <row r="160">
          <cell r="A160">
            <v>140</v>
          </cell>
          <cell r="B160">
            <v>0</v>
          </cell>
          <cell r="C160" t="str">
            <v>NON-INFRASTRUKTUR</v>
          </cell>
          <cell r="D160">
            <v>13</v>
          </cell>
          <cell r="E160" t="str">
            <v>Kementerian Pertanian</v>
          </cell>
          <cell r="F160" t="str">
            <v>Provision and Development of Agriculture Infrastructure Program</v>
          </cell>
          <cell r="G160" t="str">
            <v>A</v>
          </cell>
          <cell r="H160" t="str">
            <v>Program Penyediaan dan Pengembangan Prasarana dan Sarana Pertanian</v>
          </cell>
          <cell r="I160">
            <v>2</v>
          </cell>
          <cell r="O160">
            <v>0.33333333333333298</v>
          </cell>
          <cell r="P160">
            <v>0</v>
          </cell>
          <cell r="Q160">
            <v>0</v>
          </cell>
          <cell r="W160" t="str">
            <v>Bank Dunia</v>
          </cell>
          <cell r="Z160">
            <v>125000000</v>
          </cell>
          <cell r="AN160">
            <v>0</v>
          </cell>
          <cell r="AO160">
            <v>0</v>
          </cell>
          <cell r="AP160" t="str">
            <v>Bank Dunia tidak berminat mendanai kegiatan ini.</v>
          </cell>
        </row>
        <row r="161">
          <cell r="A161">
            <v>141</v>
          </cell>
          <cell r="B161">
            <v>0</v>
          </cell>
          <cell r="C161" t="str">
            <v>NON-INFRASTRUKTUR</v>
          </cell>
          <cell r="D161">
            <v>13</v>
          </cell>
          <cell r="E161" t="str">
            <v>Kementerian Pertanian</v>
          </cell>
          <cell r="F161" t="str">
            <v>Provision and Development of Agriculture Infrastructure Program</v>
          </cell>
          <cell r="G161" t="str">
            <v>A</v>
          </cell>
          <cell r="H161" t="str">
            <v>Program Penyediaan dan Pengembangan Prasarana dan Sarana Pertanian</v>
          </cell>
          <cell r="I161">
            <v>2</v>
          </cell>
          <cell r="W161" t="str">
            <v>IDB</v>
          </cell>
          <cell r="Z161">
            <v>125000000</v>
          </cell>
          <cell r="AN161">
            <v>125000000</v>
          </cell>
          <cell r="AO161" t="str">
            <v>IDB</v>
          </cell>
          <cell r="AP161" t="str">
            <v>-</v>
          </cell>
        </row>
        <row r="162">
          <cell r="A162">
            <v>142</v>
          </cell>
          <cell r="B162">
            <v>0</v>
          </cell>
          <cell r="C162" t="str">
            <v>NON-INFRASTRUKTUR</v>
          </cell>
          <cell r="D162">
            <v>13</v>
          </cell>
          <cell r="E162" t="str">
            <v>Kementerian Pertanian</v>
          </cell>
          <cell r="F162" t="str">
            <v>Provision and Development of Agriculture Infrastructure Program</v>
          </cell>
          <cell r="G162" t="str">
            <v>A</v>
          </cell>
          <cell r="H162" t="str">
            <v>Program Penyediaan dan Pengembangan Prasarana dan Sarana Pertanian</v>
          </cell>
          <cell r="I162">
            <v>2</v>
          </cell>
          <cell r="W162" t="str">
            <v>Belum Ada Indikasi</v>
          </cell>
          <cell r="Z162">
            <v>285676000</v>
          </cell>
          <cell r="AN162">
            <v>410676000</v>
          </cell>
          <cell r="AO162" t="str">
            <v>Belum Ada Indikasi</v>
          </cell>
          <cell r="AP162" t="str">
            <v>total belum ada indikasi menjadi USD 410,7 juta karena ditambahkan USD 125 juta yang sebelumnya Bank Dunia.</v>
          </cell>
        </row>
        <row r="163">
          <cell r="A163">
            <v>143</v>
          </cell>
          <cell r="B163">
            <v>0</v>
          </cell>
          <cell r="C163" t="str">
            <v>NON-INFRASTRUKTUR</v>
          </cell>
          <cell r="D163">
            <v>13</v>
          </cell>
          <cell r="E163" t="str">
            <v>Kementerian Pertanian</v>
          </cell>
          <cell r="F163" t="str">
            <v>Agriculture Extention, Education, and Training Improvement Program</v>
          </cell>
          <cell r="G163" t="str">
            <v>B</v>
          </cell>
          <cell r="H163" t="str">
            <v>Program Peningkatan Penyuluhan, Pendidikan, dan Pelatihan Pertanian</v>
          </cell>
          <cell r="I163">
            <v>1</v>
          </cell>
          <cell r="J163" t="str">
            <v>Young Enterpreneur Growth and Development for Sustainable Agricultural Development</v>
          </cell>
          <cell r="O163">
            <v>1</v>
          </cell>
          <cell r="P163">
            <v>1</v>
          </cell>
          <cell r="Q163">
            <v>111</v>
          </cell>
          <cell r="R163">
            <v>68900000</v>
          </cell>
          <cell r="W163" t="str">
            <v>IFAD</v>
          </cell>
          <cell r="Z163">
            <v>68900000</v>
          </cell>
          <cell r="AN163">
            <v>68900000</v>
          </cell>
          <cell r="AO163" t="str">
            <v>IFAD</v>
          </cell>
          <cell r="AP163" t="str">
            <v>-</v>
          </cell>
        </row>
        <row r="164">
          <cell r="A164">
            <v>144</v>
          </cell>
          <cell r="B164">
            <v>0</v>
          </cell>
          <cell r="C164" t="str">
            <v>NON-INFRASTRUKTUR</v>
          </cell>
          <cell r="D164">
            <v>13</v>
          </cell>
          <cell r="E164" t="str">
            <v>Kementerian Pertanian</v>
          </cell>
          <cell r="F164" t="str">
            <v>Agriculture Extention, Education, and Training Improvement Program</v>
          </cell>
          <cell r="G164" t="str">
            <v>B</v>
          </cell>
          <cell r="H164" t="str">
            <v>Program Peningkatan Penyuluhan, Pendidikan, dan Pelatihan Pertanian</v>
          </cell>
          <cell r="I164">
            <v>2</v>
          </cell>
          <cell r="J164" t="str">
            <v>Rural Empowerment and Agricultural Development (READ) Programme in Sulawesi Island – Phase II</v>
          </cell>
          <cell r="O164">
            <v>1</v>
          </cell>
          <cell r="P164">
            <v>1</v>
          </cell>
          <cell r="Q164">
            <v>112</v>
          </cell>
          <cell r="R164">
            <v>30000000</v>
          </cell>
          <cell r="W164" t="str">
            <v>IFAD</v>
          </cell>
          <cell r="Z164">
            <v>30000000</v>
          </cell>
          <cell r="AN164">
            <v>30000000</v>
          </cell>
          <cell r="AO164" t="str">
            <v>IFAD</v>
          </cell>
          <cell r="AP164" t="str">
            <v>-</v>
          </cell>
        </row>
        <row r="165">
          <cell r="A165">
            <v>145</v>
          </cell>
          <cell r="B165">
            <v>0</v>
          </cell>
          <cell r="C165" t="str">
            <v>NON-INFRASTRUKTUR</v>
          </cell>
          <cell r="D165">
            <v>14</v>
          </cell>
          <cell r="E165" t="str">
            <v>Kementerian Tenaga Kerja</v>
          </cell>
          <cell r="F165" t="str">
            <v>Improving Labor Competitiveness Program</v>
          </cell>
          <cell r="G165" t="str">
            <v>A</v>
          </cell>
          <cell r="H165" t="str">
            <v>Program Peningkatan Daya Saing Tenaga Kerja</v>
          </cell>
          <cell r="I165">
            <v>1</v>
          </cell>
          <cell r="J165" t="str">
            <v>Development of Maritime Vocational Training Centers</v>
          </cell>
          <cell r="O165">
            <v>1</v>
          </cell>
          <cell r="P165">
            <v>1</v>
          </cell>
          <cell r="Q165">
            <v>113</v>
          </cell>
          <cell r="R165">
            <v>92308000</v>
          </cell>
          <cell r="W165" t="str">
            <v>Austria/JICA/Singapura</v>
          </cell>
          <cell r="Z165">
            <v>92308000</v>
          </cell>
          <cell r="AA165">
            <v>0</v>
          </cell>
          <cell r="AN165">
            <v>92308000</v>
          </cell>
          <cell r="AO165" t="str">
            <v>Austria/JICA/Singapura</v>
          </cell>
          <cell r="AP165" t="str">
            <v>belum ada konfirmasi lender yang berminat</v>
          </cell>
        </row>
        <row r="166">
          <cell r="A166">
            <v>146</v>
          </cell>
          <cell r="B166">
            <v>0</v>
          </cell>
          <cell r="C166" t="str">
            <v>NON-INFRASTRUKTUR</v>
          </cell>
          <cell r="D166">
            <v>15</v>
          </cell>
          <cell r="E166" t="str">
            <v>Kementerian Kelautan dan Perikanan</v>
          </cell>
          <cell r="F166" t="str">
            <v>Improvement of Fisheries Facilities Program</v>
          </cell>
          <cell r="G166" t="str">
            <v>A</v>
          </cell>
          <cell r="H166" t="str">
            <v>Program Peningkatan Fasilitas Perikanan</v>
          </cell>
          <cell r="I166">
            <v>1</v>
          </cell>
          <cell r="O166">
            <v>1</v>
          </cell>
          <cell r="P166">
            <v>1</v>
          </cell>
          <cell r="Q166">
            <v>114</v>
          </cell>
          <cell r="R166">
            <v>107000000</v>
          </cell>
          <cell r="W166" t="str">
            <v>Dibatalkan (surat KKP 30 Nov 2015)</v>
          </cell>
          <cell r="AN166">
            <v>107000000</v>
          </cell>
          <cell r="AO166" t="str">
            <v>Dibatalkan (surat KKP 30 Nov 2015)</v>
          </cell>
          <cell r="AP166" t="str">
            <v>-</v>
          </cell>
        </row>
        <row r="167">
          <cell r="A167">
            <v>147</v>
          </cell>
          <cell r="B167">
            <v>0</v>
          </cell>
          <cell r="C167" t="str">
            <v>NON-INFRASTRUKTUR</v>
          </cell>
          <cell r="D167">
            <v>16</v>
          </cell>
          <cell r="E167" t="str">
            <v>Badan Meteorologi, Klimatologi dan Geofisika (BMKG)</v>
          </cell>
          <cell r="F167" t="str">
            <v>Program for Capacity Development and Guidance of Meteorology, Climatology, and Geophysics</v>
          </cell>
          <cell r="G167" t="str">
            <v>A</v>
          </cell>
          <cell r="H167" t="str">
            <v>Program Pengembangan dan Pembinaan Meteorologi, Klimatologi, dan Geofisika</v>
          </cell>
          <cell r="I167">
            <v>1</v>
          </cell>
          <cell r="J167" t="str">
            <v>Strengthening Climate and Weather Service Capacity – Phase II:
a) Kegiatan lanjutan dair kegiatan Strengthening BMKG Climate and Weather Services Capacity Phase I
b) Kegiatan pengembangan sistem Layanan Informasi Meteorologi Maritim</v>
          </cell>
          <cell r="O167">
            <v>1</v>
          </cell>
          <cell r="P167">
            <v>1</v>
          </cell>
          <cell r="Q167">
            <v>115</v>
          </cell>
          <cell r="R167">
            <v>150000000</v>
          </cell>
          <cell r="W167" t="str">
            <v>US EXIM</v>
          </cell>
          <cell r="Z167">
            <v>150000000</v>
          </cell>
          <cell r="AA167">
            <v>0</v>
          </cell>
          <cell r="AN167">
            <v>150000000</v>
          </cell>
          <cell r="AO167" t="str">
            <v>US EXIM</v>
          </cell>
          <cell r="AP167" t="str">
            <v>-</v>
          </cell>
        </row>
        <row r="168">
          <cell r="A168">
            <v>148</v>
          </cell>
          <cell r="B168">
            <v>0</v>
          </cell>
          <cell r="C168" t="str">
            <v>NON-INFRASTRUKTUR</v>
          </cell>
          <cell r="D168">
            <v>17</v>
          </cell>
          <cell r="E168" t="str">
            <v>Badan Pengkajian dan Penerapan Teknologi</v>
          </cell>
          <cell r="F168" t="str">
            <v>Science Park and Technopark Development Program</v>
          </cell>
          <cell r="G168" t="str">
            <v>A</v>
          </cell>
          <cell r="H168" t="str">
            <v>Program Pembangunan Science Park dan Technopark</v>
          </cell>
          <cell r="I168">
            <v>1</v>
          </cell>
          <cell r="J168" t="str">
            <v>Development of Maritime National Science and Technology Park (NTSP) in the Northern Penajam Paser and Revitalization Infrastructure Marine Survey</v>
          </cell>
          <cell r="O168">
            <v>1</v>
          </cell>
          <cell r="P168">
            <v>1</v>
          </cell>
          <cell r="Q168">
            <v>116</v>
          </cell>
          <cell r="R168">
            <v>114400000</v>
          </cell>
          <cell r="W168" t="str">
            <v>Perancis (AFD)</v>
          </cell>
          <cell r="Z168">
            <v>114400000</v>
          </cell>
          <cell r="AA168">
            <v>0</v>
          </cell>
          <cell r="AN168">
            <v>114400000</v>
          </cell>
          <cell r="AO168" t="str">
            <v>Perancis (AFD)</v>
          </cell>
          <cell r="AP168" t="str">
            <v>-</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SI LENDER&amp;KESIAPAN JUMLAH"/>
      <sheetName val="PU-LAMA2"/>
      <sheetName val="PU-LAMA"/>
      <sheetName val="DATA"/>
      <sheetName val="ALL REV"/>
      <sheetName val="REKAP LENDER REV"/>
      <sheetName val="REKAP PROG REV"/>
      <sheetName val="REKAP KL REV"/>
      <sheetName val="BARU"/>
      <sheetName val="JICA"/>
      <sheetName val="RRT"/>
      <sheetName val="KOREA "/>
      <sheetName val="JERMAN"/>
      <sheetName val="AUSTRIA"/>
      <sheetName val="US EXIM "/>
      <sheetName val="PERANCIS"/>
      <sheetName val="SPANYOL"/>
      <sheetName val="BILA LAIN"/>
      <sheetName val="BD"/>
      <sheetName val="ADB"/>
      <sheetName val="ADB (2)"/>
      <sheetName val="IDB"/>
      <sheetName val="AIIB"/>
      <sheetName val="AIIB (2)"/>
      <sheetName val="IFAD"/>
      <sheetName val="NO LENDER"/>
      <sheetName val="NL ALL"/>
      <sheetName val="NL PART"/>
      <sheetName val="IMTGT"/>
      <sheetName val="NL SFD"/>
      <sheetName val="SSDP"/>
      <sheetName val="PERHUB"/>
      <sheetName val="JALAN"/>
      <sheetName val="SDA"/>
      <sheetName val="PDDKN"/>
      <sheetName val="SEHAT"/>
      <sheetName val="ENERGI"/>
      <sheetName val="PERKIM"/>
      <sheetName val="PERKIM (2)"/>
      <sheetName val="PROSES"/>
      <sheetName val="NO PROSES"/>
      <sheetName val="GB'15&amp;LA"/>
      <sheetName val="STATUS 1MAR'16 (2)"/>
      <sheetName val="ALL-2"/>
      <sheetName val="130 lama"/>
      <sheetName val="ALL-1"/>
      <sheetName val="PENJ.PERUBAHAN"/>
      <sheetName val="BU ANA"/>
      <sheetName val="ALL PENYIAPAN"/>
      <sheetName val="GB15"/>
      <sheetName val="2016&amp;GB15"/>
      <sheetName val="2015&amp;GB15"/>
      <sheetName val="BB 2015-2019 dan Revisinya - 20"/>
    </sheetNames>
    <sheetDataSet>
      <sheetData sheetId="0"/>
      <sheetData sheetId="1"/>
      <sheetData sheetId="2"/>
      <sheetData sheetId="3">
        <row r="2">
          <cell r="B2" t="str">
            <v>I</v>
          </cell>
          <cell r="D2" t="str">
            <v>INFRASTRUKTUR</v>
          </cell>
          <cell r="E2">
            <v>1</v>
          </cell>
          <cell r="F2" t="str">
            <v>Kementerian Pekerjaan Umum dan Perumahan Rakyat</v>
          </cell>
          <cell r="I2" t="str">
            <v>A</v>
          </cell>
          <cell r="J2" t="str">
            <v>Program Pembangunan Jalan Tol</v>
          </cell>
          <cell r="L2" t="str">
            <v>Toll Road Development in Kalimantan, Sumatera, and Java Islands</v>
          </cell>
          <cell r="T2">
            <v>1250000000</v>
          </cell>
          <cell r="U2">
            <v>1250000000</v>
          </cell>
          <cell r="V2">
            <v>101250000</v>
          </cell>
          <cell r="AA2">
            <v>1250000000</v>
          </cell>
        </row>
        <row r="3">
          <cell r="A3">
            <v>1</v>
          </cell>
          <cell r="D3" t="str">
            <v>INFRASTRUKTUR</v>
          </cell>
          <cell r="E3">
            <v>1</v>
          </cell>
          <cell r="F3" t="str">
            <v>Kementerian Pekerjaan Umum dan Perumahan Rakyat</v>
          </cell>
          <cell r="H3" t="str">
            <v>Toll Road Development Program</v>
          </cell>
          <cell r="I3" t="str">
            <v>A</v>
          </cell>
          <cell r="J3" t="str">
            <v>Program Pembangunan Jalan Tol</v>
          </cell>
          <cell r="K3">
            <v>1</v>
          </cell>
          <cell r="W3">
            <v>0</v>
          </cell>
          <cell r="Y3" t="str">
            <v>RRT</v>
          </cell>
          <cell r="AM3" t="str">
            <v>-</v>
          </cell>
          <cell r="AN3" t="str">
            <v>siap</v>
          </cell>
          <cell r="AO3" t="str">
            <v>dalam proses
(pelaksanaan &lt; 50%)</v>
          </cell>
          <cell r="AQ3" t="str">
            <v>-</v>
          </cell>
          <cell r="AR3" t="str">
            <v>belum ada dokumen R/C</v>
          </cell>
          <cell r="AT3">
            <v>1000000000</v>
          </cell>
          <cell r="AU3" t="str">
            <v>RRT</v>
          </cell>
          <cell r="AW3" t="str">
            <v>co-financing dengan Korea (USD 250 juta)</v>
          </cell>
        </row>
        <row r="4">
          <cell r="A4">
            <v>2</v>
          </cell>
          <cell r="D4" t="str">
            <v>INFRASTRUKTUR</v>
          </cell>
          <cell r="E4">
            <v>1</v>
          </cell>
          <cell r="F4" t="str">
            <v>Kementerian Pekerjaan Umum dan Perumahan Rakyat</v>
          </cell>
          <cell r="H4" t="str">
            <v>Toll Road Development Program</v>
          </cell>
          <cell r="I4" t="str">
            <v>A</v>
          </cell>
          <cell r="J4" t="str">
            <v>Program Pembangunan Jalan Tol</v>
          </cell>
          <cell r="K4">
            <v>1</v>
          </cell>
          <cell r="Y4" t="str">
            <v>Korea</v>
          </cell>
          <cell r="AT4">
            <v>250000000</v>
          </cell>
          <cell r="AU4" t="str">
            <v>Korea</v>
          </cell>
          <cell r="AW4" t="str">
            <v>- co-financing dengan RRT (USD 1 Miliar) 
- belum masuk rolling plan EDCF (Korea)</v>
          </cell>
        </row>
        <row r="10">
          <cell r="A10">
            <v>8</v>
          </cell>
          <cell r="D10" t="str">
            <v>INFRASTRUKTUR</v>
          </cell>
          <cell r="E10">
            <v>1</v>
          </cell>
          <cell r="F10" t="str">
            <v>Kementerian Pekerjaan Umum dan Perumahan Rakyat</v>
          </cell>
          <cell r="H10" t="str">
            <v>Development and Improvement of National Bridges Program</v>
          </cell>
          <cell r="I10" t="str">
            <v>B</v>
          </cell>
          <cell r="J10" t="str">
            <v>Program Pembangunan / Peningkatan Jembatan</v>
          </cell>
          <cell r="K10">
            <v>1</v>
          </cell>
          <cell r="L10" t="str">
            <v>Material Procurement for Construction and Bridge Rehabilitation</v>
          </cell>
          <cell r="T10">
            <v>450000000</v>
          </cell>
          <cell r="U10">
            <v>450000000</v>
          </cell>
          <cell r="V10">
            <v>0</v>
          </cell>
          <cell r="W10">
            <v>0</v>
          </cell>
          <cell r="Y10" t="str">
            <v>Spanyol/RRT</v>
          </cell>
          <cell r="AA10">
            <v>450000000</v>
          </cell>
          <cell r="AN10" t="str">
            <v>belum ada keterangan</v>
          </cell>
          <cell r="AO10" t="str">
            <v>belum ada keterangan</v>
          </cell>
          <cell r="AR10" t="str">
            <v>belum ada dokumen R/C</v>
          </cell>
          <cell r="AT10">
            <v>450000000</v>
          </cell>
          <cell r="AU10" t="str">
            <v>Spanyol/RRT</v>
          </cell>
          <cell r="AW10" t="str">
            <v>- Spanyol berminat mendanai sebagian (USD 50-100 juta), tetapi setelah permasalahan proyek LIPI selesai.
- RRT belum ada keputusan.</v>
          </cell>
        </row>
        <row r="11">
          <cell r="A11">
            <v>9</v>
          </cell>
          <cell r="D11" t="str">
            <v>INFRASTRUKTUR</v>
          </cell>
          <cell r="E11">
            <v>1</v>
          </cell>
          <cell r="F11" t="str">
            <v>Kementerian Pekerjaan Umum dan Perumahan Rakyat</v>
          </cell>
          <cell r="H11" t="str">
            <v>Development and Improvement of National Bridges Program</v>
          </cell>
          <cell r="I11" t="str">
            <v>B</v>
          </cell>
          <cell r="J11" t="str">
            <v>Program Pembangunan / Peningkatan Jembatan</v>
          </cell>
          <cell r="K11">
            <v>2</v>
          </cell>
          <cell r="L11" t="str">
            <v>Development of Fly Over/ Under Pass for Railways Crossing</v>
          </cell>
          <cell r="T11">
            <v>250000000</v>
          </cell>
          <cell r="U11">
            <v>250000000</v>
          </cell>
          <cell r="V11">
            <v>50000000</v>
          </cell>
          <cell r="W11">
            <v>0</v>
          </cell>
          <cell r="Y11" t="str">
            <v>JICA</v>
          </cell>
          <cell r="AA11">
            <v>250000000</v>
          </cell>
          <cell r="AN11" t="str">
            <v>dalam proses
(penyusunan FS)</v>
          </cell>
          <cell r="AO11" t="str">
            <v>belum ada keterangan</v>
          </cell>
          <cell r="AR11" t="str">
            <v>belum ada dokumen R/C</v>
          </cell>
          <cell r="AT11">
            <v>250000000</v>
          </cell>
          <cell r="AU11" t="str">
            <v>JICA</v>
          </cell>
          <cell r="AW11" t="str">
            <v>-</v>
          </cell>
        </row>
        <row r="12">
          <cell r="A12">
            <v>10</v>
          </cell>
          <cell r="D12" t="str">
            <v>INFRASTRUKTUR</v>
          </cell>
          <cell r="E12">
            <v>1</v>
          </cell>
          <cell r="F12" t="str">
            <v>Kementerian Pekerjaan Umum dan Perumahan Rakyat</v>
          </cell>
          <cell r="H12" t="str">
            <v>Development and Improvement of National Bridges Program</v>
          </cell>
          <cell r="I12" t="str">
            <v>B</v>
          </cell>
          <cell r="J12" t="str">
            <v>Program Pembangunan / Peningkatan Jembatan</v>
          </cell>
          <cell r="K12">
            <v>3</v>
          </cell>
          <cell r="L12" t="str">
            <v>Development of Fly Over/ Under Pass in Major Cities</v>
          </cell>
          <cell r="T12">
            <v>270000000</v>
          </cell>
          <cell r="U12">
            <v>270000000</v>
          </cell>
          <cell r="V12">
            <v>50000000</v>
          </cell>
          <cell r="W12">
            <v>0</v>
          </cell>
          <cell r="Y12" t="str">
            <v>JICA</v>
          </cell>
          <cell r="AA12">
            <v>270000000</v>
          </cell>
          <cell r="AN12" t="str">
            <v>dalam proses
 (penyusunan FS)</v>
          </cell>
          <cell r="AO12" t="str">
            <v>belum ada keterangan</v>
          </cell>
          <cell r="AR12" t="str">
            <v>belum ada dokumen R/C</v>
          </cell>
          <cell r="AT12">
            <v>270000000</v>
          </cell>
          <cell r="AU12" t="str">
            <v>JICA</v>
          </cell>
          <cell r="AW12" t="str">
            <v>-</v>
          </cell>
        </row>
        <row r="13">
          <cell r="A13">
            <v>11</v>
          </cell>
          <cell r="D13" t="str">
            <v>INFRASTRUKTUR</v>
          </cell>
          <cell r="E13">
            <v>1</v>
          </cell>
          <cell r="F13" t="str">
            <v>Kementerian Pekerjaan Umum dan Perumahan Rakyat</v>
          </cell>
          <cell r="H13" t="str">
            <v>Development and Improvement of National Bridges Program</v>
          </cell>
          <cell r="I13" t="str">
            <v>B</v>
          </cell>
          <cell r="J13" t="str">
            <v>Program Pembangunan / Peningkatan Jembatan</v>
          </cell>
          <cell r="K13">
            <v>4</v>
          </cell>
          <cell r="L13" t="str">
            <v>Balinka - Matur - Ngarai Sianok Tunnel Construction</v>
          </cell>
          <cell r="T13">
            <v>175000000</v>
          </cell>
          <cell r="U13">
            <v>175000000</v>
          </cell>
          <cell r="V13">
            <v>8750000</v>
          </cell>
          <cell r="W13">
            <v>0</v>
          </cell>
          <cell r="Y13" t="str">
            <v>Korea/RRT</v>
          </cell>
          <cell r="AA13">
            <v>175000000</v>
          </cell>
          <cell r="AN13" t="str">
            <v>dalam proses
(memiliki FS dan DED)</v>
          </cell>
          <cell r="AO13" t="str">
            <v>belum ada keterangan</v>
          </cell>
          <cell r="AR13" t="str">
            <v>belum ada dokumen R/C</v>
          </cell>
          <cell r="AT13">
            <v>175000000</v>
          </cell>
          <cell r="AU13" t="str">
            <v>Korea/RRT</v>
          </cell>
          <cell r="AW13" t="str">
            <v>- RRT dan Korea belum ada keputusan</v>
          </cell>
        </row>
        <row r="14">
          <cell r="A14">
            <v>12</v>
          </cell>
          <cell r="D14" t="str">
            <v>INFRASTRUKTUR</v>
          </cell>
          <cell r="E14">
            <v>1</v>
          </cell>
          <cell r="F14" t="str">
            <v>Kementerian Pekerjaan Umum dan Perumahan Rakyat</v>
          </cell>
          <cell r="H14" t="str">
            <v>Development and Improvement of National Bridges Program</v>
          </cell>
          <cell r="I14" t="str">
            <v>B</v>
          </cell>
          <cell r="J14" t="str">
            <v>Program Pembangunan / Peningkatan Jembatan</v>
          </cell>
          <cell r="K14">
            <v>5</v>
          </cell>
          <cell r="L14" t="str">
            <v>Long Span Bridge Development for Selected Area</v>
          </cell>
          <cell r="T14">
            <v>355000000</v>
          </cell>
          <cell r="U14">
            <v>355000000</v>
          </cell>
          <cell r="V14">
            <v>17750000</v>
          </cell>
          <cell r="W14">
            <v>0</v>
          </cell>
          <cell r="Y14" t="str">
            <v>Korea/RRT</v>
          </cell>
          <cell r="AA14">
            <v>355000000</v>
          </cell>
          <cell r="AN14" t="str">
            <v>belum ada keterangan</v>
          </cell>
          <cell r="AO14" t="str">
            <v>belum ada keterangan</v>
          </cell>
          <cell r="AR14" t="str">
            <v>belum ada dokumen R/C</v>
          </cell>
          <cell r="AT14">
            <v>355000000</v>
          </cell>
          <cell r="AU14" t="str">
            <v>Korea/RRT</v>
          </cell>
          <cell r="AW14" t="str">
            <v>- RRT dan Korea belum ada keputusan</v>
          </cell>
        </row>
        <row r="15">
          <cell r="I15" t="str">
            <v>C</v>
          </cell>
          <cell r="L15" t="str">
            <v>Urban Arterial Road Improvement Project</v>
          </cell>
          <cell r="T15">
            <v>250000000</v>
          </cell>
          <cell r="U15">
            <v>205000000</v>
          </cell>
          <cell r="V15">
            <v>50000000</v>
          </cell>
          <cell r="W15">
            <v>0</v>
          </cell>
          <cell r="Y15" t="str">
            <v>JICA</v>
          </cell>
          <cell r="AA15">
            <v>205000000</v>
          </cell>
          <cell r="AN15" t="str">
            <v>siap</v>
          </cell>
          <cell r="AO15" t="str">
            <v>belum ada keterangan</v>
          </cell>
          <cell r="AR15" t="str">
            <v>- nilai proyek berkurang USD 45 juta, dialihkan untuk kegiatan ESP
- belum ada dokumen R/C</v>
          </cell>
          <cell r="AT15">
            <v>205000000</v>
          </cell>
          <cell r="AU15" t="str">
            <v>JICA</v>
          </cell>
          <cell r="AW15" t="str">
            <v>-</v>
          </cell>
        </row>
        <row r="16">
          <cell r="A16">
            <v>14</v>
          </cell>
          <cell r="D16" t="str">
            <v>INFRASTRUKTUR</v>
          </cell>
          <cell r="E16">
            <v>1</v>
          </cell>
          <cell r="F16" t="str">
            <v>Kementerian Pekerjaan Umum dan Perumahan Rakyat</v>
          </cell>
          <cell r="H16" t="str">
            <v>Development and Improvement of National Roads Program</v>
          </cell>
          <cell r="I16" t="str">
            <v>C</v>
          </cell>
          <cell r="J16" t="str">
            <v>Program Pembangunan / Peningkatan Jalan</v>
          </cell>
          <cell r="K16">
            <v>2</v>
          </cell>
          <cell r="L16" t="str">
            <v>Construction of Development of Trans South-South, Eastern Java</v>
          </cell>
          <cell r="T16">
            <v>250000000</v>
          </cell>
          <cell r="U16">
            <v>250000000</v>
          </cell>
          <cell r="V16">
            <v>50000000</v>
          </cell>
          <cell r="W16">
            <v>0</v>
          </cell>
          <cell r="Y16" t="str">
            <v>IDB</v>
          </cell>
          <cell r="AA16">
            <v>250000000</v>
          </cell>
          <cell r="AM16" t="str">
            <v>Rev. 2016</v>
          </cell>
          <cell r="AN16" t="str">
            <v>siap</v>
          </cell>
          <cell r="AO16" t="str">
            <v>belum ada keterangan</v>
          </cell>
          <cell r="AR16" t="str">
            <v>-</v>
          </cell>
          <cell r="AT16">
            <v>250000000</v>
          </cell>
          <cell r="AU16" t="str">
            <v>IDB</v>
          </cell>
          <cell r="AW16" t="str">
            <v>-</v>
          </cell>
        </row>
        <row r="17">
          <cell r="A17">
            <v>15</v>
          </cell>
          <cell r="D17" t="str">
            <v>INFRASTRUKTUR</v>
          </cell>
          <cell r="E17">
            <v>1</v>
          </cell>
          <cell r="F17" t="str">
            <v>Kementerian Pekerjaan Umum dan Perumahan Rakyat</v>
          </cell>
          <cell r="H17" t="str">
            <v>Development and Improvement of National Roads Program</v>
          </cell>
          <cell r="I17" t="str">
            <v>C</v>
          </cell>
          <cell r="J17" t="str">
            <v>Program Pembangunan / Peningkatan Jalan</v>
          </cell>
          <cell r="K17">
            <v>3</v>
          </cell>
          <cell r="L17" t="str">
            <v>Road Improvement Project to Support Integrated Land and Sea Toll Way - Northern Area</v>
          </cell>
          <cell r="T17">
            <v>250000000</v>
          </cell>
          <cell r="U17">
            <v>250000000</v>
          </cell>
          <cell r="V17">
            <v>50000000</v>
          </cell>
          <cell r="W17">
            <v>0</v>
          </cell>
          <cell r="Y17" t="str">
            <v>Bank Dunia</v>
          </cell>
          <cell r="AA17">
            <v>250000000</v>
          </cell>
          <cell r="AN17" t="str">
            <v>belum ada keterangan</v>
          </cell>
          <cell r="AO17" t="str">
            <v>belum ada keterangan</v>
          </cell>
          <cell r="AR17" t="str">
            <v>belum ada dokumen R/C</v>
          </cell>
          <cell r="AT17">
            <v>250000000</v>
          </cell>
          <cell r="AU17" t="str">
            <v>Bank Dunia</v>
          </cell>
          <cell r="AW17" t="str">
            <v>-</v>
          </cell>
        </row>
        <row r="18">
          <cell r="A18">
            <v>16</v>
          </cell>
          <cell r="D18" t="str">
            <v>INFRASTRUKTUR</v>
          </cell>
          <cell r="E18">
            <v>1</v>
          </cell>
          <cell r="F18" t="str">
            <v>Kementerian Pekerjaan Umum dan Perumahan Rakyat</v>
          </cell>
          <cell r="H18" t="str">
            <v>Development and Improvement of National Roads Program</v>
          </cell>
          <cell r="I18" t="str">
            <v>C</v>
          </cell>
          <cell r="J18" t="str">
            <v>Program Pembangunan / Peningkatan Jalan</v>
          </cell>
          <cell r="K18">
            <v>4</v>
          </cell>
          <cell r="L18" t="str">
            <v>Road Improvement Project to Support Integrated Land and Sea Toll Way - Southern Area</v>
          </cell>
          <cell r="T18">
            <v>250000000</v>
          </cell>
          <cell r="U18">
            <v>250000000</v>
          </cell>
          <cell r="V18">
            <v>50000000</v>
          </cell>
          <cell r="W18">
            <v>0</v>
          </cell>
          <cell r="Y18" t="str">
            <v>Bank Dunia/ADB</v>
          </cell>
          <cell r="AA18">
            <v>250000000</v>
          </cell>
          <cell r="AN18" t="str">
            <v>belum ada keterangan</v>
          </cell>
          <cell r="AO18" t="str">
            <v>belum ada keterangan</v>
          </cell>
          <cell r="AR18" t="str">
            <v>belum ada dokumen R/C</v>
          </cell>
          <cell r="AT18">
            <v>250000000</v>
          </cell>
          <cell r="AU18" t="str">
            <v>Bank Dunia</v>
          </cell>
          <cell r="AW18" t="str">
            <v>- usulan K/L lender: Bank Dunia/ADB. 
- Hanya Bank Dunia saja yang berminat.</v>
          </cell>
        </row>
        <row r="19">
          <cell r="A19">
            <v>17</v>
          </cell>
          <cell r="D19" t="str">
            <v>INFRASTRUKTUR</v>
          </cell>
          <cell r="E19">
            <v>1</v>
          </cell>
          <cell r="F19" t="str">
            <v>Kementerian Pekerjaan Umum dan Perumahan Rakyat</v>
          </cell>
          <cell r="H19" t="str">
            <v>Development and Improvement of National Roads Program</v>
          </cell>
          <cell r="I19" t="str">
            <v>C</v>
          </cell>
          <cell r="J19" t="str">
            <v>Program Pembangunan / Peningkatan Jalan</v>
          </cell>
          <cell r="K19">
            <v>5</v>
          </cell>
          <cell r="L19" t="str">
            <v>National Road Improvement in West and South Kalimantan</v>
          </cell>
          <cell r="T19">
            <v>250000000</v>
          </cell>
          <cell r="U19">
            <v>250000000</v>
          </cell>
          <cell r="V19">
            <v>50000000</v>
          </cell>
          <cell r="W19">
            <v>0</v>
          </cell>
          <cell r="Y19" t="str">
            <v>IDB</v>
          </cell>
          <cell r="AA19">
            <v>250000000</v>
          </cell>
          <cell r="AN19" t="str">
            <v>belum ada keterangan</v>
          </cell>
          <cell r="AO19" t="str">
            <v>belum ada keterangan</v>
          </cell>
          <cell r="AR19" t="str">
            <v>belum ada dokumen R/C</v>
          </cell>
          <cell r="AT19">
            <v>250000000</v>
          </cell>
          <cell r="AU19" t="str">
            <v>IDB</v>
          </cell>
          <cell r="AW19" t="str">
            <v>-</v>
          </cell>
        </row>
        <row r="20">
          <cell r="A20">
            <v>18</v>
          </cell>
          <cell r="D20" t="str">
            <v>INFRASTRUKTUR</v>
          </cell>
          <cell r="E20">
            <v>1</v>
          </cell>
          <cell r="F20" t="str">
            <v>Kementerian Pekerjaan Umum dan Perumahan Rakyat</v>
          </cell>
          <cell r="H20" t="str">
            <v>Development and Improvement of National Roads Program</v>
          </cell>
          <cell r="I20" t="str">
            <v>C</v>
          </cell>
          <cell r="J20" t="str">
            <v>Program Pembangunan / Peningkatan Jalan</v>
          </cell>
          <cell r="K20">
            <v>6</v>
          </cell>
          <cell r="L20" t="str">
            <v>National Road Improvement in Central Kalimantan</v>
          </cell>
          <cell r="T20">
            <v>250000000</v>
          </cell>
          <cell r="U20">
            <v>250000000</v>
          </cell>
          <cell r="V20">
            <v>50000000</v>
          </cell>
          <cell r="W20">
            <v>0</v>
          </cell>
          <cell r="Y20" t="str">
            <v>Bank Dunia/ADB</v>
          </cell>
          <cell r="AA20">
            <v>250000000</v>
          </cell>
          <cell r="AN20" t="str">
            <v>siap</v>
          </cell>
          <cell r="AO20" t="str">
            <v>belum ada keterangan</v>
          </cell>
          <cell r="AR20" t="str">
            <v>belum ada dokumen R/C</v>
          </cell>
          <cell r="AT20">
            <v>250000000</v>
          </cell>
          <cell r="AU20" t="str">
            <v>Belum Ada Indikasi</v>
          </cell>
          <cell r="AW20" t="str">
            <v>usulan K/L lender: Bank Dunia/ADB. Kedua calon lender tidak berminat mendanai proyek ini.</v>
          </cell>
        </row>
        <row r="21">
          <cell r="A21">
            <v>19</v>
          </cell>
          <cell r="D21" t="str">
            <v>INFRASTRUKTUR</v>
          </cell>
          <cell r="E21">
            <v>1</v>
          </cell>
          <cell r="F21" t="str">
            <v>Kementerian Pekerjaan Umum dan Perumahan Rakyat</v>
          </cell>
          <cell r="H21" t="str">
            <v>Development and Improvement of National Roads Program</v>
          </cell>
          <cell r="I21" t="str">
            <v>C</v>
          </cell>
          <cell r="J21" t="str">
            <v>Program Pembangunan / Peningkatan Jalan</v>
          </cell>
          <cell r="K21">
            <v>7</v>
          </cell>
          <cell r="L21" t="str">
            <v>National Road Improvement in North and East Kalimantan</v>
          </cell>
          <cell r="T21">
            <v>250000000</v>
          </cell>
          <cell r="U21">
            <v>250000000</v>
          </cell>
          <cell r="V21">
            <v>50000000</v>
          </cell>
          <cell r="W21">
            <v>0</v>
          </cell>
          <cell r="Y21" t="str">
            <v>IDB</v>
          </cell>
          <cell r="AA21">
            <v>250000000</v>
          </cell>
          <cell r="AN21" t="str">
            <v>siap</v>
          </cell>
          <cell r="AO21" t="str">
            <v>belum ada keterangan</v>
          </cell>
          <cell r="AR21" t="str">
            <v>belum ada dokumen R/C</v>
          </cell>
          <cell r="AT21">
            <v>250000000</v>
          </cell>
          <cell r="AU21" t="str">
            <v>AIIB</v>
          </cell>
          <cell r="AW21" t="str">
            <v>- usulan K/L semula lender: IDB. 
- Pihak IDB tidak berminat mendanai kegiatan ini, diusulkan kepada AIIB.</v>
          </cell>
        </row>
        <row r="22">
          <cell r="A22">
            <v>20</v>
          </cell>
          <cell r="D22" t="str">
            <v>INFRASTRUKTUR</v>
          </cell>
          <cell r="E22">
            <v>1</v>
          </cell>
          <cell r="F22" t="str">
            <v>Kementerian Pekerjaan Umum dan Perumahan Rakyat</v>
          </cell>
          <cell r="H22" t="str">
            <v>Development and Improvement of National Roads Program</v>
          </cell>
          <cell r="I22" t="str">
            <v>C</v>
          </cell>
          <cell r="J22" t="str">
            <v>Program Pembangunan / Peningkatan Jalan</v>
          </cell>
          <cell r="K22">
            <v>8</v>
          </cell>
          <cell r="L22" t="str">
            <v>Road Improvement Project in Sulawesi Island and Major Cities</v>
          </cell>
          <cell r="T22">
            <v>250000000</v>
          </cell>
          <cell r="U22">
            <v>250000000</v>
          </cell>
          <cell r="V22">
            <v>50000000</v>
          </cell>
          <cell r="W22">
            <v>0</v>
          </cell>
          <cell r="Y22" t="str">
            <v>IDB</v>
          </cell>
          <cell r="AA22">
            <v>250000000</v>
          </cell>
          <cell r="AN22" t="str">
            <v>siap</v>
          </cell>
          <cell r="AO22" t="str">
            <v>belum ada keterangan</v>
          </cell>
          <cell r="AR22" t="str">
            <v>belum ada dokumen R/C</v>
          </cell>
          <cell r="AT22">
            <v>250000000</v>
          </cell>
          <cell r="AU22" t="str">
            <v>IDB</v>
          </cell>
          <cell r="AW22" t="str">
            <v>-</v>
          </cell>
        </row>
        <row r="23">
          <cell r="L23" t="str">
            <v>Engineering Service for National Roads Development Project</v>
          </cell>
          <cell r="T23">
            <v>0</v>
          </cell>
          <cell r="U23">
            <v>45000000</v>
          </cell>
          <cell r="V23">
            <v>0</v>
          </cell>
          <cell r="W23">
            <v>0</v>
          </cell>
          <cell r="Y23" t="str">
            <v>ADB</v>
          </cell>
          <cell r="AA23">
            <v>45000000</v>
          </cell>
          <cell r="AM23" t="str">
            <v>2016; 2015</v>
          </cell>
          <cell r="AN23" t="str">
            <v>siap</v>
          </cell>
          <cell r="AO23" t="str">
            <v>tidak butuh lahan</v>
          </cell>
          <cell r="AR23" t="str">
            <v>-</v>
          </cell>
          <cell r="AT23">
            <v>45000000</v>
          </cell>
          <cell r="AU23" t="str">
            <v>ADB</v>
          </cell>
          <cell r="AW23" t="str">
            <v>-</v>
          </cell>
        </row>
        <row r="24">
          <cell r="I24" t="str">
            <v>D</v>
          </cell>
          <cell r="J24" t="str">
            <v>Program Pembangunan Air Minum</v>
          </cell>
        </row>
        <row r="25">
          <cell r="A25">
            <v>22</v>
          </cell>
          <cell r="D25" t="str">
            <v>INFRASTRUKTUR</v>
          </cell>
          <cell r="E25">
            <v>1</v>
          </cell>
          <cell r="F25" t="str">
            <v>Kementerian Pekerjaan Umum dan Perumahan Rakyat</v>
          </cell>
          <cell r="H25" t="str">
            <v>Drinking Water Development Program</v>
          </cell>
          <cell r="I25" t="str">
            <v>D</v>
          </cell>
          <cell r="J25" t="str">
            <v>Program Pembangunan Air Minum</v>
          </cell>
          <cell r="K25">
            <v>2</v>
          </cell>
          <cell r="L25" t="str">
            <v>National Urban Water Supply</v>
          </cell>
          <cell r="T25">
            <v>100000000</v>
          </cell>
          <cell r="U25">
            <v>100000000</v>
          </cell>
          <cell r="V25">
            <v>5000000</v>
          </cell>
          <cell r="W25">
            <v>0</v>
          </cell>
          <cell r="Y25" t="str">
            <v>Bank Dunia</v>
          </cell>
          <cell r="AA25">
            <v>100000000</v>
          </cell>
          <cell r="AN25" t="str">
            <v>belum ada keterangan</v>
          </cell>
          <cell r="AO25" t="str">
            <v>belum ada keterangan</v>
          </cell>
          <cell r="AR25" t="str">
            <v>belum ada dokumen R/C</v>
          </cell>
          <cell r="AT25">
            <v>100000000</v>
          </cell>
          <cell r="AU25" t="str">
            <v>Bank Dunia</v>
          </cell>
          <cell r="AW25" t="str">
            <v>-</v>
          </cell>
        </row>
        <row r="27">
          <cell r="A27">
            <v>24</v>
          </cell>
          <cell r="D27" t="str">
            <v>INFRASTRUKTUR</v>
          </cell>
          <cell r="E27">
            <v>1</v>
          </cell>
          <cell r="F27" t="str">
            <v>Kementerian Pekerjaan Umum dan Perumahan Rakyat</v>
          </cell>
          <cell r="H27" t="str">
            <v>Drinking Water Development Program</v>
          </cell>
          <cell r="I27" t="str">
            <v>D</v>
          </cell>
          <cell r="J27" t="str">
            <v>Program Pembangunan Air Minum</v>
          </cell>
          <cell r="K27">
            <v>3</v>
          </cell>
          <cell r="L27" t="str">
            <v>Mamminasata Water Supply Development Project</v>
          </cell>
          <cell r="T27">
            <v>100000000</v>
          </cell>
          <cell r="U27">
            <v>100000000</v>
          </cell>
          <cell r="V27">
            <v>5000000</v>
          </cell>
          <cell r="W27">
            <v>0</v>
          </cell>
          <cell r="Y27" t="str">
            <v>JICA</v>
          </cell>
          <cell r="AA27">
            <v>100000000</v>
          </cell>
          <cell r="AN27" t="str">
            <v>siap</v>
          </cell>
          <cell r="AO27" t="str">
            <v>dalam proses
(persiapan)</v>
          </cell>
          <cell r="AR27" t="str">
            <v>belum ada dokumen R/C</v>
          </cell>
          <cell r="AT27">
            <v>100000000</v>
          </cell>
          <cell r="AU27" t="str">
            <v>JICA</v>
          </cell>
          <cell r="AW27" t="str">
            <v>-</v>
          </cell>
        </row>
        <row r="28">
          <cell r="A28">
            <v>25</v>
          </cell>
          <cell r="D28" t="str">
            <v>INFRASTRUKTUR</v>
          </cell>
          <cell r="E28">
            <v>1</v>
          </cell>
          <cell r="F28" t="str">
            <v>Kementerian Pekerjaan Umum dan Perumahan Rakyat</v>
          </cell>
          <cell r="H28" t="str">
            <v>Drinking Water Development Program</v>
          </cell>
          <cell r="I28" t="str">
            <v>D</v>
          </cell>
          <cell r="J28" t="str">
            <v>Program Pembangunan Air Minum</v>
          </cell>
          <cell r="K28">
            <v>3</v>
          </cell>
          <cell r="L28" t="str">
            <v>The Development of Regional Water Supply System in Benteng Kobema</v>
          </cell>
          <cell r="T28">
            <v>74300000</v>
          </cell>
          <cell r="U28">
            <v>74300000</v>
          </cell>
          <cell r="V28">
            <v>3715000</v>
          </cell>
          <cell r="W28">
            <v>0</v>
          </cell>
          <cell r="Y28" t="str">
            <v>Bank Dunia/JICA/ADB</v>
          </cell>
          <cell r="AA28">
            <v>74300000</v>
          </cell>
          <cell r="AN28" t="str">
            <v>dalam proses
(penyusunan FS)</v>
          </cell>
          <cell r="AO28" t="str">
            <v>dalam proses
(persiapan)</v>
          </cell>
          <cell r="AR28" t="str">
            <v>belum ada dokumen R/C</v>
          </cell>
          <cell r="AT28">
            <v>74300000</v>
          </cell>
          <cell r="AU28" t="str">
            <v>Bank Dunia</v>
          </cell>
          <cell r="AW28" t="str">
            <v>- usulan K/L lender: Bank Dunia/JICA/ADB. 
- Pihak Bank Dunia berminat, ADB dan JICA tidak minat.</v>
          </cell>
        </row>
        <row r="29">
          <cell r="A29">
            <v>26</v>
          </cell>
          <cell r="D29" t="str">
            <v>INFRASTRUKTUR</v>
          </cell>
          <cell r="E29">
            <v>1</v>
          </cell>
          <cell r="F29" t="str">
            <v>Kementerian Pekerjaan Umum dan Perumahan Rakyat</v>
          </cell>
          <cell r="H29" t="str">
            <v>Drinking Water Development Program</v>
          </cell>
          <cell r="I29" t="str">
            <v>D</v>
          </cell>
          <cell r="J29" t="str">
            <v>Program Pembangunan Air Minum</v>
          </cell>
          <cell r="K29">
            <v>3</v>
          </cell>
          <cell r="L29" t="str">
            <v>The Development of Regional Water Supply System in Wosusokas</v>
          </cell>
          <cell r="T29">
            <v>106200000</v>
          </cell>
          <cell r="U29">
            <v>106200000</v>
          </cell>
          <cell r="V29">
            <v>5310000</v>
          </cell>
          <cell r="W29">
            <v>0</v>
          </cell>
          <cell r="Y29" t="str">
            <v>Jerman (KfW)</v>
          </cell>
          <cell r="AA29">
            <v>106200000</v>
          </cell>
          <cell r="AN29" t="str">
            <v>dalam proses
(penyusunan FS)</v>
          </cell>
          <cell r="AO29" t="str">
            <v>dalam proses
(persiapan)</v>
          </cell>
          <cell r="AR29" t="str">
            <v>belum ada dokumen R/C</v>
          </cell>
          <cell r="AT29">
            <v>106200000</v>
          </cell>
          <cell r="AU29" t="str">
            <v>Jerman (KfW)</v>
          </cell>
          <cell r="AW29" t="str">
            <v>-</v>
          </cell>
        </row>
        <row r="30">
          <cell r="A30">
            <v>27</v>
          </cell>
          <cell r="D30" t="str">
            <v>INFRASTRUKTUR</v>
          </cell>
          <cell r="E30">
            <v>1</v>
          </cell>
          <cell r="F30" t="str">
            <v>Kementerian Pekerjaan Umum dan Perumahan Rakyat</v>
          </cell>
          <cell r="H30" t="str">
            <v>Drinking Water Development Program</v>
          </cell>
          <cell r="I30" t="str">
            <v>D</v>
          </cell>
          <cell r="J30" t="str">
            <v>Program Pembangunan Air Minum</v>
          </cell>
          <cell r="K30">
            <v>3</v>
          </cell>
          <cell r="L30" t="str">
            <v>The Development of Regional Water Supply System of Jatigede</v>
          </cell>
          <cell r="T30">
            <v>167000000</v>
          </cell>
          <cell r="U30">
            <v>140620000</v>
          </cell>
          <cell r="V30">
            <v>8350000</v>
          </cell>
          <cell r="W30">
            <v>0</v>
          </cell>
          <cell r="Y30" t="str">
            <v>Bank Dunia/JICA/ADB</v>
          </cell>
          <cell r="AA30">
            <v>140620000</v>
          </cell>
          <cell r="AN30" t="str">
            <v>belum ada keterangan</v>
          </cell>
          <cell r="AO30" t="str">
            <v>belum ada keterangan</v>
          </cell>
          <cell r="AR30" t="str">
            <v>- nilai pinjaman berkurang sebesar USD 26,38 juta untuk kegiatan ES
- belum ada dokumen R/C</v>
          </cell>
          <cell r="AT30">
            <v>140620000</v>
          </cell>
          <cell r="AU30" t="str">
            <v>Belum Ada Indikasi</v>
          </cell>
          <cell r="AW30" t="str">
            <v>- terdapat pengurangan nilai pinjaman sebesar USD 26,38 juta yang dialihkan untuk membiayai kegiatan ES.
- usulan K/L lender: Bank Dunia/JICA/ADB. 
- Pihak Bank Dunia, ADB, dan JICA tidak berminat.</v>
          </cell>
        </row>
        <row r="31">
          <cell r="A31">
            <v>28</v>
          </cell>
          <cell r="D31" t="str">
            <v>INFRASTRUKTUR</v>
          </cell>
          <cell r="E31">
            <v>1</v>
          </cell>
          <cell r="F31" t="str">
            <v>Kementerian Pekerjaan Umum dan Perumahan Rakyat</v>
          </cell>
          <cell r="H31" t="str">
            <v>Drinking Water Development Program</v>
          </cell>
          <cell r="I31" t="str">
            <v>D</v>
          </cell>
          <cell r="J31" t="str">
            <v>Program Pembangunan Air Minum</v>
          </cell>
          <cell r="K31">
            <v>3</v>
          </cell>
          <cell r="L31" t="str">
            <v>The Development of Regional Water Supply System of Petanglong</v>
          </cell>
          <cell r="T31">
            <v>95380000</v>
          </cell>
          <cell r="U31">
            <v>95380000</v>
          </cell>
          <cell r="V31">
            <v>4769000</v>
          </cell>
          <cell r="W31">
            <v>0</v>
          </cell>
          <cell r="Y31" t="str">
            <v>Bank Dunia/JICA/ADB</v>
          </cell>
          <cell r="AA31">
            <v>95380000</v>
          </cell>
          <cell r="AN31" t="str">
            <v>belum ada keterangan</v>
          </cell>
          <cell r="AO31" t="str">
            <v>belum ada keterangan</v>
          </cell>
          <cell r="AR31" t="str">
            <v>belum ada dokumen R/C</v>
          </cell>
          <cell r="AT31">
            <v>95380000</v>
          </cell>
          <cell r="AU31" t="str">
            <v>Belum Ada Indikasi</v>
          </cell>
          <cell r="AW31" t="str">
            <v>- usulan K/L lender: Bank Dunia/JICA/ADB. 
- Pihak Bank Dunia, ADB, dan JICA tidak berminat.</v>
          </cell>
        </row>
        <row r="32">
          <cell r="A32">
            <v>29</v>
          </cell>
          <cell r="D32" t="str">
            <v>INFRASTRUKTUR</v>
          </cell>
          <cell r="E32">
            <v>1</v>
          </cell>
          <cell r="F32" t="str">
            <v>Kementerian Pekerjaan Umum dan Perumahan Rakyat</v>
          </cell>
          <cell r="H32" t="str">
            <v>Drinking Water Development Program</v>
          </cell>
          <cell r="I32" t="str">
            <v>D</v>
          </cell>
          <cell r="J32" t="str">
            <v>Program Pembangunan Air Minum</v>
          </cell>
          <cell r="K32">
            <v>3</v>
          </cell>
          <cell r="L32" t="str">
            <v>The Development of Regional Water Supply System of Durolis</v>
          </cell>
          <cell r="T32">
            <v>33400000</v>
          </cell>
          <cell r="U32">
            <v>33400000</v>
          </cell>
          <cell r="V32">
            <v>1670000</v>
          </cell>
          <cell r="W32">
            <v>0</v>
          </cell>
          <cell r="Y32" t="str">
            <v>Bank Dunia/JICA/ADB</v>
          </cell>
          <cell r="AA32">
            <v>33400000</v>
          </cell>
          <cell r="AN32" t="str">
            <v>siap</v>
          </cell>
          <cell r="AO32" t="str">
            <v>siap</v>
          </cell>
          <cell r="AR32" t="str">
            <v>belum ada dokumen R/C</v>
          </cell>
          <cell r="AT32">
            <v>33400000</v>
          </cell>
          <cell r="AU32" t="str">
            <v>Belum Ada Indikasi</v>
          </cell>
          <cell r="AW32" t="str">
            <v>- usulan K/L lender: Bank Dunia/JICA/ADB.
- Pihak Bank Dunia, ADB, dan JICA tidak berminat.</v>
          </cell>
        </row>
        <row r="33">
          <cell r="A33">
            <v>30</v>
          </cell>
          <cell r="D33" t="str">
            <v>INFRASTRUKTUR</v>
          </cell>
          <cell r="E33">
            <v>1</v>
          </cell>
          <cell r="F33" t="str">
            <v>Kementerian Pekerjaan Umum dan Perumahan Rakyat</v>
          </cell>
          <cell r="H33" t="str">
            <v>Drinking Water Development Program</v>
          </cell>
          <cell r="I33" t="str">
            <v>D</v>
          </cell>
          <cell r="J33" t="str">
            <v>Program Pembangunan Air Minum</v>
          </cell>
          <cell r="K33">
            <v>3</v>
          </cell>
          <cell r="L33" t="str">
            <v>The Development of Regional Water Supply System of  Banten - Jakarta from Karian Dam</v>
          </cell>
          <cell r="T33">
            <v>40000000</v>
          </cell>
          <cell r="U33">
            <v>40000000</v>
          </cell>
          <cell r="V33">
            <v>2000000</v>
          </cell>
          <cell r="W33">
            <v>0</v>
          </cell>
          <cell r="Y33" t="str">
            <v>Korea</v>
          </cell>
          <cell r="AA33">
            <v>40000000</v>
          </cell>
          <cell r="AN33" t="str">
            <v>dalam proses
(memiliki FS)</v>
          </cell>
          <cell r="AO33" t="str">
            <v>dalam proses
(persiapan)</v>
          </cell>
          <cell r="AR33" t="str">
            <v>belum ada dokumen R/C</v>
          </cell>
          <cell r="AT33">
            <v>40000000</v>
          </cell>
          <cell r="AU33" t="str">
            <v>Korea</v>
          </cell>
          <cell r="AW33" t="str">
            <v>belum masuk rolling plan EDCF (Korea)</v>
          </cell>
        </row>
        <row r="34">
          <cell r="A34">
            <v>31</v>
          </cell>
          <cell r="D34" t="str">
            <v>INFRASTRUKTUR</v>
          </cell>
          <cell r="E34">
            <v>1</v>
          </cell>
          <cell r="F34" t="str">
            <v>Kementerian Pekerjaan Umum dan Perumahan Rakyat</v>
          </cell>
          <cell r="H34" t="str">
            <v>Drinking Water Development Program</v>
          </cell>
          <cell r="I34" t="str">
            <v>D</v>
          </cell>
          <cell r="J34" t="str">
            <v>Program Pembangunan Air Minum</v>
          </cell>
          <cell r="K34">
            <v>3</v>
          </cell>
          <cell r="L34" t="str">
            <v>The Development of Regional Water Supply System of Mebidang</v>
          </cell>
          <cell r="T34">
            <v>56400000</v>
          </cell>
          <cell r="U34">
            <v>56400000</v>
          </cell>
          <cell r="V34">
            <v>2820000</v>
          </cell>
          <cell r="W34">
            <v>0</v>
          </cell>
          <cell r="Y34" t="str">
            <v>Jerman (KfW)</v>
          </cell>
          <cell r="AA34">
            <v>56400000</v>
          </cell>
          <cell r="AN34" t="str">
            <v>dalam proses
(memiliki FS dan DED)</v>
          </cell>
          <cell r="AO34" t="str">
            <v>dalam proses
(persiapan)</v>
          </cell>
          <cell r="AR34" t="str">
            <v>belum ada dokumen R/C</v>
          </cell>
          <cell r="AT34">
            <v>56400000</v>
          </cell>
          <cell r="AU34" t="str">
            <v>Jerman (KfW)</v>
          </cell>
          <cell r="AW34" t="str">
            <v>-</v>
          </cell>
        </row>
        <row r="36">
          <cell r="A36">
            <v>33</v>
          </cell>
          <cell r="D36" t="str">
            <v>INFRASTRUKTUR</v>
          </cell>
          <cell r="E36">
            <v>1</v>
          </cell>
          <cell r="F36" t="str">
            <v>Kementerian Pekerjaan Umum dan Perumahan Rakyat</v>
          </cell>
          <cell r="H36" t="str">
            <v>Drinking Water Development Program</v>
          </cell>
          <cell r="I36" t="str">
            <v>D</v>
          </cell>
          <cell r="J36" t="str">
            <v>Program Pembangunan Air Minum</v>
          </cell>
          <cell r="K36">
            <v>4</v>
          </cell>
          <cell r="L36" t="str">
            <v>Small Scale Water Treatment Plants for Emergency Relief</v>
          </cell>
          <cell r="T36">
            <v>25000000</v>
          </cell>
          <cell r="U36">
            <v>25000000</v>
          </cell>
          <cell r="V36">
            <v>800000</v>
          </cell>
          <cell r="W36">
            <v>0</v>
          </cell>
          <cell r="Y36" t="str">
            <v>Spanyol</v>
          </cell>
          <cell r="AA36">
            <v>25000000</v>
          </cell>
          <cell r="AM36" t="str">
            <v>2016; 2015</v>
          </cell>
          <cell r="AN36" t="str">
            <v>siap</v>
          </cell>
          <cell r="AO36" t="str">
            <v>dalam proses
(persiapan)</v>
          </cell>
          <cell r="AR36" t="str">
            <v>Nilai pinjaman di:
- GB 16 USD 14.848 ribu
- GB 15 USD 25.000 ribu</v>
          </cell>
          <cell r="AT36">
            <v>25000000</v>
          </cell>
          <cell r="AU36" t="str">
            <v>Spanyol</v>
          </cell>
          <cell r="AW36" t="str">
            <v>-</v>
          </cell>
        </row>
        <row r="37">
          <cell r="V37">
            <v>5000000</v>
          </cell>
          <cell r="W37">
            <v>0</v>
          </cell>
        </row>
        <row r="39">
          <cell r="L39" t="str">
            <v>IKK Water Supply Program and Small Water Treatment Plant for Water Scarcity Area</v>
          </cell>
          <cell r="Y39" t="str">
            <v>IDB</v>
          </cell>
          <cell r="AA39">
            <v>50000000</v>
          </cell>
          <cell r="AN39" t="str">
            <v>siap</v>
          </cell>
          <cell r="AO39" t="str">
            <v>dalam proses
(pelaksanaan &lt;50%)</v>
          </cell>
          <cell r="AR39" t="str">
            <v>belum ada dokumen R/C</v>
          </cell>
          <cell r="AT39">
            <v>50000000</v>
          </cell>
          <cell r="AU39" t="str">
            <v>Belum Ada Indikasi</v>
          </cell>
          <cell r="AW39" t="str">
            <v>- usulan K/L lender:IDB.
- pihak IDB tidak berminat mendanai kegiatan ini, diusulkan kepada AIIB.
- Indikasi Lender AIIB menjadi belum ada indikasi (konfirmasi tgl 29 Jan'16)</v>
          </cell>
        </row>
        <row r="40">
          <cell r="L40" t="str">
            <v>Engineering Service for Water Supply Development Project</v>
          </cell>
          <cell r="T40">
            <v>0</v>
          </cell>
          <cell r="U40">
            <v>26380000</v>
          </cell>
          <cell r="V40">
            <v>0</v>
          </cell>
          <cell r="W40">
            <v>0</v>
          </cell>
          <cell r="Y40" t="str">
            <v>ADB</v>
          </cell>
          <cell r="AA40">
            <v>26380000</v>
          </cell>
          <cell r="AM40" t="str">
            <v>2015; 2016</v>
          </cell>
          <cell r="AN40" t="str">
            <v>siap</v>
          </cell>
          <cell r="AO40" t="str">
            <v>tidak butuh lahan</v>
          </cell>
          <cell r="AR40" t="str">
            <v>-</v>
          </cell>
          <cell r="AT40">
            <v>26380000</v>
          </cell>
          <cell r="AU40" t="str">
            <v>ADB</v>
          </cell>
          <cell r="AW40" t="str">
            <v>-</v>
          </cell>
        </row>
        <row r="41">
          <cell r="I41" t="str">
            <v>E</v>
          </cell>
          <cell r="J41" t="str">
            <v>Program Pembangunan Sistem Pengelolaan Air Limbah</v>
          </cell>
          <cell r="T41">
            <v>250000000</v>
          </cell>
          <cell r="U41">
            <v>250000000</v>
          </cell>
          <cell r="V41">
            <v>12500000</v>
          </cell>
          <cell r="W41">
            <v>0</v>
          </cell>
        </row>
        <row r="42">
          <cell r="L42" t="str">
            <v>Community Based Sanitation Program (SANIMAS)</v>
          </cell>
          <cell r="Y42" t="str">
            <v>ADB</v>
          </cell>
          <cell r="AA42">
            <v>125000000</v>
          </cell>
          <cell r="AN42" t="str">
            <v>belum ada keterangan</v>
          </cell>
          <cell r="AO42" t="str">
            <v>tidak butuh lahan</v>
          </cell>
          <cell r="AR42" t="str">
            <v>- untuk wilayah Timur
- belum ada dokumen R/C</v>
          </cell>
          <cell r="AT42">
            <v>125000000</v>
          </cell>
          <cell r="AU42" t="str">
            <v>ADB</v>
          </cell>
          <cell r="AW42" t="str">
            <v>-</v>
          </cell>
        </row>
        <row r="43">
          <cell r="Y43" t="str">
            <v>IDB</v>
          </cell>
          <cell r="AA43">
            <v>125000000</v>
          </cell>
          <cell r="AR43" t="str">
            <v>- untuk wilayah Barat
- belum ada dokumen R/C</v>
          </cell>
          <cell r="AT43">
            <v>125000000</v>
          </cell>
          <cell r="AU43" t="str">
            <v>IDB</v>
          </cell>
          <cell r="AW43" t="str">
            <v>-</v>
          </cell>
        </row>
        <row r="44">
          <cell r="A44">
            <v>36</v>
          </cell>
          <cell r="D44" t="str">
            <v>INFRASTRUKTUR</v>
          </cell>
          <cell r="E44">
            <v>1</v>
          </cell>
          <cell r="F44" t="str">
            <v>Kementerian Pekerjaan Umum dan Perumahan Rakyat</v>
          </cell>
          <cell r="H44" t="str">
            <v>Development of Waste Water Management Program</v>
          </cell>
          <cell r="I44" t="str">
            <v>E</v>
          </cell>
          <cell r="J44" t="str">
            <v>Program Pembangunan Sistem Pengelolaan Air Limbah</v>
          </cell>
          <cell r="K44">
            <v>2</v>
          </cell>
          <cell r="L44" t="str">
            <v>Jakarta Sewerage Development Project - Zone 1 and Zone 6</v>
          </cell>
          <cell r="T44">
            <v>1950000000</v>
          </cell>
          <cell r="U44">
            <v>1950000000</v>
          </cell>
          <cell r="V44">
            <v>97500000</v>
          </cell>
          <cell r="Y44" t="str">
            <v>JICA</v>
          </cell>
          <cell r="AA44">
            <v>1950000000</v>
          </cell>
          <cell r="AN44" t="str">
            <v>dalam proses
(memiliki FS)</v>
          </cell>
          <cell r="AO44" t="str">
            <v>dalam proses</v>
          </cell>
          <cell r="AR44" t="str">
            <v>- Zona I: dalam pelaksanaan ES (tender konsultan)
- belum ada dokumen R/C</v>
          </cell>
          <cell r="AT44">
            <v>1950000000</v>
          </cell>
          <cell r="AU44" t="str">
            <v>JICA</v>
          </cell>
          <cell r="AW44" t="str">
            <v>-</v>
          </cell>
        </row>
        <row r="45">
          <cell r="A45">
            <v>37</v>
          </cell>
          <cell r="D45" t="str">
            <v>INFRASTRUKTUR</v>
          </cell>
          <cell r="E45">
            <v>1</v>
          </cell>
          <cell r="F45" t="str">
            <v>Kementerian Pekerjaan Umum dan Perumahan Rakyat</v>
          </cell>
          <cell r="H45" t="str">
            <v>Development of Waste Water Management Program</v>
          </cell>
          <cell r="I45" t="str">
            <v>E</v>
          </cell>
          <cell r="J45" t="str">
            <v>Program Pembangunan Sistem Pengelolaan Air Limbah</v>
          </cell>
          <cell r="K45">
            <v>3</v>
          </cell>
          <cell r="L45" t="str">
            <v>The Development of Sewage Treatment Plant Facility in Priority Area</v>
          </cell>
          <cell r="T45">
            <v>75000000</v>
          </cell>
          <cell r="U45">
            <v>75000000</v>
          </cell>
          <cell r="V45">
            <v>3750000</v>
          </cell>
          <cell r="Y45" t="str">
            <v>Bank Dunia/JICA</v>
          </cell>
          <cell r="AA45">
            <v>75000000</v>
          </cell>
          <cell r="AN45" t="str">
            <v>dalam proses
(memiliki FS)</v>
          </cell>
          <cell r="AO45" t="str">
            <v>belum ada keterangan</v>
          </cell>
          <cell r="AR45" t="str">
            <v>belum ada dokumen R/C</v>
          </cell>
          <cell r="AT45">
            <v>75000000</v>
          </cell>
          <cell r="AU45" t="str">
            <v>Bank Dunia</v>
          </cell>
          <cell r="AW45" t="str">
            <v>- usulan K/L lender: Bank Dunia/JICA/ADB. 
- pihak Bank Dunia berminat, ADB dan JICA tidak berminat
- dalam rencana pembiayaan Bank Dunia, kegiatan ini dijadikan satu paket dengan kegiatan "Sewerage System Development in Indonesia"</v>
          </cell>
        </row>
        <row r="46">
          <cell r="T46">
            <v>975000000</v>
          </cell>
          <cell r="V46">
            <v>48750000</v>
          </cell>
        </row>
        <row r="47">
          <cell r="A47">
            <v>38</v>
          </cell>
          <cell r="D47" t="str">
            <v>INFRASTRUKTUR</v>
          </cell>
          <cell r="E47">
            <v>1</v>
          </cell>
          <cell r="F47" t="str">
            <v>Kementerian Pekerjaan Umum dan Perumahan Rakyat</v>
          </cell>
          <cell r="H47" t="str">
            <v>Development of Waste Water Management Program</v>
          </cell>
          <cell r="I47" t="str">
            <v>E</v>
          </cell>
          <cell r="J47" t="str">
            <v>Program Pembangunan Sistem Pengelolaan Air Limbah</v>
          </cell>
          <cell r="K47">
            <v>4</v>
          </cell>
          <cell r="L47" t="str">
            <v>Sewerage System Development in Indonesia</v>
          </cell>
          <cell r="Y47" t="str">
            <v>ADB</v>
          </cell>
          <cell r="AA47">
            <v>424800000</v>
          </cell>
          <cell r="AN47" t="str">
            <v>belum ada keterangan</v>
          </cell>
          <cell r="AO47" t="str">
            <v>belum ada keterangan</v>
          </cell>
          <cell r="AR47" t="str">
            <v>- nilai pinjaman berkurang sebesar USD 25,20 juta untuk kegiatan ES
- belum ada dokumen R/C</v>
          </cell>
          <cell r="AT47">
            <v>400000000</v>
          </cell>
          <cell r="AU47" t="str">
            <v>ADB</v>
          </cell>
          <cell r="AW47" t="str">
            <v>- nilai kegiatan yang tercantum dalam COBP ADB sebesar USD 400 juta.
- nilai kegiatan berkurang sebesar USD 25,2 yang dialihkan untuk membiayai kegiatan ES</v>
          </cell>
        </row>
        <row r="48">
          <cell r="A48">
            <v>39</v>
          </cell>
          <cell r="D48" t="str">
            <v>INFRASTRUKTUR</v>
          </cell>
          <cell r="E48">
            <v>1</v>
          </cell>
          <cell r="F48" t="str">
            <v>Kementerian Pekerjaan Umum dan Perumahan Rakyat</v>
          </cell>
          <cell r="H48" t="str">
            <v>Development of Waste Water Management Program</v>
          </cell>
          <cell r="I48" t="str">
            <v>E</v>
          </cell>
          <cell r="J48" t="str">
            <v>Program Pembangunan Sistem Pengelolaan Air Limbah</v>
          </cell>
          <cell r="K48">
            <v>4</v>
          </cell>
          <cell r="Y48" t="str">
            <v>IDB</v>
          </cell>
          <cell r="AA48">
            <v>325000000</v>
          </cell>
          <cell r="AT48">
            <v>325000000</v>
          </cell>
          <cell r="AU48" t="str">
            <v>IDB</v>
          </cell>
          <cell r="AW48" t="str">
            <v>-</v>
          </cell>
        </row>
        <row r="49">
          <cell r="A49">
            <v>40</v>
          </cell>
          <cell r="D49" t="str">
            <v>INFRASTRUKTUR</v>
          </cell>
          <cell r="E49">
            <v>1</v>
          </cell>
          <cell r="F49" t="str">
            <v>Kementerian Pekerjaan Umum dan Perumahan Rakyat</v>
          </cell>
          <cell r="H49" t="str">
            <v>Development of Waste Water Management Program</v>
          </cell>
          <cell r="I49" t="str">
            <v>E</v>
          </cell>
          <cell r="J49" t="str">
            <v>Program Pembangunan Sistem Pengelolaan Air Limbah</v>
          </cell>
          <cell r="K49">
            <v>4</v>
          </cell>
          <cell r="Y49" t="str">
            <v>Bank Dunia</v>
          </cell>
          <cell r="AA49">
            <v>200000000</v>
          </cell>
          <cell r="AT49">
            <v>200000000</v>
          </cell>
          <cell r="AU49" t="str">
            <v>Bank Dunia</v>
          </cell>
          <cell r="AW49" t="str">
            <v>-</v>
          </cell>
        </row>
        <row r="50">
          <cell r="AT50">
            <v>24800000</v>
          </cell>
          <cell r="AU50" t="str">
            <v>Belum Ada Indikasi</v>
          </cell>
          <cell r="AW50" t="str">
            <v>co-financing dengan ADB (USD 400 juta), IDB (USD 325 juta) &amp; Bank Dunia (USD 200 juta)</v>
          </cell>
        </row>
        <row r="51">
          <cell r="A51">
            <v>41</v>
          </cell>
          <cell r="D51" t="str">
            <v>INFRASTRUKTUR</v>
          </cell>
          <cell r="E51">
            <v>1</v>
          </cell>
          <cell r="F51" t="str">
            <v>Kementerian Pekerjaan Umum dan Perumahan Rakyat</v>
          </cell>
          <cell r="H51" t="str">
            <v>Development of Waste Water Management Program</v>
          </cell>
          <cell r="I51" t="str">
            <v>E</v>
          </cell>
          <cell r="J51" t="str">
            <v>Program Pembangunan Sistem Pengelolaan Air Limbah</v>
          </cell>
          <cell r="K51">
            <v>5</v>
          </cell>
          <cell r="L51" t="str">
            <v>Denpasar Sewerage Development Project - Phase III</v>
          </cell>
          <cell r="T51">
            <v>233000000</v>
          </cell>
          <cell r="U51">
            <v>233000000</v>
          </cell>
          <cell r="Y51" t="str">
            <v>JICA</v>
          </cell>
          <cell r="AA51">
            <v>233000000</v>
          </cell>
          <cell r="AN51" t="str">
            <v>dalam proses
(memiliki FS)</v>
          </cell>
          <cell r="AO51" t="str">
            <v>belum ada keterangan</v>
          </cell>
          <cell r="AR51" t="str">
            <v>Pengajuan pre-request</v>
          </cell>
          <cell r="AT51">
            <v>233000000</v>
          </cell>
          <cell r="AU51" t="str">
            <v>JICA</v>
          </cell>
          <cell r="AW51" t="str">
            <v>-</v>
          </cell>
        </row>
        <row r="52">
          <cell r="A52">
            <v>42</v>
          </cell>
          <cell r="D52" t="str">
            <v>INFRASTRUKTUR</v>
          </cell>
          <cell r="E52">
            <v>1</v>
          </cell>
          <cell r="F52" t="str">
            <v>Kementerian Pekerjaan Umum dan Perumahan Rakyat</v>
          </cell>
          <cell r="H52" t="str">
            <v>Development of Waste Water Management Program</v>
          </cell>
          <cell r="I52" t="str">
            <v>E</v>
          </cell>
          <cell r="J52" t="str">
            <v>Program Pembangunan Sistem Pengelolaan Air Limbah</v>
          </cell>
          <cell r="K52">
            <v>6</v>
          </cell>
          <cell r="L52" t="str">
            <v>The Development and Optimization of Wastewater Treatment in Greater Bandung</v>
          </cell>
          <cell r="T52">
            <v>100000000</v>
          </cell>
          <cell r="U52">
            <v>100000000</v>
          </cell>
          <cell r="Y52" t="str">
            <v>Jerman (KfW)</v>
          </cell>
          <cell r="AA52">
            <v>100000000</v>
          </cell>
          <cell r="AN52" t="str">
            <v>dalam proses
(penyusunan FS)</v>
          </cell>
          <cell r="AO52" t="str">
            <v>belum ada keterangan</v>
          </cell>
          <cell r="AR52" t="str">
            <v>penyiapan dokumen R/C</v>
          </cell>
          <cell r="AT52">
            <v>100000000</v>
          </cell>
          <cell r="AU52" t="str">
            <v>Jerman (KfW)</v>
          </cell>
          <cell r="AW52" t="str">
            <v>-</v>
          </cell>
        </row>
        <row r="53">
          <cell r="L53" t="str">
            <v>Engineering Service for Sanitation Improvement Project</v>
          </cell>
          <cell r="T53">
            <v>0</v>
          </cell>
          <cell r="U53">
            <v>25200000</v>
          </cell>
          <cell r="Y53" t="str">
            <v>ADB</v>
          </cell>
          <cell r="AA53">
            <v>25200000</v>
          </cell>
          <cell r="AM53" t="str">
            <v>2015; 2016</v>
          </cell>
          <cell r="AN53" t="str">
            <v>siap</v>
          </cell>
          <cell r="AO53" t="str">
            <v>tidak butuh lahan</v>
          </cell>
          <cell r="AR53" t="str">
            <v>-</v>
          </cell>
          <cell r="AT53">
            <v>25200000</v>
          </cell>
          <cell r="AU53" t="str">
            <v>ADB</v>
          </cell>
          <cell r="AW53" t="str">
            <v>pada konfirmasi K/L nilai ES sebesar USD 26,38 juta, seharusnya USD 25,2 juta.</v>
          </cell>
        </row>
        <row r="54">
          <cell r="A54">
            <v>43</v>
          </cell>
          <cell r="D54" t="str">
            <v>INFRASTRUKTUR</v>
          </cell>
          <cell r="E54">
            <v>1</v>
          </cell>
          <cell r="F54" t="str">
            <v>Kementerian Pekerjaan Umum dan Perumahan Rakyat</v>
          </cell>
          <cell r="H54" t="str">
            <v>Development of Solid Waste Management Program</v>
          </cell>
          <cell r="I54" t="str">
            <v>F</v>
          </cell>
          <cell r="J54" t="str">
            <v>Program Pembangunan Sistem Pengelolaan Persampahan</v>
          </cell>
          <cell r="K54">
            <v>1</v>
          </cell>
          <cell r="L54" t="str">
            <v>Advanced Solid Waste Management for Sustainable Urban Development (Advance SWM-SUD)</v>
          </cell>
          <cell r="T54">
            <v>150000000</v>
          </cell>
          <cell r="U54">
            <v>150000000</v>
          </cell>
          <cell r="V54">
            <v>7500000</v>
          </cell>
          <cell r="W54">
            <v>0</v>
          </cell>
          <cell r="Y54" t="str">
            <v>Jerman (KfW)</v>
          </cell>
          <cell r="AA54">
            <v>150000000</v>
          </cell>
          <cell r="AN54" t="str">
            <v>dalam proses
(penyusunan FS)</v>
          </cell>
          <cell r="AO54" t="str">
            <v>belum ada keterangan</v>
          </cell>
          <cell r="AR54" t="str">
            <v>belum ada dokumen R/C</v>
          </cell>
          <cell r="AT54">
            <v>150000000</v>
          </cell>
          <cell r="AU54" t="str">
            <v>Jerman (KfW)</v>
          </cell>
          <cell r="AW54" t="str">
            <v>-</v>
          </cell>
        </row>
        <row r="55">
          <cell r="A55">
            <v>44</v>
          </cell>
          <cell r="D55" t="str">
            <v>INFRASTRUKTUR</v>
          </cell>
          <cell r="E55">
            <v>1</v>
          </cell>
          <cell r="F55" t="str">
            <v>Kementerian Pekerjaan Umum dan Perumahan Rakyat</v>
          </cell>
          <cell r="H55" t="str">
            <v>Development of Solid Waste Management Program</v>
          </cell>
          <cell r="I55" t="str">
            <v>F</v>
          </cell>
          <cell r="J55" t="str">
            <v>Program Pembangunan Sistem Pengelolaan Persampahan</v>
          </cell>
          <cell r="K55">
            <v>2</v>
          </cell>
          <cell r="L55" t="str">
            <v>The Improvement of Solid Waste Management to Support Regional Area and Metropolitan Cities</v>
          </cell>
          <cell r="T55">
            <v>100000000</v>
          </cell>
          <cell r="U55">
            <v>100000000</v>
          </cell>
          <cell r="V55">
            <v>5000000</v>
          </cell>
          <cell r="W55">
            <v>0</v>
          </cell>
          <cell r="Y55" t="str">
            <v>Bank Dunia</v>
          </cell>
          <cell r="AA55">
            <v>100000000</v>
          </cell>
          <cell r="AN55" t="str">
            <v>dalam proses
(memiliki FS)</v>
          </cell>
          <cell r="AO55" t="str">
            <v>dalam proses
(persiapan)</v>
          </cell>
          <cell r="AR55" t="str">
            <v>- karena DED dalam proses finalisasi, maka diasumsikan memiliki FS.
- Dokumen penyiapan: sedang cari tambahan lokasi
- Siap hanya Balikpapan&amp;Tangerang (USD 40 juta)
- belum ada dokumen R/C</v>
          </cell>
          <cell r="AT55">
            <v>100000000</v>
          </cell>
          <cell r="AU55" t="str">
            <v>Bank Dunia</v>
          </cell>
          <cell r="AW55" t="str">
            <v>-</v>
          </cell>
        </row>
        <row r="56">
          <cell r="A56">
            <v>45</v>
          </cell>
          <cell r="D56" t="str">
            <v>INFRASTRUKTUR</v>
          </cell>
          <cell r="E56">
            <v>1</v>
          </cell>
          <cell r="F56" t="str">
            <v>Kementerian Pekerjaan Umum dan Perumahan Rakyat</v>
          </cell>
          <cell r="H56" t="str">
            <v>Slum Alleviation Program</v>
          </cell>
          <cell r="I56" t="str">
            <v>G</v>
          </cell>
          <cell r="J56" t="str">
            <v>Program Penanganan Kumuh</v>
          </cell>
          <cell r="K56">
            <v>1</v>
          </cell>
          <cell r="L56" t="str">
            <v>Slum Improvement in Strategic Human Settlements Area (SISHA)</v>
          </cell>
          <cell r="T56">
            <v>2100000000</v>
          </cell>
          <cell r="U56">
            <v>2100000000</v>
          </cell>
          <cell r="V56">
            <v>105000000</v>
          </cell>
          <cell r="W56">
            <v>0</v>
          </cell>
          <cell r="Y56" t="str">
            <v>Bank Dunia/JICA/ADB</v>
          </cell>
          <cell r="AA56">
            <v>2100000000</v>
          </cell>
          <cell r="AN56" t="str">
            <v>dalam proses
(penyusunan FS)</v>
          </cell>
          <cell r="AO56" t="str">
            <v>dalam proses
(perencanaan)</v>
          </cell>
          <cell r="AP56" t="str">
            <v>belum ada proses tender/lelang</v>
          </cell>
          <cell r="AT56">
            <v>2100000000</v>
          </cell>
          <cell r="AU56" t="str">
            <v>Belum Ada Indikasi</v>
          </cell>
          <cell r="AW56" t="str">
            <v>- usulan K/L lender: Bank Dunia/JICA/ADB.
- Pihak Bank Dunia, ADB dan JICA tidak berminat.</v>
          </cell>
        </row>
        <row r="57">
          <cell r="V57">
            <v>52632000</v>
          </cell>
          <cell r="W57">
            <v>0</v>
          </cell>
        </row>
        <row r="59">
          <cell r="A59">
            <v>47</v>
          </cell>
          <cell r="D59" t="str">
            <v>INFRASTRUKTUR</v>
          </cell>
          <cell r="E59">
            <v>1</v>
          </cell>
          <cell r="F59" t="str">
            <v>Kementerian Pekerjaan Umum dan Perumahan Rakyat</v>
          </cell>
          <cell r="H59" t="str">
            <v>Slum Alleviation Program</v>
          </cell>
          <cell r="I59" t="str">
            <v>G</v>
          </cell>
          <cell r="J59" t="str">
            <v>Program Penanganan Kumuh</v>
          </cell>
          <cell r="K59">
            <v>2</v>
          </cell>
          <cell r="L59" t="str">
            <v>National Slum Upgrading</v>
          </cell>
          <cell r="Y59" t="str">
            <v>Bank Dunia</v>
          </cell>
          <cell r="AA59">
            <v>216500000</v>
          </cell>
          <cell r="AM59">
            <v>2016</v>
          </cell>
          <cell r="AN59" t="str">
            <v>dalam proses
(penyusunan FS)</v>
          </cell>
          <cell r="AO59" t="str">
            <v>tidak butuh lahan</v>
          </cell>
          <cell r="AP59" t="str">
            <v>belum ada proses tender/lelang</v>
          </cell>
          <cell r="AT59">
            <v>216500000</v>
          </cell>
          <cell r="AU59" t="str">
            <v>Bank Dunia</v>
          </cell>
          <cell r="AW59" t="str">
            <v>- Berdasarkan surat Menteri Keuangan no. S-409/MK.08/2016 tgl 25 Mei '16
'- Bank Dunia berminat sebesar USD 433 juta.
- Ada informasi dari hasil rapat dengan K/L, bahwa nilai proyek turun menjadi USD 700 juta-an (pendanaan IDB dan Bank Dunia).</v>
          </cell>
        </row>
        <row r="60">
          <cell r="AM60" t="str">
            <v>-</v>
          </cell>
          <cell r="AN60" t="str">
            <v>dalam proses
(penyusunan FS)</v>
          </cell>
          <cell r="AO60" t="str">
            <v>tidak butuh lahan</v>
          </cell>
          <cell r="AP60" t="str">
            <v>belum ada proses tender/lelang</v>
          </cell>
          <cell r="AT60">
            <v>216500000</v>
          </cell>
          <cell r="AU60" t="str">
            <v>AIIB</v>
          </cell>
          <cell r="AW60" t="str">
            <v>co-financing dgn Bank Dunia (USD 216,5 juta)</v>
          </cell>
        </row>
        <row r="61">
          <cell r="Y61" t="str">
            <v>Belum Ada Indikasi</v>
          </cell>
          <cell r="AA61">
            <v>289880000</v>
          </cell>
          <cell r="AM61" t="str">
            <v>-</v>
          </cell>
          <cell r="AN61" t="str">
            <v>belum ada keterangan</v>
          </cell>
          <cell r="AO61" t="str">
            <v>belum ada keterangan</v>
          </cell>
          <cell r="AP61" t="str">
            <v>belum ada proses tender/lelang</v>
          </cell>
          <cell r="AT61">
            <v>289880000</v>
          </cell>
          <cell r="AU61" t="str">
            <v>Belum Ada Indikasi</v>
          </cell>
          <cell r="AW61" t="str">
            <v>co-financing dengan IDB (USD 329,7 juta), Bank Dunia (USD 216,5 juta) &amp; AIIB (USD 216,5 juta)</v>
          </cell>
        </row>
        <row r="62">
          <cell r="A62">
            <v>48</v>
          </cell>
          <cell r="D62" t="str">
            <v>INFRASTRUKTUR</v>
          </cell>
          <cell r="E62">
            <v>1</v>
          </cell>
          <cell r="F62" t="str">
            <v>Kementerian Pekerjaan Umum dan Perumahan Rakyat</v>
          </cell>
          <cell r="H62" t="str">
            <v>Slum Alleviation Program</v>
          </cell>
          <cell r="I62" t="str">
            <v>G</v>
          </cell>
          <cell r="J62" t="str">
            <v>Program Penanganan Kumuh</v>
          </cell>
          <cell r="K62">
            <v>3</v>
          </cell>
          <cell r="L62" t="str">
            <v>Rural Settlement Infrastructure Development (RSID)</v>
          </cell>
          <cell r="T62">
            <v>201000000</v>
          </cell>
          <cell r="U62">
            <v>201000000</v>
          </cell>
          <cell r="V62">
            <v>10050000</v>
          </cell>
          <cell r="W62">
            <v>0</v>
          </cell>
          <cell r="Y62" t="str">
            <v>JICA</v>
          </cell>
          <cell r="AA62">
            <v>201000000</v>
          </cell>
          <cell r="AN62" t="str">
            <v>dalam proses
(penyusunan FS)</v>
          </cell>
          <cell r="AO62" t="str">
            <v>dalam proses
(perencanaan)</v>
          </cell>
          <cell r="AR62" t="str">
            <v>belum ada dokumen R/C</v>
          </cell>
          <cell r="AT62">
            <v>201000000</v>
          </cell>
          <cell r="AU62" t="str">
            <v>JICA</v>
          </cell>
          <cell r="AW62" t="str">
            <v>-</v>
          </cell>
        </row>
        <row r="63">
          <cell r="A63">
            <v>49</v>
          </cell>
          <cell r="D63" t="str">
            <v>INFRASTRUKTUR</v>
          </cell>
          <cell r="E63">
            <v>1</v>
          </cell>
          <cell r="F63" t="str">
            <v>Kementerian Pekerjaan Umum dan Perumahan Rakyat</v>
          </cell>
          <cell r="H63" t="str">
            <v>Slum Alleviation Program</v>
          </cell>
          <cell r="I63" t="str">
            <v>G</v>
          </cell>
          <cell r="J63" t="str">
            <v>Program Penanganan Kumuh</v>
          </cell>
          <cell r="K63">
            <v>4</v>
          </cell>
          <cell r="L63" t="str">
            <v>Building Administration and Capacity Enforcement Development for Seismic Resilience</v>
          </cell>
          <cell r="T63">
            <v>261100000</v>
          </cell>
          <cell r="U63">
            <v>261100000</v>
          </cell>
          <cell r="V63">
            <v>13055000</v>
          </cell>
          <cell r="W63">
            <v>0</v>
          </cell>
          <cell r="Y63" t="str">
            <v>JICA</v>
          </cell>
          <cell r="AA63">
            <v>261100000</v>
          </cell>
          <cell r="AN63" t="str">
            <v>dalam proses
(penyusunan FS)</v>
          </cell>
          <cell r="AO63" t="str">
            <v>tidak butuh lahan</v>
          </cell>
          <cell r="AR63" t="str">
            <v>belum ada dokumen R/C</v>
          </cell>
          <cell r="AT63">
            <v>261100000</v>
          </cell>
          <cell r="AU63" t="str">
            <v>JICA</v>
          </cell>
          <cell r="AW63" t="str">
            <v>-</v>
          </cell>
        </row>
        <row r="64">
          <cell r="L64" t="str">
            <v>National Urban Development Project</v>
          </cell>
          <cell r="T64">
            <v>0</v>
          </cell>
          <cell r="U64">
            <v>225000000</v>
          </cell>
          <cell r="V64">
            <v>25000000</v>
          </cell>
          <cell r="W64">
            <v>0</v>
          </cell>
          <cell r="Y64" t="str">
            <v>Belum Ada Indikasi</v>
          </cell>
          <cell r="AA64">
            <v>225000000</v>
          </cell>
          <cell r="AN64" t="str">
            <v>belum ada keterangan</v>
          </cell>
          <cell r="AO64" t="str">
            <v>belum ada keterangan</v>
          </cell>
          <cell r="AR64" t="str">
            <v>belum ada dokumen R/C</v>
          </cell>
          <cell r="AT64">
            <v>225000000</v>
          </cell>
          <cell r="AU64" t="str">
            <v>Belum Ada Indikasi</v>
          </cell>
        </row>
        <row r="66">
          <cell r="T66">
            <v>700000000</v>
          </cell>
          <cell r="U66">
            <v>700000000</v>
          </cell>
          <cell r="V66">
            <v>70000000</v>
          </cell>
          <cell r="W66">
            <v>0</v>
          </cell>
        </row>
        <row r="67">
          <cell r="A67">
            <v>51</v>
          </cell>
          <cell r="D67" t="str">
            <v>INFRASTRUKTUR</v>
          </cell>
          <cell r="E67">
            <v>1</v>
          </cell>
          <cell r="F67" t="str">
            <v>Kementerian Pekerjaan Umum dan Perumahan Rakyat</v>
          </cell>
          <cell r="H67" t="str">
            <v>Development and Management of Irrigation Program</v>
          </cell>
          <cell r="I67" t="str">
            <v>I</v>
          </cell>
          <cell r="J67" t="str">
            <v>Program Pengembangan dan Pengelolaan Irigasi</v>
          </cell>
          <cell r="K67">
            <v>1</v>
          </cell>
          <cell r="L67" t="str">
            <v>Integrated Participatory Development and Management of Irrigation Project - Phase I</v>
          </cell>
          <cell r="Y67" t="str">
            <v>ADB</v>
          </cell>
          <cell r="AA67">
            <v>600000000</v>
          </cell>
          <cell r="AM67" t="str">
            <v>2016; 2015</v>
          </cell>
          <cell r="AN67" t="str">
            <v>siap</v>
          </cell>
          <cell r="AO67" t="str">
            <v>belum ada keterangan</v>
          </cell>
          <cell r="AR67" t="str">
            <v>-</v>
          </cell>
          <cell r="AT67">
            <v>600000000</v>
          </cell>
          <cell r="AU67" t="str">
            <v>ADB</v>
          </cell>
          <cell r="AW67" t="str">
            <v>-</v>
          </cell>
        </row>
        <row r="68">
          <cell r="A68">
            <v>52</v>
          </cell>
          <cell r="D68" t="str">
            <v>INFRASTRUKTUR</v>
          </cell>
          <cell r="E68">
            <v>1</v>
          </cell>
          <cell r="F68" t="str">
            <v>Kementerian Pekerjaan Umum dan Perumahan Rakyat</v>
          </cell>
          <cell r="H68" t="str">
            <v>Development and Management of Irrigation Program</v>
          </cell>
          <cell r="I68" t="str">
            <v>I</v>
          </cell>
          <cell r="J68" t="str">
            <v>Program Pengembangan dan Pengelolaan Irigasi</v>
          </cell>
          <cell r="K68">
            <v>1</v>
          </cell>
          <cell r="Y68" t="str">
            <v>IFAD</v>
          </cell>
          <cell r="AA68">
            <v>100000000</v>
          </cell>
          <cell r="AM68" t="str">
            <v>2016; 2015</v>
          </cell>
          <cell r="AR68" t="str">
            <v>-</v>
          </cell>
          <cell r="AT68">
            <v>100000000</v>
          </cell>
          <cell r="AU68" t="str">
            <v>IFAD</v>
          </cell>
          <cell r="AW68" t="str">
            <v>-</v>
          </cell>
        </row>
        <row r="69">
          <cell r="V69">
            <v>50000000</v>
          </cell>
          <cell r="W69">
            <v>0</v>
          </cell>
        </row>
        <row r="70">
          <cell r="A70">
            <v>53</v>
          </cell>
          <cell r="D70" t="str">
            <v>INFRASTRUKTUR</v>
          </cell>
          <cell r="E70">
            <v>1</v>
          </cell>
          <cell r="F70" t="str">
            <v>Kementerian Pekerjaan Umum dan Perumahan Rakyat</v>
          </cell>
          <cell r="H70" t="str">
            <v>Development and Management of Irrigation Program</v>
          </cell>
          <cell r="I70" t="str">
            <v>I</v>
          </cell>
          <cell r="J70" t="str">
            <v>Program Pengembangan dan Pengelolaan Irigasi</v>
          </cell>
          <cell r="K70">
            <v>1</v>
          </cell>
          <cell r="L70" t="str">
            <v>Integrated Participatory Development and Management of Irrigation Project - Phase II</v>
          </cell>
          <cell r="T70">
            <v>500000000</v>
          </cell>
          <cell r="U70">
            <v>500000000</v>
          </cell>
          <cell r="Y70" t="str">
            <v>ADB</v>
          </cell>
          <cell r="AA70">
            <v>500000000</v>
          </cell>
          <cell r="AN70" t="str">
            <v>belum ada keterangan</v>
          </cell>
          <cell r="AO70" t="str">
            <v>belum ada keterangan</v>
          </cell>
          <cell r="AR70" t="str">
            <v>- untuk yang Phase II: belum ada penyiapan
- belum ada dokumen R/C</v>
          </cell>
          <cell r="AT70">
            <v>400000000</v>
          </cell>
          <cell r="AU70" t="str">
            <v>ADB</v>
          </cell>
          <cell r="AW70" t="str">
            <v>nilai kegiatan yang tercantum dalam COBP ADB sebesar USD 400 juta.</v>
          </cell>
        </row>
        <row r="71">
          <cell r="AR71" t="str">
            <v>- untuk yang Phase II: belum ada penyiapan
- belum ada dokumen R/C</v>
          </cell>
          <cell r="AT71">
            <v>100000000</v>
          </cell>
          <cell r="AU71" t="str">
            <v>Belum Ada Indikasi</v>
          </cell>
          <cell r="AW71" t="str">
            <v>-</v>
          </cell>
        </row>
        <row r="72">
          <cell r="A72">
            <v>54</v>
          </cell>
          <cell r="D72" t="str">
            <v>INFRASTRUKTUR</v>
          </cell>
          <cell r="E72">
            <v>1</v>
          </cell>
          <cell r="F72" t="str">
            <v>Kementerian Pekerjaan Umum dan Perumahan Rakyat</v>
          </cell>
          <cell r="H72" t="str">
            <v>Development and Management of Irrigation Program</v>
          </cell>
          <cell r="I72" t="str">
            <v>I</v>
          </cell>
          <cell r="J72" t="str">
            <v>Program Pengembangan dan Pengelolaan Irigasi</v>
          </cell>
          <cell r="K72">
            <v>2</v>
          </cell>
          <cell r="L72" t="str">
            <v>The Urgent Rehabilitation of Strategic Irrigation for Western Region of Indonesia</v>
          </cell>
          <cell r="T72">
            <v>195778000</v>
          </cell>
          <cell r="U72">
            <v>195778000</v>
          </cell>
          <cell r="Y72" t="str">
            <v>Korea</v>
          </cell>
          <cell r="AA72">
            <v>195778000</v>
          </cell>
          <cell r="AM72" t="str">
            <v>2016; 2015</v>
          </cell>
          <cell r="AN72" t="str">
            <v>belum ada keterangan</v>
          </cell>
          <cell r="AO72" t="str">
            <v>belum ada keterangan</v>
          </cell>
          <cell r="AR72" t="str">
            <v>-</v>
          </cell>
          <cell r="AT72">
            <v>195778000</v>
          </cell>
          <cell r="AU72" t="str">
            <v>Korea</v>
          </cell>
          <cell r="AW72" t="str">
            <v>masuk rolling plan EDCF (Korea)</v>
          </cell>
        </row>
        <row r="73">
          <cell r="A73">
            <v>55</v>
          </cell>
          <cell r="D73" t="str">
            <v>INFRASTRUKTUR</v>
          </cell>
          <cell r="E73">
            <v>1</v>
          </cell>
          <cell r="F73" t="str">
            <v>Kementerian Pekerjaan Umum dan Perumahan Rakyat</v>
          </cell>
          <cell r="H73" t="str">
            <v>Development and Management of Irrigation Program</v>
          </cell>
          <cell r="I73" t="str">
            <v>I</v>
          </cell>
          <cell r="J73" t="str">
            <v>Program Pengembangan dan Pengelolaan Irigasi</v>
          </cell>
          <cell r="K73">
            <v>3</v>
          </cell>
          <cell r="L73" t="str">
            <v>Rentang Modernization Strategic Irrigation (RIMP)</v>
          </cell>
          <cell r="T73">
            <v>480000000</v>
          </cell>
          <cell r="U73">
            <v>480000000</v>
          </cell>
          <cell r="Y73" t="str">
            <v>JICA</v>
          </cell>
          <cell r="AA73">
            <v>480000000</v>
          </cell>
          <cell r="AM73">
            <v>2016</v>
          </cell>
          <cell r="AN73" t="str">
            <v>siap</v>
          </cell>
          <cell r="AO73" t="str">
            <v>tidak butuh lahan</v>
          </cell>
          <cell r="AR73" t="str">
            <v>-</v>
          </cell>
          <cell r="AT73">
            <v>480000000</v>
          </cell>
          <cell r="AU73" t="str">
            <v>JICA</v>
          </cell>
          <cell r="AW73" t="str">
            <v>-</v>
          </cell>
        </row>
        <row r="74">
          <cell r="A74">
            <v>56</v>
          </cell>
          <cell r="D74" t="str">
            <v>INFRASTRUKTUR</v>
          </cell>
          <cell r="E74">
            <v>1</v>
          </cell>
          <cell r="F74" t="str">
            <v>Kementerian Pekerjaan Umum dan Perumahan Rakyat</v>
          </cell>
          <cell r="H74" t="str">
            <v>Development and Management of Irrigation Program</v>
          </cell>
          <cell r="I74" t="str">
            <v>I</v>
          </cell>
          <cell r="J74" t="str">
            <v>Program Pengembangan dan Pengelolaan Irigasi</v>
          </cell>
          <cell r="K74">
            <v>4</v>
          </cell>
          <cell r="L74" t="str">
            <v>Komering Irrigation Project Stage III</v>
          </cell>
          <cell r="T74">
            <v>120000000</v>
          </cell>
          <cell r="U74">
            <v>120000000</v>
          </cell>
          <cell r="Y74" t="str">
            <v>JICA</v>
          </cell>
          <cell r="AA74">
            <v>120000000</v>
          </cell>
          <cell r="AM74" t="str">
            <v>Rev. 2016; 2016</v>
          </cell>
          <cell r="AN74" t="str">
            <v>siap</v>
          </cell>
          <cell r="AO74" t="str">
            <v>belum ada keterangan</v>
          </cell>
          <cell r="AR74" t="str">
            <v>Nilai pinjaman di:
- Rev. GB 16 USD 145.568 ribu
- GB 16 USD 120.000 ribu</v>
          </cell>
          <cell r="AT74">
            <v>120000000</v>
          </cell>
          <cell r="AU74" t="str">
            <v>JICA</v>
          </cell>
          <cell r="AW74" t="str">
            <v>-</v>
          </cell>
        </row>
        <row r="75">
          <cell r="A75">
            <v>57</v>
          </cell>
          <cell r="D75" t="str">
            <v>INFRASTRUKTUR</v>
          </cell>
          <cell r="E75">
            <v>1</v>
          </cell>
          <cell r="F75" t="str">
            <v>Kementerian Pekerjaan Umum dan Perumahan Rakyat</v>
          </cell>
          <cell r="H75" t="str">
            <v>Development and Management of Irrigation Program</v>
          </cell>
          <cell r="I75" t="str">
            <v>I</v>
          </cell>
          <cell r="J75" t="str">
            <v>Program Pengembangan dan Pengelolaan Irigasi</v>
          </cell>
          <cell r="K75">
            <v>5</v>
          </cell>
          <cell r="L75" t="str">
            <v>Irrigation Development in North Sumatera</v>
          </cell>
          <cell r="T75">
            <v>350000000</v>
          </cell>
          <cell r="U75">
            <v>350000000</v>
          </cell>
          <cell r="Y75" t="str">
            <v>ADB</v>
          </cell>
          <cell r="AA75">
            <v>350000000</v>
          </cell>
          <cell r="AN75" t="str">
            <v>dalam proses
(memiliki FS dan DED)</v>
          </cell>
          <cell r="AO75" t="str">
            <v>belum ada keterangan</v>
          </cell>
          <cell r="AR75" t="str">
            <v>belum ada dokumen R/C</v>
          </cell>
          <cell r="AT75">
            <v>350000000</v>
          </cell>
          <cell r="AU75" t="str">
            <v>Belum Ada Indikasi</v>
          </cell>
          <cell r="AW75" t="str">
            <v>- usulan K/L lender: ADB
- tidak masuk COBP ADB</v>
          </cell>
        </row>
        <row r="76">
          <cell r="A76">
            <v>58</v>
          </cell>
          <cell r="D76" t="str">
            <v>INFRASTRUKTUR</v>
          </cell>
          <cell r="E76">
            <v>1</v>
          </cell>
          <cell r="F76" t="str">
            <v>Kementerian Pekerjaan Umum dan Perumahan Rakyat</v>
          </cell>
          <cell r="H76" t="str">
            <v>Development and Management of Irrigation Program</v>
          </cell>
          <cell r="I76" t="str">
            <v>I</v>
          </cell>
          <cell r="J76" t="str">
            <v>Program Pengembangan dan Pengelolaan Irigasi</v>
          </cell>
          <cell r="K76">
            <v>6</v>
          </cell>
          <cell r="L76" t="str">
            <v>Integrated Participatory Development and Management of Lhok Guci and Peureulak Irrigation Project</v>
          </cell>
          <cell r="T76">
            <v>161298000</v>
          </cell>
          <cell r="U76">
            <v>161298000</v>
          </cell>
          <cell r="Y76" t="str">
            <v>ADB</v>
          </cell>
          <cell r="AA76">
            <v>161298000</v>
          </cell>
          <cell r="AN76" t="str">
            <v>dalam proses
(memiliki FS dan DED)</v>
          </cell>
          <cell r="AO76" t="str">
            <v>belum ada keterangan</v>
          </cell>
          <cell r="AR76" t="str">
            <v>belum ada dokumen R/C</v>
          </cell>
          <cell r="AT76">
            <v>161298000</v>
          </cell>
          <cell r="AU76" t="str">
            <v>Belum Ada Indikasi</v>
          </cell>
          <cell r="AW76" t="str">
            <v>- usulan K/L lender: ADB
- tidak masuk COBP ADB</v>
          </cell>
        </row>
        <row r="77">
          <cell r="A77">
            <v>59</v>
          </cell>
          <cell r="D77" t="str">
            <v>INFRASTRUKTUR</v>
          </cell>
          <cell r="E77">
            <v>1</v>
          </cell>
          <cell r="F77" t="str">
            <v>Kementerian Pekerjaan Umum dan Perumahan Rakyat</v>
          </cell>
          <cell r="H77" t="str">
            <v>Development and Management of Irrigation Program</v>
          </cell>
          <cell r="I77" t="str">
            <v>I</v>
          </cell>
          <cell r="J77" t="str">
            <v>Program Pengembangan dan Pengelolaan Irigasi</v>
          </cell>
          <cell r="K77">
            <v>7</v>
          </cell>
          <cell r="L77" t="str">
            <v>Modernization Strategic Irrigation Project (MSIP)</v>
          </cell>
          <cell r="T77">
            <v>278355000</v>
          </cell>
          <cell r="U77">
            <v>278355000</v>
          </cell>
          <cell r="Y77" t="str">
            <v>JICA</v>
          </cell>
          <cell r="AA77">
            <v>278355000</v>
          </cell>
          <cell r="AN77" t="str">
            <v>belum ada keterangan</v>
          </cell>
          <cell r="AO77" t="str">
            <v>belum ada keterangan</v>
          </cell>
          <cell r="AR77" t="str">
            <v>belum ada dokumen R/C</v>
          </cell>
          <cell r="AT77">
            <v>278355000</v>
          </cell>
          <cell r="AU77" t="str">
            <v>JICA</v>
          </cell>
          <cell r="AW77" t="str">
            <v>-</v>
          </cell>
        </row>
        <row r="78">
          <cell r="A78">
            <v>60</v>
          </cell>
          <cell r="D78" t="str">
            <v>INFRASTRUKTUR</v>
          </cell>
          <cell r="E78">
            <v>1</v>
          </cell>
          <cell r="F78" t="str">
            <v>Kementerian Pekerjaan Umum dan Perumahan Rakyat</v>
          </cell>
          <cell r="H78" t="str">
            <v>Development and Management of Irrigation Program</v>
          </cell>
          <cell r="I78" t="str">
            <v>I</v>
          </cell>
          <cell r="J78" t="str">
            <v>Program Pengembangan dan Pengelolaan Irigasi</v>
          </cell>
          <cell r="K78">
            <v>8</v>
          </cell>
          <cell r="L78" t="str">
            <v>Urgent Rehabilitation of  Irrigation Project in Indonesia (URIP)</v>
          </cell>
          <cell r="T78">
            <v>272100000</v>
          </cell>
          <cell r="U78">
            <v>272100000</v>
          </cell>
          <cell r="Y78" t="str">
            <v>Bank Dunia</v>
          </cell>
          <cell r="AA78">
            <v>272100000</v>
          </cell>
          <cell r="AN78" t="str">
            <v>belum ada keterangan</v>
          </cell>
          <cell r="AO78" t="str">
            <v>belum ada keterangan</v>
          </cell>
          <cell r="AR78" t="str">
            <v>belum ada dokumen R/C</v>
          </cell>
          <cell r="AT78">
            <v>272100000</v>
          </cell>
          <cell r="AU78" t="str">
            <v>Bank Dunia</v>
          </cell>
          <cell r="AW78" t="str">
            <v>-</v>
          </cell>
        </row>
        <row r="79">
          <cell r="A79">
            <v>61</v>
          </cell>
          <cell r="D79" t="str">
            <v>INFRASTRUKTUR</v>
          </cell>
          <cell r="E79">
            <v>1</v>
          </cell>
          <cell r="F79" t="str">
            <v>Kementerian Pekerjaan Umum dan Perumahan Rakyat</v>
          </cell>
          <cell r="H79" t="str">
            <v>Development and Management of Irrigation Program</v>
          </cell>
          <cell r="I79" t="str">
            <v>I</v>
          </cell>
          <cell r="J79" t="str">
            <v>Program Pengembangan dan Pengelolaan Irigasi</v>
          </cell>
          <cell r="K79">
            <v>9</v>
          </cell>
          <cell r="L79" t="str">
            <v>Revitalization Groundwater Irrigation in Indonesia</v>
          </cell>
          <cell r="T79">
            <v>100000000</v>
          </cell>
          <cell r="U79">
            <v>100000000</v>
          </cell>
          <cell r="Y79" t="str">
            <v>JICA</v>
          </cell>
          <cell r="AA79">
            <v>100000000</v>
          </cell>
          <cell r="AN79" t="str">
            <v>belum ada keterangan</v>
          </cell>
          <cell r="AO79" t="str">
            <v>belum ada keterangan</v>
          </cell>
          <cell r="AR79" t="str">
            <v>belum ada dokumen R/C</v>
          </cell>
          <cell r="AT79">
            <v>100000000</v>
          </cell>
          <cell r="AU79" t="str">
            <v>JICA</v>
          </cell>
          <cell r="AW79" t="str">
            <v>-</v>
          </cell>
        </row>
        <row r="80">
          <cell r="A80">
            <v>62</v>
          </cell>
          <cell r="D80" t="str">
            <v>INFRASTRUKTUR</v>
          </cell>
          <cell r="E80">
            <v>1</v>
          </cell>
          <cell r="F80" t="str">
            <v>Kementerian Pekerjaan Umum dan Perumahan Rakyat</v>
          </cell>
          <cell r="H80" t="str">
            <v>Development and Management of Irrigation Program</v>
          </cell>
          <cell r="I80" t="str">
            <v>I</v>
          </cell>
          <cell r="J80" t="str">
            <v>Program Pengembangan dan Pengelolaan Irigasi</v>
          </cell>
          <cell r="K80">
            <v>10</v>
          </cell>
          <cell r="L80" t="str">
            <v>Engineering Service for Irrigation and Low Land Development Project</v>
          </cell>
          <cell r="T80">
            <v>100000000</v>
          </cell>
          <cell r="U80">
            <v>100000000</v>
          </cell>
          <cell r="Y80" t="str">
            <v>ADB</v>
          </cell>
          <cell r="AA80">
            <v>100000000</v>
          </cell>
          <cell r="AM80" t="str">
            <v>2016; 2015</v>
          </cell>
          <cell r="AN80" t="str">
            <v>siap</v>
          </cell>
          <cell r="AO80" t="str">
            <v>tidak butuh lahan</v>
          </cell>
          <cell r="AR80" t="str">
            <v>- sudah GB 2016  
- Nilai pinjaman di GB 38.100 ribu</v>
          </cell>
          <cell r="AT80">
            <v>100000000</v>
          </cell>
          <cell r="AU80" t="str">
            <v>ADB</v>
          </cell>
          <cell r="AW80" t="str">
            <v>-</v>
          </cell>
        </row>
        <row r="81">
          <cell r="A81">
            <v>63</v>
          </cell>
          <cell r="D81" t="str">
            <v>INFRASTRUKTUR</v>
          </cell>
          <cell r="E81">
            <v>1</v>
          </cell>
          <cell r="F81" t="str">
            <v>Kementerian Pekerjaan Umum dan Perumahan Rakyat</v>
          </cell>
          <cell r="H81" t="str">
            <v>Provision and Management of Bulk Water Supply Program</v>
          </cell>
          <cell r="I81" t="str">
            <v>J</v>
          </cell>
          <cell r="J81" t="str">
            <v>Program Penyediaan dan Pengelolaan Air Baku</v>
          </cell>
          <cell r="K81">
            <v>1</v>
          </cell>
          <cell r="L81" t="str">
            <v>Integrated Citarum Water Resources Management Investment Program II</v>
          </cell>
          <cell r="T81">
            <v>200000000</v>
          </cell>
          <cell r="U81">
            <v>200000000</v>
          </cell>
          <cell r="V81">
            <v>20000000</v>
          </cell>
          <cell r="W81">
            <v>0</v>
          </cell>
          <cell r="Y81" t="str">
            <v>ADB</v>
          </cell>
          <cell r="AA81">
            <v>200000000</v>
          </cell>
          <cell r="AN81" t="str">
            <v>dalam proses
(memiliki FS dan DED)</v>
          </cell>
          <cell r="AO81" t="str">
            <v>dalam proses
(perencanaan)</v>
          </cell>
          <cell r="AR81" t="str">
            <v>belum ada dokumen R/C</v>
          </cell>
          <cell r="AT81">
            <v>200000000</v>
          </cell>
          <cell r="AU81" t="str">
            <v>ADB</v>
          </cell>
          <cell r="AW81" t="str">
            <v>-</v>
          </cell>
        </row>
        <row r="82">
          <cell r="A82">
            <v>64</v>
          </cell>
          <cell r="D82" t="str">
            <v>INFRASTRUKTUR</v>
          </cell>
          <cell r="E82">
            <v>1</v>
          </cell>
          <cell r="F82" t="str">
            <v>Kementerian Pekerjaan Umum dan Perumahan Rakyat</v>
          </cell>
          <cell r="H82" t="str">
            <v>Provision and Management of Bulk Water Supply Program</v>
          </cell>
          <cell r="I82" t="str">
            <v>I</v>
          </cell>
          <cell r="J82" t="str">
            <v>Program Penyediaan dan Pengelolaan Air Baku</v>
          </cell>
          <cell r="K82">
            <v>2</v>
          </cell>
          <cell r="L82" t="str">
            <v>Karian Dam-Serpong Water Conveyance and Supply System Project</v>
          </cell>
          <cell r="T82">
            <v>373862000</v>
          </cell>
          <cell r="U82">
            <v>373862000</v>
          </cell>
          <cell r="V82">
            <v>181074000</v>
          </cell>
          <cell r="W82">
            <v>0</v>
          </cell>
          <cell r="Y82" t="str">
            <v>Korea</v>
          </cell>
          <cell r="AA82">
            <v>373862000</v>
          </cell>
          <cell r="AN82" t="str">
            <v>dalam proses
(memiliki FS)</v>
          </cell>
          <cell r="AO82" t="str">
            <v>dalam proses
(perencanaan)</v>
          </cell>
          <cell r="AR82" t="str">
            <v>belum ada dokumen R/C</v>
          </cell>
          <cell r="AT82">
            <v>373862000</v>
          </cell>
          <cell r="AU82" t="str">
            <v>Korea</v>
          </cell>
          <cell r="AW82" t="str">
            <v>masuk rolling plan EDCF (Korea)</v>
          </cell>
        </row>
        <row r="83">
          <cell r="A83">
            <v>65</v>
          </cell>
          <cell r="D83" t="str">
            <v>INFRASTRUKTUR</v>
          </cell>
          <cell r="E83">
            <v>1</v>
          </cell>
          <cell r="F83" t="str">
            <v>Kementerian Pekerjaan Umum dan Perumahan Rakyat</v>
          </cell>
          <cell r="H83" t="str">
            <v>Provision and Management of Bulk Water Supply Program</v>
          </cell>
          <cell r="I83" t="str">
            <v>I</v>
          </cell>
          <cell r="J83" t="str">
            <v>Program Penyediaan dan Pengelolaan Air Baku</v>
          </cell>
          <cell r="K83">
            <v>3</v>
          </cell>
          <cell r="L83" t="str">
            <v>Engineering Service for Bulk Water and Water Supply Development Project</v>
          </cell>
          <cell r="T83">
            <v>50000000</v>
          </cell>
          <cell r="U83">
            <v>50000000</v>
          </cell>
          <cell r="V83">
            <v>0</v>
          </cell>
          <cell r="W83">
            <v>0</v>
          </cell>
          <cell r="Y83" t="str">
            <v>ADB</v>
          </cell>
          <cell r="AA83">
            <v>50000000</v>
          </cell>
          <cell r="AM83" t="str">
            <v>2016; 2015</v>
          </cell>
          <cell r="AN83" t="str">
            <v>siap</v>
          </cell>
          <cell r="AO83" t="str">
            <v>tidak butuh lahan</v>
          </cell>
          <cell r="AR83" t="str">
            <v>- sudah GB 2016  
- Nilai pinjaman di GB USD 2.000 ribu</v>
          </cell>
          <cell r="AT83">
            <v>50000000</v>
          </cell>
          <cell r="AU83" t="str">
            <v>ADB</v>
          </cell>
          <cell r="AW83" t="str">
            <v>-</v>
          </cell>
        </row>
        <row r="84">
          <cell r="J84" t="str">
            <v>Program Pembangunan Waduk</v>
          </cell>
          <cell r="L84" t="str">
            <v>Jambo Aye Multipurpose Dam Project</v>
          </cell>
          <cell r="T84">
            <v>662200000</v>
          </cell>
          <cell r="U84">
            <v>662200000</v>
          </cell>
          <cell r="V84">
            <v>460700000</v>
          </cell>
          <cell r="W84">
            <v>0</v>
          </cell>
          <cell r="Y84" t="str">
            <v>Rupiah Murni</v>
          </cell>
          <cell r="AA84">
            <v>662200000</v>
          </cell>
          <cell r="AN84" t="str">
            <v>belum ada keterangan</v>
          </cell>
          <cell r="AO84" t="str">
            <v>dalam proses
(perencanaan)</v>
          </cell>
          <cell r="AR84" t="str">
            <v>belum ada dokumen R/C</v>
          </cell>
          <cell r="AT84">
            <v>662200000</v>
          </cell>
          <cell r="AU84" t="str">
            <v>Belum Ada Indikasi</v>
          </cell>
          <cell r="AW84" t="str">
            <v>-</v>
          </cell>
        </row>
        <row r="85">
          <cell r="L85" t="str">
            <v>Komering Multipurpose Dam Project - Phase II</v>
          </cell>
          <cell r="T85">
            <v>200000000</v>
          </cell>
          <cell r="U85">
            <v>200000000</v>
          </cell>
          <cell r="V85">
            <v>20000000</v>
          </cell>
          <cell r="W85">
            <v>0</v>
          </cell>
          <cell r="Y85" t="str">
            <v>Rupiah Murni</v>
          </cell>
          <cell r="AA85">
            <v>200000000</v>
          </cell>
          <cell r="AN85" t="str">
            <v>dalam proses
(penyusunan FS)</v>
          </cell>
          <cell r="AO85" t="str">
            <v>dalam proses
(perencanaan)</v>
          </cell>
          <cell r="AR85" t="str">
            <v>belum ada dokumen R/C</v>
          </cell>
          <cell r="AT85">
            <v>200000000</v>
          </cell>
          <cell r="AU85" t="str">
            <v>Belum Ada Indikasi</v>
          </cell>
          <cell r="AW85" t="str">
            <v>-</v>
          </cell>
        </row>
        <row r="86">
          <cell r="A86">
            <v>68</v>
          </cell>
          <cell r="D86" t="str">
            <v>INFRASTRUKTUR</v>
          </cell>
          <cell r="E86">
            <v>1</v>
          </cell>
          <cell r="F86" t="str">
            <v>Kementerian Pekerjaan Umum dan Perumahan Rakyat</v>
          </cell>
          <cell r="H86" t="str">
            <v>Dam Development Program</v>
          </cell>
          <cell r="I86" t="str">
            <v>J</v>
          </cell>
          <cell r="J86" t="str">
            <v>Program Pembangunan Waduk</v>
          </cell>
          <cell r="K86">
            <v>3</v>
          </cell>
          <cell r="L86" t="str">
            <v>Pelosika Multipurpose Dam Construction Project</v>
          </cell>
          <cell r="T86">
            <v>200000000</v>
          </cell>
          <cell r="U86">
            <v>200000000</v>
          </cell>
          <cell r="V86">
            <v>170000000</v>
          </cell>
          <cell r="Y86" t="str">
            <v>Rupiah Murni</v>
          </cell>
          <cell r="AA86">
            <v>200000000</v>
          </cell>
          <cell r="AN86" t="str">
            <v>dalam proses
(penyusunan FS)</v>
          </cell>
          <cell r="AO86" t="str">
            <v>dalam proses
(perencanaan)</v>
          </cell>
          <cell r="AR86" t="str">
            <v>belum ada dokumen R/C</v>
          </cell>
          <cell r="AT86">
            <v>200000000</v>
          </cell>
          <cell r="AU86" t="str">
            <v>RRT</v>
          </cell>
          <cell r="AW86" t="str">
            <v>-</v>
          </cell>
        </row>
        <row r="87">
          <cell r="A87">
            <v>69</v>
          </cell>
          <cell r="D87" t="str">
            <v>INFRASTRUKTUR</v>
          </cell>
          <cell r="E87">
            <v>1</v>
          </cell>
          <cell r="F87" t="str">
            <v>Kementerian Pekerjaan Umum dan Perumahan Rakyat</v>
          </cell>
          <cell r="H87" t="str">
            <v>Dam Development Program</v>
          </cell>
          <cell r="I87" t="str">
            <v>J</v>
          </cell>
          <cell r="J87" t="str">
            <v>Program Pembangunan Waduk</v>
          </cell>
          <cell r="K87">
            <v>4</v>
          </cell>
          <cell r="L87" t="str">
            <v>Lambakan  Dam Project</v>
          </cell>
          <cell r="T87">
            <v>258000000</v>
          </cell>
          <cell r="U87">
            <v>258000000</v>
          </cell>
          <cell r="V87">
            <v>227000000</v>
          </cell>
          <cell r="Y87" t="str">
            <v>IDB</v>
          </cell>
          <cell r="AA87">
            <v>258000000</v>
          </cell>
          <cell r="AN87" t="str">
            <v>dalam proses
(penyusunan FS)</v>
          </cell>
          <cell r="AO87" t="str">
            <v>dalam proses
(perencanaan)</v>
          </cell>
          <cell r="AR87" t="str">
            <v>belum ada dokumen R/C</v>
          </cell>
          <cell r="AT87">
            <v>258000000</v>
          </cell>
          <cell r="AU87" t="str">
            <v>IDB</v>
          </cell>
          <cell r="AW87" t="str">
            <v>-</v>
          </cell>
        </row>
        <row r="88">
          <cell r="A88">
            <v>70</v>
          </cell>
          <cell r="D88" t="str">
            <v>INFRASTRUKTUR</v>
          </cell>
          <cell r="E88">
            <v>1</v>
          </cell>
          <cell r="F88" t="str">
            <v>Kementerian Pekerjaan Umum dan Perumahan Rakyat</v>
          </cell>
          <cell r="H88" t="str">
            <v>Dam Development Program</v>
          </cell>
          <cell r="I88" t="str">
            <v>J</v>
          </cell>
          <cell r="J88" t="str">
            <v>Program Pembangunan Waduk</v>
          </cell>
          <cell r="K88">
            <v>5</v>
          </cell>
          <cell r="L88" t="str">
            <v>Jenelata Dam Construction Project</v>
          </cell>
          <cell r="T88">
            <v>200000000</v>
          </cell>
          <cell r="U88">
            <v>200000000</v>
          </cell>
          <cell r="V88">
            <v>20000000</v>
          </cell>
          <cell r="Y88" t="str">
            <v>RRT</v>
          </cell>
          <cell r="AA88">
            <v>200000000</v>
          </cell>
          <cell r="AN88" t="str">
            <v>siap</v>
          </cell>
          <cell r="AO88" t="str">
            <v>dalam proses
(perencanaan)</v>
          </cell>
          <cell r="AR88" t="str">
            <v>belum ada dokumen R/C</v>
          </cell>
          <cell r="AT88">
            <v>200000000</v>
          </cell>
          <cell r="AU88" t="str">
            <v>RRT</v>
          </cell>
          <cell r="AW88" t="str">
            <v>-</v>
          </cell>
        </row>
        <row r="89">
          <cell r="A89">
            <v>71</v>
          </cell>
          <cell r="D89" t="str">
            <v>INFRASTRUKTUR</v>
          </cell>
          <cell r="E89">
            <v>1</v>
          </cell>
          <cell r="F89" t="str">
            <v>Kementerian Pekerjaan Umum dan Perumahan Rakyat</v>
          </cell>
          <cell r="H89" t="str">
            <v>Dam Development Program</v>
          </cell>
          <cell r="I89" t="str">
            <v>J</v>
          </cell>
          <cell r="J89" t="str">
            <v>Program Pembangunan Waduk</v>
          </cell>
          <cell r="K89">
            <v>6</v>
          </cell>
          <cell r="L89" t="str">
            <v>Bonehulu Dam Construction Project</v>
          </cell>
          <cell r="T89">
            <v>128250000</v>
          </cell>
          <cell r="U89">
            <v>128250000</v>
          </cell>
          <cell r="V89">
            <v>21000000</v>
          </cell>
          <cell r="Y89" t="str">
            <v>RRT</v>
          </cell>
          <cell r="AA89">
            <v>128250000</v>
          </cell>
          <cell r="AN89" t="str">
            <v>dalam proses
(penyusunan FS)</v>
          </cell>
          <cell r="AO89" t="str">
            <v>dalam proses
(perencanaan)</v>
          </cell>
          <cell r="AR89" t="str">
            <v>belum ada dokumen R/C</v>
          </cell>
          <cell r="AT89">
            <v>128250000</v>
          </cell>
          <cell r="AU89" t="str">
            <v>RRT</v>
          </cell>
          <cell r="AW89" t="str">
            <v>-</v>
          </cell>
        </row>
        <row r="90">
          <cell r="A90">
            <v>72</v>
          </cell>
          <cell r="D90" t="str">
            <v>INFRASTRUKTUR</v>
          </cell>
          <cell r="E90">
            <v>1</v>
          </cell>
          <cell r="F90" t="str">
            <v>Kementerian Pekerjaan Umum dan Perumahan Rakyat</v>
          </cell>
          <cell r="H90" t="str">
            <v>Dam Development Program</v>
          </cell>
          <cell r="I90" t="str">
            <v>J</v>
          </cell>
          <cell r="J90" t="str">
            <v>Program Pembangunan Waduk</v>
          </cell>
          <cell r="K90">
            <v>7</v>
          </cell>
          <cell r="L90" t="str">
            <v>Ladongi Dam Construction Project</v>
          </cell>
          <cell r="T90">
            <v>70000000</v>
          </cell>
          <cell r="U90">
            <v>70000000</v>
          </cell>
          <cell r="V90">
            <v>7000000</v>
          </cell>
          <cell r="Y90" t="str">
            <v>RRT</v>
          </cell>
          <cell r="AA90">
            <v>70000000</v>
          </cell>
          <cell r="AN90" t="str">
            <v>siap</v>
          </cell>
          <cell r="AO90" t="str">
            <v>dalam proses
(perencanaan)</v>
          </cell>
          <cell r="AR90" t="str">
            <v>belum ada dokumen R/C</v>
          </cell>
          <cell r="AT90">
            <v>70000000</v>
          </cell>
          <cell r="AU90" t="str">
            <v>RRT</v>
          </cell>
          <cell r="AW90" t="str">
            <v>-</v>
          </cell>
        </row>
        <row r="91">
          <cell r="L91" t="str">
            <v>Kuwil Kawangkoan Dam Construction Project</v>
          </cell>
          <cell r="T91">
            <v>110000000</v>
          </cell>
          <cell r="U91">
            <v>110000000</v>
          </cell>
          <cell r="V91">
            <v>11000000</v>
          </cell>
          <cell r="W91">
            <v>0</v>
          </cell>
          <cell r="Y91" t="str">
            <v>Rupiah Murni</v>
          </cell>
          <cell r="AA91">
            <v>110000000</v>
          </cell>
          <cell r="AR91" t="str">
            <v>belum ada dokumen R/C</v>
          </cell>
          <cell r="AT91">
            <v>110000000</v>
          </cell>
          <cell r="AU91" t="str">
            <v>Belum Ada Indikasi</v>
          </cell>
          <cell r="AW91" t="str">
            <v>-</v>
          </cell>
        </row>
        <row r="92">
          <cell r="A92">
            <v>74</v>
          </cell>
          <cell r="D92" t="str">
            <v>INFRASTRUKTUR</v>
          </cell>
          <cell r="E92">
            <v>1</v>
          </cell>
          <cell r="F92" t="str">
            <v>Kementerian Pekerjaan Umum dan Perumahan Rakyat</v>
          </cell>
          <cell r="H92" t="str">
            <v>Dam Development Program</v>
          </cell>
          <cell r="I92" t="str">
            <v>J</v>
          </cell>
          <cell r="J92" t="str">
            <v>Program Pembangunan Waduk</v>
          </cell>
          <cell r="K92">
            <v>9</v>
          </cell>
          <cell r="L92" t="str">
            <v>Lompatan Harimau Dam Construction Project (Rokan Kiri Dam Construction Project)</v>
          </cell>
          <cell r="T92">
            <v>152100000</v>
          </cell>
          <cell r="U92">
            <v>152100000</v>
          </cell>
          <cell r="V92">
            <v>26500000</v>
          </cell>
          <cell r="W92">
            <v>0</v>
          </cell>
          <cell r="Y92" t="str">
            <v>RRT</v>
          </cell>
          <cell r="AA92">
            <v>152100000</v>
          </cell>
          <cell r="AN92" t="str">
            <v>dalam proses
(memiliki FS)</v>
          </cell>
          <cell r="AO92" t="str">
            <v>dalam proses
(perencanaan)</v>
          </cell>
          <cell r="AR92" t="str">
            <v>belum ada dokumen R/C</v>
          </cell>
          <cell r="AT92">
            <v>152100000</v>
          </cell>
          <cell r="AU92" t="str">
            <v>RRT</v>
          </cell>
          <cell r="AW92" t="str">
            <v>-</v>
          </cell>
        </row>
        <row r="93">
          <cell r="L93" t="str">
            <v>Engineering Service for Dam Multipurpose Development Project</v>
          </cell>
          <cell r="T93">
            <v>100000000</v>
          </cell>
          <cell r="U93">
            <v>100000000</v>
          </cell>
          <cell r="V93">
            <v>0</v>
          </cell>
          <cell r="W93">
            <v>0</v>
          </cell>
        </row>
        <row r="94">
          <cell r="Y94" t="str">
            <v>ADB</v>
          </cell>
          <cell r="AA94">
            <v>1930000</v>
          </cell>
          <cell r="AM94" t="str">
            <v>2016; 2015</v>
          </cell>
          <cell r="AN94" t="str">
            <v>siap</v>
          </cell>
          <cell r="AO94" t="str">
            <v>tidak butuh lahan</v>
          </cell>
          <cell r="AR94" t="str">
            <v>-</v>
          </cell>
          <cell r="AT94">
            <v>1930000</v>
          </cell>
          <cell r="AU94" t="str">
            <v>ADB</v>
          </cell>
          <cell r="AW94" t="str">
            <v>co-financing dengan Korea (USD 21,7 juta) dan belum ada indikasi (USD 76,4 juta)</v>
          </cell>
        </row>
        <row r="95">
          <cell r="Y95" t="str">
            <v>Korea</v>
          </cell>
          <cell r="AA95">
            <v>21678596</v>
          </cell>
          <cell r="AM95">
            <v>2016</v>
          </cell>
          <cell r="AR95" t="str">
            <v>-</v>
          </cell>
          <cell r="AT95">
            <v>21678596</v>
          </cell>
          <cell r="AU95" t="str">
            <v>Korea</v>
          </cell>
          <cell r="AW95" t="str">
            <v>- co-financing dengan ADB (USD 1,9 juta) dan belum ada indikasi (USD 76,4 juta)
- masuk rolling plan EDCF (Korea)</v>
          </cell>
        </row>
        <row r="96">
          <cell r="Y96" t="str">
            <v>Belum Ada Indikasi</v>
          </cell>
          <cell r="AA96">
            <v>76391404</v>
          </cell>
          <cell r="AR96" t="str">
            <v>belum ada dokumen R/C</v>
          </cell>
          <cell r="AT96">
            <v>76391404</v>
          </cell>
          <cell r="AU96" t="str">
            <v>Belum Ada Indikasi</v>
          </cell>
          <cell r="AW96" t="str">
            <v>co-financing dengan Korea (USD 21,7 juta) dan ADB (USD 1,9 juta)</v>
          </cell>
        </row>
        <row r="97">
          <cell r="A97">
            <v>76</v>
          </cell>
          <cell r="D97" t="str">
            <v>INFRASTRUKTUR</v>
          </cell>
          <cell r="E97">
            <v>1</v>
          </cell>
          <cell r="F97" t="str">
            <v>Kementerian Pekerjaan Umum dan Perumahan Rakyat</v>
          </cell>
          <cell r="H97" t="str">
            <v>Dam Development Program</v>
          </cell>
          <cell r="I97" t="str">
            <v>J</v>
          </cell>
          <cell r="J97" t="str">
            <v>Program Pembangunan Waduk</v>
          </cell>
          <cell r="K97">
            <v>11</v>
          </cell>
          <cell r="L97" t="str">
            <v>Additional Loan for Jatigede Dam Project 2</v>
          </cell>
          <cell r="T97">
            <v>53200000</v>
          </cell>
          <cell r="U97">
            <v>53200000</v>
          </cell>
          <cell r="V97">
            <v>0</v>
          </cell>
          <cell r="W97">
            <v>0</v>
          </cell>
          <cell r="Y97" t="str">
            <v>RRT</v>
          </cell>
          <cell r="AA97">
            <v>53200000</v>
          </cell>
          <cell r="AM97">
            <v>2015</v>
          </cell>
          <cell r="AN97" t="str">
            <v>dalam proses
(memiliki FS dan DED)</v>
          </cell>
          <cell r="AO97" t="str">
            <v>dalam proses
(persiapan)</v>
          </cell>
          <cell r="AR97" t="str">
            <v>-</v>
          </cell>
          <cell r="AT97">
            <v>53200000</v>
          </cell>
          <cell r="AU97" t="str">
            <v>RRT</v>
          </cell>
          <cell r="AW97" t="str">
            <v>-</v>
          </cell>
        </row>
        <row r="98">
          <cell r="A98">
            <v>77</v>
          </cell>
          <cell r="D98" t="str">
            <v>INFRASTRUKTUR</v>
          </cell>
          <cell r="E98">
            <v>1</v>
          </cell>
          <cell r="F98" t="str">
            <v>Kementerian Pekerjaan Umum dan Perumahan Rakyat</v>
          </cell>
          <cell r="H98" t="str">
            <v>Mitigation of Water Hazards Program</v>
          </cell>
          <cell r="I98" t="str">
            <v>K</v>
          </cell>
          <cell r="J98" t="str">
            <v>Program Mitigasi Terhadap Daya Rusak Air</v>
          </cell>
          <cell r="K98">
            <v>1</v>
          </cell>
          <cell r="L98" t="str">
            <v>Lower Solo River Improvement Project - Phase II</v>
          </cell>
          <cell r="T98">
            <v>155836000</v>
          </cell>
          <cell r="U98">
            <v>155836000</v>
          </cell>
          <cell r="V98">
            <v>22500000</v>
          </cell>
          <cell r="W98">
            <v>0</v>
          </cell>
          <cell r="Y98" t="str">
            <v>JICA</v>
          </cell>
          <cell r="AA98">
            <v>155836000</v>
          </cell>
          <cell r="AN98" t="str">
            <v>siap</v>
          </cell>
          <cell r="AO98" t="str">
            <v>dalam proses
(perencanaan)</v>
          </cell>
          <cell r="AR98" t="str">
            <v>belum ada dokumen R/C</v>
          </cell>
          <cell r="AT98">
            <v>155836000</v>
          </cell>
          <cell r="AU98" t="str">
            <v>JICA</v>
          </cell>
          <cell r="AW98" t="str">
            <v>-</v>
          </cell>
        </row>
        <row r="99">
          <cell r="A99">
            <v>78</v>
          </cell>
          <cell r="D99" t="str">
            <v>INFRASTRUKTUR</v>
          </cell>
          <cell r="E99">
            <v>1</v>
          </cell>
          <cell r="F99" t="str">
            <v>Kementerian Pekerjaan Umum dan Perumahan Rakyat</v>
          </cell>
          <cell r="H99" t="str">
            <v>Mitigation of Water Hazards Program</v>
          </cell>
          <cell r="I99" t="str">
            <v>K</v>
          </cell>
          <cell r="J99" t="str">
            <v>Program Mitigasi Terhadap Daya Rusak Air</v>
          </cell>
          <cell r="K99">
            <v>2</v>
          </cell>
          <cell r="L99" t="str">
            <v>Comprehensive Countermeasure for Sediment &amp; Flood Problems in South Sulawesi Province</v>
          </cell>
          <cell r="T99">
            <v>108100000</v>
          </cell>
          <cell r="U99">
            <v>108100000</v>
          </cell>
          <cell r="V99">
            <v>3900000</v>
          </cell>
          <cell r="W99">
            <v>0</v>
          </cell>
          <cell r="Y99" t="str">
            <v>JICA</v>
          </cell>
          <cell r="AA99">
            <v>108100000</v>
          </cell>
          <cell r="AN99" t="str">
            <v>dalam proses
(memiliki FS dan DED)</v>
          </cell>
          <cell r="AO99" t="str">
            <v>belum ada keterangan</v>
          </cell>
          <cell r="AR99" t="str">
            <v>belum ada dokumen R/C</v>
          </cell>
          <cell r="AT99">
            <v>108100000</v>
          </cell>
          <cell r="AU99" t="str">
            <v>JICA</v>
          </cell>
          <cell r="AW99" t="str">
            <v>-</v>
          </cell>
        </row>
        <row r="100">
          <cell r="A100">
            <v>79</v>
          </cell>
          <cell r="D100" t="str">
            <v>INFRASTRUKTUR</v>
          </cell>
          <cell r="E100">
            <v>1</v>
          </cell>
          <cell r="F100" t="str">
            <v>Kementerian Pekerjaan Umum dan Perumahan Rakyat</v>
          </cell>
          <cell r="H100" t="str">
            <v>Mitigation of Water Hazards Program</v>
          </cell>
          <cell r="I100" t="str">
            <v>K</v>
          </cell>
          <cell r="J100" t="str">
            <v>Program Mitigasi Terhadap Daya Rusak Air</v>
          </cell>
          <cell r="K100">
            <v>3</v>
          </cell>
          <cell r="L100" t="str">
            <v>Bali Beach Conservation Project - Phase II</v>
          </cell>
          <cell r="T100">
            <v>150000000</v>
          </cell>
          <cell r="U100">
            <v>150000000</v>
          </cell>
          <cell r="V100">
            <v>15000000</v>
          </cell>
          <cell r="W100">
            <v>0</v>
          </cell>
          <cell r="Y100" t="str">
            <v>JICA</v>
          </cell>
          <cell r="AA100">
            <v>150000000</v>
          </cell>
          <cell r="AM100" t="str">
            <v>Rev. 2016</v>
          </cell>
          <cell r="AN100" t="str">
            <v>dalam proses
(memiliki FS)</v>
          </cell>
          <cell r="AO100" t="str">
            <v>belum ada keterangan</v>
          </cell>
          <cell r="AR100" t="str">
            <v>Nilai pinjaman di GB USD 90.247 ribu</v>
          </cell>
          <cell r="AT100">
            <v>150000000</v>
          </cell>
          <cell r="AU100" t="str">
            <v>JICA</v>
          </cell>
          <cell r="AW100" t="str">
            <v>-</v>
          </cell>
        </row>
        <row r="101">
          <cell r="A101">
            <v>80</v>
          </cell>
          <cell r="D101" t="str">
            <v>INFRASTRUKTUR</v>
          </cell>
          <cell r="E101">
            <v>1</v>
          </cell>
          <cell r="F101" t="str">
            <v>Kementerian Pekerjaan Umum dan Perumahan Rakyat</v>
          </cell>
          <cell r="H101" t="str">
            <v>Mitigation of Water Hazards Program</v>
          </cell>
          <cell r="I101" t="str">
            <v>K</v>
          </cell>
          <cell r="J101" t="str">
            <v>Program Mitigasi Terhadap Daya Rusak Air</v>
          </cell>
          <cell r="K101">
            <v>4</v>
          </cell>
          <cell r="L101" t="str">
            <v>Urgent Disaster Reduction of Mt. Sinabung, Mt. Semeru, Mt. Kelud Mt. Lokon, and Mt. Gamalama</v>
          </cell>
          <cell r="T101">
            <v>260000000</v>
          </cell>
          <cell r="U101">
            <v>260000000</v>
          </cell>
          <cell r="V101">
            <v>26000000</v>
          </cell>
          <cell r="W101">
            <v>0</v>
          </cell>
          <cell r="Y101" t="str">
            <v>JICA</v>
          </cell>
          <cell r="AA101">
            <v>260000000</v>
          </cell>
          <cell r="AN101" t="str">
            <v>siap</v>
          </cell>
          <cell r="AO101" t="str">
            <v>dalam proses
(persiapan)</v>
          </cell>
          <cell r="AR101" t="str">
            <v>belum ada dokumen R/C</v>
          </cell>
          <cell r="AT101">
            <v>260000000</v>
          </cell>
          <cell r="AU101" t="str">
            <v>JICA</v>
          </cell>
          <cell r="AW101" t="str">
            <v>-</v>
          </cell>
        </row>
        <row r="102">
          <cell r="A102">
            <v>81</v>
          </cell>
          <cell r="D102" t="str">
            <v>INFRASTRUKTUR</v>
          </cell>
          <cell r="E102">
            <v>1</v>
          </cell>
          <cell r="F102" t="str">
            <v>Kementerian Pekerjaan Umum dan Perumahan Rakyat</v>
          </cell>
          <cell r="H102" t="str">
            <v>Mitigation of Water Hazards Program</v>
          </cell>
          <cell r="I102" t="str">
            <v>K</v>
          </cell>
          <cell r="J102" t="str">
            <v>Program Mitigasi Terhadap Daya Rusak Air</v>
          </cell>
          <cell r="K102">
            <v>5</v>
          </cell>
          <cell r="L102" t="str">
            <v>Urban Flood Control System Improvement in Selected Cities -Phase II</v>
          </cell>
          <cell r="T102">
            <v>120000000</v>
          </cell>
          <cell r="U102">
            <v>120000000</v>
          </cell>
          <cell r="V102">
            <v>12000000</v>
          </cell>
          <cell r="W102">
            <v>0</v>
          </cell>
          <cell r="Y102" t="str">
            <v>JICA</v>
          </cell>
          <cell r="AA102">
            <v>120000000</v>
          </cell>
          <cell r="AN102" t="str">
            <v>siap</v>
          </cell>
          <cell r="AO102" t="str">
            <v>dalam proses
(perencanaan)</v>
          </cell>
          <cell r="AR102" t="str">
            <v>belum ada dokumen R/C</v>
          </cell>
          <cell r="AT102">
            <v>120000000</v>
          </cell>
          <cell r="AU102" t="str">
            <v>JICA</v>
          </cell>
          <cell r="AW102" t="str">
            <v>-</v>
          </cell>
        </row>
        <row r="103">
          <cell r="A103">
            <v>82</v>
          </cell>
          <cell r="D103" t="str">
            <v>INFRASTRUKTUR</v>
          </cell>
          <cell r="E103">
            <v>1</v>
          </cell>
          <cell r="F103" t="str">
            <v>Kementerian Pekerjaan Umum dan Perumahan Rakyat</v>
          </cell>
          <cell r="H103" t="str">
            <v>Mitigation of Water Hazards Program</v>
          </cell>
          <cell r="I103" t="str">
            <v>K</v>
          </cell>
          <cell r="J103" t="str">
            <v>Program Mitigasi Terhadap Daya Rusak Air</v>
          </cell>
          <cell r="K103">
            <v>6</v>
          </cell>
          <cell r="V103">
            <v>0</v>
          </cell>
          <cell r="W103">
            <v>0</v>
          </cell>
        </row>
        <row r="104">
          <cell r="D104" t="str">
            <v>INFRASTRUKTUR</v>
          </cell>
          <cell r="E104">
            <v>1</v>
          </cell>
          <cell r="F104" t="str">
            <v>Kementerian Pekerjaan Umum dan Perumahan Rakyat</v>
          </cell>
          <cell r="H104" t="str">
            <v>Mitigation of Water Hazards Program</v>
          </cell>
          <cell r="I104" t="str">
            <v>K</v>
          </cell>
          <cell r="J104" t="str">
            <v>Program Mitigasi Terhadap Daya Rusak Air</v>
          </cell>
          <cell r="K104">
            <v>6</v>
          </cell>
          <cell r="L104" t="str">
            <v>Engineering Service for Coastal and River Development Project</v>
          </cell>
          <cell r="T104">
            <v>50000000</v>
          </cell>
          <cell r="U104">
            <v>50000000</v>
          </cell>
          <cell r="Y104" t="str">
            <v>ADB</v>
          </cell>
          <cell r="AA104">
            <v>9620000</v>
          </cell>
          <cell r="AM104" t="str">
            <v>2016; 2015</v>
          </cell>
          <cell r="AN104" t="str">
            <v>siap</v>
          </cell>
          <cell r="AO104" t="str">
            <v>tidak butuh lahan</v>
          </cell>
          <cell r="AR104" t="str">
            <v>-</v>
          </cell>
          <cell r="AT104">
            <v>9620000</v>
          </cell>
          <cell r="AU104" t="str">
            <v>ADB</v>
          </cell>
          <cell r="AW104" t="str">
            <v>co-financing dengan Korea (USD 10,5 juta) dan belum ada indikasi (USD 29,9 juta)</v>
          </cell>
        </row>
        <row r="105">
          <cell r="Y105" t="str">
            <v>Korea</v>
          </cell>
          <cell r="AA105">
            <v>10500000</v>
          </cell>
          <cell r="AM105">
            <v>2016</v>
          </cell>
          <cell r="AN105" t="str">
            <v>siap</v>
          </cell>
          <cell r="AO105" t="str">
            <v>tidak butuh lahan</v>
          </cell>
          <cell r="AR105" t="str">
            <v>-</v>
          </cell>
          <cell r="AT105">
            <v>10500000</v>
          </cell>
          <cell r="AU105" t="str">
            <v>Korea</v>
          </cell>
          <cell r="AW105" t="str">
            <v>- co-financing dengan ADB (USD 9,6 juta) dan belum ada indikasi (USD 29,9 juta)
- masuk rolling plan EDCF (Korea)</v>
          </cell>
        </row>
        <row r="106">
          <cell r="Y106" t="str">
            <v>Belum Ada Indikasi</v>
          </cell>
          <cell r="AA106">
            <v>29880000</v>
          </cell>
          <cell r="AM106" t="str">
            <v>-</v>
          </cell>
          <cell r="AN106" t="str">
            <v>belum ada keterangan</v>
          </cell>
          <cell r="AO106" t="str">
            <v>belum ada keterangan</v>
          </cell>
          <cell r="AR106" t="str">
            <v>-</v>
          </cell>
          <cell r="AT106">
            <v>29880000</v>
          </cell>
          <cell r="AU106" t="str">
            <v>Belum Ada Indikasi</v>
          </cell>
          <cell r="AW106" t="str">
            <v>co-financing dengan Korea (USD 10,5 juta) dan ADB (USD 29,8 juta)</v>
          </cell>
        </row>
        <row r="108">
          <cell r="L108" t="str">
            <v>Flood Management in Selected River Basins Sector Project (Additional Financing)</v>
          </cell>
          <cell r="T108">
            <v>200000000</v>
          </cell>
          <cell r="U108">
            <v>200000000</v>
          </cell>
          <cell r="V108">
            <v>20000000</v>
          </cell>
          <cell r="W108">
            <v>0</v>
          </cell>
          <cell r="Y108" t="str">
            <v>Belum Ada Indikasi</v>
          </cell>
          <cell r="AA108">
            <v>200000000</v>
          </cell>
          <cell r="AN108" t="str">
            <v>belum ada keterangan</v>
          </cell>
          <cell r="AO108" t="str">
            <v>belum ada keterangan</v>
          </cell>
          <cell r="AR108" t="str">
            <v>belum ada dokumen R/C</v>
          </cell>
          <cell r="AT108">
            <v>200000000</v>
          </cell>
          <cell r="AU108" t="str">
            <v>ADB</v>
          </cell>
          <cell r="AW108" t="str">
            <v>sudah masuk COBP ADB</v>
          </cell>
        </row>
        <row r="109">
          <cell r="L109" t="str">
            <v>Flood Management in Selected River Basins</v>
          </cell>
          <cell r="T109">
            <v>108700000</v>
          </cell>
          <cell r="U109">
            <v>108700000</v>
          </cell>
          <cell r="V109">
            <v>50440000</v>
          </cell>
          <cell r="W109">
            <v>0</v>
          </cell>
          <cell r="Y109" t="str">
            <v>ADB</v>
          </cell>
          <cell r="AA109">
            <v>108700000</v>
          </cell>
          <cell r="AM109" t="str">
            <v>2016; 2015</v>
          </cell>
          <cell r="AN109" t="str">
            <v>dalam proses
(memiliki FS dan DED)</v>
          </cell>
          <cell r="AO109" t="str">
            <v>dalam proses
(persiapan)</v>
          </cell>
          <cell r="AR109" t="str">
            <v>-</v>
          </cell>
          <cell r="AT109">
            <v>108700000</v>
          </cell>
          <cell r="AU109" t="str">
            <v>ADB</v>
          </cell>
          <cell r="AW109" t="str">
            <v>-</v>
          </cell>
        </row>
        <row r="110">
          <cell r="A110">
            <v>85</v>
          </cell>
          <cell r="D110" t="str">
            <v>INFRASTRUKTUR</v>
          </cell>
          <cell r="E110">
            <v>1</v>
          </cell>
          <cell r="F110" t="str">
            <v>Kementerian Pekerjaan Umum dan Perumahan Rakyat</v>
          </cell>
          <cell r="H110" t="str">
            <v>Management of Water Resources Infrastructure Program</v>
          </cell>
          <cell r="I110" t="str">
            <v>L</v>
          </cell>
          <cell r="J110" t="str">
            <v>Program Pengelolaan Infrastruktur Sumber Daya Air</v>
          </cell>
          <cell r="K110">
            <v>1</v>
          </cell>
          <cell r="L110" t="str">
            <v>Dam Operational Improvement and Safety Project (DOISP) - Phase II</v>
          </cell>
          <cell r="T110">
            <v>250000000</v>
          </cell>
          <cell r="U110">
            <v>250000000</v>
          </cell>
          <cell r="V110">
            <v>50000000</v>
          </cell>
          <cell r="Y110" t="str">
            <v>Bank Dunia</v>
          </cell>
          <cell r="AA110">
            <v>250000000</v>
          </cell>
          <cell r="AM110" t="str">
            <v>Rev. 2016</v>
          </cell>
          <cell r="AN110" t="str">
            <v>dalam proses
(memiliki FS)</v>
          </cell>
          <cell r="AO110" t="str">
            <v>belum ada keterangan</v>
          </cell>
          <cell r="AR110" t="str">
            <v>-</v>
          </cell>
        </row>
        <row r="111">
          <cell r="AM111" t="str">
            <v>Rev. 2016</v>
          </cell>
          <cell r="AN111" t="str">
            <v>dalam proses
(memiliki FS)</v>
          </cell>
          <cell r="AO111" t="str">
            <v>belum ada keterangan</v>
          </cell>
          <cell r="AR111" t="str">
            <v>-</v>
          </cell>
          <cell r="AT111">
            <v>125000000</v>
          </cell>
          <cell r="AU111" t="str">
            <v>Bank Dunia</v>
          </cell>
          <cell r="AW111" t="str">
            <v>co-financing dengan AIIB (USD 125 juta)</v>
          </cell>
        </row>
        <row r="112">
          <cell r="AT112">
            <v>125000000</v>
          </cell>
          <cell r="AU112" t="str">
            <v>AIIB</v>
          </cell>
          <cell r="AW112" t="str">
            <v>co-financing dengan Bank Dunia (USD 125 juta)</v>
          </cell>
        </row>
        <row r="113">
          <cell r="A113">
            <v>86</v>
          </cell>
          <cell r="D113" t="str">
            <v>INFRASTRUKTUR</v>
          </cell>
          <cell r="E113">
            <v>1</v>
          </cell>
          <cell r="F113" t="str">
            <v>Kementerian Pekerjaan Umum dan Perumahan Rakyat</v>
          </cell>
          <cell r="H113" t="str">
            <v>Management of Water Resources Infrastructure Program</v>
          </cell>
          <cell r="I113" t="str">
            <v>L</v>
          </cell>
          <cell r="J113" t="str">
            <v>Program Pengelolaan Infrastruktur Sumber Daya Air</v>
          </cell>
          <cell r="K113">
            <v>2</v>
          </cell>
          <cell r="L113" t="str">
            <v>Enhanced Water Security Investment Program</v>
          </cell>
          <cell r="T113">
            <v>350000000</v>
          </cell>
          <cell r="U113">
            <v>350000000</v>
          </cell>
          <cell r="V113">
            <v>70000000</v>
          </cell>
          <cell r="Y113" t="str">
            <v>ADB</v>
          </cell>
          <cell r="AA113">
            <v>350000000</v>
          </cell>
          <cell r="AN113" t="str">
            <v>belum ada keterangan</v>
          </cell>
          <cell r="AO113" t="str">
            <v>belum ada keterangan</v>
          </cell>
          <cell r="AR113" t="str">
            <v>belum ada dokumen R/C</v>
          </cell>
          <cell r="AT113">
            <v>350000000</v>
          </cell>
          <cell r="AU113" t="str">
            <v>ADB</v>
          </cell>
          <cell r="AW113" t="str">
            <v>-</v>
          </cell>
        </row>
        <row r="114">
          <cell r="A114">
            <v>87</v>
          </cell>
          <cell r="D114" t="str">
            <v>INFRASTRUKTUR</v>
          </cell>
          <cell r="E114">
            <v>1</v>
          </cell>
          <cell r="F114" t="str">
            <v>Kementerian Pekerjaan Umum dan Perumahan Rakyat</v>
          </cell>
          <cell r="H114" t="str">
            <v>Management of Water Resources Infrastructure Program</v>
          </cell>
          <cell r="I114" t="str">
            <v>L</v>
          </cell>
          <cell r="J114" t="str">
            <v>Program Pengelolaan Infrastruktur Sumber Daya Air</v>
          </cell>
          <cell r="K114">
            <v>3</v>
          </cell>
          <cell r="L114" t="str">
            <v>Engineering Service for Water Resources Infrastructure Management</v>
          </cell>
          <cell r="T114">
            <v>50000000</v>
          </cell>
          <cell r="U114">
            <v>50000000</v>
          </cell>
          <cell r="V114">
            <v>10000000</v>
          </cell>
          <cell r="Y114" t="str">
            <v>Belum Ada Indikasi</v>
          </cell>
          <cell r="AA114">
            <v>50000000</v>
          </cell>
          <cell r="AN114" t="str">
            <v>siap</v>
          </cell>
          <cell r="AO114" t="str">
            <v>tidak butuh lahan</v>
          </cell>
          <cell r="AR114" t="str">
            <v>belum ada dokumen R/C</v>
          </cell>
          <cell r="AT114">
            <v>50000000</v>
          </cell>
          <cell r="AU114" t="str">
            <v>ADB</v>
          </cell>
          <cell r="AW114" t="str">
            <v>sudah masuk COBP ADB</v>
          </cell>
        </row>
        <row r="115">
          <cell r="L115" t="str">
            <v>Integrated Infrastructure Development for National Tourism Strategic Areas</v>
          </cell>
          <cell r="T115">
            <v>0</v>
          </cell>
          <cell r="U115">
            <v>300000000</v>
          </cell>
          <cell r="V115">
            <v>40000000</v>
          </cell>
          <cell r="W115">
            <v>10000000</v>
          </cell>
          <cell r="Y115" t="str">
            <v>Bank Dunia</v>
          </cell>
          <cell r="AA115">
            <v>300000000</v>
          </cell>
          <cell r="AM115" t="str">
            <v>Rev. 2016</v>
          </cell>
          <cell r="AR115" t="str">
            <v>Nilai pinjaman di GB USD 4.000 ribu</v>
          </cell>
          <cell r="AT115">
            <v>300000000</v>
          </cell>
          <cell r="AU115" t="str">
            <v>Bank Dunia</v>
          </cell>
        </row>
        <row r="116">
          <cell r="L116" t="str">
            <v>National Affordable Housing Project</v>
          </cell>
          <cell r="U116">
            <v>450000000</v>
          </cell>
          <cell r="V116">
            <v>0</v>
          </cell>
          <cell r="W116">
            <v>0</v>
          </cell>
          <cell r="Y116" t="str">
            <v>Belum Ada Indikasi</v>
          </cell>
          <cell r="AA116">
            <v>450000000</v>
          </cell>
          <cell r="AM116" t="str">
            <v>Rev. 2016</v>
          </cell>
          <cell r="AN116" t="str">
            <v>siap</v>
          </cell>
          <cell r="AO116" t="str">
            <v>belum ada keterangan</v>
          </cell>
          <cell r="AR116" t="str">
            <v>-</v>
          </cell>
          <cell r="AT116">
            <v>450000000</v>
          </cell>
          <cell r="AU116" t="str">
            <v>Bank Dunia</v>
          </cell>
        </row>
        <row r="117">
          <cell r="J117" t="str">
            <v>Program Penyediaaan Perumahan Bagi MBR</v>
          </cell>
        </row>
        <row r="118">
          <cell r="A118">
            <v>89</v>
          </cell>
          <cell r="D118" t="str">
            <v>INFRASTRUKTUR</v>
          </cell>
          <cell r="E118">
            <v>2</v>
          </cell>
          <cell r="F118" t="str">
            <v>PERUMNAS</v>
          </cell>
          <cell r="H118" t="str">
            <v>Program for Provision of Housing For Low-Income Households</v>
          </cell>
          <cell r="I118" t="str">
            <v>A</v>
          </cell>
          <cell r="J118" t="str">
            <v>Program Penyediaaan Perumahan Bagi MBR</v>
          </cell>
          <cell r="K118">
            <v>1</v>
          </cell>
          <cell r="L118" t="str">
            <v>Support for National Housing and Urban Development Cooperation</v>
          </cell>
          <cell r="T118">
            <v>200000000</v>
          </cell>
          <cell r="U118">
            <v>200000000</v>
          </cell>
          <cell r="V118">
            <v>20000000</v>
          </cell>
          <cell r="Y118" t="str">
            <v>JICA</v>
          </cell>
          <cell r="AA118">
            <v>200000000</v>
          </cell>
          <cell r="AN118" t="str">
            <v>dalam proses
(memiliki FS dan DED)</v>
          </cell>
          <cell r="AO118" t="str">
            <v>siap</v>
          </cell>
          <cell r="AR118" t="str">
            <v>belum ada dokumen R/C</v>
          </cell>
          <cell r="AT118">
            <v>200000000</v>
          </cell>
          <cell r="AU118" t="str">
            <v>JICA</v>
          </cell>
          <cell r="AW118" t="str">
            <v>-</v>
          </cell>
        </row>
        <row r="119">
          <cell r="E119">
            <v>3</v>
          </cell>
          <cell r="F119" t="str">
            <v>Kementerian Perhubungan</v>
          </cell>
          <cell r="I119" t="str">
            <v>A</v>
          </cell>
          <cell r="J119" t="str">
            <v>Program Pengembangan Perkeretaapian</v>
          </cell>
        </row>
        <row r="120">
          <cell r="A120">
            <v>91</v>
          </cell>
          <cell r="D120" t="str">
            <v>INFRASTRUKTUR</v>
          </cell>
          <cell r="E120">
            <v>3</v>
          </cell>
          <cell r="F120" t="str">
            <v>Kementerian Perhubungan</v>
          </cell>
          <cell r="H120" t="str">
            <v>Railway Development Program</v>
          </cell>
          <cell r="I120" t="str">
            <v>A</v>
          </cell>
          <cell r="J120" t="str">
            <v>Program Pengembangan Perkeretaapian</v>
          </cell>
          <cell r="K120">
            <v>1</v>
          </cell>
          <cell r="L120" t="str">
            <v>Procurement of Track Material and Turn Out - Phase II</v>
          </cell>
          <cell r="T120">
            <v>200000000</v>
          </cell>
          <cell r="U120">
            <v>200000000</v>
          </cell>
          <cell r="V120">
            <v>46369000</v>
          </cell>
          <cell r="W120">
            <v>0</v>
          </cell>
          <cell r="Y120" t="str">
            <v>RRT</v>
          </cell>
          <cell r="AA120">
            <v>200000000</v>
          </cell>
          <cell r="AM120" t="str">
            <v>2016; 2015</v>
          </cell>
          <cell r="AN120" t="str">
            <v>dalam proses</v>
          </cell>
          <cell r="AO120" t="str">
            <v>tidak butuh lahan</v>
          </cell>
          <cell r="AR120" t="str">
            <v>Nilai pinjaman di:
- GB 16 USD 175.056 ribu
- GB 15 USD 185.470 ribu</v>
          </cell>
          <cell r="AT120">
            <v>200000000</v>
          </cell>
          <cell r="AU120" t="str">
            <v>RRT</v>
          </cell>
          <cell r="AW120" t="str">
            <v>sudah kontrak</v>
          </cell>
        </row>
        <row r="121">
          <cell r="A121">
            <v>92</v>
          </cell>
          <cell r="D121" t="str">
            <v>INFRASTRUKTUR</v>
          </cell>
          <cell r="E121">
            <v>3</v>
          </cell>
          <cell r="F121" t="str">
            <v>Kementerian Perhubungan</v>
          </cell>
          <cell r="H121" t="str">
            <v>Railway Development Program</v>
          </cell>
          <cell r="I121" t="str">
            <v>A</v>
          </cell>
          <cell r="J121" t="str">
            <v>Program Pengembangan Perkeretaapian</v>
          </cell>
          <cell r="K121">
            <v>1</v>
          </cell>
          <cell r="L121" t="str">
            <v>Procurement of Track Material and Turn Out - Phase III</v>
          </cell>
          <cell r="T121">
            <v>292336700</v>
          </cell>
          <cell r="U121">
            <v>292336700</v>
          </cell>
          <cell r="V121">
            <v>73084200</v>
          </cell>
          <cell r="W121">
            <v>0</v>
          </cell>
          <cell r="Y121" t="str">
            <v>Belum Ada Indikasi</v>
          </cell>
          <cell r="AA121">
            <v>292336700</v>
          </cell>
          <cell r="AN121" t="str">
            <v>belum ada keterangan</v>
          </cell>
          <cell r="AO121" t="str">
            <v>tidak butuh lahan</v>
          </cell>
          <cell r="AR121" t="str">
            <v>belum ada dokumen R/C</v>
          </cell>
          <cell r="AT121">
            <v>292336700</v>
          </cell>
          <cell r="AU121" t="str">
            <v>AIIB</v>
          </cell>
          <cell r="AW121" t="str">
            <v>- usulan K/L semula lender: Belum Ada Indikasi
- usulan Dit.Multilateral, diusulkan kepada AIIB.</v>
          </cell>
        </row>
        <row r="122">
          <cell r="L122" t="str">
            <v>Procurement of Track Material and Turn Out - Phase IV</v>
          </cell>
          <cell r="T122">
            <v>0</v>
          </cell>
          <cell r="U122">
            <v>126830200</v>
          </cell>
          <cell r="V122">
            <v>22381800</v>
          </cell>
          <cell r="W122">
            <v>0</v>
          </cell>
          <cell r="Y122" t="str">
            <v>Belum Ada Indikasi</v>
          </cell>
          <cell r="AA122">
            <v>126830200</v>
          </cell>
          <cell r="AR122" t="str">
            <v>belum ada dokumen R/C</v>
          </cell>
          <cell r="AT122">
            <v>126830200</v>
          </cell>
          <cell r="AU122" t="str">
            <v>RRT</v>
          </cell>
        </row>
        <row r="123">
          <cell r="A123">
            <v>93</v>
          </cell>
          <cell r="D123" t="str">
            <v>INFRASTRUKTUR</v>
          </cell>
          <cell r="E123">
            <v>3</v>
          </cell>
          <cell r="F123" t="str">
            <v>Kementerian Perhubungan</v>
          </cell>
          <cell r="H123" t="str">
            <v>Railway Development Program</v>
          </cell>
          <cell r="I123" t="str">
            <v>A</v>
          </cell>
          <cell r="J123" t="str">
            <v>Program Pengembangan Perkeretaapian</v>
          </cell>
          <cell r="K123">
            <v>2</v>
          </cell>
          <cell r="L123" t="str">
            <v>Construction of Jakarta Mass Rapid Transit Project - Phase II</v>
          </cell>
          <cell r="T123">
            <v>1678000000</v>
          </cell>
          <cell r="U123">
            <v>1678000000</v>
          </cell>
          <cell r="V123">
            <v>167800000</v>
          </cell>
          <cell r="W123">
            <v>0</v>
          </cell>
          <cell r="Y123" t="str">
            <v>JICA</v>
          </cell>
          <cell r="AA123">
            <v>1678000000</v>
          </cell>
          <cell r="AN123" t="str">
            <v>dalam proses
(memiliki FS)</v>
          </cell>
          <cell r="AO123" t="str">
            <v>dalam proses
(perencanaan)</v>
          </cell>
          <cell r="AR123" t="str">
            <v>belum ada dokumen R/C</v>
          </cell>
          <cell r="AT123">
            <v>1678000000</v>
          </cell>
          <cell r="AU123" t="str">
            <v>JICA</v>
          </cell>
          <cell r="AW123" t="str">
            <v>Belum proses</v>
          </cell>
        </row>
        <row r="124">
          <cell r="A124">
            <v>94</v>
          </cell>
          <cell r="D124" t="str">
            <v>INFRASTRUKTUR</v>
          </cell>
          <cell r="E124">
            <v>3</v>
          </cell>
          <cell r="F124" t="str">
            <v>Kementerian Perhubungan</v>
          </cell>
          <cell r="H124" t="str">
            <v>Railway Development Program</v>
          </cell>
          <cell r="I124" t="str">
            <v>A</v>
          </cell>
          <cell r="J124" t="str">
            <v>Program Pengembangan Perkeretaapian</v>
          </cell>
          <cell r="K124">
            <v>3</v>
          </cell>
          <cell r="L124" t="str">
            <v>Construction of Jakarta Mass Rapid Transit East-West Line Project - Phase I</v>
          </cell>
          <cell r="T124">
            <v>3572000000</v>
          </cell>
          <cell r="U124">
            <v>3572000000</v>
          </cell>
          <cell r="V124">
            <v>357200000</v>
          </cell>
          <cell r="W124">
            <v>0</v>
          </cell>
          <cell r="Y124" t="str">
            <v>JICA</v>
          </cell>
          <cell r="AA124">
            <v>3572000000</v>
          </cell>
          <cell r="AN124" t="str">
            <v>dalam proses
(memiliki FS)</v>
          </cell>
          <cell r="AO124" t="str">
            <v>dalam proses
(perencanaan)</v>
          </cell>
          <cell r="AR124" t="str">
            <v>belum ada dokumen R/C</v>
          </cell>
          <cell r="AT124">
            <v>3572000000</v>
          </cell>
          <cell r="AU124" t="str">
            <v>JICA</v>
          </cell>
          <cell r="AW124" t="str">
            <v>Sebagian akan diteruspinjamkan kepada Pemprov. DKI Jakarta</v>
          </cell>
        </row>
        <row r="126">
          <cell r="L126" t="str">
            <v>Surabaya Regional Railway Line - Phase I</v>
          </cell>
          <cell r="T126">
            <v>0</v>
          </cell>
          <cell r="U126">
            <v>100000000</v>
          </cell>
          <cell r="V126">
            <v>15000000</v>
          </cell>
          <cell r="W126">
            <v>0</v>
          </cell>
          <cell r="Y126" t="str">
            <v>Belum Ada Indikasi</v>
          </cell>
          <cell r="AA126">
            <v>100000000</v>
          </cell>
          <cell r="AN126" t="str">
            <v>belum ada keterangan</v>
          </cell>
          <cell r="AO126" t="str">
            <v>belum ada keterangan</v>
          </cell>
          <cell r="AR126" t="str">
            <v>belum ada dokumen R/C</v>
          </cell>
          <cell r="AT126">
            <v>100000000</v>
          </cell>
          <cell r="AU126" t="str">
            <v>Belum Ada Indikasi</v>
          </cell>
        </row>
        <row r="127">
          <cell r="L127" t="str">
            <v>Development of Railway Quality Assurance Facility</v>
          </cell>
          <cell r="T127">
            <v>0</v>
          </cell>
          <cell r="U127">
            <v>461428600</v>
          </cell>
          <cell r="V127">
            <v>81428600</v>
          </cell>
          <cell r="W127">
            <v>0</v>
          </cell>
          <cell r="Y127" t="str">
            <v>Belum Ada Indikasi</v>
          </cell>
          <cell r="AA127">
            <v>461428600</v>
          </cell>
          <cell r="AN127" t="str">
            <v>belum ada keterangan</v>
          </cell>
          <cell r="AO127" t="str">
            <v>belum ada keterangan</v>
          </cell>
          <cell r="AR127" t="str">
            <v>belum ada dokumen R/C</v>
          </cell>
          <cell r="AT127">
            <v>461428600</v>
          </cell>
          <cell r="AU127" t="str">
            <v>Belum Ada Indikasi</v>
          </cell>
        </row>
        <row r="128">
          <cell r="L128" t="str">
            <v>Construction of Railway line for Bitung - Gorontalo - Isimu</v>
          </cell>
          <cell r="T128">
            <v>0</v>
          </cell>
          <cell r="U128">
            <v>505476800</v>
          </cell>
          <cell r="V128">
            <v>89201771</v>
          </cell>
          <cell r="W128">
            <v>0</v>
          </cell>
          <cell r="Y128" t="str">
            <v>Belum Ada Indikasi</v>
          </cell>
          <cell r="AA128">
            <v>505476800</v>
          </cell>
          <cell r="AN128" t="str">
            <v>belum ada keterangan</v>
          </cell>
          <cell r="AO128" t="str">
            <v>belum ada keterangan</v>
          </cell>
          <cell r="AR128" t="str">
            <v>belum ada dokumen R/C</v>
          </cell>
          <cell r="AT128">
            <v>505476800</v>
          </cell>
          <cell r="AU128" t="str">
            <v>Belum Ada Indikasi</v>
          </cell>
        </row>
        <row r="129">
          <cell r="L129" t="str">
            <v>Construction of Railway line for Pare-pare - Mamuju</v>
          </cell>
          <cell r="T129">
            <v>0</v>
          </cell>
          <cell r="U129">
            <v>399167600</v>
          </cell>
          <cell r="V129">
            <v>70441329</v>
          </cell>
          <cell r="W129">
            <v>0</v>
          </cell>
          <cell r="Y129" t="str">
            <v>Belum Ada Indikasi</v>
          </cell>
          <cell r="AA129">
            <v>399167600</v>
          </cell>
          <cell r="AN129" t="str">
            <v>belum ada keterangan</v>
          </cell>
          <cell r="AO129" t="str">
            <v>belum ada keterangan</v>
          </cell>
          <cell r="AR129" t="str">
            <v>belum ada dokumen R/C</v>
          </cell>
          <cell r="AT129">
            <v>399167600</v>
          </cell>
          <cell r="AU129" t="str">
            <v>Belum Ada Indikasi</v>
          </cell>
        </row>
        <row r="131">
          <cell r="L131" t="str">
            <v>Development and Improvement of Indonesian Aids to Navigation</v>
          </cell>
          <cell r="T131">
            <v>0</v>
          </cell>
          <cell r="U131">
            <v>27402600</v>
          </cell>
          <cell r="V131">
            <v>7300000</v>
          </cell>
          <cell r="W131">
            <v>0</v>
          </cell>
          <cell r="Y131" t="str">
            <v>Belum Ada Indikasi</v>
          </cell>
          <cell r="AA131">
            <v>27402600</v>
          </cell>
          <cell r="AN131" t="str">
            <v>belum ada keterangan</v>
          </cell>
          <cell r="AO131" t="str">
            <v>belum ada keterangan</v>
          </cell>
          <cell r="AT131">
            <v>27402600</v>
          </cell>
          <cell r="AU131" t="str">
            <v>Belum Ada Indikasi</v>
          </cell>
        </row>
        <row r="132">
          <cell r="L132" t="str">
            <v>Procurement of Navigation First Class Vessels</v>
          </cell>
          <cell r="T132">
            <v>0</v>
          </cell>
          <cell r="U132">
            <v>186237900</v>
          </cell>
          <cell r="V132">
            <v>0</v>
          </cell>
          <cell r="W132">
            <v>0</v>
          </cell>
          <cell r="Y132" t="str">
            <v>Belum Ada Indikasi</v>
          </cell>
          <cell r="AA132">
            <v>186237900</v>
          </cell>
          <cell r="AN132" t="str">
            <v>belum ada keterangan</v>
          </cell>
          <cell r="AO132" t="str">
            <v>belum ada keterangan</v>
          </cell>
          <cell r="AT132">
            <v>186237900</v>
          </cell>
          <cell r="AU132" t="str">
            <v>Belum Ada Indikasi</v>
          </cell>
        </row>
        <row r="133">
          <cell r="L133" t="str">
            <v>Procurement of Navigation Carrier Vessels</v>
          </cell>
          <cell r="T133">
            <v>0</v>
          </cell>
          <cell r="U133">
            <v>73732600</v>
          </cell>
          <cell r="V133">
            <v>0</v>
          </cell>
          <cell r="W133">
            <v>0</v>
          </cell>
          <cell r="Y133" t="str">
            <v>Belum Ada Indikasi</v>
          </cell>
          <cell r="AA133">
            <v>73732600</v>
          </cell>
          <cell r="AN133" t="str">
            <v>belum ada keterangan</v>
          </cell>
          <cell r="AO133" t="str">
            <v>belum ada keterangan</v>
          </cell>
          <cell r="AT133">
            <v>73732600</v>
          </cell>
          <cell r="AU133" t="str">
            <v>Belum Ada Indikasi</v>
          </cell>
        </row>
        <row r="134">
          <cell r="L134" t="str">
            <v>The Development of Patimban Port - Stage I</v>
          </cell>
          <cell r="T134">
            <v>0</v>
          </cell>
          <cell r="U134">
            <v>1700000000</v>
          </cell>
          <cell r="V134">
            <v>595000000</v>
          </cell>
          <cell r="W134">
            <v>0</v>
          </cell>
          <cell r="Y134" t="str">
            <v>Belum Ada Indikasi</v>
          </cell>
          <cell r="AA134">
            <v>1700000000</v>
          </cell>
          <cell r="AN134" t="str">
            <v>belum ada keterangan</v>
          </cell>
          <cell r="AO134" t="str">
            <v>belum ada keterangan</v>
          </cell>
          <cell r="AR134" t="str">
            <v>belum ada dokumen R/C</v>
          </cell>
          <cell r="AT134">
            <v>1700000000</v>
          </cell>
          <cell r="AU134" t="str">
            <v>JICA</v>
          </cell>
        </row>
        <row r="135">
          <cell r="A135">
            <v>97</v>
          </cell>
          <cell r="D135" t="str">
            <v>INFRASTRUKTUR</v>
          </cell>
          <cell r="E135">
            <v>5</v>
          </cell>
          <cell r="F135" t="str">
            <v>Kementerian Komunikasi dan Informatika</v>
          </cell>
          <cell r="H135" t="str">
            <v>Information Communication And Technology (ICT) And Broadcasting Infrastructure Development Program</v>
          </cell>
          <cell r="I135" t="str">
            <v>A</v>
          </cell>
          <cell r="J135" t="str">
            <v>Program Pengembangan Infrastruktur TIK dan Penyiaran</v>
          </cell>
          <cell r="K135">
            <v>1</v>
          </cell>
          <cell r="L135" t="str">
            <v>Improvement on TV Transmitting Stations (Digitalization of TVRI) - Phase III</v>
          </cell>
          <cell r="T135">
            <v>411000000</v>
          </cell>
          <cell r="U135">
            <v>411000000</v>
          </cell>
          <cell r="V135">
            <v>41000000</v>
          </cell>
          <cell r="W135">
            <v>0</v>
          </cell>
          <cell r="Y135" t="str">
            <v>Belum Ada Indikasi</v>
          </cell>
          <cell r="AA135">
            <v>411000000</v>
          </cell>
          <cell r="AN135" t="str">
            <v>dalam proses
(penyusunan FS)</v>
          </cell>
          <cell r="AO135" t="str">
            <v>siap</v>
          </cell>
          <cell r="AR135" t="str">
            <v>belum ada dokumen R/C</v>
          </cell>
          <cell r="AT135">
            <v>411000000</v>
          </cell>
          <cell r="AU135" t="str">
            <v>US EXIM/Perancis</v>
          </cell>
          <cell r="AW135" t="str">
            <v>-</v>
          </cell>
        </row>
        <row r="136">
          <cell r="A136">
            <v>98</v>
          </cell>
          <cell r="D136" t="str">
            <v>INFRASTRUKTUR</v>
          </cell>
          <cell r="E136">
            <v>5</v>
          </cell>
          <cell r="F136" t="str">
            <v>Kementerian Komunikasi dan Informatika</v>
          </cell>
          <cell r="H136" t="str">
            <v>Information Communication And Technology (ICT) And Broadcasting Infrastructure Development Program</v>
          </cell>
          <cell r="I136" t="str">
            <v>A</v>
          </cell>
          <cell r="J136" t="str">
            <v>Program Pengembangan Infrastruktur TIK dan Penyiaran</v>
          </cell>
          <cell r="K136">
            <v>2</v>
          </cell>
          <cell r="L136" t="str">
            <v>Strengthening of e-Government Infrastructure</v>
          </cell>
          <cell r="T136">
            <v>145000000</v>
          </cell>
          <cell r="U136">
            <v>145000000</v>
          </cell>
          <cell r="V136">
            <v>20000000</v>
          </cell>
          <cell r="W136">
            <v>10000000</v>
          </cell>
          <cell r="Y136" t="str">
            <v>Korea</v>
          </cell>
          <cell r="AA136">
            <v>145000000</v>
          </cell>
          <cell r="AN136" t="str">
            <v>dalam proses
(penyusunan FS)</v>
          </cell>
          <cell r="AO136" t="str">
            <v>dalam proses
(persiapan)</v>
          </cell>
          <cell r="AR136" t="str">
            <v>penyiapan dokumen R/C</v>
          </cell>
          <cell r="AT136">
            <v>145000000</v>
          </cell>
          <cell r="AU136" t="str">
            <v>Korea</v>
          </cell>
          <cell r="AW136" t="str">
            <v>masuk rolling plan EDCF (Korea)</v>
          </cell>
        </row>
        <row r="138">
          <cell r="A138">
            <v>100</v>
          </cell>
          <cell r="D138" t="str">
            <v>INFRASTRUKTUR</v>
          </cell>
          <cell r="E138">
            <v>6</v>
          </cell>
          <cell r="F138" t="str">
            <v>Kepolisian RI</v>
          </cell>
          <cell r="H138" t="str">
            <v>Information Communication And Technology (ICT) And Broadcasting Infrastructure Development Program</v>
          </cell>
          <cell r="I138" t="str">
            <v>A</v>
          </cell>
          <cell r="J138" t="str">
            <v>Program Pengembangan Infrastruktur TIK dan Penyiaran</v>
          </cell>
          <cell r="K138">
            <v>1</v>
          </cell>
          <cell r="L138" t="str">
            <v>National Criminal Information Center for Indonesian National Police - Phase II</v>
          </cell>
          <cell r="T138">
            <v>20000000</v>
          </cell>
          <cell r="U138">
            <v>20000000</v>
          </cell>
          <cell r="V138">
            <v>3500000</v>
          </cell>
          <cell r="W138">
            <v>0</v>
          </cell>
          <cell r="Y138" t="str">
            <v>Korea</v>
          </cell>
          <cell r="AA138">
            <v>20000000</v>
          </cell>
          <cell r="AM138">
            <v>2015</v>
          </cell>
          <cell r="AN138" t="str">
            <v>siap</v>
          </cell>
          <cell r="AO138" t="str">
            <v>tidak butuh lahan</v>
          </cell>
          <cell r="AR138" t="str">
            <v>-</v>
          </cell>
          <cell r="AT138">
            <v>20000000</v>
          </cell>
          <cell r="AU138" t="str">
            <v>Korea</v>
          </cell>
          <cell r="AW138" t="str">
            <v>masuk rolling plan EDCF (Korea)</v>
          </cell>
        </row>
        <row r="139">
          <cell r="F139" t="str">
            <v>PT. PLN</v>
          </cell>
          <cell r="I139" t="str">
            <v>A</v>
          </cell>
          <cell r="J139" t="str">
            <v>Program Pembangunan Infrastruktur Ketenagalistrikan</v>
          </cell>
        </row>
        <row r="141">
          <cell r="A141">
            <v>103</v>
          </cell>
          <cell r="D141" t="str">
            <v>INFRASTRUKTUR</v>
          </cell>
          <cell r="E141">
            <v>7</v>
          </cell>
          <cell r="F141" t="str">
            <v>PT. PLN</v>
          </cell>
          <cell r="H141" t="str">
            <v>Electricity Infrastructure Development Program</v>
          </cell>
          <cell r="I141" t="str">
            <v>A</v>
          </cell>
          <cell r="J141" t="str">
            <v>Program Pembangunan Infrastruktur Ketenagalistrikan</v>
          </cell>
          <cell r="K141">
            <v>1</v>
          </cell>
          <cell r="L141" t="str">
            <v>Construction of Java Sumatera Interconnection 500 kV (HVDC-Phase 3 &amp; 4)</v>
          </cell>
          <cell r="T141">
            <v>933000000</v>
          </cell>
          <cell r="U141">
            <v>933000000</v>
          </cell>
          <cell r="V141">
            <v>165000000</v>
          </cell>
          <cell r="W141">
            <v>0</v>
          </cell>
          <cell r="Y141" t="str">
            <v>JICA</v>
          </cell>
          <cell r="AA141">
            <v>933000000</v>
          </cell>
          <cell r="AN141" t="str">
            <v>belum ada keterangan</v>
          </cell>
          <cell r="AO141" t="str">
            <v>belum ada keterangan</v>
          </cell>
          <cell r="AR141" t="str">
            <v>penyiapan dokumen R/C</v>
          </cell>
          <cell r="AT141">
            <v>933000000</v>
          </cell>
          <cell r="AU141" t="str">
            <v>JICA</v>
          </cell>
          <cell r="AW141" t="str">
            <v>-</v>
          </cell>
        </row>
        <row r="144">
          <cell r="A144">
            <v>106</v>
          </cell>
          <cell r="D144" t="str">
            <v>INFRASTRUKTUR</v>
          </cell>
          <cell r="E144">
            <v>7</v>
          </cell>
          <cell r="F144" t="str">
            <v>PT. PLN</v>
          </cell>
          <cell r="H144" t="str">
            <v>Electricity Infrastructure Development Program</v>
          </cell>
          <cell r="I144" t="str">
            <v>A</v>
          </cell>
          <cell r="J144" t="str">
            <v>Program Pembangunan Infrastruktur Ketenagalistrikan</v>
          </cell>
          <cell r="K144">
            <v>2</v>
          </cell>
          <cell r="L144" t="str">
            <v>Hululais Geothermal Power Plant  1&amp;2 (2x55MW)</v>
          </cell>
          <cell r="T144">
            <v>204000000</v>
          </cell>
          <cell r="U144">
            <v>204000000</v>
          </cell>
          <cell r="V144">
            <v>42000000</v>
          </cell>
          <cell r="W144">
            <v>0</v>
          </cell>
          <cell r="Y144" t="str">
            <v>JICA</v>
          </cell>
          <cell r="AA144">
            <v>204000000</v>
          </cell>
          <cell r="AN144" t="str">
            <v>belum ada keterangan</v>
          </cell>
          <cell r="AO144" t="str">
            <v>belum ada keterangan</v>
          </cell>
          <cell r="AR144" t="str">
            <v>belum ada dokumen R/C</v>
          </cell>
          <cell r="AT144">
            <v>204000000</v>
          </cell>
          <cell r="AU144" t="str">
            <v>JICA</v>
          </cell>
          <cell r="AW144" t="str">
            <v>-</v>
          </cell>
        </row>
        <row r="145">
          <cell r="A145">
            <v>107</v>
          </cell>
          <cell r="D145" t="str">
            <v>INFRASTRUKTUR</v>
          </cell>
          <cell r="E145">
            <v>7</v>
          </cell>
          <cell r="F145" t="str">
            <v>PT. PLN</v>
          </cell>
          <cell r="H145" t="str">
            <v>Electricity Infrastructure Development Program</v>
          </cell>
          <cell r="I145" t="str">
            <v>A</v>
          </cell>
          <cell r="J145" t="str">
            <v>Program Pembangunan Infrastruktur Ketenagalistrikan</v>
          </cell>
          <cell r="K145">
            <v>3</v>
          </cell>
          <cell r="L145" t="str">
            <v>Bakaru II Hydro Electrical Power Plant (2x63MW)</v>
          </cell>
          <cell r="T145">
            <v>280000000</v>
          </cell>
          <cell r="U145">
            <v>280000000</v>
          </cell>
          <cell r="V145">
            <v>20000000</v>
          </cell>
          <cell r="W145">
            <v>0</v>
          </cell>
          <cell r="Y145" t="str">
            <v>Jerman (KfW)</v>
          </cell>
          <cell r="AA145">
            <v>280000000</v>
          </cell>
          <cell r="AN145" t="str">
            <v>dalam proses</v>
          </cell>
          <cell r="AO145" t="str">
            <v>dalam proses
(perencanaan)</v>
          </cell>
          <cell r="AR145" t="str">
            <v>- tidak diketahui dalam proses apa
- belum ada dokumen R/C</v>
          </cell>
          <cell r="AT145">
            <v>280000000</v>
          </cell>
          <cell r="AU145" t="str">
            <v>Jerman (KfW)</v>
          </cell>
          <cell r="AW145" t="str">
            <v>-</v>
          </cell>
        </row>
        <row r="146">
          <cell r="A146">
            <v>108</v>
          </cell>
          <cell r="D146" t="str">
            <v>INFRASTRUKTUR</v>
          </cell>
          <cell r="E146">
            <v>7</v>
          </cell>
          <cell r="F146" t="str">
            <v>PT. PLN</v>
          </cell>
          <cell r="H146" t="str">
            <v>Electricity Infrastructure Development Program</v>
          </cell>
          <cell r="I146" t="str">
            <v>A</v>
          </cell>
          <cell r="J146" t="str">
            <v>Program Pembangunan Infrastruktur Ketenagalistrikan</v>
          </cell>
          <cell r="K146">
            <v>4</v>
          </cell>
          <cell r="L146" t="str">
            <v>Tulehu Geothermal Power Plant Project Unit 1&amp;2 (2x10MW)</v>
          </cell>
          <cell r="T146">
            <v>104000000</v>
          </cell>
          <cell r="U146">
            <v>104000000</v>
          </cell>
          <cell r="V146">
            <v>18000000</v>
          </cell>
          <cell r="Y146" t="str">
            <v>JICA</v>
          </cell>
          <cell r="AA146">
            <v>104000000</v>
          </cell>
          <cell r="AN146" t="str">
            <v>dalam proses
(penyusunan FS)</v>
          </cell>
          <cell r="AO146" t="str">
            <v>dalam proses
(pelaksanaan 63%)</v>
          </cell>
          <cell r="AR146" t="str">
            <v>belum ada dokumen R/C</v>
          </cell>
          <cell r="AT146">
            <v>104000000</v>
          </cell>
          <cell r="AU146" t="str">
            <v>JICA</v>
          </cell>
          <cell r="AW146" t="str">
            <v>-</v>
          </cell>
        </row>
        <row r="147">
          <cell r="A147">
            <v>109</v>
          </cell>
          <cell r="D147" t="str">
            <v>INFRASTRUKTUR</v>
          </cell>
          <cell r="E147">
            <v>7</v>
          </cell>
          <cell r="F147" t="str">
            <v>PT. PLN</v>
          </cell>
          <cell r="H147" t="str">
            <v>Electricity Infrastructure Development Program</v>
          </cell>
          <cell r="I147" t="str">
            <v>A</v>
          </cell>
          <cell r="J147" t="str">
            <v>Program Pembangunan Infrastruktur Ketenagalistrikan</v>
          </cell>
          <cell r="K147">
            <v>5</v>
          </cell>
          <cell r="L147" t="str">
            <v>Indramayu Coal Fired Power Plant  #4 (1x1000MW)</v>
          </cell>
          <cell r="T147">
            <v>1845000000</v>
          </cell>
          <cell r="U147">
            <v>1845000000</v>
          </cell>
          <cell r="V147">
            <v>333000000</v>
          </cell>
          <cell r="Y147" t="str">
            <v>JICA</v>
          </cell>
          <cell r="AA147">
            <v>1845000000</v>
          </cell>
          <cell r="AN147" t="str">
            <v>siap</v>
          </cell>
          <cell r="AO147" t="str">
            <v>dalam proses
(perencanaan)</v>
          </cell>
          <cell r="AR147" t="str">
            <v>belum ada dokumen R/C</v>
          </cell>
          <cell r="AT147">
            <v>1845000000</v>
          </cell>
          <cell r="AU147" t="str">
            <v>JICA</v>
          </cell>
          <cell r="AW147" t="str">
            <v>-</v>
          </cell>
        </row>
        <row r="148">
          <cell r="A148">
            <v>110</v>
          </cell>
          <cell r="D148" t="str">
            <v>INFRASTRUKTUR</v>
          </cell>
          <cell r="E148">
            <v>7</v>
          </cell>
          <cell r="F148" t="str">
            <v>PT. PLN</v>
          </cell>
          <cell r="H148" t="str">
            <v>Electricity Infrastructure Development Program</v>
          </cell>
          <cell r="I148" t="str">
            <v>A</v>
          </cell>
          <cell r="J148" t="str">
            <v>Program Pembangunan Infrastruktur Ketenagalistrikan</v>
          </cell>
          <cell r="K148">
            <v>6</v>
          </cell>
          <cell r="L148" t="str">
            <v>Additional Loan for Upper Cisokan Pumped Storage Hydro Electrical Power Plant (4x260MW)</v>
          </cell>
          <cell r="T148">
            <v>200000000</v>
          </cell>
          <cell r="U148">
            <v>200000000</v>
          </cell>
          <cell r="V148">
            <v>0</v>
          </cell>
          <cell r="Y148" t="str">
            <v>Bank Dunia</v>
          </cell>
          <cell r="AA148">
            <v>200000000</v>
          </cell>
          <cell r="AN148" t="str">
            <v>siap</v>
          </cell>
          <cell r="AO148" t="str">
            <v>dalam proses
(pelaksanaan 95%)</v>
          </cell>
          <cell r="AR148" t="str">
            <v>belum ada dokumen R/C</v>
          </cell>
          <cell r="AT148">
            <v>200000000</v>
          </cell>
          <cell r="AU148" t="str">
            <v>Bank Dunia</v>
          </cell>
          <cell r="AW148" t="str">
            <v>-</v>
          </cell>
        </row>
        <row r="149">
          <cell r="A149">
            <v>111</v>
          </cell>
          <cell r="D149" t="str">
            <v>INFRASTRUKTUR</v>
          </cell>
          <cell r="E149">
            <v>7</v>
          </cell>
          <cell r="F149" t="str">
            <v>PT. PLN</v>
          </cell>
          <cell r="H149" t="str">
            <v>Electricity Infrastructure Development Program</v>
          </cell>
          <cell r="I149" t="str">
            <v>A</v>
          </cell>
          <cell r="J149" t="str">
            <v>Program Pembangunan Infrastruktur Ketenagalistrikan</v>
          </cell>
          <cell r="K149">
            <v>7</v>
          </cell>
          <cell r="L149" t="str">
            <v>Sungai Penuh Geothermal Power Plant 1&amp;2 (2x55MW)</v>
          </cell>
          <cell r="T149">
            <v>205000000</v>
          </cell>
          <cell r="U149">
            <v>205000000</v>
          </cell>
          <cell r="V149">
            <v>45000000</v>
          </cell>
          <cell r="Y149" t="str">
            <v>ADB</v>
          </cell>
          <cell r="AA149">
            <v>205000000</v>
          </cell>
          <cell r="AN149" t="str">
            <v>siap</v>
          </cell>
          <cell r="AO149" t="str">
            <v>belum ada keterangan</v>
          </cell>
          <cell r="AR149" t="str">
            <v>belum ada dokumen R/C</v>
          </cell>
          <cell r="AT149">
            <v>205000000</v>
          </cell>
          <cell r="AU149" t="str">
            <v>ADB</v>
          </cell>
          <cell r="AW149" t="str">
            <v>-</v>
          </cell>
        </row>
        <row r="150">
          <cell r="A150">
            <v>112</v>
          </cell>
          <cell r="D150" t="str">
            <v>INFRASTRUKTUR</v>
          </cell>
          <cell r="E150">
            <v>7</v>
          </cell>
          <cell r="F150" t="str">
            <v>PT. PLN</v>
          </cell>
          <cell r="H150" t="str">
            <v>Electricity Infrastructure Development Program</v>
          </cell>
          <cell r="I150" t="str">
            <v>A</v>
          </cell>
          <cell r="J150" t="str">
            <v>Program Pembangunan Infrastruktur Ketenagalistrikan</v>
          </cell>
          <cell r="K150">
            <v>8</v>
          </cell>
          <cell r="L150" t="str">
            <v>Matenggeng Pumped Storage Hydro Electrical Power Plant (4x225MW)</v>
          </cell>
          <cell r="T150">
            <v>500000000</v>
          </cell>
          <cell r="U150">
            <v>500000000</v>
          </cell>
          <cell r="V150">
            <v>220000000</v>
          </cell>
          <cell r="Y150" t="str">
            <v>Bank Dunia</v>
          </cell>
          <cell r="AA150">
            <v>500000000</v>
          </cell>
          <cell r="AN150" t="str">
            <v>dalam proses
(penyusunan FS)</v>
          </cell>
          <cell r="AO150" t="str">
            <v>belum ada keterangan</v>
          </cell>
          <cell r="AR150" t="str">
            <v>belum ada dokumen R/C</v>
          </cell>
          <cell r="AT150">
            <v>500000000</v>
          </cell>
          <cell r="AU150" t="str">
            <v>Bank Dunia</v>
          </cell>
          <cell r="AW150" t="str">
            <v>-</v>
          </cell>
        </row>
        <row r="151">
          <cell r="L151" t="str">
            <v>Development of Seulawah Agam Geothermal Working Area for 55 MW-Capacity Geothermal Power Plant in Aceh</v>
          </cell>
          <cell r="T151">
            <v>0</v>
          </cell>
          <cell r="U151">
            <v>61600000</v>
          </cell>
          <cell r="V151">
            <v>106510000</v>
          </cell>
          <cell r="W151">
            <v>7700000</v>
          </cell>
          <cell r="Y151" t="str">
            <v>Belum Ada Indikasi</v>
          </cell>
          <cell r="AA151">
            <v>61600000</v>
          </cell>
          <cell r="AN151" t="str">
            <v>belum ada keterangan</v>
          </cell>
          <cell r="AO151" t="str">
            <v>belum ada keterangan</v>
          </cell>
          <cell r="AR151" t="str">
            <v>belum ada dokumen R/C</v>
          </cell>
          <cell r="AT151">
            <v>61600000</v>
          </cell>
          <cell r="AU151" t="str">
            <v>Jerman (KfW)</v>
          </cell>
        </row>
        <row r="152">
          <cell r="L152" t="str">
            <v>Development and Improvement of Lampung Provincial Roads Project</v>
          </cell>
          <cell r="T152">
            <v>0</v>
          </cell>
          <cell r="U152">
            <v>225000000</v>
          </cell>
          <cell r="V152">
            <v>0</v>
          </cell>
          <cell r="W152">
            <v>0</v>
          </cell>
          <cell r="Y152" t="str">
            <v>Belum Ada Indikasi</v>
          </cell>
          <cell r="AA152">
            <v>225000000</v>
          </cell>
          <cell r="AN152" t="str">
            <v>belum ada keterangan</v>
          </cell>
          <cell r="AO152" t="str">
            <v>belum ada keterangan</v>
          </cell>
          <cell r="AR152" t="str">
            <v>belum ada dokumen R/C</v>
          </cell>
          <cell r="AT152">
            <v>225000000</v>
          </cell>
          <cell r="AU152" t="str">
            <v>Belum Ada Indikasi</v>
          </cell>
        </row>
        <row r="154">
          <cell r="L154" t="str">
            <v>Increasing PT Indonesia Infrastructure Finance Financing Capacity in Accelerating Infrastructure Development in Indonesia</v>
          </cell>
          <cell r="T154">
            <v>0</v>
          </cell>
          <cell r="U154">
            <v>300000000</v>
          </cell>
          <cell r="V154">
            <v>0</v>
          </cell>
          <cell r="W154">
            <v>0</v>
          </cell>
          <cell r="Y154" t="str">
            <v>Belum Ada Indikasi</v>
          </cell>
          <cell r="AA154">
            <v>300000000</v>
          </cell>
          <cell r="AM154" t="str">
            <v>Rev. 2016</v>
          </cell>
          <cell r="AN154" t="str">
            <v>siap</v>
          </cell>
          <cell r="AO154" t="str">
            <v>siap</v>
          </cell>
          <cell r="AR154" t="str">
            <v>-</v>
          </cell>
          <cell r="AT154">
            <v>200000000</v>
          </cell>
          <cell r="AU154" t="str">
            <v>Bank Dunia</v>
          </cell>
          <cell r="AW154" t="str">
            <v>co-financing dengan ADB (USD 100 juta)</v>
          </cell>
        </row>
        <row r="155">
          <cell r="AM155" t="str">
            <v>Rev. 2016</v>
          </cell>
          <cell r="AN155" t="str">
            <v>siap</v>
          </cell>
          <cell r="AO155" t="str">
            <v>siap</v>
          </cell>
          <cell r="AR155" t="str">
            <v>-</v>
          </cell>
          <cell r="AT155">
            <v>100000000</v>
          </cell>
          <cell r="AU155" t="str">
            <v>ADB</v>
          </cell>
          <cell r="AW155" t="str">
            <v>co-financing dengan Bank Dunia (USD 200 juta)</v>
          </cell>
        </row>
        <row r="157">
          <cell r="L157" t="str">
            <v>Financial Regional Infrastructure Projects through Regional Infrastructure Development Fund (RIDF)</v>
          </cell>
          <cell r="T157">
            <v>0</v>
          </cell>
          <cell r="U157">
            <v>500000000</v>
          </cell>
          <cell r="V157">
            <v>0</v>
          </cell>
          <cell r="W157">
            <v>0</v>
          </cell>
          <cell r="AA157">
            <v>500000000</v>
          </cell>
          <cell r="AM157" t="str">
            <v>Rev. 2016</v>
          </cell>
          <cell r="AN157" t="str">
            <v>siap</v>
          </cell>
          <cell r="AO157" t="str">
            <v>siap</v>
          </cell>
          <cell r="AR157" t="str">
            <v>-</v>
          </cell>
          <cell r="AT157">
            <v>100000000</v>
          </cell>
          <cell r="AU157" t="str">
            <v>Bank Dunia</v>
          </cell>
          <cell r="AW157" t="str">
            <v>co-financing dengan AIIB (USD 100 juta) dan belum ada indikasi (USD 300 juta)</v>
          </cell>
        </row>
        <row r="158">
          <cell r="AM158" t="str">
            <v>Rev. 2016</v>
          </cell>
          <cell r="AN158" t="str">
            <v>siap</v>
          </cell>
          <cell r="AO158" t="str">
            <v>siap</v>
          </cell>
          <cell r="AR158" t="str">
            <v>-</v>
          </cell>
          <cell r="AT158">
            <v>100000000</v>
          </cell>
          <cell r="AU158" t="str">
            <v>AIIB</v>
          </cell>
          <cell r="AW158" t="str">
            <v>co-financing dengan Bank Dunia (USD 100 juta) dan belum ada indikasi (USD 300 juta)</v>
          </cell>
        </row>
        <row r="159">
          <cell r="AN159" t="str">
            <v>belum ada keterangan</v>
          </cell>
          <cell r="AO159" t="str">
            <v>belum ada keterangan</v>
          </cell>
          <cell r="AR159" t="str">
            <v>-</v>
          </cell>
          <cell r="AT159">
            <v>300000000</v>
          </cell>
          <cell r="AU159" t="str">
            <v>Belum Ada Indikasi</v>
          </cell>
          <cell r="AW159" t="str">
            <v>co-financing dengan Bank Dunia (USD 100 juta) dan AIIB (USD 100 juta)</v>
          </cell>
        </row>
        <row r="160">
          <cell r="D160" t="str">
            <v>NON-INFRASTRUKTUR</v>
          </cell>
          <cell r="F160" t="str">
            <v>Kementerian Riset, Teknologi, dan Pendidikan Tinggi</v>
          </cell>
          <cell r="I160" t="str">
            <v>A</v>
          </cell>
          <cell r="J160" t="str">
            <v>Program Peningkatan Akses, Kualitas, Relevansi, dan Daya Saing Pendidikan Tinggi</v>
          </cell>
        </row>
        <row r="161">
          <cell r="I161" t="str">
            <v>A</v>
          </cell>
        </row>
        <row r="165">
          <cell r="A165">
            <v>118</v>
          </cell>
          <cell r="D165" t="str">
            <v>NON-INFRASTRUKTUR</v>
          </cell>
          <cell r="E165">
            <v>8</v>
          </cell>
          <cell r="F165" t="str">
            <v>Kementerian Riset, Teknologi, dan Pendidikan Tinggi</v>
          </cell>
          <cell r="H165" t="str">
            <v>Improving Access, Quality, Relevance, and Competitiveness of Higher Education Program</v>
          </cell>
          <cell r="I165" t="str">
            <v>A</v>
          </cell>
          <cell r="J165" t="str">
            <v>Program Peningkatan Akses, Kualitas, Relevansi, dan Daya Saing Pendidikan Tinggi</v>
          </cell>
          <cell r="K165">
            <v>1</v>
          </cell>
          <cell r="L165" t="str">
            <v>The Plan of Hasanuddin University Hospital Development</v>
          </cell>
          <cell r="T165">
            <v>31565800</v>
          </cell>
          <cell r="U165">
            <v>31565800</v>
          </cell>
          <cell r="V165">
            <v>2586200</v>
          </cell>
          <cell r="Y165" t="str">
            <v>Jerman (KfW)</v>
          </cell>
          <cell r="AA165">
            <v>31565800</v>
          </cell>
          <cell r="AM165">
            <v>2016</v>
          </cell>
          <cell r="AN165" t="str">
            <v>siap</v>
          </cell>
          <cell r="AO165" t="str">
            <v>siap</v>
          </cell>
          <cell r="AR165" t="str">
            <v>-</v>
          </cell>
          <cell r="AT165">
            <v>31565800</v>
          </cell>
          <cell r="AU165" t="str">
            <v>Jerman (KfW)</v>
          </cell>
          <cell r="AW165" t="str">
            <v>-</v>
          </cell>
        </row>
        <row r="166">
          <cell r="A166">
            <v>119</v>
          </cell>
          <cell r="D166" t="str">
            <v>NON-INFRASTRUKTUR</v>
          </cell>
          <cell r="E166">
            <v>8</v>
          </cell>
          <cell r="F166" t="str">
            <v>Kementerian Riset, Teknologi, dan Pendidikan Tinggi</v>
          </cell>
          <cell r="H166" t="str">
            <v>Improving Access, Quality, Relevance, and Competitiveness of Higher Education Program</v>
          </cell>
          <cell r="I166" t="str">
            <v>A</v>
          </cell>
          <cell r="J166" t="str">
            <v>Program Peningkatan Akses, Kualitas, Relevansi, dan Daya Saing Pendidikan Tinggi</v>
          </cell>
          <cell r="K166">
            <v>1</v>
          </cell>
          <cell r="L166" t="str">
            <v>Establishment of University of Bengkulu’s Hospital</v>
          </cell>
          <cell r="T166">
            <v>10278200</v>
          </cell>
          <cell r="U166">
            <v>10278200</v>
          </cell>
          <cell r="V166">
            <v>182000</v>
          </cell>
          <cell r="Y166" t="str">
            <v>JICA</v>
          </cell>
          <cell r="AA166">
            <v>10278200</v>
          </cell>
          <cell r="AN166" t="str">
            <v>siap</v>
          </cell>
          <cell r="AO166" t="str">
            <v>siap</v>
          </cell>
          <cell r="AR166" t="str">
            <v>penyiapan dokumen R/C</v>
          </cell>
          <cell r="AT166">
            <v>10278200</v>
          </cell>
          <cell r="AU166" t="str">
            <v>JICA</v>
          </cell>
          <cell r="AW166" t="str">
            <v>-</v>
          </cell>
        </row>
        <row r="167">
          <cell r="A167">
            <v>120</v>
          </cell>
          <cell r="D167" t="str">
            <v>NON-INFRASTRUKTUR</v>
          </cell>
          <cell r="E167">
            <v>8</v>
          </cell>
          <cell r="F167" t="str">
            <v>Kementerian Riset, Teknologi, dan Pendidikan Tinggi</v>
          </cell>
          <cell r="H167" t="str">
            <v>Improving Access, Quality, Relevance, and Competitiveness of Higher Education Program</v>
          </cell>
          <cell r="I167" t="str">
            <v>A</v>
          </cell>
          <cell r="J167" t="str">
            <v>Program Peningkatan Akses, Kualitas, Relevansi, dan Daya Saing Pendidikan Tinggi</v>
          </cell>
          <cell r="K167">
            <v>1</v>
          </cell>
          <cell r="L167" t="str">
            <v>University of Gadjah Mada Achieving World Class University with Socio-Entrepreneurial Spirit</v>
          </cell>
          <cell r="T167">
            <v>71694000</v>
          </cell>
          <cell r="U167">
            <v>71694000</v>
          </cell>
          <cell r="V167">
            <v>7041900</v>
          </cell>
          <cell r="Y167" t="str">
            <v>JICA</v>
          </cell>
          <cell r="AA167">
            <v>71694000</v>
          </cell>
          <cell r="AM167">
            <v>2016</v>
          </cell>
          <cell r="AN167" t="str">
            <v>siap</v>
          </cell>
          <cell r="AO167" t="str">
            <v>siap</v>
          </cell>
          <cell r="AR167" t="str">
            <v>-</v>
          </cell>
          <cell r="AT167">
            <v>71694000</v>
          </cell>
          <cell r="AU167" t="str">
            <v>JICA</v>
          </cell>
          <cell r="AW167" t="str">
            <v>-</v>
          </cell>
        </row>
        <row r="168">
          <cell r="L168" t="str">
            <v>Capacity Building Programmes for Infrastructure in Malikussaleh University</v>
          </cell>
          <cell r="T168">
            <v>0</v>
          </cell>
          <cell r="U168">
            <v>48543100</v>
          </cell>
          <cell r="V168">
            <v>6552200</v>
          </cell>
          <cell r="W168">
            <v>0</v>
          </cell>
          <cell r="Y168" t="str">
            <v>Belum Ada Indikasi</v>
          </cell>
          <cell r="AA168">
            <v>48543100</v>
          </cell>
          <cell r="AN168" t="str">
            <v>belum ada keterangan</v>
          </cell>
          <cell r="AO168" t="str">
            <v>belum ada keterangan</v>
          </cell>
          <cell r="AR168" t="str">
            <v>belum ada dokumen R/C</v>
          </cell>
          <cell r="AT168">
            <v>48543100</v>
          </cell>
          <cell r="AU168" t="str">
            <v>Belum Ada Indikasi</v>
          </cell>
        </row>
        <row r="169">
          <cell r="L169" t="str">
            <v>Development and Upgrading of University of Jambi</v>
          </cell>
          <cell r="T169">
            <v>0</v>
          </cell>
          <cell r="U169">
            <v>53879300</v>
          </cell>
          <cell r="V169">
            <v>4967200</v>
          </cell>
          <cell r="W169">
            <v>0</v>
          </cell>
          <cell r="Y169" t="str">
            <v>Belum Ada Indikasi</v>
          </cell>
          <cell r="AA169">
            <v>53879300</v>
          </cell>
          <cell r="AN169" t="str">
            <v>belum ada keterangan</v>
          </cell>
          <cell r="AO169" t="str">
            <v>belum ada keterangan</v>
          </cell>
          <cell r="AR169" t="str">
            <v>belum ada dokumen R/C</v>
          </cell>
          <cell r="AT169">
            <v>53879300</v>
          </cell>
          <cell r="AU169" t="str">
            <v>Belum Ada Indikasi</v>
          </cell>
        </row>
        <row r="170">
          <cell r="L170" t="str">
            <v>Development and Upgrading of the State University of Jakarta - Phase 2</v>
          </cell>
          <cell r="T170">
            <v>0</v>
          </cell>
          <cell r="U170">
            <v>32709400</v>
          </cell>
          <cell r="V170">
            <v>5567500</v>
          </cell>
          <cell r="W170">
            <v>0</v>
          </cell>
          <cell r="Y170" t="str">
            <v>Belum Ada Indikasi</v>
          </cell>
          <cell r="AA170">
            <v>32709400</v>
          </cell>
          <cell r="AN170" t="str">
            <v>belum ada keterangan</v>
          </cell>
          <cell r="AO170" t="str">
            <v>belum ada keterangan</v>
          </cell>
          <cell r="AR170" t="str">
            <v>belum ada dokumen R/C</v>
          </cell>
          <cell r="AT170">
            <v>32709400</v>
          </cell>
          <cell r="AU170" t="str">
            <v>Belum Ada Indikasi</v>
          </cell>
        </row>
        <row r="171">
          <cell r="L171" t="str">
            <v>Integrated Multi Campus-University for Tomorrow’s Education in Indonesia University of Education</v>
          </cell>
          <cell r="T171">
            <v>0</v>
          </cell>
          <cell r="U171">
            <v>51777700</v>
          </cell>
          <cell r="V171">
            <v>6994700</v>
          </cell>
          <cell r="W171">
            <v>0</v>
          </cell>
          <cell r="Y171" t="str">
            <v>Belum Ada Indikasi</v>
          </cell>
          <cell r="AA171">
            <v>51777700</v>
          </cell>
          <cell r="AN171" t="str">
            <v>belum ada keterangan</v>
          </cell>
          <cell r="AO171" t="str">
            <v>belum ada keterangan</v>
          </cell>
          <cell r="AR171" t="str">
            <v>belum ada dokumen R/C</v>
          </cell>
          <cell r="AT171">
            <v>51777700</v>
          </cell>
          <cell r="AU171" t="str">
            <v>Belum Ada Indikasi</v>
          </cell>
        </row>
        <row r="172">
          <cell r="L172" t="str">
            <v>Higher Education Quality Improvement of the University of Riau</v>
          </cell>
          <cell r="T172">
            <v>0</v>
          </cell>
          <cell r="U172">
            <v>49950100</v>
          </cell>
          <cell r="V172">
            <v>5040700</v>
          </cell>
          <cell r="W172">
            <v>0</v>
          </cell>
          <cell r="Y172" t="str">
            <v>Belum Ada Indikasi</v>
          </cell>
          <cell r="AA172">
            <v>49950100</v>
          </cell>
          <cell r="AN172" t="str">
            <v>belum ada keterangan</v>
          </cell>
          <cell r="AO172" t="str">
            <v>belum ada keterangan</v>
          </cell>
          <cell r="AR172" t="str">
            <v>belum ada dokumen R/C</v>
          </cell>
          <cell r="AT172">
            <v>49950100</v>
          </cell>
          <cell r="AU172" t="str">
            <v>Belum Ada Indikasi</v>
          </cell>
        </row>
        <row r="173">
          <cell r="F173" t="str">
            <v>Kementerian Agama</v>
          </cell>
          <cell r="I173" t="str">
            <v>A</v>
          </cell>
          <cell r="J173" t="str">
            <v>Program Peningkatan Akses, Kualitas, Relevansi, dan Daya Saing Pendidikan Tinggi Islam</v>
          </cell>
        </row>
        <row r="174">
          <cell r="A174">
            <v>124</v>
          </cell>
          <cell r="D174" t="str">
            <v>NON-INFRASTRUKTUR</v>
          </cell>
          <cell r="E174">
            <v>9</v>
          </cell>
          <cell r="F174" t="str">
            <v>Kementerian Agama</v>
          </cell>
          <cell r="H174" t="str">
            <v>Improving Access, Quality, Relevance, and Competitiveness of Islamic Higher Education Program</v>
          </cell>
          <cell r="I174" t="str">
            <v>A</v>
          </cell>
          <cell r="J174" t="str">
            <v>Program Peningkatan Akses, Kualitas, Relevansi, dan Daya Saing Pendidikan Tinggi Islam</v>
          </cell>
          <cell r="K174">
            <v>1</v>
          </cell>
          <cell r="L174" t="str">
            <v>Improvement and Optimalization of Sunan Ampel Surabaya State Islamic University</v>
          </cell>
          <cell r="T174">
            <v>40000000</v>
          </cell>
          <cell r="U174">
            <v>40000000</v>
          </cell>
          <cell r="V174">
            <v>10000000</v>
          </cell>
          <cell r="W174">
            <v>0</v>
          </cell>
          <cell r="Y174" t="str">
            <v>IDB</v>
          </cell>
          <cell r="AA174">
            <v>40000000</v>
          </cell>
          <cell r="AM174">
            <v>2016</v>
          </cell>
          <cell r="AN174" t="str">
            <v>siap</v>
          </cell>
          <cell r="AO174" t="str">
            <v>siap</v>
          </cell>
          <cell r="AR174" t="str">
            <v>-</v>
          </cell>
          <cell r="AT174">
            <v>40000000</v>
          </cell>
          <cell r="AU174" t="str">
            <v>IDB</v>
          </cell>
          <cell r="AW174" t="str">
            <v>-</v>
          </cell>
        </row>
        <row r="175">
          <cell r="A175">
            <v>125</v>
          </cell>
          <cell r="D175" t="str">
            <v>NON-INFRASTRUKTUR</v>
          </cell>
          <cell r="E175">
            <v>9</v>
          </cell>
          <cell r="F175" t="str">
            <v>Kementerian Agama</v>
          </cell>
          <cell r="H175" t="str">
            <v>Improving Access, Quality, Relevance, and Competitiveness of Islamic Higher Education Program</v>
          </cell>
          <cell r="I175" t="str">
            <v>A</v>
          </cell>
          <cell r="J175" t="str">
            <v>Program Peningkatan Akses, Kualitas, Relevansi, dan Daya Saing Pendidikan Tinggi Islam</v>
          </cell>
          <cell r="K175">
            <v>1</v>
          </cell>
          <cell r="L175" t="str">
            <v>Improvement Access and Quality of State Islamic Institute  Suthan Maulana Hasanuddin Banten</v>
          </cell>
          <cell r="T175">
            <v>40000000</v>
          </cell>
          <cell r="U175">
            <v>40000000</v>
          </cell>
          <cell r="V175">
            <v>5985000</v>
          </cell>
          <cell r="W175">
            <v>0</v>
          </cell>
          <cell r="Y175" t="str">
            <v>IDB</v>
          </cell>
          <cell r="AA175">
            <v>40000000</v>
          </cell>
          <cell r="AM175">
            <v>2016</v>
          </cell>
          <cell r="AN175" t="str">
            <v>siap</v>
          </cell>
          <cell r="AO175" t="str">
            <v>siap</v>
          </cell>
          <cell r="AR175" t="str">
            <v>-</v>
          </cell>
          <cell r="AT175">
            <v>40000000</v>
          </cell>
          <cell r="AU175" t="str">
            <v>IDB</v>
          </cell>
          <cell r="AW175" t="str">
            <v>-</v>
          </cell>
        </row>
        <row r="176">
          <cell r="A176">
            <v>126</v>
          </cell>
          <cell r="D176" t="str">
            <v>NON-INFRASTRUKTUR</v>
          </cell>
          <cell r="E176">
            <v>9</v>
          </cell>
          <cell r="F176" t="str">
            <v>Kementerian Agama</v>
          </cell>
          <cell r="H176" t="str">
            <v>Improving Access, Quality, Relevance, and Competitiveness of Islamic Higher Education Program</v>
          </cell>
          <cell r="I176" t="str">
            <v>A</v>
          </cell>
          <cell r="J176" t="str">
            <v>Program Peningkatan Akses, Kualitas, Relevansi, dan Daya Saing Pendidikan Tinggi Islam</v>
          </cell>
          <cell r="K176">
            <v>1</v>
          </cell>
          <cell r="L176" t="str">
            <v>Development and Quality Improvement  of Antasari State Islamic Institute</v>
          </cell>
          <cell r="T176">
            <v>39908600</v>
          </cell>
          <cell r="U176">
            <v>39908600</v>
          </cell>
          <cell r="V176">
            <v>10290700</v>
          </cell>
          <cell r="W176">
            <v>0</v>
          </cell>
          <cell r="Y176" t="str">
            <v>IDB</v>
          </cell>
          <cell r="AA176">
            <v>39900000</v>
          </cell>
          <cell r="AM176">
            <v>2016</v>
          </cell>
          <cell r="AN176" t="str">
            <v>siap</v>
          </cell>
          <cell r="AO176" t="str">
            <v>siap</v>
          </cell>
          <cell r="AR176" t="str">
            <v>-</v>
          </cell>
          <cell r="AT176">
            <v>39900000</v>
          </cell>
          <cell r="AU176" t="str">
            <v>IDB</v>
          </cell>
          <cell r="AW176" t="str">
            <v>-</v>
          </cell>
        </row>
        <row r="177">
          <cell r="A177">
            <v>127</v>
          </cell>
          <cell r="D177" t="str">
            <v>NON-INFRASTRUKTUR</v>
          </cell>
          <cell r="E177" t="str">
            <v>z</v>
          </cell>
          <cell r="F177" t="str">
            <v>Kementerian Agama</v>
          </cell>
          <cell r="H177" t="str">
            <v>Improving Access, Quality, Relevance, and Competitiveness of Islamic Higher Education Program</v>
          </cell>
          <cell r="I177" t="str">
            <v>A</v>
          </cell>
          <cell r="J177" t="str">
            <v>Program Peningkatan Akses, Kualitas, Relevansi, dan Daya Saing Pendidikan Tinggi Islam</v>
          </cell>
          <cell r="K177">
            <v>1</v>
          </cell>
          <cell r="L177" t="str">
            <v>Tranformation of State Islamic Institute  Sulthan Thaha Saifuddin to State Islamic University</v>
          </cell>
          <cell r="T177">
            <v>40000000</v>
          </cell>
          <cell r="U177">
            <v>40000000</v>
          </cell>
          <cell r="V177">
            <v>10000000</v>
          </cell>
          <cell r="W177">
            <v>0</v>
          </cell>
          <cell r="Y177" t="str">
            <v>IDB</v>
          </cell>
          <cell r="AA177">
            <v>40000000</v>
          </cell>
          <cell r="AM177">
            <v>2016</v>
          </cell>
          <cell r="AN177" t="str">
            <v>siap</v>
          </cell>
          <cell r="AO177" t="str">
            <v>siap</v>
          </cell>
          <cell r="AR177" t="str">
            <v>-</v>
          </cell>
          <cell r="AT177">
            <v>40000000</v>
          </cell>
          <cell r="AU177" t="str">
            <v>IDB</v>
          </cell>
          <cell r="AW177" t="str">
            <v>-</v>
          </cell>
        </row>
        <row r="178">
          <cell r="A178">
            <v>128</v>
          </cell>
          <cell r="D178" t="str">
            <v>NON-INFRASTRUKTUR</v>
          </cell>
          <cell r="E178">
            <v>9</v>
          </cell>
          <cell r="F178" t="str">
            <v>Kementerian Agama</v>
          </cell>
          <cell r="H178" t="str">
            <v>Improving Access, Quality, Relevance, and Competitiveness of Islamic Higher Education Program</v>
          </cell>
          <cell r="I178" t="str">
            <v>A</v>
          </cell>
          <cell r="J178" t="str">
            <v>Program Peningkatan Akses, Kualitas, Relevansi, dan Daya Saing Pendidikan Tinggi Islam</v>
          </cell>
          <cell r="K178">
            <v>1</v>
          </cell>
          <cell r="L178" t="str">
            <v>Development and Institutional Transformation of State Islamic Institute  Raden Intan Lampung</v>
          </cell>
          <cell r="T178">
            <v>40000000</v>
          </cell>
          <cell r="U178">
            <v>40000000</v>
          </cell>
          <cell r="V178">
            <v>10000000</v>
          </cell>
          <cell r="W178">
            <v>0</v>
          </cell>
          <cell r="Y178" t="str">
            <v>IDB</v>
          </cell>
          <cell r="AA178">
            <v>40000000</v>
          </cell>
          <cell r="AM178">
            <v>2016</v>
          </cell>
          <cell r="AN178" t="str">
            <v>siap</v>
          </cell>
          <cell r="AO178" t="str">
            <v>siap</v>
          </cell>
          <cell r="AR178" t="str">
            <v>-</v>
          </cell>
          <cell r="AT178">
            <v>40000000</v>
          </cell>
          <cell r="AU178" t="str">
            <v>IDB</v>
          </cell>
          <cell r="AW178" t="str">
            <v>-</v>
          </cell>
        </row>
        <row r="179">
          <cell r="A179">
            <v>123</v>
          </cell>
          <cell r="D179" t="str">
            <v>NON-INFRASTRUKTUR</v>
          </cell>
          <cell r="E179">
            <v>9</v>
          </cell>
          <cell r="F179" t="str">
            <v>Kementerian Agama</v>
          </cell>
          <cell r="H179" t="str">
            <v>Improving Access, Quality, Relevance, and Competitiveness of Islamic Higher Education Program</v>
          </cell>
          <cell r="I179" t="str">
            <v>A</v>
          </cell>
          <cell r="J179" t="str">
            <v>Program Peningkatan Akses, Kualitas, Relevansi, dan Daya Saing Pendidikan Tinggi Islam</v>
          </cell>
          <cell r="K179">
            <v>1</v>
          </cell>
          <cell r="L179" t="str">
            <v>Development of Imam Bonjol State Islamic Institute Project</v>
          </cell>
          <cell r="T179">
            <v>38301400</v>
          </cell>
          <cell r="U179">
            <v>38301400</v>
          </cell>
          <cell r="V179">
            <v>4171400</v>
          </cell>
          <cell r="W179">
            <v>0</v>
          </cell>
          <cell r="Y179" t="str">
            <v>IDB</v>
          </cell>
          <cell r="AA179">
            <v>38310000</v>
          </cell>
          <cell r="AM179">
            <v>2016</v>
          </cell>
          <cell r="AN179" t="str">
            <v>siap</v>
          </cell>
          <cell r="AO179" t="str">
            <v>siap</v>
          </cell>
          <cell r="AR179" t="str">
            <v>-</v>
          </cell>
          <cell r="AT179">
            <v>38310000</v>
          </cell>
          <cell r="AU179" t="str">
            <v>IDB</v>
          </cell>
          <cell r="AW179" t="str">
            <v>-</v>
          </cell>
        </row>
        <row r="180">
          <cell r="L180" t="str">
            <v>The Development of UIN Maulana Malik Ibrahim Malang - Phase II</v>
          </cell>
          <cell r="T180">
            <v>0</v>
          </cell>
          <cell r="U180">
            <v>59935500</v>
          </cell>
          <cell r="V180">
            <v>10404300</v>
          </cell>
          <cell r="Y180" t="str">
            <v>Belum Ada Indikasi</v>
          </cell>
          <cell r="AA180">
            <v>59935500</v>
          </cell>
          <cell r="AN180" t="str">
            <v>belum ada keterangan</v>
          </cell>
          <cell r="AO180" t="str">
            <v>belum ada keterangan</v>
          </cell>
          <cell r="AT180">
            <v>59935500</v>
          </cell>
          <cell r="AU180" t="str">
            <v>Belum Ada Indikasi</v>
          </cell>
        </row>
        <row r="181">
          <cell r="A181">
            <v>129</v>
          </cell>
          <cell r="D181" t="str">
            <v>NON-INFRASTRUKTUR</v>
          </cell>
          <cell r="E181">
            <v>10</v>
          </cell>
          <cell r="F181" t="str">
            <v>Kementerian PPN/Bappenas</v>
          </cell>
          <cell r="H181" t="str">
            <v>Human Resources Development for Bureaucracy Reform Program</v>
          </cell>
          <cell r="I181" t="str">
            <v>A</v>
          </cell>
          <cell r="J181" t="str">
            <v>Program Pengembangan Sumber Daya Aparatur  dalam Rangka Reformasi Birokrasi</v>
          </cell>
          <cell r="K181">
            <v>1</v>
          </cell>
          <cell r="L181" t="str">
            <v>Development of Capacity, Quality, and Competency of Human Resources for Government Officer</v>
          </cell>
          <cell r="T181">
            <v>300000000</v>
          </cell>
          <cell r="U181">
            <v>300000000</v>
          </cell>
          <cell r="V181">
            <v>0</v>
          </cell>
          <cell r="W181">
            <v>0</v>
          </cell>
          <cell r="Y181" t="str">
            <v>Bank Dunia</v>
          </cell>
          <cell r="AA181">
            <v>300000000</v>
          </cell>
          <cell r="AN181" t="str">
            <v>dalam proses
(penyusunan FS)</v>
          </cell>
          <cell r="AO181" t="str">
            <v>tidak butuh lahan</v>
          </cell>
          <cell r="AR181" t="str">
            <v>belum ada dokumen R/C</v>
          </cell>
          <cell r="AT181">
            <v>300000000</v>
          </cell>
          <cell r="AU181" t="str">
            <v>Bank Dunia</v>
          </cell>
          <cell r="AW181" t="str">
            <v>-</v>
          </cell>
        </row>
        <row r="182">
          <cell r="A182">
            <v>130</v>
          </cell>
          <cell r="D182" t="str">
            <v>NON-INFRASTRUKTUR</v>
          </cell>
          <cell r="E182">
            <v>11</v>
          </cell>
          <cell r="F182" t="str">
            <v>Kementerian Kesehatan</v>
          </cell>
          <cell r="H182" t="str">
            <v>Basic Health Care Program</v>
          </cell>
          <cell r="I182" t="str">
            <v>A</v>
          </cell>
          <cell r="J182" t="str">
            <v>Program Pelayanan Kesehatan Dasar</v>
          </cell>
          <cell r="K182">
            <v>1</v>
          </cell>
          <cell r="L182" t="str">
            <v>Improvement of Primary Health Care</v>
          </cell>
          <cell r="T182">
            <v>150000000</v>
          </cell>
          <cell r="U182">
            <v>150000000</v>
          </cell>
          <cell r="V182">
            <v>15000000</v>
          </cell>
          <cell r="W182">
            <v>0</v>
          </cell>
          <cell r="Y182" t="str">
            <v>Bank Dunia</v>
          </cell>
          <cell r="AA182">
            <v>150000000</v>
          </cell>
          <cell r="AN182" t="str">
            <v>belum ada keterangan</v>
          </cell>
          <cell r="AO182" t="str">
            <v>tidak butuh lahan</v>
          </cell>
          <cell r="AR182" t="str">
            <v>belum ada dokumen R/C</v>
          </cell>
          <cell r="AT182">
            <v>150000000</v>
          </cell>
          <cell r="AU182" t="str">
            <v>Bank Dunia</v>
          </cell>
          <cell r="AW182" t="str">
            <v>-</v>
          </cell>
        </row>
        <row r="183">
          <cell r="A183">
            <v>131</v>
          </cell>
          <cell r="D183" t="str">
            <v>NON-INFRASTRUKTUR</v>
          </cell>
          <cell r="E183">
            <v>11</v>
          </cell>
          <cell r="F183" t="str">
            <v>Kementerian Kesehatan</v>
          </cell>
          <cell r="H183" t="str">
            <v>Program for Human Resources Development in Health Sector</v>
          </cell>
          <cell r="I183" t="str">
            <v>B</v>
          </cell>
          <cell r="J183" t="str">
            <v>Program Pengembangan Sumber Daya Manusia Kesehatan</v>
          </cell>
          <cell r="K183">
            <v>1</v>
          </cell>
          <cell r="L183" t="str">
            <v>Improvement of Facilities and Infrastructure for Teaching and Learning Activities in Health Sector</v>
          </cell>
          <cell r="T183">
            <v>240000000</v>
          </cell>
          <cell r="U183">
            <v>240000000</v>
          </cell>
          <cell r="V183">
            <v>24000000</v>
          </cell>
          <cell r="W183">
            <v>0</v>
          </cell>
          <cell r="Y183" t="str">
            <v>IDB</v>
          </cell>
          <cell r="AA183">
            <v>240000000</v>
          </cell>
          <cell r="AG183">
            <v>0</v>
          </cell>
          <cell r="AN183" t="str">
            <v>dalam proses
(memiliki FS dan DED)</v>
          </cell>
          <cell r="AO183" t="str">
            <v>siap</v>
          </cell>
          <cell r="AR183" t="str">
            <v>penyiapan dokumen R/C</v>
          </cell>
          <cell r="AT183">
            <v>240000000</v>
          </cell>
          <cell r="AU183" t="str">
            <v>IDB</v>
          </cell>
          <cell r="AW183" t="str">
            <v>-</v>
          </cell>
        </row>
        <row r="184">
          <cell r="A184">
            <v>132</v>
          </cell>
          <cell r="D184" t="str">
            <v>NON-INFRASTRUKTUR</v>
          </cell>
          <cell r="E184">
            <v>11</v>
          </cell>
          <cell r="F184" t="str">
            <v>Kementerian Kesehatan</v>
          </cell>
          <cell r="H184" t="str">
            <v>Program for Disease Control, Environmental Health, and Strengthening Health Research and Development</v>
          </cell>
          <cell r="I184" t="str">
            <v>C</v>
          </cell>
          <cell r="J184" t="str">
            <v>Program Pengendalian Penyakit, Penyehatan Lingkungan, dan Penguatan Litbang Kesehatan</v>
          </cell>
          <cell r="K184">
            <v>1</v>
          </cell>
          <cell r="L184" t="str">
            <v>Improvement of Capacity on Disease Control, Environmental Health, and Strengthening Health’s Research and Development</v>
          </cell>
          <cell r="T184">
            <v>100400000</v>
          </cell>
          <cell r="U184">
            <v>100400000</v>
          </cell>
          <cell r="V184">
            <v>10040000</v>
          </cell>
          <cell r="W184">
            <v>0</v>
          </cell>
          <cell r="Y184" t="str">
            <v>Jerman (KfW)</v>
          </cell>
          <cell r="AA184">
            <v>100400000</v>
          </cell>
          <cell r="AG184">
            <v>0</v>
          </cell>
          <cell r="AN184" t="str">
            <v>dalam proses
(memiliki)</v>
          </cell>
          <cell r="AO184" t="str">
            <v>dalam proses
(pelaksanaan)</v>
          </cell>
          <cell r="AR184" t="str">
            <v>- tidak diketahui berapa persen proses pelaksanaannya
- penyiapan dokumen R/C</v>
          </cell>
          <cell r="AT184">
            <v>100400000</v>
          </cell>
          <cell r="AU184" t="str">
            <v>Jerman (KfW)</v>
          </cell>
          <cell r="AW184" t="str">
            <v>-</v>
          </cell>
        </row>
        <row r="185">
          <cell r="I185" t="str">
            <v>D</v>
          </cell>
          <cell r="J185" t="str">
            <v>Program Pelayanan Kesehatan Rujukan</v>
          </cell>
          <cell r="T185">
            <v>1255600000</v>
          </cell>
          <cell r="U185">
            <v>1255600000</v>
          </cell>
          <cell r="V185">
            <v>125560000</v>
          </cell>
          <cell r="W185">
            <v>0</v>
          </cell>
        </row>
        <row r="186">
          <cell r="A186">
            <v>133</v>
          </cell>
          <cell r="D186" t="str">
            <v>NON-INFRASTRUKTUR</v>
          </cell>
          <cell r="E186">
            <v>11</v>
          </cell>
          <cell r="F186" t="str">
            <v>Kementerian Kesehatan</v>
          </cell>
          <cell r="H186" t="str">
            <v>Referral Health Services Program</v>
          </cell>
          <cell r="I186" t="str">
            <v>D</v>
          </cell>
          <cell r="J186" t="str">
            <v>Program Pelayanan Kesehatan Rujukan</v>
          </cell>
          <cell r="K186">
            <v>1</v>
          </cell>
          <cell r="L186" t="str">
            <v>Strengthening of National Referral Hospitals, Province Referral Hospital and Vertical Technical Units</v>
          </cell>
          <cell r="Y186" t="str">
            <v>IDB</v>
          </cell>
          <cell r="AA186">
            <v>250000000</v>
          </cell>
          <cell r="AN186" t="str">
            <v>belum ada keterangan</v>
          </cell>
          <cell r="AO186" t="str">
            <v>belum ada keterangan</v>
          </cell>
          <cell r="AR186" t="str">
            <v>belum ada dokumen R/C</v>
          </cell>
          <cell r="AT186">
            <v>250000000</v>
          </cell>
          <cell r="AU186" t="str">
            <v>IDB</v>
          </cell>
          <cell r="AW186" t="str">
            <v>co-financing dengan Jerman (KfW) (USD 250 juta) dan belum ada indikasi (USD 755,6 juta)</v>
          </cell>
        </row>
        <row r="187">
          <cell r="A187">
            <v>134</v>
          </cell>
          <cell r="D187" t="str">
            <v>NON-INFRASTRUKTUR</v>
          </cell>
          <cell r="E187">
            <v>11</v>
          </cell>
          <cell r="F187" t="str">
            <v>Kementerian Kesehatan</v>
          </cell>
          <cell r="H187" t="str">
            <v>Referral Health Services Program</v>
          </cell>
          <cell r="I187" t="str">
            <v>D</v>
          </cell>
          <cell r="J187" t="str">
            <v>Program Pelayanan Kesehatan Rujukan</v>
          </cell>
          <cell r="K187">
            <v>1</v>
          </cell>
          <cell r="Y187" t="str">
            <v>Jerman (KfW)</v>
          </cell>
          <cell r="AA187">
            <v>250000000</v>
          </cell>
          <cell r="AT187">
            <v>250000000</v>
          </cell>
          <cell r="AU187" t="str">
            <v>Jerman (KfW)</v>
          </cell>
          <cell r="AW187" t="str">
            <v>co-financing dengan IDB (USD 250 juta) dan belum ada indikasi (USD 755,6 juta)</v>
          </cell>
        </row>
        <row r="188">
          <cell r="A188">
            <v>135</v>
          </cell>
          <cell r="D188" t="str">
            <v>NON-INFRASTRUKTUR</v>
          </cell>
          <cell r="E188">
            <v>11</v>
          </cell>
          <cell r="F188" t="str">
            <v>Kementerian Kesehatan</v>
          </cell>
          <cell r="H188" t="str">
            <v>Referral Health Services Program</v>
          </cell>
          <cell r="I188" t="str">
            <v>D</v>
          </cell>
          <cell r="J188" t="str">
            <v>Program Pelayanan Kesehatan Rujukan</v>
          </cell>
          <cell r="K188">
            <v>1</v>
          </cell>
          <cell r="Y188" t="str">
            <v>Belum Ada Indikasi</v>
          </cell>
          <cell r="AA188">
            <v>755600000</v>
          </cell>
          <cell r="AT188">
            <v>755600000</v>
          </cell>
          <cell r="AU188" t="str">
            <v>Belum Ada Indikasi</v>
          </cell>
          <cell r="AW188" t="str">
            <v>co-financing dengan IDB (USD 250 juta) dan Jerman (KfW) (USD 250 juta)</v>
          </cell>
        </row>
        <row r="189">
          <cell r="A189">
            <v>136</v>
          </cell>
          <cell r="D189" t="str">
            <v>NON-INFRASTRUKTUR</v>
          </cell>
          <cell r="E189">
            <v>12</v>
          </cell>
          <cell r="F189" t="str">
            <v>Pemprov. Aceh</v>
          </cell>
          <cell r="H189" t="str">
            <v>Health Services Referral Program</v>
          </cell>
          <cell r="I189" t="str">
            <v>A</v>
          </cell>
          <cell r="J189" t="str">
            <v>Program Pelayanan Kesehatan Rujukan</v>
          </cell>
          <cell r="K189">
            <v>1</v>
          </cell>
          <cell r="L189" t="str">
            <v>Reengineering and Improving The Hospital and Referral System in Selected Aceh Districts</v>
          </cell>
          <cell r="T189">
            <v>106800000</v>
          </cell>
          <cell r="U189">
            <v>106800000</v>
          </cell>
          <cell r="V189">
            <v>10700000</v>
          </cell>
          <cell r="W189">
            <v>0</v>
          </cell>
          <cell r="Y189" t="str">
            <v>Jerman (KfW)</v>
          </cell>
          <cell r="AA189">
            <v>106800000</v>
          </cell>
          <cell r="AM189" t="str">
            <v>2016; 2015</v>
          </cell>
          <cell r="AN189" t="str">
            <v>dalam proses
(memiliki FS dan DED)</v>
          </cell>
          <cell r="AO189" t="str">
            <v>siap</v>
          </cell>
          <cell r="AR189" t="str">
            <v>-</v>
          </cell>
          <cell r="AT189">
            <v>106800000</v>
          </cell>
          <cell r="AU189" t="str">
            <v>Jerman (KfW)</v>
          </cell>
          <cell r="AW189" t="str">
            <v>-</v>
          </cell>
        </row>
        <row r="190">
          <cell r="F190" t="str">
            <v>Kementerian Pertanian</v>
          </cell>
          <cell r="I190" t="str">
            <v>A</v>
          </cell>
          <cell r="J190" t="str">
            <v>Program Penyediaan dan Pengembangan Prasarana dan Sarana Pertanian</v>
          </cell>
          <cell r="L190" t="str">
            <v>Extensification of New Paddy Field Area</v>
          </cell>
          <cell r="T190">
            <v>811166600</v>
          </cell>
          <cell r="V190">
            <v>81116700</v>
          </cell>
          <cell r="W190">
            <v>0</v>
          </cell>
        </row>
        <row r="191">
          <cell r="Y191" t="str">
            <v>Bank Dunia</v>
          </cell>
          <cell r="AA191">
            <v>225000000</v>
          </cell>
          <cell r="AN191" t="str">
            <v>dalam proses
(penyusunan FS)</v>
          </cell>
          <cell r="AO191" t="str">
            <v>belum ada keterangan</v>
          </cell>
          <cell r="AR191" t="str">
            <v>belum ada dokumen R/C</v>
          </cell>
          <cell r="AT191">
            <v>225000000</v>
          </cell>
          <cell r="AU191" t="str">
            <v>Belum Ada Indikasi</v>
          </cell>
          <cell r="AW191" t="str">
            <v>- co-financing dengan IDB (USD 125 juta) dan belum ada indikasi (USD 686,2 juta)
- Bank Dunia tidak berminat mendanai kegiatan ini.</v>
          </cell>
        </row>
        <row r="192">
          <cell r="Y192" t="str">
            <v>IDB</v>
          </cell>
          <cell r="AA192">
            <v>125000000</v>
          </cell>
          <cell r="AT192">
            <v>125000000</v>
          </cell>
          <cell r="AU192" t="str">
            <v>IDB</v>
          </cell>
          <cell r="AW192" t="str">
            <v>terdapat sisa pendanaan yang belum ada indikasi lender (USD 686,2 juta)</v>
          </cell>
        </row>
        <row r="193">
          <cell r="Y193" t="str">
            <v>Belum Ada Indikasi</v>
          </cell>
          <cell r="AA193">
            <v>461166600</v>
          </cell>
          <cell r="AT193">
            <v>461166600</v>
          </cell>
          <cell r="AU193" t="str">
            <v>Belum Ada Indikasi</v>
          </cell>
          <cell r="AW193" t="str">
            <v>total belum ada indikasi menjadi USD 686,2 juta karena ditambahkan USD 125 juta yang sebelumnya Bank Dunia.</v>
          </cell>
        </row>
        <row r="194">
          <cell r="L194" t="str">
            <v>Upland Development for National Food Security</v>
          </cell>
          <cell r="T194">
            <v>535676000</v>
          </cell>
          <cell r="U194">
            <v>535676000</v>
          </cell>
          <cell r="V194">
            <v>53567600</v>
          </cell>
          <cell r="W194">
            <v>0</v>
          </cell>
        </row>
        <row r="195">
          <cell r="A195">
            <v>140</v>
          </cell>
          <cell r="D195" t="str">
            <v>NON-INFRASTRUKTUR</v>
          </cell>
          <cell r="E195">
            <v>13</v>
          </cell>
          <cell r="F195" t="str">
            <v>Kementerian Pertanian</v>
          </cell>
          <cell r="H195" t="str">
            <v>Provision and Development of Agriculture Infrastructure Program</v>
          </cell>
          <cell r="I195" t="str">
            <v>A</v>
          </cell>
          <cell r="J195" t="str">
            <v>Program Penyediaan dan Pengembangan Prasarana dan Sarana Pertanian</v>
          </cell>
          <cell r="K195">
            <v>2</v>
          </cell>
          <cell r="Y195" t="str">
            <v>Bank Dunia</v>
          </cell>
          <cell r="AA195">
            <v>125000000</v>
          </cell>
          <cell r="AN195" t="str">
            <v>dalam proses
(penyusunan FS)</v>
          </cell>
          <cell r="AO195" t="str">
            <v>belum ada keterangan</v>
          </cell>
          <cell r="AR195" t="str">
            <v>belum ada dokumen R/C</v>
          </cell>
          <cell r="AT195">
            <v>125000000</v>
          </cell>
          <cell r="AU195" t="str">
            <v>Belum Ada Indikasi</v>
          </cell>
          <cell r="AW195" t="str">
            <v>- co-financing dengan IDB (USD 125 juta) dan belum ada indikasi (USD 410,7 juta)
Bank Dunia tidak berminat mendanai kegiatan ini.</v>
          </cell>
        </row>
        <row r="196">
          <cell r="A196">
            <v>141</v>
          </cell>
          <cell r="D196" t="str">
            <v>NON-INFRASTRUKTUR</v>
          </cell>
          <cell r="E196">
            <v>13</v>
          </cell>
          <cell r="F196" t="str">
            <v>Kementerian Pertanian</v>
          </cell>
          <cell r="H196" t="str">
            <v>Provision and Development of Agriculture Infrastructure Program</v>
          </cell>
          <cell r="I196" t="str">
            <v>A</v>
          </cell>
          <cell r="J196" t="str">
            <v>Program Penyediaan dan Pengembangan Prasarana dan Sarana Pertanian</v>
          </cell>
          <cell r="K196">
            <v>2</v>
          </cell>
          <cell r="Y196" t="str">
            <v>IDB</v>
          </cell>
          <cell r="AA196">
            <v>125000000</v>
          </cell>
          <cell r="AT196">
            <v>125000000</v>
          </cell>
          <cell r="AU196" t="str">
            <v>IDB</v>
          </cell>
          <cell r="AW196" t="str">
            <v>terdapat sisa pendanaan yang belum ada indikasi lender (USD 410,7 juta)</v>
          </cell>
        </row>
        <row r="197">
          <cell r="A197">
            <v>142</v>
          </cell>
          <cell r="D197" t="str">
            <v>NON-INFRASTRUKTUR</v>
          </cell>
          <cell r="E197">
            <v>13</v>
          </cell>
          <cell r="F197" t="str">
            <v>Kementerian Pertanian</v>
          </cell>
          <cell r="H197" t="str">
            <v>Provision and Development of Agriculture Infrastructure Program</v>
          </cell>
          <cell r="I197" t="str">
            <v>A</v>
          </cell>
          <cell r="J197" t="str">
            <v>Program Penyediaan dan Pengembangan Prasarana dan Sarana Pertanian</v>
          </cell>
          <cell r="K197">
            <v>2</v>
          </cell>
          <cell r="Y197" t="str">
            <v>Belum Ada Indikasi</v>
          </cell>
          <cell r="AA197">
            <v>285676000</v>
          </cell>
          <cell r="AT197">
            <v>285676000</v>
          </cell>
          <cell r="AU197" t="str">
            <v>Belum Ada Indikasi</v>
          </cell>
          <cell r="AW197" t="str">
            <v>total belum ada indikasi menjadi USD 410,7 juta karena ditambahkan USD 125 juta yang sebelumnya Bank Dunia.</v>
          </cell>
        </row>
        <row r="198">
          <cell r="A198">
            <v>143</v>
          </cell>
          <cell r="D198" t="str">
            <v>NON-INFRASTRUKTUR</v>
          </cell>
          <cell r="E198">
            <v>13</v>
          </cell>
          <cell r="F198" t="str">
            <v>Kementerian Pertanian</v>
          </cell>
          <cell r="H198" t="str">
            <v>Agriculture Extention, Education, and Training Improvement Program</v>
          </cell>
          <cell r="I198" t="str">
            <v>B</v>
          </cell>
          <cell r="J198" t="str">
            <v>Program Peningkatan Penyuluhan, Pendidikan, dan Pelatihan Pertanian</v>
          </cell>
          <cell r="K198">
            <v>1</v>
          </cell>
          <cell r="L198" t="str">
            <v>Young Enterpreneur Growth and Development for Sustainable Agricultural Development</v>
          </cell>
          <cell r="T198">
            <v>68900000</v>
          </cell>
          <cell r="U198">
            <v>68900000</v>
          </cell>
          <cell r="V198">
            <v>13780000</v>
          </cell>
          <cell r="W198">
            <v>0</v>
          </cell>
          <cell r="Y198" t="str">
            <v>IFAD</v>
          </cell>
          <cell r="AA198">
            <v>68900000</v>
          </cell>
          <cell r="AN198" t="str">
            <v>belum ada keterangan</v>
          </cell>
          <cell r="AO198" t="str">
            <v>belum ada keterangan</v>
          </cell>
          <cell r="AR198" t="str">
            <v>belum ada dokumen R/C</v>
          </cell>
          <cell r="AT198">
            <v>68900000</v>
          </cell>
          <cell r="AU198" t="str">
            <v>IFAD</v>
          </cell>
          <cell r="AW198" t="str">
            <v>-</v>
          </cell>
        </row>
        <row r="199">
          <cell r="A199">
            <v>144</v>
          </cell>
          <cell r="D199" t="str">
            <v>NON-INFRASTRUKTUR</v>
          </cell>
          <cell r="E199">
            <v>13</v>
          </cell>
          <cell r="F199" t="str">
            <v>Kementerian Pertanian</v>
          </cell>
          <cell r="H199" t="str">
            <v>Agriculture Extention, Education, and Training Improvement Program</v>
          </cell>
          <cell r="I199" t="str">
            <v>B</v>
          </cell>
          <cell r="J199" t="str">
            <v>Program Peningkatan Penyuluhan, Pendidikan, dan Pelatihan Pertanian</v>
          </cell>
          <cell r="K199">
            <v>2</v>
          </cell>
          <cell r="L199" t="str">
            <v>Rural Empowerment and Agricultural Development (READ) Programme in Sulawesi Island – Phase II</v>
          </cell>
          <cell r="T199">
            <v>30000000</v>
          </cell>
          <cell r="U199">
            <v>30000000</v>
          </cell>
          <cell r="V199">
            <v>6000000</v>
          </cell>
          <cell r="W199">
            <v>500000</v>
          </cell>
          <cell r="Y199" t="str">
            <v>IFAD</v>
          </cell>
          <cell r="AA199">
            <v>30000000</v>
          </cell>
          <cell r="AN199" t="str">
            <v>belum ada keterangan</v>
          </cell>
          <cell r="AO199" t="str">
            <v>belum ada keterangan</v>
          </cell>
          <cell r="AR199" t="str">
            <v>belum ada dokumen R/C</v>
          </cell>
          <cell r="AT199">
            <v>30000000</v>
          </cell>
          <cell r="AU199" t="str">
            <v>IFAD</v>
          </cell>
          <cell r="AW199" t="str">
            <v>-</v>
          </cell>
        </row>
        <row r="200">
          <cell r="A200">
            <v>145</v>
          </cell>
          <cell r="D200" t="str">
            <v>NON-INFRASTRUKTUR</v>
          </cell>
          <cell r="E200">
            <v>14</v>
          </cell>
          <cell r="F200" t="str">
            <v>Kementerian Ketenagakerjaan</v>
          </cell>
          <cell r="H200" t="str">
            <v>Improving Labor Competitiveness Program</v>
          </cell>
          <cell r="I200" t="str">
            <v>A</v>
          </cell>
          <cell r="J200" t="str">
            <v>Program Peningkatan Daya Saing Tenaga Kerja</v>
          </cell>
          <cell r="K200">
            <v>1</v>
          </cell>
          <cell r="L200" t="str">
            <v>Development of Maritime Vocational Training Centers</v>
          </cell>
          <cell r="T200">
            <v>92308000</v>
          </cell>
          <cell r="U200">
            <v>92308000</v>
          </cell>
          <cell r="V200">
            <v>2500000</v>
          </cell>
          <cell r="W200">
            <v>0</v>
          </cell>
          <cell r="Y200" t="str">
            <v>Austria/ JICA/ Singapura</v>
          </cell>
          <cell r="AA200">
            <v>92308000</v>
          </cell>
          <cell r="AG200">
            <v>0</v>
          </cell>
          <cell r="AN200" t="str">
            <v>belum ada keterangan</v>
          </cell>
          <cell r="AO200" t="str">
            <v>belum ada keterangan</v>
          </cell>
          <cell r="AR200" t="str">
            <v>belum ada dokumen R/C</v>
          </cell>
          <cell r="AT200">
            <v>92308000</v>
          </cell>
          <cell r="AU200" t="str">
            <v>Austria/ JICA/ Singapura</v>
          </cell>
          <cell r="AW200" t="str">
            <v>belum ada konfirmasi lender yang berminat</v>
          </cell>
        </row>
        <row r="201">
          <cell r="A201">
            <v>146</v>
          </cell>
          <cell r="D201" t="str">
            <v>NON-INFRASTRUKTUR</v>
          </cell>
          <cell r="E201">
            <v>15</v>
          </cell>
          <cell r="F201" t="str">
            <v>Kementerian Kelautan dan Perikanan</v>
          </cell>
          <cell r="H201" t="str">
            <v>Improvement of Fisheries Facilities Program</v>
          </cell>
          <cell r="I201" t="str">
            <v>A</v>
          </cell>
          <cell r="J201" t="str">
            <v>Program Peningkatan Fasilitas Perikanan</v>
          </cell>
          <cell r="K201">
            <v>1</v>
          </cell>
          <cell r="T201">
            <v>107000000</v>
          </cell>
          <cell r="U201">
            <v>107000000</v>
          </cell>
          <cell r="V201">
            <v>4261000</v>
          </cell>
          <cell r="W201">
            <v>2160000</v>
          </cell>
          <cell r="Y201" t="str">
            <v>-</v>
          </cell>
          <cell r="AA201">
            <v>107000000</v>
          </cell>
          <cell r="AN201" t="str">
            <v>dalam proses
(memiliki FS)</v>
          </cell>
          <cell r="AO201" t="str">
            <v>belum ada keterangan</v>
          </cell>
          <cell r="AR201" t="str">
            <v>Dibatalkan oleh KKP</v>
          </cell>
          <cell r="AT201">
            <v>107000000</v>
          </cell>
          <cell r="AU201" t="str">
            <v>Belum Ada Indikasi</v>
          </cell>
        </row>
        <row r="202">
          <cell r="L202" t="str">
            <v>Upgrading Medical Equipments for Army Hospital of Gatot Subroto</v>
          </cell>
          <cell r="T202">
            <v>0</v>
          </cell>
          <cell r="U202">
            <v>150000000</v>
          </cell>
          <cell r="V202">
            <v>0</v>
          </cell>
          <cell r="W202">
            <v>0</v>
          </cell>
          <cell r="Y202" t="str">
            <v>Belum Ada Indikasi</v>
          </cell>
          <cell r="AA202">
            <v>150000000</v>
          </cell>
          <cell r="AN202" t="str">
            <v>dalam proses
(penyusunan FS)</v>
          </cell>
          <cell r="AO202" t="str">
            <v>belum ada keterangan</v>
          </cell>
          <cell r="AR202" t="str">
            <v>penyiapan dokumen R/C</v>
          </cell>
          <cell r="AT202">
            <v>150000000</v>
          </cell>
          <cell r="AU202" t="str">
            <v>Austria</v>
          </cell>
        </row>
        <row r="203">
          <cell r="L203" t="str">
            <v>Upgrading Medical Equipments for Army Hospitals</v>
          </cell>
          <cell r="T203">
            <v>0</v>
          </cell>
          <cell r="U203">
            <v>55000000</v>
          </cell>
          <cell r="V203">
            <v>0</v>
          </cell>
          <cell r="W203">
            <v>0</v>
          </cell>
          <cell r="Y203" t="str">
            <v>Belum Ada Indikasi</v>
          </cell>
          <cell r="AA203">
            <v>55000000</v>
          </cell>
          <cell r="AN203" t="str">
            <v>dalam proses
(penyusunan FS)</v>
          </cell>
          <cell r="AO203" t="str">
            <v>belum ada keterangan</v>
          </cell>
          <cell r="AR203" t="str">
            <v>penyiapan dokumen R/C</v>
          </cell>
          <cell r="AT203">
            <v>55000000</v>
          </cell>
          <cell r="AU203" t="str">
            <v>Austria</v>
          </cell>
        </row>
        <row r="204">
          <cell r="L204" t="str">
            <v>Upgrading Medical Equipments for Naval Hospitals</v>
          </cell>
          <cell r="T204">
            <v>0</v>
          </cell>
          <cell r="U204">
            <v>45000000</v>
          </cell>
          <cell r="V204">
            <v>0</v>
          </cell>
          <cell r="W204">
            <v>0</v>
          </cell>
          <cell r="Y204" t="str">
            <v>Belum Ada Indikasi</v>
          </cell>
          <cell r="AA204">
            <v>45000000</v>
          </cell>
          <cell r="AN204" t="str">
            <v>dalam proses
(penyusunan FS)</v>
          </cell>
          <cell r="AO204" t="str">
            <v>belum ada keterangan</v>
          </cell>
          <cell r="AR204" t="str">
            <v>penyiapan dokumen R/C</v>
          </cell>
          <cell r="AT204">
            <v>45000000</v>
          </cell>
          <cell r="AU204" t="str">
            <v>Austria</v>
          </cell>
        </row>
        <row r="205">
          <cell r="L205" t="str">
            <v>Upgrading Medical Equipments for Air Force Hospitals</v>
          </cell>
          <cell r="T205">
            <v>0</v>
          </cell>
          <cell r="U205">
            <v>40000000</v>
          </cell>
          <cell r="V205">
            <v>0</v>
          </cell>
          <cell r="W205">
            <v>0</v>
          </cell>
          <cell r="Y205" t="str">
            <v>Belum Ada Indikasi</v>
          </cell>
          <cell r="AA205">
            <v>40000000</v>
          </cell>
          <cell r="AN205" t="str">
            <v>dalam proses
(penyusunan FS)</v>
          </cell>
          <cell r="AO205" t="str">
            <v>belum ada keterangan</v>
          </cell>
          <cell r="AR205" t="str">
            <v>penyiapan dokumen R/C</v>
          </cell>
          <cell r="AT205">
            <v>40000000</v>
          </cell>
          <cell r="AU205" t="str">
            <v>Austria</v>
          </cell>
        </row>
        <row r="206">
          <cell r="A206">
            <v>147</v>
          </cell>
          <cell r="D206" t="str">
            <v>NON-INFRASTRUKTUR</v>
          </cell>
          <cell r="E206">
            <v>16</v>
          </cell>
          <cell r="F206" t="str">
            <v>Badan Meteorologi, Klimatologi dan Geofisika (BMKG)</v>
          </cell>
          <cell r="H206" t="str">
            <v>Program for Capacity Development and Guidance of Meteorology, Climatology, and Geophysics</v>
          </cell>
          <cell r="I206" t="str">
            <v>A</v>
          </cell>
          <cell r="J206" t="str">
            <v>Program Pengembangan dan Pembinaan Meteorologi, Klimatologi, dan Geofisika</v>
          </cell>
          <cell r="K206">
            <v>1</v>
          </cell>
          <cell r="L206" t="str">
            <v>Strengthening Climate and Weather Service Capacity – Phase II:
a) Kegiatan lanjutan dari kegiatan Strengthening BMKG Climate and Weather Services Capacity Phase I
b) Kegiatan pengembangan sistem Layanan Informasi Meteorologi Maritim</v>
          </cell>
          <cell r="T206">
            <v>150000000</v>
          </cell>
          <cell r="U206">
            <v>150000000</v>
          </cell>
          <cell r="V206">
            <v>9000000</v>
          </cell>
          <cell r="W206">
            <v>0</v>
          </cell>
          <cell r="Y206" t="str">
            <v>US EXIM</v>
          </cell>
          <cell r="AA206">
            <v>150000000</v>
          </cell>
          <cell r="AG206">
            <v>0</v>
          </cell>
          <cell r="AN206" t="str">
            <v>dalam proses
(penyusunan FS)</v>
          </cell>
          <cell r="AO206" t="str">
            <v>siap</v>
          </cell>
          <cell r="AR206" t="str">
            <v>belum ada dokumen R/C</v>
          </cell>
          <cell r="AT206">
            <v>150000000</v>
          </cell>
          <cell r="AU206" t="str">
            <v>US EXIM</v>
          </cell>
          <cell r="AW206" t="str">
            <v>-</v>
          </cell>
        </row>
        <row r="207">
          <cell r="A207">
            <v>148</v>
          </cell>
          <cell r="D207" t="str">
            <v>NON-INFRASTRUKTUR</v>
          </cell>
          <cell r="E207">
            <v>17</v>
          </cell>
          <cell r="F207" t="str">
            <v>Badan Pengkajian dan Penerapan Teknologi (BPPT)</v>
          </cell>
          <cell r="H207" t="str">
            <v>Science Park and Technopark Development Program</v>
          </cell>
          <cell r="I207" t="str">
            <v>A</v>
          </cell>
          <cell r="J207" t="str">
            <v>Program Pembangunan Science Park dan Technopark</v>
          </cell>
          <cell r="K207">
            <v>1</v>
          </cell>
          <cell r="L207" t="str">
            <v>Development of Maritime National Science and Technology Park (NTSP) in the Northern Penajam Paser and Revitalization Infrastructure Marine Survey</v>
          </cell>
          <cell r="T207">
            <v>114400000</v>
          </cell>
          <cell r="U207">
            <v>114400000</v>
          </cell>
          <cell r="V207">
            <v>17200000</v>
          </cell>
          <cell r="W207">
            <v>0</v>
          </cell>
          <cell r="Y207" t="str">
            <v>Perancis (AFD)</v>
          </cell>
          <cell r="AA207">
            <v>114400000</v>
          </cell>
          <cell r="AG207">
            <v>0</v>
          </cell>
          <cell r="AN207" t="str">
            <v>dalam proses
(penyusunan FS)</v>
          </cell>
          <cell r="AO207" t="str">
            <v>dalam proses
(pelaksanaan)</v>
          </cell>
          <cell r="AR207" t="str">
            <v>- tidak diketahui berapa persen proses pelaksanaannya
- belum ada dokumen R/C</v>
          </cell>
          <cell r="AT207">
            <v>114400000</v>
          </cell>
          <cell r="AU207" t="str">
            <v>Perancis (AFD)</v>
          </cell>
          <cell r="AW207" t="str">
            <v>-</v>
          </cell>
        </row>
        <row r="208">
          <cell r="F208" t="str">
            <v>Badan Informasi Geospasial (BIG)</v>
          </cell>
          <cell r="J208" t="str">
            <v>Program Implementasi Informasi Geospasial</v>
          </cell>
          <cell r="L208" t="str">
            <v>The Acceleration Program for One Map Policy Implementation</v>
          </cell>
          <cell r="T208">
            <v>0</v>
          </cell>
          <cell r="U208">
            <v>200000000</v>
          </cell>
          <cell r="V208">
            <v>0</v>
          </cell>
          <cell r="Y208" t="str">
            <v>Belum Ada Indikasi</v>
          </cell>
          <cell r="AA208">
            <v>200000000</v>
          </cell>
          <cell r="AN208" t="str">
            <v>belum ada keterangan</v>
          </cell>
          <cell r="AO208" t="str">
            <v>belum ada keterangan</v>
          </cell>
          <cell r="AR208" t="str">
            <v>belum ada dokumen R/C</v>
          </cell>
          <cell r="AT208">
            <v>200000000</v>
          </cell>
          <cell r="AU208" t="str">
            <v>Belum Ada Indikasi</v>
          </cell>
        </row>
        <row r="209">
          <cell r="F209" t="str">
            <v>Lembaga Ilmu Pengetahuan Indonesia (LIPI)</v>
          </cell>
          <cell r="J209" t="str">
            <v>Program Pengembangan Penelitian Kelautan</v>
          </cell>
          <cell r="Y209" t="str">
            <v>Belum Ada Indikasi</v>
          </cell>
          <cell r="AA209">
            <v>107950000</v>
          </cell>
          <cell r="AN209" t="str">
            <v>belum ada keterangan</v>
          </cell>
          <cell r="AO209" t="str">
            <v>belum ada keterangan</v>
          </cell>
          <cell r="AR209" t="str">
            <v>belum ada dokumen R/C</v>
          </cell>
          <cell r="AT209">
            <v>107950000</v>
          </cell>
          <cell r="AU209" t="str">
            <v>Belum Ada Indikasi</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SI LENDER&amp;KESIAPAN JUMLAH"/>
      <sheetName val="PU-LAMA2"/>
      <sheetName val="PU-LAMA"/>
      <sheetName val="Sign infra"/>
      <sheetName val="DATA"/>
      <sheetName val="Signed (2)"/>
      <sheetName val="Signed 5,8M"/>
      <sheetName val="Signed"/>
      <sheetName val="GB DAN DK"/>
      <sheetName val="GB"/>
      <sheetName val="PROSES - ada RC tambah"/>
      <sheetName val="PROSES - blm RC"/>
      <sheetName val="GB'15&amp;LA"/>
      <sheetName val="STATUS 1MAR'16 (2)"/>
      <sheetName val="ALL-2"/>
      <sheetName val="130 lama"/>
      <sheetName val="ALL-1"/>
      <sheetName val="PENJ.PERUBAHAN"/>
      <sheetName val="BU ANA"/>
      <sheetName val="ALL PENYIAPAN"/>
      <sheetName val="GB15"/>
      <sheetName val="2016&amp;GB15"/>
      <sheetName val="2015&amp;GB15"/>
      <sheetName val="AUSTRIA"/>
      <sheetName val="BELUM PROSES (rkp)"/>
      <sheetName val="BELUM PROSES (2)"/>
      <sheetName val="REKAP"/>
      <sheetName val="DIT.KGM"/>
      <sheetName val="DIT.EMTAMBANG"/>
      <sheetName val="DIT.PTIK"/>
      <sheetName val="DIT.HANKAM"/>
      <sheetName val="DIT.NAKER"/>
      <sheetName val="DIT. PANGAN"/>
      <sheetName val="DIT.LH"/>
      <sheetName val="DIT.IRIGASI"/>
      <sheetName val="DIT.TRANSPOR"/>
      <sheetName val="DIT.ETI"/>
      <sheetName val="DIT.TRP"/>
      <sheetName val="DIT.PERKIM"/>
      <sheetName val="DIT.SISDUR"/>
    </sheetNames>
    <sheetDataSet>
      <sheetData sheetId="0"/>
      <sheetData sheetId="1"/>
      <sheetData sheetId="2"/>
      <sheetData sheetId="3"/>
      <sheetData sheetId="4"/>
      <sheetData sheetId="5"/>
      <sheetData sheetId="6"/>
      <sheetData sheetId="7"/>
      <sheetData sheetId="8">
        <row r="214">
          <cell r="AT214">
            <v>1281705380</v>
          </cell>
        </row>
      </sheetData>
      <sheetData sheetId="9">
        <row r="233">
          <cell r="AT233">
            <v>4787539000</v>
          </cell>
        </row>
      </sheetData>
      <sheetData sheetId="10">
        <row r="200">
          <cell r="AT200">
            <v>3118286800</v>
          </cell>
        </row>
      </sheetData>
      <sheetData sheetId="11">
        <row r="222">
          <cell r="AT222">
            <v>14698618000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row r="216">
          <cell r="AT216">
            <v>13754932504</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SI LENDER&amp;KESIAPAN JUMLAH"/>
      <sheetName val="PU-LAMA2"/>
      <sheetName val="PU-LAMA"/>
      <sheetName val="DATA"/>
      <sheetName val="ALL LAMA"/>
      <sheetName val="ALL-USD39.8M"/>
      <sheetName val="ALL-USD42.2M"/>
      <sheetName val="ALL-USD40.1M (2)"/>
      <sheetName val="ALL-USD40.1M"/>
      <sheetName val="SEKTOR PERTAHANAN"/>
      <sheetName val="ALL-USD46M"/>
      <sheetName val="Signed 5,8M"/>
      <sheetName val="REKAP LENDER 2017"/>
      <sheetName val="SEKTOR AIR MINUM"/>
      <sheetName val="SEKTOR KERETA API"/>
      <sheetName val="SEKTOR ENERGI"/>
      <sheetName val="SEKTOR SUMBER DAYA AIR"/>
      <sheetName val="SEKTOR PENDIDIKAN"/>
      <sheetName val="SEKTOR PERTANIAN"/>
      <sheetName val="SEKTOR KESEHATAN"/>
      <sheetName val="SEKTOR PERUMAHAN"/>
      <sheetName val="SEKTOR KOMUNIKASI"/>
      <sheetName val="REKAP SEKTOR"/>
      <sheetName val="JICA"/>
      <sheetName val="KOREA"/>
      <sheetName val="RRT"/>
      <sheetName val="EROPA"/>
      <sheetName val="BILA-LAIN"/>
      <sheetName val="BD"/>
      <sheetName val="ADB"/>
      <sheetName val="IDB"/>
      <sheetName val="MULTI-Lain"/>
      <sheetName val="NO LENDER"/>
      <sheetName val="Signed di Cek SK"/>
      <sheetName val="Sudah DK"/>
      <sheetName val="Sudah GB"/>
      <sheetName val="PROSES - sudah ada RC"/>
      <sheetName val="PROSES - penyusunan RC FS"/>
      <sheetName val="BELUM PROSES"/>
      <sheetName val="REKAP LENDER"/>
      <sheetName val="REKAP KL"/>
      <sheetName val="REKAP PROGRAM"/>
      <sheetName val="GB'15&amp;LA"/>
      <sheetName val="STATUS 1MAR'16 (2)"/>
      <sheetName val="ALL-2"/>
      <sheetName val="130 lama"/>
      <sheetName val="ALL-1"/>
      <sheetName val="PENJ.PERUBAHAN"/>
      <sheetName val="BU ANA"/>
      <sheetName val="ALL PENYIAPAN"/>
      <sheetName val="GB15"/>
      <sheetName val="2016&amp;GB15"/>
      <sheetName val="2015&amp;GB15"/>
      <sheetName val="Sheet1"/>
      <sheetName val="BB 2015-2019 dan Revisinya upda"/>
    </sheetNames>
    <sheetDataSet>
      <sheetData sheetId="0" refreshError="1"/>
      <sheetData sheetId="1" refreshError="1"/>
      <sheetData sheetId="2" refreshError="1"/>
      <sheetData sheetId="3" refreshError="1">
        <row r="2">
          <cell r="B2" t="str">
            <v>I</v>
          </cell>
          <cell r="D2" t="str">
            <v>INFRASTRUKTUR</v>
          </cell>
          <cell r="E2">
            <v>1</v>
          </cell>
          <cell r="F2" t="str">
            <v>Kementerian Pekerjaan Umum dan Perumahan Rakyat</v>
          </cell>
        </row>
        <row r="24">
          <cell r="I24" t="str">
            <v>D</v>
          </cell>
          <cell r="J24" t="str">
            <v>Program Pembangunan Air Minum</v>
          </cell>
        </row>
        <row r="25">
          <cell r="A25">
            <v>22</v>
          </cell>
          <cell r="D25" t="str">
            <v>INFRASTRUKTUR</v>
          </cell>
          <cell r="E25">
            <v>1</v>
          </cell>
          <cell r="F25" t="str">
            <v>Kementerian Pekerjaan Umum dan Perumahan Rakyat</v>
          </cell>
          <cell r="H25" t="str">
            <v>Drinking Water Development Program</v>
          </cell>
          <cell r="I25" t="str">
            <v>D</v>
          </cell>
          <cell r="J25" t="str">
            <v>Program Pembangunan Air Minum</v>
          </cell>
          <cell r="K25">
            <v>2</v>
          </cell>
          <cell r="L25" t="str">
            <v>National Urban Water Supply</v>
          </cell>
          <cell r="T25">
            <v>100000000</v>
          </cell>
          <cell r="U25">
            <v>100000000</v>
          </cell>
          <cell r="V25">
            <v>5000000</v>
          </cell>
          <cell r="W25">
            <v>0</v>
          </cell>
          <cell r="Y25" t="str">
            <v>Bank Dunia</v>
          </cell>
          <cell r="AA25">
            <v>100000000</v>
          </cell>
          <cell r="AN25" t="str">
            <v>belum ada keterangan</v>
          </cell>
          <cell r="AO25" t="str">
            <v>belum ada keterangan</v>
          </cell>
          <cell r="AR25" t="str">
            <v>belum ada dokumen R/C</v>
          </cell>
          <cell r="AT25">
            <v>100000000</v>
          </cell>
          <cell r="AU25" t="str">
            <v>Bank Dunia</v>
          </cell>
          <cell r="AW25" t="str">
            <v>-</v>
          </cell>
        </row>
        <row r="27">
          <cell r="A27">
            <v>24</v>
          </cell>
          <cell r="D27" t="str">
            <v>INFRASTRUKTUR</v>
          </cell>
          <cell r="E27">
            <v>1</v>
          </cell>
          <cell r="F27" t="str">
            <v>Kementerian Pekerjaan Umum dan Perumahan Rakyat</v>
          </cell>
          <cell r="H27" t="str">
            <v>Drinking Water Development Program</v>
          </cell>
          <cell r="I27" t="str">
            <v>D</v>
          </cell>
          <cell r="J27" t="str">
            <v>Program Pembangunan Air Minum</v>
          </cell>
          <cell r="K27">
            <v>3</v>
          </cell>
          <cell r="L27" t="str">
            <v>Mamminasata Water Supply Development Project</v>
          </cell>
          <cell r="T27">
            <v>100000000</v>
          </cell>
          <cell r="U27">
            <v>100000000</v>
          </cell>
          <cell r="V27">
            <v>5000000</v>
          </cell>
          <cell r="W27">
            <v>0</v>
          </cell>
          <cell r="Y27" t="str">
            <v>JICA</v>
          </cell>
          <cell r="AA27">
            <v>100000000</v>
          </cell>
          <cell r="AN27" t="str">
            <v>siap</v>
          </cell>
          <cell r="AO27" t="str">
            <v>dalam proses
(persiapan)</v>
          </cell>
          <cell r="AR27" t="str">
            <v>belum ada dokumen R/C</v>
          </cell>
          <cell r="AT27">
            <v>100000000</v>
          </cell>
          <cell r="AU27" t="str">
            <v>JICA</v>
          </cell>
          <cell r="AW27" t="str">
            <v>-</v>
          </cell>
        </row>
        <row r="28">
          <cell r="A28">
            <v>25</v>
          </cell>
          <cell r="D28" t="str">
            <v>INFRASTRUKTUR</v>
          </cell>
          <cell r="E28">
            <v>1</v>
          </cell>
          <cell r="F28" t="str">
            <v>Kementerian Pekerjaan Umum dan Perumahan Rakyat</v>
          </cell>
          <cell r="H28" t="str">
            <v>Drinking Water Development Program</v>
          </cell>
          <cell r="I28" t="str">
            <v>D</v>
          </cell>
          <cell r="J28" t="str">
            <v>Program Pembangunan Air Minum</v>
          </cell>
          <cell r="K28">
            <v>3</v>
          </cell>
          <cell r="L28" t="str">
            <v>The Development of Regional Water Supply System in Benteng Kobema</v>
          </cell>
          <cell r="T28">
            <v>74300000</v>
          </cell>
          <cell r="U28">
            <v>74300000</v>
          </cell>
          <cell r="V28">
            <v>3715000</v>
          </cell>
          <cell r="W28">
            <v>0</v>
          </cell>
          <cell r="Y28" t="str">
            <v>Bank Dunia/JICA/ADB</v>
          </cell>
          <cell r="AA28">
            <v>74300000</v>
          </cell>
          <cell r="AN28" t="str">
            <v>dalam proses
(penyusunan FS)</v>
          </cell>
          <cell r="AO28" t="str">
            <v>dalam proses
(persiapan)</v>
          </cell>
          <cell r="AR28" t="str">
            <v>belum ada dokumen R/C</v>
          </cell>
          <cell r="AT28">
            <v>74300000</v>
          </cell>
          <cell r="AU28" t="str">
            <v>Bank Dunia</v>
          </cell>
          <cell r="AW28" t="str">
            <v>- usulan K/L lender: Bank Dunia/JICA/ADB. 
- Pihak Bank Dunia berminat, ADB dan JICA tidak minat.</v>
          </cell>
        </row>
        <row r="29">
          <cell r="A29">
            <v>26</v>
          </cell>
          <cell r="D29" t="str">
            <v>INFRASTRUKTUR</v>
          </cell>
          <cell r="E29">
            <v>1</v>
          </cell>
          <cell r="F29" t="str">
            <v>Kementerian Pekerjaan Umum dan Perumahan Rakyat</v>
          </cell>
          <cell r="H29" t="str">
            <v>Drinking Water Development Program</v>
          </cell>
          <cell r="I29" t="str">
            <v>D</v>
          </cell>
          <cell r="J29" t="str">
            <v>Program Pembangunan Air Minum</v>
          </cell>
          <cell r="K29">
            <v>3</v>
          </cell>
          <cell r="L29" t="str">
            <v>The Development of Regional Water Supply System in Wosusokas</v>
          </cell>
          <cell r="T29">
            <v>106200000</v>
          </cell>
          <cell r="U29">
            <v>106200000</v>
          </cell>
          <cell r="V29">
            <v>5310000</v>
          </cell>
          <cell r="W29">
            <v>0</v>
          </cell>
          <cell r="Y29" t="str">
            <v>Jerman (KfW)</v>
          </cell>
          <cell r="AA29">
            <v>106200000</v>
          </cell>
          <cell r="AN29" t="str">
            <v>dalam proses
(penyusunan FS)</v>
          </cell>
          <cell r="AO29" t="str">
            <v>dalam proses
(persiapan)</v>
          </cell>
          <cell r="AR29" t="str">
            <v>belum ada dokumen R/C</v>
          </cell>
          <cell r="AT29">
            <v>106200000</v>
          </cell>
          <cell r="AU29" t="str">
            <v>Jerman (KfW)</v>
          </cell>
          <cell r="AW29" t="str">
            <v>-</v>
          </cell>
        </row>
        <row r="30">
          <cell r="A30">
            <v>27</v>
          </cell>
          <cell r="D30" t="str">
            <v>INFRASTRUKTUR</v>
          </cell>
          <cell r="E30">
            <v>1</v>
          </cell>
          <cell r="F30" t="str">
            <v>Kementerian Pekerjaan Umum dan Perumahan Rakyat</v>
          </cell>
          <cell r="H30" t="str">
            <v>Drinking Water Development Program</v>
          </cell>
          <cell r="I30" t="str">
            <v>D</v>
          </cell>
          <cell r="J30" t="str">
            <v>Program Pembangunan Air Minum</v>
          </cell>
          <cell r="K30">
            <v>3</v>
          </cell>
          <cell r="L30" t="str">
            <v>The Development of Regional Water Supply System of Jatigede</v>
          </cell>
          <cell r="T30">
            <v>167000000</v>
          </cell>
          <cell r="U30">
            <v>140620000</v>
          </cell>
          <cell r="V30">
            <v>8350000</v>
          </cell>
          <cell r="W30">
            <v>0</v>
          </cell>
          <cell r="Y30" t="str">
            <v>Bank Dunia/JICA/ADB</v>
          </cell>
          <cell r="AA30">
            <v>140620000</v>
          </cell>
          <cell r="AN30" t="str">
            <v>belum ada keterangan</v>
          </cell>
          <cell r="AO30" t="str">
            <v>belum ada keterangan</v>
          </cell>
          <cell r="AR30" t="str">
            <v>- nilai pinjaman berkurang sebesar USD 26,38 juta untuk kegiatan ES
- belum ada dokumen R/C</v>
          </cell>
          <cell r="AT30">
            <v>140620000</v>
          </cell>
          <cell r="AU30" t="str">
            <v>Belum Ada Indikasi</v>
          </cell>
          <cell r="AW30" t="str">
            <v>- terdapat pengurangan nilai pinjaman sebesar USD 26,38 juta yang dialihkan untuk membiayai kegiatan ES.
- usulan K/L lender: Bank Dunia/JICA/ADB. 
- Pihak Bank Dunia, ADB, dan JICA tidak berminat.</v>
          </cell>
        </row>
        <row r="31">
          <cell r="A31">
            <v>28</v>
          </cell>
          <cell r="D31" t="str">
            <v>INFRASTRUKTUR</v>
          </cell>
          <cell r="E31">
            <v>1</v>
          </cell>
          <cell r="F31" t="str">
            <v>Kementerian Pekerjaan Umum dan Perumahan Rakyat</v>
          </cell>
          <cell r="H31" t="str">
            <v>Drinking Water Development Program</v>
          </cell>
          <cell r="I31" t="str">
            <v>D</v>
          </cell>
          <cell r="J31" t="str">
            <v>Program Pembangunan Air Minum</v>
          </cell>
          <cell r="K31">
            <v>3</v>
          </cell>
          <cell r="L31" t="str">
            <v>The Development of Regional Water Supply System of Petanglong</v>
          </cell>
          <cell r="T31">
            <v>95380000</v>
          </cell>
          <cell r="U31">
            <v>95380000</v>
          </cell>
          <cell r="V31">
            <v>4769000</v>
          </cell>
          <cell r="W31">
            <v>0</v>
          </cell>
          <cell r="Y31" t="str">
            <v>Bank Dunia/JICA/ADB</v>
          </cell>
          <cell r="AA31">
            <v>95380000</v>
          </cell>
          <cell r="AN31" t="str">
            <v>belum ada keterangan</v>
          </cell>
          <cell r="AO31" t="str">
            <v>belum ada keterangan</v>
          </cell>
          <cell r="AR31" t="str">
            <v>belum ada dokumen R/C</v>
          </cell>
          <cell r="AT31">
            <v>95380000</v>
          </cell>
          <cell r="AU31" t="str">
            <v>Belum Ada Indikasi</v>
          </cell>
          <cell r="AW31" t="str">
            <v>- usulan K/L lender: Bank Dunia/JICA/ADB. 
- Pihak Bank Dunia, ADB, dan JICA tidak berminat.</v>
          </cell>
        </row>
        <row r="32">
          <cell r="A32">
            <v>29</v>
          </cell>
          <cell r="D32" t="str">
            <v>INFRASTRUKTUR</v>
          </cell>
          <cell r="E32">
            <v>1</v>
          </cell>
          <cell r="F32" t="str">
            <v>Kementerian Pekerjaan Umum dan Perumahan Rakyat</v>
          </cell>
          <cell r="H32" t="str">
            <v>Drinking Water Development Program</v>
          </cell>
          <cell r="I32" t="str">
            <v>D</v>
          </cell>
          <cell r="J32" t="str">
            <v>Program Pembangunan Air Minum</v>
          </cell>
          <cell r="K32">
            <v>3</v>
          </cell>
          <cell r="L32" t="str">
            <v>The Development of Regional Water Supply System of Durolis</v>
          </cell>
          <cell r="T32">
            <v>33400000</v>
          </cell>
          <cell r="U32">
            <v>33400000</v>
          </cell>
          <cell r="V32">
            <v>1670000</v>
          </cell>
          <cell r="W32">
            <v>0</v>
          </cell>
          <cell r="Y32" t="str">
            <v>Bank Dunia/JICA/ADB</v>
          </cell>
          <cell r="AA32">
            <v>33400000</v>
          </cell>
          <cell r="AN32" t="str">
            <v>siap</v>
          </cell>
          <cell r="AO32" t="str">
            <v>siap</v>
          </cell>
          <cell r="AR32" t="str">
            <v>belum ada dokumen R/C</v>
          </cell>
          <cell r="AT32">
            <v>33400000</v>
          </cell>
          <cell r="AU32" t="str">
            <v>Belum Ada Indikasi</v>
          </cell>
          <cell r="AW32" t="str">
            <v>- usulan K/L lender: Bank Dunia/JICA/ADB.
- Pihak Bank Dunia, ADB, dan JICA tidak berminat.</v>
          </cell>
        </row>
        <row r="33">
          <cell r="A33">
            <v>30</v>
          </cell>
          <cell r="D33" t="str">
            <v>INFRASTRUKTUR</v>
          </cell>
          <cell r="E33">
            <v>1</v>
          </cell>
          <cell r="F33" t="str">
            <v>Kementerian Pekerjaan Umum dan Perumahan Rakyat</v>
          </cell>
          <cell r="H33" t="str">
            <v>Drinking Water Development Program</v>
          </cell>
          <cell r="I33" t="str">
            <v>D</v>
          </cell>
          <cell r="J33" t="str">
            <v>Program Pembangunan Air Minum</v>
          </cell>
          <cell r="K33">
            <v>3</v>
          </cell>
          <cell r="L33" t="str">
            <v>The Development of Regional Water Supply System of  Banten - Jakarta from Karian Dam</v>
          </cell>
          <cell r="T33">
            <v>40000000</v>
          </cell>
          <cell r="U33">
            <v>40000000</v>
          </cell>
          <cell r="V33">
            <v>2000000</v>
          </cell>
          <cell r="W33">
            <v>0</v>
          </cell>
          <cell r="Y33" t="str">
            <v>Korea</v>
          </cell>
          <cell r="AA33">
            <v>40000000</v>
          </cell>
          <cell r="AN33" t="str">
            <v>dalam proses
(memiliki FS)</v>
          </cell>
          <cell r="AO33" t="str">
            <v>dalam proses
(persiapan)</v>
          </cell>
          <cell r="AR33" t="str">
            <v>belum ada dokumen R/C</v>
          </cell>
          <cell r="AT33">
            <v>40000000</v>
          </cell>
          <cell r="AU33" t="str">
            <v>Korea</v>
          </cell>
          <cell r="AW33" t="str">
            <v>belum masuk rolling plan EDCF (Korea)</v>
          </cell>
        </row>
        <row r="34">
          <cell r="A34">
            <v>31</v>
          </cell>
          <cell r="D34" t="str">
            <v>INFRASTRUKTUR</v>
          </cell>
          <cell r="E34">
            <v>1</v>
          </cell>
          <cell r="F34" t="str">
            <v>Kementerian Pekerjaan Umum dan Perumahan Rakyat</v>
          </cell>
          <cell r="H34" t="str">
            <v>Drinking Water Development Program</v>
          </cell>
          <cell r="I34" t="str">
            <v>D</v>
          </cell>
          <cell r="J34" t="str">
            <v>Program Pembangunan Air Minum</v>
          </cell>
          <cell r="K34">
            <v>3</v>
          </cell>
          <cell r="L34" t="str">
            <v>The Development of Regional Water Supply System of Mebidang</v>
          </cell>
          <cell r="T34">
            <v>56400000</v>
          </cell>
          <cell r="U34">
            <v>56400000</v>
          </cell>
          <cell r="V34">
            <v>2820000</v>
          </cell>
          <cell r="W34">
            <v>0</v>
          </cell>
          <cell r="Y34" t="str">
            <v>Jerman (KfW)</v>
          </cell>
          <cell r="AA34">
            <v>56400000</v>
          </cell>
          <cell r="AN34" t="str">
            <v>dalam proses
(memiliki FS dan DED)</v>
          </cell>
          <cell r="AO34" t="str">
            <v>dalam proses
(persiapan)</v>
          </cell>
          <cell r="AR34" t="str">
            <v>belum ada dokumen R/C</v>
          </cell>
          <cell r="AT34">
            <v>56400000</v>
          </cell>
          <cell r="AU34" t="str">
            <v>Jerman (KfW)</v>
          </cell>
          <cell r="AW34" t="str">
            <v>-</v>
          </cell>
        </row>
        <row r="37">
          <cell r="V37">
            <v>5000000</v>
          </cell>
          <cell r="W37">
            <v>0</v>
          </cell>
        </row>
        <row r="39">
          <cell r="L39" t="str">
            <v>IKK Water Supply Program and Small Water Treatment Plant for Water Scarcity Area</v>
          </cell>
          <cell r="Y39" t="str">
            <v>IDB</v>
          </cell>
          <cell r="AA39">
            <v>50000000</v>
          </cell>
          <cell r="AN39" t="str">
            <v>siap</v>
          </cell>
          <cell r="AO39" t="str">
            <v>dalam proses
(pelaksanaan &lt;50%)</v>
          </cell>
          <cell r="AR39" t="str">
            <v>belum ada dokumen R/C</v>
          </cell>
          <cell r="AW39" t="str">
            <v>- usulan K/L lender:IDB.
- pihak IDB tidak berminat mendanai kegiatan ini, diusulkan kepada AIIB.
- Indikasi Lender AIIB menjadi belum ada indikasi (konfirmasi tgl 29 Jan'16)</v>
          </cell>
        </row>
        <row r="41">
          <cell r="I41" t="str">
            <v>E</v>
          </cell>
          <cell r="J41" t="str">
            <v>Program Pembangunan Sistem Pengelolaan Air Limbah</v>
          </cell>
          <cell r="T41">
            <v>250000000</v>
          </cell>
          <cell r="V41">
            <v>12500000</v>
          </cell>
          <cell r="W41">
            <v>0</v>
          </cell>
        </row>
        <row r="42">
          <cell r="L42" t="str">
            <v>Community Based Sanitation Program (SANIMAS)</v>
          </cell>
          <cell r="Y42" t="str">
            <v>ADB</v>
          </cell>
          <cell r="AA42">
            <v>125000000</v>
          </cell>
          <cell r="AN42" t="str">
            <v>belum ada keterangan</v>
          </cell>
          <cell r="AO42" t="str">
            <v>tidak butuh lahan</v>
          </cell>
          <cell r="AR42" t="str">
            <v>- untuk wilayah Timur
- belum ada dokumen R/C</v>
          </cell>
          <cell r="AT42">
            <v>125000000</v>
          </cell>
          <cell r="AU42" t="str">
            <v>ADB</v>
          </cell>
          <cell r="AW42" t="str">
            <v>-</v>
          </cell>
        </row>
        <row r="43">
          <cell r="Y43" t="str">
            <v>IDB</v>
          </cell>
          <cell r="AA43">
            <v>125000000</v>
          </cell>
          <cell r="AR43" t="str">
            <v>- untuk wilayah Barat
- belum ada dokumen R/C</v>
          </cell>
          <cell r="AT43">
            <v>125000000</v>
          </cell>
          <cell r="AU43" t="str">
            <v>IDB</v>
          </cell>
          <cell r="AW43" t="str">
            <v>-</v>
          </cell>
        </row>
        <row r="44">
          <cell r="A44">
            <v>36</v>
          </cell>
          <cell r="D44" t="str">
            <v>INFRASTRUKTUR</v>
          </cell>
          <cell r="E44">
            <v>1</v>
          </cell>
          <cell r="F44" t="str">
            <v>Kementerian Pekerjaan Umum dan Perumahan Rakyat</v>
          </cell>
          <cell r="H44" t="str">
            <v>Development of Waste Water Management Program</v>
          </cell>
          <cell r="I44" t="str">
            <v>E</v>
          </cell>
          <cell r="J44" t="str">
            <v>Program Pembangunan Sistem Pengelolaan Air Limbah</v>
          </cell>
          <cell r="K44">
            <v>2</v>
          </cell>
          <cell r="L44" t="str">
            <v>Jakarta Sewerage Development Project - Zone 1 and Zone 6</v>
          </cell>
          <cell r="T44">
            <v>1950000000</v>
          </cell>
          <cell r="U44">
            <v>1950000000</v>
          </cell>
          <cell r="V44">
            <v>97500000</v>
          </cell>
          <cell r="Y44" t="str">
            <v>JICA</v>
          </cell>
          <cell r="AA44">
            <v>1950000000</v>
          </cell>
          <cell r="AN44" t="str">
            <v>dalam proses
(memiliki FS)</v>
          </cell>
          <cell r="AO44" t="str">
            <v>dalam proses</v>
          </cell>
          <cell r="AR44" t="str">
            <v>- Zona I: dalam pelaksanaan ES (tender konsultan)
- belum ada dokumen R/C</v>
          </cell>
          <cell r="AT44">
            <v>1950000000</v>
          </cell>
          <cell r="AU44" t="str">
            <v>JICA</v>
          </cell>
          <cell r="AW44" t="str">
            <v>-</v>
          </cell>
        </row>
        <row r="45">
          <cell r="A45">
            <v>37</v>
          </cell>
          <cell r="D45" t="str">
            <v>INFRASTRUKTUR</v>
          </cell>
          <cell r="E45">
            <v>1</v>
          </cell>
          <cell r="F45" t="str">
            <v>Kementerian Pekerjaan Umum dan Perumahan Rakyat</v>
          </cell>
          <cell r="H45" t="str">
            <v>Development of Waste Water Management Program</v>
          </cell>
          <cell r="I45" t="str">
            <v>E</v>
          </cell>
          <cell r="J45" t="str">
            <v>Program Pembangunan Sistem Pengelolaan Air Limbah</v>
          </cell>
          <cell r="K45">
            <v>3</v>
          </cell>
          <cell r="L45" t="str">
            <v>The Development of Sewage Treatment Plant Facility in Priority Area</v>
          </cell>
          <cell r="T45">
            <v>75000000</v>
          </cell>
          <cell r="U45">
            <v>75000000</v>
          </cell>
          <cell r="V45">
            <v>3750000</v>
          </cell>
          <cell r="Y45" t="str">
            <v>Bank Dunia/JICA</v>
          </cell>
          <cell r="AA45">
            <v>75000000</v>
          </cell>
          <cell r="AN45" t="str">
            <v>dalam proses
(memiliki FS)</v>
          </cell>
          <cell r="AO45" t="str">
            <v>belum ada keterangan</v>
          </cell>
          <cell r="AR45" t="str">
            <v>belum ada dokumen R/C</v>
          </cell>
          <cell r="AT45">
            <v>75000000</v>
          </cell>
          <cell r="AU45" t="str">
            <v>Bank Dunia</v>
          </cell>
          <cell r="AW45" t="str">
            <v>- usulan K/L lender: Bank Dunia/JICA/ADB. 
- pihak Bank Dunia berminat, ADB dan JICA tidak berminat
- dalam rencana pembiayaan Bank Dunia, kegiatan ini dijadikan satu paket dengan kegiatan "Sewerage System Development in Indonesia"</v>
          </cell>
        </row>
        <row r="46">
          <cell r="T46">
            <v>975000000</v>
          </cell>
          <cell r="V46">
            <v>48750000</v>
          </cell>
        </row>
        <row r="47">
          <cell r="A47">
            <v>38</v>
          </cell>
          <cell r="D47" t="str">
            <v>INFRASTRUKTUR</v>
          </cell>
          <cell r="E47">
            <v>1</v>
          </cell>
          <cell r="F47" t="str">
            <v>Kementerian Pekerjaan Umum dan Perumahan Rakyat</v>
          </cell>
          <cell r="H47" t="str">
            <v>Development of Waste Water Management Program</v>
          </cell>
          <cell r="I47" t="str">
            <v>E</v>
          </cell>
          <cell r="J47" t="str">
            <v>Program Pembangunan Sistem Pengelolaan Air Limbah</v>
          </cell>
          <cell r="K47">
            <v>4</v>
          </cell>
          <cell r="L47" t="str">
            <v>Sewerage System Development in Indonesia</v>
          </cell>
          <cell r="Y47" t="str">
            <v>ADB</v>
          </cell>
          <cell r="AA47">
            <v>424800000</v>
          </cell>
          <cell r="AN47" t="str">
            <v>belum ada keterangan</v>
          </cell>
          <cell r="AO47" t="str">
            <v>belum ada keterangan</v>
          </cell>
          <cell r="AR47" t="str">
            <v>- nilai pinjaman berkurang sebesar USD 25,20 juta untuk kegiatan ES
- belum ada dokumen R/C</v>
          </cell>
          <cell r="AT47">
            <v>400000000</v>
          </cell>
          <cell r="AU47" t="str">
            <v>ADB</v>
          </cell>
          <cell r="AW47" t="str">
            <v>- nilai kegiatan yang tercantum dalam COBP ADB sebesar USD 400 juta.
- nilai kegiatan berkurang sebesar USD 25,2 yang dialihkan untuk membiayai kegiatan ES</v>
          </cell>
        </row>
        <row r="48">
          <cell r="A48">
            <v>39</v>
          </cell>
          <cell r="D48" t="str">
            <v>INFRASTRUKTUR</v>
          </cell>
          <cell r="E48">
            <v>1</v>
          </cell>
          <cell r="F48" t="str">
            <v>Kementerian Pekerjaan Umum dan Perumahan Rakyat</v>
          </cell>
          <cell r="H48" t="str">
            <v>Development of Waste Water Management Program</v>
          </cell>
          <cell r="I48" t="str">
            <v>E</v>
          </cell>
          <cell r="J48" t="str">
            <v>Program Pembangunan Sistem Pengelolaan Air Limbah</v>
          </cell>
          <cell r="K48">
            <v>4</v>
          </cell>
          <cell r="Y48" t="str">
            <v>IDB</v>
          </cell>
          <cell r="AA48">
            <v>325000000</v>
          </cell>
          <cell r="AT48">
            <v>325000000</v>
          </cell>
          <cell r="AU48" t="str">
            <v>IDB</v>
          </cell>
          <cell r="AW48" t="str">
            <v>-</v>
          </cell>
        </row>
        <row r="49">
          <cell r="A49">
            <v>40</v>
          </cell>
          <cell r="D49" t="str">
            <v>INFRASTRUKTUR</v>
          </cell>
          <cell r="E49">
            <v>1</v>
          </cell>
          <cell r="F49" t="str">
            <v>Kementerian Pekerjaan Umum dan Perumahan Rakyat</v>
          </cell>
          <cell r="H49" t="str">
            <v>Development of Waste Water Management Program</v>
          </cell>
          <cell r="I49" t="str">
            <v>E</v>
          </cell>
          <cell r="J49" t="str">
            <v>Program Pembangunan Sistem Pengelolaan Air Limbah</v>
          </cell>
          <cell r="K49">
            <v>4</v>
          </cell>
          <cell r="Y49" t="str">
            <v>Bank Dunia</v>
          </cell>
          <cell r="AA49">
            <v>200000000</v>
          </cell>
          <cell r="AT49">
            <v>200000000</v>
          </cell>
          <cell r="AU49" t="str">
            <v>Bank Dunia</v>
          </cell>
          <cell r="AW49" t="str">
            <v>-</v>
          </cell>
        </row>
        <row r="50">
          <cell r="AT50">
            <v>24800000</v>
          </cell>
          <cell r="AU50" t="str">
            <v>Belum Ada Indikasi</v>
          </cell>
          <cell r="AW50" t="str">
            <v>co-financing dengan ADB (USD 400 juta), IDB (USD 325 juta) &amp; Bank Dunia (USD 200 juta)</v>
          </cell>
        </row>
        <row r="51">
          <cell r="A51">
            <v>41</v>
          </cell>
          <cell r="D51" t="str">
            <v>INFRASTRUKTUR</v>
          </cell>
          <cell r="E51">
            <v>1</v>
          </cell>
          <cell r="F51" t="str">
            <v>Kementerian Pekerjaan Umum dan Perumahan Rakyat</v>
          </cell>
          <cell r="H51" t="str">
            <v>Development of Waste Water Management Program</v>
          </cell>
          <cell r="I51" t="str">
            <v>E</v>
          </cell>
          <cell r="J51" t="str">
            <v>Program Pembangunan Sistem Pengelolaan Air Limbah</v>
          </cell>
          <cell r="K51">
            <v>5</v>
          </cell>
          <cell r="L51" t="str">
            <v>Denpasar Sewerage Development Project - Phase III</v>
          </cell>
          <cell r="T51">
            <v>233000000</v>
          </cell>
          <cell r="U51">
            <v>233000000</v>
          </cell>
          <cell r="Y51" t="str">
            <v>JICA</v>
          </cell>
          <cell r="AA51">
            <v>233000000</v>
          </cell>
          <cell r="AN51" t="str">
            <v>dalam proses
(memiliki FS)</v>
          </cell>
          <cell r="AO51" t="str">
            <v>belum ada keterangan</v>
          </cell>
          <cell r="AR51" t="str">
            <v>Pengajuan pre-request</v>
          </cell>
          <cell r="AT51">
            <v>233000000</v>
          </cell>
          <cell r="AU51" t="str">
            <v>JICA</v>
          </cell>
          <cell r="AW51" t="str">
            <v>-</v>
          </cell>
        </row>
        <row r="52">
          <cell r="A52">
            <v>42</v>
          </cell>
          <cell r="D52" t="str">
            <v>INFRASTRUKTUR</v>
          </cell>
          <cell r="E52">
            <v>1</v>
          </cell>
          <cell r="F52" t="str">
            <v>Kementerian Pekerjaan Umum dan Perumahan Rakyat</v>
          </cell>
          <cell r="H52" t="str">
            <v>Development of Waste Water Management Program</v>
          </cell>
          <cell r="I52" t="str">
            <v>E</v>
          </cell>
          <cell r="J52" t="str">
            <v>Program Pembangunan Sistem Pengelolaan Air Limbah</v>
          </cell>
          <cell r="K52">
            <v>6</v>
          </cell>
          <cell r="L52" t="str">
            <v>The Development and Optimization of Wastewater Treatment in Greater Bandung</v>
          </cell>
          <cell r="T52">
            <v>100000000</v>
          </cell>
          <cell r="U52">
            <v>100000000</v>
          </cell>
          <cell r="Y52" t="str">
            <v>Jerman (KfW)</v>
          </cell>
          <cell r="AA52">
            <v>100000000</v>
          </cell>
          <cell r="AN52" t="str">
            <v>dalam proses
(penyusunan FS)</v>
          </cell>
          <cell r="AO52" t="str">
            <v>belum ada keterangan</v>
          </cell>
          <cell r="AR52" t="str">
            <v>penyiapan dokumen R/C</v>
          </cell>
          <cell r="AT52">
            <v>100000000</v>
          </cell>
          <cell r="AU52" t="str">
            <v>Jerman (KfW)</v>
          </cell>
          <cell r="AW52" t="str">
            <v>-</v>
          </cell>
        </row>
        <row r="54">
          <cell r="A54">
            <v>43</v>
          </cell>
          <cell r="D54" t="str">
            <v>INFRASTRUKTUR</v>
          </cell>
          <cell r="E54">
            <v>1</v>
          </cell>
          <cell r="F54" t="str">
            <v>Kementerian Pekerjaan Umum dan Perumahan Rakyat</v>
          </cell>
          <cell r="H54" t="str">
            <v>Development of Solid Waste Management Program</v>
          </cell>
          <cell r="I54" t="str">
            <v>F</v>
          </cell>
          <cell r="J54" t="str">
            <v>Program Pembangunan Sistem Pengelolaan Persampahan</v>
          </cell>
          <cell r="K54">
            <v>1</v>
          </cell>
          <cell r="L54" t="str">
            <v>Advanced Solid Waste Management for Sustainable Urban Development (Advance SWM-SUD)</v>
          </cell>
          <cell r="T54">
            <v>150000000</v>
          </cell>
          <cell r="U54">
            <v>150000000</v>
          </cell>
          <cell r="V54">
            <v>7500000</v>
          </cell>
          <cell r="W54">
            <v>0</v>
          </cell>
          <cell r="Y54" t="str">
            <v>Jerman (KfW)</v>
          </cell>
          <cell r="AA54">
            <v>150000000</v>
          </cell>
          <cell r="AN54" t="str">
            <v>dalam proses
(penyusunan FS)</v>
          </cell>
          <cell r="AO54" t="str">
            <v>belum ada keterangan</v>
          </cell>
          <cell r="AR54" t="str">
            <v>belum ada dokumen R/C</v>
          </cell>
          <cell r="AT54">
            <v>150000000</v>
          </cell>
          <cell r="AU54" t="str">
            <v>Jerman (KfW)</v>
          </cell>
          <cell r="AW54" t="str">
            <v>-</v>
          </cell>
        </row>
        <row r="55">
          <cell r="A55">
            <v>44</v>
          </cell>
          <cell r="D55" t="str">
            <v>INFRASTRUKTUR</v>
          </cell>
          <cell r="E55">
            <v>1</v>
          </cell>
          <cell r="F55" t="str">
            <v>Kementerian Pekerjaan Umum dan Perumahan Rakyat</v>
          </cell>
          <cell r="H55" t="str">
            <v>Development of Solid Waste Management Program</v>
          </cell>
          <cell r="I55" t="str">
            <v>F</v>
          </cell>
          <cell r="J55" t="str">
            <v>Program Pembangunan Sistem Pengelolaan Persampahan</v>
          </cell>
          <cell r="K55">
            <v>2</v>
          </cell>
          <cell r="L55" t="str">
            <v>The Improvement of Solid Waste Management to Support Regional Area and Metropolitan Cities</v>
          </cell>
          <cell r="T55">
            <v>100000000</v>
          </cell>
          <cell r="U55">
            <v>100000000</v>
          </cell>
          <cell r="V55">
            <v>5000000</v>
          </cell>
          <cell r="W55">
            <v>0</v>
          </cell>
          <cell r="Y55" t="str">
            <v>Bank Dunia</v>
          </cell>
          <cell r="AA55">
            <v>100000000</v>
          </cell>
          <cell r="AN55" t="str">
            <v>dalam proses
(memiliki FS)</v>
          </cell>
          <cell r="AO55" t="str">
            <v>dalam proses
(persiapan)</v>
          </cell>
          <cell r="AR55" t="str">
            <v>- karena DED dalam proses finalisasi, maka diasumsikan memiliki FS.
- Dokumen penyiapan: sedang cari tambahan lokasi
- Siap hanya Balikpapan&amp;Tangerang (USD 40 juta)
- belum ada dokumen R/C</v>
          </cell>
          <cell r="AT55">
            <v>100000000</v>
          </cell>
          <cell r="AU55" t="str">
            <v>Bank Dunia</v>
          </cell>
          <cell r="AW55" t="str">
            <v>-</v>
          </cell>
        </row>
        <row r="56">
          <cell r="A56">
            <v>45</v>
          </cell>
          <cell r="D56" t="str">
            <v>INFRASTRUKTUR</v>
          </cell>
          <cell r="E56">
            <v>1</v>
          </cell>
          <cell r="F56" t="str">
            <v>Kementerian Pekerjaan Umum dan Perumahan Rakyat</v>
          </cell>
          <cell r="H56" t="str">
            <v>Slum Alleviation Program</v>
          </cell>
          <cell r="I56" t="str">
            <v>G</v>
          </cell>
          <cell r="J56" t="str">
            <v>Program Penanganan Kumuh</v>
          </cell>
          <cell r="K56">
            <v>1</v>
          </cell>
          <cell r="L56" t="str">
            <v>Slum Improvement in Strategic Human Settlements Area (SISHA)</v>
          </cell>
          <cell r="T56">
            <v>2100000000</v>
          </cell>
          <cell r="U56">
            <v>2100000000</v>
          </cell>
          <cell r="V56">
            <v>105000000</v>
          </cell>
          <cell r="W56">
            <v>0</v>
          </cell>
          <cell r="Y56" t="str">
            <v>Bank Dunia/JICA/ADB</v>
          </cell>
          <cell r="AA56">
            <v>2100000000</v>
          </cell>
          <cell r="AN56" t="str">
            <v>dalam proses
(penyusunan FS)</v>
          </cell>
          <cell r="AO56" t="str">
            <v>dalam proses
(perencanaan)</v>
          </cell>
          <cell r="AP56" t="str">
            <v>belum ada proses tender/lelang</v>
          </cell>
          <cell r="AT56">
            <v>2100000000</v>
          </cell>
          <cell r="AU56" t="str">
            <v>Belum Ada Indikasi</v>
          </cell>
          <cell r="AW56" t="str">
            <v>- usulan K/L lender: Bank Dunia/JICA/ADB.
- Pihak Bank Dunia, ADB dan JICA tidak berminat.</v>
          </cell>
        </row>
        <row r="59">
          <cell r="L59" t="str">
            <v>National Slum Upgrading</v>
          </cell>
        </row>
        <row r="61">
          <cell r="Y61" t="str">
            <v>Belum Ada Indikasi</v>
          </cell>
          <cell r="AA61">
            <v>289880000</v>
          </cell>
          <cell r="AM61" t="str">
            <v>-</v>
          </cell>
          <cell r="AN61" t="str">
            <v>belum ada keterangan</v>
          </cell>
          <cell r="AO61" t="str">
            <v>belum ada keterangan</v>
          </cell>
          <cell r="AP61" t="str">
            <v>belum ada proses tender/lelang</v>
          </cell>
          <cell r="AT61">
            <v>289880000</v>
          </cell>
          <cell r="AU61" t="str">
            <v>Belum Ada Indikasi</v>
          </cell>
          <cell r="AW61" t="str">
            <v>co-financing dengan IDB (USD 329,7 juta), Bank Dunia (USD 216,5 juta) &amp; AIIB (USD 216,5 juta)</v>
          </cell>
        </row>
        <row r="62">
          <cell r="A62">
            <v>48</v>
          </cell>
          <cell r="D62" t="str">
            <v>INFRASTRUKTUR</v>
          </cell>
          <cell r="E62">
            <v>1</v>
          </cell>
          <cell r="F62" t="str">
            <v>Kementerian Pekerjaan Umum dan Perumahan Rakyat</v>
          </cell>
          <cell r="H62" t="str">
            <v>Slum Alleviation Program</v>
          </cell>
          <cell r="I62" t="str">
            <v>G</v>
          </cell>
          <cell r="J62" t="str">
            <v>Program Penanganan Kumuh</v>
          </cell>
          <cell r="K62">
            <v>3</v>
          </cell>
          <cell r="L62" t="str">
            <v>Rural Settlement Infrastructure Development (RSID)</v>
          </cell>
          <cell r="T62">
            <v>201000000</v>
          </cell>
          <cell r="U62">
            <v>201000000</v>
          </cell>
          <cell r="V62">
            <v>10050000</v>
          </cell>
          <cell r="W62">
            <v>0</v>
          </cell>
          <cell r="Y62" t="str">
            <v>JICA</v>
          </cell>
          <cell r="AA62">
            <v>201000000</v>
          </cell>
          <cell r="AN62" t="str">
            <v>dalam proses
(penyusunan FS)</v>
          </cell>
          <cell r="AO62" t="str">
            <v>dalam proses
(perencanaan)</v>
          </cell>
          <cell r="AR62" t="str">
            <v>belum ada dokumen R/C</v>
          </cell>
          <cell r="AT62">
            <v>201000000</v>
          </cell>
          <cell r="AU62" t="str">
            <v>JICA</v>
          </cell>
          <cell r="AW62" t="str">
            <v>-</v>
          </cell>
        </row>
        <row r="63">
          <cell r="A63">
            <v>49</v>
          </cell>
          <cell r="D63" t="str">
            <v>INFRASTRUKTUR</v>
          </cell>
          <cell r="E63">
            <v>1</v>
          </cell>
          <cell r="F63" t="str">
            <v>Kementerian Pekerjaan Umum dan Perumahan Rakyat</v>
          </cell>
          <cell r="H63" t="str">
            <v>Slum Alleviation Program</v>
          </cell>
          <cell r="I63" t="str">
            <v>G</v>
          </cell>
          <cell r="J63" t="str">
            <v>Program Penanganan Kumuh</v>
          </cell>
          <cell r="K63">
            <v>4</v>
          </cell>
          <cell r="L63" t="str">
            <v>Building Administration and Capacity Enforcement Development for Seismic Resilience</v>
          </cell>
          <cell r="T63">
            <v>261100000</v>
          </cell>
          <cell r="U63">
            <v>261100000</v>
          </cell>
          <cell r="V63">
            <v>13055000</v>
          </cell>
          <cell r="W63">
            <v>0</v>
          </cell>
          <cell r="Y63" t="str">
            <v>JICA</v>
          </cell>
          <cell r="AA63">
            <v>261100000</v>
          </cell>
          <cell r="AN63" t="str">
            <v>dalam proses
(penyusunan FS)</v>
          </cell>
          <cell r="AO63" t="str">
            <v>tidak butuh lahan</v>
          </cell>
          <cell r="AR63" t="str">
            <v>belum ada dokumen R/C</v>
          </cell>
          <cell r="AT63">
            <v>261100000</v>
          </cell>
          <cell r="AU63" t="str">
            <v>JICA</v>
          </cell>
          <cell r="AW63" t="str">
            <v>-</v>
          </cell>
        </row>
        <row r="64">
          <cell r="L64" t="str">
            <v>National Urban Development Project</v>
          </cell>
          <cell r="T64">
            <v>0</v>
          </cell>
          <cell r="U64">
            <v>225000000</v>
          </cell>
          <cell r="V64">
            <v>25000000</v>
          </cell>
          <cell r="W64">
            <v>0</v>
          </cell>
          <cell r="Y64" t="str">
            <v>Belum Ada Indikasi</v>
          </cell>
          <cell r="AA64">
            <v>225000000</v>
          </cell>
          <cell r="AN64" t="str">
            <v>belum ada keterangan</v>
          </cell>
          <cell r="AO64" t="str">
            <v>belum ada keterangan</v>
          </cell>
          <cell r="AR64" t="str">
            <v>belum ada dokumen R/C</v>
          </cell>
          <cell r="AT64">
            <v>225000000</v>
          </cell>
          <cell r="AU64" t="str">
            <v>Belum Ada Indikasi</v>
          </cell>
        </row>
        <row r="119">
          <cell r="E119">
            <v>3</v>
          </cell>
          <cell r="F119" t="str">
            <v>Kementerian Perhubungan</v>
          </cell>
          <cell r="I119" t="str">
            <v>A</v>
          </cell>
          <cell r="J119" t="str">
            <v>Program Pengembangan Perkeretaapian</v>
          </cell>
        </row>
        <row r="121">
          <cell r="A121">
            <v>92</v>
          </cell>
          <cell r="D121" t="str">
            <v>INFRASTRUKTUR</v>
          </cell>
          <cell r="E121">
            <v>3</v>
          </cell>
          <cell r="F121" t="str">
            <v>Kementerian Perhubungan</v>
          </cell>
          <cell r="H121" t="str">
            <v>Railway Development Program</v>
          </cell>
          <cell r="I121" t="str">
            <v>A</v>
          </cell>
          <cell r="J121" t="str">
            <v>Program Pengembangan Perkeretaapian</v>
          </cell>
          <cell r="K121">
            <v>1</v>
          </cell>
          <cell r="L121" t="str">
            <v>Procurement of Track Material and Turn Out - Phase III</v>
          </cell>
          <cell r="T121">
            <v>292336700</v>
          </cell>
          <cell r="U121">
            <v>292336700</v>
          </cell>
          <cell r="V121">
            <v>73084200</v>
          </cell>
          <cell r="W121">
            <v>0</v>
          </cell>
          <cell r="Y121" t="str">
            <v>Belum Ada Indikasi</v>
          </cell>
          <cell r="AA121">
            <v>292336700</v>
          </cell>
          <cell r="AN121" t="str">
            <v>belum ada keterangan</v>
          </cell>
          <cell r="AO121" t="str">
            <v>tidak butuh lahan</v>
          </cell>
          <cell r="AR121" t="str">
            <v>belum ada dokumen R/C</v>
          </cell>
          <cell r="AT121">
            <v>292336700</v>
          </cell>
          <cell r="AU121" t="str">
            <v>AIIB</v>
          </cell>
          <cell r="AW121" t="str">
            <v>- usulan K/L semula lender: Belum Ada Indikasi
- usulan Dit.Multilateral, diusulkan kepada AIIB.</v>
          </cell>
        </row>
        <row r="122">
          <cell r="L122" t="str">
            <v>Procurement of Track Material and Turn Out - Phase IV</v>
          </cell>
          <cell r="T122">
            <v>0</v>
          </cell>
          <cell r="U122">
            <v>126830200</v>
          </cell>
          <cell r="V122">
            <v>22381800</v>
          </cell>
          <cell r="W122">
            <v>0</v>
          </cell>
          <cell r="Y122" t="str">
            <v>Belum Ada Indikasi</v>
          </cell>
          <cell r="AA122">
            <v>126830200</v>
          </cell>
          <cell r="AR122" t="str">
            <v>belum ada dokumen R/C</v>
          </cell>
          <cell r="AT122">
            <v>126830200</v>
          </cell>
          <cell r="AU122" t="str">
            <v>RRT</v>
          </cell>
        </row>
        <row r="123">
          <cell r="A123">
            <v>93</v>
          </cell>
          <cell r="D123" t="str">
            <v>INFRASTRUKTUR</v>
          </cell>
          <cell r="E123">
            <v>3</v>
          </cell>
          <cell r="F123" t="str">
            <v>Kementerian Perhubungan</v>
          </cell>
          <cell r="H123" t="str">
            <v>Railway Development Program</v>
          </cell>
          <cell r="I123" t="str">
            <v>A</v>
          </cell>
          <cell r="J123" t="str">
            <v>Program Pengembangan Perkeretaapian</v>
          </cell>
          <cell r="K123">
            <v>2</v>
          </cell>
          <cell r="T123">
            <v>1678000000</v>
          </cell>
          <cell r="U123">
            <v>1678000000</v>
          </cell>
          <cell r="V123">
            <v>167800000</v>
          </cell>
          <cell r="W123">
            <v>0</v>
          </cell>
          <cell r="Y123" t="str">
            <v>JICA</v>
          </cell>
          <cell r="AA123">
            <v>1678000000</v>
          </cell>
          <cell r="AN123" t="str">
            <v>dalam proses
(memiliki FS)</v>
          </cell>
          <cell r="AO123" t="str">
            <v>dalam proses
(perencanaan)</v>
          </cell>
          <cell r="AR123" t="str">
            <v>belum ada dokumen R/C</v>
          </cell>
          <cell r="AT123">
            <v>1678000000</v>
          </cell>
          <cell r="AU123" t="str">
            <v>JICA</v>
          </cell>
          <cell r="AW123" t="str">
            <v>Belum proses</v>
          </cell>
        </row>
        <row r="124">
          <cell r="A124">
            <v>94</v>
          </cell>
          <cell r="D124" t="str">
            <v>INFRASTRUKTUR</v>
          </cell>
          <cell r="E124">
            <v>3</v>
          </cell>
          <cell r="F124" t="str">
            <v>Kementerian Perhubungan</v>
          </cell>
          <cell r="H124" t="str">
            <v>Railway Development Program</v>
          </cell>
          <cell r="I124" t="str">
            <v>A</v>
          </cell>
          <cell r="J124" t="str">
            <v>Program Pengembangan Perkeretaapian</v>
          </cell>
          <cell r="K124">
            <v>3</v>
          </cell>
          <cell r="L124" t="str">
            <v>Construction of Jakarta Mass Rapid Transit East-West Line Project - Phase I</v>
          </cell>
          <cell r="T124">
            <v>3572000000</v>
          </cell>
          <cell r="U124">
            <v>3572000000</v>
          </cell>
          <cell r="V124">
            <v>357200000</v>
          </cell>
          <cell r="W124">
            <v>0</v>
          </cell>
          <cell r="Y124" t="str">
            <v>JICA</v>
          </cell>
          <cell r="AA124">
            <v>3572000000</v>
          </cell>
          <cell r="AN124" t="str">
            <v>dalam proses
(memiliki FS)</v>
          </cell>
          <cell r="AO124" t="str">
            <v>dalam proses
(perencanaan)</v>
          </cell>
          <cell r="AR124" t="str">
            <v>belum ada dokumen R/C</v>
          </cell>
          <cell r="AT124">
            <v>3572000000</v>
          </cell>
          <cell r="AU124" t="str">
            <v>JICA</v>
          </cell>
          <cell r="AW124" t="str">
            <v>Sebagian akan diteruspinjamkan kepada Pemprov. DKI Jakarta</v>
          </cell>
        </row>
        <row r="126">
          <cell r="L126" t="str">
            <v>Surabaya Regional Railway Line - Phase I</v>
          </cell>
          <cell r="T126">
            <v>0</v>
          </cell>
          <cell r="U126">
            <v>100000000</v>
          </cell>
          <cell r="V126">
            <v>15000000</v>
          </cell>
          <cell r="W126">
            <v>0</v>
          </cell>
          <cell r="Y126" t="str">
            <v>Belum Ada Indikasi</v>
          </cell>
          <cell r="AA126">
            <v>100000000</v>
          </cell>
          <cell r="AN126" t="str">
            <v>belum ada keterangan</v>
          </cell>
          <cell r="AO126" t="str">
            <v>belum ada keterangan</v>
          </cell>
          <cell r="AR126" t="str">
            <v>belum ada dokumen R/C</v>
          </cell>
          <cell r="AT126">
            <v>100000000</v>
          </cell>
          <cell r="AU126" t="str">
            <v>Belum Ada Indikasi</v>
          </cell>
        </row>
        <row r="127">
          <cell r="L127" t="str">
            <v>Development of Railway Quality Assurance Facility</v>
          </cell>
          <cell r="T127">
            <v>0</v>
          </cell>
          <cell r="U127">
            <v>461428600</v>
          </cell>
          <cell r="V127">
            <v>81428600</v>
          </cell>
          <cell r="W127">
            <v>0</v>
          </cell>
          <cell r="Y127" t="str">
            <v>Belum Ada Indikasi</v>
          </cell>
          <cell r="AA127">
            <v>461428600</v>
          </cell>
          <cell r="AN127" t="str">
            <v>belum ada keterangan</v>
          </cell>
          <cell r="AO127" t="str">
            <v>belum ada keterangan</v>
          </cell>
          <cell r="AR127" t="str">
            <v>belum ada dokumen R/C</v>
          </cell>
          <cell r="AT127">
            <v>461428600</v>
          </cell>
          <cell r="AU127" t="str">
            <v>Belum Ada Indikasi</v>
          </cell>
        </row>
        <row r="128">
          <cell r="L128" t="str">
            <v>Construction of Railway line for Bitung - Gorontalo - Isimu</v>
          </cell>
          <cell r="T128">
            <v>0</v>
          </cell>
          <cell r="U128">
            <v>505476800</v>
          </cell>
          <cell r="V128">
            <v>89201771</v>
          </cell>
          <cell r="W128">
            <v>0</v>
          </cell>
          <cell r="Y128" t="str">
            <v>Belum Ada Indikasi</v>
          </cell>
          <cell r="AA128">
            <v>505476800</v>
          </cell>
          <cell r="AN128" t="str">
            <v>belum ada keterangan</v>
          </cell>
          <cell r="AO128" t="str">
            <v>belum ada keterangan</v>
          </cell>
          <cell r="AR128" t="str">
            <v>belum ada dokumen R/C</v>
          </cell>
          <cell r="AT128">
            <v>505476800</v>
          </cell>
          <cell r="AU128" t="str">
            <v>Belum Ada Indikasi</v>
          </cell>
        </row>
        <row r="129">
          <cell r="L129" t="str">
            <v>Construction of Railway line for Pare-pare - Mamuju</v>
          </cell>
          <cell r="T129">
            <v>0</v>
          </cell>
          <cell r="U129">
            <v>399167600</v>
          </cell>
          <cell r="V129">
            <v>70441329</v>
          </cell>
          <cell r="W129">
            <v>0</v>
          </cell>
          <cell r="Y129" t="str">
            <v>Belum Ada Indikasi</v>
          </cell>
          <cell r="AA129">
            <v>399167600</v>
          </cell>
          <cell r="AN129" t="str">
            <v>belum ada keterangan</v>
          </cell>
          <cell r="AO129" t="str">
            <v>belum ada keterangan</v>
          </cell>
          <cell r="AR129" t="str">
            <v>belum ada dokumen R/C</v>
          </cell>
          <cell r="AT129">
            <v>399167600</v>
          </cell>
          <cell r="AU129" t="str">
            <v>Belum Ada Indikasi</v>
          </cell>
        </row>
        <row r="160">
          <cell r="D160" t="str">
            <v>NON-INFRASTRUKTUR</v>
          </cell>
        </row>
        <row r="202">
          <cell r="L202" t="str">
            <v>Upgrading Medical Equipments for Army Hospital of Gatot Subroto</v>
          </cell>
          <cell r="T202">
            <v>0</v>
          </cell>
          <cell r="U202">
            <v>150000000</v>
          </cell>
          <cell r="V202">
            <v>0</v>
          </cell>
          <cell r="W202">
            <v>0</v>
          </cell>
          <cell r="Y202" t="str">
            <v>Belum Ada Indikasi</v>
          </cell>
          <cell r="AA202">
            <v>150000000</v>
          </cell>
          <cell r="AN202" t="str">
            <v>dalam proses
(penyusunan FS)</v>
          </cell>
          <cell r="AO202" t="str">
            <v>belum ada keterangan</v>
          </cell>
          <cell r="AR202" t="str">
            <v>penyiapan dokumen R/C</v>
          </cell>
          <cell r="AT202">
            <v>150000000</v>
          </cell>
          <cell r="AU202" t="str">
            <v>Austria</v>
          </cell>
        </row>
        <row r="203">
          <cell r="L203" t="str">
            <v>Upgrading Medical Equipments for Army Hospitals</v>
          </cell>
          <cell r="T203">
            <v>0</v>
          </cell>
          <cell r="U203">
            <v>55000000</v>
          </cell>
          <cell r="V203">
            <v>0</v>
          </cell>
          <cell r="W203">
            <v>0</v>
          </cell>
          <cell r="Y203" t="str">
            <v>Belum Ada Indikasi</v>
          </cell>
          <cell r="AA203">
            <v>55000000</v>
          </cell>
          <cell r="AN203" t="str">
            <v>dalam proses
(penyusunan FS)</v>
          </cell>
          <cell r="AO203" t="str">
            <v>belum ada keterangan</v>
          </cell>
          <cell r="AR203" t="str">
            <v>penyiapan dokumen R/C</v>
          </cell>
          <cell r="AT203">
            <v>55000000</v>
          </cell>
          <cell r="AU203" t="str">
            <v>Austria</v>
          </cell>
        </row>
        <row r="204">
          <cell r="L204" t="str">
            <v>Upgrading Medical Equipments for Naval Hospitals</v>
          </cell>
          <cell r="T204">
            <v>0</v>
          </cell>
          <cell r="U204">
            <v>45000000</v>
          </cell>
          <cell r="V204">
            <v>0</v>
          </cell>
          <cell r="W204">
            <v>0</v>
          </cell>
          <cell r="Y204" t="str">
            <v>Belum Ada Indikasi</v>
          </cell>
          <cell r="AA204">
            <v>45000000</v>
          </cell>
          <cell r="AN204" t="str">
            <v>dalam proses
(penyusunan FS)</v>
          </cell>
          <cell r="AO204" t="str">
            <v>belum ada keterangan</v>
          </cell>
          <cell r="AR204" t="str">
            <v>penyiapan dokumen R/C</v>
          </cell>
          <cell r="AT204">
            <v>45000000</v>
          </cell>
          <cell r="AU204" t="str">
            <v>Austria</v>
          </cell>
        </row>
        <row r="205">
          <cell r="L205" t="str">
            <v>Upgrading Medical Equipments for Air Force Hospitals</v>
          </cell>
          <cell r="T205">
            <v>0</v>
          </cell>
          <cell r="U205">
            <v>40000000</v>
          </cell>
          <cell r="V205">
            <v>0</v>
          </cell>
          <cell r="W205">
            <v>0</v>
          </cell>
          <cell r="Y205" t="str">
            <v>Belum Ada Indikasi</v>
          </cell>
          <cell r="AA205">
            <v>40000000</v>
          </cell>
          <cell r="AN205" t="str">
            <v>dalam proses
(penyusunan FS)</v>
          </cell>
          <cell r="AO205" t="str">
            <v>belum ada keterangan</v>
          </cell>
          <cell r="AR205" t="str">
            <v>penyiapan dokumen R/C</v>
          </cell>
          <cell r="AT205">
            <v>40000000</v>
          </cell>
          <cell r="AU205" t="str">
            <v>Austria</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SI LENDER&amp;KESIAPAN JUMLAH"/>
      <sheetName val="PU-LAMA2"/>
      <sheetName val="PU-LAMA"/>
      <sheetName val="DATA"/>
      <sheetName val="ALL LAMA"/>
      <sheetName val="ALL-USD39.8M"/>
      <sheetName val="ALL-USD42.2M"/>
      <sheetName val="REKAP SEKTOR"/>
      <sheetName val="ALL-USD40.1M"/>
      <sheetName val="SEKTOR PERUMAHAN"/>
      <sheetName val="SEKTOR KOMUNIKASI"/>
      <sheetName val="SEKTOR PENDIDIKAN"/>
      <sheetName val="SEKTOR PERTANIAN"/>
      <sheetName val="SEKTOR KESEHATAN"/>
      <sheetName val="ALL-USD46M"/>
      <sheetName val="Signed 5,8M"/>
      <sheetName val="REKAP LENDER 2017"/>
      <sheetName val="SEKTOR SUMBER DAYA AIR"/>
      <sheetName val="JICA"/>
      <sheetName val="KOREA"/>
      <sheetName val="RRT"/>
      <sheetName val="EROPA"/>
      <sheetName val="BILA-LAIN"/>
      <sheetName val="BD"/>
      <sheetName val="ADB"/>
      <sheetName val="IDB"/>
      <sheetName val="MULTI-Lain"/>
      <sheetName val="NO LENDER"/>
      <sheetName val="Signed di Cek SK"/>
      <sheetName val="Sudah DK"/>
      <sheetName val="Sudah GB"/>
      <sheetName val="PROSES - sudah ada RC"/>
      <sheetName val="PROSES - penyusunan RC FS"/>
      <sheetName val="BELUM PROSES"/>
      <sheetName val="REKAP LENDER"/>
      <sheetName val="REKAP KL"/>
      <sheetName val="REKAP PROGRAM"/>
      <sheetName val="GB'15&amp;LA"/>
      <sheetName val="STATUS 1MAR'16 (2)"/>
      <sheetName val="ALL-2"/>
      <sheetName val="130 lama"/>
      <sheetName val="ALL-1"/>
      <sheetName val="PENJ.PERUBAHAN"/>
      <sheetName val="BU ANA"/>
      <sheetName val="ALL PENYIAPAN"/>
      <sheetName val="GB15"/>
      <sheetName val="2016&amp;GB15"/>
      <sheetName val="2015&amp;GB15"/>
      <sheetName val="002"/>
    </sheetNames>
    <sheetDataSet>
      <sheetData sheetId="0" refreshError="1"/>
      <sheetData sheetId="1" refreshError="1"/>
      <sheetData sheetId="2" refreshError="1"/>
      <sheetData sheetId="3" refreshError="1">
        <row r="2">
          <cell r="B2" t="str">
            <v>I</v>
          </cell>
          <cell r="E2">
            <v>1</v>
          </cell>
        </row>
        <row r="66">
          <cell r="T66">
            <v>700000000</v>
          </cell>
          <cell r="U66">
            <v>700000000</v>
          </cell>
          <cell r="V66">
            <v>70000000</v>
          </cell>
          <cell r="W66">
            <v>0</v>
          </cell>
        </row>
        <row r="67">
          <cell r="A67">
            <v>51</v>
          </cell>
          <cell r="D67" t="str">
            <v>INFRASTRUKTUR</v>
          </cell>
          <cell r="E67">
            <v>1</v>
          </cell>
          <cell r="F67" t="str">
            <v>Kementerian Pekerjaan Umum dan Perumahan Rakyat</v>
          </cell>
          <cell r="H67" t="str">
            <v>Development and Management of Irrigation Program</v>
          </cell>
          <cell r="I67" t="str">
            <v>I</v>
          </cell>
          <cell r="J67" t="str">
            <v>Program Pengembangan dan Pengelolaan Irigasi</v>
          </cell>
          <cell r="K67">
            <v>1</v>
          </cell>
          <cell r="Y67" t="str">
            <v>ADB</v>
          </cell>
          <cell r="AA67">
            <v>600000000</v>
          </cell>
          <cell r="AM67" t="str">
            <v>2016; 2015</v>
          </cell>
          <cell r="AN67" t="str">
            <v>siap</v>
          </cell>
          <cell r="AO67" t="str">
            <v>belum ada keterangan</v>
          </cell>
          <cell r="AR67" t="str">
            <v>-</v>
          </cell>
          <cell r="AT67">
            <v>600000000</v>
          </cell>
          <cell r="AU67" t="str">
            <v>ADB</v>
          </cell>
          <cell r="AW67" t="str">
            <v>-</v>
          </cell>
        </row>
        <row r="69">
          <cell r="V69">
            <v>50000000</v>
          </cell>
          <cell r="W69">
            <v>0</v>
          </cell>
        </row>
        <row r="70">
          <cell r="A70">
            <v>53</v>
          </cell>
          <cell r="D70" t="str">
            <v>INFRASTRUKTUR</v>
          </cell>
          <cell r="E70">
            <v>1</v>
          </cell>
          <cell r="F70" t="str">
            <v>Kementerian Pekerjaan Umum dan Perumahan Rakyat</v>
          </cell>
          <cell r="H70" t="str">
            <v>Development and Management of Irrigation Program</v>
          </cell>
          <cell r="I70" t="str">
            <v>I</v>
          </cell>
          <cell r="J70" t="str">
            <v>Program Pengembangan dan Pengelolaan Irigasi</v>
          </cell>
          <cell r="K70">
            <v>1</v>
          </cell>
          <cell r="T70">
            <v>500000000</v>
          </cell>
          <cell r="U70">
            <v>500000000</v>
          </cell>
          <cell r="Y70" t="str">
            <v>ADB</v>
          </cell>
          <cell r="AA70">
            <v>500000000</v>
          </cell>
          <cell r="AN70" t="str">
            <v>belum ada keterangan</v>
          </cell>
          <cell r="AO70" t="str">
            <v>belum ada keterangan</v>
          </cell>
          <cell r="AR70" t="str">
            <v>- untuk yang Phase II: belum ada penyiapan
- belum ada dokumen R/C</v>
          </cell>
          <cell r="AT70">
            <v>400000000</v>
          </cell>
          <cell r="AU70" t="str">
            <v>ADB</v>
          </cell>
          <cell r="AW70" t="str">
            <v>nilai kegiatan yang tercantum dalam COBP ADB sebesar USD 400 juta.</v>
          </cell>
        </row>
        <row r="75">
          <cell r="A75">
            <v>57</v>
          </cell>
          <cell r="D75" t="str">
            <v>INFRASTRUKTUR</v>
          </cell>
          <cell r="E75">
            <v>1</v>
          </cell>
          <cell r="F75" t="str">
            <v>Kementerian Pekerjaan Umum dan Perumahan Rakyat</v>
          </cell>
          <cell r="H75" t="str">
            <v>Development and Management of Irrigation Program</v>
          </cell>
          <cell r="I75" t="str">
            <v>I</v>
          </cell>
          <cell r="J75" t="str">
            <v>Program Pengembangan dan Pengelolaan Irigasi</v>
          </cell>
          <cell r="K75">
            <v>5</v>
          </cell>
          <cell r="T75">
            <v>350000000</v>
          </cell>
          <cell r="U75">
            <v>350000000</v>
          </cell>
          <cell r="Y75" t="str">
            <v>ADB</v>
          </cell>
          <cell r="AA75">
            <v>350000000</v>
          </cell>
          <cell r="AN75" t="str">
            <v>dalam proses
(memiliki FS dan DED)</v>
          </cell>
          <cell r="AO75" t="str">
            <v>belum ada keterangan</v>
          </cell>
          <cell r="AR75" t="str">
            <v>belum ada dokumen R/C</v>
          </cell>
          <cell r="AT75">
            <v>350000000</v>
          </cell>
          <cell r="AU75" t="str">
            <v>Belum Ada Indikasi</v>
          </cell>
          <cell r="AW75" t="str">
            <v>- usulan K/L lender: ADB
- tidak masuk COBP ADB</v>
          </cell>
        </row>
        <row r="76">
          <cell r="A76">
            <v>58</v>
          </cell>
          <cell r="D76" t="str">
            <v>INFRASTRUKTUR</v>
          </cell>
          <cell r="E76">
            <v>1</v>
          </cell>
          <cell r="F76" t="str">
            <v>Kementerian Pekerjaan Umum dan Perumahan Rakyat</v>
          </cell>
          <cell r="H76" t="str">
            <v>Development and Management of Irrigation Program</v>
          </cell>
          <cell r="I76" t="str">
            <v>I</v>
          </cell>
          <cell r="J76" t="str">
            <v>Program Pengembangan dan Pengelolaan Irigasi</v>
          </cell>
          <cell r="K76">
            <v>6</v>
          </cell>
          <cell r="T76">
            <v>161298000</v>
          </cell>
          <cell r="U76">
            <v>161298000</v>
          </cell>
          <cell r="Y76" t="str">
            <v>ADB</v>
          </cell>
          <cell r="AA76">
            <v>161298000</v>
          </cell>
          <cell r="AN76" t="str">
            <v>dalam proses
(memiliki FS dan DED)</v>
          </cell>
          <cell r="AO76" t="str">
            <v>belum ada keterangan</v>
          </cell>
          <cell r="AR76" t="str">
            <v>belum ada dokumen R/C</v>
          </cell>
          <cell r="AT76">
            <v>161298000</v>
          </cell>
          <cell r="AU76" t="str">
            <v>Belum Ada Indikasi</v>
          </cell>
          <cell r="AW76" t="str">
            <v>- usulan K/L lender: ADB
- tidak masuk COBP ADB</v>
          </cell>
        </row>
      </sheetData>
      <sheetData sheetId="4" refreshError="1"/>
      <sheetData sheetId="5" refreshError="1"/>
      <sheetData sheetId="6" refreshError="1"/>
      <sheetData sheetId="7" refreshError="1"/>
      <sheetData sheetId="8" refreshError="1">
        <row r="126">
          <cell r="L126" t="str">
            <v>Kementerian Komunikasi dan Informatika</v>
          </cell>
        </row>
        <row r="127">
          <cell r="M127" t="str">
            <v>Program Pengembangan Infrastruktur TIK dan Penyiaran</v>
          </cell>
        </row>
        <row r="128">
          <cell r="N128" t="str">
            <v>Improvement on TV Transmitting Stations (Digitalization of TVRI) - Phase III</v>
          </cell>
          <cell r="Y128">
            <v>411000000</v>
          </cell>
          <cell r="Z128" t="str">
            <v>US EXIM/Perancis</v>
          </cell>
          <cell r="AA128" t="str">
            <v>Belum proses</v>
          </cell>
          <cell r="AG128" t="str">
            <v>Belum ada kepastian lender dari sisi K/L</v>
          </cell>
        </row>
        <row r="129">
          <cell r="N129" t="str">
            <v>Strengthening of e-Government Infrastructure</v>
          </cell>
          <cell r="Y129">
            <v>145000000</v>
          </cell>
          <cell r="Z129" t="str">
            <v>Korea</v>
          </cell>
          <cell r="AA129" t="str">
            <v>Belum proses</v>
          </cell>
          <cell r="AG129" t="str">
            <v>Masuk dalam dokumen CPS</v>
          </cell>
        </row>
        <row r="130">
          <cell r="L130" t="str">
            <v>Kepolisian RI</v>
          </cell>
        </row>
        <row r="131">
          <cell r="M131" t="str">
            <v>Program Pengembangan Infrastruktur TIK dan Penyiaran</v>
          </cell>
        </row>
        <row r="132">
          <cell r="N132" t="str">
            <v>National Criminal Information Center for Indonesian National Police - Phase II</v>
          </cell>
          <cell r="Y132">
            <v>20000000</v>
          </cell>
          <cell r="Z132" t="str">
            <v>Korea</v>
          </cell>
          <cell r="AA132" t="str">
            <v>Belum proses</v>
          </cell>
          <cell r="AG132" t="str">
            <v>- Potensial ditunda
- Diperlukan konfirmasi karena masuk ke dalam GB sebanyak 5 kali</v>
          </cell>
        </row>
        <row r="155">
          <cell r="K155" t="str">
            <v>NON-INFRASTRUKTUR</v>
          </cell>
        </row>
        <row r="156">
          <cell r="L156" t="str">
            <v>Kementerian Riset, Teknologi, dan Pendidikan Tinggi</v>
          </cell>
        </row>
        <row r="157">
          <cell r="L157" t="str">
            <v>A</v>
          </cell>
          <cell r="M157" t="str">
            <v>Program Peningkatan Akses, Kualitas, Relevansi, dan Daya Saing Pendidikan Tinggi</v>
          </cell>
        </row>
        <row r="158">
          <cell r="N158" t="str">
            <v>The Plan of Hasanuddin University Hospital Development</v>
          </cell>
          <cell r="Y158">
            <v>31520000</v>
          </cell>
          <cell r="Z158" t="str">
            <v>Jerman (KfW)</v>
          </cell>
          <cell r="AA158" t="str">
            <v>- GB 2017 (USD 31,52 juta)
- DK tanggal 31 Juli 2017</v>
          </cell>
        </row>
        <row r="159">
          <cell r="Y159">
            <v>45800</v>
          </cell>
          <cell r="Z159" t="str">
            <v>Belum Ada Indikasi</v>
          </cell>
          <cell r="AA159" t="str">
            <v>Belum proses</v>
          </cell>
        </row>
        <row r="160">
          <cell r="N160" t="str">
            <v>Establishment of University of Bengkulu’s Hospital</v>
          </cell>
          <cell r="Y160">
            <v>10278200</v>
          </cell>
          <cell r="Z160" t="str">
            <v>SFD</v>
          </cell>
          <cell r="AA160" t="str">
            <v>Belum proses</v>
          </cell>
        </row>
        <row r="161">
          <cell r="N161" t="str">
            <v>University of Gadjah Mada Achieving World Class University with Socio-Entrepreneurial Spirit</v>
          </cell>
          <cell r="Y161">
            <v>71694000</v>
          </cell>
          <cell r="Z161" t="str">
            <v>JICA</v>
          </cell>
          <cell r="AA161" t="str">
            <v>- GB 2017
- DK tanggal 31 Juli 2017
- Sudah LA November 2017</v>
          </cell>
        </row>
        <row r="162">
          <cell r="N162" t="str">
            <v>Capacity Building Programmes for Infrastructure in Malikussaleh University</v>
          </cell>
          <cell r="Y162">
            <v>48543100</v>
          </cell>
          <cell r="Z162" t="str">
            <v>ADB</v>
          </cell>
          <cell r="AA162" t="str">
            <v>Sudah terdapat RC</v>
          </cell>
        </row>
        <row r="163">
          <cell r="N163" t="str">
            <v>Development and Upgrading of University of Jambi</v>
          </cell>
          <cell r="Y163">
            <v>53879300</v>
          </cell>
          <cell r="Z163" t="str">
            <v>ADB</v>
          </cell>
          <cell r="AA163" t="str">
            <v>Sudah terdapat RC</v>
          </cell>
        </row>
        <row r="164">
          <cell r="N164" t="str">
            <v>Development and Upgrading of the State University of Jakarta - Phase 2</v>
          </cell>
          <cell r="Y164">
            <v>32709400</v>
          </cell>
          <cell r="Z164" t="str">
            <v>SFD</v>
          </cell>
          <cell r="AA164" t="str">
            <v>Belum proses</v>
          </cell>
        </row>
        <row r="165">
          <cell r="N165" t="str">
            <v>Integrated Multi Campus-University for Tomorrow’s Education in Indonesia University of Education</v>
          </cell>
          <cell r="Y165">
            <v>51777700</v>
          </cell>
          <cell r="Z165" t="str">
            <v>ADB</v>
          </cell>
          <cell r="AA165" t="str">
            <v>Sudah terdapat RC</v>
          </cell>
        </row>
        <row r="166">
          <cell r="N166" t="str">
            <v>Higher Education Quality Improvement of the University of Riau</v>
          </cell>
          <cell r="Y166">
            <v>49950100</v>
          </cell>
          <cell r="Z166" t="str">
            <v>ADB</v>
          </cell>
          <cell r="AA166" t="str">
            <v>Sudah terdapat RC</v>
          </cell>
        </row>
        <row r="167">
          <cell r="L167" t="str">
            <v>Kementerian Agama</v>
          </cell>
        </row>
        <row r="168">
          <cell r="L168" t="str">
            <v>A</v>
          </cell>
          <cell r="M168" t="str">
            <v>Program Peningkatan Akses, Kualitas, Relevansi, dan Daya Saing Pendidikan Tinggi Islam</v>
          </cell>
        </row>
        <row r="169">
          <cell r="N169" t="str">
            <v>Improvement and Optimalization of Sunan Ampel Surabaya State Islamic University</v>
          </cell>
          <cell r="Y169">
            <v>40000000</v>
          </cell>
          <cell r="Z169" t="str">
            <v>IDB</v>
          </cell>
          <cell r="AA169" t="str">
            <v>GB 2017</v>
          </cell>
        </row>
        <row r="170">
          <cell r="N170" t="str">
            <v>Improvement Access and Quality of State Islamic Institute  Suthan Maulana Hasanuddin Banten</v>
          </cell>
          <cell r="Y170">
            <v>40000000</v>
          </cell>
          <cell r="Z170" t="str">
            <v>IDB</v>
          </cell>
          <cell r="AA170" t="str">
            <v>GB 2017</v>
          </cell>
        </row>
        <row r="171">
          <cell r="N171" t="str">
            <v>Development and Quality Improvement  of Antasari State Islamic Institute</v>
          </cell>
          <cell r="Y171">
            <v>39800000</v>
          </cell>
          <cell r="Z171" t="str">
            <v>IDB</v>
          </cell>
          <cell r="AA171" t="str">
            <v>GB 2017 (USD 39.800.000)</v>
          </cell>
        </row>
        <row r="172">
          <cell r="Y172">
            <v>100000</v>
          </cell>
          <cell r="Z172" t="str">
            <v>Belum Ada Indikasi</v>
          </cell>
          <cell r="AA172" t="str">
            <v>Belum proses</v>
          </cell>
        </row>
        <row r="173">
          <cell r="N173" t="str">
            <v>Tranformation of State Islamic Institute  Sulthan Thaha Saifuddin to State Islamic University</v>
          </cell>
          <cell r="Y173">
            <v>40000000</v>
          </cell>
          <cell r="Z173" t="str">
            <v>IDB</v>
          </cell>
          <cell r="AA173" t="str">
            <v>GB 2017</v>
          </cell>
        </row>
        <row r="174">
          <cell r="N174" t="str">
            <v>Development and Institutional Transformation of State Islamic Institute  Raden Intan Lampung</v>
          </cell>
          <cell r="Y174">
            <v>40000000</v>
          </cell>
          <cell r="Z174" t="str">
            <v>IDB</v>
          </cell>
          <cell r="AA174" t="str">
            <v>GB 2017</v>
          </cell>
        </row>
        <row r="175">
          <cell r="N175" t="str">
            <v>Development of Imam Bonjol State Islamic Institute Project</v>
          </cell>
          <cell r="Y175">
            <v>38200000</v>
          </cell>
          <cell r="Z175" t="str">
            <v>IDB</v>
          </cell>
          <cell r="AA175" t="str">
            <v>GB 2017 (USD 38.200.000)</v>
          </cell>
        </row>
        <row r="176">
          <cell r="Y176">
            <v>110000</v>
          </cell>
          <cell r="Z176" t="str">
            <v>Belum Ada Indikasi</v>
          </cell>
          <cell r="AA176" t="str">
            <v>Belum proses</v>
          </cell>
        </row>
        <row r="177">
          <cell r="N177" t="str">
            <v>The Development of UIN Maulana Malik Ibrahim Malang - Phase II</v>
          </cell>
          <cell r="Y177">
            <v>59935500</v>
          </cell>
          <cell r="Z177" t="str">
            <v>SFD</v>
          </cell>
          <cell r="AA177" t="str">
            <v>Belum proses</v>
          </cell>
        </row>
        <row r="178">
          <cell r="N178" t="str">
            <v>The Development of Ar-Raniry State Islamic University (UIN Ar-Raniry) Phase II Project in Aceh</v>
          </cell>
          <cell r="Y178">
            <v>41328200</v>
          </cell>
          <cell r="Z178" t="str">
            <v>Belum Ada Indikasi</v>
          </cell>
        </row>
        <row r="179">
          <cell r="N179" t="str">
            <v>The Development and Upgrading of State Islamic University Sunan Gunung Djati, Bandung, Phase 2 Project</v>
          </cell>
          <cell r="Y179">
            <v>33442700</v>
          </cell>
          <cell r="Z179" t="str">
            <v>Belum Ada Indikasi</v>
          </cell>
          <cell r="AA179" t="str">
            <v>Belum proses</v>
          </cell>
        </row>
        <row r="180">
          <cell r="N180" t="str">
            <v>The Development of Faculty of Medicine - Health Sciences and Post Graduates of The Islamic State University of Alaudin, Makassar Project</v>
          </cell>
          <cell r="Y180">
            <v>41224500</v>
          </cell>
          <cell r="Z180" t="str">
            <v>Belum Ada Indikasi</v>
          </cell>
          <cell r="AA180" t="str">
            <v>Belum proses</v>
          </cell>
        </row>
        <row r="187">
          <cell r="L187" t="str">
            <v>Kementerian Kesehatan</v>
          </cell>
        </row>
        <row r="188">
          <cell r="L188" t="str">
            <v>A</v>
          </cell>
          <cell r="M188" t="str">
            <v>Program Pelayanan Kesehatan Dasar</v>
          </cell>
        </row>
        <row r="189">
          <cell r="N189" t="str">
            <v>Improvement of Primary Health Care</v>
          </cell>
          <cell r="Y189">
            <v>150000000</v>
          </cell>
          <cell r="Z189" t="str">
            <v>Bank Dunia</v>
          </cell>
          <cell r="AA189" t="str">
            <v>GB 2017 (USD 150 juta)</v>
          </cell>
        </row>
        <row r="190">
          <cell r="M190" t="str">
            <v>Program Pengembangan Sumber Daya Manusia Kesehatan</v>
          </cell>
        </row>
        <row r="191">
          <cell r="N191" t="str">
            <v>Improvement of Facilities and Infrastructure for Teaching and Learning Activities in Health Sector</v>
          </cell>
          <cell r="Y191">
            <v>240000000</v>
          </cell>
          <cell r="Z191" t="str">
            <v>IDB</v>
          </cell>
          <cell r="AA191" t="str">
            <v>Proses penyusunan FS</v>
          </cell>
          <cell r="AG191" t="str">
            <v>Terdapat perubahan institusi pelaksana menjadi Biro Perencanaan Kemenkes. (Sebelumnya BPPSDMK, untuk mempercepat proses sehingga diubah.)</v>
          </cell>
        </row>
        <row r="192">
          <cell r="M192" t="str">
            <v>Program Pengendalian Penyakit, Penyehatan Lingkungan, dan Penguatan Litbang Kesehatan</v>
          </cell>
        </row>
        <row r="193">
          <cell r="N193" t="str">
            <v>Improvement of Capacity on Disease Control, Environmental Health, and Strengthening Health’s Research and Development</v>
          </cell>
          <cell r="Y193">
            <v>100400000</v>
          </cell>
          <cell r="Z193" t="str">
            <v>Belum Ada Indikasi</v>
          </cell>
          <cell r="AA193" t="str">
            <v>Belum proses</v>
          </cell>
        </row>
        <row r="194">
          <cell r="M194" t="str">
            <v>Program Pelayanan Kesehatan Rujukan</v>
          </cell>
        </row>
        <row r="195">
          <cell r="N195" t="str">
            <v>Strengthening of National Referral Hospitals, Province Referral Hospital and Vertical Technical Units</v>
          </cell>
          <cell r="Y195">
            <v>250000000</v>
          </cell>
          <cell r="Z195" t="str">
            <v>IDB</v>
          </cell>
          <cell r="AA195" t="str">
            <v>Belum proses</v>
          </cell>
        </row>
        <row r="196">
          <cell r="Y196">
            <v>250000000</v>
          </cell>
          <cell r="Z196" t="str">
            <v>Belum Ada Indikasi</v>
          </cell>
          <cell r="AA196" t="str">
            <v>Belum proses</v>
          </cell>
        </row>
        <row r="197">
          <cell r="Y197">
            <v>755600000</v>
          </cell>
          <cell r="Z197" t="str">
            <v>Bank Dunia</v>
          </cell>
          <cell r="AA197" t="str">
            <v>Belum proses</v>
          </cell>
          <cell r="AG197" t="str">
            <v>- Kem. Kesehatan mengusulkan kegiatan I-SPHERE yang merupakan penggabungan ruang lingkup dari 2 program (USD 150 juta) yaitu
1. Basic Health Care Program
2. Health Services Referral Program
-Menggunakan skema pembiayaan PforR (Program for Result)</v>
          </cell>
        </row>
        <row r="198">
          <cell r="L198" t="str">
            <v>Pemprov. Aceh</v>
          </cell>
        </row>
        <row r="199">
          <cell r="L199" t="str">
            <v>A</v>
          </cell>
          <cell r="M199" t="str">
            <v>Program Pelayanan Kesehatan Rujukan</v>
          </cell>
        </row>
        <row r="200">
          <cell r="N200" t="str">
            <v>Reengineering and Improving The Hospital and Referral System in Selected Aceh Districts</v>
          </cell>
          <cell r="Y200">
            <v>106800000</v>
          </cell>
          <cell r="AA200" t="str">
            <v>Belum proses</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SI LENDER&amp;KESIAPAN JUMLAH"/>
      <sheetName val="PU-LAMA2"/>
      <sheetName val="PU-LAMA"/>
      <sheetName val="DATA"/>
      <sheetName val="ALL LAMA"/>
      <sheetName val="ALL-USD39.8M"/>
      <sheetName val="ALL-USD42.2M"/>
      <sheetName val="ALL-USD40.1M"/>
      <sheetName val="ALL-USD46M"/>
      <sheetName val="Signed 5,8M"/>
      <sheetName val="REKAP LENDER 2017"/>
      <sheetName val="SEKTOR SUMBER DAYA AIR"/>
      <sheetName val="REKAP SEKTOR"/>
      <sheetName val="JICA"/>
      <sheetName val="KOREA"/>
      <sheetName val="RRT"/>
      <sheetName val="EROPA"/>
      <sheetName val="BILA-LAIN"/>
      <sheetName val="BD"/>
      <sheetName val="ADB"/>
      <sheetName val="IDB"/>
      <sheetName val="MULTI-Lain"/>
      <sheetName val="NO LENDER"/>
      <sheetName val="Signed di Cek SK"/>
      <sheetName val="Sudah DK"/>
      <sheetName val="Sudah GB"/>
      <sheetName val="PROSES - sudah ada RC"/>
      <sheetName val="PROSES - penyusunan RC FS"/>
      <sheetName val="BELUM PROSES"/>
      <sheetName val="REKAP LENDER"/>
      <sheetName val="REKAP KL"/>
      <sheetName val="REKAP PROGRAM"/>
      <sheetName val="GB'15&amp;LA"/>
      <sheetName val="STATUS 1MAR'16 (2)"/>
      <sheetName val="ALL-2"/>
      <sheetName val="130 lama"/>
      <sheetName val="ALL-1"/>
      <sheetName val="PENJ.PERUBAHAN"/>
      <sheetName val="BU ANA"/>
      <sheetName val="ALL PENYIAPAN"/>
      <sheetName val="GB15"/>
      <sheetName val="2016&amp;GB15"/>
      <sheetName val="2015&amp;GB15"/>
      <sheetName val="002"/>
    </sheetNames>
    <sheetDataSet>
      <sheetData sheetId="0" refreshError="1"/>
      <sheetData sheetId="1" refreshError="1"/>
      <sheetData sheetId="2" refreshError="1"/>
      <sheetData sheetId="3" refreshError="1">
        <row r="2">
          <cell r="B2" t="str">
            <v>I</v>
          </cell>
          <cell r="D2" t="str">
            <v>INFRASTRUKTUR</v>
          </cell>
          <cell r="E2">
            <v>1</v>
          </cell>
          <cell r="F2" t="str">
            <v>Kementerian Pekerjaan Umum dan Perumahan Rakyat</v>
          </cell>
        </row>
        <row r="66">
          <cell r="T66">
            <v>700000000</v>
          </cell>
          <cell r="U66">
            <v>700000000</v>
          </cell>
          <cell r="V66">
            <v>70000000</v>
          </cell>
          <cell r="W66">
            <v>0</v>
          </cell>
        </row>
        <row r="67">
          <cell r="A67">
            <v>51</v>
          </cell>
          <cell r="B67">
            <v>0</v>
          </cell>
          <cell r="D67" t="str">
            <v>INFRASTRUKTUR</v>
          </cell>
          <cell r="E67">
            <v>1</v>
          </cell>
          <cell r="F67" t="str">
            <v>Kementerian Pekerjaan Umum dan Perumahan Rakyat</v>
          </cell>
          <cell r="H67" t="str">
            <v>Development and Management of Irrigation Program</v>
          </cell>
          <cell r="I67" t="str">
            <v>I</v>
          </cell>
          <cell r="J67" t="str">
            <v>Program Pengembangan dan Pengelolaan Irigasi</v>
          </cell>
          <cell r="K67">
            <v>1</v>
          </cell>
          <cell r="L67" t="str">
            <v>Integrated Participatory Development and Management of Irrigation Project - Phase I</v>
          </cell>
          <cell r="Y67" t="str">
            <v>ADB</v>
          </cell>
          <cell r="AA67">
            <v>600000000</v>
          </cell>
          <cell r="AM67" t="str">
            <v>2016; 2015</v>
          </cell>
          <cell r="AN67" t="str">
            <v>siap</v>
          </cell>
          <cell r="AO67" t="str">
            <v>belum ada keterangan</v>
          </cell>
          <cell r="AQ67">
            <v>0</v>
          </cell>
          <cell r="AR67" t="str">
            <v>-</v>
          </cell>
          <cell r="AT67">
            <v>600000000</v>
          </cell>
          <cell r="AU67" t="str">
            <v>ADB</v>
          </cell>
          <cell r="AW67" t="str">
            <v>-</v>
          </cell>
        </row>
        <row r="69">
          <cell r="V69">
            <v>50000000</v>
          </cell>
          <cell r="W69">
            <v>0</v>
          </cell>
        </row>
        <row r="70">
          <cell r="A70">
            <v>53</v>
          </cell>
          <cell r="B70">
            <v>0</v>
          </cell>
          <cell r="D70" t="str">
            <v>INFRASTRUKTUR</v>
          </cell>
          <cell r="E70">
            <v>1</v>
          </cell>
          <cell r="F70" t="str">
            <v>Kementerian Pekerjaan Umum dan Perumahan Rakyat</v>
          </cell>
          <cell r="H70" t="str">
            <v>Development and Management of Irrigation Program</v>
          </cell>
          <cell r="I70" t="str">
            <v>I</v>
          </cell>
          <cell r="J70" t="str">
            <v>Program Pengembangan dan Pengelolaan Irigasi</v>
          </cell>
          <cell r="K70">
            <v>1</v>
          </cell>
          <cell r="L70" t="str">
            <v>Integrated Participatory Development and Management of Irrigation Project - Phase II</v>
          </cell>
          <cell r="T70">
            <v>500000000</v>
          </cell>
          <cell r="U70">
            <v>500000000</v>
          </cell>
          <cell r="Y70" t="str">
            <v>ADB</v>
          </cell>
          <cell r="AA70">
            <v>500000000</v>
          </cell>
          <cell r="AM70">
            <v>0</v>
          </cell>
          <cell r="AN70" t="str">
            <v>belum ada keterangan</v>
          </cell>
          <cell r="AO70" t="str">
            <v>belum ada keterangan</v>
          </cell>
          <cell r="AQ70">
            <v>0</v>
          </cell>
          <cell r="AR70" t="str">
            <v>- untuk yang Phase II: belum ada penyiapan
- belum ada dokumen R/C</v>
          </cell>
          <cell r="AT70">
            <v>400000000</v>
          </cell>
          <cell r="AU70" t="str">
            <v>ADB</v>
          </cell>
          <cell r="AW70" t="str">
            <v>nilai kegiatan yang tercantum dalam COBP ADB sebesar USD 400 juta.</v>
          </cell>
        </row>
        <row r="71">
          <cell r="AM71">
            <v>0</v>
          </cell>
          <cell r="AQ71">
            <v>0</v>
          </cell>
          <cell r="AR71" t="str">
            <v>- untuk yang Phase II: belum ada penyiapan
- belum ada dokumen R/C</v>
          </cell>
          <cell r="AT71">
            <v>100000000</v>
          </cell>
          <cell r="AU71" t="str">
            <v>Belum Ada Indikasi</v>
          </cell>
          <cell r="AW71" t="str">
            <v>-</v>
          </cell>
        </row>
        <row r="72">
          <cell r="A72">
            <v>54</v>
          </cell>
          <cell r="B72">
            <v>0</v>
          </cell>
          <cell r="D72" t="str">
            <v>INFRASTRUKTUR</v>
          </cell>
          <cell r="E72">
            <v>1</v>
          </cell>
          <cell r="F72" t="str">
            <v>Kementerian Pekerjaan Umum dan Perumahan Rakyat</v>
          </cell>
          <cell r="H72" t="str">
            <v>Development and Management of Irrigation Program</v>
          </cell>
          <cell r="I72" t="str">
            <v>I</v>
          </cell>
          <cell r="J72" t="str">
            <v>Program Pengembangan dan Pengelolaan Irigasi</v>
          </cell>
          <cell r="K72">
            <v>2</v>
          </cell>
          <cell r="L72" t="str">
            <v>The Urgent Rehabilitation of Strategic Irrigation for Western Region of Indonesia</v>
          </cell>
          <cell r="T72">
            <v>195778000</v>
          </cell>
          <cell r="U72">
            <v>195778000</v>
          </cell>
          <cell r="Y72" t="str">
            <v>Korea</v>
          </cell>
          <cell r="AA72">
            <v>195778000</v>
          </cell>
          <cell r="AM72" t="str">
            <v>2016; 2015</v>
          </cell>
          <cell r="AN72" t="str">
            <v>belum ada keterangan</v>
          </cell>
          <cell r="AO72" t="str">
            <v>belum ada keterangan</v>
          </cell>
          <cell r="AQ72">
            <v>0</v>
          </cell>
          <cell r="AR72" t="str">
            <v>-</v>
          </cell>
          <cell r="AT72">
            <v>195778000</v>
          </cell>
          <cell r="AU72" t="str">
            <v>Korea</v>
          </cell>
          <cell r="AW72" t="str">
            <v>masuk rolling plan EDCF (Korea)</v>
          </cell>
        </row>
        <row r="75">
          <cell r="A75">
            <v>57</v>
          </cell>
          <cell r="B75">
            <v>0</v>
          </cell>
          <cell r="D75" t="str">
            <v>INFRASTRUKTUR</v>
          </cell>
          <cell r="E75">
            <v>1</v>
          </cell>
          <cell r="F75" t="str">
            <v>Kementerian Pekerjaan Umum dan Perumahan Rakyat</v>
          </cell>
          <cell r="H75" t="str">
            <v>Development and Management of Irrigation Program</v>
          </cell>
          <cell r="I75" t="str">
            <v>I</v>
          </cell>
          <cell r="J75" t="str">
            <v>Program Pengembangan dan Pengelolaan Irigasi</v>
          </cell>
          <cell r="K75">
            <v>5</v>
          </cell>
          <cell r="L75" t="str">
            <v>Irrigation Development in North Sumatera</v>
          </cell>
          <cell r="T75">
            <v>350000000</v>
          </cell>
          <cell r="U75">
            <v>350000000</v>
          </cell>
          <cell r="Y75" t="str">
            <v>ADB</v>
          </cell>
          <cell r="AA75">
            <v>350000000</v>
          </cell>
          <cell r="AM75">
            <v>0</v>
          </cell>
          <cell r="AN75" t="str">
            <v>dalam proses
(memiliki FS dan DED)</v>
          </cell>
          <cell r="AO75" t="str">
            <v>belum ada keterangan</v>
          </cell>
          <cell r="AQ75">
            <v>0</v>
          </cell>
          <cell r="AR75" t="str">
            <v>belum ada dokumen R/C</v>
          </cell>
          <cell r="AT75">
            <v>350000000</v>
          </cell>
          <cell r="AU75" t="str">
            <v>Belum Ada Indikasi</v>
          </cell>
          <cell r="AW75" t="str">
            <v>- usulan K/L lender: ADB
- tidak masuk COBP ADB</v>
          </cell>
        </row>
        <row r="76">
          <cell r="A76">
            <v>58</v>
          </cell>
          <cell r="B76">
            <v>0</v>
          </cell>
          <cell r="D76" t="str">
            <v>INFRASTRUKTUR</v>
          </cell>
          <cell r="E76">
            <v>1</v>
          </cell>
          <cell r="F76" t="str">
            <v>Kementerian Pekerjaan Umum dan Perumahan Rakyat</v>
          </cell>
          <cell r="H76" t="str">
            <v>Development and Management of Irrigation Program</v>
          </cell>
          <cell r="I76" t="str">
            <v>I</v>
          </cell>
          <cell r="J76" t="str">
            <v>Program Pengembangan dan Pengelolaan Irigasi</v>
          </cell>
          <cell r="K76">
            <v>6</v>
          </cell>
          <cell r="L76" t="str">
            <v>Integrated Participatory Development and Management of Lhok Guci and Peureulak Irrigation Project</v>
          </cell>
          <cell r="T76">
            <v>161298000</v>
          </cell>
          <cell r="U76">
            <v>161298000</v>
          </cell>
          <cell r="Y76" t="str">
            <v>ADB</v>
          </cell>
          <cell r="AA76">
            <v>161298000</v>
          </cell>
          <cell r="AM76">
            <v>0</v>
          </cell>
          <cell r="AN76" t="str">
            <v>dalam proses
(memiliki FS dan DED)</v>
          </cell>
          <cell r="AO76" t="str">
            <v>belum ada keterangan</v>
          </cell>
          <cell r="AQ76">
            <v>0</v>
          </cell>
          <cell r="AR76" t="str">
            <v>belum ada dokumen R/C</v>
          </cell>
          <cell r="AT76">
            <v>161298000</v>
          </cell>
          <cell r="AU76" t="str">
            <v>Belum Ada Indikasi</v>
          </cell>
          <cell r="AW76" t="str">
            <v>- usulan K/L lender: ADB
- tidak masuk COBP ADB</v>
          </cell>
        </row>
        <row r="77">
          <cell r="A77">
            <v>59</v>
          </cell>
          <cell r="B77">
            <v>0</v>
          </cell>
          <cell r="D77" t="str">
            <v>INFRASTRUKTUR</v>
          </cell>
          <cell r="E77">
            <v>1</v>
          </cell>
          <cell r="F77" t="str">
            <v>Kementerian Pekerjaan Umum dan Perumahan Rakyat</v>
          </cell>
          <cell r="H77" t="str">
            <v>Development and Management of Irrigation Program</v>
          </cell>
          <cell r="I77" t="str">
            <v>I</v>
          </cell>
          <cell r="J77" t="str">
            <v>Program Pengembangan dan Pengelolaan Irigasi</v>
          </cell>
          <cell r="K77">
            <v>7</v>
          </cell>
          <cell r="L77" t="str">
            <v>Modernization Strategic Irrigation Project (MSIP)</v>
          </cell>
          <cell r="T77">
            <v>278355000</v>
          </cell>
          <cell r="U77">
            <v>278355000</v>
          </cell>
          <cell r="Y77" t="str">
            <v>JICA</v>
          </cell>
          <cell r="AA77">
            <v>278355000</v>
          </cell>
          <cell r="AM77">
            <v>0</v>
          </cell>
          <cell r="AN77" t="str">
            <v>belum ada keterangan</v>
          </cell>
          <cell r="AO77" t="str">
            <v>belum ada keterangan</v>
          </cell>
          <cell r="AQ77">
            <v>0</v>
          </cell>
          <cell r="AR77" t="str">
            <v>belum ada dokumen R/C</v>
          </cell>
          <cell r="AT77">
            <v>278355000</v>
          </cell>
          <cell r="AU77" t="str">
            <v>JICA</v>
          </cell>
          <cell r="AW77" t="str">
            <v>-</v>
          </cell>
        </row>
        <row r="78">
          <cell r="A78">
            <v>60</v>
          </cell>
          <cell r="B78">
            <v>0</v>
          </cell>
          <cell r="D78" t="str">
            <v>INFRASTRUKTUR</v>
          </cell>
          <cell r="E78">
            <v>1</v>
          </cell>
          <cell r="F78" t="str">
            <v>Kementerian Pekerjaan Umum dan Perumahan Rakyat</v>
          </cell>
          <cell r="H78" t="str">
            <v>Development and Management of Irrigation Program</v>
          </cell>
          <cell r="I78" t="str">
            <v>I</v>
          </cell>
          <cell r="J78" t="str">
            <v>Program Pengembangan dan Pengelolaan Irigasi</v>
          </cell>
          <cell r="K78">
            <v>8</v>
          </cell>
          <cell r="L78" t="str">
            <v>Urgent Rehabilitation of  Irrigation Project in Indonesia (URIP)</v>
          </cell>
          <cell r="T78">
            <v>272100000</v>
          </cell>
          <cell r="U78">
            <v>272100000</v>
          </cell>
          <cell r="Y78" t="str">
            <v>Bank Dunia</v>
          </cell>
          <cell r="AA78">
            <v>272100000</v>
          </cell>
          <cell r="AM78">
            <v>0</v>
          </cell>
          <cell r="AN78" t="str">
            <v>belum ada keterangan</v>
          </cell>
          <cell r="AO78" t="str">
            <v>belum ada keterangan</v>
          </cell>
          <cell r="AQ78">
            <v>0</v>
          </cell>
          <cell r="AR78" t="str">
            <v>belum ada dokumen R/C</v>
          </cell>
          <cell r="AT78">
            <v>272100000</v>
          </cell>
          <cell r="AU78" t="str">
            <v>Bank Dunia</v>
          </cell>
          <cell r="AW78" t="str">
            <v>-</v>
          </cell>
        </row>
        <row r="79">
          <cell r="A79">
            <v>61</v>
          </cell>
          <cell r="B79">
            <v>0</v>
          </cell>
          <cell r="D79" t="str">
            <v>INFRASTRUKTUR</v>
          </cell>
          <cell r="E79">
            <v>1</v>
          </cell>
          <cell r="F79" t="str">
            <v>Kementerian Pekerjaan Umum dan Perumahan Rakyat</v>
          </cell>
          <cell r="H79" t="str">
            <v>Development and Management of Irrigation Program</v>
          </cell>
          <cell r="I79" t="str">
            <v>I</v>
          </cell>
          <cell r="J79" t="str">
            <v>Program Pengembangan dan Pengelolaan Irigasi</v>
          </cell>
          <cell r="K79">
            <v>9</v>
          </cell>
          <cell r="L79" t="str">
            <v>Revitalization Groundwater Irrigation in Indonesia</v>
          </cell>
          <cell r="T79">
            <v>100000000</v>
          </cell>
          <cell r="U79">
            <v>100000000</v>
          </cell>
          <cell r="Y79" t="str">
            <v>JICA</v>
          </cell>
          <cell r="AA79">
            <v>100000000</v>
          </cell>
          <cell r="AM79">
            <v>0</v>
          </cell>
          <cell r="AN79" t="str">
            <v>belum ada keterangan</v>
          </cell>
          <cell r="AO79" t="str">
            <v>belum ada keterangan</v>
          </cell>
          <cell r="AQ79">
            <v>0</v>
          </cell>
          <cell r="AR79" t="str">
            <v>belum ada dokumen R/C</v>
          </cell>
          <cell r="AT79">
            <v>100000000</v>
          </cell>
          <cell r="AU79" t="str">
            <v>JICA</v>
          </cell>
          <cell r="AW79" t="str">
            <v>-</v>
          </cell>
        </row>
        <row r="81">
          <cell r="A81">
            <v>63</v>
          </cell>
          <cell r="B81">
            <v>0</v>
          </cell>
          <cell r="D81" t="str">
            <v>INFRASTRUKTUR</v>
          </cell>
          <cell r="E81">
            <v>1</v>
          </cell>
          <cell r="F81" t="str">
            <v>Kementerian Pekerjaan Umum dan Perumahan Rakyat</v>
          </cell>
          <cell r="H81" t="str">
            <v>Provision and Management of Bulk Water Supply Program</v>
          </cell>
          <cell r="I81" t="str">
            <v>J</v>
          </cell>
          <cell r="J81" t="str">
            <v>Program Penyediaan dan Pengelolaan Air Baku</v>
          </cell>
          <cell r="K81">
            <v>1</v>
          </cell>
          <cell r="L81" t="str">
            <v>Integrated Citarum Water Resources Management Investment Program II</v>
          </cell>
          <cell r="T81">
            <v>200000000</v>
          </cell>
          <cell r="U81">
            <v>200000000</v>
          </cell>
          <cell r="V81">
            <v>20000000</v>
          </cell>
          <cell r="W81">
            <v>0</v>
          </cell>
          <cell r="Y81" t="str">
            <v>ADB</v>
          </cell>
          <cell r="AA81">
            <v>200000000</v>
          </cell>
          <cell r="AM81">
            <v>0</v>
          </cell>
          <cell r="AN81" t="str">
            <v>dalam proses
(memiliki FS dan DED)</v>
          </cell>
          <cell r="AO81" t="str">
            <v>dalam proses
(perencanaan)</v>
          </cell>
          <cell r="AQ81">
            <v>0</v>
          </cell>
          <cell r="AR81" t="str">
            <v>belum ada dokumen R/C</v>
          </cell>
          <cell r="AT81">
            <v>200000000</v>
          </cell>
          <cell r="AU81" t="str">
            <v>ADB</v>
          </cell>
          <cell r="AW81" t="str">
            <v>-</v>
          </cell>
        </row>
        <row r="82">
          <cell r="A82">
            <v>64</v>
          </cell>
          <cell r="B82">
            <v>0</v>
          </cell>
          <cell r="D82" t="str">
            <v>INFRASTRUKTUR</v>
          </cell>
          <cell r="E82">
            <v>1</v>
          </cell>
          <cell r="F82" t="str">
            <v>Kementerian Pekerjaan Umum dan Perumahan Rakyat</v>
          </cell>
          <cell r="H82" t="str">
            <v>Provision and Management of Bulk Water Supply Program</v>
          </cell>
          <cell r="I82" t="str">
            <v>I</v>
          </cell>
          <cell r="J82" t="str">
            <v>Program Penyediaan dan Pengelolaan Air Baku</v>
          </cell>
          <cell r="K82">
            <v>2</v>
          </cell>
          <cell r="L82" t="str">
            <v>Karian Dam-Serpong Water Conveyance and Supply System Project</v>
          </cell>
          <cell r="T82">
            <v>373862000</v>
          </cell>
          <cell r="U82">
            <v>373862000</v>
          </cell>
          <cell r="V82">
            <v>181074000</v>
          </cell>
          <cell r="W82">
            <v>0</v>
          </cell>
          <cell r="Y82" t="str">
            <v>Korea</v>
          </cell>
          <cell r="AA82">
            <v>373862000</v>
          </cell>
          <cell r="AM82">
            <v>0</v>
          </cell>
          <cell r="AN82" t="str">
            <v>dalam proses
(memiliki FS)</v>
          </cell>
          <cell r="AO82" t="str">
            <v>dalam proses
(perencanaan)</v>
          </cell>
          <cell r="AQ82">
            <v>0</v>
          </cell>
          <cell r="AR82" t="str">
            <v>belum ada dokumen R/C</v>
          </cell>
          <cell r="AT82">
            <v>373862000</v>
          </cell>
          <cell r="AU82" t="str">
            <v>Korea</v>
          </cell>
          <cell r="AW82" t="str">
            <v>masuk rolling plan EDCF (Korea)</v>
          </cell>
        </row>
        <row r="83">
          <cell r="A83">
            <v>65</v>
          </cell>
          <cell r="B83">
            <v>0</v>
          </cell>
          <cell r="D83" t="str">
            <v>INFRASTRUKTUR</v>
          </cell>
          <cell r="E83">
            <v>1</v>
          </cell>
          <cell r="F83" t="str">
            <v>Kementerian Pekerjaan Umum dan Perumahan Rakyat</v>
          </cell>
          <cell r="H83" t="str">
            <v>Provision and Management of Bulk Water Supply Program</v>
          </cell>
          <cell r="I83" t="str">
            <v>I</v>
          </cell>
          <cell r="J83" t="str">
            <v>Program Penyediaan dan Pengelolaan Air Baku</v>
          </cell>
          <cell r="K83">
            <v>3</v>
          </cell>
          <cell r="L83" t="str">
            <v>Engineering Service for Bulk Water and Water Supply Development Project</v>
          </cell>
          <cell r="T83">
            <v>50000000</v>
          </cell>
          <cell r="U83">
            <v>50000000</v>
          </cell>
          <cell r="V83">
            <v>0</v>
          </cell>
          <cell r="W83">
            <v>0</v>
          </cell>
          <cell r="Y83" t="str">
            <v>ADB</v>
          </cell>
          <cell r="AA83">
            <v>50000000</v>
          </cell>
          <cell r="AM83" t="str">
            <v>2016; 2015</v>
          </cell>
          <cell r="AN83" t="str">
            <v>siap</v>
          </cell>
          <cell r="AO83" t="str">
            <v>tidak butuh lahan</v>
          </cell>
          <cell r="AQ83">
            <v>0</v>
          </cell>
          <cell r="AR83" t="str">
            <v>- sudah GB 2016  
- Nilai pinjaman di GB USD 2.000 ribu</v>
          </cell>
          <cell r="AW83" t="str">
            <v>-</v>
          </cell>
        </row>
        <row r="84">
          <cell r="J84" t="str">
            <v>Program Pembangunan Waduk</v>
          </cell>
          <cell r="L84" t="str">
            <v>Jambo Aye Multipurpose Dam Project</v>
          </cell>
          <cell r="T84">
            <v>662200000</v>
          </cell>
          <cell r="U84">
            <v>662200000</v>
          </cell>
          <cell r="V84">
            <v>460700000</v>
          </cell>
          <cell r="W84">
            <v>0</v>
          </cell>
          <cell r="Y84" t="str">
            <v>Rupiah Murni</v>
          </cell>
          <cell r="AA84">
            <v>662200000</v>
          </cell>
          <cell r="AB84">
            <v>0</v>
          </cell>
          <cell r="AM84">
            <v>0</v>
          </cell>
          <cell r="AN84" t="str">
            <v>belum ada keterangan</v>
          </cell>
          <cell r="AO84" t="str">
            <v>dalam proses
(perencanaan)</v>
          </cell>
          <cell r="AQ84">
            <v>0</v>
          </cell>
          <cell r="AR84" t="str">
            <v>belum ada dokumen R/C</v>
          </cell>
          <cell r="AT84">
            <v>662200000</v>
          </cell>
          <cell r="AU84" t="str">
            <v>Belum Ada Indikasi</v>
          </cell>
          <cell r="AW84" t="str">
            <v>-</v>
          </cell>
        </row>
        <row r="85">
          <cell r="L85" t="str">
            <v>Komering Multipurpose Dam Project - Phase II</v>
          </cell>
          <cell r="T85">
            <v>200000000</v>
          </cell>
          <cell r="U85">
            <v>200000000</v>
          </cell>
          <cell r="V85">
            <v>20000000</v>
          </cell>
          <cell r="W85">
            <v>0</v>
          </cell>
          <cell r="Y85" t="str">
            <v>Rupiah Murni</v>
          </cell>
          <cell r="AA85">
            <v>200000000</v>
          </cell>
          <cell r="AM85">
            <v>0</v>
          </cell>
          <cell r="AN85" t="str">
            <v>dalam proses
(penyusunan FS)</v>
          </cell>
          <cell r="AO85" t="str">
            <v>dalam proses
(perencanaan)</v>
          </cell>
          <cell r="AQ85">
            <v>0</v>
          </cell>
          <cell r="AR85" t="str">
            <v>belum ada dokumen R/C</v>
          </cell>
          <cell r="AT85">
            <v>200000000</v>
          </cell>
          <cell r="AU85" t="str">
            <v>Belum Ada Indikasi</v>
          </cell>
          <cell r="AW85" t="str">
            <v>-</v>
          </cell>
        </row>
        <row r="86">
          <cell r="A86">
            <v>68</v>
          </cell>
          <cell r="B86">
            <v>0</v>
          </cell>
          <cell r="D86" t="str">
            <v>INFRASTRUKTUR</v>
          </cell>
          <cell r="E86">
            <v>1</v>
          </cell>
          <cell r="F86" t="str">
            <v>Kementerian Pekerjaan Umum dan Perumahan Rakyat</v>
          </cell>
          <cell r="H86" t="str">
            <v>Dam Development Program</v>
          </cell>
          <cell r="I86" t="str">
            <v>J</v>
          </cell>
          <cell r="J86" t="str">
            <v>Program Pembangunan Waduk</v>
          </cell>
          <cell r="K86">
            <v>3</v>
          </cell>
          <cell r="L86" t="str">
            <v>Pelosika Multipurpose Dam Construction Project</v>
          </cell>
          <cell r="T86">
            <v>200000000</v>
          </cell>
          <cell r="U86">
            <v>200000000</v>
          </cell>
          <cell r="V86">
            <v>170000000</v>
          </cell>
          <cell r="Y86" t="str">
            <v>Rupiah Murni</v>
          </cell>
          <cell r="AA86">
            <v>200000000</v>
          </cell>
          <cell r="AM86">
            <v>0</v>
          </cell>
          <cell r="AN86" t="str">
            <v>dalam proses
(penyusunan FS)</v>
          </cell>
          <cell r="AO86" t="str">
            <v>dalam proses
(perencanaan)</v>
          </cell>
          <cell r="AQ86">
            <v>0</v>
          </cell>
          <cell r="AR86" t="str">
            <v>belum ada dokumen R/C</v>
          </cell>
          <cell r="AT86">
            <v>200000000</v>
          </cell>
          <cell r="AU86" t="str">
            <v>RRT</v>
          </cell>
          <cell r="AW86" t="str">
            <v>-</v>
          </cell>
        </row>
        <row r="87">
          <cell r="A87">
            <v>69</v>
          </cell>
          <cell r="B87">
            <v>0</v>
          </cell>
          <cell r="D87" t="str">
            <v>INFRASTRUKTUR</v>
          </cell>
          <cell r="E87">
            <v>1</v>
          </cell>
          <cell r="F87" t="str">
            <v>Kementerian Pekerjaan Umum dan Perumahan Rakyat</v>
          </cell>
          <cell r="H87" t="str">
            <v>Dam Development Program</v>
          </cell>
          <cell r="I87" t="str">
            <v>J</v>
          </cell>
          <cell r="J87" t="str">
            <v>Program Pembangunan Waduk</v>
          </cell>
          <cell r="K87">
            <v>4</v>
          </cell>
          <cell r="L87" t="str">
            <v>Lambakan  Dam Project</v>
          </cell>
          <cell r="T87">
            <v>258000000</v>
          </cell>
          <cell r="U87">
            <v>258000000</v>
          </cell>
          <cell r="V87">
            <v>227000000</v>
          </cell>
          <cell r="Y87" t="str">
            <v>IDB</v>
          </cell>
          <cell r="AA87">
            <v>258000000</v>
          </cell>
          <cell r="AM87">
            <v>0</v>
          </cell>
          <cell r="AN87" t="str">
            <v>dalam proses
(penyusunan FS)</v>
          </cell>
          <cell r="AO87" t="str">
            <v>dalam proses
(perencanaan)</v>
          </cell>
          <cell r="AQ87">
            <v>0</v>
          </cell>
          <cell r="AR87" t="str">
            <v>belum ada dokumen R/C</v>
          </cell>
          <cell r="AT87">
            <v>258000000</v>
          </cell>
          <cell r="AU87" t="str">
            <v>IDB</v>
          </cell>
          <cell r="AW87" t="str">
            <v>-</v>
          </cell>
        </row>
        <row r="88">
          <cell r="A88">
            <v>70</v>
          </cell>
          <cell r="B88">
            <v>0</v>
          </cell>
          <cell r="D88" t="str">
            <v>INFRASTRUKTUR</v>
          </cell>
          <cell r="E88">
            <v>1</v>
          </cell>
          <cell r="F88" t="str">
            <v>Kementerian Pekerjaan Umum dan Perumahan Rakyat</v>
          </cell>
          <cell r="H88" t="str">
            <v>Dam Development Program</v>
          </cell>
          <cell r="I88" t="str">
            <v>J</v>
          </cell>
          <cell r="J88" t="str">
            <v>Program Pembangunan Waduk</v>
          </cell>
          <cell r="K88">
            <v>5</v>
          </cell>
          <cell r="L88" t="str">
            <v>Jenelata Dam Construction Project</v>
          </cell>
          <cell r="T88">
            <v>200000000</v>
          </cell>
          <cell r="U88">
            <v>200000000</v>
          </cell>
          <cell r="V88">
            <v>20000000</v>
          </cell>
          <cell r="Y88" t="str">
            <v>RRT</v>
          </cell>
          <cell r="AA88">
            <v>200000000</v>
          </cell>
          <cell r="AM88">
            <v>0</v>
          </cell>
          <cell r="AN88" t="str">
            <v>siap</v>
          </cell>
          <cell r="AO88" t="str">
            <v>dalam proses
(perencanaan)</v>
          </cell>
          <cell r="AQ88">
            <v>0</v>
          </cell>
          <cell r="AR88" t="str">
            <v>belum ada dokumen R/C</v>
          </cell>
          <cell r="AT88">
            <v>200000000</v>
          </cell>
          <cell r="AU88" t="str">
            <v>RRT</v>
          </cell>
          <cell r="AW88" t="str">
            <v>-</v>
          </cell>
        </row>
        <row r="89">
          <cell r="A89">
            <v>71</v>
          </cell>
          <cell r="B89">
            <v>0</v>
          </cell>
          <cell r="D89" t="str">
            <v>INFRASTRUKTUR</v>
          </cell>
          <cell r="E89">
            <v>1</v>
          </cell>
          <cell r="F89" t="str">
            <v>Kementerian Pekerjaan Umum dan Perumahan Rakyat</v>
          </cell>
          <cell r="H89" t="str">
            <v>Dam Development Program</v>
          </cell>
          <cell r="I89" t="str">
            <v>J</v>
          </cell>
          <cell r="J89" t="str">
            <v>Program Pembangunan Waduk</v>
          </cell>
          <cell r="K89">
            <v>6</v>
          </cell>
          <cell r="L89" t="str">
            <v>Bonehulu Dam Construction Project</v>
          </cell>
          <cell r="T89">
            <v>128250000</v>
          </cell>
          <cell r="U89">
            <v>128250000</v>
          </cell>
          <cell r="V89">
            <v>21000000</v>
          </cell>
          <cell r="Y89" t="str">
            <v>RRT</v>
          </cell>
          <cell r="AA89">
            <v>128250000</v>
          </cell>
          <cell r="AM89">
            <v>0</v>
          </cell>
          <cell r="AN89" t="str">
            <v>dalam proses
(penyusunan FS)</v>
          </cell>
          <cell r="AO89" t="str">
            <v>dalam proses
(perencanaan)</v>
          </cell>
          <cell r="AQ89">
            <v>0</v>
          </cell>
          <cell r="AR89" t="str">
            <v>belum ada dokumen R/C</v>
          </cell>
          <cell r="AT89">
            <v>128250000</v>
          </cell>
          <cell r="AU89" t="str">
            <v>RRT</v>
          </cell>
          <cell r="AW89" t="str">
            <v>-</v>
          </cell>
        </row>
        <row r="90">
          <cell r="A90">
            <v>72</v>
          </cell>
          <cell r="B90">
            <v>0</v>
          </cell>
          <cell r="D90" t="str">
            <v>INFRASTRUKTUR</v>
          </cell>
          <cell r="E90">
            <v>1</v>
          </cell>
          <cell r="F90" t="str">
            <v>Kementerian Pekerjaan Umum dan Perumahan Rakyat</v>
          </cell>
          <cell r="H90" t="str">
            <v>Dam Development Program</v>
          </cell>
          <cell r="I90" t="str">
            <v>J</v>
          </cell>
          <cell r="J90" t="str">
            <v>Program Pembangunan Waduk</v>
          </cell>
          <cell r="K90">
            <v>7</v>
          </cell>
          <cell r="L90" t="str">
            <v>Ladongi Dam Construction Project</v>
          </cell>
          <cell r="T90">
            <v>70000000</v>
          </cell>
          <cell r="U90">
            <v>70000000</v>
          </cell>
          <cell r="V90">
            <v>7000000</v>
          </cell>
          <cell r="Y90" t="str">
            <v>RRT</v>
          </cell>
          <cell r="AA90">
            <v>70000000</v>
          </cell>
          <cell r="AM90">
            <v>0</v>
          </cell>
          <cell r="AN90" t="str">
            <v>siap</v>
          </cell>
          <cell r="AO90" t="str">
            <v>dalam proses
(perencanaan)</v>
          </cell>
          <cell r="AQ90">
            <v>0</v>
          </cell>
          <cell r="AR90" t="str">
            <v>belum ada dokumen R/C</v>
          </cell>
          <cell r="AT90">
            <v>70000000</v>
          </cell>
          <cell r="AU90" t="str">
            <v>RRT</v>
          </cell>
          <cell r="AW90" t="str">
            <v>-</v>
          </cell>
        </row>
        <row r="91">
          <cell r="L91" t="str">
            <v>Kuwil Kawangkoan Dam Construction Project</v>
          </cell>
          <cell r="T91">
            <v>110000000</v>
          </cell>
          <cell r="U91">
            <v>110000000</v>
          </cell>
          <cell r="V91">
            <v>11000000</v>
          </cell>
          <cell r="W91">
            <v>0</v>
          </cell>
          <cell r="Y91" t="str">
            <v>Rupiah Murni</v>
          </cell>
          <cell r="AA91">
            <v>110000000</v>
          </cell>
          <cell r="AM91">
            <v>0</v>
          </cell>
          <cell r="AQ91">
            <v>0</v>
          </cell>
          <cell r="AR91" t="str">
            <v>belum ada dokumen R/C</v>
          </cell>
          <cell r="AT91">
            <v>110000000</v>
          </cell>
          <cell r="AU91" t="str">
            <v>Belum Ada Indikasi</v>
          </cell>
          <cell r="AW91" t="str">
            <v>-</v>
          </cell>
        </row>
        <row r="92">
          <cell r="A92">
            <v>74</v>
          </cell>
          <cell r="B92">
            <v>0</v>
          </cell>
          <cell r="D92" t="str">
            <v>INFRASTRUKTUR</v>
          </cell>
          <cell r="E92">
            <v>1</v>
          </cell>
          <cell r="F92" t="str">
            <v>Kementerian Pekerjaan Umum dan Perumahan Rakyat</v>
          </cell>
          <cell r="H92" t="str">
            <v>Dam Development Program</v>
          </cell>
          <cell r="I92" t="str">
            <v>J</v>
          </cell>
          <cell r="J92" t="str">
            <v>Program Pembangunan Waduk</v>
          </cell>
          <cell r="K92">
            <v>9</v>
          </cell>
          <cell r="L92" t="str">
            <v>Lompatan Harimau Dam Construction Project (Rokan Kiri Dam Construction Project)</v>
          </cell>
          <cell r="T92">
            <v>152100000</v>
          </cell>
          <cell r="U92">
            <v>152100000</v>
          </cell>
          <cell r="V92">
            <v>26500000</v>
          </cell>
          <cell r="W92">
            <v>0</v>
          </cell>
          <cell r="Y92" t="str">
            <v>RRT</v>
          </cell>
          <cell r="AA92">
            <v>152100000</v>
          </cell>
          <cell r="AM92">
            <v>0</v>
          </cell>
          <cell r="AN92" t="str">
            <v>dalam proses
(memiliki FS)</v>
          </cell>
          <cell r="AO92" t="str">
            <v>dalam proses
(perencanaan)</v>
          </cell>
          <cell r="AQ92">
            <v>0</v>
          </cell>
          <cell r="AR92" t="str">
            <v>belum ada dokumen R/C</v>
          </cell>
          <cell r="AT92">
            <v>152100000</v>
          </cell>
          <cell r="AU92" t="str">
            <v>RRT</v>
          </cell>
          <cell r="AW92" t="str">
            <v>-</v>
          </cell>
        </row>
        <row r="95">
          <cell r="Y95" t="str">
            <v>Korea</v>
          </cell>
          <cell r="AA95">
            <v>21678596</v>
          </cell>
          <cell r="AM95">
            <v>2016</v>
          </cell>
          <cell r="AQ95">
            <v>0</v>
          </cell>
          <cell r="AR95" t="str">
            <v>-</v>
          </cell>
          <cell r="AT95">
            <v>21678596</v>
          </cell>
          <cell r="AU95" t="str">
            <v>Korea</v>
          </cell>
          <cell r="AW95" t="str">
            <v>- co-financing dengan ADB (USD 1,9 juta) dan belum ada indikasi (USD 76,4 juta)
- masuk rolling plan EDCF (Korea)</v>
          </cell>
        </row>
        <row r="96">
          <cell r="Y96" t="str">
            <v>Belum Ada Indikasi</v>
          </cell>
          <cell r="AA96">
            <v>76391404</v>
          </cell>
          <cell r="AM96">
            <v>0</v>
          </cell>
          <cell r="AQ96">
            <v>0</v>
          </cell>
          <cell r="AR96" t="str">
            <v>belum ada dokumen R/C</v>
          </cell>
          <cell r="AT96">
            <v>76391404</v>
          </cell>
          <cell r="AU96" t="str">
            <v>Belum Ada Indikasi</v>
          </cell>
          <cell r="AW96" t="str">
            <v>co-financing dengan Korea (USD 21,7 juta) dan ADB (USD 1,9 juta)</v>
          </cell>
        </row>
        <row r="97">
          <cell r="A97">
            <v>76</v>
          </cell>
          <cell r="B97">
            <v>0</v>
          </cell>
          <cell r="D97" t="str">
            <v>INFRASTRUKTUR</v>
          </cell>
          <cell r="E97">
            <v>1</v>
          </cell>
          <cell r="F97" t="str">
            <v>Kementerian Pekerjaan Umum dan Perumahan Rakyat</v>
          </cell>
          <cell r="H97" t="str">
            <v>Dam Development Program</v>
          </cell>
          <cell r="I97" t="str">
            <v>J</v>
          </cell>
          <cell r="J97" t="str">
            <v>Program Pembangunan Waduk</v>
          </cell>
          <cell r="K97">
            <v>11</v>
          </cell>
          <cell r="L97" t="str">
            <v>Additional Loan for Jatigede Dam Project 2</v>
          </cell>
          <cell r="T97">
            <v>53200000</v>
          </cell>
          <cell r="U97">
            <v>53200000</v>
          </cell>
          <cell r="V97">
            <v>0</v>
          </cell>
          <cell r="W97">
            <v>0</v>
          </cell>
          <cell r="Y97" t="str">
            <v>RRT</v>
          </cell>
          <cell r="AA97">
            <v>53200000</v>
          </cell>
          <cell r="AM97">
            <v>2015</v>
          </cell>
          <cell r="AN97" t="str">
            <v>dalam proses
(memiliki FS dan DED)</v>
          </cell>
          <cell r="AO97" t="str">
            <v>dalam proses
(persiapan)</v>
          </cell>
          <cell r="AQ97">
            <v>0</v>
          </cell>
          <cell r="AR97" t="str">
            <v>-</v>
          </cell>
          <cell r="AT97">
            <v>53200000</v>
          </cell>
          <cell r="AU97" t="str">
            <v>RRT</v>
          </cell>
          <cell r="AW97" t="str">
            <v>-</v>
          </cell>
        </row>
        <row r="98">
          <cell r="A98">
            <v>77</v>
          </cell>
          <cell r="B98">
            <v>0</v>
          </cell>
          <cell r="D98" t="str">
            <v>INFRASTRUKTUR</v>
          </cell>
          <cell r="E98">
            <v>1</v>
          </cell>
          <cell r="F98" t="str">
            <v>Kementerian Pekerjaan Umum dan Perumahan Rakyat</v>
          </cell>
          <cell r="H98" t="str">
            <v>Mitigation of Water Hazards Program</v>
          </cell>
          <cell r="I98" t="str">
            <v>K</v>
          </cell>
          <cell r="J98" t="str">
            <v>Program Mitigasi Terhadap Daya Rusak Air</v>
          </cell>
          <cell r="K98">
            <v>1</v>
          </cell>
          <cell r="L98" t="str">
            <v>Lower Solo River Improvement Project - Phase II</v>
          </cell>
          <cell r="T98">
            <v>155836000</v>
          </cell>
          <cell r="U98">
            <v>155836000</v>
          </cell>
          <cell r="V98">
            <v>22500000</v>
          </cell>
          <cell r="W98">
            <v>0</v>
          </cell>
          <cell r="Y98" t="str">
            <v>JICA</v>
          </cell>
          <cell r="AA98">
            <v>155836000</v>
          </cell>
          <cell r="AM98">
            <v>0</v>
          </cell>
          <cell r="AN98" t="str">
            <v>siap</v>
          </cell>
          <cell r="AO98" t="str">
            <v>dalam proses
(perencanaan)</v>
          </cell>
          <cell r="AQ98">
            <v>0</v>
          </cell>
          <cell r="AR98" t="str">
            <v>belum ada dokumen R/C</v>
          </cell>
          <cell r="AT98">
            <v>155836000</v>
          </cell>
          <cell r="AU98" t="str">
            <v>JICA</v>
          </cell>
          <cell r="AW98" t="str">
            <v>-</v>
          </cell>
        </row>
        <row r="99">
          <cell r="A99">
            <v>78</v>
          </cell>
          <cell r="B99">
            <v>0</v>
          </cell>
          <cell r="D99" t="str">
            <v>INFRASTRUKTUR</v>
          </cell>
          <cell r="E99">
            <v>1</v>
          </cell>
          <cell r="F99" t="str">
            <v>Kementerian Pekerjaan Umum dan Perumahan Rakyat</v>
          </cell>
          <cell r="H99" t="str">
            <v>Mitigation of Water Hazards Program</v>
          </cell>
          <cell r="I99" t="str">
            <v>K</v>
          </cell>
          <cell r="J99" t="str">
            <v>Program Mitigasi Terhadap Daya Rusak Air</v>
          </cell>
          <cell r="K99">
            <v>2</v>
          </cell>
          <cell r="L99" t="str">
            <v>Comprehensive Countermeasure for Sediment &amp; Flood Problems in South Sulawesi Province</v>
          </cell>
          <cell r="T99">
            <v>108100000</v>
          </cell>
          <cell r="U99">
            <v>108100000</v>
          </cell>
          <cell r="V99">
            <v>3900000</v>
          </cell>
          <cell r="W99">
            <v>0</v>
          </cell>
          <cell r="Y99" t="str">
            <v>JICA</v>
          </cell>
          <cell r="AA99">
            <v>108100000</v>
          </cell>
          <cell r="AM99">
            <v>0</v>
          </cell>
          <cell r="AN99" t="str">
            <v>dalam proses
(memiliki FS dan DED)</v>
          </cell>
          <cell r="AO99" t="str">
            <v>belum ada keterangan</v>
          </cell>
          <cell r="AQ99">
            <v>0</v>
          </cell>
          <cell r="AR99" t="str">
            <v>belum ada dokumen R/C</v>
          </cell>
          <cell r="AT99">
            <v>108100000</v>
          </cell>
          <cell r="AU99" t="str">
            <v>JICA</v>
          </cell>
          <cell r="AW99" t="str">
            <v>-</v>
          </cell>
        </row>
        <row r="101">
          <cell r="A101">
            <v>80</v>
          </cell>
          <cell r="B101">
            <v>0</v>
          </cell>
          <cell r="D101" t="str">
            <v>INFRASTRUKTUR</v>
          </cell>
          <cell r="E101">
            <v>1</v>
          </cell>
          <cell r="F101" t="str">
            <v>Kementerian Pekerjaan Umum dan Perumahan Rakyat</v>
          </cell>
          <cell r="H101" t="str">
            <v>Mitigation of Water Hazards Program</v>
          </cell>
          <cell r="I101" t="str">
            <v>K</v>
          </cell>
          <cell r="J101" t="str">
            <v>Program Mitigasi Terhadap Daya Rusak Air</v>
          </cell>
          <cell r="K101">
            <v>4</v>
          </cell>
          <cell r="L101" t="str">
            <v>Urgent Disaster Reduction of Mt. Sinabung, Mt. Semeru, Mt. Kelud Mt. Lokon, and Mt. Gamalama</v>
          </cell>
          <cell r="T101">
            <v>260000000</v>
          </cell>
          <cell r="U101">
            <v>260000000</v>
          </cell>
          <cell r="V101">
            <v>26000000</v>
          </cell>
          <cell r="W101">
            <v>0</v>
          </cell>
          <cell r="Y101" t="str">
            <v>JICA</v>
          </cell>
          <cell r="AA101">
            <v>260000000</v>
          </cell>
          <cell r="AM101">
            <v>0</v>
          </cell>
          <cell r="AN101" t="str">
            <v>siap</v>
          </cell>
          <cell r="AO101" t="str">
            <v>dalam proses
(persiapan)</v>
          </cell>
          <cell r="AQ101">
            <v>0</v>
          </cell>
          <cell r="AR101" t="str">
            <v>belum ada dokumen R/C</v>
          </cell>
          <cell r="AT101">
            <v>260000000</v>
          </cell>
          <cell r="AU101" t="str">
            <v>JICA</v>
          </cell>
          <cell r="AW101" t="str">
            <v>-</v>
          </cell>
        </row>
        <row r="102">
          <cell r="A102">
            <v>81</v>
          </cell>
          <cell r="B102">
            <v>0</v>
          </cell>
          <cell r="D102" t="str">
            <v>INFRASTRUKTUR</v>
          </cell>
          <cell r="E102">
            <v>1</v>
          </cell>
          <cell r="F102" t="str">
            <v>Kementerian Pekerjaan Umum dan Perumahan Rakyat</v>
          </cell>
          <cell r="H102" t="str">
            <v>Mitigation of Water Hazards Program</v>
          </cell>
          <cell r="I102" t="str">
            <v>K</v>
          </cell>
          <cell r="J102" t="str">
            <v>Program Mitigasi Terhadap Daya Rusak Air</v>
          </cell>
          <cell r="K102">
            <v>5</v>
          </cell>
          <cell r="L102" t="str">
            <v>Urban Flood Control System Improvement in Selected Cities -Phase II</v>
          </cell>
          <cell r="T102">
            <v>120000000</v>
          </cell>
          <cell r="U102">
            <v>120000000</v>
          </cell>
          <cell r="V102">
            <v>12000000</v>
          </cell>
          <cell r="W102">
            <v>0</v>
          </cell>
          <cell r="Y102" t="str">
            <v>JICA</v>
          </cell>
          <cell r="AA102">
            <v>120000000</v>
          </cell>
          <cell r="AM102">
            <v>0</v>
          </cell>
          <cell r="AN102" t="str">
            <v>siap</v>
          </cell>
          <cell r="AO102" t="str">
            <v>dalam proses
(perencanaan)</v>
          </cell>
          <cell r="AQ102">
            <v>0</v>
          </cell>
          <cell r="AR102" t="str">
            <v>belum ada dokumen R/C</v>
          </cell>
          <cell r="AT102">
            <v>120000000</v>
          </cell>
          <cell r="AU102" t="str">
            <v>JICA</v>
          </cell>
          <cell r="AW102" t="str">
            <v>-</v>
          </cell>
        </row>
        <row r="104">
          <cell r="A104">
            <v>0</v>
          </cell>
          <cell r="B104">
            <v>0</v>
          </cell>
          <cell r="D104" t="str">
            <v>INFRASTRUKTUR</v>
          </cell>
          <cell r="E104">
            <v>1</v>
          </cell>
          <cell r="F104" t="str">
            <v>Kementerian Pekerjaan Umum dan Perumahan Rakyat</v>
          </cell>
          <cell r="H104" t="str">
            <v>Mitigation of Water Hazards Program</v>
          </cell>
          <cell r="I104" t="str">
            <v>K</v>
          </cell>
          <cell r="J104" t="str">
            <v>Program Mitigasi Terhadap Daya Rusak Air</v>
          </cell>
          <cell r="K104">
            <v>6</v>
          </cell>
        </row>
        <row r="105">
          <cell r="L105" t="str">
            <v>Engineering Service for Coastal and River Development Project</v>
          </cell>
          <cell r="T105">
            <v>50000000</v>
          </cell>
          <cell r="U105">
            <v>50000000</v>
          </cell>
          <cell r="Y105" t="str">
            <v>Korea</v>
          </cell>
          <cell r="AA105">
            <v>10500000</v>
          </cell>
          <cell r="AM105">
            <v>2016</v>
          </cell>
          <cell r="AN105" t="str">
            <v>siap</v>
          </cell>
          <cell r="AO105" t="str">
            <v>tidak butuh lahan</v>
          </cell>
          <cell r="AQ105">
            <v>0</v>
          </cell>
          <cell r="AR105" t="str">
            <v>-</v>
          </cell>
          <cell r="AT105">
            <v>10500000</v>
          </cell>
          <cell r="AU105" t="str">
            <v>Korea</v>
          </cell>
          <cell r="AW105" t="str">
            <v>- co-financing dengan ADB (USD 9,6 juta) dan belum ada indikasi (USD 29,9 juta)
- masuk rolling plan EDCF (Korea)</v>
          </cell>
        </row>
        <row r="106">
          <cell r="Y106" t="str">
            <v>Belum Ada Indikasi</v>
          </cell>
          <cell r="AA106">
            <v>29880000</v>
          </cell>
          <cell r="AM106" t="str">
            <v>-</v>
          </cell>
          <cell r="AN106" t="str">
            <v>belum ada keterangan</v>
          </cell>
          <cell r="AO106" t="str">
            <v>belum ada keterangan</v>
          </cell>
          <cell r="AQ106">
            <v>0</v>
          </cell>
          <cell r="AR106" t="str">
            <v>-</v>
          </cell>
          <cell r="AT106">
            <v>29880000</v>
          </cell>
          <cell r="AU106" t="str">
            <v>Belum Ada Indikasi</v>
          </cell>
          <cell r="AW106" t="str">
            <v>co-financing dengan Korea (USD 10,5 juta) dan ADB (USD 29,8 juta)</v>
          </cell>
        </row>
        <row r="108">
          <cell r="L108" t="str">
            <v>Flood Management in Selected River Basins Sector Project (Additional Financing)</v>
          </cell>
          <cell r="T108">
            <v>200000000</v>
          </cell>
          <cell r="U108">
            <v>200000000</v>
          </cell>
          <cell r="V108">
            <v>20000000</v>
          </cell>
          <cell r="W108">
            <v>0</v>
          </cell>
          <cell r="Y108" t="str">
            <v>Belum Ada Indikasi</v>
          </cell>
          <cell r="AA108">
            <v>200000000</v>
          </cell>
          <cell r="AM108">
            <v>0</v>
          </cell>
          <cell r="AN108" t="str">
            <v>belum ada keterangan</v>
          </cell>
          <cell r="AO108" t="str">
            <v>belum ada keterangan</v>
          </cell>
          <cell r="AQ108">
            <v>0</v>
          </cell>
          <cell r="AR108" t="str">
            <v>belum ada dokumen R/C</v>
          </cell>
          <cell r="AT108">
            <v>200000000</v>
          </cell>
          <cell r="AU108" t="str">
            <v>ADB</v>
          </cell>
          <cell r="AW108" t="str">
            <v>sudah masuk COBP ADB</v>
          </cell>
        </row>
        <row r="110">
          <cell r="J110" t="str">
            <v>Program Pengelolaan Infrastruktur Sumber Daya Air</v>
          </cell>
        </row>
        <row r="113">
          <cell r="A113">
            <v>86</v>
          </cell>
          <cell r="B113">
            <v>0</v>
          </cell>
          <cell r="D113" t="str">
            <v>INFRASTRUKTUR</v>
          </cell>
          <cell r="E113">
            <v>1</v>
          </cell>
          <cell r="F113" t="str">
            <v>Kementerian Pekerjaan Umum dan Perumahan Rakyat</v>
          </cell>
          <cell r="H113" t="str">
            <v>Management of Water Resources Infrastructure Program</v>
          </cell>
          <cell r="I113" t="str">
            <v>L</v>
          </cell>
          <cell r="J113" t="str">
            <v>Program Pengelolaan Infrastruktur Sumber Daya Air</v>
          </cell>
          <cell r="K113">
            <v>2</v>
          </cell>
          <cell r="L113" t="str">
            <v>Enhanced Water Security Investment Program</v>
          </cell>
          <cell r="T113">
            <v>350000000</v>
          </cell>
          <cell r="U113">
            <v>350000000</v>
          </cell>
          <cell r="V113">
            <v>70000000</v>
          </cell>
          <cell r="W113">
            <v>0</v>
          </cell>
          <cell r="Y113" t="str">
            <v>ADB</v>
          </cell>
          <cell r="AA113">
            <v>350000000</v>
          </cell>
          <cell r="AM113">
            <v>0</v>
          </cell>
          <cell r="AN113" t="str">
            <v>belum ada keterangan</v>
          </cell>
          <cell r="AO113" t="str">
            <v>belum ada keterangan</v>
          </cell>
          <cell r="AQ113">
            <v>0</v>
          </cell>
          <cell r="AR113" t="str">
            <v>belum ada dokumen R/C</v>
          </cell>
          <cell r="AT113">
            <v>350000000</v>
          </cell>
          <cell r="AU113" t="str">
            <v>ADB</v>
          </cell>
          <cell r="AW113" t="str">
            <v>-</v>
          </cell>
        </row>
        <row r="114">
          <cell r="A114">
            <v>87</v>
          </cell>
          <cell r="B114">
            <v>0</v>
          </cell>
          <cell r="D114" t="str">
            <v>INFRASTRUKTUR</v>
          </cell>
          <cell r="E114">
            <v>1</v>
          </cell>
          <cell r="F114" t="str">
            <v>Kementerian Pekerjaan Umum dan Perumahan Rakyat</v>
          </cell>
          <cell r="H114" t="str">
            <v>Management of Water Resources Infrastructure Program</v>
          </cell>
          <cell r="I114" t="str">
            <v>L</v>
          </cell>
          <cell r="J114" t="str">
            <v>Program Pengelolaan Infrastruktur Sumber Daya Air</v>
          </cell>
          <cell r="K114">
            <v>3</v>
          </cell>
          <cell r="L114" t="str">
            <v>Engineering Service for Water Resources Infrastructure Management</v>
          </cell>
          <cell r="T114">
            <v>50000000</v>
          </cell>
          <cell r="U114">
            <v>50000000</v>
          </cell>
          <cell r="V114">
            <v>10000000</v>
          </cell>
          <cell r="W114">
            <v>0</v>
          </cell>
          <cell r="Y114" t="str">
            <v>Belum Ada Indikasi</v>
          </cell>
          <cell r="AA114">
            <v>50000000</v>
          </cell>
          <cell r="AM114">
            <v>0</v>
          </cell>
          <cell r="AN114" t="str">
            <v>siap</v>
          </cell>
          <cell r="AO114" t="str">
            <v>tidak butuh lahan</v>
          </cell>
          <cell r="AQ114">
            <v>0</v>
          </cell>
          <cell r="AR114" t="str">
            <v>belum ada dokumen R/C</v>
          </cell>
          <cell r="AT114">
            <v>50000000</v>
          </cell>
          <cell r="AU114" t="str">
            <v>ADB</v>
          </cell>
          <cell r="AW114" t="str">
            <v>sudah masuk COBP ADB</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SI LENDER&amp;KESIAPAN JUMLAH"/>
      <sheetName val="PU-LAMA2"/>
      <sheetName val="PU-LAMA"/>
      <sheetName val="DATA"/>
      <sheetName val="ALL LAMA"/>
      <sheetName val="ALL-USD39.8M"/>
      <sheetName val="ALL-USD42.2M"/>
      <sheetName val="ALL-USD40.1M"/>
      <sheetName val="ALL-USD46M"/>
      <sheetName val="Signed 5,8M"/>
      <sheetName val="REKAP LENDER 2017"/>
      <sheetName val="SEKTOR ENERGI"/>
      <sheetName val="SEKTOR SUMBER DAYA AIR"/>
      <sheetName val="SEKTOR JALAN"/>
      <sheetName val="REKAP SEKTOR"/>
      <sheetName val="JICA"/>
      <sheetName val="KOREA"/>
      <sheetName val="RRT"/>
      <sheetName val="EROPA"/>
      <sheetName val="BILA-LAIN"/>
      <sheetName val="BD"/>
      <sheetName val="ADB"/>
      <sheetName val="IDB"/>
      <sheetName val="MULTI-Lain"/>
      <sheetName val="NO LENDER"/>
      <sheetName val="Signed di Cek SK"/>
      <sheetName val="Sudah DK"/>
      <sheetName val="Sudah GB"/>
      <sheetName val="PROSES - sudah ada RC"/>
      <sheetName val="PROSES - penyusunan RC FS"/>
      <sheetName val="BELUM PROSES"/>
      <sheetName val="REKAP LENDER"/>
      <sheetName val="REKAP KL"/>
      <sheetName val="REKAP PROGRAM"/>
      <sheetName val="GB'15&amp;LA"/>
      <sheetName val="STATUS 1MAR'16 (2)"/>
      <sheetName val="ALL-2"/>
      <sheetName val="130 lama"/>
      <sheetName val="ALL-1"/>
      <sheetName val="PENJ.PERUBAHAN"/>
      <sheetName val="BU ANA"/>
      <sheetName val="ALL PENYIAPAN"/>
      <sheetName val="GB15"/>
      <sheetName val="2016&amp;GB15"/>
      <sheetName val="2015&amp;GB15"/>
    </sheetNames>
    <sheetDataSet>
      <sheetData sheetId="0"/>
      <sheetData sheetId="1"/>
      <sheetData sheetId="2"/>
      <sheetData sheetId="3">
        <row r="2">
          <cell r="B2" t="str">
            <v>I</v>
          </cell>
          <cell r="D2" t="str">
            <v>INFRASTRUKTUR</v>
          </cell>
          <cell r="E2">
            <v>1</v>
          </cell>
          <cell r="F2" t="str">
            <v>Kementerian Pekerjaan Umum dan Perumahan Rakyat</v>
          </cell>
          <cell r="I2" t="str">
            <v>A</v>
          </cell>
          <cell r="J2" t="str">
            <v>Program Pembangunan Jalan Tol</v>
          </cell>
          <cell r="L2" t="str">
            <v>Toll Road Development in Kalimantan, Sumatera, and Java Islands</v>
          </cell>
          <cell r="T2">
            <v>1250000000</v>
          </cell>
          <cell r="U2">
            <v>1250000000</v>
          </cell>
          <cell r="V2">
            <v>101250000</v>
          </cell>
          <cell r="AA2">
            <v>1250000000</v>
          </cell>
        </row>
        <row r="3">
          <cell r="A3">
            <v>1</v>
          </cell>
          <cell r="D3" t="str">
            <v>INFRASTRUKTUR</v>
          </cell>
          <cell r="E3">
            <v>1</v>
          </cell>
          <cell r="F3" t="str">
            <v>Kementerian Pekerjaan Umum dan Perumahan Rakyat</v>
          </cell>
          <cell r="H3" t="str">
            <v>Toll Road Development Program</v>
          </cell>
          <cell r="I3" t="str">
            <v>A</v>
          </cell>
          <cell r="J3" t="str">
            <v>Program Pembangunan Jalan Tol</v>
          </cell>
          <cell r="K3">
            <v>1</v>
          </cell>
          <cell r="W3">
            <v>0</v>
          </cell>
          <cell r="Y3" t="str">
            <v>RRT</v>
          </cell>
          <cell r="AM3" t="str">
            <v>-</v>
          </cell>
          <cell r="AN3" t="str">
            <v>siap</v>
          </cell>
          <cell r="AO3" t="str">
            <v>dalam proses
(pelaksanaan &lt; 50%)</v>
          </cell>
          <cell r="AQ3" t="str">
            <v>-</v>
          </cell>
          <cell r="AR3" t="str">
            <v>belum ada dokumen R/C</v>
          </cell>
          <cell r="AT3">
            <v>1000000000</v>
          </cell>
          <cell r="AU3" t="str">
            <v>RRT</v>
          </cell>
          <cell r="AW3" t="str">
            <v>co-financing dengan Korea (USD 250 juta)</v>
          </cell>
        </row>
        <row r="4">
          <cell r="A4">
            <v>2</v>
          </cell>
          <cell r="D4" t="str">
            <v>INFRASTRUKTUR</v>
          </cell>
          <cell r="E4">
            <v>1</v>
          </cell>
          <cell r="F4" t="str">
            <v>Kementerian Pekerjaan Umum dan Perumahan Rakyat</v>
          </cell>
          <cell r="H4" t="str">
            <v>Toll Road Development Program</v>
          </cell>
          <cell r="I4" t="str">
            <v>A</v>
          </cell>
          <cell r="J4" t="str">
            <v>Program Pembangunan Jalan Tol</v>
          </cell>
          <cell r="K4">
            <v>1</v>
          </cell>
          <cell r="Y4" t="str">
            <v>Korea</v>
          </cell>
          <cell r="AT4">
            <v>250000000</v>
          </cell>
          <cell r="AU4" t="str">
            <v>Korea</v>
          </cell>
          <cell r="AW4" t="str">
            <v>- co-financing dengan RRT (USD 1 Miliar) 
- belum masuk rolling plan EDCF (Korea)</v>
          </cell>
        </row>
        <row r="10">
          <cell r="A10">
            <v>8</v>
          </cell>
          <cell r="D10" t="str">
            <v>INFRASTRUKTUR</v>
          </cell>
          <cell r="E10">
            <v>1</v>
          </cell>
          <cell r="F10" t="str">
            <v>Kementerian Pekerjaan Umum dan Perumahan Rakyat</v>
          </cell>
          <cell r="H10" t="str">
            <v>Development and Improvement of National Bridges Program</v>
          </cell>
          <cell r="I10" t="str">
            <v>B</v>
          </cell>
          <cell r="J10" t="str">
            <v>Program Pembangunan / Peningkatan Jembatan</v>
          </cell>
          <cell r="K10">
            <v>1</v>
          </cell>
          <cell r="L10" t="str">
            <v>Material Procurement for Construction and Bridge Rehabilitation</v>
          </cell>
          <cell r="T10">
            <v>450000000</v>
          </cell>
          <cell r="U10">
            <v>450000000</v>
          </cell>
          <cell r="V10">
            <v>0</v>
          </cell>
          <cell r="W10">
            <v>0</v>
          </cell>
          <cell r="Y10" t="str">
            <v>Spanyol/RRT</v>
          </cell>
          <cell r="AA10">
            <v>450000000</v>
          </cell>
          <cell r="AN10" t="str">
            <v>belum ada keterangan</v>
          </cell>
          <cell r="AO10" t="str">
            <v>belum ada keterangan</v>
          </cell>
          <cell r="AR10" t="str">
            <v>belum ada dokumen R/C</v>
          </cell>
          <cell r="AT10">
            <v>450000000</v>
          </cell>
          <cell r="AU10" t="str">
            <v>Spanyol/RRT</v>
          </cell>
          <cell r="AW10" t="str">
            <v>- Spanyol berminat mendanai sebagian (USD 50-100 juta), tetapi setelah permasalahan proyek LIPI selesai.
- RRT belum ada keputusan.</v>
          </cell>
        </row>
        <row r="11">
          <cell r="A11">
            <v>9</v>
          </cell>
          <cell r="D11" t="str">
            <v>INFRASTRUKTUR</v>
          </cell>
          <cell r="E11">
            <v>1</v>
          </cell>
          <cell r="F11" t="str">
            <v>Kementerian Pekerjaan Umum dan Perumahan Rakyat</v>
          </cell>
          <cell r="H11" t="str">
            <v>Development and Improvement of National Bridges Program</v>
          </cell>
          <cell r="I11" t="str">
            <v>B</v>
          </cell>
          <cell r="J11" t="str">
            <v>Program Pembangunan / Peningkatan Jembatan</v>
          </cell>
          <cell r="K11">
            <v>2</v>
          </cell>
          <cell r="L11" t="str">
            <v>Development of Fly Over/ Under Pass for Railways Crossing</v>
          </cell>
          <cell r="T11">
            <v>250000000</v>
          </cell>
          <cell r="U11">
            <v>250000000</v>
          </cell>
          <cell r="V11">
            <v>50000000</v>
          </cell>
          <cell r="W11">
            <v>0</v>
          </cell>
          <cell r="Y11" t="str">
            <v>JICA</v>
          </cell>
          <cell r="AA11">
            <v>250000000</v>
          </cell>
          <cell r="AN11" t="str">
            <v>dalam proses
(penyusunan FS)</v>
          </cell>
          <cell r="AO11" t="str">
            <v>belum ada keterangan</v>
          </cell>
          <cell r="AR11" t="str">
            <v>belum ada dokumen R/C</v>
          </cell>
          <cell r="AT11">
            <v>250000000</v>
          </cell>
          <cell r="AU11" t="str">
            <v>JICA</v>
          </cell>
          <cell r="AW11" t="str">
            <v>-</v>
          </cell>
        </row>
        <row r="12">
          <cell r="A12">
            <v>10</v>
          </cell>
          <cell r="D12" t="str">
            <v>INFRASTRUKTUR</v>
          </cell>
          <cell r="E12">
            <v>1</v>
          </cell>
          <cell r="F12" t="str">
            <v>Kementerian Pekerjaan Umum dan Perumahan Rakyat</v>
          </cell>
          <cell r="H12" t="str">
            <v>Development and Improvement of National Bridges Program</v>
          </cell>
          <cell r="I12" t="str">
            <v>B</v>
          </cell>
          <cell r="J12" t="str">
            <v>Program Pembangunan / Peningkatan Jembatan</v>
          </cell>
          <cell r="K12">
            <v>3</v>
          </cell>
          <cell r="L12" t="str">
            <v>Development of Fly Over/ Under Pass in Major Cities</v>
          </cell>
          <cell r="T12">
            <v>270000000</v>
          </cell>
          <cell r="U12">
            <v>270000000</v>
          </cell>
          <cell r="V12">
            <v>50000000</v>
          </cell>
          <cell r="W12">
            <v>0</v>
          </cell>
          <cell r="Y12" t="str">
            <v>JICA</v>
          </cell>
          <cell r="AA12">
            <v>270000000</v>
          </cell>
          <cell r="AN12" t="str">
            <v>dalam proses
 (penyusunan FS)</v>
          </cell>
          <cell r="AO12" t="str">
            <v>belum ada keterangan</v>
          </cell>
          <cell r="AR12" t="str">
            <v>belum ada dokumen R/C</v>
          </cell>
          <cell r="AT12">
            <v>270000000</v>
          </cell>
          <cell r="AU12" t="str">
            <v>JICA</v>
          </cell>
          <cell r="AW12" t="str">
            <v>-</v>
          </cell>
        </row>
        <row r="13">
          <cell r="A13">
            <v>11</v>
          </cell>
          <cell r="D13" t="str">
            <v>INFRASTRUKTUR</v>
          </cell>
          <cell r="E13">
            <v>1</v>
          </cell>
          <cell r="F13" t="str">
            <v>Kementerian Pekerjaan Umum dan Perumahan Rakyat</v>
          </cell>
          <cell r="H13" t="str">
            <v>Development and Improvement of National Bridges Program</v>
          </cell>
          <cell r="I13" t="str">
            <v>B</v>
          </cell>
          <cell r="J13" t="str">
            <v>Program Pembangunan / Peningkatan Jembatan</v>
          </cell>
          <cell r="K13">
            <v>4</v>
          </cell>
          <cell r="L13" t="str">
            <v>Balinka - Matur - Ngarai Sianok Tunnel Construction</v>
          </cell>
          <cell r="T13">
            <v>175000000</v>
          </cell>
          <cell r="U13">
            <v>175000000</v>
          </cell>
          <cell r="V13">
            <v>8750000</v>
          </cell>
          <cell r="W13">
            <v>0</v>
          </cell>
          <cell r="Y13" t="str">
            <v>Korea/RRT</v>
          </cell>
          <cell r="AA13">
            <v>175000000</v>
          </cell>
          <cell r="AN13" t="str">
            <v>dalam proses
(memiliki FS dan DED)</v>
          </cell>
          <cell r="AO13" t="str">
            <v>belum ada keterangan</v>
          </cell>
          <cell r="AR13" t="str">
            <v>belum ada dokumen R/C</v>
          </cell>
          <cell r="AT13">
            <v>175000000</v>
          </cell>
          <cell r="AU13" t="str">
            <v>Korea/RRT</v>
          </cell>
          <cell r="AW13" t="str">
            <v>- RRT dan Korea belum ada keputusan</v>
          </cell>
        </row>
        <row r="14">
          <cell r="A14">
            <v>12</v>
          </cell>
          <cell r="D14" t="str">
            <v>INFRASTRUKTUR</v>
          </cell>
          <cell r="E14">
            <v>1</v>
          </cell>
          <cell r="F14" t="str">
            <v>Kementerian Pekerjaan Umum dan Perumahan Rakyat</v>
          </cell>
          <cell r="H14" t="str">
            <v>Development and Improvement of National Bridges Program</v>
          </cell>
          <cell r="I14" t="str">
            <v>B</v>
          </cell>
          <cell r="J14" t="str">
            <v>Program Pembangunan / Peningkatan Jembatan</v>
          </cell>
          <cell r="K14">
            <v>5</v>
          </cell>
          <cell r="L14" t="str">
            <v>Long Span Bridge Development for Selected Area</v>
          </cell>
          <cell r="T14">
            <v>355000000</v>
          </cell>
          <cell r="U14">
            <v>355000000</v>
          </cell>
          <cell r="V14">
            <v>17750000</v>
          </cell>
          <cell r="W14">
            <v>0</v>
          </cell>
          <cell r="Y14" t="str">
            <v>Korea/RRT</v>
          </cell>
          <cell r="AA14">
            <v>355000000</v>
          </cell>
          <cell r="AN14" t="str">
            <v>belum ada keterangan</v>
          </cell>
          <cell r="AO14" t="str">
            <v>belum ada keterangan</v>
          </cell>
          <cell r="AR14" t="str">
            <v>belum ada dokumen R/C</v>
          </cell>
          <cell r="AT14">
            <v>355000000</v>
          </cell>
          <cell r="AU14" t="str">
            <v>Korea/RRT</v>
          </cell>
          <cell r="AW14" t="str">
            <v>- RRT dan Korea belum ada keputusan</v>
          </cell>
        </row>
        <row r="15">
          <cell r="I15" t="str">
            <v>C</v>
          </cell>
          <cell r="L15" t="str">
            <v>Urban Arterial Road Improvement Project</v>
          </cell>
          <cell r="T15">
            <v>250000000</v>
          </cell>
          <cell r="U15">
            <v>205000000</v>
          </cell>
          <cell r="V15">
            <v>50000000</v>
          </cell>
          <cell r="W15">
            <v>0</v>
          </cell>
          <cell r="Y15" t="str">
            <v>JICA</v>
          </cell>
          <cell r="AA15">
            <v>205000000</v>
          </cell>
          <cell r="AN15" t="str">
            <v>siap</v>
          </cell>
          <cell r="AO15" t="str">
            <v>belum ada keterangan</v>
          </cell>
          <cell r="AR15" t="str">
            <v>- nilai proyek berkurang USD 45 juta, dialihkan untuk kegiatan ESP
- belum ada dokumen R/C</v>
          </cell>
          <cell r="AT15">
            <v>205000000</v>
          </cell>
          <cell r="AU15" t="str">
            <v>JICA</v>
          </cell>
          <cell r="AW15" t="str">
            <v>-</v>
          </cell>
        </row>
        <row r="16">
          <cell r="J16" t="str">
            <v>Program Pembangunan / Peningkatan Jalan</v>
          </cell>
        </row>
        <row r="17">
          <cell r="A17">
            <v>15</v>
          </cell>
          <cell r="D17" t="str">
            <v>INFRASTRUKTUR</v>
          </cell>
          <cell r="E17">
            <v>1</v>
          </cell>
          <cell r="F17" t="str">
            <v>Kementerian Pekerjaan Umum dan Perumahan Rakyat</v>
          </cell>
          <cell r="H17" t="str">
            <v>Development and Improvement of National Roads Program</v>
          </cell>
          <cell r="I17" t="str">
            <v>C</v>
          </cell>
          <cell r="J17" t="str">
            <v>Program Pembangunan / Peningkatan Jalan</v>
          </cell>
          <cell r="K17">
            <v>3</v>
          </cell>
          <cell r="L17" t="str">
            <v>Road Improvement Project to Support Integrated Land and Sea Toll Way - Northern Area</v>
          </cell>
          <cell r="T17">
            <v>250000000</v>
          </cell>
          <cell r="U17">
            <v>250000000</v>
          </cell>
          <cell r="V17">
            <v>50000000</v>
          </cell>
          <cell r="W17">
            <v>0</v>
          </cell>
          <cell r="Y17" t="str">
            <v>Bank Dunia</v>
          </cell>
          <cell r="AA17">
            <v>250000000</v>
          </cell>
          <cell r="AN17" t="str">
            <v>belum ada keterangan</v>
          </cell>
          <cell r="AO17" t="str">
            <v>belum ada keterangan</v>
          </cell>
          <cell r="AR17" t="str">
            <v>belum ada dokumen R/C</v>
          </cell>
          <cell r="AT17">
            <v>250000000</v>
          </cell>
          <cell r="AU17" t="str">
            <v>Bank Dunia</v>
          </cell>
          <cell r="AW17" t="str">
            <v>-</v>
          </cell>
        </row>
        <row r="18">
          <cell r="A18">
            <v>16</v>
          </cell>
          <cell r="D18" t="str">
            <v>INFRASTRUKTUR</v>
          </cell>
          <cell r="E18">
            <v>1</v>
          </cell>
          <cell r="F18" t="str">
            <v>Kementerian Pekerjaan Umum dan Perumahan Rakyat</v>
          </cell>
          <cell r="H18" t="str">
            <v>Development and Improvement of National Roads Program</v>
          </cell>
          <cell r="I18" t="str">
            <v>C</v>
          </cell>
          <cell r="J18" t="str">
            <v>Program Pembangunan / Peningkatan Jalan</v>
          </cell>
          <cell r="K18">
            <v>4</v>
          </cell>
          <cell r="L18" t="str">
            <v>Road Improvement Project to Support Integrated Land and Sea Toll Way - Southern Area</v>
          </cell>
          <cell r="T18">
            <v>250000000</v>
          </cell>
          <cell r="U18">
            <v>250000000</v>
          </cell>
          <cell r="V18">
            <v>50000000</v>
          </cell>
          <cell r="W18">
            <v>0</v>
          </cell>
          <cell r="Y18" t="str">
            <v>Bank Dunia/ADB</v>
          </cell>
          <cell r="AA18">
            <v>250000000</v>
          </cell>
          <cell r="AN18" t="str">
            <v>belum ada keterangan</v>
          </cell>
          <cell r="AO18" t="str">
            <v>belum ada keterangan</v>
          </cell>
          <cell r="AR18" t="str">
            <v>belum ada dokumen R/C</v>
          </cell>
          <cell r="AT18">
            <v>250000000</v>
          </cell>
          <cell r="AU18" t="str">
            <v>Bank Dunia</v>
          </cell>
          <cell r="AW18" t="str">
            <v>- usulan K/L lender: Bank Dunia/ADB. 
- Hanya Bank Dunia saja yang berminat.</v>
          </cell>
        </row>
        <row r="19">
          <cell r="A19">
            <v>17</v>
          </cell>
          <cell r="D19" t="str">
            <v>INFRASTRUKTUR</v>
          </cell>
          <cell r="E19">
            <v>1</v>
          </cell>
          <cell r="F19" t="str">
            <v>Kementerian Pekerjaan Umum dan Perumahan Rakyat</v>
          </cell>
          <cell r="H19" t="str">
            <v>Development and Improvement of National Roads Program</v>
          </cell>
          <cell r="I19" t="str">
            <v>C</v>
          </cell>
          <cell r="J19" t="str">
            <v>Program Pembangunan / Peningkatan Jalan</v>
          </cell>
          <cell r="K19">
            <v>5</v>
          </cell>
          <cell r="L19" t="str">
            <v>National Road Improvement in West and South Kalimantan</v>
          </cell>
          <cell r="T19">
            <v>250000000</v>
          </cell>
          <cell r="U19">
            <v>250000000</v>
          </cell>
          <cell r="V19">
            <v>50000000</v>
          </cell>
          <cell r="W19">
            <v>0</v>
          </cell>
          <cell r="Y19" t="str">
            <v>IDB</v>
          </cell>
          <cell r="AA19">
            <v>250000000</v>
          </cell>
          <cell r="AN19" t="str">
            <v>belum ada keterangan</v>
          </cell>
          <cell r="AO19" t="str">
            <v>belum ada keterangan</v>
          </cell>
          <cell r="AR19" t="str">
            <v>belum ada dokumen R/C</v>
          </cell>
          <cell r="AT19">
            <v>250000000</v>
          </cell>
          <cell r="AU19" t="str">
            <v>IDB</v>
          </cell>
          <cell r="AW19" t="str">
            <v>-</v>
          </cell>
        </row>
        <row r="20">
          <cell r="A20">
            <v>18</v>
          </cell>
          <cell r="D20" t="str">
            <v>INFRASTRUKTUR</v>
          </cell>
          <cell r="E20">
            <v>1</v>
          </cell>
          <cell r="F20" t="str">
            <v>Kementerian Pekerjaan Umum dan Perumahan Rakyat</v>
          </cell>
          <cell r="H20" t="str">
            <v>Development and Improvement of National Roads Program</v>
          </cell>
          <cell r="I20" t="str">
            <v>C</v>
          </cell>
          <cell r="J20" t="str">
            <v>Program Pembangunan / Peningkatan Jalan</v>
          </cell>
          <cell r="K20">
            <v>6</v>
          </cell>
          <cell r="L20" t="str">
            <v>National Road Improvement in Central Kalimantan</v>
          </cell>
          <cell r="T20">
            <v>250000000</v>
          </cell>
          <cell r="V20">
            <v>50000000</v>
          </cell>
          <cell r="W20">
            <v>0</v>
          </cell>
          <cell r="Y20" t="str">
            <v>Bank Dunia/ADB</v>
          </cell>
          <cell r="AA20">
            <v>250000000</v>
          </cell>
          <cell r="AN20" t="str">
            <v>siap</v>
          </cell>
          <cell r="AO20" t="str">
            <v>belum ada keterangan</v>
          </cell>
          <cell r="AR20" t="str">
            <v>belum ada dokumen R/C</v>
          </cell>
          <cell r="AT20">
            <v>250000000</v>
          </cell>
          <cell r="AU20" t="str">
            <v>Belum Ada Indikasi</v>
          </cell>
          <cell r="AW20" t="str">
            <v>usulan K/L lender: Bank Dunia/ADB. Kedua calon lender tidak berminat mendanai proyek ini.</v>
          </cell>
        </row>
        <row r="21">
          <cell r="A21">
            <v>19</v>
          </cell>
          <cell r="D21" t="str">
            <v>INFRASTRUKTUR</v>
          </cell>
          <cell r="E21">
            <v>1</v>
          </cell>
          <cell r="F21" t="str">
            <v>Kementerian Pekerjaan Umum dan Perumahan Rakyat</v>
          </cell>
          <cell r="H21" t="str">
            <v>Development and Improvement of National Roads Program</v>
          </cell>
          <cell r="I21" t="str">
            <v>C</v>
          </cell>
          <cell r="J21" t="str">
            <v>Program Pembangunan / Peningkatan Jalan</v>
          </cell>
          <cell r="K21">
            <v>7</v>
          </cell>
          <cell r="L21" t="str">
            <v>National Road Improvement in North and East Kalimantan</v>
          </cell>
          <cell r="T21">
            <v>250000000</v>
          </cell>
          <cell r="U21">
            <v>250000000</v>
          </cell>
          <cell r="V21">
            <v>50000000</v>
          </cell>
          <cell r="W21">
            <v>0</v>
          </cell>
          <cell r="Y21" t="str">
            <v>IDB</v>
          </cell>
          <cell r="AA21">
            <v>250000000</v>
          </cell>
          <cell r="AN21" t="str">
            <v>siap</v>
          </cell>
          <cell r="AO21" t="str">
            <v>belum ada keterangan</v>
          </cell>
          <cell r="AR21" t="str">
            <v>belum ada dokumen R/C</v>
          </cell>
          <cell r="AT21">
            <v>250000000</v>
          </cell>
          <cell r="AU21" t="str">
            <v>AIIB</v>
          </cell>
          <cell r="AW21" t="str">
            <v>- usulan K/L semula lender: IDB. 
- Pihak IDB tidak berminat mendanai kegiatan ini, diusulkan kepada AIIB.</v>
          </cell>
        </row>
        <row r="22">
          <cell r="A22">
            <v>20</v>
          </cell>
          <cell r="D22" t="str">
            <v>INFRASTRUKTUR</v>
          </cell>
          <cell r="E22">
            <v>1</v>
          </cell>
          <cell r="F22" t="str">
            <v>Kementerian Pekerjaan Umum dan Perumahan Rakyat</v>
          </cell>
          <cell r="H22" t="str">
            <v>Development and Improvement of National Roads Program</v>
          </cell>
          <cell r="I22" t="str">
            <v>C</v>
          </cell>
          <cell r="J22" t="str">
            <v>Program Pembangunan / Peningkatan Jalan</v>
          </cell>
          <cell r="K22">
            <v>8</v>
          </cell>
          <cell r="L22" t="str">
            <v>Road Improvement Project in Sulawesi Island and Major Cities</v>
          </cell>
          <cell r="T22">
            <v>250000000</v>
          </cell>
          <cell r="U22">
            <v>250000000</v>
          </cell>
          <cell r="V22">
            <v>50000000</v>
          </cell>
          <cell r="W22">
            <v>0</v>
          </cell>
          <cell r="Y22" t="str">
            <v>IDB</v>
          </cell>
          <cell r="AA22">
            <v>250000000</v>
          </cell>
          <cell r="AN22" t="str">
            <v>siap</v>
          </cell>
          <cell r="AO22" t="str">
            <v>belum ada keterangan</v>
          </cell>
          <cell r="AR22" t="str">
            <v>belum ada dokumen R/C</v>
          </cell>
          <cell r="AT22">
            <v>250000000</v>
          </cell>
          <cell r="AU22" t="str">
            <v>IDB</v>
          </cell>
          <cell r="AW22" t="str">
            <v>-</v>
          </cell>
        </row>
        <row r="152">
          <cell r="L152" t="str">
            <v>Development and Improvement of Lampung Provincial Roads Project</v>
          </cell>
          <cell r="T152">
            <v>0</v>
          </cell>
          <cell r="U152">
            <v>225000000</v>
          </cell>
          <cell r="V152">
            <v>0</v>
          </cell>
          <cell r="W152">
            <v>0</v>
          </cell>
          <cell r="Y152" t="str">
            <v>Belum Ada Indikasi</v>
          </cell>
          <cell r="AA152">
            <v>225000000</v>
          </cell>
          <cell r="AN152" t="str">
            <v>belum ada keterangan</v>
          </cell>
          <cell r="AO152" t="str">
            <v>belum ada keterangan</v>
          </cell>
          <cell r="AR152" t="str">
            <v>belum ada dokumen R/C</v>
          </cell>
          <cell r="AT152">
            <v>225000000</v>
          </cell>
          <cell r="AU152" t="str">
            <v>Belum Ada Indikasi</v>
          </cell>
        </row>
        <row r="161">
          <cell r="I161" t="str">
            <v>A</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SI LENDER&amp;KESIAPAN JUMLAH"/>
      <sheetName val="PU-LAMA2"/>
      <sheetName val="PU-LAMA"/>
      <sheetName val="DATA"/>
      <sheetName val="ALL LAMA"/>
      <sheetName val="ALL-USD39.8M"/>
      <sheetName val="ALL-USD42.2M"/>
      <sheetName val="ALL-USD46M"/>
      <sheetName val="Signed 5,8M"/>
      <sheetName val="REKAP LENDER 2017"/>
      <sheetName val="JICA"/>
      <sheetName val="KOREA"/>
      <sheetName val="RRT"/>
      <sheetName val="EROPA"/>
      <sheetName val="BILA-LAIN"/>
      <sheetName val="BD"/>
      <sheetName val="ADB"/>
      <sheetName val="IDB"/>
      <sheetName val="MULTI-Lain"/>
      <sheetName val="NO LENDER"/>
      <sheetName val="Signed di Cek SK"/>
      <sheetName val="Sudah DK"/>
      <sheetName val="Sudah GB"/>
      <sheetName val="PROSES - sudah ada RC"/>
      <sheetName val="PROSES - penyusunan RC FS"/>
      <sheetName val="BELUM PROSES"/>
      <sheetName val="REKAP LENDER"/>
      <sheetName val="REKAP KL"/>
      <sheetName val="ALL-USD40.1M"/>
      <sheetName val="REKAP PROGRAM"/>
      <sheetName val="GB'15&amp;LA"/>
      <sheetName val="STATUS 1MAR'16 (2)"/>
      <sheetName val="ALL-2"/>
      <sheetName val="130 lama"/>
      <sheetName val="ALL-1"/>
      <sheetName val="PENJ.PERUBAHAN"/>
      <sheetName val="BU ANA"/>
      <sheetName val="ALL PENYIAPAN"/>
      <sheetName val="GB15"/>
      <sheetName val="2016&amp;GB15"/>
      <sheetName val="2015&amp;GB15"/>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10">
          <cell r="Q10">
            <v>101250000</v>
          </cell>
          <cell r="Y10">
            <v>1250000000</v>
          </cell>
        </row>
        <row r="14">
          <cell r="Q14">
            <v>126500000</v>
          </cell>
          <cell r="Y14">
            <v>1500000000</v>
          </cell>
        </row>
        <row r="20">
          <cell r="Q20">
            <v>350000000</v>
          </cell>
          <cell r="Y20">
            <v>1705000000</v>
          </cell>
        </row>
        <row r="29">
          <cell r="Q29">
            <v>43634000</v>
          </cell>
          <cell r="Y29">
            <v>796300000</v>
          </cell>
        </row>
        <row r="42">
          <cell r="Q42">
            <v>179150000</v>
          </cell>
          <cell r="Y42">
            <v>3557800000</v>
          </cell>
        </row>
        <row r="53">
          <cell r="Q53">
            <v>12500000</v>
          </cell>
          <cell r="Y53">
            <v>250000000</v>
          </cell>
        </row>
        <row r="56">
          <cell r="Q56">
            <v>128105000</v>
          </cell>
          <cell r="Y56">
            <v>2851980000</v>
          </cell>
        </row>
        <row r="61">
          <cell r="Q61">
            <v>25000000</v>
          </cell>
          <cell r="Y61">
            <v>225000000</v>
          </cell>
        </row>
        <row r="64">
          <cell r="Q64">
            <v>345149500</v>
          </cell>
          <cell r="Y64">
            <v>2519431000</v>
          </cell>
        </row>
        <row r="75">
          <cell r="Q75">
            <v>201074000</v>
          </cell>
          <cell r="Y75">
            <v>621862000</v>
          </cell>
        </row>
        <row r="79">
          <cell r="Q79">
            <v>963200000</v>
          </cell>
          <cell r="Y79">
            <v>2131820000</v>
          </cell>
        </row>
        <row r="92">
          <cell r="Q92">
            <v>84400000</v>
          </cell>
          <cell r="Y92">
            <v>884316000</v>
          </cell>
        </row>
        <row r="100">
          <cell r="Q100">
            <v>80000000</v>
          </cell>
          <cell r="Y100">
            <v>400000000</v>
          </cell>
        </row>
        <row r="103">
          <cell r="Q103">
            <v>40000000</v>
          </cell>
          <cell r="Y103">
            <v>296000000</v>
          </cell>
        </row>
        <row r="105">
          <cell r="Q105">
            <v>0</v>
          </cell>
          <cell r="Y105">
            <v>450000000</v>
          </cell>
        </row>
        <row r="108">
          <cell r="Q108">
            <v>20000000</v>
          </cell>
          <cell r="Y108">
            <v>200000000</v>
          </cell>
        </row>
        <row r="111">
          <cell r="Q111">
            <v>876537700</v>
          </cell>
          <cell r="Y111">
            <v>7326239900</v>
          </cell>
        </row>
        <row r="120">
          <cell r="Q120">
            <v>602300000</v>
          </cell>
          <cell r="Y120">
            <v>1987373100</v>
          </cell>
        </row>
        <row r="127">
          <cell r="Q127">
            <v>61000000</v>
          </cell>
          <cell r="Y127">
            <v>556000000</v>
          </cell>
        </row>
        <row r="131">
          <cell r="Q131">
            <v>3500000</v>
          </cell>
          <cell r="Y131">
            <v>20000000</v>
          </cell>
        </row>
        <row r="134">
          <cell r="Q134">
            <v>843000000</v>
          </cell>
          <cell r="Y134">
            <v>4271000000</v>
          </cell>
        </row>
        <row r="145">
          <cell r="Q145">
            <v>106510000</v>
          </cell>
          <cell r="Y145">
            <v>61600000</v>
          </cell>
        </row>
        <row r="148">
          <cell r="Q148">
            <v>0</v>
          </cell>
          <cell r="Y148">
            <v>225000000</v>
          </cell>
        </row>
        <row r="151">
          <cell r="Q151">
            <v>0</v>
          </cell>
          <cell r="Y151">
            <v>600000000</v>
          </cell>
        </row>
        <row r="157">
          <cell r="Q157">
            <v>38932400</v>
          </cell>
          <cell r="Y157">
            <v>350397600</v>
          </cell>
        </row>
        <row r="168">
          <cell r="Q168">
            <v>60851400</v>
          </cell>
          <cell r="Y168">
            <v>414140900</v>
          </cell>
        </row>
        <row r="182">
          <cell r="Q182">
            <v>0</v>
          </cell>
          <cell r="Y182">
            <v>300000000</v>
          </cell>
        </row>
        <row r="185">
          <cell r="Q185">
            <v>0</v>
          </cell>
          <cell r="Y185">
            <v>25000000</v>
          </cell>
        </row>
        <row r="188">
          <cell r="Q188">
            <v>15000000</v>
          </cell>
          <cell r="Y188">
            <v>150000000</v>
          </cell>
        </row>
        <row r="190">
          <cell r="Q190">
            <v>24000000</v>
          </cell>
          <cell r="Y190">
            <v>240000000</v>
          </cell>
        </row>
        <row r="192">
          <cell r="Q192">
            <v>10040000</v>
          </cell>
          <cell r="Y192">
            <v>100400000</v>
          </cell>
        </row>
        <row r="194">
          <cell r="Q194">
            <v>125560000</v>
          </cell>
          <cell r="Y194">
            <v>1255600000</v>
          </cell>
        </row>
        <row r="199">
          <cell r="Q199">
            <v>10700000</v>
          </cell>
          <cell r="Y199">
            <v>106800000</v>
          </cell>
        </row>
        <row r="202">
          <cell r="Q202">
            <v>134684300</v>
          </cell>
          <cell r="Y202">
            <v>1346842600</v>
          </cell>
        </row>
        <row r="207">
          <cell r="Q207">
            <v>19780000</v>
          </cell>
          <cell r="Y207">
            <v>98900000</v>
          </cell>
        </row>
        <row r="211">
          <cell r="Q211">
            <v>2500000</v>
          </cell>
          <cell r="Y211">
            <v>92308000</v>
          </cell>
        </row>
        <row r="214">
          <cell r="Q214">
            <v>4261000</v>
          </cell>
          <cell r="Y214">
            <v>107000000</v>
          </cell>
        </row>
        <row r="217">
          <cell r="Q217">
            <v>0</v>
          </cell>
          <cell r="Y217">
            <v>290000000</v>
          </cell>
        </row>
        <row r="225">
          <cell r="Q225">
            <v>9000000</v>
          </cell>
        </row>
        <row r="226">
          <cell r="Y226">
            <v>150000000</v>
          </cell>
        </row>
        <row r="230">
          <cell r="Q230">
            <v>17200000</v>
          </cell>
          <cell r="Y230">
            <v>114400000</v>
          </cell>
        </row>
        <row r="233">
          <cell r="Q233">
            <v>0</v>
          </cell>
          <cell r="Y233">
            <v>200000000</v>
          </cell>
        </row>
        <row r="236">
          <cell r="Q236">
            <v>2950000</v>
          </cell>
          <cell r="Y236">
            <v>107950000</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tables/table1.xml><?xml version="1.0" encoding="utf-8"?>
<table xmlns="http://schemas.openxmlformats.org/spreadsheetml/2006/main" id="1" name="BB" displayName="BB" ref="A1:BA210" totalsRowCount="1">
  <autoFilter ref="A1:BA209">
    <filterColumn colId="6">
      <filters>
        <filter val="Ditjen. Bina Marga"/>
      </filters>
    </filterColumn>
  </autoFilter>
  <tableColumns count="53">
    <tableColumn id="1" name="ID"/>
    <tableColumn id="2" name="ID BIDANG"/>
    <tableColumn id="3" name="BB"/>
    <tableColumn id="4" name="BIDANG"/>
    <tableColumn id="5" name="ID INSTANSI"/>
    <tableColumn id="6" name="INSTANSI"/>
    <tableColumn id="7" name="Column1"/>
    <tableColumn id="8" name="PROGRAM EN"/>
    <tableColumn id="9" name="NO PROGRAM"/>
    <tableColumn id="10" name="PROGRAM IN"/>
    <tableColumn id="11" name="ID PROYEK"/>
    <tableColumn id="12" name="PROYEK"/>
    <tableColumn id="13" name="JLH BAGI2"/>
    <tableColumn id="14" name="JLH PROYEK KEG/SUB"/>
    <tableColumn id="15" name="JLH PROYEK ANAK"/>
    <tableColumn id="16" name="JLH PROYEK REVISI"/>
    <tableColumn id="17" name="JLH PROYEK 2"/>
    <tableColumn id="18" name="JLH PROYEK BB"/>
    <tableColumn id="19" name="ID URUT DI BB"/>
    <tableColumn id="20" name="NILAI PINJAMAN DALAM BB" totalsRowFunction="sum"/>
    <tableColumn id="21" name="NILAI PINJAMAN DALAM BB (PERUBAHAN)" totalsRowFunction="sum"/>
    <tableColumn id="22" name="PENDAMPING BB"/>
    <tableColumn id="23" name="HIBAH BB"/>
    <tableColumn id="24" name="TOTAL BB">
      <calculatedColumnFormula>BB[[#This Row],[NILAI PINJAMAN DALAM BB (PERUBAHAN)]]+BB[[#This Row],[PENDAMPING BB]]+BB[[#This Row],[HIBAH BB]]</calculatedColumnFormula>
    </tableColumn>
    <tableColumn id="25" name="INDIKASI LENDER KONFIRMASI K/L"/>
    <tableColumn id="26" name="BILA-MULTI"/>
    <tableColumn id="27" name="NILAI PINJAMAN PER LENDER">
      <calculatedColumnFormula>BB[[#This Row],[NILAI PINJAMAN DALAM BB (PERUBAHAN)]]</calculatedColumnFormula>
    </tableColumn>
    <tableColumn id="28" name="MASUK GB15"/>
    <tableColumn id="29" name="NILAI GB 2015"/>
    <tableColumn id="30" name="NILAI PINJAMAN DI LOAN AGREEMENT"/>
    <tableColumn id="31" name="NILAI PINJAMAN YANG DIBATALKAN"/>
    <tableColumn id="32" name="SELESIH NILAI PINJAMAN TERSISA"/>
    <tableColumn id="33" name="SELISIH"/>
    <tableColumn id="34" name="PERKIRAAN TAHUN MULAI"/>
    <tableColumn id="35" name="STATUS KESIAPAN - PERENCANAAN (KONFIRMASI K/L)"/>
    <tableColumn id="36" name="STATUS KESIAPAN - PENYIAPAN (KONFIRMASI K/L)"/>
    <tableColumn id="37" name=" STATUS KESIAPAN - LAHAN (KONFIRMASI K/L) "/>
    <tableColumn id="38" name=" STATUS KESIAPAN - TENDER/LELANG (KONFIRMASI K/L)   "/>
    <tableColumn id="39" name="GREEN BOOK"/>
    <tableColumn id="40" name="STATUS KESIAPAN - PENYIAPAN (CATATAN PENDANAAN)"/>
    <tableColumn id="41" name="STATUS KESIAPAN - LAHAN (CATATAN PENDANAAN)"/>
    <tableColumn id="42" name="STATUS KESIAPAN - TENDER/LELANG (CATATAN PENDANAAN)"/>
    <tableColumn id="43" name="TANGGAL TTD LA"/>
    <tableColumn id="44" name="KETERANGAN STATUS KESIAPAN"/>
    <tableColumn id="45" name="STATUS 2017 (INA)2"/>
    <tableColumn id="46" name="NILAI PINJAMAN KONFIRMASI BILA-MULTI" totalsRowFunction="sum">
      <calculatedColumnFormula>BB[[#This Row],[NILAI PINJAMAN PER LENDER]]</calculatedColumnFormula>
    </tableColumn>
    <tableColumn id="47" name="INDIKASI LENDER KONFIRMASI BILA-MULTI" totalsRowFunction="sum"/>
    <tableColumn id="48" name="NILAI PINJAMAN REVISI BB 2015-2019" totalsRowFunction="sum">
      <calculatedColumnFormula>BB[[#This Row],[NILAI PINJAMAN KONFIRMASI BILA-MULTI]]</calculatedColumnFormula>
    </tableColumn>
    <tableColumn id="49" name="KETERANGAN KONFIRMASI BILA-MULTI"/>
    <tableColumn id="50" name="BILA-MULTI2"/>
    <tableColumn id="51" name="KETERANGAN KONFIRMASI K/L"/>
    <tableColumn id="52" name="CATATAN MULTI"/>
    <tableColumn id="53" name="RINGKASAN"/>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B1:AD213"/>
  <sheetViews>
    <sheetView zoomScale="70" zoomScaleNormal="70" workbookViewId="0">
      <pane ySplit="7" topLeftCell="A62" activePane="bottomLeft" state="frozen"/>
      <selection pane="bottomLeft" activeCell="K68" sqref="K68"/>
    </sheetView>
  </sheetViews>
  <sheetFormatPr defaultColWidth="9.140625" defaultRowHeight="15"/>
  <cols>
    <col min="1" max="1" width="9.140625" style="2674"/>
    <col min="2" max="2" width="3.7109375" style="2674" hidden="1" customWidth="1"/>
    <col min="3" max="5" width="3.7109375" style="2675" hidden="1" customWidth="1"/>
    <col min="6" max="6" width="85.7109375" style="2676" hidden="1" customWidth="1"/>
    <col min="7" max="10" width="3.7109375" style="2676" customWidth="1"/>
    <col min="11" max="11" width="66.28515625" style="2676" customWidth="1"/>
    <col min="12" max="12" width="19.140625" style="2677" customWidth="1"/>
    <col min="13" max="13" width="18.5703125" style="2678" hidden="1" customWidth="1"/>
    <col min="14" max="14" width="14.28515625" style="2679" hidden="1" customWidth="1"/>
    <col min="15" max="15" width="19.42578125" style="2680" customWidth="1"/>
    <col min="16" max="16" width="16.140625" style="2681" customWidth="1"/>
    <col min="17" max="17" width="20.140625" style="2682" customWidth="1"/>
    <col min="18" max="18" width="18.5703125" style="2680" hidden="1" customWidth="1"/>
    <col min="19" max="19" width="22.140625" style="2680" customWidth="1"/>
    <col min="20" max="20" width="24.85546875" style="2680" customWidth="1"/>
    <col min="21" max="21" width="22.7109375" style="2680" customWidth="1"/>
    <col min="22" max="22" width="22.85546875" style="2680" customWidth="1"/>
    <col min="23" max="23" width="77" style="2683" customWidth="1"/>
    <col min="24" max="24" width="19" style="2673" customWidth="1"/>
    <col min="25" max="25" width="21.140625" style="2684" customWidth="1"/>
    <col min="26" max="26" width="18.7109375" style="2674" customWidth="1"/>
    <col min="27" max="27" width="8.7109375" style="2674" customWidth="1"/>
    <col min="28" max="28" width="15.7109375" style="2674" customWidth="1"/>
    <col min="29" max="29" width="17.85546875" style="2674" customWidth="1"/>
    <col min="30" max="16384" width="9.140625" style="2674"/>
  </cols>
  <sheetData>
    <row r="1" spans="2:30" ht="9.9499999999999993" customHeight="1"/>
    <row r="2" spans="2:30" s="2663" customFormat="1" ht="21" customHeight="1">
      <c r="C2" s="2685"/>
      <c r="D2" s="2685"/>
      <c r="E2" s="2685"/>
      <c r="F2" s="2686"/>
      <c r="G2" s="2686"/>
      <c r="H2" s="2686"/>
      <c r="I2" s="2686"/>
      <c r="J2" s="2686"/>
      <c r="K2" s="2686"/>
      <c r="L2" s="2728"/>
      <c r="M2" s="2729"/>
      <c r="N2" s="2728"/>
      <c r="O2" s="2730"/>
      <c r="P2" s="2731"/>
      <c r="Q2" s="2730"/>
      <c r="R2" s="2730"/>
      <c r="S2" s="2730"/>
      <c r="T2" s="2730"/>
      <c r="U2" s="2730"/>
      <c r="V2" s="2730"/>
      <c r="W2" s="2823" t="s">
        <v>0</v>
      </c>
      <c r="X2" s="2824"/>
      <c r="Y2" s="2734"/>
    </row>
    <row r="3" spans="2:30" s="2664" customFormat="1" ht="39" customHeight="1">
      <c r="B3" s="3298" t="s">
        <v>1</v>
      </c>
      <c r="C3" s="3298"/>
      <c r="D3" s="3298"/>
      <c r="E3" s="3298"/>
      <c r="F3" s="3298"/>
      <c r="G3" s="3298"/>
      <c r="H3" s="3298"/>
      <c r="I3" s="3298"/>
      <c r="J3" s="3298"/>
      <c r="K3" s="3298"/>
      <c r="L3" s="3298"/>
      <c r="M3" s="3298"/>
      <c r="N3" s="3298"/>
      <c r="O3" s="3298"/>
      <c r="P3" s="3298"/>
      <c r="Q3" s="3298"/>
      <c r="R3" s="3298"/>
      <c r="S3" s="3298"/>
      <c r="T3" s="3298"/>
      <c r="U3" s="3298"/>
      <c r="V3" s="3298"/>
      <c r="W3" s="3298"/>
      <c r="X3" s="2825"/>
      <c r="Y3" s="2870"/>
    </row>
    <row r="4" spans="2:30" s="2663" customFormat="1">
      <c r="B4" s="2687"/>
      <c r="C4" s="2687"/>
      <c r="D4" s="2687"/>
      <c r="E4" s="2687"/>
      <c r="F4" s="2687"/>
      <c r="G4" s="2688"/>
      <c r="H4" s="2688"/>
      <c r="I4" s="2688"/>
      <c r="J4" s="2688"/>
      <c r="K4" s="2688"/>
      <c r="L4" s="2732"/>
      <c r="M4" s="2733"/>
      <c r="N4" s="2734"/>
      <c r="O4" s="2735"/>
      <c r="P4" s="2736"/>
      <c r="Q4" s="2736"/>
      <c r="R4" s="2736"/>
      <c r="S4" s="2736"/>
      <c r="T4" s="2736"/>
      <c r="U4" s="2736"/>
      <c r="V4" s="2736"/>
      <c r="W4" s="2826"/>
      <c r="X4" s="2824"/>
      <c r="Y4" s="2734"/>
    </row>
    <row r="5" spans="2:30" ht="28.5" customHeight="1">
      <c r="B5" s="3328" t="s">
        <v>2</v>
      </c>
      <c r="C5" s="3329"/>
      <c r="D5" s="3329"/>
      <c r="E5" s="3329"/>
      <c r="F5" s="3330"/>
      <c r="G5" s="3328" t="s">
        <v>2</v>
      </c>
      <c r="H5" s="3329"/>
      <c r="I5" s="3329"/>
      <c r="J5" s="3329"/>
      <c r="K5" s="3330"/>
      <c r="L5" s="3306" t="s">
        <v>3</v>
      </c>
      <c r="M5" s="3308" t="s">
        <v>4</v>
      </c>
      <c r="N5" s="3299" t="s">
        <v>5</v>
      </c>
      <c r="O5" s="3307" t="s">
        <v>6</v>
      </c>
      <c r="P5" s="3299" t="s">
        <v>7</v>
      </c>
      <c r="Q5" s="3299"/>
      <c r="R5" s="3306" t="s">
        <v>8</v>
      </c>
      <c r="S5" s="3299" t="s">
        <v>9</v>
      </c>
      <c r="T5" s="3299"/>
      <c r="U5" s="3299"/>
      <c r="V5" s="3299"/>
      <c r="W5" s="3325" t="s">
        <v>10</v>
      </c>
    </row>
    <row r="6" spans="2:30" ht="31.5" customHeight="1">
      <c r="B6" s="3331"/>
      <c r="C6" s="3332"/>
      <c r="D6" s="3332"/>
      <c r="E6" s="3332"/>
      <c r="F6" s="3333"/>
      <c r="G6" s="3331"/>
      <c r="H6" s="3332"/>
      <c r="I6" s="3332"/>
      <c r="J6" s="3332"/>
      <c r="K6" s="3333"/>
      <c r="L6" s="3307"/>
      <c r="M6" s="3309"/>
      <c r="N6" s="3299"/>
      <c r="O6" s="3299"/>
      <c r="P6" s="2737" t="s">
        <v>11</v>
      </c>
      <c r="Q6" s="2737" t="s">
        <v>12</v>
      </c>
      <c r="R6" s="3307"/>
      <c r="S6" s="2737" t="s">
        <v>13</v>
      </c>
      <c r="T6" s="2737" t="s">
        <v>14</v>
      </c>
      <c r="U6" s="2737" t="s">
        <v>15</v>
      </c>
      <c r="V6" s="2737" t="s">
        <v>16</v>
      </c>
      <c r="W6" s="3325"/>
    </row>
    <row r="7" spans="2:30" s="2663" customFormat="1" ht="12" customHeight="1">
      <c r="B7" s="2689"/>
      <c r="C7" s="2690"/>
      <c r="D7" s="2691"/>
      <c r="E7" s="2691"/>
      <c r="F7" s="2692"/>
      <c r="G7" s="2692"/>
      <c r="H7" s="2692"/>
      <c r="I7" s="2692"/>
      <c r="J7" s="2692"/>
      <c r="K7" s="2692"/>
      <c r="L7" s="2738"/>
      <c r="M7" s="2739"/>
      <c r="N7" s="2740"/>
      <c r="O7" s="2741"/>
      <c r="P7" s="2741"/>
      <c r="Q7" s="2741"/>
      <c r="R7" s="2741"/>
      <c r="S7" s="2741"/>
      <c r="T7" s="2741"/>
      <c r="U7" s="2741"/>
      <c r="V7" s="2741"/>
      <c r="W7" s="2827"/>
      <c r="X7" s="2824"/>
      <c r="Y7" s="2734"/>
    </row>
    <row r="8" spans="2:30" s="2663" customFormat="1" ht="30" customHeight="1">
      <c r="B8" s="3300" t="s">
        <v>17</v>
      </c>
      <c r="C8" s="3301"/>
      <c r="D8" s="3301"/>
      <c r="E8" s="3301"/>
      <c r="F8" s="3302"/>
      <c r="G8" s="3300" t="s">
        <v>18</v>
      </c>
      <c r="H8" s="3301"/>
      <c r="I8" s="3301"/>
      <c r="J8" s="3301"/>
      <c r="K8" s="3302"/>
      <c r="L8" s="2742">
        <f>+L9+L112+L115+L123+L126+L131+L134</f>
        <v>35286135700</v>
      </c>
      <c r="M8" s="2742">
        <f>+M9+M112+M115+M123+M126+M131+M134</f>
        <v>4774797700</v>
      </c>
      <c r="N8" s="2742">
        <f>+N9+N112+N115+N123+N126+N131+N134</f>
        <v>17000000</v>
      </c>
      <c r="O8" s="2742">
        <f>+O9+O112+O115+O123+O126+O131+O134</f>
        <v>40077933400</v>
      </c>
      <c r="P8" s="2742"/>
      <c r="Q8" s="2742">
        <f>+Q9+Q112+Q115+Q123+Q126+Q131+Q134</f>
        <v>31117779000</v>
      </c>
      <c r="R8" s="2742">
        <f>+R9+R112+R115+R123+R126+R131+R134</f>
        <v>-4168356700</v>
      </c>
      <c r="S8" s="2828"/>
      <c r="T8" s="2828"/>
      <c r="U8" s="2828"/>
      <c r="V8" s="2828"/>
      <c r="W8" s="2829"/>
      <c r="X8" s="2824"/>
      <c r="Y8" s="2734"/>
    </row>
    <row r="9" spans="2:30" s="2665" customFormat="1">
      <c r="B9" s="2693"/>
      <c r="C9" s="2694">
        <v>1</v>
      </c>
      <c r="D9" s="2695" t="s">
        <v>19</v>
      </c>
      <c r="E9" s="2696"/>
      <c r="F9" s="2697"/>
      <c r="G9" s="2693"/>
      <c r="H9" s="2698">
        <f>C9</f>
        <v>1</v>
      </c>
      <c r="I9" s="2743" t="s">
        <v>20</v>
      </c>
      <c r="J9" s="2744"/>
      <c r="K9" s="2744"/>
      <c r="L9" s="2745">
        <f>+L10+L18+L24+L33+L48+L57+L60+L110+L66+L80+L84+L96+L106</f>
        <v>22288199000</v>
      </c>
      <c r="M9" s="2745">
        <f>+M10+M18+M24+M33+M48+M57+M60+M110+M66+M80+M84+M96+M106</f>
        <v>2936244500</v>
      </c>
      <c r="N9" s="2745">
        <f>+N10+N18+N24+N33+N48+N57+N60+N110+N66+N80+N84+N96+N106</f>
        <v>7000000</v>
      </c>
      <c r="O9" s="2745">
        <f>+O10+O18+O24+O33+O48+O57+O60+O110+O66+O80+O84+O96+O106</f>
        <v>25231443500</v>
      </c>
      <c r="P9" s="2746" t="s">
        <v>21</v>
      </c>
      <c r="Q9" s="2746">
        <f>Q10+Q18+Q24+Q33+Q57+Q48+Q60+Q66+Q80+Q84+Q96+Q106+Q110</f>
        <v>18823179000</v>
      </c>
      <c r="R9" s="2746">
        <f>R10+R18+R24+R33+R57+R48+R60+R66+R80+R84+R96+R106+R110</f>
        <v>-3465020000</v>
      </c>
      <c r="S9" s="2746"/>
      <c r="T9" s="2746"/>
      <c r="U9" s="2746"/>
      <c r="V9" s="2746"/>
      <c r="W9" s="2830" t="s">
        <v>22</v>
      </c>
      <c r="X9" s="2831"/>
      <c r="Y9" s="2871"/>
    </row>
    <row r="10" spans="2:30" s="2666" customFormat="1" ht="30" customHeight="1">
      <c r="B10" s="2699"/>
      <c r="C10" s="2700"/>
      <c r="D10" s="2701" t="s">
        <v>23</v>
      </c>
      <c r="E10" s="3303" t="s">
        <v>24</v>
      </c>
      <c r="F10" s="3303"/>
      <c r="G10" s="2702"/>
      <c r="H10" s="2700"/>
      <c r="I10" s="2701" t="str">
        <f>D10</f>
        <v>A</v>
      </c>
      <c r="J10" s="3304" t="s">
        <v>25</v>
      </c>
      <c r="K10" s="3305"/>
      <c r="L10" s="2747">
        <f>SUM(L11:L13)</f>
        <v>2025000000</v>
      </c>
      <c r="M10" s="2748">
        <f>SUM(M11:M13)</f>
        <v>173650000</v>
      </c>
      <c r="N10" s="2749">
        <f>SUM(N11:N13)</f>
        <v>0</v>
      </c>
      <c r="O10" s="2750">
        <f t="shared" ref="O10:O94" si="0">L10+M10+N10</f>
        <v>2198650000</v>
      </c>
      <c r="P10" s="2751" t="s">
        <v>21</v>
      </c>
      <c r="Q10" s="2751">
        <f>SUM(Q11:Q13)</f>
        <v>2025000000</v>
      </c>
      <c r="R10" s="2751">
        <f>Q10-L10</f>
        <v>0</v>
      </c>
      <c r="S10" s="2751"/>
      <c r="T10" s="2751"/>
      <c r="U10" s="2751"/>
      <c r="V10" s="2751"/>
      <c r="W10" s="2832"/>
      <c r="X10" s="2833"/>
      <c r="Y10" s="2872"/>
    </row>
    <row r="11" spans="2:30" s="2667" customFormat="1" ht="20.100000000000001" customHeight="1">
      <c r="B11" s="2703"/>
      <c r="C11" s="2704"/>
      <c r="D11" s="2705"/>
      <c r="E11" s="2706">
        <v>1</v>
      </c>
      <c r="F11" s="2707" t="s">
        <v>26</v>
      </c>
      <c r="G11" s="2703"/>
      <c r="H11" s="2704"/>
      <c r="I11" s="2705"/>
      <c r="J11" s="2752">
        <f>E11</f>
        <v>1</v>
      </c>
      <c r="K11" s="2707" t="str">
        <f>F11</f>
        <v>Toll Road Development in Kalimantan, Sumatera, and Java Islands</v>
      </c>
      <c r="L11" s="2753">
        <v>1250000000</v>
      </c>
      <c r="M11" s="2754">
        <f>L10*5%</f>
        <v>101250000</v>
      </c>
      <c r="N11" s="2755">
        <v>0</v>
      </c>
      <c r="O11" s="2756">
        <f t="shared" si="0"/>
        <v>1351250000</v>
      </c>
      <c r="P11" s="2757" t="s">
        <v>27</v>
      </c>
      <c r="Q11" s="2768">
        <v>1000000000</v>
      </c>
      <c r="R11" s="2756">
        <f>Q11+Q12-L11</f>
        <v>0</v>
      </c>
      <c r="S11" s="2756" t="s">
        <v>21</v>
      </c>
      <c r="T11" s="2756" t="s">
        <v>21</v>
      </c>
      <c r="U11" s="2756" t="s">
        <v>21</v>
      </c>
      <c r="V11" s="2756" t="s">
        <v>21</v>
      </c>
      <c r="W11" s="2834"/>
      <c r="X11" s="2835"/>
      <c r="Y11" s="2873"/>
    </row>
    <row r="12" spans="2:30" s="2667" customFormat="1" ht="20.100000000000001" customHeight="1">
      <c r="B12" s="2703"/>
      <c r="C12" s="2704"/>
      <c r="D12" s="2704"/>
      <c r="E12" s="2708"/>
      <c r="F12" s="2709"/>
      <c r="G12" s="2703"/>
      <c r="H12" s="2704"/>
      <c r="I12" s="2704"/>
      <c r="J12" s="2758"/>
      <c r="K12" s="2759" t="str">
        <f>F11</f>
        <v>Toll Road Development in Kalimantan, Sumatera, and Java Islands</v>
      </c>
      <c r="L12" s="2760"/>
      <c r="M12" s="2754"/>
      <c r="N12" s="2761"/>
      <c r="O12" s="2754"/>
      <c r="P12" s="2762" t="s">
        <v>28</v>
      </c>
      <c r="Q12" s="2836">
        <v>250000000</v>
      </c>
      <c r="R12" s="2754">
        <f>Q12+Q11-L11</f>
        <v>0</v>
      </c>
      <c r="S12" s="2754" t="s">
        <v>21</v>
      </c>
      <c r="T12" s="2754" t="s">
        <v>21</v>
      </c>
      <c r="U12" s="2754" t="s">
        <v>21</v>
      </c>
      <c r="V12" s="2754" t="s">
        <v>21</v>
      </c>
      <c r="W12" s="2820"/>
      <c r="X12" s="2835"/>
      <c r="Y12" s="2873"/>
    </row>
    <row r="13" spans="2:30" s="2667" customFormat="1">
      <c r="B13" s="2703"/>
      <c r="C13" s="2704"/>
      <c r="D13" s="2704"/>
      <c r="E13" s="2708">
        <v>2</v>
      </c>
      <c r="F13" s="2709" t="s">
        <v>29</v>
      </c>
      <c r="G13" s="2703"/>
      <c r="H13" s="2704"/>
      <c r="I13" s="2704"/>
      <c r="J13" s="2708">
        <f>E13</f>
        <v>2</v>
      </c>
      <c r="K13" s="2709" t="s">
        <v>30</v>
      </c>
      <c r="L13" s="2763">
        <f>330000000+65000000+80000000+300000000</f>
        <v>775000000</v>
      </c>
      <c r="M13" s="2754">
        <f>26000000+6500000+8000000+31900000</f>
        <v>72400000</v>
      </c>
      <c r="N13" s="2761">
        <v>0</v>
      </c>
      <c r="O13" s="2764">
        <f t="shared" si="0"/>
        <v>847400000</v>
      </c>
      <c r="P13" s="2765" t="s">
        <v>27</v>
      </c>
      <c r="Q13" s="2766">
        <f>L13</f>
        <v>775000000</v>
      </c>
      <c r="R13" s="2764">
        <f t="shared" ref="R13:R24" si="1">Q13-L13</f>
        <v>0</v>
      </c>
      <c r="S13" s="2764"/>
      <c r="T13" s="2764"/>
      <c r="U13" s="2764"/>
      <c r="V13" s="2764"/>
      <c r="W13" s="2837"/>
      <c r="X13" s="2835"/>
      <c r="Y13" s="2873"/>
      <c r="Z13" s="2874"/>
      <c r="AB13" s="2874"/>
      <c r="AC13" s="2874"/>
      <c r="AD13" s="2663"/>
    </row>
    <row r="14" spans="2:30" s="2667" customFormat="1" ht="45">
      <c r="B14" s="2703"/>
      <c r="C14" s="2704"/>
      <c r="D14" s="2704"/>
      <c r="E14" s="2710"/>
      <c r="F14" s="2711"/>
      <c r="G14" s="2703"/>
      <c r="H14" s="2704"/>
      <c r="I14" s="2704"/>
      <c r="J14" s="2716"/>
      <c r="K14" s="2715" t="s">
        <v>31</v>
      </c>
      <c r="L14" s="2766"/>
      <c r="M14" s="2764"/>
      <c r="N14" s="2767"/>
      <c r="O14" s="2764"/>
      <c r="P14" s="2765" t="s">
        <v>27</v>
      </c>
      <c r="Q14" s="2766"/>
      <c r="R14" s="2764">
        <f t="shared" si="1"/>
        <v>0</v>
      </c>
      <c r="S14" s="3081" t="s">
        <v>32</v>
      </c>
      <c r="T14" s="2839" t="s">
        <v>33</v>
      </c>
      <c r="U14" s="2840">
        <v>0.7</v>
      </c>
      <c r="V14" s="2838" t="s">
        <v>34</v>
      </c>
      <c r="W14" s="2841"/>
      <c r="X14" s="2835"/>
      <c r="Y14" s="2873"/>
      <c r="Z14" s="2874"/>
      <c r="AB14" s="2874"/>
      <c r="AC14" s="2874"/>
      <c r="AD14" s="2663"/>
    </row>
    <row r="15" spans="2:30" s="2667" customFormat="1" ht="45">
      <c r="B15" s="2703"/>
      <c r="C15" s="2704"/>
      <c r="D15" s="2704"/>
      <c r="E15" s="2710"/>
      <c r="F15" s="2711"/>
      <c r="G15" s="2703"/>
      <c r="H15" s="2704"/>
      <c r="I15" s="2704"/>
      <c r="J15" s="2716"/>
      <c r="K15" s="2715" t="s">
        <v>35</v>
      </c>
      <c r="L15" s="2766"/>
      <c r="M15" s="2764"/>
      <c r="N15" s="2767"/>
      <c r="O15" s="2764"/>
      <c r="P15" s="2765" t="s">
        <v>27</v>
      </c>
      <c r="Q15" s="2766"/>
      <c r="R15" s="2764">
        <f t="shared" si="1"/>
        <v>0</v>
      </c>
      <c r="S15" s="3081" t="s">
        <v>32</v>
      </c>
      <c r="T15" s="2839" t="s">
        <v>33</v>
      </c>
      <c r="U15" s="2840">
        <v>0.52</v>
      </c>
      <c r="V15" s="2839" t="s">
        <v>36</v>
      </c>
      <c r="W15" s="2841"/>
      <c r="X15" s="2835"/>
      <c r="Z15" s="2874"/>
      <c r="AB15" s="2874"/>
      <c r="AC15" s="2874"/>
      <c r="AD15" s="2663"/>
    </row>
    <row r="16" spans="2:30" s="2667" customFormat="1" ht="45">
      <c r="B16" s="2703"/>
      <c r="C16" s="2704"/>
      <c r="D16" s="2704"/>
      <c r="E16" s="2710"/>
      <c r="F16" s="2711"/>
      <c r="G16" s="2703"/>
      <c r="H16" s="2704"/>
      <c r="I16" s="2704"/>
      <c r="J16" s="2716"/>
      <c r="K16" s="2715" t="s">
        <v>37</v>
      </c>
      <c r="L16" s="2766"/>
      <c r="M16" s="2764"/>
      <c r="N16" s="2767"/>
      <c r="O16" s="2764"/>
      <c r="P16" s="2765" t="s">
        <v>27</v>
      </c>
      <c r="Q16" s="2766"/>
      <c r="R16" s="2764">
        <f t="shared" si="1"/>
        <v>0</v>
      </c>
      <c r="S16" s="3081" t="s">
        <v>32</v>
      </c>
      <c r="T16" s="2839" t="s">
        <v>33</v>
      </c>
      <c r="U16" s="2840">
        <v>0.97</v>
      </c>
      <c r="V16" s="2839" t="s">
        <v>36</v>
      </c>
      <c r="W16" s="2841"/>
      <c r="X16" s="2835"/>
      <c r="Y16" s="2873"/>
      <c r="Z16" s="2874"/>
      <c r="AB16" s="2874"/>
      <c r="AC16" s="2874"/>
      <c r="AD16" s="2663"/>
    </row>
    <row r="17" spans="2:30" s="2667" customFormat="1" ht="45">
      <c r="B17" s="2703"/>
      <c r="C17" s="2704"/>
      <c r="D17" s="2704"/>
      <c r="E17" s="2710"/>
      <c r="F17" s="2711"/>
      <c r="G17" s="2703"/>
      <c r="H17" s="2704"/>
      <c r="I17" s="2704"/>
      <c r="J17" s="2716"/>
      <c r="K17" s="2715" t="s">
        <v>38</v>
      </c>
      <c r="L17" s="2766"/>
      <c r="M17" s="2764"/>
      <c r="N17" s="2767"/>
      <c r="O17" s="2764"/>
      <c r="P17" s="2765" t="s">
        <v>27</v>
      </c>
      <c r="Q17" s="2766"/>
      <c r="R17" s="2764">
        <f t="shared" si="1"/>
        <v>0</v>
      </c>
      <c r="S17" s="3081" t="s">
        <v>32</v>
      </c>
      <c r="T17" s="2839" t="s">
        <v>33</v>
      </c>
      <c r="U17" s="2840">
        <v>0.62</v>
      </c>
      <c r="V17" s="2838" t="s">
        <v>39</v>
      </c>
      <c r="W17" s="2841"/>
      <c r="X17" s="2835"/>
      <c r="Y17" s="2873"/>
      <c r="Z17" s="2874"/>
      <c r="AB17" s="2874"/>
      <c r="AC17" s="2874"/>
      <c r="AD17" s="2663"/>
    </row>
    <row r="18" spans="2:30" s="2666" customFormat="1" ht="30" customHeight="1">
      <c r="B18" s="2699"/>
      <c r="C18" s="2712"/>
      <c r="D18" s="2701" t="s">
        <v>40</v>
      </c>
      <c r="E18" s="3303" t="s">
        <v>41</v>
      </c>
      <c r="F18" s="3303"/>
      <c r="G18" s="2699"/>
      <c r="H18" s="2712"/>
      <c r="I18" s="2701" t="str">
        <f>D18</f>
        <v>B</v>
      </c>
      <c r="J18" s="3304" t="s">
        <v>42</v>
      </c>
      <c r="K18" s="3305"/>
      <c r="L18" s="2747">
        <f>SUM(L19:L23)</f>
        <v>1500000000</v>
      </c>
      <c r="M18" s="2748">
        <f>SUM(M19:M23)</f>
        <v>126500000</v>
      </c>
      <c r="N18" s="2749">
        <f>SUM(N19:N23)</f>
        <v>0</v>
      </c>
      <c r="O18" s="2750">
        <f t="shared" si="0"/>
        <v>1626500000</v>
      </c>
      <c r="P18" s="2751" t="s">
        <v>21</v>
      </c>
      <c r="Q18" s="2751">
        <f>SUM(Q19:Q23)</f>
        <v>1500000000</v>
      </c>
      <c r="R18" s="2751">
        <f t="shared" si="1"/>
        <v>0</v>
      </c>
      <c r="S18" s="2751"/>
      <c r="T18" s="2751"/>
      <c r="U18" s="2751"/>
      <c r="V18" s="2751"/>
      <c r="W18" s="2832"/>
      <c r="X18" s="2833"/>
      <c r="Y18" s="2872"/>
      <c r="AB18" s="2875"/>
      <c r="AC18" s="2874"/>
    </row>
    <row r="19" spans="2:30" s="2667" customFormat="1" ht="20.100000000000001" customHeight="1">
      <c r="B19" s="2703"/>
      <c r="C19" s="2704"/>
      <c r="D19" s="2705"/>
      <c r="E19" s="2706">
        <v>1</v>
      </c>
      <c r="F19" s="2713" t="s">
        <v>43</v>
      </c>
      <c r="G19" s="2703"/>
      <c r="H19" s="2704"/>
      <c r="I19" s="2705"/>
      <c r="J19" s="2706">
        <f t="shared" ref="J19:K23" si="2">E19</f>
        <v>1</v>
      </c>
      <c r="K19" s="2713" t="str">
        <f t="shared" si="2"/>
        <v>Material Procurement for Construction and Bridge Rehabilitation</v>
      </c>
      <c r="L19" s="2768">
        <v>450000000</v>
      </c>
      <c r="M19" s="2756">
        <v>0</v>
      </c>
      <c r="N19" s="2755">
        <v>0</v>
      </c>
      <c r="O19" s="2756">
        <f t="shared" si="0"/>
        <v>450000000</v>
      </c>
      <c r="P19" s="2757" t="s">
        <v>27</v>
      </c>
      <c r="Q19" s="2768">
        <v>450000000</v>
      </c>
      <c r="R19" s="2756">
        <f t="shared" si="1"/>
        <v>0</v>
      </c>
      <c r="S19" s="2756" t="s">
        <v>21</v>
      </c>
      <c r="T19" s="2842" t="s">
        <v>21</v>
      </c>
      <c r="U19" s="2756" t="s">
        <v>21</v>
      </c>
      <c r="V19" s="2756" t="s">
        <v>21</v>
      </c>
      <c r="W19" s="2834"/>
      <c r="X19" s="2835"/>
      <c r="Y19" s="2873"/>
    </row>
    <row r="20" spans="2:30" s="2667" customFormat="1">
      <c r="B20" s="2703"/>
      <c r="C20" s="2704"/>
      <c r="D20" s="2704"/>
      <c r="E20" s="2714">
        <v>2</v>
      </c>
      <c r="F20" s="2715" t="s">
        <v>44</v>
      </c>
      <c r="G20" s="2703"/>
      <c r="H20" s="2704"/>
      <c r="I20" s="2704"/>
      <c r="J20" s="2714">
        <f t="shared" si="2"/>
        <v>2</v>
      </c>
      <c r="K20" s="2715" t="str">
        <f t="shared" si="2"/>
        <v>Development of Fly Over/ Under Pass for Railways Crossing</v>
      </c>
      <c r="L20" s="2766">
        <v>250000000</v>
      </c>
      <c r="M20" s="2764">
        <v>50000000</v>
      </c>
      <c r="N20" s="2767">
        <v>0</v>
      </c>
      <c r="O20" s="2764">
        <f t="shared" si="0"/>
        <v>300000000</v>
      </c>
      <c r="P20" s="2769" t="s">
        <v>27</v>
      </c>
      <c r="Q20" s="2766">
        <v>250000000</v>
      </c>
      <c r="R20" s="2764">
        <f t="shared" si="1"/>
        <v>0</v>
      </c>
      <c r="S20" s="2764" t="s">
        <v>21</v>
      </c>
      <c r="T20" s="3081" t="s">
        <v>45</v>
      </c>
      <c r="U20" s="2764" t="s">
        <v>21</v>
      </c>
      <c r="V20" s="2764" t="s">
        <v>21</v>
      </c>
      <c r="W20" s="2841"/>
      <c r="X20" s="2835"/>
      <c r="Y20" s="2873"/>
    </row>
    <row r="21" spans="2:30" s="2667" customFormat="1">
      <c r="B21" s="2703"/>
      <c r="C21" s="2704"/>
      <c r="D21" s="2704"/>
      <c r="E21" s="2716">
        <v>3</v>
      </c>
      <c r="F21" s="2715" t="s">
        <v>46</v>
      </c>
      <c r="G21" s="2703"/>
      <c r="H21" s="2704"/>
      <c r="I21" s="2704"/>
      <c r="J21" s="2716">
        <f t="shared" si="2"/>
        <v>3</v>
      </c>
      <c r="K21" s="2715" t="str">
        <f t="shared" si="2"/>
        <v>Development of Fly Over/ Under Pass in Major Cities</v>
      </c>
      <c r="L21" s="2766">
        <v>270000000</v>
      </c>
      <c r="M21" s="2764">
        <v>50000000</v>
      </c>
      <c r="N21" s="2767">
        <v>0</v>
      </c>
      <c r="O21" s="2764">
        <f t="shared" si="0"/>
        <v>320000000</v>
      </c>
      <c r="P21" s="2769" t="s">
        <v>27</v>
      </c>
      <c r="Q21" s="2766">
        <v>270000000</v>
      </c>
      <c r="R21" s="2764">
        <f t="shared" si="1"/>
        <v>0</v>
      </c>
      <c r="S21" s="2764" t="s">
        <v>21</v>
      </c>
      <c r="T21" s="3081" t="s">
        <v>45</v>
      </c>
      <c r="U21" s="2764" t="s">
        <v>21</v>
      </c>
      <c r="V21" s="2764" t="s">
        <v>21</v>
      </c>
      <c r="W21" s="2841"/>
      <c r="X21" s="2835"/>
      <c r="Y21" s="2873"/>
      <c r="Z21" s="2874"/>
      <c r="AB21" s="2874"/>
      <c r="AC21" s="2874"/>
    </row>
    <row r="22" spans="2:30" s="2667" customFormat="1" ht="20.100000000000001" customHeight="1">
      <c r="B22" s="2703"/>
      <c r="C22" s="2704"/>
      <c r="D22" s="2704"/>
      <c r="E22" s="2716">
        <v>4</v>
      </c>
      <c r="F22" s="2715" t="s">
        <v>47</v>
      </c>
      <c r="G22" s="2703"/>
      <c r="H22" s="2704"/>
      <c r="I22" s="2704"/>
      <c r="J22" s="2716">
        <f t="shared" si="2"/>
        <v>4</v>
      </c>
      <c r="K22" s="2715" t="str">
        <f t="shared" si="2"/>
        <v>Balinka - Matur - Ngarai Sianok Tunnel Construction</v>
      </c>
      <c r="L22" s="2766">
        <v>175000000</v>
      </c>
      <c r="M22" s="2764">
        <f>L22*5%</f>
        <v>8750000</v>
      </c>
      <c r="N22" s="2767">
        <v>0</v>
      </c>
      <c r="O22" s="2764">
        <f t="shared" si="0"/>
        <v>183750000</v>
      </c>
      <c r="P22" s="2769" t="s">
        <v>28</v>
      </c>
      <c r="Q22" s="2766">
        <v>175000000</v>
      </c>
      <c r="R22" s="2764">
        <f t="shared" si="1"/>
        <v>0</v>
      </c>
      <c r="S22" s="2764" t="s">
        <v>48</v>
      </c>
      <c r="T22" s="2843" t="s">
        <v>49</v>
      </c>
      <c r="U22" s="2764" t="s">
        <v>21</v>
      </c>
      <c r="V22" s="2764" t="s">
        <v>21</v>
      </c>
      <c r="W22" s="2841"/>
      <c r="X22" s="2835"/>
      <c r="Z22" s="2874"/>
      <c r="AB22" s="2874"/>
      <c r="AC22" s="2874"/>
    </row>
    <row r="23" spans="2:30" s="2667" customFormat="1" ht="20.100000000000001" customHeight="1">
      <c r="B23" s="2703"/>
      <c r="C23" s="2704"/>
      <c r="D23" s="2717"/>
      <c r="E23" s="2718">
        <v>5</v>
      </c>
      <c r="F23" s="2719" t="s">
        <v>50</v>
      </c>
      <c r="G23" s="2703"/>
      <c r="H23" s="2704"/>
      <c r="I23" s="2717"/>
      <c r="J23" s="2718">
        <f t="shared" si="2"/>
        <v>5</v>
      </c>
      <c r="K23" s="2719" t="str">
        <f t="shared" si="2"/>
        <v>Long Span Bridge Development for Selected Area</v>
      </c>
      <c r="L23" s="2770">
        <v>355000000</v>
      </c>
      <c r="M23" s="2764">
        <f>L23*5%</f>
        <v>17750000</v>
      </c>
      <c r="N23" s="2771">
        <v>0</v>
      </c>
      <c r="O23" s="2772">
        <f t="shared" si="0"/>
        <v>372750000</v>
      </c>
      <c r="P23" s="2773" t="s">
        <v>28</v>
      </c>
      <c r="Q23" s="2770">
        <v>355000000</v>
      </c>
      <c r="R23" s="2772">
        <f t="shared" si="1"/>
        <v>0</v>
      </c>
      <c r="S23" s="2772" t="s">
        <v>21</v>
      </c>
      <c r="T23" s="2844" t="s">
        <v>21</v>
      </c>
      <c r="U23" s="2772" t="s">
        <v>21</v>
      </c>
      <c r="V23" s="2772" t="s">
        <v>21</v>
      </c>
      <c r="W23" s="2845"/>
      <c r="X23" s="2835"/>
      <c r="Y23" s="2873"/>
      <c r="Z23" s="2874"/>
      <c r="AB23" s="2874"/>
      <c r="AC23" s="2874"/>
    </row>
    <row r="24" spans="2:30" s="2666" customFormat="1" ht="30" customHeight="1">
      <c r="B24" s="2699"/>
      <c r="C24" s="2712"/>
      <c r="D24" s="2701" t="s">
        <v>51</v>
      </c>
      <c r="E24" s="3303" t="s">
        <v>52</v>
      </c>
      <c r="F24" s="3303"/>
      <c r="G24" s="2699"/>
      <c r="H24" s="2712"/>
      <c r="I24" s="2701" t="str">
        <f>D24</f>
        <v>C</v>
      </c>
      <c r="J24" s="3304" t="s">
        <v>53</v>
      </c>
      <c r="K24" s="3305"/>
      <c r="L24" s="2747">
        <f>SUM(L25:L32)</f>
        <v>2000000000</v>
      </c>
      <c r="M24" s="2748">
        <f>SUM(M25:M32)</f>
        <v>400000000</v>
      </c>
      <c r="N24" s="2749">
        <f>SUM(N25:N32)</f>
        <v>0</v>
      </c>
      <c r="O24" s="2750">
        <f t="shared" si="0"/>
        <v>2400000000</v>
      </c>
      <c r="P24" s="2750" t="s">
        <v>21</v>
      </c>
      <c r="Q24" s="2750">
        <f>SUM(Q25:Q32)</f>
        <v>2000000000</v>
      </c>
      <c r="R24" s="2751">
        <f t="shared" si="1"/>
        <v>0</v>
      </c>
      <c r="S24" s="2750"/>
      <c r="T24" s="2750"/>
      <c r="U24" s="2750"/>
      <c r="V24" s="2750"/>
      <c r="W24" s="2846"/>
      <c r="X24" s="2833"/>
      <c r="Y24" s="2872"/>
      <c r="AC24" s="2874"/>
    </row>
    <row r="25" spans="2:30" s="2667" customFormat="1" ht="20.100000000000001" customHeight="1">
      <c r="B25" s="2703"/>
      <c r="C25" s="2704"/>
      <c r="D25" s="2705"/>
      <c r="E25" s="2720">
        <v>1</v>
      </c>
      <c r="F25" s="2721" t="s">
        <v>54</v>
      </c>
      <c r="G25" s="2703"/>
      <c r="H25" s="2704"/>
      <c r="I25" s="2705"/>
      <c r="J25" s="2720">
        <f t="shared" ref="J25:K32" si="3">E25</f>
        <v>1</v>
      </c>
      <c r="K25" s="2721" t="str">
        <f t="shared" si="3"/>
        <v>Urban Arterial Road Improvement Project</v>
      </c>
      <c r="L25" s="2768">
        <v>250000000</v>
      </c>
      <c r="M25" s="2756">
        <v>50000000</v>
      </c>
      <c r="N25" s="2755">
        <v>0</v>
      </c>
      <c r="O25" s="2756">
        <f t="shared" si="0"/>
        <v>300000000</v>
      </c>
      <c r="P25" s="2774" t="s">
        <v>55</v>
      </c>
      <c r="Q25" s="2836">
        <f>L25</f>
        <v>250000000</v>
      </c>
      <c r="R25" s="2764">
        <f>+L25-Q25</f>
        <v>0</v>
      </c>
      <c r="S25" s="2754" t="s">
        <v>56</v>
      </c>
      <c r="T25" s="2754" t="s">
        <v>21</v>
      </c>
      <c r="U25" s="2754" t="s">
        <v>21</v>
      </c>
      <c r="V25" s="2754" t="s">
        <v>21</v>
      </c>
      <c r="W25" s="2820"/>
      <c r="X25" s="2835"/>
      <c r="Y25" s="2873"/>
      <c r="AB25" s="2874"/>
    </row>
    <row r="26" spans="2:30" s="2667" customFormat="1">
      <c r="B26" s="2703"/>
      <c r="C26" s="2704"/>
      <c r="D26" s="2704"/>
      <c r="E26" s="2716">
        <v>2</v>
      </c>
      <c r="F26" s="2722" t="s">
        <v>57</v>
      </c>
      <c r="G26" s="2703"/>
      <c r="H26" s="2704"/>
      <c r="I26" s="2704"/>
      <c r="J26" s="2716">
        <f t="shared" si="3"/>
        <v>2</v>
      </c>
      <c r="K26" s="2722" t="str">
        <f>F26</f>
        <v>Construction of Development of Trans South-South, Eastern Java</v>
      </c>
      <c r="L26" s="2766">
        <v>250000000</v>
      </c>
      <c r="M26" s="2764">
        <v>50000000</v>
      </c>
      <c r="N26" s="2767">
        <v>0</v>
      </c>
      <c r="O26" s="2764">
        <f t="shared" si="0"/>
        <v>300000000</v>
      </c>
      <c r="P26" s="2765" t="s">
        <v>58</v>
      </c>
      <c r="Q26" s="2836">
        <f>L26</f>
        <v>250000000</v>
      </c>
      <c r="R26" s="2764">
        <f t="shared" ref="R26:R32" si="4">+L26-Q26</f>
        <v>0</v>
      </c>
      <c r="S26" s="2764" t="s">
        <v>59</v>
      </c>
      <c r="T26" s="3081" t="s">
        <v>60</v>
      </c>
      <c r="U26" s="2764" t="s">
        <v>21</v>
      </c>
      <c r="V26" s="2764" t="s">
        <v>21</v>
      </c>
      <c r="W26" s="2841"/>
      <c r="X26" s="2835"/>
      <c r="Y26" s="2873"/>
      <c r="AC26" s="2874"/>
    </row>
    <row r="27" spans="2:30" s="2667" customFormat="1" ht="30">
      <c r="B27" s="2703"/>
      <c r="C27" s="2704"/>
      <c r="D27" s="2704"/>
      <c r="E27" s="2716">
        <v>3</v>
      </c>
      <c r="F27" s="2722" t="s">
        <v>61</v>
      </c>
      <c r="G27" s="2703"/>
      <c r="H27" s="2704"/>
      <c r="I27" s="2704"/>
      <c r="J27" s="2716">
        <f t="shared" si="3"/>
        <v>3</v>
      </c>
      <c r="K27" s="2722" t="str">
        <f t="shared" si="3"/>
        <v>Road Improvement Project to Support Integrated Land and Sea Toll Way - Northern Area</v>
      </c>
      <c r="L27" s="2766">
        <v>250000000</v>
      </c>
      <c r="M27" s="2764">
        <v>50000000</v>
      </c>
      <c r="N27" s="2767">
        <v>0</v>
      </c>
      <c r="O27" s="2764">
        <f t="shared" si="0"/>
        <v>300000000</v>
      </c>
      <c r="P27" s="2765" t="s">
        <v>62</v>
      </c>
      <c r="Q27" s="2766">
        <v>250000000</v>
      </c>
      <c r="R27" s="2764">
        <f t="shared" si="4"/>
        <v>0</v>
      </c>
      <c r="S27" s="2764" t="s">
        <v>21</v>
      </c>
      <c r="T27" s="2764" t="s">
        <v>21</v>
      </c>
      <c r="U27" s="2764" t="s">
        <v>21</v>
      </c>
      <c r="V27" s="2764" t="s">
        <v>21</v>
      </c>
      <c r="W27" s="2841"/>
      <c r="X27" s="2835"/>
      <c r="Y27" s="2873"/>
    </row>
    <row r="28" spans="2:30" s="2667" customFormat="1" ht="30">
      <c r="B28" s="2703"/>
      <c r="C28" s="2704"/>
      <c r="D28" s="2704"/>
      <c r="E28" s="2716">
        <v>4</v>
      </c>
      <c r="F28" s="2722" t="s">
        <v>63</v>
      </c>
      <c r="G28" s="2703"/>
      <c r="H28" s="2704"/>
      <c r="I28" s="2704"/>
      <c r="J28" s="2716">
        <f t="shared" si="3"/>
        <v>4</v>
      </c>
      <c r="K28" s="2722" t="str">
        <f>F28</f>
        <v>Road Improvement Project to Support Integrated Land and Sea Toll Way  - Southern Area</v>
      </c>
      <c r="L28" s="2766">
        <v>250000000</v>
      </c>
      <c r="M28" s="2764">
        <v>50000000</v>
      </c>
      <c r="N28" s="2767">
        <v>0</v>
      </c>
      <c r="O28" s="2764">
        <f t="shared" si="0"/>
        <v>300000000</v>
      </c>
      <c r="P28" s="2769" t="s">
        <v>62</v>
      </c>
      <c r="Q28" s="2766">
        <v>250000000</v>
      </c>
      <c r="R28" s="2764">
        <f t="shared" si="4"/>
        <v>0</v>
      </c>
      <c r="S28" s="2764" t="s">
        <v>21</v>
      </c>
      <c r="T28" s="2764" t="s">
        <v>21</v>
      </c>
      <c r="U28" s="2764" t="s">
        <v>21</v>
      </c>
      <c r="V28" s="2764" t="s">
        <v>21</v>
      </c>
      <c r="W28" s="2841"/>
      <c r="X28" s="2835"/>
      <c r="Y28" s="2873"/>
    </row>
    <row r="29" spans="2:30" s="2667" customFormat="1">
      <c r="B29" s="2703"/>
      <c r="C29" s="2704"/>
      <c r="D29" s="2704"/>
      <c r="E29" s="2716">
        <v>5</v>
      </c>
      <c r="F29" s="2722" t="s">
        <v>64</v>
      </c>
      <c r="G29" s="2703"/>
      <c r="H29" s="2704"/>
      <c r="I29" s="2704"/>
      <c r="J29" s="2716">
        <f t="shared" si="3"/>
        <v>5</v>
      </c>
      <c r="K29" s="2722" t="str">
        <f t="shared" si="3"/>
        <v>National Road Improvement in West and South Kalimantan</v>
      </c>
      <c r="L29" s="2766">
        <v>250000000</v>
      </c>
      <c r="M29" s="2764">
        <v>50000000</v>
      </c>
      <c r="N29" s="2767">
        <v>0</v>
      </c>
      <c r="O29" s="2764">
        <f t="shared" si="0"/>
        <v>300000000</v>
      </c>
      <c r="P29" s="2769" t="s">
        <v>58</v>
      </c>
      <c r="Q29" s="2766">
        <v>250000000</v>
      </c>
      <c r="R29" s="2764">
        <f t="shared" si="4"/>
        <v>0</v>
      </c>
      <c r="S29" s="2764" t="s">
        <v>21</v>
      </c>
      <c r="T29" s="2764" t="s">
        <v>21</v>
      </c>
      <c r="U29" s="2764" t="s">
        <v>21</v>
      </c>
      <c r="V29" s="2764" t="s">
        <v>21</v>
      </c>
      <c r="W29" s="2841"/>
      <c r="X29" s="2835"/>
      <c r="Y29" s="2873"/>
    </row>
    <row r="30" spans="2:30" s="2667" customFormat="1">
      <c r="B30" s="2703"/>
      <c r="C30" s="2704"/>
      <c r="D30" s="2704"/>
      <c r="E30" s="2716">
        <v>6</v>
      </c>
      <c r="F30" s="2722" t="s">
        <v>65</v>
      </c>
      <c r="G30" s="2703"/>
      <c r="H30" s="2704"/>
      <c r="I30" s="2704"/>
      <c r="J30" s="2716">
        <f t="shared" si="3"/>
        <v>6</v>
      </c>
      <c r="K30" s="2722" t="str">
        <f t="shared" si="3"/>
        <v>National Road Improvement in Central Kalimantan</v>
      </c>
      <c r="L30" s="2766">
        <v>250000000</v>
      </c>
      <c r="M30" s="2764">
        <v>50000000</v>
      </c>
      <c r="N30" s="2767">
        <v>0</v>
      </c>
      <c r="O30" s="2764">
        <f t="shared" si="0"/>
        <v>300000000</v>
      </c>
      <c r="P30" s="2769" t="s">
        <v>62</v>
      </c>
      <c r="Q30" s="2766">
        <v>250000000</v>
      </c>
      <c r="R30" s="2764">
        <f t="shared" si="4"/>
        <v>0</v>
      </c>
      <c r="S30" s="2843" t="s">
        <v>66</v>
      </c>
      <c r="T30" s="2843" t="s">
        <v>67</v>
      </c>
      <c r="U30" s="2764" t="s">
        <v>21</v>
      </c>
      <c r="V30" s="2764" t="s">
        <v>21</v>
      </c>
      <c r="W30" s="2841"/>
      <c r="X30" s="2835"/>
      <c r="Y30" s="2873"/>
    </row>
    <row r="31" spans="2:30" s="2667" customFormat="1" ht="20.100000000000001" customHeight="1">
      <c r="B31" s="2703"/>
      <c r="C31" s="2704"/>
      <c r="D31" s="2704"/>
      <c r="E31" s="2716">
        <v>7</v>
      </c>
      <c r="F31" s="2722" t="s">
        <v>68</v>
      </c>
      <c r="G31" s="2703"/>
      <c r="H31" s="2704"/>
      <c r="I31" s="2704"/>
      <c r="J31" s="2716">
        <f t="shared" si="3"/>
        <v>7</v>
      </c>
      <c r="K31" s="2722" t="str">
        <f t="shared" si="3"/>
        <v>National Road Improvement in North and East Kalimantan</v>
      </c>
      <c r="L31" s="2766">
        <v>250000000</v>
      </c>
      <c r="M31" s="2764">
        <v>50000000</v>
      </c>
      <c r="N31" s="2767">
        <v>0</v>
      </c>
      <c r="O31" s="2764">
        <f t="shared" si="0"/>
        <v>300000000</v>
      </c>
      <c r="P31" s="2769" t="s">
        <v>58</v>
      </c>
      <c r="Q31" s="2766">
        <v>250000000</v>
      </c>
      <c r="R31" s="2764">
        <f t="shared" si="4"/>
        <v>0</v>
      </c>
      <c r="S31" s="2843" t="s">
        <v>69</v>
      </c>
      <c r="T31" s="2764" t="s">
        <v>21</v>
      </c>
      <c r="U31" s="2764" t="s">
        <v>21</v>
      </c>
      <c r="V31" s="2764" t="s">
        <v>21</v>
      </c>
      <c r="W31" s="2841"/>
      <c r="X31" s="2835"/>
      <c r="Y31" s="2873"/>
    </row>
    <row r="32" spans="2:30" s="2667" customFormat="1" ht="20.100000000000001" customHeight="1">
      <c r="B32" s="2703"/>
      <c r="C32" s="2704"/>
      <c r="D32" s="2717"/>
      <c r="E32" s="2718">
        <v>8</v>
      </c>
      <c r="F32" s="2723" t="s">
        <v>70</v>
      </c>
      <c r="G32" s="2703"/>
      <c r="H32" s="2704"/>
      <c r="I32" s="2717"/>
      <c r="J32" s="2718">
        <f t="shared" si="3"/>
        <v>8</v>
      </c>
      <c r="K32" s="2723" t="str">
        <f t="shared" si="3"/>
        <v>Road Improvement Project in Sulawesi Island and Major Cities</v>
      </c>
      <c r="L32" s="2770">
        <v>250000000</v>
      </c>
      <c r="M32" s="2772">
        <v>50000000</v>
      </c>
      <c r="N32" s="2771">
        <v>0</v>
      </c>
      <c r="O32" s="2772">
        <f t="shared" si="0"/>
        <v>300000000</v>
      </c>
      <c r="P32" s="2765" t="s">
        <v>55</v>
      </c>
      <c r="Q32" s="2766">
        <f>L32</f>
        <v>250000000</v>
      </c>
      <c r="R32" s="2764">
        <f t="shared" si="4"/>
        <v>0</v>
      </c>
      <c r="S32" s="2843" t="s">
        <v>71</v>
      </c>
      <c r="T32" s="2764" t="s">
        <v>21</v>
      </c>
      <c r="U32" s="2764" t="s">
        <v>21</v>
      </c>
      <c r="V32" s="2764" t="s">
        <v>21</v>
      </c>
      <c r="W32" s="2841"/>
      <c r="X32" s="2835"/>
      <c r="Y32" s="2873"/>
    </row>
    <row r="33" spans="2:25" s="2666" customFormat="1" ht="30" customHeight="1">
      <c r="B33" s="2699"/>
      <c r="C33" s="2712"/>
      <c r="D33" s="2701" t="s">
        <v>72</v>
      </c>
      <c r="E33" s="3303" t="s">
        <v>73</v>
      </c>
      <c r="F33" s="3303"/>
      <c r="G33" s="2699"/>
      <c r="H33" s="2712"/>
      <c r="I33" s="2701" t="str">
        <f>D33</f>
        <v>D</v>
      </c>
      <c r="J33" s="3304" t="s">
        <v>74</v>
      </c>
      <c r="K33" s="3305"/>
      <c r="L33" s="2775">
        <f>SUM(L34:L45)</f>
        <v>1197680000</v>
      </c>
      <c r="M33" s="2749">
        <f>SUM(M34:M45)</f>
        <v>59434000</v>
      </c>
      <c r="N33" s="2749">
        <f>SUM(N34:N45)</f>
        <v>0</v>
      </c>
      <c r="O33" s="2750">
        <f t="shared" si="0"/>
        <v>1257114000</v>
      </c>
      <c r="P33" s="2750" t="s">
        <v>21</v>
      </c>
      <c r="Q33" s="2750">
        <f>Q34+Q35+Q36+Q45</f>
        <v>935300000</v>
      </c>
      <c r="R33" s="2751">
        <f>Q33-L33</f>
        <v>-262380000</v>
      </c>
      <c r="S33" s="2750"/>
      <c r="T33" s="2750"/>
      <c r="U33" s="2750"/>
      <c r="V33" s="2750"/>
      <c r="W33" s="2847"/>
      <c r="X33" s="2833"/>
      <c r="Y33" s="2872"/>
    </row>
    <row r="34" spans="2:25" s="2667" customFormat="1" ht="69.75" customHeight="1">
      <c r="B34" s="2703"/>
      <c r="C34" s="2704"/>
      <c r="D34" s="2705"/>
      <c r="E34" s="2720">
        <v>1</v>
      </c>
      <c r="F34" s="2715" t="s">
        <v>75</v>
      </c>
      <c r="G34" s="2703"/>
      <c r="H34" s="2704"/>
      <c r="I34" s="2776"/>
      <c r="J34" s="2720">
        <f>E34</f>
        <v>1</v>
      </c>
      <c r="K34" s="2713" t="str">
        <f>F34</f>
        <v>Community Based Water and Sanitation Program  (PAMSIMAS)</v>
      </c>
      <c r="L34" s="2768">
        <v>300000000</v>
      </c>
      <c r="M34" s="2777">
        <v>15000000</v>
      </c>
      <c r="N34" s="2778">
        <v>0</v>
      </c>
      <c r="O34" s="2756">
        <f t="shared" si="0"/>
        <v>315000000</v>
      </c>
      <c r="P34" s="2765" t="s">
        <v>62</v>
      </c>
      <c r="Q34" s="2768">
        <v>300000000</v>
      </c>
      <c r="R34" s="2764">
        <v>0</v>
      </c>
      <c r="S34" s="3081" t="s">
        <v>76</v>
      </c>
      <c r="T34" s="3082" t="s">
        <v>77</v>
      </c>
      <c r="U34" s="2848" t="s">
        <v>78</v>
      </c>
      <c r="V34" s="2848" t="s">
        <v>79</v>
      </c>
      <c r="W34" s="3081" t="s">
        <v>80</v>
      </c>
      <c r="X34" s="2835"/>
      <c r="Y34" s="2873"/>
    </row>
    <row r="35" spans="2:25" s="2667" customFormat="1" ht="30">
      <c r="B35" s="2703"/>
      <c r="C35" s="2704"/>
      <c r="D35" s="2704"/>
      <c r="E35" s="2716">
        <v>2</v>
      </c>
      <c r="F35" s="2715" t="s">
        <v>81</v>
      </c>
      <c r="G35" s="2703"/>
      <c r="H35" s="2704"/>
      <c r="I35" s="2779"/>
      <c r="J35" s="2716">
        <f>E35</f>
        <v>2</v>
      </c>
      <c r="K35" s="2715" t="str">
        <f>F35</f>
        <v>National Urban Water Supply</v>
      </c>
      <c r="L35" s="2780">
        <v>100000000</v>
      </c>
      <c r="M35" s="2781">
        <v>5000000</v>
      </c>
      <c r="N35" s="2782">
        <v>0</v>
      </c>
      <c r="O35" s="2783">
        <f t="shared" si="0"/>
        <v>105000000</v>
      </c>
      <c r="P35" s="2784" t="s">
        <v>62</v>
      </c>
      <c r="Q35" s="2780">
        <v>100000000</v>
      </c>
      <c r="R35" s="2783">
        <f>Q35-L35</f>
        <v>0</v>
      </c>
      <c r="S35" s="2849" t="s">
        <v>21</v>
      </c>
      <c r="T35" s="2850" t="s">
        <v>21</v>
      </c>
      <c r="U35" s="2851" t="s">
        <v>21</v>
      </c>
      <c r="V35" s="2851" t="s">
        <v>21</v>
      </c>
      <c r="W35" s="2852" t="s">
        <v>82</v>
      </c>
      <c r="X35" s="2835"/>
      <c r="Y35" s="2873"/>
    </row>
    <row r="36" spans="2:25" s="2668" customFormat="1" ht="22.5" customHeight="1">
      <c r="B36" s="2724"/>
      <c r="C36" s="2725"/>
      <c r="D36" s="2704"/>
      <c r="E36" s="2716">
        <v>3</v>
      </c>
      <c r="F36" s="2715" t="s">
        <v>83</v>
      </c>
      <c r="G36" s="2724"/>
      <c r="H36" s="2725"/>
      <c r="I36" s="2779"/>
      <c r="J36" s="2716">
        <f>E36</f>
        <v>3</v>
      </c>
      <c r="K36" s="2715" t="s">
        <v>84</v>
      </c>
      <c r="L36" s="2766">
        <f>100000000+74300000+106200000+167000000+95380000+33400000+40000000+56400000</f>
        <v>672680000</v>
      </c>
      <c r="M36" s="2777">
        <f>5000000+3715000+5310000+8350000+4769000+1670000+2000000+2820000</f>
        <v>33634000</v>
      </c>
      <c r="N36" s="2778"/>
      <c r="O36" s="2764">
        <f t="shared" si="0"/>
        <v>706314000</v>
      </c>
      <c r="P36" s="2769" t="s">
        <v>21</v>
      </c>
      <c r="Q36" s="2766">
        <f>SUM(Q37:Q44)</f>
        <v>410300000</v>
      </c>
      <c r="R36" s="2766">
        <f>SUM(R37:R44)</f>
        <v>-262380000</v>
      </c>
      <c r="S36" s="2853" t="s">
        <v>21</v>
      </c>
      <c r="T36" s="2853" t="s">
        <v>21</v>
      </c>
      <c r="U36" s="2853" t="s">
        <v>21</v>
      </c>
      <c r="V36" s="2853" t="s">
        <v>21</v>
      </c>
      <c r="W36" s="2841"/>
      <c r="X36" s="2854"/>
      <c r="Y36" s="2876"/>
    </row>
    <row r="37" spans="2:25" s="2668" customFormat="1" ht="30">
      <c r="B37" s="2724"/>
      <c r="C37" s="2725"/>
      <c r="D37" s="2704"/>
      <c r="E37" s="2716"/>
      <c r="F37" s="2715"/>
      <c r="G37" s="2724"/>
      <c r="H37" s="2725"/>
      <c r="I37" s="2779"/>
      <c r="J37" s="2785"/>
      <c r="K37" s="2715" t="s">
        <v>85</v>
      </c>
      <c r="L37" s="2766"/>
      <c r="M37" s="2777"/>
      <c r="N37" s="2778"/>
      <c r="O37" s="2764"/>
      <c r="P37" s="2765" t="s">
        <v>55</v>
      </c>
      <c r="Q37" s="2766">
        <v>100000000</v>
      </c>
      <c r="R37" s="2764">
        <f>100000000-Q37</f>
        <v>0</v>
      </c>
      <c r="S37" s="2855" t="s">
        <v>21</v>
      </c>
      <c r="T37" s="2839" t="s">
        <v>60</v>
      </c>
      <c r="U37" s="2838" t="s">
        <v>86</v>
      </c>
      <c r="V37" s="2851" t="s">
        <v>21</v>
      </c>
      <c r="W37" s="2841"/>
      <c r="X37" s="2854"/>
      <c r="Y37" s="2876"/>
    </row>
    <row r="38" spans="2:25" s="2668" customFormat="1" ht="45">
      <c r="B38" s="2724"/>
      <c r="C38" s="2725"/>
      <c r="D38" s="2704"/>
      <c r="E38" s="2716"/>
      <c r="F38" s="2715"/>
      <c r="G38" s="2724"/>
      <c r="H38" s="2725"/>
      <c r="I38" s="2779"/>
      <c r="J38" s="2704"/>
      <c r="K38" s="2715" t="s">
        <v>87</v>
      </c>
      <c r="L38" s="2766"/>
      <c r="M38" s="2777"/>
      <c r="N38" s="2778"/>
      <c r="O38" s="2764"/>
      <c r="P38" s="2765" t="s">
        <v>62</v>
      </c>
      <c r="Q38" s="2780">
        <v>74300000</v>
      </c>
      <c r="R38" s="2764">
        <f>74300000-Q38</f>
        <v>0</v>
      </c>
      <c r="S38" s="2855" t="s">
        <v>21</v>
      </c>
      <c r="T38" s="2838" t="s">
        <v>88</v>
      </c>
      <c r="U38" s="2838" t="s">
        <v>86</v>
      </c>
      <c r="V38" s="2851" t="s">
        <v>21</v>
      </c>
      <c r="W38" s="2841" t="s">
        <v>89</v>
      </c>
      <c r="X38" s="2854"/>
      <c r="Y38" s="2876"/>
    </row>
    <row r="39" spans="2:25" s="2668" customFormat="1" ht="45">
      <c r="B39" s="2724"/>
      <c r="C39" s="2725"/>
      <c r="D39" s="2704"/>
      <c r="E39" s="2716"/>
      <c r="F39" s="2715"/>
      <c r="G39" s="2724"/>
      <c r="H39" s="2725"/>
      <c r="I39" s="2779"/>
      <c r="J39" s="2704"/>
      <c r="K39" s="2715" t="s">
        <v>90</v>
      </c>
      <c r="L39" s="2766"/>
      <c r="M39" s="2777"/>
      <c r="N39" s="2778"/>
      <c r="O39" s="2764"/>
      <c r="P39" s="2765" t="s">
        <v>91</v>
      </c>
      <c r="Q39" s="2766">
        <v>106200000</v>
      </c>
      <c r="R39" s="2764">
        <f>106200000-Q39</f>
        <v>0</v>
      </c>
      <c r="S39" s="2855" t="s">
        <v>21</v>
      </c>
      <c r="T39" s="2838" t="s">
        <v>88</v>
      </c>
      <c r="U39" s="2838" t="s">
        <v>86</v>
      </c>
      <c r="V39" s="2851" t="s">
        <v>21</v>
      </c>
      <c r="W39" s="2841"/>
      <c r="X39" s="2854"/>
      <c r="Y39" s="2876"/>
    </row>
    <row r="40" spans="2:25" s="2668" customFormat="1" ht="30">
      <c r="B40" s="2724"/>
      <c r="C40" s="2725"/>
      <c r="D40" s="2704"/>
      <c r="E40" s="2716"/>
      <c r="F40" s="2715"/>
      <c r="G40" s="2724"/>
      <c r="H40" s="2725"/>
      <c r="I40" s="2779"/>
      <c r="J40" s="2704"/>
      <c r="K40" s="2715" t="s">
        <v>92</v>
      </c>
      <c r="L40" s="2766"/>
      <c r="M40" s="2777"/>
      <c r="N40" s="2778"/>
      <c r="O40" s="2764"/>
      <c r="P40" s="2786" t="s">
        <v>93</v>
      </c>
      <c r="Q40" s="2766">
        <v>0</v>
      </c>
      <c r="R40" s="2764">
        <v>-167000000</v>
      </c>
      <c r="S40" s="2855" t="s">
        <v>21</v>
      </c>
      <c r="T40" s="2839" t="s">
        <v>21</v>
      </c>
      <c r="U40" s="2838" t="s">
        <v>21</v>
      </c>
      <c r="V40" s="2851" t="s">
        <v>21</v>
      </c>
      <c r="W40" s="2841" t="s">
        <v>89</v>
      </c>
      <c r="X40" s="2854"/>
      <c r="Y40" s="2876"/>
    </row>
    <row r="41" spans="2:25" s="2668" customFormat="1" ht="30">
      <c r="B41" s="2724"/>
      <c r="C41" s="2725"/>
      <c r="D41" s="2704"/>
      <c r="E41" s="2716"/>
      <c r="F41" s="2715"/>
      <c r="G41" s="2724"/>
      <c r="H41" s="2725"/>
      <c r="I41" s="2779"/>
      <c r="J41" s="2704"/>
      <c r="K41" s="2715" t="s">
        <v>94</v>
      </c>
      <c r="L41" s="2766"/>
      <c r="M41" s="2777"/>
      <c r="N41" s="2778"/>
      <c r="O41" s="2764"/>
      <c r="P41" s="2786" t="s">
        <v>93</v>
      </c>
      <c r="Q41" s="2766">
        <v>0</v>
      </c>
      <c r="R41" s="2764">
        <v>-95380000</v>
      </c>
      <c r="S41" s="2838" t="s">
        <v>95</v>
      </c>
      <c r="T41" s="2839" t="s">
        <v>21</v>
      </c>
      <c r="U41" s="2855" t="s">
        <v>21</v>
      </c>
      <c r="V41" s="2851" t="s">
        <v>21</v>
      </c>
      <c r="W41" s="2841"/>
      <c r="X41" s="2854"/>
      <c r="Y41" s="2876"/>
    </row>
    <row r="42" spans="2:25" s="2668" customFormat="1" ht="30">
      <c r="B42" s="2724"/>
      <c r="C42" s="2725"/>
      <c r="D42" s="2704"/>
      <c r="E42" s="2716"/>
      <c r="F42" s="2715"/>
      <c r="G42" s="2724"/>
      <c r="H42" s="2725"/>
      <c r="I42" s="2779"/>
      <c r="J42" s="2704"/>
      <c r="K42" s="2715" t="s">
        <v>96</v>
      </c>
      <c r="L42" s="2766"/>
      <c r="M42" s="2777"/>
      <c r="N42" s="2778"/>
      <c r="O42" s="2764"/>
      <c r="P42" s="2765" t="s">
        <v>62</v>
      </c>
      <c r="Q42" s="2780">
        <v>33400000</v>
      </c>
      <c r="R42" s="2764">
        <f>Q42-33400000</f>
        <v>0</v>
      </c>
      <c r="S42" s="2839" t="s">
        <v>21</v>
      </c>
      <c r="T42" s="2839" t="s">
        <v>97</v>
      </c>
      <c r="U42" s="2839" t="s">
        <v>98</v>
      </c>
      <c r="V42" s="2851" t="s">
        <v>21</v>
      </c>
      <c r="W42" s="2841" t="s">
        <v>89</v>
      </c>
      <c r="X42" s="2854"/>
      <c r="Y42" s="2876"/>
    </row>
    <row r="43" spans="2:25" s="2668" customFormat="1" ht="30">
      <c r="B43" s="2724"/>
      <c r="C43" s="2725"/>
      <c r="D43" s="2704"/>
      <c r="E43" s="2716"/>
      <c r="F43" s="2715"/>
      <c r="G43" s="2724"/>
      <c r="H43" s="2725"/>
      <c r="I43" s="2779"/>
      <c r="J43" s="2704"/>
      <c r="K43" s="2715" t="s">
        <v>99</v>
      </c>
      <c r="L43" s="2766"/>
      <c r="M43" s="2777"/>
      <c r="N43" s="2778"/>
      <c r="O43" s="2764"/>
      <c r="P43" s="2765" t="s">
        <v>28</v>
      </c>
      <c r="Q43" s="2766">
        <v>40000000</v>
      </c>
      <c r="R43" s="2764">
        <f>+Q43-40000000</f>
        <v>0</v>
      </c>
      <c r="S43" s="2839" t="s">
        <v>21</v>
      </c>
      <c r="T43" s="2839" t="s">
        <v>60</v>
      </c>
      <c r="U43" s="2838" t="s">
        <v>86</v>
      </c>
      <c r="V43" s="2851" t="s">
        <v>21</v>
      </c>
      <c r="W43" s="2841" t="s">
        <v>100</v>
      </c>
      <c r="X43" s="2854"/>
      <c r="Y43" s="2876"/>
    </row>
    <row r="44" spans="2:25" s="2668" customFormat="1" ht="35.25" customHeight="1">
      <c r="B44" s="2724"/>
      <c r="C44" s="2725"/>
      <c r="D44" s="2704"/>
      <c r="E44" s="2716"/>
      <c r="F44" s="2715"/>
      <c r="G44" s="2724"/>
      <c r="H44" s="2725"/>
      <c r="I44" s="2779"/>
      <c r="J44" s="2727"/>
      <c r="K44" s="2715" t="s">
        <v>101</v>
      </c>
      <c r="L44" s="2766"/>
      <c r="M44" s="2777"/>
      <c r="N44" s="2778"/>
      <c r="O44" s="2764"/>
      <c r="P44" s="2765" t="s">
        <v>91</v>
      </c>
      <c r="Q44" s="2766">
        <v>56400000</v>
      </c>
      <c r="R44" s="2764">
        <f>+Q44-56400000</f>
        <v>0</v>
      </c>
      <c r="S44" s="2839" t="s">
        <v>21</v>
      </c>
      <c r="T44" s="2839" t="s">
        <v>33</v>
      </c>
      <c r="U44" s="2838" t="s">
        <v>86</v>
      </c>
      <c r="V44" s="2851" t="s">
        <v>21</v>
      </c>
      <c r="W44" s="2841"/>
      <c r="X44" s="2854"/>
      <c r="Y44" s="2876"/>
    </row>
    <row r="45" spans="2:25" s="2668" customFormat="1" ht="24" customHeight="1">
      <c r="B45" s="2724"/>
      <c r="C45" s="2725"/>
      <c r="D45" s="2704"/>
      <c r="E45" s="2716">
        <v>4</v>
      </c>
      <c r="F45" s="2715" t="s">
        <v>102</v>
      </c>
      <c r="G45" s="2724"/>
      <c r="H45" s="2725"/>
      <c r="I45" s="2779"/>
      <c r="J45" s="2716">
        <f>E45</f>
        <v>4</v>
      </c>
      <c r="K45" s="2715" t="s">
        <v>103</v>
      </c>
      <c r="L45" s="2766">
        <f>25000000+100000000</f>
        <v>125000000</v>
      </c>
      <c r="M45" s="2777">
        <f>800000+5000000</f>
        <v>5800000</v>
      </c>
      <c r="N45" s="2778"/>
      <c r="O45" s="2764">
        <f t="shared" si="0"/>
        <v>130800000</v>
      </c>
      <c r="P45" s="2765" t="s">
        <v>21</v>
      </c>
      <c r="Q45" s="2766">
        <f>Q46+Q47</f>
        <v>125000000</v>
      </c>
      <c r="R45" s="2766">
        <f>R46+R47</f>
        <v>0</v>
      </c>
      <c r="S45" s="2843"/>
      <c r="T45" s="2843"/>
      <c r="U45" s="2843"/>
      <c r="V45" s="2851" t="s">
        <v>21</v>
      </c>
      <c r="W45" s="2841"/>
      <c r="X45" s="2854"/>
      <c r="Y45" s="2876"/>
    </row>
    <row r="46" spans="2:25" s="2668" customFormat="1" ht="75">
      <c r="B46" s="2724"/>
      <c r="C46" s="2725"/>
      <c r="D46" s="2704"/>
      <c r="E46" s="2704"/>
      <c r="F46" s="2726"/>
      <c r="G46" s="2724"/>
      <c r="H46" s="2725"/>
      <c r="I46" s="2779"/>
      <c r="J46" s="2785"/>
      <c r="K46" s="2715" t="s">
        <v>104</v>
      </c>
      <c r="L46" s="2766"/>
      <c r="M46" s="2777"/>
      <c r="N46" s="2778"/>
      <c r="O46" s="2764"/>
      <c r="P46" s="2765" t="s">
        <v>105</v>
      </c>
      <c r="Q46" s="2766">
        <v>25000000</v>
      </c>
      <c r="R46" s="2764">
        <f>+Q46-25000000</f>
        <v>0</v>
      </c>
      <c r="S46" s="3081" t="s">
        <v>106</v>
      </c>
      <c r="T46" s="2839" t="s">
        <v>60</v>
      </c>
      <c r="U46" s="2856" t="s">
        <v>21</v>
      </c>
      <c r="V46" s="2856" t="s">
        <v>21</v>
      </c>
      <c r="W46" s="2841"/>
      <c r="X46" s="2854"/>
      <c r="Y46" s="2876"/>
    </row>
    <row r="47" spans="2:25" s="2668" customFormat="1" ht="45">
      <c r="B47" s="2724"/>
      <c r="C47" s="2725"/>
      <c r="D47" s="2704"/>
      <c r="E47" s="2704"/>
      <c r="F47" s="2726"/>
      <c r="G47" s="2724"/>
      <c r="H47" s="2725"/>
      <c r="I47" s="2787"/>
      <c r="J47" s="2717"/>
      <c r="K47" s="2788" t="s">
        <v>107</v>
      </c>
      <c r="L47" s="2789"/>
      <c r="M47" s="2790"/>
      <c r="N47" s="2791"/>
      <c r="O47" s="2792"/>
      <c r="P47" s="2765" t="s">
        <v>108</v>
      </c>
      <c r="Q47" s="2766">
        <v>100000000</v>
      </c>
      <c r="R47" s="2857">
        <f>+Q47-100000000</f>
        <v>0</v>
      </c>
      <c r="S47" s="3081" t="s">
        <v>32</v>
      </c>
      <c r="T47" s="2838" t="s">
        <v>109</v>
      </c>
      <c r="U47" s="2838" t="s">
        <v>110</v>
      </c>
      <c r="V47" s="2838" t="s">
        <v>111</v>
      </c>
      <c r="W47" s="2818" t="s">
        <v>112</v>
      </c>
      <c r="X47" s="2854"/>
      <c r="Y47" s="2876"/>
    </row>
    <row r="48" spans="2:25" s="2666" customFormat="1" ht="30" customHeight="1">
      <c r="B48" s="2699"/>
      <c r="C48" s="2712"/>
      <c r="D48" s="2701" t="s">
        <v>113</v>
      </c>
      <c r="E48" s="3303" t="s">
        <v>114</v>
      </c>
      <c r="F48" s="3303"/>
      <c r="G48" s="2699"/>
      <c r="H48" s="2712"/>
      <c r="I48" s="2701" t="str">
        <f>D48</f>
        <v>E</v>
      </c>
      <c r="J48" s="3304" t="s">
        <v>115</v>
      </c>
      <c r="K48" s="3305"/>
      <c r="L48" s="2793">
        <f>SUM(L49:L56)</f>
        <v>3583000000</v>
      </c>
      <c r="M48" s="2794">
        <f>SUM(M49:M56)</f>
        <v>179150000</v>
      </c>
      <c r="N48" s="2749">
        <f>SUM(N49:N56)</f>
        <v>0</v>
      </c>
      <c r="O48" s="2750">
        <f t="shared" si="0"/>
        <v>3762150000</v>
      </c>
      <c r="P48" s="2750" t="s">
        <v>21</v>
      </c>
      <c r="Q48" s="2750">
        <f>SUM(Q49:Q56)</f>
        <v>3583000000</v>
      </c>
      <c r="R48" s="2751">
        <f>Q48-L48</f>
        <v>0</v>
      </c>
      <c r="S48" s="2750"/>
      <c r="T48" s="2750"/>
      <c r="U48" s="2750"/>
      <c r="V48" s="2750"/>
      <c r="W48" s="2847"/>
      <c r="X48" s="2833"/>
    </row>
    <row r="49" spans="2:25" s="2667" customFormat="1" ht="120">
      <c r="B49" s="2703"/>
      <c r="C49" s="2704"/>
      <c r="D49" s="2705"/>
      <c r="E49" s="2720">
        <v>1</v>
      </c>
      <c r="F49" s="2713" t="s">
        <v>116</v>
      </c>
      <c r="G49" s="2703"/>
      <c r="H49" s="2704"/>
      <c r="I49" s="2705"/>
      <c r="J49" s="2795">
        <f t="shared" ref="J49:K56" si="5">E49</f>
        <v>1</v>
      </c>
      <c r="K49" s="2796" t="str">
        <f t="shared" si="5"/>
        <v>Community Based Sanitation Program (SANIMAS)</v>
      </c>
      <c r="L49" s="2797">
        <v>250000000</v>
      </c>
      <c r="M49" s="2798">
        <f>L49*5%</f>
        <v>12500000</v>
      </c>
      <c r="N49" s="2799">
        <v>0</v>
      </c>
      <c r="O49" s="2783">
        <f t="shared" si="0"/>
        <v>262500000</v>
      </c>
      <c r="P49" s="2769" t="s">
        <v>117</v>
      </c>
      <c r="Q49" s="2780">
        <v>250000000</v>
      </c>
      <c r="R49" s="2858">
        <f>Q49-L49</f>
        <v>0</v>
      </c>
      <c r="S49" s="2859" t="s">
        <v>118</v>
      </c>
      <c r="T49" s="2859" t="s">
        <v>118</v>
      </c>
      <c r="U49" s="2859" t="s">
        <v>119</v>
      </c>
      <c r="V49" s="2856" t="s">
        <v>21</v>
      </c>
      <c r="W49" s="2860"/>
      <c r="X49" s="2835"/>
      <c r="Y49" s="2873"/>
    </row>
    <row r="50" spans="2:25" s="2667" customFormat="1" ht="30">
      <c r="B50" s="2703"/>
      <c r="C50" s="2704"/>
      <c r="D50" s="2704"/>
      <c r="E50" s="2716">
        <v>2</v>
      </c>
      <c r="F50" s="2715" t="s">
        <v>120</v>
      </c>
      <c r="G50" s="2703"/>
      <c r="H50" s="2704"/>
      <c r="I50" s="2704"/>
      <c r="J50" s="2716">
        <f t="shared" si="5"/>
        <v>2</v>
      </c>
      <c r="K50" s="2715" t="str">
        <f t="shared" si="5"/>
        <v>Jakarta Sewerage Development Project - Zone 1 and Zone 6</v>
      </c>
      <c r="L50" s="2766">
        <v>1950000000</v>
      </c>
      <c r="M50" s="2800">
        <f t="shared" ref="M50:M56" si="6">L50*5%</f>
        <v>97500000</v>
      </c>
      <c r="N50" s="2778">
        <v>0</v>
      </c>
      <c r="O50" s="2764">
        <f t="shared" si="0"/>
        <v>2047500000</v>
      </c>
      <c r="P50" s="2765" t="s">
        <v>55</v>
      </c>
      <c r="Q50" s="2766">
        <f>L50</f>
        <v>1950000000</v>
      </c>
      <c r="R50" s="2783">
        <f>Q50-L50</f>
        <v>0</v>
      </c>
      <c r="S50" s="2856" t="s">
        <v>49</v>
      </c>
      <c r="T50" s="2856" t="s">
        <v>60</v>
      </c>
      <c r="U50" s="2859" t="s">
        <v>121</v>
      </c>
      <c r="V50" s="2856" t="s">
        <v>21</v>
      </c>
      <c r="W50" s="2852"/>
      <c r="X50" s="2835"/>
    </row>
    <row r="51" spans="2:25" s="2667" customFormat="1" ht="30">
      <c r="B51" s="2703"/>
      <c r="C51" s="2704"/>
      <c r="D51" s="2704"/>
      <c r="E51" s="2716">
        <v>3</v>
      </c>
      <c r="F51" s="2715" t="s">
        <v>122</v>
      </c>
      <c r="G51" s="2703"/>
      <c r="H51" s="2704"/>
      <c r="I51" s="2704"/>
      <c r="J51" s="2716">
        <f t="shared" si="5"/>
        <v>3</v>
      </c>
      <c r="K51" s="2715" t="str">
        <f t="shared" si="5"/>
        <v>The Development of Sewage Treatment Plant Facility in Priority Area</v>
      </c>
      <c r="L51" s="2766">
        <v>75000000</v>
      </c>
      <c r="M51" s="2800">
        <f t="shared" si="6"/>
        <v>3750000</v>
      </c>
      <c r="N51" s="2801">
        <v>0</v>
      </c>
      <c r="O51" s="2764">
        <f t="shared" si="0"/>
        <v>78750000</v>
      </c>
      <c r="P51" s="2765" t="s">
        <v>62</v>
      </c>
      <c r="Q51" s="2766">
        <v>75000000</v>
      </c>
      <c r="R51" s="2783">
        <f>Q51-L51</f>
        <v>0</v>
      </c>
      <c r="S51" s="2859" t="s">
        <v>123</v>
      </c>
      <c r="T51" s="2856" t="s">
        <v>21</v>
      </c>
      <c r="U51" s="2856" t="s">
        <v>21</v>
      </c>
      <c r="V51" s="2856" t="s">
        <v>21</v>
      </c>
      <c r="W51" s="2859" t="s">
        <v>124</v>
      </c>
      <c r="X51" s="2835"/>
      <c r="Y51" s="2873"/>
    </row>
    <row r="52" spans="2:25" s="2667" customFormat="1">
      <c r="B52" s="2703"/>
      <c r="C52" s="2704"/>
      <c r="D52" s="2704"/>
      <c r="E52" s="2716">
        <v>4</v>
      </c>
      <c r="F52" s="2715" t="s">
        <v>125</v>
      </c>
      <c r="G52" s="2703"/>
      <c r="H52" s="2704"/>
      <c r="I52" s="2704"/>
      <c r="J52" s="2802">
        <f t="shared" si="5"/>
        <v>4</v>
      </c>
      <c r="K52" s="2803" t="str">
        <f t="shared" si="5"/>
        <v>Sewerage System Development in Indonesia</v>
      </c>
      <c r="L52" s="2804">
        <v>975000000</v>
      </c>
      <c r="M52" s="2800">
        <f t="shared" si="6"/>
        <v>48750000</v>
      </c>
      <c r="N52" s="2778">
        <v>0</v>
      </c>
      <c r="O52" s="2764">
        <f t="shared" si="0"/>
        <v>1023750000</v>
      </c>
      <c r="P52" s="2765" t="s">
        <v>117</v>
      </c>
      <c r="Q52" s="2766">
        <v>450000000</v>
      </c>
      <c r="R52" s="2764">
        <f>Q52+Q53+Q54-L52</f>
        <v>0</v>
      </c>
      <c r="S52" s="2856" t="s">
        <v>21</v>
      </c>
      <c r="T52" s="2856" t="s">
        <v>21</v>
      </c>
      <c r="U52" s="2856" t="s">
        <v>21</v>
      </c>
      <c r="V52" s="2856" t="s">
        <v>21</v>
      </c>
      <c r="W52" s="2856" t="s">
        <v>126</v>
      </c>
      <c r="X52" s="2835"/>
      <c r="Y52" s="2873"/>
    </row>
    <row r="53" spans="2:25" s="2667" customFormat="1">
      <c r="B53" s="2703"/>
      <c r="C53" s="2704"/>
      <c r="D53" s="2704"/>
      <c r="E53" s="2727"/>
      <c r="F53" s="2715"/>
      <c r="G53" s="2703"/>
      <c r="H53" s="2704"/>
      <c r="I53" s="2704"/>
      <c r="J53" s="2703"/>
      <c r="K53" s="2803" t="str">
        <f>+F52</f>
        <v>Sewerage System Development in Indonesia</v>
      </c>
      <c r="L53" s="2804"/>
      <c r="M53" s="2800"/>
      <c r="N53" s="2801"/>
      <c r="O53" s="2764"/>
      <c r="P53" s="2765" t="s">
        <v>58</v>
      </c>
      <c r="Q53" s="2766">
        <v>325000000</v>
      </c>
      <c r="R53" s="2764">
        <f>Q53+Q54+Q52-L52</f>
        <v>0</v>
      </c>
      <c r="S53" s="2856" t="s">
        <v>21</v>
      </c>
      <c r="T53" s="2856" t="s">
        <v>21</v>
      </c>
      <c r="U53" s="2856" t="s">
        <v>21</v>
      </c>
      <c r="V53" s="2856" t="s">
        <v>21</v>
      </c>
      <c r="W53" s="2856" t="s">
        <v>126</v>
      </c>
      <c r="X53" s="2835"/>
      <c r="Y53" s="2873"/>
    </row>
    <row r="54" spans="2:25" s="2667" customFormat="1">
      <c r="B54" s="2703"/>
      <c r="C54" s="2704"/>
      <c r="D54" s="2704"/>
      <c r="E54" s="2727"/>
      <c r="F54" s="2715"/>
      <c r="G54" s="2703"/>
      <c r="H54" s="2704"/>
      <c r="I54" s="2704"/>
      <c r="J54" s="2805"/>
      <c r="K54" s="2803" t="str">
        <f>+F52</f>
        <v>Sewerage System Development in Indonesia</v>
      </c>
      <c r="L54" s="2804"/>
      <c r="M54" s="2800"/>
      <c r="N54" s="2801"/>
      <c r="O54" s="2764"/>
      <c r="P54" s="2765" t="s">
        <v>62</v>
      </c>
      <c r="Q54" s="2766">
        <v>200000000</v>
      </c>
      <c r="R54" s="2764">
        <f>Q54+Q53+Q52-L52</f>
        <v>0</v>
      </c>
      <c r="S54" s="2856" t="s">
        <v>21</v>
      </c>
      <c r="T54" s="2856" t="s">
        <v>21</v>
      </c>
      <c r="U54" s="2856" t="s">
        <v>21</v>
      </c>
      <c r="V54" s="2856" t="s">
        <v>21</v>
      </c>
      <c r="W54" s="2856" t="s">
        <v>126</v>
      </c>
      <c r="X54" s="2835"/>
      <c r="Y54" s="2873"/>
    </row>
    <row r="55" spans="2:25" s="2667" customFormat="1" ht="20.100000000000001" customHeight="1">
      <c r="B55" s="2703"/>
      <c r="C55" s="2704"/>
      <c r="D55" s="2704"/>
      <c r="E55" s="2727">
        <v>5</v>
      </c>
      <c r="F55" s="2715" t="s">
        <v>127</v>
      </c>
      <c r="G55" s="2703"/>
      <c r="H55" s="2704"/>
      <c r="I55" s="2704"/>
      <c r="J55" s="2727">
        <f t="shared" si="5"/>
        <v>5</v>
      </c>
      <c r="K55" s="2806" t="str">
        <f t="shared" si="5"/>
        <v>Denpasar Sewerage Development Project - Phase III</v>
      </c>
      <c r="L55" s="2766">
        <v>233000000</v>
      </c>
      <c r="M55" s="2800">
        <f t="shared" si="6"/>
        <v>11650000</v>
      </c>
      <c r="N55" s="2801">
        <v>0</v>
      </c>
      <c r="O55" s="2764">
        <f t="shared" si="0"/>
        <v>244650000</v>
      </c>
      <c r="P55" s="2765" t="s">
        <v>55</v>
      </c>
      <c r="Q55" s="2766">
        <f>L55</f>
        <v>233000000</v>
      </c>
      <c r="R55" s="2764">
        <f t="shared" ref="R55:R60" si="7">Q55-L55</f>
        <v>0</v>
      </c>
      <c r="S55" s="2856" t="s">
        <v>49</v>
      </c>
      <c r="T55" s="2856" t="s">
        <v>21</v>
      </c>
      <c r="U55" s="2856" t="s">
        <v>21</v>
      </c>
      <c r="V55" s="2856" t="s">
        <v>21</v>
      </c>
      <c r="W55" s="2856"/>
      <c r="X55" s="2835"/>
      <c r="Y55" s="2873"/>
    </row>
    <row r="56" spans="2:25" s="2667" customFormat="1" ht="30">
      <c r="B56" s="2703"/>
      <c r="C56" s="2704"/>
      <c r="D56" s="2717"/>
      <c r="E56" s="2718">
        <v>6</v>
      </c>
      <c r="F56" s="2715" t="s">
        <v>128</v>
      </c>
      <c r="G56" s="2703"/>
      <c r="H56" s="2704"/>
      <c r="I56" s="2717"/>
      <c r="J56" s="2718">
        <f t="shared" si="5"/>
        <v>6</v>
      </c>
      <c r="K56" s="2719" t="str">
        <f t="shared" si="5"/>
        <v>The Development and Optimization of Wastewater Treatment in Greater Bandung</v>
      </c>
      <c r="L56" s="2766">
        <v>100000000</v>
      </c>
      <c r="M56" s="2800">
        <f t="shared" si="6"/>
        <v>5000000</v>
      </c>
      <c r="N56" s="2778">
        <v>0</v>
      </c>
      <c r="O56" s="2764">
        <f t="shared" si="0"/>
        <v>105000000</v>
      </c>
      <c r="P56" s="2765" t="s">
        <v>91</v>
      </c>
      <c r="Q56" s="2766">
        <f>L56</f>
        <v>100000000</v>
      </c>
      <c r="R56" s="2764">
        <f t="shared" si="7"/>
        <v>0</v>
      </c>
      <c r="S56" s="2851" t="s">
        <v>129</v>
      </c>
      <c r="T56" s="2851" t="s">
        <v>130</v>
      </c>
      <c r="U56" s="2851" t="s">
        <v>21</v>
      </c>
      <c r="V56" s="2851" t="s">
        <v>21</v>
      </c>
      <c r="W56" s="2780"/>
      <c r="X56" s="2835"/>
      <c r="Y56" s="2873"/>
    </row>
    <row r="57" spans="2:25" s="2667" customFormat="1" ht="30" customHeight="1">
      <c r="B57" s="2703"/>
      <c r="C57" s="2704"/>
      <c r="D57" s="2701" t="s">
        <v>131</v>
      </c>
      <c r="E57" s="3310" t="s">
        <v>132</v>
      </c>
      <c r="F57" s="3310"/>
      <c r="G57" s="2703"/>
      <c r="H57" s="2704"/>
      <c r="I57" s="2701" t="str">
        <f>D57</f>
        <v>F</v>
      </c>
      <c r="J57" s="3304" t="s">
        <v>133</v>
      </c>
      <c r="K57" s="3305"/>
      <c r="L57" s="2807">
        <f>L58+L59</f>
        <v>250000000</v>
      </c>
      <c r="M57" s="2808">
        <f>M58+M59</f>
        <v>12500000</v>
      </c>
      <c r="N57" s="2808">
        <f>N58+N59</f>
        <v>0</v>
      </c>
      <c r="O57" s="2750">
        <f t="shared" si="0"/>
        <v>262500000</v>
      </c>
      <c r="P57" s="2750" t="s">
        <v>21</v>
      </c>
      <c r="Q57" s="2750">
        <f>SUM(Q58:Q59)</f>
        <v>250000000</v>
      </c>
      <c r="R57" s="2751">
        <f t="shared" si="7"/>
        <v>0</v>
      </c>
      <c r="S57" s="2750"/>
      <c r="T57" s="2750"/>
      <c r="U57" s="2750"/>
      <c r="V57" s="2750"/>
      <c r="W57" s="2847"/>
      <c r="X57" s="2835"/>
      <c r="Y57" s="2873"/>
    </row>
    <row r="58" spans="2:25" s="2667" customFormat="1" ht="30">
      <c r="B58" s="2703"/>
      <c r="C58" s="2704"/>
      <c r="D58" s="2705"/>
      <c r="E58" s="2720">
        <v>1</v>
      </c>
      <c r="F58" s="2713" t="s">
        <v>134</v>
      </c>
      <c r="G58" s="2703"/>
      <c r="H58" s="2704"/>
      <c r="I58" s="2705"/>
      <c r="J58" s="2720">
        <f>E58</f>
        <v>1</v>
      </c>
      <c r="K58" s="2713" t="str">
        <f>F58</f>
        <v xml:space="preserve">Advanced Solid Waste Management for Sustainable Urban Development (Advance SWM-SUD) </v>
      </c>
      <c r="L58" s="2809">
        <v>150000000</v>
      </c>
      <c r="M58" s="2810">
        <f>L58*5%</f>
        <v>7500000</v>
      </c>
      <c r="N58" s="2811">
        <v>0</v>
      </c>
      <c r="O58" s="2810">
        <f t="shared" si="0"/>
        <v>157500000</v>
      </c>
      <c r="P58" s="2812" t="s">
        <v>91</v>
      </c>
      <c r="Q58" s="2809">
        <f>L58</f>
        <v>150000000</v>
      </c>
      <c r="R58" s="2810">
        <f t="shared" si="7"/>
        <v>0</v>
      </c>
      <c r="S58" s="2856" t="s">
        <v>21</v>
      </c>
      <c r="T58" s="2861" t="s">
        <v>135</v>
      </c>
      <c r="U58" s="2856" t="s">
        <v>21</v>
      </c>
      <c r="V58" s="2856" t="s">
        <v>21</v>
      </c>
      <c r="W58" s="2834" t="s">
        <v>126</v>
      </c>
      <c r="X58" s="2835"/>
      <c r="Y58" s="2873"/>
    </row>
    <row r="59" spans="2:25" s="2667" customFormat="1" ht="30">
      <c r="B59" s="2703"/>
      <c r="C59" s="2704"/>
      <c r="D59" s="2717"/>
      <c r="E59" s="2718">
        <v>2</v>
      </c>
      <c r="F59" s="2715" t="s">
        <v>136</v>
      </c>
      <c r="G59" s="2703"/>
      <c r="H59" s="2704"/>
      <c r="I59" s="2717"/>
      <c r="J59" s="2718">
        <f>E59</f>
        <v>2</v>
      </c>
      <c r="K59" s="2719" t="str">
        <f>F59</f>
        <v>The Improvement of Solid Waste Management to Support Regional Area and Metropolitan Cities</v>
      </c>
      <c r="L59" s="2813">
        <v>100000000</v>
      </c>
      <c r="M59" s="2814">
        <f>L59*5%</f>
        <v>5000000</v>
      </c>
      <c r="N59" s="2815">
        <v>0</v>
      </c>
      <c r="O59" s="2814">
        <f t="shared" si="0"/>
        <v>105000000</v>
      </c>
      <c r="P59" s="2816" t="s">
        <v>62</v>
      </c>
      <c r="Q59" s="2813">
        <v>100000000</v>
      </c>
      <c r="R59" s="2814">
        <f t="shared" si="7"/>
        <v>0</v>
      </c>
      <c r="S59" s="3083" t="s">
        <v>137</v>
      </c>
      <c r="T59" s="2856" t="s">
        <v>21</v>
      </c>
      <c r="U59" s="3083" t="s">
        <v>138</v>
      </c>
      <c r="V59" s="2856" t="s">
        <v>21</v>
      </c>
      <c r="W59" s="2845"/>
      <c r="X59" s="2835"/>
      <c r="Y59" s="2873"/>
    </row>
    <row r="60" spans="2:25" s="2667" customFormat="1" ht="30" customHeight="1">
      <c r="B60" s="2703"/>
      <c r="C60" s="2704"/>
      <c r="D60" s="2701" t="s">
        <v>139</v>
      </c>
      <c r="E60" s="3311" t="s">
        <v>140</v>
      </c>
      <c r="F60" s="3311"/>
      <c r="G60" s="2703"/>
      <c r="H60" s="2704"/>
      <c r="I60" s="2701" t="str">
        <f>D60</f>
        <v>G</v>
      </c>
      <c r="J60" s="3304" t="s">
        <v>141</v>
      </c>
      <c r="K60" s="3305"/>
      <c r="L60" s="2807">
        <f>SUM(L61:L65)</f>
        <v>3614740000</v>
      </c>
      <c r="M60" s="2808">
        <f>SUM(M61:M65)</f>
        <v>180737000</v>
      </c>
      <c r="N60" s="2808">
        <f>SUM(N61:N65)</f>
        <v>0</v>
      </c>
      <c r="O60" s="2750">
        <f t="shared" si="0"/>
        <v>3795477000</v>
      </c>
      <c r="P60" s="2750" t="s">
        <v>21</v>
      </c>
      <c r="Q60" s="2750">
        <f>SUM(Q61:Q65)</f>
        <v>912100000</v>
      </c>
      <c r="R60" s="2751">
        <f t="shared" si="7"/>
        <v>-2702640000</v>
      </c>
      <c r="S60" s="2750"/>
      <c r="T60" s="2750"/>
      <c r="U60" s="2750"/>
      <c r="V60" s="2750"/>
      <c r="W60" s="2847"/>
      <c r="X60" s="2835"/>
      <c r="Y60" s="2873"/>
    </row>
    <row r="61" spans="2:25" s="2667" customFormat="1" ht="168" customHeight="1">
      <c r="B61" s="2703"/>
      <c r="C61" s="2704"/>
      <c r="D61" s="2705"/>
      <c r="E61" s="2720">
        <v>1</v>
      </c>
      <c r="F61" s="2713" t="s">
        <v>142</v>
      </c>
      <c r="G61" s="2703"/>
      <c r="H61" s="2704"/>
      <c r="I61" s="2705"/>
      <c r="J61" s="2720">
        <f t="shared" ref="J61:K65" si="8">E61</f>
        <v>1</v>
      </c>
      <c r="K61" s="2713" t="str">
        <f t="shared" si="8"/>
        <v>Slum Improvement in Strategic Human Settlements Area (SISHA)</v>
      </c>
      <c r="L61" s="2809">
        <v>2100000000</v>
      </c>
      <c r="M61" s="2810">
        <f>L61*5%</f>
        <v>105000000</v>
      </c>
      <c r="N61" s="2811">
        <v>0</v>
      </c>
      <c r="O61" s="2810">
        <f t="shared" si="0"/>
        <v>2205000000</v>
      </c>
      <c r="P61" s="2817" t="s">
        <v>93</v>
      </c>
      <c r="Q61" s="2863">
        <v>0</v>
      </c>
      <c r="R61" s="2800">
        <v>-2100000000</v>
      </c>
      <c r="S61" s="3084" t="s">
        <v>21</v>
      </c>
      <c r="T61" s="2864" t="s">
        <v>143</v>
      </c>
      <c r="U61" s="2864" t="s">
        <v>144</v>
      </c>
      <c r="V61" s="2856" t="s">
        <v>21</v>
      </c>
      <c r="W61" s="3085" t="s">
        <v>145</v>
      </c>
      <c r="X61" s="2835"/>
      <c r="Y61" s="2873"/>
    </row>
    <row r="62" spans="2:25" s="2667" customFormat="1" ht="90" customHeight="1">
      <c r="B62" s="2703"/>
      <c r="C62" s="2704"/>
      <c r="D62" s="2704"/>
      <c r="E62" s="2727">
        <v>2</v>
      </c>
      <c r="F62" s="2715" t="s">
        <v>146</v>
      </c>
      <c r="G62" s="2703"/>
      <c r="H62" s="2704"/>
      <c r="I62" s="2704"/>
      <c r="J62" s="2727">
        <f t="shared" si="8"/>
        <v>2</v>
      </c>
      <c r="K62" s="2788" t="str">
        <f t="shared" si="8"/>
        <v>National Slum Upgrading</v>
      </c>
      <c r="L62" s="2818">
        <v>1052640000</v>
      </c>
      <c r="M62" s="2798">
        <f>L62*5%</f>
        <v>52632000</v>
      </c>
      <c r="N62" s="2799">
        <v>0</v>
      </c>
      <c r="O62" s="2798">
        <f t="shared" si="0"/>
        <v>1105272000</v>
      </c>
      <c r="P62" s="2819" t="s">
        <v>58</v>
      </c>
      <c r="Q62" s="2865">
        <f>250000000</f>
        <v>250000000</v>
      </c>
      <c r="R62" s="2866">
        <f>+Q62+Q63-L62</f>
        <v>-602640000</v>
      </c>
      <c r="S62" s="3338" t="s">
        <v>147</v>
      </c>
      <c r="T62" s="3343" t="s">
        <v>148</v>
      </c>
      <c r="U62" s="3338" t="s">
        <v>149</v>
      </c>
      <c r="V62" s="3319" t="s">
        <v>21</v>
      </c>
      <c r="W62" s="3086" t="s">
        <v>150</v>
      </c>
      <c r="X62" s="2835"/>
      <c r="Y62" s="2873"/>
    </row>
    <row r="63" spans="2:25" s="2667" customFormat="1" ht="122.25" customHeight="1">
      <c r="B63" s="2703"/>
      <c r="C63" s="2704"/>
      <c r="D63" s="2704"/>
      <c r="E63" s="2727"/>
      <c r="F63" s="2715"/>
      <c r="G63" s="2703"/>
      <c r="H63" s="2704"/>
      <c r="I63" s="2704"/>
      <c r="J63" s="2727"/>
      <c r="K63" s="2788" t="str">
        <f>F62</f>
        <v>National Slum Upgrading</v>
      </c>
      <c r="L63" s="2820"/>
      <c r="M63" s="2800"/>
      <c r="N63" s="2801"/>
      <c r="O63" s="2800"/>
      <c r="P63" s="2819" t="s">
        <v>62</v>
      </c>
      <c r="Q63" s="2865">
        <v>200000000</v>
      </c>
      <c r="R63" s="2867"/>
      <c r="S63" s="3339"/>
      <c r="T63" s="3344"/>
      <c r="U63" s="3339"/>
      <c r="V63" s="3320"/>
      <c r="W63" s="3087" t="s">
        <v>151</v>
      </c>
      <c r="X63" s="2835"/>
      <c r="Y63" s="2873"/>
    </row>
    <row r="64" spans="2:25" s="2667" customFormat="1" ht="152.25" customHeight="1">
      <c r="B64" s="2703"/>
      <c r="C64" s="2704"/>
      <c r="D64" s="2704"/>
      <c r="E64" s="2716">
        <v>3</v>
      </c>
      <c r="F64" s="2715" t="s">
        <v>152</v>
      </c>
      <c r="G64" s="2703"/>
      <c r="H64" s="2704"/>
      <c r="I64" s="2704"/>
      <c r="J64" s="2716">
        <f t="shared" si="8"/>
        <v>3</v>
      </c>
      <c r="K64" s="2715" t="str">
        <f t="shared" si="8"/>
        <v>Rural Settlement Infrastructure Development (RSID)</v>
      </c>
      <c r="L64" s="2821">
        <v>201000000</v>
      </c>
      <c r="M64" s="2777">
        <f>L64*5%</f>
        <v>10050000</v>
      </c>
      <c r="N64" s="2778">
        <v>0</v>
      </c>
      <c r="O64" s="2777">
        <f t="shared" si="0"/>
        <v>211050000</v>
      </c>
      <c r="P64" s="2822" t="s">
        <v>55</v>
      </c>
      <c r="Q64" s="2869">
        <f>L64</f>
        <v>201000000</v>
      </c>
      <c r="R64" s="2777"/>
      <c r="S64" s="3081" t="s">
        <v>21</v>
      </c>
      <c r="T64" s="2838" t="s">
        <v>153</v>
      </c>
      <c r="U64" s="2859" t="s">
        <v>154</v>
      </c>
      <c r="V64" s="2859" t="s">
        <v>155</v>
      </c>
      <c r="W64" s="3088" t="s">
        <v>156</v>
      </c>
      <c r="X64" s="2835"/>
      <c r="Y64" s="2873"/>
    </row>
    <row r="65" spans="2:25" s="2667" customFormat="1" ht="81.75" customHeight="1">
      <c r="B65" s="2703"/>
      <c r="C65" s="2704"/>
      <c r="D65" s="2717"/>
      <c r="E65" s="2717">
        <v>4</v>
      </c>
      <c r="F65" s="2715" t="s">
        <v>157</v>
      </c>
      <c r="G65" s="2703"/>
      <c r="H65" s="2704"/>
      <c r="I65" s="2717"/>
      <c r="J65" s="2717">
        <f t="shared" si="8"/>
        <v>4</v>
      </c>
      <c r="K65" s="2719" t="str">
        <f t="shared" si="8"/>
        <v>Building Administration and Capacity Enforcement Development for Seismic Resilience</v>
      </c>
      <c r="L65" s="2813">
        <v>261100000</v>
      </c>
      <c r="M65" s="2814">
        <f>L65*5%</f>
        <v>13055000</v>
      </c>
      <c r="N65" s="2815">
        <v>0</v>
      </c>
      <c r="O65" s="2814">
        <f t="shared" si="0"/>
        <v>274155000</v>
      </c>
      <c r="P65" s="2892" t="s">
        <v>117</v>
      </c>
      <c r="Q65" s="2944">
        <f>L65</f>
        <v>261100000</v>
      </c>
      <c r="R65" s="2911"/>
      <c r="S65" s="3083" t="s">
        <v>21</v>
      </c>
      <c r="T65" s="2862" t="s">
        <v>158</v>
      </c>
      <c r="U65" s="2945" t="s">
        <v>159</v>
      </c>
      <c r="V65" s="2945" t="s">
        <v>155</v>
      </c>
      <c r="W65" s="2946" t="s">
        <v>160</v>
      </c>
      <c r="X65" s="2835"/>
      <c r="Y65" s="2873"/>
    </row>
    <row r="66" spans="2:25" s="2667" customFormat="1" ht="30" customHeight="1">
      <c r="B66" s="2703"/>
      <c r="C66" s="2704"/>
      <c r="D66" s="2701" t="s">
        <v>161</v>
      </c>
      <c r="E66" s="3310" t="s">
        <v>162</v>
      </c>
      <c r="F66" s="3310"/>
      <c r="G66" s="2703"/>
      <c r="H66" s="2704"/>
      <c r="I66" s="2701" t="str">
        <f>D66</f>
        <v>H</v>
      </c>
      <c r="J66" s="3304" t="s">
        <v>163</v>
      </c>
      <c r="K66" s="3305"/>
      <c r="L66" s="2775">
        <f>SUM(L67:L79)</f>
        <v>3257531000</v>
      </c>
      <c r="M66" s="2749">
        <f>SUM(M67:M79)</f>
        <v>345159500</v>
      </c>
      <c r="N66" s="2794">
        <f>SUM(N67:N79)</f>
        <v>0</v>
      </c>
      <c r="O66" s="2750">
        <f t="shared" si="0"/>
        <v>3602690500</v>
      </c>
      <c r="P66" s="2750" t="s">
        <v>21</v>
      </c>
      <c r="Q66" s="2750">
        <f>Q67+SUM(Q71:Q79)</f>
        <v>2757531000</v>
      </c>
      <c r="R66" s="2751">
        <f>Q66-L66</f>
        <v>-500000000</v>
      </c>
      <c r="S66" s="2750"/>
      <c r="T66" s="2750"/>
      <c r="U66" s="2750"/>
      <c r="V66" s="2750"/>
      <c r="W66" s="2847"/>
      <c r="X66" s="2835"/>
      <c r="Y66" s="2873"/>
    </row>
    <row r="67" spans="2:25" s="2667" customFormat="1" ht="16.5" customHeight="1">
      <c r="B67" s="2703"/>
      <c r="C67" s="2704"/>
      <c r="D67" s="2705"/>
      <c r="E67" s="2720">
        <v>1</v>
      </c>
      <c r="F67" s="2713" t="s">
        <v>164</v>
      </c>
      <c r="G67" s="2703"/>
      <c r="H67" s="2704"/>
      <c r="I67" s="2705"/>
      <c r="J67" s="2720">
        <f t="shared" ref="J67:K79" si="9">E67</f>
        <v>1</v>
      </c>
      <c r="K67" s="2721" t="s">
        <v>165</v>
      </c>
      <c r="L67" s="2893">
        <v>1200000000</v>
      </c>
      <c r="M67" s="2894">
        <v>120000000</v>
      </c>
      <c r="N67" s="2895">
        <v>0</v>
      </c>
      <c r="O67" s="2894">
        <f t="shared" si="0"/>
        <v>1320000000</v>
      </c>
      <c r="P67" s="2896"/>
      <c r="Q67" s="2947">
        <f>Q68+Q69</f>
        <v>700000000</v>
      </c>
      <c r="R67" s="2947">
        <f>Q67-L67</f>
        <v>-500000000</v>
      </c>
      <c r="S67" s="2948" t="s">
        <v>21</v>
      </c>
      <c r="T67" s="2860" t="s">
        <v>21</v>
      </c>
      <c r="U67" s="2860" t="s">
        <v>21</v>
      </c>
      <c r="V67" s="2860" t="s">
        <v>21</v>
      </c>
      <c r="W67" s="2834" t="s">
        <v>166</v>
      </c>
      <c r="X67" s="2835"/>
      <c r="Y67" s="2873"/>
    </row>
    <row r="68" spans="2:25" s="2667" customFormat="1" ht="90">
      <c r="B68" s="2703"/>
      <c r="C68" s="2704"/>
      <c r="D68" s="2704"/>
      <c r="E68" s="2727"/>
      <c r="F68" s="2806"/>
      <c r="G68" s="2703"/>
      <c r="H68" s="2704"/>
      <c r="I68" s="2704"/>
      <c r="J68" s="2704"/>
      <c r="K68" s="2806" t="s">
        <v>167</v>
      </c>
      <c r="L68" s="2819"/>
      <c r="M68" s="2798"/>
      <c r="N68" s="2799"/>
      <c r="O68" s="2798"/>
      <c r="P68" s="2819" t="s">
        <v>117</v>
      </c>
      <c r="Q68" s="2865">
        <v>600000000</v>
      </c>
      <c r="R68" s="2949"/>
      <c r="S68" s="3089" t="s">
        <v>168</v>
      </c>
      <c r="T68" s="2852" t="s">
        <v>33</v>
      </c>
      <c r="U68" s="2852" t="s">
        <v>21</v>
      </c>
      <c r="V68" s="2852" t="s">
        <v>79</v>
      </c>
      <c r="W68" s="3090" t="s">
        <v>169</v>
      </c>
      <c r="X68" s="2835"/>
      <c r="Y68" s="2873"/>
    </row>
    <row r="69" spans="2:25" s="2667" customFormat="1" ht="93" customHeight="1">
      <c r="B69" s="2703"/>
      <c r="C69" s="2704"/>
      <c r="D69" s="2704"/>
      <c r="E69" s="2727"/>
      <c r="F69" s="2806"/>
      <c r="G69" s="2703"/>
      <c r="H69" s="2704"/>
      <c r="I69" s="2704"/>
      <c r="J69" s="2704"/>
      <c r="K69" s="2806" t="s">
        <v>167</v>
      </c>
      <c r="L69" s="2819"/>
      <c r="M69" s="2798"/>
      <c r="N69" s="2799"/>
      <c r="O69" s="2798"/>
      <c r="P69" s="2819" t="s">
        <v>170</v>
      </c>
      <c r="Q69" s="2865">
        <v>100000000</v>
      </c>
      <c r="R69" s="2949"/>
      <c r="S69" s="3089" t="s">
        <v>168</v>
      </c>
      <c r="T69" s="2852" t="s">
        <v>33</v>
      </c>
      <c r="U69" s="2852" t="s">
        <v>21</v>
      </c>
      <c r="V69" s="2852" t="s">
        <v>79</v>
      </c>
      <c r="W69" s="3090" t="s">
        <v>169</v>
      </c>
      <c r="X69" s="2835"/>
      <c r="Y69" s="2873"/>
    </row>
    <row r="70" spans="2:25" s="2667" customFormat="1" ht="36.75" customHeight="1">
      <c r="B70" s="2703"/>
      <c r="C70" s="2704"/>
      <c r="D70" s="2704"/>
      <c r="E70" s="2727"/>
      <c r="F70" s="2806"/>
      <c r="G70" s="2703"/>
      <c r="H70" s="2704"/>
      <c r="I70" s="2704"/>
      <c r="J70" s="2727"/>
      <c r="K70" s="2806" t="s">
        <v>171</v>
      </c>
      <c r="L70" s="2897"/>
      <c r="M70" s="2800"/>
      <c r="N70" s="2801"/>
      <c r="O70" s="2800"/>
      <c r="P70" s="2898" t="s">
        <v>93</v>
      </c>
      <c r="Q70" s="2865">
        <v>0</v>
      </c>
      <c r="R70" s="2951"/>
      <c r="S70" s="2841" t="s">
        <v>21</v>
      </c>
      <c r="T70" s="2841" t="s">
        <v>21</v>
      </c>
      <c r="U70" s="2841" t="s">
        <v>21</v>
      </c>
      <c r="V70" s="2841" t="s">
        <v>21</v>
      </c>
      <c r="W70" s="2820"/>
      <c r="X70" s="2835"/>
      <c r="Y70" s="2873"/>
    </row>
    <row r="71" spans="2:25" s="2667" customFormat="1" ht="56.25" customHeight="1">
      <c r="B71" s="2703"/>
      <c r="C71" s="2704"/>
      <c r="D71" s="2704"/>
      <c r="E71" s="2716">
        <v>2</v>
      </c>
      <c r="F71" s="2715" t="s">
        <v>172</v>
      </c>
      <c r="G71" s="2703"/>
      <c r="H71" s="2704"/>
      <c r="I71" s="2704"/>
      <c r="J71" s="2716">
        <f t="shared" si="9"/>
        <v>2</v>
      </c>
      <c r="K71" s="2715" t="str">
        <f t="shared" si="9"/>
        <v>The Urgent Rehabilitation of Strategic Irrigation for Western Region of Indonesia</v>
      </c>
      <c r="L71" s="2863">
        <v>195778000</v>
      </c>
      <c r="M71" s="2800">
        <v>27149500</v>
      </c>
      <c r="N71" s="2801">
        <v>0</v>
      </c>
      <c r="O71" s="2800">
        <f t="shared" si="0"/>
        <v>222927500</v>
      </c>
      <c r="P71" s="2897" t="s">
        <v>28</v>
      </c>
      <c r="Q71" s="2863">
        <f t="shared" ref="Q71:Q76" si="10">L71</f>
        <v>195778000</v>
      </c>
      <c r="R71" s="2800">
        <v>0</v>
      </c>
      <c r="S71" s="3091" t="s">
        <v>173</v>
      </c>
      <c r="T71" s="2841" t="s">
        <v>33</v>
      </c>
      <c r="U71" s="2841" t="s">
        <v>21</v>
      </c>
      <c r="V71" s="2841" t="s">
        <v>79</v>
      </c>
      <c r="W71" s="2820"/>
      <c r="X71" s="2835"/>
      <c r="Y71" s="2873"/>
    </row>
    <row r="72" spans="2:25" s="2667" customFormat="1" ht="20.100000000000001" customHeight="1">
      <c r="B72" s="2703"/>
      <c r="C72" s="2704"/>
      <c r="D72" s="2704"/>
      <c r="E72" s="2716">
        <v>3</v>
      </c>
      <c r="F72" s="2715" t="s">
        <v>174</v>
      </c>
      <c r="G72" s="2703"/>
      <c r="H72" s="2704"/>
      <c r="I72" s="2704"/>
      <c r="J72" s="2716">
        <f t="shared" si="9"/>
        <v>3</v>
      </c>
      <c r="K72" s="2715" t="str">
        <f t="shared" si="9"/>
        <v>Rentang Modernization Strategic Irrigation (RIMP)</v>
      </c>
      <c r="L72" s="2863">
        <v>480000000</v>
      </c>
      <c r="M72" s="2800">
        <v>48000000</v>
      </c>
      <c r="N72" s="2801">
        <v>0</v>
      </c>
      <c r="O72" s="2800">
        <f t="shared" si="0"/>
        <v>528000000</v>
      </c>
      <c r="P72" s="2897" t="s">
        <v>55</v>
      </c>
      <c r="Q72" s="2863">
        <f t="shared" si="10"/>
        <v>480000000</v>
      </c>
      <c r="R72" s="2800">
        <v>0</v>
      </c>
      <c r="S72" s="2841" t="s">
        <v>21</v>
      </c>
      <c r="T72" s="2841" t="s">
        <v>21</v>
      </c>
      <c r="U72" s="2841" t="s">
        <v>21</v>
      </c>
      <c r="V72" s="2841" t="s">
        <v>21</v>
      </c>
      <c r="W72" s="2820"/>
      <c r="X72" s="2835"/>
      <c r="Y72" s="2873"/>
    </row>
    <row r="73" spans="2:25" s="2667" customFormat="1" ht="20.100000000000001" customHeight="1">
      <c r="B73" s="2703"/>
      <c r="C73" s="2704"/>
      <c r="D73" s="2704"/>
      <c r="E73" s="2716">
        <v>4</v>
      </c>
      <c r="F73" s="2715" t="s">
        <v>175</v>
      </c>
      <c r="G73" s="2703"/>
      <c r="H73" s="2704"/>
      <c r="I73" s="2704"/>
      <c r="J73" s="2716">
        <f t="shared" si="9"/>
        <v>4</v>
      </c>
      <c r="K73" s="2715" t="str">
        <f>F73</f>
        <v>Komering Irrigation Project Stage III</v>
      </c>
      <c r="L73" s="2863">
        <v>120000000</v>
      </c>
      <c r="M73" s="2800">
        <v>12000000</v>
      </c>
      <c r="N73" s="2801">
        <v>0</v>
      </c>
      <c r="O73" s="2800">
        <f t="shared" si="0"/>
        <v>132000000</v>
      </c>
      <c r="P73" s="2897" t="s">
        <v>55</v>
      </c>
      <c r="Q73" s="2863">
        <f t="shared" si="10"/>
        <v>120000000</v>
      </c>
      <c r="R73" s="2800">
        <v>0</v>
      </c>
      <c r="S73" s="2841" t="s">
        <v>21</v>
      </c>
      <c r="T73" s="2841" t="s">
        <v>21</v>
      </c>
      <c r="U73" s="2841" t="s">
        <v>21</v>
      </c>
      <c r="V73" s="2841" t="s">
        <v>21</v>
      </c>
      <c r="W73" s="2820"/>
      <c r="X73" s="2835"/>
      <c r="Y73" s="2873"/>
    </row>
    <row r="74" spans="2:25" s="2667" customFormat="1" ht="20.100000000000001" customHeight="1">
      <c r="B74" s="2703"/>
      <c r="C74" s="2704"/>
      <c r="D74" s="2704"/>
      <c r="E74" s="2716">
        <v>5</v>
      </c>
      <c r="F74" s="2715" t="s">
        <v>176</v>
      </c>
      <c r="G74" s="2703"/>
      <c r="H74" s="2704"/>
      <c r="I74" s="2704"/>
      <c r="J74" s="2716">
        <f t="shared" si="9"/>
        <v>5</v>
      </c>
      <c r="K74" s="2715" t="str">
        <f t="shared" si="9"/>
        <v>Irrigation Development in North Sumatera</v>
      </c>
      <c r="L74" s="2863">
        <v>350000000</v>
      </c>
      <c r="M74" s="2800">
        <v>35000000</v>
      </c>
      <c r="N74" s="2801">
        <v>0</v>
      </c>
      <c r="O74" s="2800">
        <f t="shared" si="0"/>
        <v>385000000</v>
      </c>
      <c r="P74" s="2819" t="s">
        <v>117</v>
      </c>
      <c r="Q74" s="2865">
        <f t="shared" si="10"/>
        <v>350000000</v>
      </c>
      <c r="R74" s="2800"/>
      <c r="S74" s="2841" t="s">
        <v>21</v>
      </c>
      <c r="T74" s="2841" t="s">
        <v>21</v>
      </c>
      <c r="U74" s="2841" t="s">
        <v>21</v>
      </c>
      <c r="V74" s="2841" t="s">
        <v>21</v>
      </c>
      <c r="W74" s="2820" t="s">
        <v>177</v>
      </c>
      <c r="X74" s="2835"/>
      <c r="Y74" s="2873"/>
    </row>
    <row r="75" spans="2:25" s="2667" customFormat="1" ht="35.25" customHeight="1">
      <c r="B75" s="2703"/>
      <c r="C75" s="2704"/>
      <c r="D75" s="2704"/>
      <c r="E75" s="2716">
        <v>6</v>
      </c>
      <c r="F75" s="2715" t="s">
        <v>178</v>
      </c>
      <c r="G75" s="2703"/>
      <c r="H75" s="2704"/>
      <c r="I75" s="2704"/>
      <c r="J75" s="2716">
        <f t="shared" si="9"/>
        <v>6</v>
      </c>
      <c r="K75" s="2715" t="str">
        <f t="shared" si="9"/>
        <v>Integrated Participatory Development and Management of Lhok Guci and Peureulak Irrigation Project</v>
      </c>
      <c r="L75" s="2863">
        <v>161298000</v>
      </c>
      <c r="M75" s="2800">
        <v>24195000</v>
      </c>
      <c r="N75" s="2801">
        <v>0</v>
      </c>
      <c r="O75" s="2800">
        <f t="shared" si="0"/>
        <v>185493000</v>
      </c>
      <c r="P75" s="2819" t="s">
        <v>117</v>
      </c>
      <c r="Q75" s="2865">
        <f t="shared" si="10"/>
        <v>161298000</v>
      </c>
      <c r="R75" s="2800"/>
      <c r="S75" s="2841" t="s">
        <v>21</v>
      </c>
      <c r="T75" s="2841" t="s">
        <v>21</v>
      </c>
      <c r="U75" s="2841" t="s">
        <v>21</v>
      </c>
      <c r="V75" s="2841" t="s">
        <v>21</v>
      </c>
      <c r="W75" s="2820" t="s">
        <v>177</v>
      </c>
      <c r="X75" s="2835"/>
      <c r="Y75" s="2873"/>
    </row>
    <row r="76" spans="2:25" s="2667" customFormat="1" ht="20.100000000000001" customHeight="1">
      <c r="B76" s="2703"/>
      <c r="C76" s="2704"/>
      <c r="D76" s="2704"/>
      <c r="E76" s="2716">
        <v>7</v>
      </c>
      <c r="F76" s="2715" t="s">
        <v>179</v>
      </c>
      <c r="G76" s="2703"/>
      <c r="H76" s="2704"/>
      <c r="I76" s="2704"/>
      <c r="J76" s="2785">
        <f t="shared" si="9"/>
        <v>7</v>
      </c>
      <c r="K76" s="2788" t="str">
        <f t="shared" si="9"/>
        <v>Modernization Strategic Irrigation Project (MSIP)</v>
      </c>
      <c r="L76" s="2841">
        <v>278355000</v>
      </c>
      <c r="M76" s="2777">
        <v>28000000</v>
      </c>
      <c r="N76" s="2778">
        <v>0</v>
      </c>
      <c r="O76" s="2777">
        <f t="shared" si="0"/>
        <v>306355000</v>
      </c>
      <c r="P76" s="2899" t="s">
        <v>55</v>
      </c>
      <c r="Q76" s="2821">
        <f t="shared" si="10"/>
        <v>278355000</v>
      </c>
      <c r="R76" s="2952"/>
      <c r="S76" s="2841" t="s">
        <v>21</v>
      </c>
      <c r="T76" s="2841" t="s">
        <v>21</v>
      </c>
      <c r="U76" s="2841" t="s">
        <v>21</v>
      </c>
      <c r="V76" s="2841" t="s">
        <v>21</v>
      </c>
      <c r="W76" s="2818"/>
      <c r="X76" s="2835"/>
      <c r="Y76" s="2873"/>
    </row>
    <row r="77" spans="2:25" s="2667" customFormat="1" ht="20.100000000000001" customHeight="1">
      <c r="B77" s="2703"/>
      <c r="C77" s="2704"/>
      <c r="D77" s="2704"/>
      <c r="E77" s="2716">
        <v>8</v>
      </c>
      <c r="F77" s="2715" t="s">
        <v>180</v>
      </c>
      <c r="G77" s="2703"/>
      <c r="H77" s="2704"/>
      <c r="I77" s="2704"/>
      <c r="J77" s="2716">
        <f t="shared" si="9"/>
        <v>8</v>
      </c>
      <c r="K77" s="2715" t="str">
        <f t="shared" si="9"/>
        <v>Urgent Rehabilitation of  Irrigation Project in Indonesia (URIP)</v>
      </c>
      <c r="L77" s="2863">
        <v>272100000</v>
      </c>
      <c r="M77" s="2800">
        <v>40815000</v>
      </c>
      <c r="N77" s="2801">
        <v>0</v>
      </c>
      <c r="O77" s="2800">
        <f t="shared" si="0"/>
        <v>312915000</v>
      </c>
      <c r="P77" s="2897" t="s">
        <v>62</v>
      </c>
      <c r="Q77" s="2863">
        <v>272100000</v>
      </c>
      <c r="R77" s="2800">
        <f>+Q77-L77</f>
        <v>0</v>
      </c>
      <c r="S77" s="2820" t="s">
        <v>21</v>
      </c>
      <c r="T77" s="2841" t="s">
        <v>21</v>
      </c>
      <c r="U77" s="2841" t="s">
        <v>21</v>
      </c>
      <c r="V77" s="2841" t="s">
        <v>21</v>
      </c>
      <c r="W77" s="2820"/>
      <c r="X77" s="2835"/>
      <c r="Y77" s="2873"/>
    </row>
    <row r="78" spans="2:25" s="2667" customFormat="1" ht="20.100000000000001" customHeight="1">
      <c r="B78" s="2703"/>
      <c r="C78" s="2704"/>
      <c r="D78" s="2704"/>
      <c r="E78" s="2716">
        <v>9</v>
      </c>
      <c r="F78" s="2715" t="s">
        <v>181</v>
      </c>
      <c r="G78" s="2703"/>
      <c r="H78" s="2704"/>
      <c r="I78" s="2704"/>
      <c r="J78" s="2716">
        <f t="shared" si="9"/>
        <v>9</v>
      </c>
      <c r="K78" s="2715" t="str">
        <f t="shared" si="9"/>
        <v>Revitalition Groundwater Irrigation in Indonesia</v>
      </c>
      <c r="L78" s="2863">
        <v>100000000</v>
      </c>
      <c r="M78" s="2800">
        <v>10000000</v>
      </c>
      <c r="N78" s="2801">
        <v>0</v>
      </c>
      <c r="O78" s="2800">
        <f t="shared" si="0"/>
        <v>110000000</v>
      </c>
      <c r="P78" s="2897" t="s">
        <v>55</v>
      </c>
      <c r="Q78" s="2863">
        <f>L78</f>
        <v>100000000</v>
      </c>
      <c r="R78" s="2800">
        <v>0</v>
      </c>
      <c r="S78" s="2841" t="s">
        <v>21</v>
      </c>
      <c r="T78" s="2841" t="s">
        <v>21</v>
      </c>
      <c r="U78" s="2841" t="s">
        <v>21</v>
      </c>
      <c r="V78" s="2841" t="s">
        <v>21</v>
      </c>
      <c r="W78" s="2820"/>
      <c r="X78" s="2835"/>
      <c r="Y78" s="2873"/>
    </row>
    <row r="79" spans="2:25" s="2667" customFormat="1" ht="81.75" customHeight="1">
      <c r="B79" s="2703"/>
      <c r="C79" s="2704"/>
      <c r="D79" s="2717"/>
      <c r="E79" s="2718">
        <v>10</v>
      </c>
      <c r="F79" s="2877" t="s">
        <v>182</v>
      </c>
      <c r="G79" s="2703"/>
      <c r="H79" s="2704"/>
      <c r="I79" s="2717"/>
      <c r="J79" s="2718">
        <f t="shared" si="9"/>
        <v>10</v>
      </c>
      <c r="K79" s="2719" t="str">
        <f t="shared" si="9"/>
        <v>Engineering Service for Irrigation and Low Land Development Project</v>
      </c>
      <c r="L79" s="2900">
        <v>100000000</v>
      </c>
      <c r="M79" s="2901">
        <v>0</v>
      </c>
      <c r="N79" s="2801">
        <v>0</v>
      </c>
      <c r="O79" s="2800">
        <f t="shared" si="0"/>
        <v>100000000</v>
      </c>
      <c r="P79" s="2897" t="s">
        <v>117</v>
      </c>
      <c r="Q79" s="2863">
        <f>L79</f>
        <v>100000000</v>
      </c>
      <c r="R79" s="2800">
        <v>0</v>
      </c>
      <c r="S79" s="3091" t="s">
        <v>173</v>
      </c>
      <c r="T79" s="2841" t="s">
        <v>33</v>
      </c>
      <c r="U79" s="2841" t="s">
        <v>183</v>
      </c>
      <c r="V79" s="2841" t="s">
        <v>79</v>
      </c>
      <c r="W79" s="3092" t="s">
        <v>184</v>
      </c>
      <c r="X79" s="2835"/>
      <c r="Y79" s="2873"/>
    </row>
    <row r="80" spans="2:25" s="2667" customFormat="1" ht="30" customHeight="1">
      <c r="B80" s="2703"/>
      <c r="C80" s="2704"/>
      <c r="D80" s="2701" t="s">
        <v>185</v>
      </c>
      <c r="E80" s="3303" t="s">
        <v>186</v>
      </c>
      <c r="F80" s="3303"/>
      <c r="G80" s="2703"/>
      <c r="H80" s="2704"/>
      <c r="I80" s="2701" t="str">
        <f>D80</f>
        <v>I</v>
      </c>
      <c r="J80" s="3304" t="s">
        <v>187</v>
      </c>
      <c r="K80" s="3305"/>
      <c r="L80" s="2775">
        <f>SUM(L81:L83)</f>
        <v>623862000</v>
      </c>
      <c r="M80" s="2749">
        <f>SUM(M81:M83)</f>
        <v>201074000</v>
      </c>
      <c r="N80" s="2749">
        <f>SUM(N81:N83)</f>
        <v>0</v>
      </c>
      <c r="O80" s="2750">
        <f t="shared" si="0"/>
        <v>824936000</v>
      </c>
      <c r="P80" s="2750" t="s">
        <v>21</v>
      </c>
      <c r="Q80" s="2750">
        <f>SUM(Q81:Q83)</f>
        <v>623862000</v>
      </c>
      <c r="R80" s="2750">
        <f t="shared" ref="R80:R85" si="11">Q80-L80</f>
        <v>0</v>
      </c>
      <c r="S80" s="2750"/>
      <c r="T80" s="2750"/>
      <c r="U80" s="2750"/>
      <c r="V80" s="2750"/>
      <c r="W80" s="2847"/>
      <c r="X80" s="2835"/>
      <c r="Y80" s="2873"/>
    </row>
    <row r="81" spans="2:25" s="2667" customFormat="1" ht="31.5" customHeight="1">
      <c r="B81" s="2703"/>
      <c r="C81" s="2704"/>
      <c r="D81" s="2705"/>
      <c r="E81" s="2720">
        <v>1</v>
      </c>
      <c r="F81" s="2713" t="s">
        <v>188</v>
      </c>
      <c r="G81" s="2703"/>
      <c r="H81" s="2704"/>
      <c r="I81" s="2705"/>
      <c r="J81" s="2720">
        <f t="shared" ref="J81:K83" si="12">E81</f>
        <v>1</v>
      </c>
      <c r="K81" s="2713" t="str">
        <f t="shared" si="12"/>
        <v>Integrated Citarum Water Resources Management Investment Program II</v>
      </c>
      <c r="L81" s="2809">
        <v>200000000</v>
      </c>
      <c r="M81" s="2810">
        <v>20000000</v>
      </c>
      <c r="N81" s="2811">
        <v>0</v>
      </c>
      <c r="O81" s="2810">
        <f t="shared" si="0"/>
        <v>220000000</v>
      </c>
      <c r="P81" s="2893" t="s">
        <v>117</v>
      </c>
      <c r="Q81" s="2809">
        <v>200000000</v>
      </c>
      <c r="R81" s="2810">
        <f t="shared" si="11"/>
        <v>0</v>
      </c>
      <c r="S81" s="3093" t="s">
        <v>21</v>
      </c>
      <c r="T81" s="3093" t="s">
        <v>21</v>
      </c>
      <c r="U81" s="3094" t="s">
        <v>189</v>
      </c>
      <c r="V81" s="3093" t="s">
        <v>21</v>
      </c>
      <c r="W81" s="2834"/>
      <c r="X81" s="2835"/>
      <c r="Y81" s="2873"/>
    </row>
    <row r="82" spans="2:25" s="2667" customFormat="1" ht="34.5" customHeight="1">
      <c r="B82" s="2703"/>
      <c r="C82" s="2704"/>
      <c r="D82" s="2704"/>
      <c r="E82" s="2878">
        <v>2</v>
      </c>
      <c r="F82" s="2715" t="s">
        <v>190</v>
      </c>
      <c r="G82" s="2703"/>
      <c r="H82" s="2704"/>
      <c r="I82" s="2704"/>
      <c r="J82" s="2716">
        <f t="shared" si="12"/>
        <v>2</v>
      </c>
      <c r="K82" s="2715" t="str">
        <f t="shared" si="12"/>
        <v>Karian Dam-Serpong Water Conveyance and Supply System Project</v>
      </c>
      <c r="L82" s="2821">
        <v>373862000</v>
      </c>
      <c r="M82" s="2777">
        <v>181074000</v>
      </c>
      <c r="N82" s="2778">
        <v>0</v>
      </c>
      <c r="O82" s="2777">
        <f t="shared" si="0"/>
        <v>554936000</v>
      </c>
      <c r="P82" s="2899" t="s">
        <v>28</v>
      </c>
      <c r="Q82" s="2821">
        <f>L82</f>
        <v>373862000</v>
      </c>
      <c r="R82" s="2777">
        <f t="shared" si="11"/>
        <v>0</v>
      </c>
      <c r="S82" s="3082" t="s">
        <v>21</v>
      </c>
      <c r="T82" s="3082" t="s">
        <v>21</v>
      </c>
      <c r="U82" s="3081" t="s">
        <v>191</v>
      </c>
      <c r="V82" s="3082" t="s">
        <v>21</v>
      </c>
      <c r="W82" s="2841"/>
      <c r="X82" s="2835"/>
      <c r="Y82" s="2873"/>
    </row>
    <row r="83" spans="2:25" s="2667" customFormat="1" ht="83.25" customHeight="1">
      <c r="B83" s="2703"/>
      <c r="C83" s="2704"/>
      <c r="D83" s="2717"/>
      <c r="E83" s="2717">
        <v>3</v>
      </c>
      <c r="F83" s="2719" t="s">
        <v>192</v>
      </c>
      <c r="G83" s="2703"/>
      <c r="H83" s="2704"/>
      <c r="I83" s="2717"/>
      <c r="J83" s="2717">
        <f t="shared" si="12"/>
        <v>3</v>
      </c>
      <c r="K83" s="2719" t="str">
        <f t="shared" si="12"/>
        <v>Engineering Service for Bulk Water and Water Supply Development Project</v>
      </c>
      <c r="L83" s="2813">
        <v>50000000</v>
      </c>
      <c r="M83" s="2814">
        <v>0</v>
      </c>
      <c r="N83" s="2815">
        <v>0</v>
      </c>
      <c r="O83" s="2814">
        <f t="shared" si="0"/>
        <v>50000000</v>
      </c>
      <c r="P83" s="2816" t="s">
        <v>117</v>
      </c>
      <c r="Q83" s="2821">
        <f>L83</f>
        <v>50000000</v>
      </c>
      <c r="R83" s="2911">
        <f t="shared" si="11"/>
        <v>0</v>
      </c>
      <c r="S83" s="3091" t="s">
        <v>173</v>
      </c>
      <c r="T83" s="2841" t="s">
        <v>33</v>
      </c>
      <c r="U83" s="2841" t="s">
        <v>183</v>
      </c>
      <c r="V83" s="2841" t="s">
        <v>79</v>
      </c>
      <c r="W83" s="3095" t="s">
        <v>193</v>
      </c>
      <c r="X83" s="2835"/>
      <c r="Y83" s="2873"/>
    </row>
    <row r="84" spans="2:25" s="2667" customFormat="1" ht="30" customHeight="1">
      <c r="B84" s="2703"/>
      <c r="C84" s="2704"/>
      <c r="D84" s="2879" t="s">
        <v>194</v>
      </c>
      <c r="E84" s="3312" t="s">
        <v>195</v>
      </c>
      <c r="F84" s="3312"/>
      <c r="G84" s="2703"/>
      <c r="H84" s="2704"/>
      <c r="I84" s="2879" t="str">
        <f>D84</f>
        <v>J</v>
      </c>
      <c r="J84" s="3304" t="s">
        <v>196</v>
      </c>
      <c r="K84" s="3305"/>
      <c r="L84" s="2902">
        <f>SUM(L85:L95)</f>
        <v>2133750000</v>
      </c>
      <c r="M84" s="2903">
        <f>SUM(M85:M95)</f>
        <v>963200000</v>
      </c>
      <c r="N84" s="2903">
        <f>SUM(N85:N95)</f>
        <v>0</v>
      </c>
      <c r="O84" s="2750">
        <f t="shared" si="0"/>
        <v>3096950000</v>
      </c>
      <c r="P84" s="2750" t="s">
        <v>21</v>
      </c>
      <c r="Q84" s="2750">
        <f>SUM(Q85:Q95)</f>
        <v>2133750000</v>
      </c>
      <c r="R84" s="2750">
        <f t="shared" si="11"/>
        <v>0</v>
      </c>
      <c r="S84" s="2750"/>
      <c r="T84" s="2750"/>
      <c r="U84" s="2750"/>
      <c r="V84" s="2750"/>
      <c r="W84" s="2847"/>
      <c r="X84" s="2835"/>
      <c r="Y84" s="2873"/>
    </row>
    <row r="85" spans="2:25" s="2667" customFormat="1" ht="34.5" customHeight="1">
      <c r="B85" s="2703"/>
      <c r="C85" s="2704"/>
      <c r="D85" s="2705"/>
      <c r="E85" s="2880">
        <v>1</v>
      </c>
      <c r="F85" s="2715" t="s">
        <v>197</v>
      </c>
      <c r="G85" s="2703"/>
      <c r="H85" s="2704"/>
      <c r="I85" s="2705"/>
      <c r="J85" s="2880">
        <f t="shared" ref="J85:K95" si="13">E85</f>
        <v>1</v>
      </c>
      <c r="K85" s="2713" t="str">
        <f t="shared" si="13"/>
        <v>Jambo Aye Multipurpose Dam Project</v>
      </c>
      <c r="L85" s="2863">
        <v>662200000</v>
      </c>
      <c r="M85" s="2800">
        <v>460700000</v>
      </c>
      <c r="N85" s="2801">
        <v>0</v>
      </c>
      <c r="O85" s="2800">
        <f t="shared" si="0"/>
        <v>1122900000</v>
      </c>
      <c r="P85" s="2897" t="s">
        <v>27</v>
      </c>
      <c r="Q85" s="2863">
        <f>L85</f>
        <v>662200000</v>
      </c>
      <c r="R85" s="2800">
        <f t="shared" si="11"/>
        <v>0</v>
      </c>
      <c r="S85" s="3096" t="s">
        <v>21</v>
      </c>
      <c r="T85" s="3096" t="s">
        <v>198</v>
      </c>
      <c r="U85" s="3096" t="s">
        <v>21</v>
      </c>
      <c r="V85" s="3096" t="s">
        <v>21</v>
      </c>
      <c r="W85" s="2820"/>
      <c r="X85" s="2835"/>
      <c r="Y85" s="2873"/>
    </row>
    <row r="86" spans="2:25" s="2667" customFormat="1" ht="20.100000000000001" customHeight="1">
      <c r="B86" s="2703"/>
      <c r="C86" s="2704"/>
      <c r="D86" s="2704"/>
      <c r="E86" s="2878">
        <v>2</v>
      </c>
      <c r="F86" s="2715" t="s">
        <v>199</v>
      </c>
      <c r="G86" s="2703"/>
      <c r="H86" s="2704"/>
      <c r="I86" s="2704"/>
      <c r="J86" s="2878">
        <f t="shared" si="13"/>
        <v>2</v>
      </c>
      <c r="K86" s="2715" t="str">
        <f t="shared" si="13"/>
        <v>Komering Multipurpose Dam Project - Phase II</v>
      </c>
      <c r="L86" s="2863">
        <v>200000000</v>
      </c>
      <c r="M86" s="2800">
        <v>20000000</v>
      </c>
      <c r="N86" s="2801">
        <v>0</v>
      </c>
      <c r="O86" s="2800">
        <f t="shared" si="0"/>
        <v>220000000</v>
      </c>
      <c r="P86" s="2897" t="s">
        <v>27</v>
      </c>
      <c r="Q86" s="2863">
        <f t="shared" ref="Q86:Q95" si="14">L86</f>
        <v>200000000</v>
      </c>
      <c r="R86" s="2800">
        <v>0</v>
      </c>
      <c r="S86" s="3096" t="s">
        <v>21</v>
      </c>
      <c r="T86" s="2953"/>
      <c r="U86" s="3096" t="s">
        <v>200</v>
      </c>
      <c r="V86" s="3096" t="s">
        <v>21</v>
      </c>
      <c r="W86" s="2820"/>
      <c r="X86" s="2835"/>
      <c r="Y86" s="2873"/>
    </row>
    <row r="87" spans="2:25" s="2667" customFormat="1" ht="51" customHeight="1">
      <c r="B87" s="2703"/>
      <c r="C87" s="2704"/>
      <c r="D87" s="2704"/>
      <c r="E87" s="2878">
        <v>3</v>
      </c>
      <c r="F87" s="2715" t="s">
        <v>201</v>
      </c>
      <c r="G87" s="2703"/>
      <c r="H87" s="2704"/>
      <c r="I87" s="2704"/>
      <c r="J87" s="2878">
        <f t="shared" si="13"/>
        <v>3</v>
      </c>
      <c r="K87" s="2715" t="str">
        <f t="shared" si="13"/>
        <v>Pelosika Multipurpose Dam Construction Project</v>
      </c>
      <c r="L87" s="2821">
        <v>200000000</v>
      </c>
      <c r="M87" s="2777">
        <v>170000000</v>
      </c>
      <c r="N87" s="2778">
        <v>0</v>
      </c>
      <c r="O87" s="2777">
        <f t="shared" si="0"/>
        <v>370000000</v>
      </c>
      <c r="P87" s="2897" t="s">
        <v>27</v>
      </c>
      <c r="Q87" s="2863">
        <f t="shared" si="14"/>
        <v>200000000</v>
      </c>
      <c r="R87" s="2800">
        <f t="shared" ref="R87:R92" si="15">Q87-L87</f>
        <v>0</v>
      </c>
      <c r="S87" s="3096" t="s">
        <v>21</v>
      </c>
      <c r="T87" s="3096" t="s">
        <v>202</v>
      </c>
      <c r="U87" s="3096" t="s">
        <v>21</v>
      </c>
      <c r="V87" s="3096" t="s">
        <v>21</v>
      </c>
      <c r="W87" s="2841"/>
      <c r="X87" s="2835"/>
      <c r="Y87" s="2873"/>
    </row>
    <row r="88" spans="2:25" s="2667" customFormat="1" ht="53.25" customHeight="1">
      <c r="B88" s="2703"/>
      <c r="C88" s="2704"/>
      <c r="D88" s="2704"/>
      <c r="E88" s="2881">
        <v>4</v>
      </c>
      <c r="F88" s="2715" t="s">
        <v>203</v>
      </c>
      <c r="G88" s="2703"/>
      <c r="H88" s="2704"/>
      <c r="I88" s="2704"/>
      <c r="J88" s="2904">
        <f t="shared" si="13"/>
        <v>4</v>
      </c>
      <c r="K88" s="2905" t="str">
        <f t="shared" si="13"/>
        <v>Lambakan  Dam Project</v>
      </c>
      <c r="L88" s="2906">
        <v>258000000</v>
      </c>
      <c r="M88" s="2800">
        <v>227000000</v>
      </c>
      <c r="N88" s="2801">
        <v>0</v>
      </c>
      <c r="O88" s="2800">
        <f t="shared" si="0"/>
        <v>485000000</v>
      </c>
      <c r="P88" s="2897" t="s">
        <v>27</v>
      </c>
      <c r="Q88" s="2863">
        <f t="shared" si="14"/>
        <v>258000000</v>
      </c>
      <c r="R88" s="2952">
        <f t="shared" si="15"/>
        <v>0</v>
      </c>
      <c r="S88" s="3096" t="s">
        <v>21</v>
      </c>
      <c r="T88" s="3096" t="s">
        <v>202</v>
      </c>
      <c r="U88" s="3096" t="s">
        <v>21</v>
      </c>
      <c r="V88" s="3096" t="s">
        <v>21</v>
      </c>
      <c r="W88" s="2818"/>
      <c r="X88" s="2835"/>
      <c r="Y88" s="2873"/>
    </row>
    <row r="89" spans="2:25" s="2667" customFormat="1" ht="30.75" customHeight="1">
      <c r="B89" s="2703"/>
      <c r="C89" s="2704"/>
      <c r="D89" s="2704"/>
      <c r="E89" s="2878">
        <v>5</v>
      </c>
      <c r="F89" s="2715" t="s">
        <v>204</v>
      </c>
      <c r="G89" s="2703"/>
      <c r="H89" s="2704"/>
      <c r="I89" s="2704"/>
      <c r="J89" s="2878">
        <f t="shared" si="13"/>
        <v>5</v>
      </c>
      <c r="K89" s="2715" t="str">
        <f t="shared" si="13"/>
        <v>Jenelata Dam Construction Project</v>
      </c>
      <c r="L89" s="2821">
        <v>200000000</v>
      </c>
      <c r="M89" s="2777">
        <v>20000000</v>
      </c>
      <c r="N89" s="2778">
        <v>0</v>
      </c>
      <c r="O89" s="2777">
        <f t="shared" si="0"/>
        <v>220000000</v>
      </c>
      <c r="P89" s="2897" t="s">
        <v>27</v>
      </c>
      <c r="Q89" s="2863">
        <f t="shared" si="14"/>
        <v>200000000</v>
      </c>
      <c r="R89" s="2800">
        <f t="shared" si="15"/>
        <v>0</v>
      </c>
      <c r="S89" s="3096" t="s">
        <v>21</v>
      </c>
      <c r="T89" s="3096" t="s">
        <v>205</v>
      </c>
      <c r="U89" s="3096" t="s">
        <v>21</v>
      </c>
      <c r="V89" s="3096" t="s">
        <v>21</v>
      </c>
      <c r="W89" s="2841"/>
      <c r="X89" s="2835"/>
      <c r="Y89" s="2873"/>
    </row>
    <row r="90" spans="2:25" s="2667" customFormat="1" ht="39.75" customHeight="1">
      <c r="B90" s="2703"/>
      <c r="C90" s="2704"/>
      <c r="D90" s="2704"/>
      <c r="E90" s="2878">
        <v>6</v>
      </c>
      <c r="F90" s="2715" t="s">
        <v>206</v>
      </c>
      <c r="G90" s="2703"/>
      <c r="H90" s="2704"/>
      <c r="I90" s="2704"/>
      <c r="J90" s="2878">
        <f t="shared" si="13"/>
        <v>6</v>
      </c>
      <c r="K90" s="2715" t="str">
        <f t="shared" si="13"/>
        <v>Bonehulu Dam Construction Project</v>
      </c>
      <c r="L90" s="2863">
        <v>128250000</v>
      </c>
      <c r="M90" s="2800">
        <v>21000000</v>
      </c>
      <c r="N90" s="2801">
        <v>0</v>
      </c>
      <c r="O90" s="2800">
        <f t="shared" si="0"/>
        <v>149250000</v>
      </c>
      <c r="P90" s="2897" t="s">
        <v>27</v>
      </c>
      <c r="Q90" s="2863">
        <f t="shared" si="14"/>
        <v>128250000</v>
      </c>
      <c r="R90" s="2800">
        <f t="shared" si="15"/>
        <v>0</v>
      </c>
      <c r="S90" s="3096" t="s">
        <v>21</v>
      </c>
      <c r="T90" s="3096" t="s">
        <v>207</v>
      </c>
      <c r="U90" s="3096" t="s">
        <v>21</v>
      </c>
      <c r="V90" s="3096" t="s">
        <v>21</v>
      </c>
      <c r="W90" s="2820"/>
      <c r="X90" s="2835"/>
      <c r="Y90" s="2873"/>
    </row>
    <row r="91" spans="2:25" s="2667" customFormat="1" ht="56.25" customHeight="1">
      <c r="B91" s="2703"/>
      <c r="C91" s="2704"/>
      <c r="D91" s="2704"/>
      <c r="E91" s="2881">
        <v>7</v>
      </c>
      <c r="F91" s="2715" t="s">
        <v>208</v>
      </c>
      <c r="G91" s="2703"/>
      <c r="H91" s="2704"/>
      <c r="I91" s="2704"/>
      <c r="J91" s="2881">
        <f t="shared" si="13"/>
        <v>7</v>
      </c>
      <c r="K91" s="2806" t="str">
        <f t="shared" si="13"/>
        <v>Ladongi Dam Construction Project</v>
      </c>
      <c r="L91" s="2821">
        <v>70000000</v>
      </c>
      <c r="M91" s="2777">
        <v>7000000</v>
      </c>
      <c r="N91" s="2778">
        <v>0</v>
      </c>
      <c r="O91" s="2777">
        <f t="shared" si="0"/>
        <v>77000000</v>
      </c>
      <c r="P91" s="2897" t="s">
        <v>27</v>
      </c>
      <c r="Q91" s="2863">
        <f t="shared" si="14"/>
        <v>70000000</v>
      </c>
      <c r="R91" s="2800">
        <f t="shared" si="15"/>
        <v>0</v>
      </c>
      <c r="S91" s="3096" t="s">
        <v>21</v>
      </c>
      <c r="T91" s="3096" t="s">
        <v>209</v>
      </c>
      <c r="U91" s="3096" t="s">
        <v>21</v>
      </c>
      <c r="V91" s="3096" t="s">
        <v>21</v>
      </c>
      <c r="W91" s="2841"/>
      <c r="X91" s="2835"/>
      <c r="Y91" s="2873"/>
    </row>
    <row r="92" spans="2:25" s="2667" customFormat="1" ht="39" customHeight="1">
      <c r="B92" s="2703"/>
      <c r="C92" s="2704"/>
      <c r="D92" s="2704"/>
      <c r="E92" s="2878">
        <v>8</v>
      </c>
      <c r="F92" s="2715" t="s">
        <v>210</v>
      </c>
      <c r="G92" s="2703"/>
      <c r="H92" s="2704"/>
      <c r="I92" s="2704"/>
      <c r="J92" s="2878">
        <f t="shared" si="13"/>
        <v>8</v>
      </c>
      <c r="K92" s="2715" t="str">
        <f t="shared" si="13"/>
        <v>Kuwil Kawangkoan Dam Construction Project</v>
      </c>
      <c r="L92" s="2863">
        <v>110000000</v>
      </c>
      <c r="M92" s="2800">
        <v>11000000</v>
      </c>
      <c r="N92" s="2801">
        <v>0</v>
      </c>
      <c r="O92" s="2800">
        <f t="shared" si="0"/>
        <v>121000000</v>
      </c>
      <c r="P92" s="2897" t="s">
        <v>27</v>
      </c>
      <c r="Q92" s="2863">
        <f t="shared" si="14"/>
        <v>110000000</v>
      </c>
      <c r="R92" s="2800">
        <f t="shared" si="15"/>
        <v>0</v>
      </c>
      <c r="S92" s="3096" t="s">
        <v>21</v>
      </c>
      <c r="T92" s="3096" t="s">
        <v>211</v>
      </c>
      <c r="U92" s="3096" t="s">
        <v>21</v>
      </c>
      <c r="V92" s="3096" t="s">
        <v>21</v>
      </c>
      <c r="W92" s="2820"/>
      <c r="X92" s="2835"/>
      <c r="Y92" s="2873"/>
    </row>
    <row r="93" spans="2:25" s="2667" customFormat="1" ht="20.100000000000001" customHeight="1">
      <c r="B93" s="2703"/>
      <c r="C93" s="2704"/>
      <c r="D93" s="2704"/>
      <c r="E93" s="2878">
        <v>9</v>
      </c>
      <c r="F93" s="2715" t="s">
        <v>212</v>
      </c>
      <c r="G93" s="2703"/>
      <c r="H93" s="2704"/>
      <c r="I93" s="2704"/>
      <c r="J93" s="2878">
        <f t="shared" si="13"/>
        <v>9</v>
      </c>
      <c r="K93" s="2715" t="str">
        <f t="shared" si="13"/>
        <v>Lompatan Harimau Dam Construction Project</v>
      </c>
      <c r="L93" s="2821">
        <v>152100000</v>
      </c>
      <c r="M93" s="2777">
        <v>26500000</v>
      </c>
      <c r="N93" s="2778">
        <v>0</v>
      </c>
      <c r="O93" s="2777">
        <f t="shared" si="0"/>
        <v>178600000</v>
      </c>
      <c r="P93" s="2897" t="s">
        <v>27</v>
      </c>
      <c r="Q93" s="2863">
        <f t="shared" si="14"/>
        <v>152100000</v>
      </c>
      <c r="R93" s="2800">
        <v>0</v>
      </c>
      <c r="S93" s="3096" t="s">
        <v>21</v>
      </c>
      <c r="T93" s="3096" t="s">
        <v>213</v>
      </c>
      <c r="U93" s="3096" t="s">
        <v>21</v>
      </c>
      <c r="V93" s="3096" t="s">
        <v>21</v>
      </c>
      <c r="W93" s="2841"/>
      <c r="X93" s="2835"/>
      <c r="Y93" s="2873"/>
    </row>
    <row r="94" spans="2:25" s="2667" customFormat="1" ht="105" customHeight="1">
      <c r="B94" s="2703"/>
      <c r="C94" s="2704"/>
      <c r="D94" s="2704"/>
      <c r="E94" s="2878">
        <v>10</v>
      </c>
      <c r="F94" s="2715" t="s">
        <v>214</v>
      </c>
      <c r="G94" s="2703"/>
      <c r="H94" s="2704"/>
      <c r="I94" s="2704"/>
      <c r="J94" s="2878">
        <f t="shared" si="13"/>
        <v>10</v>
      </c>
      <c r="K94" s="2715" t="str">
        <f t="shared" si="13"/>
        <v>Engineering Service for Dam Multipurpose Development Project</v>
      </c>
      <c r="L94" s="2821">
        <v>100000000</v>
      </c>
      <c r="M94" s="2777">
        <v>0</v>
      </c>
      <c r="N94" s="2778">
        <v>0</v>
      </c>
      <c r="O94" s="2777">
        <f t="shared" si="0"/>
        <v>100000000</v>
      </c>
      <c r="P94" s="2899" t="s">
        <v>117</v>
      </c>
      <c r="Q94" s="2821">
        <f t="shared" si="14"/>
        <v>100000000</v>
      </c>
      <c r="R94" s="2777">
        <f>Q94-L94</f>
        <v>0</v>
      </c>
      <c r="S94" s="3091" t="s">
        <v>173</v>
      </c>
      <c r="T94" s="2841" t="s">
        <v>33</v>
      </c>
      <c r="U94" s="2841" t="s">
        <v>183</v>
      </c>
      <c r="V94" s="2841" t="s">
        <v>79</v>
      </c>
      <c r="W94" s="3097" t="s">
        <v>215</v>
      </c>
      <c r="X94" s="2835"/>
      <c r="Y94" s="2873"/>
    </row>
    <row r="95" spans="2:25" s="2667" customFormat="1" ht="75">
      <c r="B95" s="2703"/>
      <c r="C95" s="2704"/>
      <c r="D95" s="2717"/>
      <c r="E95" s="2882">
        <v>11</v>
      </c>
      <c r="F95" s="2715" t="s">
        <v>216</v>
      </c>
      <c r="G95" s="2703"/>
      <c r="H95" s="2704"/>
      <c r="I95" s="2717"/>
      <c r="J95" s="2882">
        <f t="shared" si="13"/>
        <v>11</v>
      </c>
      <c r="K95" s="2719" t="str">
        <f t="shared" si="13"/>
        <v>Additional Loan for Jatigede Dam Project 2</v>
      </c>
      <c r="L95" s="2813">
        <v>53200000</v>
      </c>
      <c r="M95" s="2814">
        <v>0</v>
      </c>
      <c r="N95" s="2815">
        <v>0</v>
      </c>
      <c r="O95" s="2814">
        <f t="shared" ref="O95:O178" si="16">L95+M95+N95</f>
        <v>53200000</v>
      </c>
      <c r="P95" s="2816" t="s">
        <v>27</v>
      </c>
      <c r="Q95" s="2821">
        <f t="shared" si="14"/>
        <v>53200000</v>
      </c>
      <c r="R95" s="2911">
        <f>Q95-L95</f>
        <v>0</v>
      </c>
      <c r="S95" s="3098" t="s">
        <v>173</v>
      </c>
      <c r="T95" s="2841" t="s">
        <v>217</v>
      </c>
      <c r="U95" s="3091" t="s">
        <v>218</v>
      </c>
      <c r="V95" s="2841" t="s">
        <v>79</v>
      </c>
      <c r="W95" s="2845"/>
      <c r="X95" s="2835"/>
      <c r="Y95" s="2873"/>
    </row>
    <row r="96" spans="2:25" s="2667" customFormat="1" ht="30" customHeight="1">
      <c r="B96" s="2703"/>
      <c r="C96" s="2704"/>
      <c r="D96" s="2701" t="s">
        <v>219</v>
      </c>
      <c r="E96" s="3310" t="s">
        <v>220</v>
      </c>
      <c r="F96" s="3310"/>
      <c r="G96" s="2703"/>
      <c r="H96" s="2704"/>
      <c r="I96" s="2701" t="str">
        <f>D96</f>
        <v>K</v>
      </c>
      <c r="J96" s="3304" t="s">
        <v>221</v>
      </c>
      <c r="K96" s="3305"/>
      <c r="L96" s="2775">
        <f>SUM(L97:L103)</f>
        <v>1152636000</v>
      </c>
      <c r="M96" s="2749">
        <f>SUM(M97:M103)</f>
        <v>149840000</v>
      </c>
      <c r="N96" s="2749">
        <f>SUM(N97:N103)</f>
        <v>0</v>
      </c>
      <c r="O96" s="2750">
        <f t="shared" si="16"/>
        <v>1302476000</v>
      </c>
      <c r="P96" s="2750" t="s">
        <v>21</v>
      </c>
      <c r="Q96" s="2750">
        <f>SUM(Q97:Q103)</f>
        <v>1152636000</v>
      </c>
      <c r="R96" s="2750">
        <f>Q96-L96</f>
        <v>0</v>
      </c>
      <c r="S96" s="2750"/>
      <c r="T96" s="2750"/>
      <c r="U96" s="2750"/>
      <c r="V96" s="2750"/>
      <c r="W96" s="2847"/>
      <c r="X96" s="2835"/>
      <c r="Y96" s="2873"/>
    </row>
    <row r="97" spans="2:26" s="2669" customFormat="1" ht="39.75" customHeight="1">
      <c r="B97" s="2883"/>
      <c r="C97" s="2884"/>
      <c r="D97" s="2705"/>
      <c r="E97" s="2720">
        <v>1</v>
      </c>
      <c r="F97" s="2715" t="s">
        <v>222</v>
      </c>
      <c r="G97" s="2883"/>
      <c r="H97" s="2884"/>
      <c r="I97" s="2705"/>
      <c r="J97" s="2720">
        <v>1</v>
      </c>
      <c r="K97" s="2713" t="str">
        <f t="shared" ref="K97:K102" si="17">F97</f>
        <v>Lower Solo River Improvement Project - Phase II</v>
      </c>
      <c r="L97" s="2907">
        <v>155836000</v>
      </c>
      <c r="M97" s="2894">
        <v>22500000</v>
      </c>
      <c r="N97" s="2895">
        <v>0</v>
      </c>
      <c r="O97" s="2894">
        <f t="shared" si="16"/>
        <v>178336000</v>
      </c>
      <c r="P97" s="2908" t="s">
        <v>55</v>
      </c>
      <c r="Q97" s="2907">
        <f>L97</f>
        <v>155836000</v>
      </c>
      <c r="R97" s="2894">
        <f>Q97-L97</f>
        <v>0</v>
      </c>
      <c r="S97" s="3099" t="s">
        <v>21</v>
      </c>
      <c r="T97" s="3099" t="s">
        <v>21</v>
      </c>
      <c r="U97" s="3099" t="s">
        <v>21</v>
      </c>
      <c r="V97" s="3099" t="s">
        <v>21</v>
      </c>
      <c r="W97" s="3099" t="s">
        <v>223</v>
      </c>
      <c r="X97" s="2831"/>
      <c r="Y97" s="2967"/>
    </row>
    <row r="98" spans="2:26" s="2665" customFormat="1" ht="32.25" customHeight="1">
      <c r="B98" s="2885"/>
      <c r="C98" s="2884"/>
      <c r="D98" s="2704"/>
      <c r="E98" s="2720">
        <v>2</v>
      </c>
      <c r="F98" s="2715" t="s">
        <v>224</v>
      </c>
      <c r="G98" s="2885"/>
      <c r="H98" s="2884"/>
      <c r="I98" s="2704"/>
      <c r="J98" s="2878">
        <v>2</v>
      </c>
      <c r="K98" s="2715" t="str">
        <f t="shared" si="17"/>
        <v>Comprehensive Countermeasure for Sediment &amp; Flood Problems in South Sulawesi Province</v>
      </c>
      <c r="L98" s="2869">
        <v>108100000</v>
      </c>
      <c r="M98" s="2781">
        <v>3900000</v>
      </c>
      <c r="N98" s="2782">
        <v>0</v>
      </c>
      <c r="O98" s="2781">
        <f t="shared" si="16"/>
        <v>112000000</v>
      </c>
      <c r="P98" s="2909" t="s">
        <v>55</v>
      </c>
      <c r="Q98" s="2869">
        <f>L98</f>
        <v>108100000</v>
      </c>
      <c r="R98" s="2781">
        <f>Q98-L98</f>
        <v>0</v>
      </c>
      <c r="S98" s="3084" t="s">
        <v>21</v>
      </c>
      <c r="T98" s="3084" t="s">
        <v>21</v>
      </c>
      <c r="U98" s="3084" t="s">
        <v>21</v>
      </c>
      <c r="V98" s="3084" t="s">
        <v>21</v>
      </c>
      <c r="W98" s="3090" t="s">
        <v>223</v>
      </c>
      <c r="X98" s="2831"/>
      <c r="Y98" s="2871"/>
    </row>
    <row r="99" spans="2:26" s="2667" customFormat="1" ht="31.5" customHeight="1">
      <c r="B99" s="2703"/>
      <c r="C99" s="2704"/>
      <c r="D99" s="2704"/>
      <c r="E99" s="2720">
        <v>3</v>
      </c>
      <c r="F99" s="2715" t="s">
        <v>225</v>
      </c>
      <c r="G99" s="2703"/>
      <c r="H99" s="2704"/>
      <c r="I99" s="2704"/>
      <c r="J99" s="2878">
        <v>3</v>
      </c>
      <c r="K99" s="2715" t="str">
        <f t="shared" si="17"/>
        <v>Bali Beach Conservation Project - Phase II</v>
      </c>
      <c r="L99" s="2821">
        <v>150000000</v>
      </c>
      <c r="M99" s="2777">
        <v>15000000</v>
      </c>
      <c r="N99" s="2778">
        <v>0</v>
      </c>
      <c r="O99" s="2777">
        <f t="shared" si="16"/>
        <v>165000000</v>
      </c>
      <c r="P99" s="2899" t="s">
        <v>55</v>
      </c>
      <c r="Q99" s="2821">
        <f t="shared" ref="Q99:Q105" si="18">L99</f>
        <v>150000000</v>
      </c>
      <c r="R99" s="2777">
        <v>0</v>
      </c>
      <c r="S99" s="3096" t="s">
        <v>226</v>
      </c>
      <c r="T99" s="3096" t="s">
        <v>227</v>
      </c>
      <c r="U99" s="3096" t="s">
        <v>21</v>
      </c>
      <c r="V99" s="3096" t="s">
        <v>21</v>
      </c>
      <c r="W99" s="2841" t="s">
        <v>228</v>
      </c>
      <c r="X99" s="2835"/>
      <c r="Y99" s="2873"/>
    </row>
    <row r="100" spans="2:26" s="2667" customFormat="1" ht="29.25" customHeight="1">
      <c r="B100" s="2703"/>
      <c r="C100" s="2704"/>
      <c r="D100" s="2704"/>
      <c r="E100" s="2720">
        <v>4</v>
      </c>
      <c r="F100" s="2715" t="s">
        <v>229</v>
      </c>
      <c r="G100" s="2703"/>
      <c r="H100" s="2704"/>
      <c r="I100" s="2704"/>
      <c r="J100" s="2881">
        <v>4</v>
      </c>
      <c r="K100" s="2715" t="str">
        <f t="shared" si="17"/>
        <v xml:space="preserve">Urgent Disaster Reduction of Mt. Sinabung, Mt. Semeru, Mt. Kelud Mt. Lokon, and Mt. Gamalama </v>
      </c>
      <c r="L100" s="2821">
        <v>260000000</v>
      </c>
      <c r="M100" s="2777">
        <v>26000000</v>
      </c>
      <c r="N100" s="2778">
        <v>0</v>
      </c>
      <c r="O100" s="2777">
        <f t="shared" si="16"/>
        <v>286000000</v>
      </c>
      <c r="P100" s="2899" t="s">
        <v>55</v>
      </c>
      <c r="Q100" s="2821">
        <f t="shared" si="18"/>
        <v>260000000</v>
      </c>
      <c r="R100" s="2777">
        <v>0</v>
      </c>
      <c r="S100" s="3096" t="s">
        <v>21</v>
      </c>
      <c r="T100" s="3096" t="s">
        <v>21</v>
      </c>
      <c r="U100" s="3096" t="s">
        <v>21</v>
      </c>
      <c r="V100" s="3096" t="s">
        <v>21</v>
      </c>
      <c r="W100" s="2841"/>
      <c r="X100" s="2835"/>
      <c r="Y100" s="2873"/>
    </row>
    <row r="101" spans="2:26" s="2667" customFormat="1" ht="20.100000000000001" customHeight="1">
      <c r="B101" s="2703"/>
      <c r="C101" s="2704"/>
      <c r="D101" s="2704"/>
      <c r="E101" s="2720">
        <v>5</v>
      </c>
      <c r="F101" s="2715" t="s">
        <v>230</v>
      </c>
      <c r="G101" s="2703"/>
      <c r="H101" s="2704"/>
      <c r="I101" s="2704"/>
      <c r="J101" s="2878">
        <v>5</v>
      </c>
      <c r="K101" s="2715" t="str">
        <f t="shared" si="17"/>
        <v xml:space="preserve">Urban Flood Control System Improvement in Selected Cities -Phase II  </v>
      </c>
      <c r="L101" s="2821">
        <v>120000000</v>
      </c>
      <c r="M101" s="2777">
        <v>12000000</v>
      </c>
      <c r="N101" s="2778">
        <v>0</v>
      </c>
      <c r="O101" s="2777">
        <f t="shared" si="16"/>
        <v>132000000</v>
      </c>
      <c r="P101" s="2899" t="s">
        <v>55</v>
      </c>
      <c r="Q101" s="2821">
        <f t="shared" si="18"/>
        <v>120000000</v>
      </c>
      <c r="R101" s="2777">
        <v>0</v>
      </c>
      <c r="S101" s="3096" t="s">
        <v>21</v>
      </c>
      <c r="T101" s="3096" t="s">
        <v>21</v>
      </c>
      <c r="U101" s="3096" t="s">
        <v>21</v>
      </c>
      <c r="V101" s="3096" t="s">
        <v>21</v>
      </c>
      <c r="W101" s="2841"/>
      <c r="X101" s="2835"/>
      <c r="Y101" s="2873"/>
    </row>
    <row r="102" spans="2:26" s="2667" customFormat="1" ht="75">
      <c r="B102" s="2703"/>
      <c r="C102" s="2704"/>
      <c r="D102" s="2704"/>
      <c r="E102" s="2720">
        <v>6</v>
      </c>
      <c r="F102" s="2715" t="s">
        <v>231</v>
      </c>
      <c r="G102" s="2703"/>
      <c r="H102" s="2704"/>
      <c r="I102" s="2704"/>
      <c r="J102" s="2881">
        <v>6</v>
      </c>
      <c r="K102" s="2715" t="str">
        <f t="shared" si="17"/>
        <v>Engineering Service for Coastal and River Development Project</v>
      </c>
      <c r="L102" s="2821">
        <v>50000000</v>
      </c>
      <c r="M102" s="2777">
        <v>0</v>
      </c>
      <c r="N102" s="2778">
        <v>0</v>
      </c>
      <c r="O102" s="2777">
        <f t="shared" si="16"/>
        <v>50000000</v>
      </c>
      <c r="P102" s="2899" t="s">
        <v>117</v>
      </c>
      <c r="Q102" s="2821">
        <f t="shared" si="18"/>
        <v>50000000</v>
      </c>
      <c r="R102" s="2777">
        <v>0</v>
      </c>
      <c r="S102" s="3091" t="s">
        <v>173</v>
      </c>
      <c r="T102" s="2841" t="s">
        <v>33</v>
      </c>
      <c r="U102" s="2841" t="s">
        <v>183</v>
      </c>
      <c r="V102" s="2841" t="s">
        <v>79</v>
      </c>
      <c r="W102" s="3097" t="s">
        <v>232</v>
      </c>
      <c r="X102" s="2835"/>
      <c r="Y102" s="2873"/>
    </row>
    <row r="103" spans="2:26" s="2667" customFormat="1">
      <c r="B103" s="2703"/>
      <c r="C103" s="2704"/>
      <c r="D103" s="2704"/>
      <c r="E103" s="2720">
        <v>7</v>
      </c>
      <c r="F103" s="2715" t="s">
        <v>233</v>
      </c>
      <c r="G103" s="2703"/>
      <c r="H103" s="2704"/>
      <c r="I103" s="2704"/>
      <c r="J103" s="2881">
        <v>7</v>
      </c>
      <c r="K103" s="2715" t="s">
        <v>234</v>
      </c>
      <c r="L103" s="2821">
        <f>200000000+108700000</f>
        <v>308700000</v>
      </c>
      <c r="M103" s="2777">
        <f>20000000+50440000</f>
        <v>70440000</v>
      </c>
      <c r="N103" s="2778">
        <v>0</v>
      </c>
      <c r="O103" s="2777">
        <f t="shared" si="16"/>
        <v>379140000</v>
      </c>
      <c r="P103" s="2899" t="s">
        <v>21</v>
      </c>
      <c r="Q103" s="2821">
        <f t="shared" si="18"/>
        <v>308700000</v>
      </c>
      <c r="R103" s="2777">
        <v>0</v>
      </c>
      <c r="S103" s="3096" t="s">
        <v>21</v>
      </c>
      <c r="T103" s="3096" t="s">
        <v>21</v>
      </c>
      <c r="U103" s="3096" t="s">
        <v>21</v>
      </c>
      <c r="V103" s="3096" t="s">
        <v>21</v>
      </c>
      <c r="W103" s="2841"/>
      <c r="X103" s="2835"/>
      <c r="Y103" s="2873"/>
    </row>
    <row r="104" spans="2:26" s="2667" customFormat="1" ht="42" customHeight="1">
      <c r="B104" s="2703"/>
      <c r="C104" s="2704"/>
      <c r="D104" s="2704"/>
      <c r="E104" s="2720">
        <v>7</v>
      </c>
      <c r="F104" s="2715" t="s">
        <v>233</v>
      </c>
      <c r="G104" s="2703"/>
      <c r="H104" s="2704"/>
      <c r="I104" s="2704"/>
      <c r="J104" s="2904"/>
      <c r="K104" s="2715" t="s">
        <v>235</v>
      </c>
      <c r="L104" s="2821"/>
      <c r="M104" s="2777"/>
      <c r="N104" s="2778">
        <v>0</v>
      </c>
      <c r="O104" s="2777">
        <f t="shared" si="16"/>
        <v>0</v>
      </c>
      <c r="P104" s="2899" t="s">
        <v>117</v>
      </c>
      <c r="Q104" s="2821">
        <f t="shared" si="18"/>
        <v>0</v>
      </c>
      <c r="R104" s="2777">
        <v>0</v>
      </c>
      <c r="S104" s="3096" t="s">
        <v>21</v>
      </c>
      <c r="T104" s="3096" t="s">
        <v>21</v>
      </c>
      <c r="U104" s="3096" t="s">
        <v>21</v>
      </c>
      <c r="V104" s="3096" t="s">
        <v>21</v>
      </c>
      <c r="W104" s="2841"/>
      <c r="X104" s="2835"/>
      <c r="Y104" s="2873"/>
    </row>
    <row r="105" spans="2:26" s="2667" customFormat="1" ht="97.5" customHeight="1">
      <c r="B105" s="2703"/>
      <c r="C105" s="2704"/>
      <c r="D105" s="2704"/>
      <c r="E105" s="2720">
        <v>7</v>
      </c>
      <c r="F105" s="2715" t="s">
        <v>233</v>
      </c>
      <c r="G105" s="2703"/>
      <c r="H105" s="2704"/>
      <c r="I105" s="2704"/>
      <c r="J105" s="2787"/>
      <c r="K105" s="2715" t="s">
        <v>236</v>
      </c>
      <c r="L105" s="2910"/>
      <c r="M105" s="2911"/>
      <c r="N105" s="2912">
        <v>0</v>
      </c>
      <c r="O105" s="2777">
        <f t="shared" si="16"/>
        <v>0</v>
      </c>
      <c r="P105" s="2899" t="s">
        <v>117</v>
      </c>
      <c r="Q105" s="2821">
        <f t="shared" si="18"/>
        <v>0</v>
      </c>
      <c r="R105" s="2777">
        <v>0</v>
      </c>
      <c r="S105" s="3091" t="s">
        <v>173</v>
      </c>
      <c r="T105" s="2841" t="s">
        <v>33</v>
      </c>
      <c r="U105" s="3091" t="s">
        <v>237</v>
      </c>
      <c r="V105" s="2841" t="s">
        <v>79</v>
      </c>
      <c r="W105" s="2841"/>
      <c r="X105" s="2835"/>
      <c r="Y105" s="2873"/>
    </row>
    <row r="106" spans="2:26" s="2666" customFormat="1" ht="30" customHeight="1">
      <c r="B106" s="2699"/>
      <c r="C106" s="2712"/>
      <c r="D106" s="2879" t="s">
        <v>238</v>
      </c>
      <c r="E106" s="3312" t="s">
        <v>239</v>
      </c>
      <c r="F106" s="3312"/>
      <c r="G106" s="2699"/>
      <c r="H106" s="2712"/>
      <c r="I106" s="2701" t="str">
        <f>D106</f>
        <v>L</v>
      </c>
      <c r="J106" s="3304" t="s">
        <v>240</v>
      </c>
      <c r="K106" s="3305"/>
      <c r="L106" s="2775">
        <f>L107+L108+L109</f>
        <v>650000000</v>
      </c>
      <c r="M106" s="2749">
        <f>M107+M108+M109</f>
        <v>130000000</v>
      </c>
      <c r="N106" s="2749">
        <f>N107+N108+N109</f>
        <v>0</v>
      </c>
      <c r="O106" s="2750">
        <f t="shared" si="16"/>
        <v>780000000</v>
      </c>
      <c r="P106" s="2750" t="s">
        <v>21</v>
      </c>
      <c r="Q106" s="2750">
        <f>SUM(Q107:Q109)</f>
        <v>650000000</v>
      </c>
      <c r="R106" s="2750">
        <f>Q106-L106</f>
        <v>0</v>
      </c>
      <c r="S106" s="2750"/>
      <c r="T106" s="2750"/>
      <c r="U106" s="2750"/>
      <c r="V106" s="2750"/>
      <c r="W106" s="2847"/>
      <c r="X106" s="2835"/>
      <c r="Y106" s="2873"/>
      <c r="Z106" s="2835"/>
    </row>
    <row r="107" spans="2:26" s="2667" customFormat="1" ht="20.100000000000001" customHeight="1">
      <c r="B107" s="2703"/>
      <c r="C107" s="2704"/>
      <c r="D107" s="2705"/>
      <c r="E107" s="2880">
        <v>1</v>
      </c>
      <c r="F107" s="2715" t="s">
        <v>241</v>
      </c>
      <c r="G107" s="2703"/>
      <c r="H107" s="2704"/>
      <c r="I107" s="2705"/>
      <c r="J107" s="2880">
        <f t="shared" ref="J107:K109" si="19">E107</f>
        <v>1</v>
      </c>
      <c r="K107" s="2713" t="str">
        <f t="shared" si="19"/>
        <v xml:space="preserve">Dam Operational Improvement and Safety Project (DOISP) - Phase II </v>
      </c>
      <c r="L107" s="2809">
        <v>250000000</v>
      </c>
      <c r="M107" s="2810">
        <v>50000000</v>
      </c>
      <c r="N107" s="2811"/>
      <c r="O107" s="2810">
        <f t="shared" si="16"/>
        <v>300000000</v>
      </c>
      <c r="P107" s="2812" t="s">
        <v>62</v>
      </c>
      <c r="Q107" s="2809">
        <v>250000000</v>
      </c>
      <c r="R107" s="2810">
        <f>+Q107-L107</f>
        <v>0</v>
      </c>
      <c r="S107" s="3094" t="s">
        <v>21</v>
      </c>
      <c r="T107" s="3094" t="s">
        <v>21</v>
      </c>
      <c r="U107" s="3094" t="s">
        <v>21</v>
      </c>
      <c r="V107" s="3094" t="s">
        <v>21</v>
      </c>
      <c r="W107" s="2834"/>
      <c r="X107" s="2835"/>
      <c r="Y107" s="2873"/>
      <c r="Z107" s="2835"/>
    </row>
    <row r="108" spans="2:26" s="2665" customFormat="1" ht="20.100000000000001" customHeight="1">
      <c r="B108" s="2885"/>
      <c r="C108" s="2884"/>
      <c r="D108" s="2704"/>
      <c r="E108" s="2878">
        <v>2</v>
      </c>
      <c r="F108" s="2715" t="s">
        <v>242</v>
      </c>
      <c r="G108" s="2885"/>
      <c r="H108" s="2884"/>
      <c r="I108" s="2704"/>
      <c r="J108" s="2878">
        <f t="shared" si="19"/>
        <v>2</v>
      </c>
      <c r="K108" s="2715" t="str">
        <f t="shared" si="19"/>
        <v xml:space="preserve">Enhanced Water Security Investment Program    </v>
      </c>
      <c r="L108" s="2821">
        <v>350000000</v>
      </c>
      <c r="M108" s="2777">
        <v>70000000</v>
      </c>
      <c r="N108" s="2778"/>
      <c r="O108" s="2777">
        <f t="shared" si="16"/>
        <v>420000000</v>
      </c>
      <c r="P108" s="2899" t="s">
        <v>117</v>
      </c>
      <c r="Q108" s="2821">
        <f>L108</f>
        <v>350000000</v>
      </c>
      <c r="R108" s="2777">
        <v>0</v>
      </c>
      <c r="S108" s="3096" t="s">
        <v>21</v>
      </c>
      <c r="T108" s="3096" t="s">
        <v>21</v>
      </c>
      <c r="U108" s="3096" t="s">
        <v>21</v>
      </c>
      <c r="V108" s="3096" t="s">
        <v>21</v>
      </c>
      <c r="W108" s="2841"/>
      <c r="X108" s="2835"/>
      <c r="Y108" s="2873"/>
      <c r="Z108" s="2835"/>
    </row>
    <row r="109" spans="2:26" s="2666" customFormat="1" ht="20.100000000000001" customHeight="1">
      <c r="B109" s="2699"/>
      <c r="C109" s="2712"/>
      <c r="D109" s="2886"/>
      <c r="E109" s="2882">
        <v>3</v>
      </c>
      <c r="F109" s="2715" t="s">
        <v>243</v>
      </c>
      <c r="G109" s="2699"/>
      <c r="H109" s="2712"/>
      <c r="I109" s="2886"/>
      <c r="J109" s="2882">
        <f t="shared" si="19"/>
        <v>3</v>
      </c>
      <c r="K109" s="2719" t="str">
        <f t="shared" si="19"/>
        <v>Engineering Service for Water Resources Infrastructure Management</v>
      </c>
      <c r="L109" s="2813">
        <v>50000000</v>
      </c>
      <c r="M109" s="2814">
        <v>10000000</v>
      </c>
      <c r="N109" s="2815"/>
      <c r="O109" s="2814">
        <f t="shared" si="16"/>
        <v>60000000</v>
      </c>
      <c r="P109" s="2816" t="s">
        <v>117</v>
      </c>
      <c r="Q109" s="2821">
        <v>50000000</v>
      </c>
      <c r="R109" s="2911">
        <f>+Q109-L109</f>
        <v>0</v>
      </c>
      <c r="S109" s="3096" t="s">
        <v>21</v>
      </c>
      <c r="T109" s="3096" t="s">
        <v>21</v>
      </c>
      <c r="U109" s="3096" t="s">
        <v>21</v>
      </c>
      <c r="V109" s="3096" t="s">
        <v>21</v>
      </c>
      <c r="W109" s="2845"/>
      <c r="X109" s="2831"/>
      <c r="Y109" s="2967"/>
      <c r="Z109" s="2831"/>
    </row>
    <row r="110" spans="2:26" s="2667" customFormat="1" ht="30" customHeight="1">
      <c r="B110" s="2703"/>
      <c r="C110" s="2704"/>
      <c r="D110" s="2701" t="s">
        <v>244</v>
      </c>
      <c r="E110" s="3310" t="s">
        <v>245</v>
      </c>
      <c r="F110" s="3310"/>
      <c r="G110" s="2703"/>
      <c r="H110" s="2704"/>
      <c r="I110" s="2701" t="str">
        <f>D110</f>
        <v>M</v>
      </c>
      <c r="J110" s="3304" t="s">
        <v>246</v>
      </c>
      <c r="K110" s="3305"/>
      <c r="L110" s="2913">
        <f>L111</f>
        <v>300000000</v>
      </c>
      <c r="M110" s="2748">
        <f>M111</f>
        <v>15000000</v>
      </c>
      <c r="N110" s="2808">
        <f>+N111</f>
        <v>7000000</v>
      </c>
      <c r="O110" s="2750">
        <f t="shared" si="16"/>
        <v>322000000</v>
      </c>
      <c r="P110" s="2750" t="s">
        <v>21</v>
      </c>
      <c r="Q110" s="2750">
        <f>Q111</f>
        <v>300000000</v>
      </c>
      <c r="R110" s="2750">
        <f>Q110-L110</f>
        <v>0</v>
      </c>
      <c r="S110" s="2750"/>
      <c r="T110" s="2750"/>
      <c r="U110" s="2750"/>
      <c r="V110" s="2750"/>
      <c r="W110" s="2847"/>
      <c r="X110" s="2835"/>
      <c r="Y110" s="2873"/>
    </row>
    <row r="111" spans="2:26" s="2667" customFormat="1" ht="20.100000000000001" customHeight="1">
      <c r="B111" s="2703"/>
      <c r="C111" s="2887"/>
      <c r="D111" s="2888"/>
      <c r="E111" s="2878">
        <v>1</v>
      </c>
      <c r="F111" s="2715" t="s">
        <v>247</v>
      </c>
      <c r="G111" s="2703"/>
      <c r="H111" s="2717"/>
      <c r="I111" s="2717"/>
      <c r="J111" s="2787">
        <f>E111</f>
        <v>1</v>
      </c>
      <c r="K111" s="3100" t="str">
        <f>F111</f>
        <v xml:space="preserve">Financial Support for Low Income Households </v>
      </c>
      <c r="L111" s="2915">
        <v>300000000</v>
      </c>
      <c r="M111" s="2916">
        <v>15000000</v>
      </c>
      <c r="N111" s="2917">
        <v>7000000</v>
      </c>
      <c r="O111" s="2918">
        <f t="shared" si="16"/>
        <v>322000000</v>
      </c>
      <c r="P111" s="2919" t="s">
        <v>62</v>
      </c>
      <c r="Q111" s="2919">
        <v>300000000</v>
      </c>
      <c r="R111" s="2954">
        <f>+Q111-L111</f>
        <v>0</v>
      </c>
      <c r="S111" s="3094" t="s">
        <v>248</v>
      </c>
      <c r="T111" s="3094" t="s">
        <v>21</v>
      </c>
      <c r="U111" s="3094" t="s">
        <v>21</v>
      </c>
      <c r="V111" s="3094" t="s">
        <v>21</v>
      </c>
      <c r="W111" s="2845"/>
      <c r="X111" s="2835"/>
      <c r="Y111" s="2873"/>
    </row>
    <row r="112" spans="2:26" s="2667" customFormat="1" ht="24.95" customHeight="1">
      <c r="B112" s="2703"/>
      <c r="C112" s="2696">
        <v>2</v>
      </c>
      <c r="D112" s="2695" t="s">
        <v>249</v>
      </c>
      <c r="E112" s="2695"/>
      <c r="F112" s="2697"/>
      <c r="G112" s="2703"/>
      <c r="H112" s="2889">
        <f>C112</f>
        <v>2</v>
      </c>
      <c r="I112" s="2743" t="s">
        <v>250</v>
      </c>
      <c r="J112" s="2744"/>
      <c r="K112" s="2744"/>
      <c r="L112" s="2920">
        <f>L114</f>
        <v>200000000</v>
      </c>
      <c r="M112" s="2920">
        <f>M114</f>
        <v>20000000</v>
      </c>
      <c r="N112" s="2920">
        <f>N114</f>
        <v>0</v>
      </c>
      <c r="O112" s="2745">
        <f t="shared" si="16"/>
        <v>220000000</v>
      </c>
      <c r="P112" s="2745" t="s">
        <v>21</v>
      </c>
      <c r="Q112" s="2745">
        <f>Q113</f>
        <v>200000000</v>
      </c>
      <c r="R112" s="2745">
        <f>R113</f>
        <v>0</v>
      </c>
      <c r="S112" s="2745"/>
      <c r="T112" s="2745"/>
      <c r="U112" s="2745"/>
      <c r="V112" s="2745"/>
      <c r="W112" s="2955"/>
      <c r="X112" s="2835"/>
      <c r="Y112" s="2873"/>
    </row>
    <row r="113" spans="2:27" s="2667" customFormat="1" ht="30" customHeight="1">
      <c r="B113" s="2703"/>
      <c r="C113" s="2704"/>
      <c r="D113" s="2701" t="s">
        <v>23</v>
      </c>
      <c r="E113" s="3310" t="s">
        <v>245</v>
      </c>
      <c r="F113" s="3310"/>
      <c r="G113" s="2703"/>
      <c r="H113" s="2704"/>
      <c r="I113" s="2701" t="str">
        <f>D113</f>
        <v>A</v>
      </c>
      <c r="J113" s="3304" t="s">
        <v>246</v>
      </c>
      <c r="K113" s="3305"/>
      <c r="L113" s="2747">
        <f>L114</f>
        <v>200000000</v>
      </c>
      <c r="M113" s="2748">
        <f>M114</f>
        <v>20000000</v>
      </c>
      <c r="N113" s="2748">
        <f>+N114</f>
        <v>0</v>
      </c>
      <c r="O113" s="2748">
        <f t="shared" si="16"/>
        <v>220000000</v>
      </c>
      <c r="P113" s="2921" t="s">
        <v>21</v>
      </c>
      <c r="Q113" s="2747">
        <f>Q114</f>
        <v>200000000</v>
      </c>
      <c r="R113" s="2750">
        <f>Q113-L113</f>
        <v>0</v>
      </c>
      <c r="S113" s="2748"/>
      <c r="T113" s="2748"/>
      <c r="U113" s="2748"/>
      <c r="V113" s="2748"/>
      <c r="W113" s="2956"/>
      <c r="X113" s="2835"/>
      <c r="Y113" s="2873"/>
    </row>
    <row r="114" spans="2:27" s="2667" customFormat="1" ht="180">
      <c r="B114" s="2703"/>
      <c r="C114" s="2887"/>
      <c r="D114" s="2888"/>
      <c r="E114" s="2878">
        <v>1</v>
      </c>
      <c r="F114" s="2877" t="s">
        <v>251</v>
      </c>
      <c r="G114" s="2703"/>
      <c r="H114" s="2717"/>
      <c r="I114" s="2717"/>
      <c r="J114" s="2787">
        <f>E114</f>
        <v>1</v>
      </c>
      <c r="K114" s="3100" t="str">
        <f>F114</f>
        <v>Support for National Housing and Urban Development Cooperation</v>
      </c>
      <c r="L114" s="2922">
        <v>200000000</v>
      </c>
      <c r="M114" s="2916">
        <f>L114*10%</f>
        <v>20000000</v>
      </c>
      <c r="N114" s="2916">
        <v>0</v>
      </c>
      <c r="O114" s="2916">
        <f t="shared" si="16"/>
        <v>220000000</v>
      </c>
      <c r="P114" s="2923" t="s">
        <v>55</v>
      </c>
      <c r="Q114" s="2922">
        <v>200000000</v>
      </c>
      <c r="R114" s="2921">
        <v>0</v>
      </c>
      <c r="S114" s="2957" t="s">
        <v>248</v>
      </c>
      <c r="T114" s="2958" t="s">
        <v>33</v>
      </c>
      <c r="U114" s="2958" t="s">
        <v>252</v>
      </c>
      <c r="V114" s="2958" t="s">
        <v>253</v>
      </c>
      <c r="W114" s="3101" t="s">
        <v>254</v>
      </c>
      <c r="X114" s="2835"/>
      <c r="Y114" s="2873"/>
    </row>
    <row r="115" spans="2:27" s="2665" customFormat="1">
      <c r="B115" s="2885"/>
      <c r="C115" s="2696">
        <v>3</v>
      </c>
      <c r="D115" s="2695" t="s">
        <v>255</v>
      </c>
      <c r="E115" s="2695"/>
      <c r="F115" s="2697"/>
      <c r="G115" s="2885"/>
      <c r="H115" s="2889">
        <f>C115</f>
        <v>3</v>
      </c>
      <c r="I115" s="2743" t="s">
        <v>256</v>
      </c>
      <c r="J115" s="2744"/>
      <c r="K115" s="2744"/>
      <c r="L115" s="2920">
        <f>+L116</f>
        <v>5765336700</v>
      </c>
      <c r="M115" s="2920">
        <f>+M116</f>
        <v>647453200</v>
      </c>
      <c r="N115" s="2920">
        <f>N116-N123</f>
        <v>0</v>
      </c>
      <c r="O115" s="2745">
        <f t="shared" si="16"/>
        <v>6412789900</v>
      </c>
      <c r="P115" s="2745" t="s">
        <v>21</v>
      </c>
      <c r="Q115" s="2745">
        <f>Q116</f>
        <v>5473000000</v>
      </c>
      <c r="R115" s="2745">
        <f>R116</f>
        <v>-292336700</v>
      </c>
      <c r="S115" s="2745"/>
      <c r="T115" s="2745"/>
      <c r="U115" s="2745"/>
      <c r="V115" s="2745"/>
      <c r="W115" s="2955" t="s">
        <v>257</v>
      </c>
      <c r="X115" s="2831"/>
      <c r="Y115" s="2871"/>
      <c r="Z115" s="2968"/>
    </row>
    <row r="116" spans="2:27" s="2667" customFormat="1" ht="30" customHeight="1">
      <c r="B116" s="2703"/>
      <c r="C116" s="2704"/>
      <c r="D116" s="2701" t="s">
        <v>23</v>
      </c>
      <c r="E116" s="3310" t="s">
        <v>258</v>
      </c>
      <c r="F116" s="3310"/>
      <c r="G116" s="2703"/>
      <c r="H116" s="2704"/>
      <c r="I116" s="2701" t="str">
        <f>D116</f>
        <v>A</v>
      </c>
      <c r="J116" s="3304" t="s">
        <v>259</v>
      </c>
      <c r="K116" s="3305"/>
      <c r="L116" s="2807">
        <f>SUM(L117:L122)</f>
        <v>5765336700</v>
      </c>
      <c r="M116" s="2808">
        <f>SUM(M117:M122)</f>
        <v>647453200</v>
      </c>
      <c r="N116" s="2808">
        <f>N122+N117+N120+N121+N125</f>
        <v>0</v>
      </c>
      <c r="O116" s="2750">
        <f t="shared" si="16"/>
        <v>6412789900</v>
      </c>
      <c r="P116" s="2750" t="s">
        <v>21</v>
      </c>
      <c r="Q116" s="2750">
        <f>SUM(Q117:Q122)</f>
        <v>5473000000</v>
      </c>
      <c r="R116" s="2750">
        <f>Q116-L116</f>
        <v>-292336700</v>
      </c>
      <c r="S116" s="2750"/>
      <c r="T116" s="2750"/>
      <c r="U116" s="2750"/>
      <c r="V116" s="2750"/>
      <c r="W116" s="2847"/>
      <c r="X116" s="2835"/>
      <c r="Y116" s="2873"/>
    </row>
    <row r="117" spans="2:27" s="2667" customFormat="1" ht="27.75" customHeight="1">
      <c r="B117" s="2703"/>
      <c r="C117" s="2704"/>
      <c r="D117" s="2704"/>
      <c r="E117" s="2878">
        <v>1</v>
      </c>
      <c r="F117" s="2715" t="s">
        <v>260</v>
      </c>
      <c r="G117" s="2885"/>
      <c r="H117" s="2704"/>
      <c r="I117" s="2704"/>
      <c r="J117" s="2878">
        <f t="shared" ref="J117:K122" si="20">E117</f>
        <v>1</v>
      </c>
      <c r="K117" s="3102" t="s">
        <v>261</v>
      </c>
      <c r="L117" s="2924">
        <f>200000000+292336700</f>
        <v>492336700</v>
      </c>
      <c r="M117" s="2800">
        <f>46369000+73084200</f>
        <v>119453200</v>
      </c>
      <c r="N117" s="2801">
        <v>0</v>
      </c>
      <c r="O117" s="2925">
        <f t="shared" si="16"/>
        <v>611789900</v>
      </c>
      <c r="P117" s="2926" t="s">
        <v>21</v>
      </c>
      <c r="Q117" s="2924">
        <v>0</v>
      </c>
      <c r="R117" s="2925">
        <v>0</v>
      </c>
      <c r="S117" s="2925"/>
      <c r="T117" s="2925"/>
      <c r="U117" s="2925"/>
      <c r="V117" s="2925"/>
      <c r="W117" s="2959"/>
      <c r="X117" s="2835"/>
      <c r="Y117" s="2873"/>
    </row>
    <row r="118" spans="2:27" s="2667" customFormat="1" ht="112.5" customHeight="1">
      <c r="B118" s="2703"/>
      <c r="C118" s="2704"/>
      <c r="D118" s="2704"/>
      <c r="E118" s="2881"/>
      <c r="F118" s="2715"/>
      <c r="G118" s="2885"/>
      <c r="H118" s="2704"/>
      <c r="I118" s="2704"/>
      <c r="J118" s="2904"/>
      <c r="K118" s="3102" t="s">
        <v>262</v>
      </c>
      <c r="L118" s="2924"/>
      <c r="M118" s="2800"/>
      <c r="N118" s="2801"/>
      <c r="O118" s="2925"/>
      <c r="P118" s="2926" t="s">
        <v>27</v>
      </c>
      <c r="Q118" s="2924">
        <v>200000000</v>
      </c>
      <c r="R118" s="2925">
        <v>0</v>
      </c>
      <c r="S118" s="3103" t="s">
        <v>263</v>
      </c>
      <c r="T118" s="3103" t="s">
        <v>264</v>
      </c>
      <c r="U118" s="2960" t="s">
        <v>265</v>
      </c>
      <c r="V118" s="2960" t="s">
        <v>266</v>
      </c>
      <c r="W118" s="2959"/>
      <c r="X118" s="2835"/>
      <c r="Y118" s="2873"/>
    </row>
    <row r="119" spans="2:27" s="2667" customFormat="1" ht="30">
      <c r="B119" s="2703"/>
      <c r="C119" s="2704"/>
      <c r="D119" s="2704"/>
      <c r="E119" s="2881"/>
      <c r="F119" s="2715"/>
      <c r="G119" s="2885"/>
      <c r="H119" s="2704"/>
      <c r="I119" s="2704"/>
      <c r="J119" s="2881"/>
      <c r="K119" s="3102" t="s">
        <v>267</v>
      </c>
      <c r="L119" s="2924"/>
      <c r="M119" s="2800"/>
      <c r="N119" s="2801"/>
      <c r="O119" s="2925"/>
      <c r="P119" s="2927" t="s">
        <v>93</v>
      </c>
      <c r="Q119" s="2924">
        <v>0</v>
      </c>
      <c r="R119" s="2925">
        <f>Q118-L117</f>
        <v>-292336700</v>
      </c>
      <c r="S119" s="2961" t="s">
        <v>21</v>
      </c>
      <c r="T119" s="2961" t="s">
        <v>21</v>
      </c>
      <c r="U119" s="2960" t="s">
        <v>265</v>
      </c>
      <c r="V119" s="2961" t="s">
        <v>21</v>
      </c>
      <c r="W119" s="3104" t="s">
        <v>268</v>
      </c>
      <c r="X119" s="2835"/>
      <c r="Y119" s="2873"/>
    </row>
    <row r="120" spans="2:27" s="2667" customFormat="1" ht="75">
      <c r="B120" s="2703"/>
      <c r="C120" s="2704"/>
      <c r="D120" s="2704"/>
      <c r="E120" s="2881">
        <v>2</v>
      </c>
      <c r="F120" s="2715" t="s">
        <v>269</v>
      </c>
      <c r="G120" s="2703"/>
      <c r="H120" s="2704"/>
      <c r="I120" s="2704"/>
      <c r="J120" s="2878">
        <f t="shared" si="20"/>
        <v>2</v>
      </c>
      <c r="K120" s="3102" t="str">
        <f t="shared" si="20"/>
        <v xml:space="preserve">Construction of Jakarta Mass Rapid Transit Project - Phase II </v>
      </c>
      <c r="L120" s="2924">
        <v>1678000000</v>
      </c>
      <c r="M120" s="2777">
        <f>L120*10%</f>
        <v>167800000</v>
      </c>
      <c r="N120" s="2928">
        <v>0</v>
      </c>
      <c r="O120" s="2925">
        <f t="shared" si="16"/>
        <v>1845800000</v>
      </c>
      <c r="P120" s="2926" t="s">
        <v>55</v>
      </c>
      <c r="Q120" s="2924">
        <f>L120</f>
        <v>1678000000</v>
      </c>
      <c r="R120" s="2925">
        <v>0</v>
      </c>
      <c r="S120" s="2961" t="s">
        <v>21</v>
      </c>
      <c r="T120" s="3103" t="s">
        <v>270</v>
      </c>
      <c r="U120" s="2960" t="s">
        <v>271</v>
      </c>
      <c r="V120" s="3103" t="s">
        <v>272</v>
      </c>
      <c r="W120" s="2959"/>
      <c r="X120" s="2835"/>
      <c r="Y120" s="2873"/>
    </row>
    <row r="121" spans="2:27" s="2667" customFormat="1" ht="75">
      <c r="B121" s="2703"/>
      <c r="C121" s="2704"/>
      <c r="D121" s="2704"/>
      <c r="E121" s="2878">
        <v>3</v>
      </c>
      <c r="F121" s="2806" t="s">
        <v>273</v>
      </c>
      <c r="G121" s="2703"/>
      <c r="H121" s="2704"/>
      <c r="I121" s="2704"/>
      <c r="J121" s="2881">
        <f t="shared" si="20"/>
        <v>3</v>
      </c>
      <c r="K121" s="3105" t="str">
        <f t="shared" si="20"/>
        <v>Construction of Jakarta Mass Rapid Transit East-West Line Project - Phase I</v>
      </c>
      <c r="L121" s="2763">
        <v>3572000000</v>
      </c>
      <c r="M121" s="2777">
        <f>L121*10%</f>
        <v>357200000</v>
      </c>
      <c r="N121" s="2929">
        <v>0</v>
      </c>
      <c r="O121" s="2930">
        <f t="shared" si="16"/>
        <v>3929200000</v>
      </c>
      <c r="P121" s="2931" t="s">
        <v>55</v>
      </c>
      <c r="Q121" s="2924">
        <f>L121</f>
        <v>3572000000</v>
      </c>
      <c r="R121" s="2930">
        <v>0</v>
      </c>
      <c r="S121" s="2961" t="s">
        <v>21</v>
      </c>
      <c r="T121" s="3106" t="s">
        <v>270</v>
      </c>
      <c r="U121" s="2962" t="s">
        <v>271</v>
      </c>
      <c r="V121" s="3106" t="s">
        <v>272</v>
      </c>
      <c r="W121" s="2963"/>
      <c r="X121" s="2835"/>
      <c r="Y121" s="2873"/>
    </row>
    <row r="122" spans="2:27" s="2667" customFormat="1" ht="119.25" customHeight="1">
      <c r="B122" s="2703"/>
      <c r="C122" s="2704"/>
      <c r="D122" s="2704"/>
      <c r="E122" s="2779">
        <v>4</v>
      </c>
      <c r="F122" s="2726" t="s">
        <v>274</v>
      </c>
      <c r="G122" s="2703"/>
      <c r="H122" s="2704"/>
      <c r="I122" s="2704"/>
      <c r="J122" s="2779">
        <f t="shared" si="20"/>
        <v>4</v>
      </c>
      <c r="K122" s="3107" t="str">
        <f t="shared" si="20"/>
        <v xml:space="preserve">Engineering Services Jakarta Mass Rapid Transit (MRT) East West Line Project - Phase I </v>
      </c>
      <c r="L122" s="2932">
        <v>23000000</v>
      </c>
      <c r="M122" s="2901">
        <v>3000000</v>
      </c>
      <c r="N122" s="2933">
        <v>0</v>
      </c>
      <c r="O122" s="2934">
        <f t="shared" si="16"/>
        <v>26000000</v>
      </c>
      <c r="P122" s="2931" t="s">
        <v>55</v>
      </c>
      <c r="Q122" s="2924">
        <f>L122</f>
        <v>23000000</v>
      </c>
      <c r="R122" s="2934">
        <v>0</v>
      </c>
      <c r="S122" s="3108" t="s">
        <v>275</v>
      </c>
      <c r="T122" s="3108" t="s">
        <v>264</v>
      </c>
      <c r="U122" s="2964" t="s">
        <v>276</v>
      </c>
      <c r="V122" s="3108" t="s">
        <v>277</v>
      </c>
      <c r="W122" s="2965"/>
      <c r="X122" s="2835"/>
      <c r="Y122" s="2873"/>
    </row>
    <row r="123" spans="2:27" s="2667" customFormat="1" ht="20.100000000000001" customHeight="1">
      <c r="B123" s="2703"/>
      <c r="C123" s="2696">
        <v>4</v>
      </c>
      <c r="D123" s="2695" t="s">
        <v>278</v>
      </c>
      <c r="E123" s="2695"/>
      <c r="F123" s="2697"/>
      <c r="G123" s="2795"/>
      <c r="H123" s="2744">
        <v>4</v>
      </c>
      <c r="I123" s="2743" t="s">
        <v>279</v>
      </c>
      <c r="J123" s="2743"/>
      <c r="K123" s="2744"/>
      <c r="L123" s="2920">
        <f>L125</f>
        <v>1050000000</v>
      </c>
      <c r="M123" s="2920">
        <f>M125</f>
        <v>150000000</v>
      </c>
      <c r="N123" s="2920">
        <f>N125</f>
        <v>0</v>
      </c>
      <c r="O123" s="2745">
        <f t="shared" si="16"/>
        <v>1200000000</v>
      </c>
      <c r="P123" s="2745" t="s">
        <v>21</v>
      </c>
      <c r="Q123" s="2745">
        <f>Q124</f>
        <v>1050000000</v>
      </c>
      <c r="R123" s="2745">
        <f>R124</f>
        <v>0</v>
      </c>
      <c r="S123" s="2745"/>
      <c r="T123" s="2745"/>
      <c r="U123" s="2745"/>
      <c r="V123" s="2745"/>
      <c r="W123" s="2955" t="s">
        <v>280</v>
      </c>
      <c r="X123" s="2835"/>
      <c r="Y123" s="2873"/>
    </row>
    <row r="124" spans="2:27" s="2667" customFormat="1" ht="30" customHeight="1">
      <c r="B124" s="2703"/>
      <c r="C124" s="2704"/>
      <c r="D124" s="2701" t="s">
        <v>23</v>
      </c>
      <c r="E124" s="3310" t="s">
        <v>258</v>
      </c>
      <c r="F124" s="3310"/>
      <c r="G124" s="2703"/>
      <c r="H124" s="2704"/>
      <c r="I124" s="2701" t="str">
        <f>D124</f>
        <v>A</v>
      </c>
      <c r="J124" s="3304" t="s">
        <v>259</v>
      </c>
      <c r="K124" s="3305"/>
      <c r="L124" s="2807">
        <f>L125</f>
        <v>1050000000</v>
      </c>
      <c r="M124" s="2808">
        <f>M125</f>
        <v>150000000</v>
      </c>
      <c r="N124" s="2808">
        <f>N125</f>
        <v>0</v>
      </c>
      <c r="O124" s="2750">
        <f t="shared" si="16"/>
        <v>1200000000</v>
      </c>
      <c r="P124" s="2750" t="s">
        <v>21</v>
      </c>
      <c r="Q124" s="2750">
        <f>Q125</f>
        <v>1050000000</v>
      </c>
      <c r="R124" s="2750">
        <f>Q124-L124</f>
        <v>0</v>
      </c>
      <c r="S124" s="2750"/>
      <c r="T124" s="2750"/>
      <c r="U124" s="2750"/>
      <c r="V124" s="2750"/>
      <c r="W124" s="2847"/>
      <c r="X124" s="2835"/>
      <c r="Y124" s="2873"/>
    </row>
    <row r="125" spans="2:27" s="2667" customFormat="1" ht="52.5" customHeight="1">
      <c r="B125" s="2703"/>
      <c r="C125" s="2887"/>
      <c r="D125" s="2883"/>
      <c r="E125" s="2785">
        <v>1</v>
      </c>
      <c r="F125" s="2726" t="s">
        <v>281</v>
      </c>
      <c r="G125" s="2703"/>
      <c r="H125" s="2717"/>
      <c r="I125" s="2717"/>
      <c r="J125" s="2787">
        <f>E125</f>
        <v>1</v>
      </c>
      <c r="K125" s="3100" t="str">
        <f>F125</f>
        <v>Construction of Jakarta Mass Rapid Transit Project</v>
      </c>
      <c r="L125" s="2935">
        <v>1050000000</v>
      </c>
      <c r="M125" s="2916">
        <v>150000000</v>
      </c>
      <c r="N125" s="2917">
        <v>0</v>
      </c>
      <c r="O125" s="2918">
        <f t="shared" si="16"/>
        <v>1200000000</v>
      </c>
      <c r="P125" s="2919" t="s">
        <v>55</v>
      </c>
      <c r="Q125" s="2919">
        <f>L125</f>
        <v>1050000000</v>
      </c>
      <c r="R125" s="2921">
        <v>0</v>
      </c>
      <c r="S125" s="3108" t="s">
        <v>282</v>
      </c>
      <c r="T125" s="3108" t="s">
        <v>264</v>
      </c>
      <c r="U125" s="2966">
        <v>1</v>
      </c>
      <c r="V125" s="3108" t="s">
        <v>283</v>
      </c>
      <c r="W125" s="2847" t="s">
        <v>284</v>
      </c>
      <c r="X125" s="2835"/>
      <c r="Y125" s="2873"/>
    </row>
    <row r="126" spans="2:27" s="2665" customFormat="1" ht="30">
      <c r="B126" s="2885"/>
      <c r="C126" s="2890">
        <v>5</v>
      </c>
      <c r="D126" s="2695" t="s">
        <v>285</v>
      </c>
      <c r="E126" s="2695"/>
      <c r="F126" s="2697"/>
      <c r="G126" s="2885"/>
      <c r="H126" s="2891">
        <v>5</v>
      </c>
      <c r="I126" s="2936" t="s">
        <v>286</v>
      </c>
      <c r="J126" s="2937"/>
      <c r="K126" s="2937"/>
      <c r="L126" s="2938">
        <f>L128+L129+L130</f>
        <v>1056000000</v>
      </c>
      <c r="M126" s="2938">
        <f>M128+M129+M130</f>
        <v>86000000</v>
      </c>
      <c r="N126" s="2939">
        <f>N128+N129+N130</f>
        <v>10000000</v>
      </c>
      <c r="O126" s="2745">
        <f t="shared" si="16"/>
        <v>1152000000</v>
      </c>
      <c r="P126" s="2745" t="s">
        <v>21</v>
      </c>
      <c r="Q126" s="2745">
        <f>Q127</f>
        <v>645000000</v>
      </c>
      <c r="R126" s="2745">
        <f>R127</f>
        <v>-411000000</v>
      </c>
      <c r="S126" s="2745"/>
      <c r="T126" s="2745"/>
      <c r="U126" s="2745"/>
      <c r="V126" s="2745"/>
      <c r="W126" s="2955" t="s">
        <v>287</v>
      </c>
      <c r="X126" s="2831"/>
      <c r="Y126" s="2871"/>
      <c r="Z126" s="2969"/>
      <c r="AA126" s="2968"/>
    </row>
    <row r="127" spans="2:27" s="2667" customFormat="1" ht="33" customHeight="1">
      <c r="B127" s="2703"/>
      <c r="C127" s="2704"/>
      <c r="D127" s="2701" t="s">
        <v>23</v>
      </c>
      <c r="E127" s="3310" t="s">
        <v>288</v>
      </c>
      <c r="F127" s="3310"/>
      <c r="G127" s="2703"/>
      <c r="H127" s="2704"/>
      <c r="I127" s="2701" t="str">
        <f>D127</f>
        <v>A</v>
      </c>
      <c r="J127" s="3304" t="s">
        <v>289</v>
      </c>
      <c r="K127" s="3305"/>
      <c r="L127" s="2807">
        <f>SUM(L128:L130)</f>
        <v>1056000000</v>
      </c>
      <c r="M127" s="2808">
        <f>SUM(M128:M130)</f>
        <v>86000000</v>
      </c>
      <c r="N127" s="2808">
        <f>SUM(N128:N130)</f>
        <v>10000000</v>
      </c>
      <c r="O127" s="2918">
        <f t="shared" si="16"/>
        <v>1152000000</v>
      </c>
      <c r="P127" s="2919" t="s">
        <v>21</v>
      </c>
      <c r="Q127" s="2919">
        <f>SUM(Q128:Q130)</f>
        <v>645000000</v>
      </c>
      <c r="R127" s="2750">
        <f>Q127-L127</f>
        <v>-411000000</v>
      </c>
      <c r="S127" s="2919"/>
      <c r="T127" s="2919"/>
      <c r="U127" s="2919"/>
      <c r="V127" s="2919"/>
      <c r="W127" s="2847"/>
      <c r="X127" s="2835"/>
      <c r="Y127" s="2873"/>
    </row>
    <row r="128" spans="2:27" s="2667" customFormat="1" ht="45">
      <c r="B128" s="2703"/>
      <c r="C128" s="2704"/>
      <c r="D128" s="2705"/>
      <c r="E128" s="2720">
        <v>1</v>
      </c>
      <c r="F128" s="2715" t="s">
        <v>290</v>
      </c>
      <c r="G128" s="2703"/>
      <c r="H128" s="2704"/>
      <c r="I128" s="2705"/>
      <c r="J128" s="2720">
        <f t="shared" ref="J128:K130" si="21">E128</f>
        <v>1</v>
      </c>
      <c r="K128" s="2721" t="str">
        <f t="shared" si="21"/>
        <v>Improvement on TV Transmitting Stations (Digitalization of TVRI) - Phase III</v>
      </c>
      <c r="L128" s="2940">
        <v>411000000</v>
      </c>
      <c r="M128" s="2941">
        <v>41000000</v>
      </c>
      <c r="N128" s="2942">
        <v>0</v>
      </c>
      <c r="O128" s="2941">
        <f t="shared" si="16"/>
        <v>452000000</v>
      </c>
      <c r="P128" s="2943" t="s">
        <v>93</v>
      </c>
      <c r="Q128" s="2809">
        <v>0</v>
      </c>
      <c r="R128" s="2810">
        <f>Q128-L128</f>
        <v>-411000000</v>
      </c>
      <c r="S128" s="2848" t="s">
        <v>291</v>
      </c>
      <c r="T128" s="2848" t="s">
        <v>292</v>
      </c>
      <c r="U128" s="2848" t="s">
        <v>293</v>
      </c>
      <c r="V128" s="2848" t="s">
        <v>294</v>
      </c>
      <c r="W128" s="3109" t="s">
        <v>295</v>
      </c>
      <c r="X128" s="2835"/>
      <c r="Y128" s="2873"/>
    </row>
    <row r="129" spans="2:25" s="2667" customFormat="1" ht="120">
      <c r="B129" s="2703"/>
      <c r="C129" s="2704"/>
      <c r="D129" s="2704"/>
      <c r="E129" s="2716">
        <v>2</v>
      </c>
      <c r="F129" s="2715" t="s">
        <v>296</v>
      </c>
      <c r="G129" s="2703"/>
      <c r="H129" s="2704"/>
      <c r="I129" s="2704"/>
      <c r="J129" s="2716">
        <f t="shared" si="21"/>
        <v>2</v>
      </c>
      <c r="K129" s="2722" t="str">
        <f t="shared" si="21"/>
        <v>Strengthening of e-Government Infrastructure</v>
      </c>
      <c r="L129" s="2988">
        <v>145000000</v>
      </c>
      <c r="M129" s="2989">
        <v>20000000</v>
      </c>
      <c r="N129" s="2990">
        <v>10000000</v>
      </c>
      <c r="O129" s="2989">
        <f t="shared" si="16"/>
        <v>175000000</v>
      </c>
      <c r="P129" s="2899" t="s">
        <v>28</v>
      </c>
      <c r="Q129" s="2821">
        <f>L129</f>
        <v>145000000</v>
      </c>
      <c r="R129" s="2777">
        <v>0</v>
      </c>
      <c r="S129" s="3086" t="s">
        <v>297</v>
      </c>
      <c r="T129" s="2838" t="s">
        <v>298</v>
      </c>
      <c r="U129" s="2838" t="s">
        <v>299</v>
      </c>
      <c r="V129" s="2838" t="s">
        <v>294</v>
      </c>
      <c r="W129" s="3097" t="s">
        <v>300</v>
      </c>
      <c r="X129" s="2835"/>
      <c r="Y129" s="2873"/>
    </row>
    <row r="130" spans="2:25" s="2667" customFormat="1" ht="100.5" customHeight="1">
      <c r="B130" s="2703"/>
      <c r="C130" s="2704"/>
      <c r="D130" s="2704"/>
      <c r="E130" s="2785">
        <v>3</v>
      </c>
      <c r="F130" s="2715" t="s">
        <v>301</v>
      </c>
      <c r="G130" s="2703"/>
      <c r="H130" s="2704"/>
      <c r="I130" s="2704"/>
      <c r="J130" s="2785">
        <f t="shared" si="21"/>
        <v>3</v>
      </c>
      <c r="K130" s="2788" t="str">
        <f t="shared" si="21"/>
        <v>National Fiber Optic Backbone (Palapa Ring)</v>
      </c>
      <c r="L130" s="2991">
        <v>500000000</v>
      </c>
      <c r="M130" s="2992">
        <v>25000000</v>
      </c>
      <c r="N130" s="2993">
        <v>0</v>
      </c>
      <c r="O130" s="2992">
        <f t="shared" si="16"/>
        <v>525000000</v>
      </c>
      <c r="P130" s="2892" t="s">
        <v>302</v>
      </c>
      <c r="Q130" s="2910">
        <v>500000000</v>
      </c>
      <c r="R130" s="2911">
        <f>+Q130-L130</f>
        <v>0</v>
      </c>
      <c r="S130" s="3110" t="s">
        <v>21</v>
      </c>
      <c r="T130" s="3110" t="s">
        <v>21</v>
      </c>
      <c r="U130" s="3110" t="s">
        <v>21</v>
      </c>
      <c r="V130" s="3110" t="s">
        <v>21</v>
      </c>
      <c r="W130" s="3111" t="s">
        <v>303</v>
      </c>
      <c r="X130" s="2835"/>
      <c r="Y130" s="2873"/>
    </row>
    <row r="131" spans="2:25" s="2665" customFormat="1" ht="24.95" customHeight="1">
      <c r="B131" s="2885"/>
      <c r="C131" s="2696">
        <v>6</v>
      </c>
      <c r="D131" s="2695" t="s">
        <v>304</v>
      </c>
      <c r="E131" s="2695"/>
      <c r="F131" s="2697"/>
      <c r="G131" s="2885"/>
      <c r="H131" s="2889">
        <v>6</v>
      </c>
      <c r="I131" s="2743" t="s">
        <v>305</v>
      </c>
      <c r="J131" s="2744"/>
      <c r="K131" s="2744"/>
      <c r="L131" s="2938">
        <f>L133</f>
        <v>20000000</v>
      </c>
      <c r="M131" s="2938">
        <f>M133</f>
        <v>3500000</v>
      </c>
      <c r="N131" s="2938">
        <f>N133</f>
        <v>0</v>
      </c>
      <c r="O131" s="2745">
        <f t="shared" si="16"/>
        <v>23500000</v>
      </c>
      <c r="P131" s="2745" t="s">
        <v>21</v>
      </c>
      <c r="Q131" s="2745">
        <f>Q132</f>
        <v>20000000</v>
      </c>
      <c r="R131" s="2745">
        <f>R132</f>
        <v>0</v>
      </c>
      <c r="S131" s="2745"/>
      <c r="T131" s="2745"/>
      <c r="U131" s="2745"/>
      <c r="V131" s="2745"/>
      <c r="W131" s="2955" t="s">
        <v>306</v>
      </c>
      <c r="X131" s="2831"/>
      <c r="Y131" s="2871"/>
    </row>
    <row r="132" spans="2:25" s="2667" customFormat="1" ht="32.25" customHeight="1">
      <c r="B132" s="2703"/>
      <c r="C132" s="2704"/>
      <c r="D132" s="2701" t="s">
        <v>23</v>
      </c>
      <c r="E132" s="3310" t="s">
        <v>288</v>
      </c>
      <c r="F132" s="3310"/>
      <c r="G132" s="2703"/>
      <c r="H132" s="2704"/>
      <c r="I132" s="2701" t="str">
        <f>D132</f>
        <v>A</v>
      </c>
      <c r="J132" s="3304" t="s">
        <v>289</v>
      </c>
      <c r="K132" s="3305"/>
      <c r="L132" s="2807">
        <f>L133</f>
        <v>20000000</v>
      </c>
      <c r="M132" s="2808">
        <f>M133</f>
        <v>3500000</v>
      </c>
      <c r="N132" s="2808">
        <f>N133</f>
        <v>0</v>
      </c>
      <c r="O132" s="2994">
        <f t="shared" si="16"/>
        <v>23500000</v>
      </c>
      <c r="P132" s="2750" t="s">
        <v>21</v>
      </c>
      <c r="Q132" s="2750">
        <f>Q133</f>
        <v>20000000</v>
      </c>
      <c r="R132" s="2750">
        <f>Q132-L132</f>
        <v>0</v>
      </c>
      <c r="S132" s="2994"/>
      <c r="T132" s="2994"/>
      <c r="U132" s="2994"/>
      <c r="V132" s="2994"/>
      <c r="W132" s="2847"/>
      <c r="X132" s="2835"/>
      <c r="Y132" s="2873"/>
    </row>
    <row r="133" spans="2:25" s="2670" customFormat="1" ht="45">
      <c r="B133" s="2970"/>
      <c r="C133" s="2971"/>
      <c r="D133" s="2887"/>
      <c r="E133" s="2717">
        <v>1</v>
      </c>
      <c r="F133" s="2972" t="s">
        <v>307</v>
      </c>
      <c r="G133" s="2970"/>
      <c r="H133" s="2971"/>
      <c r="I133" s="2887"/>
      <c r="J133" s="2717">
        <f>E133</f>
        <v>1</v>
      </c>
      <c r="K133" s="2914" t="str">
        <f>F133</f>
        <v>National Criminal Information Center for Indonesian National Police - Phase II</v>
      </c>
      <c r="L133" s="2935">
        <v>20000000</v>
      </c>
      <c r="M133" s="2916">
        <v>3500000</v>
      </c>
      <c r="N133" s="2917">
        <v>0</v>
      </c>
      <c r="O133" s="2918">
        <f t="shared" si="16"/>
        <v>23500000</v>
      </c>
      <c r="P133" s="2919" t="s">
        <v>28</v>
      </c>
      <c r="Q133" s="2919">
        <f>L133</f>
        <v>20000000</v>
      </c>
      <c r="R133" s="2921">
        <f>R134</f>
        <v>0</v>
      </c>
      <c r="S133" s="3112" t="s">
        <v>308</v>
      </c>
      <c r="T133" s="3030" t="s">
        <v>71</v>
      </c>
      <c r="U133" s="3029" t="s">
        <v>309</v>
      </c>
      <c r="V133" s="3112" t="s">
        <v>310</v>
      </c>
      <c r="W133" s="2847" t="s">
        <v>284</v>
      </c>
      <c r="X133" s="3031"/>
      <c r="Y133" s="3059"/>
    </row>
    <row r="134" spans="2:25" s="2664" customFormat="1" ht="30">
      <c r="B134" s="2973"/>
      <c r="C134" s="2890">
        <v>7</v>
      </c>
      <c r="D134" s="2974" t="s">
        <v>311</v>
      </c>
      <c r="E134" s="2974"/>
      <c r="F134" s="2975"/>
      <c r="G134" s="2973"/>
      <c r="H134" s="2891">
        <v>7</v>
      </c>
      <c r="I134" s="2936" t="s">
        <v>312</v>
      </c>
      <c r="J134" s="2937"/>
      <c r="K134" s="2937"/>
      <c r="L134" s="2938">
        <f>+L135</f>
        <v>4906600000</v>
      </c>
      <c r="M134" s="2938">
        <f>+M135</f>
        <v>931600000</v>
      </c>
      <c r="N134" s="2939">
        <f>+N135</f>
        <v>0</v>
      </c>
      <c r="O134" s="2745">
        <f t="shared" si="16"/>
        <v>5838200000</v>
      </c>
      <c r="P134" s="2745" t="s">
        <v>21</v>
      </c>
      <c r="Q134" s="2745">
        <f>Q135</f>
        <v>4906600000</v>
      </c>
      <c r="R134" s="2745">
        <f>R135</f>
        <v>0</v>
      </c>
      <c r="S134" s="2745"/>
      <c r="T134" s="2745"/>
      <c r="U134" s="2745"/>
      <c r="V134" s="2745"/>
      <c r="W134" s="2955" t="s">
        <v>313</v>
      </c>
      <c r="X134" s="2825"/>
      <c r="Y134" s="2870"/>
    </row>
    <row r="135" spans="2:25" s="2667" customFormat="1" ht="30" customHeight="1">
      <c r="B135" s="2703"/>
      <c r="C135" s="2704"/>
      <c r="D135" s="2701" t="s">
        <v>23</v>
      </c>
      <c r="E135" s="3310" t="s">
        <v>314</v>
      </c>
      <c r="F135" s="3310"/>
      <c r="G135" s="2703"/>
      <c r="H135" s="2704"/>
      <c r="I135" s="2701" t="str">
        <f>D135</f>
        <v>A</v>
      </c>
      <c r="J135" s="3304" t="s">
        <v>315</v>
      </c>
      <c r="K135" s="3305"/>
      <c r="L135" s="2807">
        <f>SUM(L136:L147)</f>
        <v>4906600000</v>
      </c>
      <c r="M135" s="2808">
        <f>SUM(M136:M147)</f>
        <v>931600000</v>
      </c>
      <c r="N135" s="2808">
        <f>SUM(N136:N147)</f>
        <v>0</v>
      </c>
      <c r="O135" s="2750">
        <f t="shared" si="16"/>
        <v>5838200000</v>
      </c>
      <c r="P135" s="2750" t="s">
        <v>21</v>
      </c>
      <c r="Q135" s="2750">
        <f>SUM(Q136:Q147)</f>
        <v>4906600000</v>
      </c>
      <c r="R135" s="2750">
        <f>Q135-L135</f>
        <v>0</v>
      </c>
      <c r="S135" s="2750"/>
      <c r="T135" s="2750"/>
      <c r="U135" s="2750"/>
      <c r="V135" s="2750"/>
      <c r="W135" s="2847"/>
      <c r="X135" s="2835"/>
      <c r="Y135" s="2873"/>
    </row>
    <row r="136" spans="2:25" s="2665" customFormat="1">
      <c r="B136" s="2885"/>
      <c r="C136" s="2884"/>
      <c r="D136" s="2704"/>
      <c r="E136" s="2785">
        <v>1</v>
      </c>
      <c r="F136" s="2715" t="s">
        <v>316</v>
      </c>
      <c r="G136" s="2885"/>
      <c r="H136" s="2884"/>
      <c r="I136" s="2704"/>
      <c r="J136" s="2785">
        <f t="shared" ref="J136:K147" si="22">E136</f>
        <v>1</v>
      </c>
      <c r="K136" s="2806" t="s">
        <v>317</v>
      </c>
      <c r="L136" s="2915">
        <v>1562000000</v>
      </c>
      <c r="M136" s="2754">
        <v>253000000</v>
      </c>
      <c r="N136" s="2755">
        <v>0</v>
      </c>
      <c r="O136" s="2754">
        <f t="shared" si="16"/>
        <v>1815000000</v>
      </c>
      <c r="P136" s="2774" t="s">
        <v>21</v>
      </c>
      <c r="Q136" s="2836">
        <f>L136</f>
        <v>1562000000</v>
      </c>
      <c r="R136" s="2754">
        <v>0</v>
      </c>
      <c r="S136" s="3032"/>
      <c r="T136" s="3032"/>
      <c r="U136" s="3033"/>
      <c r="V136" s="3032"/>
      <c r="W136" s="2868"/>
      <c r="X136" s="2831"/>
      <c r="Y136" s="2871"/>
    </row>
    <row r="137" spans="2:25" s="2671" customFormat="1" ht="150">
      <c r="B137" s="2976"/>
      <c r="C137" s="2977"/>
      <c r="D137" s="2779"/>
      <c r="E137" s="2904"/>
      <c r="F137" s="2715"/>
      <c r="G137" s="2976"/>
      <c r="H137" s="2977"/>
      <c r="I137" s="2779"/>
      <c r="J137" s="2904"/>
      <c r="K137" s="2806" t="s">
        <v>318</v>
      </c>
      <c r="L137" s="2995"/>
      <c r="M137" s="2800"/>
      <c r="N137" s="2801"/>
      <c r="O137" s="2800"/>
      <c r="P137" s="2774" t="s">
        <v>55</v>
      </c>
      <c r="Q137" s="2863"/>
      <c r="R137" s="2800"/>
      <c r="S137" s="3096" t="s">
        <v>319</v>
      </c>
      <c r="T137" s="2953" t="s">
        <v>71</v>
      </c>
      <c r="U137" s="3034">
        <v>0.3</v>
      </c>
      <c r="V137" s="3096" t="s">
        <v>320</v>
      </c>
      <c r="W137" s="2868" t="s">
        <v>321</v>
      </c>
      <c r="X137" s="3035"/>
      <c r="Y137" s="3060"/>
    </row>
    <row r="138" spans="2:25" s="2665" customFormat="1" ht="30">
      <c r="B138" s="2885"/>
      <c r="C138" s="2884"/>
      <c r="D138" s="2704"/>
      <c r="E138" s="2785"/>
      <c r="F138" s="2715"/>
      <c r="G138" s="2885"/>
      <c r="H138" s="2884"/>
      <c r="I138" s="2704"/>
      <c r="J138" s="2785"/>
      <c r="K138" s="2806" t="s">
        <v>322</v>
      </c>
      <c r="L138" s="2763"/>
      <c r="M138" s="2754"/>
      <c r="N138" s="2761"/>
      <c r="O138" s="2754"/>
      <c r="P138" s="2774" t="s">
        <v>55</v>
      </c>
      <c r="Q138" s="2836"/>
      <c r="R138" s="2754"/>
      <c r="S138" s="3096" t="s">
        <v>323</v>
      </c>
      <c r="T138" s="3113" t="s">
        <v>21</v>
      </c>
      <c r="U138" s="3113" t="s">
        <v>21</v>
      </c>
      <c r="V138" s="3113" t="s">
        <v>21</v>
      </c>
      <c r="W138" s="2868"/>
      <c r="X138" s="2831"/>
      <c r="Y138" s="2871"/>
    </row>
    <row r="139" spans="2:25" s="2665" customFormat="1" ht="20.100000000000001" customHeight="1">
      <c r="B139" s="2885"/>
      <c r="C139" s="2884"/>
      <c r="D139" s="2704"/>
      <c r="E139" s="2785">
        <v>2</v>
      </c>
      <c r="F139" s="2715" t="s">
        <v>324</v>
      </c>
      <c r="G139" s="2885"/>
      <c r="H139" s="2884"/>
      <c r="I139" s="2704"/>
      <c r="J139" s="2785">
        <f t="shared" si="22"/>
        <v>2</v>
      </c>
      <c r="K139" s="2806" t="s">
        <v>325</v>
      </c>
      <c r="L139" s="2924">
        <f>6600000+204000000</f>
        <v>210600000</v>
      </c>
      <c r="M139" s="2764">
        <f>42000000+600000</f>
        <v>42600000</v>
      </c>
      <c r="N139" s="2767">
        <v>0</v>
      </c>
      <c r="O139" s="2764">
        <f t="shared" si="16"/>
        <v>253200000</v>
      </c>
      <c r="P139" s="2765" t="s">
        <v>21</v>
      </c>
      <c r="Q139" s="2836">
        <f>L139</f>
        <v>210600000</v>
      </c>
      <c r="R139" s="2754">
        <v>0</v>
      </c>
      <c r="S139" s="2953"/>
      <c r="T139" s="2953"/>
      <c r="U139" s="2897"/>
      <c r="V139" s="2953"/>
      <c r="W139" s="2841"/>
      <c r="X139" s="2831"/>
      <c r="Y139" s="2871"/>
    </row>
    <row r="140" spans="2:25" s="2665" customFormat="1" ht="75">
      <c r="B140" s="2885"/>
      <c r="C140" s="2884"/>
      <c r="D140" s="2704"/>
      <c r="E140" s="2785"/>
      <c r="F140" s="2715"/>
      <c r="G140" s="2885"/>
      <c r="H140" s="2884"/>
      <c r="I140" s="2704"/>
      <c r="J140" s="2785"/>
      <c r="K140" s="2806" t="s">
        <v>326</v>
      </c>
      <c r="L140" s="2924"/>
      <c r="M140" s="2764"/>
      <c r="N140" s="2767"/>
      <c r="O140" s="2764"/>
      <c r="P140" s="2765" t="s">
        <v>55</v>
      </c>
      <c r="Q140" s="2836"/>
      <c r="R140" s="2754"/>
      <c r="S140" s="3096" t="s">
        <v>327</v>
      </c>
      <c r="T140" s="3096" t="s">
        <v>328</v>
      </c>
      <c r="U140" s="2953" t="s">
        <v>329</v>
      </c>
      <c r="V140" s="2953" t="s">
        <v>330</v>
      </c>
      <c r="W140" s="2841"/>
      <c r="X140" s="2831"/>
      <c r="Y140" s="2871"/>
    </row>
    <row r="141" spans="2:25" s="2665" customFormat="1" ht="35.25" customHeight="1">
      <c r="B141" s="2885"/>
      <c r="C141" s="2884"/>
      <c r="D141" s="2704"/>
      <c r="E141" s="2785"/>
      <c r="F141" s="2715"/>
      <c r="G141" s="2885"/>
      <c r="H141" s="2884"/>
      <c r="I141" s="2704"/>
      <c r="J141" s="2785"/>
      <c r="K141" s="2806" t="s">
        <v>331</v>
      </c>
      <c r="L141" s="2924"/>
      <c r="M141" s="2764"/>
      <c r="N141" s="2767"/>
      <c r="O141" s="2764"/>
      <c r="P141" s="2765" t="s">
        <v>55</v>
      </c>
      <c r="Q141" s="2836"/>
      <c r="R141" s="2754"/>
      <c r="S141" s="3096" t="s">
        <v>21</v>
      </c>
      <c r="T141" s="3096" t="s">
        <v>21</v>
      </c>
      <c r="U141" s="3096" t="s">
        <v>21</v>
      </c>
      <c r="V141" s="3096" t="s">
        <v>21</v>
      </c>
      <c r="W141" s="2841" t="s">
        <v>126</v>
      </c>
      <c r="X141" s="2831"/>
      <c r="Y141" s="2871"/>
    </row>
    <row r="142" spans="2:25" s="2665" customFormat="1" ht="120">
      <c r="B142" s="2885"/>
      <c r="C142" s="2884"/>
      <c r="D142" s="2704"/>
      <c r="E142" s="2785">
        <v>3</v>
      </c>
      <c r="F142" s="2715" t="s">
        <v>332</v>
      </c>
      <c r="G142" s="2885"/>
      <c r="H142" s="2884"/>
      <c r="I142" s="2704"/>
      <c r="J142" s="2785">
        <f t="shared" si="22"/>
        <v>3</v>
      </c>
      <c r="K142" s="2806" t="str">
        <f t="shared" si="22"/>
        <v>Bakaru II Hydro Electrical Power Plant (2x63MW)</v>
      </c>
      <c r="L142" s="2924">
        <v>280000000</v>
      </c>
      <c r="M142" s="2764">
        <v>20000000</v>
      </c>
      <c r="N142" s="2767">
        <v>0</v>
      </c>
      <c r="O142" s="2764">
        <f t="shared" si="16"/>
        <v>300000000</v>
      </c>
      <c r="P142" s="2765" t="s">
        <v>91</v>
      </c>
      <c r="Q142" s="2766">
        <f>L142</f>
        <v>280000000</v>
      </c>
      <c r="R142" s="2764">
        <v>0</v>
      </c>
      <c r="S142" s="3081" t="s">
        <v>21</v>
      </c>
      <c r="T142" s="2838" t="s">
        <v>333</v>
      </c>
      <c r="U142" s="2838" t="s">
        <v>334</v>
      </c>
      <c r="V142" s="3036" t="s">
        <v>294</v>
      </c>
      <c r="W142" s="3097" t="s">
        <v>335</v>
      </c>
      <c r="X142" s="2831"/>
      <c r="Y142" s="2871"/>
    </row>
    <row r="143" spans="2:25" s="2665" customFormat="1" ht="90">
      <c r="B143" s="2885"/>
      <c r="C143" s="2884"/>
      <c r="D143" s="2704"/>
      <c r="E143" s="2785">
        <v>4</v>
      </c>
      <c r="F143" s="2715" t="s">
        <v>336</v>
      </c>
      <c r="G143" s="2885"/>
      <c r="H143" s="2884"/>
      <c r="I143" s="2704"/>
      <c r="J143" s="2785">
        <f t="shared" si="22"/>
        <v>4</v>
      </c>
      <c r="K143" s="2806" t="str">
        <f t="shared" si="22"/>
        <v>Tulehu Geothermal Power Plant Project Unit 1&amp;2 (2x10MW)</v>
      </c>
      <c r="L143" s="2924">
        <v>104000000</v>
      </c>
      <c r="M143" s="2764">
        <v>18000000</v>
      </c>
      <c r="N143" s="2767">
        <v>0</v>
      </c>
      <c r="O143" s="2764">
        <f t="shared" si="16"/>
        <v>122000000</v>
      </c>
      <c r="P143" s="2765" t="s">
        <v>55</v>
      </c>
      <c r="Q143" s="2766">
        <f>L143</f>
        <v>104000000</v>
      </c>
      <c r="R143" s="2764">
        <v>0</v>
      </c>
      <c r="S143" s="3081" t="s">
        <v>21</v>
      </c>
      <c r="T143" s="2838" t="s">
        <v>337</v>
      </c>
      <c r="U143" s="3037">
        <v>0.63</v>
      </c>
      <c r="V143" s="3081" t="s">
        <v>338</v>
      </c>
      <c r="W143" s="3091" t="s">
        <v>339</v>
      </c>
      <c r="X143" s="2831"/>
      <c r="Y143" s="2871"/>
    </row>
    <row r="144" spans="2:25" s="2665" customFormat="1" ht="54" customHeight="1">
      <c r="B144" s="2885"/>
      <c r="C144" s="2884"/>
      <c r="D144" s="2704"/>
      <c r="E144" s="2785">
        <v>5</v>
      </c>
      <c r="F144" s="2715" t="s">
        <v>340</v>
      </c>
      <c r="G144" s="2885"/>
      <c r="H144" s="2884"/>
      <c r="I144" s="2704"/>
      <c r="J144" s="2785">
        <f t="shared" si="22"/>
        <v>5</v>
      </c>
      <c r="K144" s="2806" t="str">
        <f t="shared" si="22"/>
        <v>Indramayu Coal Fired Power Plant  #4 (1x1000MW)</v>
      </c>
      <c r="L144" s="2924">
        <v>1845000000</v>
      </c>
      <c r="M144" s="2764">
        <v>333000000</v>
      </c>
      <c r="N144" s="2767">
        <v>0</v>
      </c>
      <c r="O144" s="2764">
        <f t="shared" si="16"/>
        <v>2178000000</v>
      </c>
      <c r="P144" s="2765" t="s">
        <v>55</v>
      </c>
      <c r="Q144" s="2766">
        <f>L144</f>
        <v>1845000000</v>
      </c>
      <c r="R144" s="2764">
        <v>0</v>
      </c>
      <c r="S144" s="3081" t="s">
        <v>21</v>
      </c>
      <c r="T144" s="2841" t="s">
        <v>71</v>
      </c>
      <c r="U144" s="2838" t="s">
        <v>341</v>
      </c>
      <c r="V144" s="2841" t="s">
        <v>342</v>
      </c>
      <c r="W144" s="2841"/>
      <c r="X144" s="2831"/>
      <c r="Y144" s="2871"/>
    </row>
    <row r="145" spans="2:25" s="2665" customFormat="1" ht="225">
      <c r="B145" s="2885"/>
      <c r="C145" s="2884"/>
      <c r="D145" s="2704"/>
      <c r="E145" s="2785">
        <v>6</v>
      </c>
      <c r="F145" s="2715" t="s">
        <v>343</v>
      </c>
      <c r="G145" s="2885"/>
      <c r="H145" s="2884"/>
      <c r="I145" s="2704"/>
      <c r="J145" s="2785">
        <f t="shared" si="22"/>
        <v>6</v>
      </c>
      <c r="K145" s="2806" t="str">
        <f>F145</f>
        <v>Additional Loan for Upper Cisokan Pumped Storage Hydro Electrical Power Plant (4x260MW)</v>
      </c>
      <c r="L145" s="2924">
        <v>200000000</v>
      </c>
      <c r="M145" s="2764">
        <v>0</v>
      </c>
      <c r="N145" s="2767">
        <v>0</v>
      </c>
      <c r="O145" s="2764">
        <f t="shared" si="16"/>
        <v>200000000</v>
      </c>
      <c r="P145" s="2765" t="s">
        <v>62</v>
      </c>
      <c r="Q145" s="2766">
        <v>200000000</v>
      </c>
      <c r="R145" s="2764">
        <v>0</v>
      </c>
      <c r="S145" s="3081" t="s">
        <v>21</v>
      </c>
      <c r="T145" s="2841" t="s">
        <v>71</v>
      </c>
      <c r="U145" s="3037">
        <v>0.95</v>
      </c>
      <c r="V145" s="2837" t="s">
        <v>344</v>
      </c>
      <c r="W145" s="3097" t="s">
        <v>345</v>
      </c>
      <c r="X145" s="2831"/>
      <c r="Y145" s="2871"/>
    </row>
    <row r="146" spans="2:25" s="2665" customFormat="1" ht="30">
      <c r="B146" s="2885"/>
      <c r="C146" s="2884"/>
      <c r="D146" s="2704"/>
      <c r="E146" s="2785">
        <v>7</v>
      </c>
      <c r="F146" s="2715" t="s">
        <v>346</v>
      </c>
      <c r="G146" s="2885"/>
      <c r="H146" s="2884"/>
      <c r="I146" s="2704"/>
      <c r="J146" s="2785">
        <f t="shared" si="22"/>
        <v>7</v>
      </c>
      <c r="K146" s="2806" t="str">
        <f t="shared" si="22"/>
        <v>Sungai Penuh Geothermal Power Plant 1&amp;2 (2x55MW)</v>
      </c>
      <c r="L146" s="2924">
        <v>205000000</v>
      </c>
      <c r="M146" s="2764">
        <v>45000000</v>
      </c>
      <c r="N146" s="2767">
        <v>0</v>
      </c>
      <c r="O146" s="2764">
        <f t="shared" si="16"/>
        <v>250000000</v>
      </c>
      <c r="P146" s="2765" t="s">
        <v>117</v>
      </c>
      <c r="Q146" s="2766">
        <v>205000000</v>
      </c>
      <c r="R146" s="2764">
        <f>+Q146-L146</f>
        <v>0</v>
      </c>
      <c r="S146" s="3081" t="s">
        <v>21</v>
      </c>
      <c r="T146" s="2841" t="s">
        <v>347</v>
      </c>
      <c r="U146" s="3096" t="s">
        <v>21</v>
      </c>
      <c r="V146" s="3096" t="s">
        <v>21</v>
      </c>
      <c r="W146" s="3091" t="s">
        <v>348</v>
      </c>
      <c r="X146" s="2831"/>
      <c r="Y146" s="2871"/>
    </row>
    <row r="147" spans="2:25" s="2665" customFormat="1" ht="60">
      <c r="B147" s="2885"/>
      <c r="C147" s="2884"/>
      <c r="D147" s="2704"/>
      <c r="E147" s="2785">
        <v>8</v>
      </c>
      <c r="F147" s="2715" t="s">
        <v>349</v>
      </c>
      <c r="G147" s="2885"/>
      <c r="H147" s="2884"/>
      <c r="I147" s="2704"/>
      <c r="J147" s="2785">
        <f t="shared" si="22"/>
        <v>8</v>
      </c>
      <c r="K147" s="2806" t="str">
        <f>F147</f>
        <v>Matenggeng Pumped Storage Hydro Electrical Power Plant (4x225MW)</v>
      </c>
      <c r="L147" s="2996">
        <v>500000000</v>
      </c>
      <c r="M147" s="2772">
        <v>220000000</v>
      </c>
      <c r="N147" s="2771">
        <v>0</v>
      </c>
      <c r="O147" s="2772">
        <f t="shared" si="16"/>
        <v>720000000</v>
      </c>
      <c r="P147" s="2997" t="s">
        <v>62</v>
      </c>
      <c r="Q147" s="2770">
        <v>500000000</v>
      </c>
      <c r="R147" s="2772">
        <v>0</v>
      </c>
      <c r="S147" s="3081" t="s">
        <v>21</v>
      </c>
      <c r="T147" s="2845" t="s">
        <v>350</v>
      </c>
      <c r="U147" s="3096" t="s">
        <v>21</v>
      </c>
      <c r="V147" s="3096" t="s">
        <v>21</v>
      </c>
      <c r="W147" s="3114" t="s">
        <v>351</v>
      </c>
      <c r="X147" s="2831"/>
      <c r="Y147" s="2871"/>
    </row>
    <row r="148" spans="2:25" s="2663" customFormat="1" ht="30" customHeight="1">
      <c r="B148" s="3300" t="s">
        <v>352</v>
      </c>
      <c r="C148" s="3301"/>
      <c r="D148" s="3301"/>
      <c r="E148" s="3301"/>
      <c r="F148" s="3302"/>
      <c r="G148" s="3300" t="s">
        <v>353</v>
      </c>
      <c r="H148" s="3301"/>
      <c r="I148" s="3301"/>
      <c r="J148" s="3301"/>
      <c r="K148" s="3302"/>
      <c r="L148" s="2742">
        <f>L149+L159+L168+L171+L181+L184+L193+L196+L199+L204</f>
        <v>4590772100</v>
      </c>
      <c r="M148" s="2742">
        <f t="shared" ref="M148:R148" si="23">M149+M159+M168+M171+M181+M184+M193+M196+M199+M204</f>
        <v>452965800</v>
      </c>
      <c r="N148" s="2742">
        <f t="shared" si="23"/>
        <v>2660000</v>
      </c>
      <c r="O148" s="2742">
        <f t="shared" si="23"/>
        <v>5046397900</v>
      </c>
      <c r="P148" s="2742"/>
      <c r="Q148" s="2742">
        <f t="shared" si="23"/>
        <v>3088329500</v>
      </c>
      <c r="R148" s="2742">
        <f t="shared" si="23"/>
        <v>-1502442600</v>
      </c>
      <c r="S148" s="2742"/>
      <c r="T148" s="2742"/>
      <c r="U148" s="2742"/>
      <c r="V148" s="2742"/>
      <c r="W148" s="3038"/>
      <c r="X148" s="2824"/>
      <c r="Y148" s="2734"/>
    </row>
    <row r="149" spans="2:25" s="2665" customFormat="1" ht="24.95" customHeight="1">
      <c r="B149" s="2693"/>
      <c r="C149" s="2696">
        <v>8</v>
      </c>
      <c r="D149" s="2695" t="s">
        <v>354</v>
      </c>
      <c r="E149" s="2696"/>
      <c r="F149" s="2697"/>
      <c r="G149" s="2693"/>
      <c r="H149" s="2889">
        <v>8</v>
      </c>
      <c r="I149" s="2743" t="s">
        <v>355</v>
      </c>
      <c r="J149" s="2744"/>
      <c r="K149" s="2744"/>
      <c r="L149" s="2998">
        <f>+L150</f>
        <v>290311500</v>
      </c>
      <c r="M149" s="2998">
        <f>+M150</f>
        <v>29793400</v>
      </c>
      <c r="N149" s="2998">
        <f>+N150</f>
        <v>0</v>
      </c>
      <c r="O149" s="2745">
        <f t="shared" si="16"/>
        <v>320104900</v>
      </c>
      <c r="P149" s="2745" t="s">
        <v>21</v>
      </c>
      <c r="Q149" s="2745">
        <f>Q150</f>
        <v>290311500</v>
      </c>
      <c r="R149" s="2745">
        <f>R150</f>
        <v>0</v>
      </c>
      <c r="S149" s="2745"/>
      <c r="T149" s="2745"/>
      <c r="U149" s="2745"/>
      <c r="V149" s="2745"/>
      <c r="W149" s="2955" t="s">
        <v>356</v>
      </c>
      <c r="X149" s="2831"/>
      <c r="Y149" s="2871"/>
    </row>
    <row r="150" spans="2:25" s="2667" customFormat="1" ht="38.25" customHeight="1">
      <c r="B150" s="2703"/>
      <c r="C150" s="2704"/>
      <c r="D150" s="2701" t="s">
        <v>23</v>
      </c>
      <c r="E150" s="3310" t="s">
        <v>357</v>
      </c>
      <c r="F150" s="3310"/>
      <c r="G150" s="2703"/>
      <c r="H150" s="2704"/>
      <c r="I150" s="2701" t="str">
        <f>D150</f>
        <v>A</v>
      </c>
      <c r="J150" s="3304" t="s">
        <v>358</v>
      </c>
      <c r="K150" s="3305"/>
      <c r="L150" s="2807">
        <f>L151</f>
        <v>290311500</v>
      </c>
      <c r="M150" s="2808">
        <f>M151</f>
        <v>29793400</v>
      </c>
      <c r="N150" s="2808">
        <f>N151</f>
        <v>0</v>
      </c>
      <c r="O150" s="2750">
        <f t="shared" si="16"/>
        <v>320104900</v>
      </c>
      <c r="P150" s="2750" t="s">
        <v>21</v>
      </c>
      <c r="Q150" s="2750">
        <f>Q151</f>
        <v>290311500</v>
      </c>
      <c r="R150" s="2750">
        <f>Q150-L150</f>
        <v>0</v>
      </c>
      <c r="S150" s="2750"/>
      <c r="T150" s="2750"/>
      <c r="U150" s="2750"/>
      <c r="V150" s="2750"/>
      <c r="W150" s="2847"/>
      <c r="X150" s="2835"/>
      <c r="Y150" s="2873"/>
    </row>
    <row r="151" spans="2:25" s="2672" customFormat="1" ht="21.75" customHeight="1">
      <c r="B151" s="2978"/>
      <c r="C151" s="2888"/>
      <c r="D151" s="2888"/>
      <c r="E151" s="2785">
        <v>1</v>
      </c>
      <c r="F151" s="2877" t="s">
        <v>359</v>
      </c>
      <c r="G151" s="2978"/>
      <c r="H151" s="2979"/>
      <c r="I151" s="2979"/>
      <c r="J151" s="2877">
        <f>E151</f>
        <v>1</v>
      </c>
      <c r="K151" s="3115" t="s">
        <v>360</v>
      </c>
      <c r="L151" s="2999">
        <f>49882310+38400000+44400000+44091140+31565776+10278274+71694000</f>
        <v>290311500</v>
      </c>
      <c r="M151" s="3000">
        <f>3797300+9335300+4858000+1992700+2586200+182000+7041900</f>
        <v>29793400</v>
      </c>
      <c r="N151" s="3001"/>
      <c r="O151" s="2918">
        <f t="shared" si="16"/>
        <v>320104900</v>
      </c>
      <c r="P151" s="2919"/>
      <c r="Q151" s="2919">
        <f>SUM(Q152:Q158)</f>
        <v>290311500</v>
      </c>
      <c r="R151" s="2921">
        <f t="shared" ref="R151:R159" si="24">R152</f>
        <v>0</v>
      </c>
      <c r="S151" s="2918"/>
      <c r="T151" s="2918"/>
      <c r="U151" s="2918"/>
      <c r="V151" s="2918"/>
      <c r="W151" s="2847"/>
      <c r="X151" s="2835"/>
      <c r="Y151" s="3061"/>
    </row>
    <row r="152" spans="2:25" s="2672" customFormat="1" ht="30">
      <c r="B152" s="2978"/>
      <c r="C152" s="2888"/>
      <c r="D152" s="2888"/>
      <c r="E152" s="2704"/>
      <c r="F152" s="2877"/>
      <c r="G152" s="2978"/>
      <c r="H152" s="2704"/>
      <c r="I152" s="2704"/>
      <c r="J152" s="2776"/>
      <c r="K152" s="3102" t="s">
        <v>361</v>
      </c>
      <c r="L152" s="2763"/>
      <c r="M152" s="2800"/>
      <c r="N152" s="2801"/>
      <c r="O152" s="2925"/>
      <c r="P152" s="2926" t="s">
        <v>58</v>
      </c>
      <c r="Q152" s="2924">
        <v>49882300</v>
      </c>
      <c r="R152" s="3039">
        <f t="shared" si="24"/>
        <v>0</v>
      </c>
      <c r="S152" s="3103" t="s">
        <v>362</v>
      </c>
      <c r="T152" s="3103" t="s">
        <v>363</v>
      </c>
      <c r="U152" s="3040">
        <v>1</v>
      </c>
      <c r="V152" s="3103" t="s">
        <v>21</v>
      </c>
      <c r="W152" s="2960"/>
      <c r="X152" s="2835"/>
      <c r="Y152" s="3061"/>
    </row>
    <row r="153" spans="2:25" s="2672" customFormat="1" ht="30">
      <c r="B153" s="2978"/>
      <c r="C153" s="2888"/>
      <c r="D153" s="2888"/>
      <c r="E153" s="2704"/>
      <c r="F153" s="2877"/>
      <c r="G153" s="2978"/>
      <c r="H153" s="2704"/>
      <c r="I153" s="2704"/>
      <c r="J153" s="2779"/>
      <c r="K153" s="3102" t="s">
        <v>364</v>
      </c>
      <c r="L153" s="2924"/>
      <c r="M153" s="2800"/>
      <c r="N153" s="2801"/>
      <c r="O153" s="2925"/>
      <c r="P153" s="2926" t="s">
        <v>58</v>
      </c>
      <c r="Q153" s="2924">
        <v>38400000</v>
      </c>
      <c r="R153" s="3041">
        <f t="shared" si="24"/>
        <v>0</v>
      </c>
      <c r="S153" s="3103" t="s">
        <v>362</v>
      </c>
      <c r="T153" s="3103" t="s">
        <v>365</v>
      </c>
      <c r="U153" s="3040">
        <v>1</v>
      </c>
      <c r="V153" s="3103" t="s">
        <v>21</v>
      </c>
      <c r="W153" s="2960"/>
      <c r="X153" s="2835"/>
      <c r="Y153" s="3061"/>
    </row>
    <row r="154" spans="2:25" s="2672" customFormat="1" ht="30">
      <c r="B154" s="2978"/>
      <c r="C154" s="2888"/>
      <c r="D154" s="2888"/>
      <c r="E154" s="2704"/>
      <c r="F154" s="2877"/>
      <c r="G154" s="2978"/>
      <c r="H154" s="2704"/>
      <c r="I154" s="2704"/>
      <c r="J154" s="2779"/>
      <c r="K154" s="3102" t="s">
        <v>366</v>
      </c>
      <c r="L154" s="2924"/>
      <c r="M154" s="2777"/>
      <c r="N154" s="2928"/>
      <c r="O154" s="2925"/>
      <c r="P154" s="2926" t="s">
        <v>58</v>
      </c>
      <c r="Q154" s="2924">
        <v>44400000</v>
      </c>
      <c r="R154" s="3041">
        <f t="shared" si="24"/>
        <v>0</v>
      </c>
      <c r="S154" s="3103" t="s">
        <v>362</v>
      </c>
      <c r="T154" s="2960" t="s">
        <v>367</v>
      </c>
      <c r="U154" s="3040">
        <v>1</v>
      </c>
      <c r="V154" s="3103" t="s">
        <v>21</v>
      </c>
      <c r="W154" s="2960"/>
      <c r="X154" s="2835"/>
      <c r="Y154" s="3061"/>
    </row>
    <row r="155" spans="2:25" s="2672" customFormat="1" ht="45">
      <c r="B155" s="2978"/>
      <c r="C155" s="2888"/>
      <c r="D155" s="2888"/>
      <c r="E155" s="2704"/>
      <c r="F155" s="2877"/>
      <c r="G155" s="2978"/>
      <c r="H155" s="2704"/>
      <c r="I155" s="2704"/>
      <c r="J155" s="2779"/>
      <c r="K155" s="3102" t="s">
        <v>368</v>
      </c>
      <c r="L155" s="2924"/>
      <c r="M155" s="2800"/>
      <c r="N155" s="2801"/>
      <c r="O155" s="2925"/>
      <c r="P155" s="2926" t="s">
        <v>58</v>
      </c>
      <c r="Q155" s="2924">
        <v>44091200</v>
      </c>
      <c r="R155" s="3041">
        <f t="shared" si="24"/>
        <v>0</v>
      </c>
      <c r="S155" s="3103" t="s">
        <v>362</v>
      </c>
      <c r="T155" s="3103" t="s">
        <v>369</v>
      </c>
      <c r="U155" s="3040">
        <v>1</v>
      </c>
      <c r="V155" s="3103" t="s">
        <v>21</v>
      </c>
      <c r="W155" s="2960"/>
      <c r="X155" s="2835"/>
      <c r="Y155" s="3061"/>
    </row>
    <row r="156" spans="2:25" s="2672" customFormat="1" ht="30">
      <c r="B156" s="2978"/>
      <c r="C156" s="2888"/>
      <c r="D156" s="2888"/>
      <c r="E156" s="2704"/>
      <c r="F156" s="2877"/>
      <c r="G156" s="2978"/>
      <c r="H156" s="2704"/>
      <c r="I156" s="2704"/>
      <c r="J156" s="2779"/>
      <c r="K156" s="3102" t="s">
        <v>370</v>
      </c>
      <c r="L156" s="2924"/>
      <c r="M156" s="2800"/>
      <c r="N156" s="2801"/>
      <c r="O156" s="2925"/>
      <c r="P156" s="2926" t="s">
        <v>91</v>
      </c>
      <c r="Q156" s="2924">
        <v>31565800</v>
      </c>
      <c r="R156" s="3041">
        <f t="shared" si="24"/>
        <v>0</v>
      </c>
      <c r="S156" s="3103" t="s">
        <v>362</v>
      </c>
      <c r="T156" s="2960" t="s">
        <v>347</v>
      </c>
      <c r="U156" s="3040">
        <v>1</v>
      </c>
      <c r="V156" s="3103" t="s">
        <v>21</v>
      </c>
      <c r="W156" s="2960"/>
      <c r="X156" s="2835"/>
      <c r="Y156" s="3061"/>
    </row>
    <row r="157" spans="2:25" s="2672" customFormat="1" ht="30">
      <c r="B157" s="2978"/>
      <c r="C157" s="2888"/>
      <c r="D157" s="2888"/>
      <c r="E157" s="2704"/>
      <c r="F157" s="2877"/>
      <c r="G157" s="2978"/>
      <c r="H157" s="2704"/>
      <c r="I157" s="2704"/>
      <c r="J157" s="2779"/>
      <c r="K157" s="3102" t="s">
        <v>371</v>
      </c>
      <c r="L157" s="2924"/>
      <c r="M157" s="2781"/>
      <c r="N157" s="2928"/>
      <c r="O157" s="2925"/>
      <c r="P157" s="2926" t="s">
        <v>55</v>
      </c>
      <c r="Q157" s="2924">
        <v>10278200</v>
      </c>
      <c r="R157" s="3041">
        <f t="shared" si="24"/>
        <v>0</v>
      </c>
      <c r="S157" s="3103" t="s">
        <v>362</v>
      </c>
      <c r="T157" s="3103" t="s">
        <v>372</v>
      </c>
      <c r="U157" s="3040">
        <v>1</v>
      </c>
      <c r="V157" s="3103" t="s">
        <v>21</v>
      </c>
      <c r="W157" s="3103" t="s">
        <v>373</v>
      </c>
      <c r="X157" s="2835"/>
      <c r="Y157" s="3061"/>
    </row>
    <row r="158" spans="2:25" s="2672" customFormat="1" ht="45">
      <c r="B158" s="2978"/>
      <c r="C158" s="2888"/>
      <c r="D158" s="2888"/>
      <c r="E158" s="2704"/>
      <c r="F158" s="2877"/>
      <c r="G158" s="2978"/>
      <c r="H158" s="2704"/>
      <c r="I158" s="2704"/>
      <c r="J158" s="2787"/>
      <c r="K158" s="3102" t="s">
        <v>374</v>
      </c>
      <c r="L158" s="2924"/>
      <c r="M158" s="2798"/>
      <c r="N158" s="2799"/>
      <c r="O158" s="2925"/>
      <c r="P158" s="2926" t="s">
        <v>55</v>
      </c>
      <c r="Q158" s="2924">
        <v>71694000</v>
      </c>
      <c r="R158" s="3042">
        <f t="shared" si="24"/>
        <v>0</v>
      </c>
      <c r="S158" s="3103" t="s">
        <v>362</v>
      </c>
      <c r="T158" s="3103" t="s">
        <v>375</v>
      </c>
      <c r="U158" s="3040">
        <v>0.95</v>
      </c>
      <c r="V158" s="3103" t="s">
        <v>21</v>
      </c>
      <c r="W158" s="3103" t="s">
        <v>376</v>
      </c>
      <c r="X158" s="2835"/>
      <c r="Y158" s="3061"/>
    </row>
    <row r="159" spans="2:25" s="2668" customFormat="1" ht="30">
      <c r="B159" s="2724"/>
      <c r="C159" s="2696">
        <v>9</v>
      </c>
      <c r="D159" s="2695" t="s">
        <v>377</v>
      </c>
      <c r="E159" s="2696"/>
      <c r="F159" s="2697"/>
      <c r="G159" s="2724"/>
      <c r="H159" s="2889">
        <v>9</v>
      </c>
      <c r="I159" s="2743" t="s">
        <v>378</v>
      </c>
      <c r="J159" s="3002"/>
      <c r="K159" s="2744"/>
      <c r="L159" s="2745">
        <f>+L160</f>
        <v>238210000</v>
      </c>
      <c r="M159" s="2745">
        <f>+M160</f>
        <v>50447100</v>
      </c>
      <c r="N159" s="2745">
        <f>+N160</f>
        <v>0</v>
      </c>
      <c r="O159" s="2745">
        <f t="shared" si="16"/>
        <v>288657100</v>
      </c>
      <c r="P159" s="2745" t="s">
        <v>21</v>
      </c>
      <c r="Q159" s="2745">
        <f>Q160</f>
        <v>238210000</v>
      </c>
      <c r="R159" s="2745">
        <f t="shared" si="24"/>
        <v>0</v>
      </c>
      <c r="S159" s="2745"/>
      <c r="T159" s="2745"/>
      <c r="U159" s="2745"/>
      <c r="V159" s="2745"/>
      <c r="W159" s="3116" t="s">
        <v>379</v>
      </c>
      <c r="X159" s="2854"/>
      <c r="Y159" s="2876"/>
    </row>
    <row r="160" spans="2:25" s="2667" customFormat="1" ht="35.25" customHeight="1">
      <c r="B160" s="2703"/>
      <c r="C160" s="2704"/>
      <c r="D160" s="2701" t="s">
        <v>23</v>
      </c>
      <c r="E160" s="3310" t="s">
        <v>380</v>
      </c>
      <c r="F160" s="3310"/>
      <c r="G160" s="2703"/>
      <c r="H160" s="2704"/>
      <c r="I160" s="2701" t="str">
        <f>D160</f>
        <v>A</v>
      </c>
      <c r="J160" s="3304" t="s">
        <v>381</v>
      </c>
      <c r="K160" s="3305"/>
      <c r="L160" s="2807">
        <f>L161</f>
        <v>238210000</v>
      </c>
      <c r="M160" s="2808">
        <f>M161</f>
        <v>50447100</v>
      </c>
      <c r="N160" s="2808">
        <f>N161</f>
        <v>0</v>
      </c>
      <c r="O160" s="2750">
        <f t="shared" si="16"/>
        <v>288657100</v>
      </c>
      <c r="P160" s="2750" t="s">
        <v>21</v>
      </c>
      <c r="Q160" s="2750">
        <f>Q161</f>
        <v>238210000</v>
      </c>
      <c r="R160" s="2750">
        <f>Q160-L160</f>
        <v>0</v>
      </c>
      <c r="S160" s="2750"/>
      <c r="T160" s="2750"/>
      <c r="U160" s="2750"/>
      <c r="V160" s="2750"/>
      <c r="W160" s="2847"/>
      <c r="X160" s="2835"/>
      <c r="Y160" s="2873"/>
    </row>
    <row r="161" spans="2:27" s="2667" customFormat="1" ht="24" customHeight="1">
      <c r="B161" s="2703"/>
      <c r="C161" s="2887"/>
      <c r="D161" s="2888"/>
      <c r="E161" s="2785">
        <v>1</v>
      </c>
      <c r="F161" s="3100" t="s">
        <v>382</v>
      </c>
      <c r="G161" s="2703"/>
      <c r="H161" s="2704"/>
      <c r="I161" s="2705"/>
      <c r="J161" s="2776">
        <f>E161</f>
        <v>1</v>
      </c>
      <c r="K161" s="3117" t="s">
        <v>383</v>
      </c>
      <c r="L161" s="2915">
        <f>38301400+40000000+40000000+39908600+40000000+40000000</f>
        <v>238210000</v>
      </c>
      <c r="M161" s="2810">
        <f>4171400+10000000+5985000+10290700+10000000+10000000</f>
        <v>50447100</v>
      </c>
      <c r="N161" s="2811">
        <v>0</v>
      </c>
      <c r="O161" s="3003">
        <f t="shared" si="16"/>
        <v>288657100</v>
      </c>
      <c r="P161" s="3004" t="s">
        <v>21</v>
      </c>
      <c r="Q161" s="3004">
        <f>+L161</f>
        <v>238210000</v>
      </c>
      <c r="R161" s="3043">
        <f>+Q161-L161</f>
        <v>0</v>
      </c>
      <c r="S161" s="3044"/>
      <c r="T161" s="3043"/>
      <c r="U161" s="3043"/>
      <c r="V161" s="3043"/>
      <c r="W161" s="2959"/>
      <c r="X161" s="2835"/>
      <c r="Y161" s="2873"/>
    </row>
    <row r="162" spans="2:27" s="2667" customFormat="1" ht="30">
      <c r="B162" s="2703"/>
      <c r="C162" s="2887"/>
      <c r="D162" s="2888"/>
      <c r="E162" s="2704"/>
      <c r="F162" s="2914"/>
      <c r="G162" s="2703"/>
      <c r="H162" s="2704"/>
      <c r="I162" s="2704"/>
      <c r="J162" s="2779"/>
      <c r="K162" s="3102" t="s">
        <v>384</v>
      </c>
      <c r="L162" s="2924"/>
      <c r="M162" s="2777"/>
      <c r="N162" s="2778"/>
      <c r="O162" s="3005"/>
      <c r="P162" s="3006" t="s">
        <v>58</v>
      </c>
      <c r="Q162" s="3006"/>
      <c r="R162" s="3005"/>
      <c r="S162" s="3045" t="s">
        <v>248</v>
      </c>
      <c r="T162" s="3046" t="s">
        <v>385</v>
      </c>
      <c r="U162" s="2840">
        <v>1</v>
      </c>
      <c r="V162" s="3118" t="s">
        <v>21</v>
      </c>
      <c r="W162" s="2963"/>
      <c r="X162" s="2835"/>
      <c r="Y162" s="2873"/>
    </row>
    <row r="163" spans="2:27" s="2667" customFormat="1" ht="30">
      <c r="B163" s="2703"/>
      <c r="C163" s="2887"/>
      <c r="D163" s="2888"/>
      <c r="E163" s="2704"/>
      <c r="F163" s="2914"/>
      <c r="G163" s="2703"/>
      <c r="H163" s="2704"/>
      <c r="I163" s="2704"/>
      <c r="J163" s="2779"/>
      <c r="K163" s="3102" t="s">
        <v>386</v>
      </c>
      <c r="L163" s="2924"/>
      <c r="M163" s="2777"/>
      <c r="N163" s="2778"/>
      <c r="O163" s="3005"/>
      <c r="P163" s="3006" t="s">
        <v>58</v>
      </c>
      <c r="Q163" s="3006"/>
      <c r="R163" s="3005"/>
      <c r="S163" s="3045" t="s">
        <v>248</v>
      </c>
      <c r="T163" s="3119" t="s">
        <v>387</v>
      </c>
      <c r="U163" s="3006" t="s">
        <v>388</v>
      </c>
      <c r="V163" s="3118" t="s">
        <v>21</v>
      </c>
      <c r="W163" s="3104" t="s">
        <v>389</v>
      </c>
      <c r="X163" s="2835"/>
      <c r="Y163" s="2873"/>
    </row>
    <row r="164" spans="2:27" s="2667" customFormat="1" ht="75">
      <c r="B164" s="2703"/>
      <c r="C164" s="2887"/>
      <c r="D164" s="2888"/>
      <c r="E164" s="2704"/>
      <c r="F164" s="2914"/>
      <c r="G164" s="2703"/>
      <c r="H164" s="2704"/>
      <c r="I164" s="2704"/>
      <c r="J164" s="2779"/>
      <c r="K164" s="3102" t="s">
        <v>390</v>
      </c>
      <c r="L164" s="2924"/>
      <c r="M164" s="2777"/>
      <c r="N164" s="2778"/>
      <c r="O164" s="3005"/>
      <c r="P164" s="3006" t="s">
        <v>58</v>
      </c>
      <c r="Q164" s="3006"/>
      <c r="R164" s="3005"/>
      <c r="S164" s="3046" t="s">
        <v>248</v>
      </c>
      <c r="T164" s="3119" t="s">
        <v>391</v>
      </c>
      <c r="U164" s="2840">
        <v>1</v>
      </c>
      <c r="V164" s="3118" t="s">
        <v>21</v>
      </c>
      <c r="W164" s="3085" t="s">
        <v>392</v>
      </c>
      <c r="X164" s="2835"/>
      <c r="Y164" s="2873"/>
    </row>
    <row r="165" spans="2:27" s="2667" customFormat="1" ht="30">
      <c r="B165" s="2703"/>
      <c r="C165" s="2887"/>
      <c r="D165" s="2888"/>
      <c r="E165" s="2704"/>
      <c r="F165" s="2914"/>
      <c r="G165" s="2703"/>
      <c r="H165" s="2704"/>
      <c r="I165" s="2704"/>
      <c r="J165" s="2779"/>
      <c r="K165" s="3102" t="s">
        <v>393</v>
      </c>
      <c r="L165" s="2924"/>
      <c r="M165" s="2777"/>
      <c r="N165" s="2778"/>
      <c r="O165" s="3005"/>
      <c r="P165" s="3006" t="s">
        <v>58</v>
      </c>
      <c r="Q165" s="3006"/>
      <c r="R165" s="3005"/>
      <c r="S165" s="3045" t="s">
        <v>248</v>
      </c>
      <c r="T165" s="3046" t="s">
        <v>394</v>
      </c>
      <c r="U165" s="2840">
        <v>1</v>
      </c>
      <c r="V165" s="3118" t="s">
        <v>21</v>
      </c>
      <c r="W165" s="2959"/>
      <c r="X165" s="2835"/>
      <c r="Y165" s="2873"/>
    </row>
    <row r="166" spans="2:27" s="2667" customFormat="1" ht="36" customHeight="1">
      <c r="B166" s="2703"/>
      <c r="C166" s="2887"/>
      <c r="D166" s="2888"/>
      <c r="E166" s="2704"/>
      <c r="F166" s="2914"/>
      <c r="G166" s="2703"/>
      <c r="H166" s="2704"/>
      <c r="I166" s="2704"/>
      <c r="J166" s="2779"/>
      <c r="K166" s="3102" t="s">
        <v>395</v>
      </c>
      <c r="L166" s="2924"/>
      <c r="M166" s="2777"/>
      <c r="N166" s="2778"/>
      <c r="O166" s="3005"/>
      <c r="P166" s="3006" t="s">
        <v>58</v>
      </c>
      <c r="Q166" s="3006"/>
      <c r="R166" s="3005"/>
      <c r="S166" s="3045" t="s">
        <v>248</v>
      </c>
      <c r="T166" s="3046" t="s">
        <v>396</v>
      </c>
      <c r="U166" s="2840">
        <v>1</v>
      </c>
      <c r="V166" s="3118" t="s">
        <v>21</v>
      </c>
      <c r="W166" s="2959"/>
      <c r="X166" s="2835"/>
      <c r="Y166" s="2873"/>
    </row>
    <row r="167" spans="2:27" s="2667" customFormat="1" ht="75">
      <c r="B167" s="2703"/>
      <c r="C167" s="2887"/>
      <c r="D167" s="2888"/>
      <c r="E167" s="2704"/>
      <c r="F167" s="2914"/>
      <c r="G167" s="2703"/>
      <c r="H167" s="2717"/>
      <c r="I167" s="2717"/>
      <c r="J167" s="2787"/>
      <c r="K167" s="3120" t="s">
        <v>397</v>
      </c>
      <c r="L167" s="2996"/>
      <c r="M167" s="2814"/>
      <c r="N167" s="2815"/>
      <c r="O167" s="3007"/>
      <c r="P167" s="3008" t="s">
        <v>58</v>
      </c>
      <c r="Q167" s="3008"/>
      <c r="R167" s="3007"/>
      <c r="S167" s="3047" t="s">
        <v>248</v>
      </c>
      <c r="T167" s="3121" t="s">
        <v>398</v>
      </c>
      <c r="U167" s="2840">
        <v>1</v>
      </c>
      <c r="V167" s="3118" t="s">
        <v>21</v>
      </c>
      <c r="W167" s="3122" t="s">
        <v>399</v>
      </c>
      <c r="X167" s="2835"/>
      <c r="Y167" s="2873"/>
    </row>
    <row r="168" spans="2:27" s="2665" customFormat="1" ht="36.75" customHeight="1">
      <c r="B168" s="2885"/>
      <c r="C168" s="2696">
        <v>10</v>
      </c>
      <c r="D168" s="2695" t="s">
        <v>400</v>
      </c>
      <c r="E168" s="2696"/>
      <c r="F168" s="2697"/>
      <c r="G168" s="2885"/>
      <c r="H168" s="2889">
        <v>10</v>
      </c>
      <c r="I168" s="3353" t="s">
        <v>401</v>
      </c>
      <c r="J168" s="3354"/>
      <c r="K168" s="3355"/>
      <c r="L168" s="2745">
        <f>+L169</f>
        <v>300000000</v>
      </c>
      <c r="M168" s="2745">
        <f>+M169</f>
        <v>0</v>
      </c>
      <c r="N168" s="2745">
        <f>+N169</f>
        <v>0</v>
      </c>
      <c r="O168" s="2745">
        <f t="shared" si="16"/>
        <v>300000000</v>
      </c>
      <c r="P168" s="2745" t="s">
        <v>21</v>
      </c>
      <c r="Q168" s="2745">
        <f>Q169</f>
        <v>300000000</v>
      </c>
      <c r="R168" s="2745">
        <f>R169</f>
        <v>0</v>
      </c>
      <c r="S168" s="2745"/>
      <c r="T168" s="2745"/>
      <c r="U168" s="2745"/>
      <c r="V168" s="2745"/>
      <c r="W168" s="2955" t="s">
        <v>402</v>
      </c>
      <c r="X168" s="2831"/>
      <c r="Y168" s="2871"/>
    </row>
    <row r="169" spans="2:27" s="2667" customFormat="1" ht="30" customHeight="1">
      <c r="B169" s="2703"/>
      <c r="C169" s="2704"/>
      <c r="D169" s="2701" t="s">
        <v>23</v>
      </c>
      <c r="E169" s="3310" t="s">
        <v>403</v>
      </c>
      <c r="F169" s="3310"/>
      <c r="G169" s="2703"/>
      <c r="H169" s="2704"/>
      <c r="I169" s="2701" t="str">
        <f>D169</f>
        <v>A</v>
      </c>
      <c r="J169" s="3304" t="s">
        <v>403</v>
      </c>
      <c r="K169" s="3305"/>
      <c r="L169" s="2807">
        <f>SUM(L170:L170)</f>
        <v>300000000</v>
      </c>
      <c r="M169" s="2808">
        <f>SUM(M170:M170)</f>
        <v>0</v>
      </c>
      <c r="N169" s="2808">
        <f>SUM(N170:N170)</f>
        <v>0</v>
      </c>
      <c r="O169" s="2750">
        <f t="shared" si="16"/>
        <v>300000000</v>
      </c>
      <c r="P169" s="2750" t="s">
        <v>21</v>
      </c>
      <c r="Q169" s="2750">
        <f>Q170</f>
        <v>300000000</v>
      </c>
      <c r="R169" s="2750">
        <f>Q169-L169</f>
        <v>0</v>
      </c>
      <c r="S169" s="2750"/>
      <c r="T169" s="2750"/>
      <c r="U169" s="2750"/>
      <c r="V169" s="2750"/>
      <c r="W169" s="2847"/>
      <c r="X169" s="2835"/>
      <c r="Y169" s="2873"/>
    </row>
    <row r="170" spans="2:27" s="2667" customFormat="1" ht="53.25" customHeight="1">
      <c r="B170" s="2703"/>
      <c r="C170" s="2887"/>
      <c r="D170" s="2888"/>
      <c r="E170" s="2785">
        <v>1</v>
      </c>
      <c r="F170" s="2877" t="s">
        <v>404</v>
      </c>
      <c r="G170" s="2703"/>
      <c r="H170" s="2717"/>
      <c r="I170" s="2717"/>
      <c r="J170" s="2787">
        <f>E170</f>
        <v>1</v>
      </c>
      <c r="K170" s="3100" t="str">
        <f>F170</f>
        <v>Development of Capacity, Quality, and Competency of Human Resources for Government Officer</v>
      </c>
      <c r="L170" s="2915">
        <v>300000000</v>
      </c>
      <c r="M170" s="2916">
        <v>0</v>
      </c>
      <c r="N170" s="2917">
        <v>0</v>
      </c>
      <c r="O170" s="2918">
        <f t="shared" si="16"/>
        <v>300000000</v>
      </c>
      <c r="P170" s="2919" t="s">
        <v>62</v>
      </c>
      <c r="Q170" s="2919">
        <v>300000000</v>
      </c>
      <c r="R170" s="2750">
        <v>0</v>
      </c>
      <c r="S170" s="3048" t="s">
        <v>248</v>
      </c>
      <c r="T170" s="3036" t="s">
        <v>405</v>
      </c>
      <c r="U170" s="3036" t="s">
        <v>183</v>
      </c>
      <c r="V170" s="3123" t="s">
        <v>21</v>
      </c>
      <c r="W170" s="2959"/>
      <c r="X170" s="2835"/>
      <c r="Y170" s="2873"/>
    </row>
    <row r="171" spans="2:27" s="2668" customFormat="1" ht="24.95" customHeight="1">
      <c r="B171" s="2724"/>
      <c r="C171" s="2696">
        <v>11</v>
      </c>
      <c r="D171" s="2695" t="s">
        <v>406</v>
      </c>
      <c r="E171" s="2696"/>
      <c r="F171" s="2697"/>
      <c r="G171" s="2724"/>
      <c r="H171" s="2889">
        <v>11</v>
      </c>
      <c r="I171" s="2743" t="s">
        <v>407</v>
      </c>
      <c r="J171" s="2744"/>
      <c r="K171" s="2744"/>
      <c r="L171" s="2745">
        <f>+L172+L174+L176+L178</f>
        <v>1746000000</v>
      </c>
      <c r="M171" s="2745">
        <f>+M172+M174+M176+M178</f>
        <v>174600000</v>
      </c>
      <c r="N171" s="2745">
        <f>N172+N174+N176+N179</f>
        <v>0</v>
      </c>
      <c r="O171" s="2745">
        <f t="shared" si="16"/>
        <v>1920600000</v>
      </c>
      <c r="P171" s="2745" t="s">
        <v>21</v>
      </c>
      <c r="Q171" s="2745">
        <f>Q172+Q174+Q176+Q178</f>
        <v>990400000</v>
      </c>
      <c r="R171" s="2745">
        <f>R172+R174+R176+R178</f>
        <v>-755600000</v>
      </c>
      <c r="S171" s="2745"/>
      <c r="T171" s="2745"/>
      <c r="U171" s="2745"/>
      <c r="V171" s="2745"/>
      <c r="W171" s="2955"/>
      <c r="X171" s="2854"/>
      <c r="Y171" s="2876"/>
      <c r="Z171" s="3062"/>
      <c r="AA171" s="3063"/>
    </row>
    <row r="172" spans="2:27" s="2667" customFormat="1" ht="30" customHeight="1">
      <c r="B172" s="2703"/>
      <c r="C172" s="2704"/>
      <c r="D172" s="2701" t="s">
        <v>23</v>
      </c>
      <c r="E172" s="3310" t="s">
        <v>408</v>
      </c>
      <c r="F172" s="3310"/>
      <c r="G172" s="2703"/>
      <c r="H172" s="2704"/>
      <c r="I172" s="2701" t="str">
        <f>D172</f>
        <v>A</v>
      </c>
      <c r="J172" s="3304" t="s">
        <v>409</v>
      </c>
      <c r="K172" s="3305"/>
      <c r="L172" s="2807">
        <f>L173</f>
        <v>150000000</v>
      </c>
      <c r="M172" s="2808">
        <f>M173</f>
        <v>15000000</v>
      </c>
      <c r="N172" s="2808">
        <f>N173</f>
        <v>0</v>
      </c>
      <c r="O172" s="2750">
        <f t="shared" si="16"/>
        <v>165000000</v>
      </c>
      <c r="P172" s="2750" t="s">
        <v>21</v>
      </c>
      <c r="Q172" s="2750">
        <f>Q173</f>
        <v>150000000</v>
      </c>
      <c r="R172" s="2750">
        <f>Q172-L172</f>
        <v>0</v>
      </c>
      <c r="S172" s="2750"/>
      <c r="T172" s="2750"/>
      <c r="U172" s="2750"/>
      <c r="V172" s="2750"/>
      <c r="W172" s="2847"/>
      <c r="X172" s="2835"/>
      <c r="Y172" s="2873"/>
    </row>
    <row r="173" spans="2:27" s="2667" customFormat="1" ht="56.25" customHeight="1">
      <c r="B173" s="2703"/>
      <c r="C173" s="2887"/>
      <c r="D173" s="2888"/>
      <c r="E173" s="2785">
        <v>1</v>
      </c>
      <c r="F173" s="2877" t="s">
        <v>410</v>
      </c>
      <c r="G173" s="2703"/>
      <c r="H173" s="2717"/>
      <c r="I173" s="2717"/>
      <c r="J173" s="2787">
        <f>E173</f>
        <v>1</v>
      </c>
      <c r="K173" s="3100" t="str">
        <f>F173</f>
        <v>Improvement of Primary Health Care</v>
      </c>
      <c r="L173" s="2915">
        <v>150000000</v>
      </c>
      <c r="M173" s="2916">
        <f>L173*10%</f>
        <v>15000000</v>
      </c>
      <c r="N173" s="2808">
        <v>0</v>
      </c>
      <c r="O173" s="2918">
        <f t="shared" si="16"/>
        <v>165000000</v>
      </c>
      <c r="P173" s="2919" t="s">
        <v>62</v>
      </c>
      <c r="Q173" s="2919">
        <v>150000000</v>
      </c>
      <c r="R173" s="2918">
        <f>+Q173-L173</f>
        <v>0</v>
      </c>
      <c r="S173" s="3112" t="s">
        <v>21</v>
      </c>
      <c r="T173" s="3112" t="s">
        <v>21</v>
      </c>
      <c r="U173" s="3029" t="s">
        <v>411</v>
      </c>
      <c r="V173" s="3112" t="s">
        <v>21</v>
      </c>
      <c r="W173" s="3029"/>
      <c r="X173" s="2835"/>
      <c r="Y173" s="2873"/>
    </row>
    <row r="174" spans="2:27" s="2667" customFormat="1" ht="30" customHeight="1">
      <c r="B174" s="2703"/>
      <c r="C174" s="2704"/>
      <c r="D174" s="2701" t="s">
        <v>40</v>
      </c>
      <c r="E174" s="3310" t="s">
        <v>412</v>
      </c>
      <c r="F174" s="3310"/>
      <c r="G174" s="2703"/>
      <c r="H174" s="2704"/>
      <c r="I174" s="2701" t="str">
        <f>D174</f>
        <v>B</v>
      </c>
      <c r="J174" s="3304" t="s">
        <v>413</v>
      </c>
      <c r="K174" s="3305"/>
      <c r="L174" s="2807">
        <f>L175</f>
        <v>240000000</v>
      </c>
      <c r="M174" s="2808">
        <f>M175</f>
        <v>24000000</v>
      </c>
      <c r="N174" s="2808">
        <f>N175</f>
        <v>0</v>
      </c>
      <c r="O174" s="2750">
        <f t="shared" si="16"/>
        <v>264000000</v>
      </c>
      <c r="P174" s="2750" t="s">
        <v>21</v>
      </c>
      <c r="Q174" s="2750">
        <f>Q175</f>
        <v>240000000</v>
      </c>
      <c r="R174" s="2750">
        <f>Q174-L174</f>
        <v>0</v>
      </c>
      <c r="S174" s="3049"/>
      <c r="T174" s="3049"/>
      <c r="U174" s="3049"/>
      <c r="V174" s="3049"/>
      <c r="W174" s="3029"/>
      <c r="X174" s="2835"/>
      <c r="Y174" s="2873"/>
    </row>
    <row r="175" spans="2:27" s="2667" customFormat="1" ht="54" customHeight="1">
      <c r="B175" s="2703"/>
      <c r="C175" s="2887"/>
      <c r="D175" s="2888"/>
      <c r="E175" s="2785">
        <v>1</v>
      </c>
      <c r="F175" s="2877" t="s">
        <v>414</v>
      </c>
      <c r="G175" s="2703"/>
      <c r="H175" s="2717"/>
      <c r="I175" s="2717"/>
      <c r="J175" s="2787">
        <f>E175</f>
        <v>1</v>
      </c>
      <c r="K175" s="3100" t="str">
        <f>F175</f>
        <v>Improvement of Facilities and Infrastructure for Teaching and Learning Activities in Health Sector</v>
      </c>
      <c r="L175" s="2915">
        <v>240000000</v>
      </c>
      <c r="M175" s="2916">
        <f>L175*10%</f>
        <v>24000000</v>
      </c>
      <c r="N175" s="2808">
        <v>0</v>
      </c>
      <c r="O175" s="2918">
        <f t="shared" si="16"/>
        <v>264000000</v>
      </c>
      <c r="P175" s="3009" t="s">
        <v>58</v>
      </c>
      <c r="Q175" s="2919">
        <v>240000000</v>
      </c>
      <c r="R175" s="2918"/>
      <c r="S175" s="3048" t="s">
        <v>248</v>
      </c>
      <c r="T175" s="3029" t="s">
        <v>415</v>
      </c>
      <c r="U175" s="3050">
        <v>1</v>
      </c>
      <c r="V175" s="3029" t="s">
        <v>294</v>
      </c>
      <c r="W175" s="3112" t="s">
        <v>416</v>
      </c>
      <c r="X175" s="2835"/>
      <c r="Y175" s="2873"/>
    </row>
    <row r="176" spans="2:27" s="2667" customFormat="1" ht="30.75" customHeight="1">
      <c r="B176" s="2703"/>
      <c r="C176" s="2704"/>
      <c r="D176" s="2701" t="s">
        <v>51</v>
      </c>
      <c r="E176" s="3310" t="s">
        <v>417</v>
      </c>
      <c r="F176" s="3310"/>
      <c r="G176" s="2703"/>
      <c r="H176" s="2704"/>
      <c r="I176" s="2701" t="str">
        <f>D176</f>
        <v>C</v>
      </c>
      <c r="J176" s="3304" t="s">
        <v>418</v>
      </c>
      <c r="K176" s="3305"/>
      <c r="L176" s="2807">
        <f>L177</f>
        <v>100400000</v>
      </c>
      <c r="M176" s="2808">
        <f>M177</f>
        <v>10040000</v>
      </c>
      <c r="N176" s="2808">
        <f>N177</f>
        <v>0</v>
      </c>
      <c r="O176" s="2750">
        <f t="shared" si="16"/>
        <v>110440000</v>
      </c>
      <c r="P176" s="2750" t="s">
        <v>21</v>
      </c>
      <c r="Q176" s="2750">
        <f>Q177</f>
        <v>100400000</v>
      </c>
      <c r="R176" s="2750">
        <f>R177</f>
        <v>0</v>
      </c>
      <c r="S176" s="3049"/>
      <c r="T176" s="3049"/>
      <c r="U176" s="3049"/>
      <c r="V176" s="3049"/>
      <c r="W176" s="3029"/>
      <c r="X176" s="2835"/>
      <c r="Y176" s="2873"/>
    </row>
    <row r="177" spans="2:27" s="2667" customFormat="1" ht="44.25" customHeight="1">
      <c r="B177" s="2703"/>
      <c r="C177" s="2887"/>
      <c r="D177" s="2888"/>
      <c r="E177" s="2905">
        <v>1</v>
      </c>
      <c r="F177" s="2877" t="s">
        <v>419</v>
      </c>
      <c r="G177" s="2703"/>
      <c r="H177" s="2717"/>
      <c r="I177" s="2717"/>
      <c r="J177" s="2787">
        <f>E177</f>
        <v>1</v>
      </c>
      <c r="K177" s="3100" t="str">
        <f>F177</f>
        <v>Improvement of Capacity on Disease Control, Environmental Health, and Strengthening Health’s Research and Development</v>
      </c>
      <c r="L177" s="2915">
        <v>100400000</v>
      </c>
      <c r="M177" s="2916">
        <f>L177*10%</f>
        <v>10040000</v>
      </c>
      <c r="N177" s="2808">
        <v>0</v>
      </c>
      <c r="O177" s="2918">
        <f t="shared" si="16"/>
        <v>110440000</v>
      </c>
      <c r="P177" s="2919" t="s">
        <v>91</v>
      </c>
      <c r="Q177" s="2919">
        <f>L177</f>
        <v>100400000</v>
      </c>
      <c r="R177" s="2918">
        <v>0</v>
      </c>
      <c r="S177" s="3029" t="s">
        <v>248</v>
      </c>
      <c r="T177" s="3029" t="s">
        <v>420</v>
      </c>
      <c r="U177" s="3050">
        <v>0.5</v>
      </c>
      <c r="V177" s="3029" t="s">
        <v>294</v>
      </c>
      <c r="W177" s="3112" t="s">
        <v>421</v>
      </c>
      <c r="X177" s="2835"/>
      <c r="Y177" s="2873"/>
    </row>
    <row r="178" spans="2:27" s="2667" customFormat="1" ht="30" customHeight="1">
      <c r="B178" s="2703"/>
      <c r="C178" s="2704"/>
      <c r="D178" s="2701" t="s">
        <v>72</v>
      </c>
      <c r="E178" s="3310" t="s">
        <v>422</v>
      </c>
      <c r="F178" s="3310"/>
      <c r="G178" s="2703"/>
      <c r="H178" s="2704"/>
      <c r="I178" s="2701" t="str">
        <f>D178</f>
        <v>D</v>
      </c>
      <c r="J178" s="3304" t="s">
        <v>423</v>
      </c>
      <c r="K178" s="3305"/>
      <c r="L178" s="2807">
        <f>+L179</f>
        <v>1255600000</v>
      </c>
      <c r="M178" s="2808">
        <f>+M179</f>
        <v>125560000</v>
      </c>
      <c r="N178" s="2808">
        <f>N179+N183</f>
        <v>0</v>
      </c>
      <c r="O178" s="2750">
        <f t="shared" si="16"/>
        <v>1381160000</v>
      </c>
      <c r="P178" s="2750" t="s">
        <v>21</v>
      </c>
      <c r="Q178" s="2750">
        <f>Q179+Q180</f>
        <v>500000000</v>
      </c>
      <c r="R178" s="2750">
        <f>Q178-L178</f>
        <v>-755600000</v>
      </c>
      <c r="S178" s="3049"/>
      <c r="T178" s="3049"/>
      <c r="U178" s="3049"/>
      <c r="V178" s="3049"/>
      <c r="W178" s="3029"/>
      <c r="X178" s="2835"/>
      <c r="Y178" s="2873"/>
      <c r="Z178" s="2874"/>
      <c r="AA178" s="3064"/>
    </row>
    <row r="179" spans="2:27" s="2667" customFormat="1" ht="45" customHeight="1">
      <c r="B179" s="2703"/>
      <c r="C179" s="2887"/>
      <c r="D179" s="2888"/>
      <c r="E179" s="2785">
        <v>1</v>
      </c>
      <c r="F179" s="2877" t="s">
        <v>424</v>
      </c>
      <c r="G179" s="2703"/>
      <c r="H179" s="2717"/>
      <c r="I179" s="2717"/>
      <c r="J179" s="2787">
        <f>E179</f>
        <v>1</v>
      </c>
      <c r="K179" s="3100" t="str">
        <f>F179</f>
        <v>Strengthening of National Referral Hospitals, Province Referral Hospital and Vertical Technical Units</v>
      </c>
      <c r="L179" s="2915">
        <v>1255600000</v>
      </c>
      <c r="M179" s="2916">
        <f>L179*10%</f>
        <v>125560000</v>
      </c>
      <c r="N179" s="2808">
        <v>0</v>
      </c>
      <c r="O179" s="2918">
        <f t="shared" ref="O179:O206" si="25">L179+M179+N179</f>
        <v>1381160000</v>
      </c>
      <c r="P179" s="3009" t="s">
        <v>58</v>
      </c>
      <c r="Q179" s="3009">
        <v>250000000</v>
      </c>
      <c r="R179" s="3051">
        <f>Q179+Q180-L179</f>
        <v>-755600000</v>
      </c>
      <c r="S179" s="3112" t="s">
        <v>21</v>
      </c>
      <c r="T179" s="3112" t="s">
        <v>21</v>
      </c>
      <c r="U179" s="3112" t="s">
        <v>21</v>
      </c>
      <c r="V179" s="3112" t="s">
        <v>21</v>
      </c>
      <c r="W179" s="3112" t="s">
        <v>291</v>
      </c>
      <c r="X179" s="2835"/>
      <c r="Y179" s="2873"/>
    </row>
    <row r="180" spans="2:27" s="2667" customFormat="1" ht="28.5" customHeight="1">
      <c r="B180" s="2703"/>
      <c r="C180" s="2887"/>
      <c r="D180" s="2888"/>
      <c r="E180" s="2704"/>
      <c r="F180" s="2877"/>
      <c r="G180" s="2703"/>
      <c r="H180" s="2717"/>
      <c r="I180" s="2717"/>
      <c r="J180" s="2787"/>
      <c r="K180" s="3100" t="str">
        <f>F179</f>
        <v>Strengthening of National Referral Hospitals, Province Referral Hospital and Vertical Technical Units</v>
      </c>
      <c r="L180" s="2935"/>
      <c r="M180" s="2916"/>
      <c r="N180" s="2808"/>
      <c r="O180" s="2918"/>
      <c r="P180" s="3009" t="s">
        <v>91</v>
      </c>
      <c r="Q180" s="3009">
        <v>250000000</v>
      </c>
      <c r="R180" s="2954"/>
      <c r="S180" s="3052"/>
      <c r="T180" s="3052"/>
      <c r="U180" s="3052"/>
      <c r="V180" s="3052"/>
      <c r="W180" s="3124" t="s">
        <v>425</v>
      </c>
      <c r="X180" s="2835"/>
      <c r="Y180" s="2873"/>
    </row>
    <row r="181" spans="2:27" ht="24.95" customHeight="1">
      <c r="B181" s="2980"/>
      <c r="C181" s="2696">
        <v>12</v>
      </c>
      <c r="D181" s="2695" t="s">
        <v>426</v>
      </c>
      <c r="E181" s="2696"/>
      <c r="F181" s="2697"/>
      <c r="G181" s="2980"/>
      <c r="H181" s="2889">
        <v>12</v>
      </c>
      <c r="I181" s="2743" t="s">
        <v>427</v>
      </c>
      <c r="J181" s="2889"/>
      <c r="K181" s="2744"/>
      <c r="L181" s="2998">
        <f>+L182</f>
        <v>106800000</v>
      </c>
      <c r="M181" s="2998">
        <f>+M182</f>
        <v>10700000</v>
      </c>
      <c r="N181" s="2998">
        <f>N183</f>
        <v>0</v>
      </c>
      <c r="O181" s="2745">
        <f t="shared" si="25"/>
        <v>117500000</v>
      </c>
      <c r="P181" s="2745" t="s">
        <v>21</v>
      </c>
      <c r="Q181" s="2745">
        <f>Q182</f>
        <v>106800000</v>
      </c>
      <c r="R181" s="2745">
        <f>R182</f>
        <v>0</v>
      </c>
      <c r="S181" s="2745"/>
      <c r="T181" s="2745"/>
      <c r="U181" s="2745"/>
      <c r="V181" s="2745"/>
      <c r="W181" s="2955"/>
    </row>
    <row r="182" spans="2:27" s="2667" customFormat="1" ht="30" customHeight="1">
      <c r="B182" s="2703"/>
      <c r="C182" s="2704"/>
      <c r="D182" s="2701" t="s">
        <v>23</v>
      </c>
      <c r="E182" s="3310" t="s">
        <v>422</v>
      </c>
      <c r="F182" s="3310"/>
      <c r="G182" s="2703"/>
      <c r="H182" s="2704"/>
      <c r="I182" s="2701" t="str">
        <f>D182</f>
        <v>A</v>
      </c>
      <c r="J182" s="3304" t="s">
        <v>428</v>
      </c>
      <c r="K182" s="3305"/>
      <c r="L182" s="2807">
        <f>L183</f>
        <v>106800000</v>
      </c>
      <c r="M182" s="2808">
        <f>M183</f>
        <v>10700000</v>
      </c>
      <c r="N182" s="2808">
        <f>N183</f>
        <v>0</v>
      </c>
      <c r="O182" s="2750">
        <f t="shared" si="25"/>
        <v>117500000</v>
      </c>
      <c r="P182" s="2750" t="s">
        <v>21</v>
      </c>
      <c r="Q182" s="2750">
        <f>Q183</f>
        <v>106800000</v>
      </c>
      <c r="R182" s="2750">
        <f>Q182-L182</f>
        <v>0</v>
      </c>
      <c r="S182" s="2750"/>
      <c r="T182" s="2750"/>
      <c r="U182" s="2750"/>
      <c r="V182" s="2750"/>
      <c r="W182" s="2847"/>
      <c r="X182" s="2835"/>
      <c r="Y182" s="2873"/>
    </row>
    <row r="183" spans="2:27" s="2667" customFormat="1" ht="101.25" customHeight="1">
      <c r="B183" s="2703"/>
      <c r="C183" s="2887"/>
      <c r="D183" s="2888"/>
      <c r="E183" s="2785">
        <v>1</v>
      </c>
      <c r="F183" s="2877" t="s">
        <v>429</v>
      </c>
      <c r="G183" s="2703"/>
      <c r="H183" s="2717"/>
      <c r="I183" s="2717"/>
      <c r="J183" s="2787">
        <f>E183</f>
        <v>1</v>
      </c>
      <c r="K183" s="3100" t="str">
        <f>F183</f>
        <v>Rengineering and Improving The Hospital and Referral System in Selected Aceh Districts</v>
      </c>
      <c r="L183" s="2915">
        <v>106800000</v>
      </c>
      <c r="M183" s="2916">
        <v>10700000</v>
      </c>
      <c r="N183" s="2917">
        <v>0</v>
      </c>
      <c r="O183" s="2918">
        <f t="shared" si="25"/>
        <v>117500000</v>
      </c>
      <c r="P183" s="2919" t="s">
        <v>91</v>
      </c>
      <c r="Q183" s="2919">
        <f>L183</f>
        <v>106800000</v>
      </c>
      <c r="R183" s="2921">
        <v>0</v>
      </c>
      <c r="S183" s="3112" t="s">
        <v>308</v>
      </c>
      <c r="T183" s="3030" t="s">
        <v>33</v>
      </c>
      <c r="U183" s="3053">
        <v>1</v>
      </c>
      <c r="V183" s="3125" t="s">
        <v>21</v>
      </c>
      <c r="W183" s="2847"/>
      <c r="X183" s="2835"/>
      <c r="Y183" s="2873"/>
    </row>
    <row r="184" spans="2:27" s="2668" customFormat="1" ht="30">
      <c r="B184" s="2724"/>
      <c r="C184" s="2696">
        <v>13</v>
      </c>
      <c r="D184" s="2974" t="s">
        <v>430</v>
      </c>
      <c r="E184" s="2696"/>
      <c r="F184" s="2697"/>
      <c r="G184" s="2724"/>
      <c r="H184" s="2889">
        <f>C184</f>
        <v>13</v>
      </c>
      <c r="I184" s="2936" t="s">
        <v>431</v>
      </c>
      <c r="J184" s="2744"/>
      <c r="K184" s="2744"/>
      <c r="L184" s="2998">
        <f>+L185+L190</f>
        <v>1445742600</v>
      </c>
      <c r="M184" s="2998">
        <f>+M185+M190</f>
        <v>154464300</v>
      </c>
      <c r="N184" s="2998">
        <f>+N185+N190</f>
        <v>500000</v>
      </c>
      <c r="O184" s="2998">
        <f>+O185+O190</f>
        <v>1600706900</v>
      </c>
      <c r="P184" s="2998" t="s">
        <v>21</v>
      </c>
      <c r="Q184" s="2998">
        <f>+Q185+Q190</f>
        <v>698900000</v>
      </c>
      <c r="R184" s="2745">
        <f>R185</f>
        <v>-746842600</v>
      </c>
      <c r="S184" s="2745"/>
      <c r="T184" s="2745"/>
      <c r="U184" s="2745"/>
      <c r="V184" s="2745"/>
      <c r="W184" s="3116" t="s">
        <v>432</v>
      </c>
      <c r="X184" s="2854"/>
      <c r="Y184" s="2876"/>
    </row>
    <row r="185" spans="2:27" s="2667" customFormat="1" ht="30" customHeight="1">
      <c r="B185" s="2703"/>
      <c r="C185" s="2704"/>
      <c r="D185" s="2701" t="s">
        <v>23</v>
      </c>
      <c r="E185" s="3310" t="s">
        <v>433</v>
      </c>
      <c r="F185" s="3310"/>
      <c r="G185" s="2703"/>
      <c r="H185" s="2704"/>
      <c r="I185" s="2701" t="str">
        <f>D185</f>
        <v>A</v>
      </c>
      <c r="J185" s="3304" t="s">
        <v>434</v>
      </c>
      <c r="K185" s="3305"/>
      <c r="L185" s="2807">
        <f>SUM(L186:L188)</f>
        <v>1346842600</v>
      </c>
      <c r="M185" s="2808">
        <f>SUM(M186:M188)</f>
        <v>134684300</v>
      </c>
      <c r="N185" s="2808">
        <f>SUM(N186:N188)</f>
        <v>0</v>
      </c>
      <c r="O185" s="2750">
        <f t="shared" si="25"/>
        <v>1481526900</v>
      </c>
      <c r="P185" s="2750" t="s">
        <v>21</v>
      </c>
      <c r="Q185" s="2750">
        <f>SUM(Q186:Q189)</f>
        <v>600000000</v>
      </c>
      <c r="R185" s="2750">
        <f>Q185-L185</f>
        <v>-746842600</v>
      </c>
      <c r="S185" s="2750"/>
      <c r="T185" s="2750"/>
      <c r="U185" s="2750"/>
      <c r="V185" s="2750"/>
      <c r="W185" s="2847"/>
      <c r="X185" s="2835"/>
      <c r="Y185" s="2873"/>
    </row>
    <row r="186" spans="2:27">
      <c r="B186" s="2980"/>
      <c r="C186" s="2981"/>
      <c r="D186" s="2982"/>
      <c r="E186" s="2983">
        <v>1</v>
      </c>
      <c r="F186" s="2715" t="s">
        <v>435</v>
      </c>
      <c r="G186" s="2980"/>
      <c r="H186" s="2981"/>
      <c r="I186" s="2982"/>
      <c r="J186" s="3010">
        <f>E186</f>
        <v>1</v>
      </c>
      <c r="K186" s="3011" t="str">
        <f>F186</f>
        <v>Extensification of New Paddy Field Area</v>
      </c>
      <c r="L186" s="3012">
        <v>811166600</v>
      </c>
      <c r="M186" s="3013">
        <v>81116700</v>
      </c>
      <c r="N186" s="3013">
        <v>0</v>
      </c>
      <c r="O186" s="3013">
        <f t="shared" si="25"/>
        <v>892283300</v>
      </c>
      <c r="P186" s="2893" t="s">
        <v>62</v>
      </c>
      <c r="Q186" s="3024">
        <v>225000000</v>
      </c>
      <c r="R186" s="3334">
        <f>+Q186+Q187-L186</f>
        <v>-461166600</v>
      </c>
      <c r="S186" s="3340" t="s">
        <v>21</v>
      </c>
      <c r="T186" s="3345" t="s">
        <v>436</v>
      </c>
      <c r="U186" s="3349">
        <v>0</v>
      </c>
      <c r="V186" s="3321" t="s">
        <v>21</v>
      </c>
      <c r="W186" s="3054"/>
    </row>
    <row r="187" spans="2:27">
      <c r="B187" s="2980"/>
      <c r="C187" s="2981"/>
      <c r="D187" s="2984"/>
      <c r="E187" s="2984"/>
      <c r="F187" s="2715"/>
      <c r="G187" s="2980"/>
      <c r="H187" s="2981"/>
      <c r="I187" s="2984"/>
      <c r="J187" s="3014"/>
      <c r="K187" s="3015" t="str">
        <f>+F186</f>
        <v>Extensification of New Paddy Field Area</v>
      </c>
      <c r="L187" s="2950"/>
      <c r="M187" s="3016"/>
      <c r="N187" s="3016"/>
      <c r="O187" s="3016"/>
      <c r="P187" s="3017" t="s">
        <v>58</v>
      </c>
      <c r="Q187" s="3055">
        <v>125000000</v>
      </c>
      <c r="R187" s="3335"/>
      <c r="S187" s="3341"/>
      <c r="T187" s="3346"/>
      <c r="U187" s="3350"/>
      <c r="V187" s="3322"/>
      <c r="W187" s="2959"/>
    </row>
    <row r="188" spans="2:27">
      <c r="B188" s="2980"/>
      <c r="C188" s="2981"/>
      <c r="D188" s="2985"/>
      <c r="E188" s="2986">
        <v>2</v>
      </c>
      <c r="F188" s="2715" t="s">
        <v>437</v>
      </c>
      <c r="G188" s="2980"/>
      <c r="H188" s="2981"/>
      <c r="I188" s="3316"/>
      <c r="J188" s="3318">
        <f>E188</f>
        <v>2</v>
      </c>
      <c r="K188" s="3018" t="str">
        <f>F188</f>
        <v>Upland Development for National Food Security</v>
      </c>
      <c r="L188" s="3019">
        <v>535676000</v>
      </c>
      <c r="M188" s="2866">
        <v>53567600</v>
      </c>
      <c r="N188" s="2866">
        <v>0</v>
      </c>
      <c r="O188" s="2866">
        <f t="shared" si="25"/>
        <v>589243600</v>
      </c>
      <c r="P188" s="2822" t="s">
        <v>62</v>
      </c>
      <c r="Q188" s="2852">
        <v>125000000</v>
      </c>
      <c r="R188" s="3336">
        <f>+Q188+Q189-L188</f>
        <v>-285676000</v>
      </c>
      <c r="S188" s="3342" t="s">
        <v>21</v>
      </c>
      <c r="T188" s="3347" t="s">
        <v>436</v>
      </c>
      <c r="U188" s="3351">
        <v>0</v>
      </c>
      <c r="V188" s="3323" t="s">
        <v>21</v>
      </c>
      <c r="W188" s="2959"/>
    </row>
    <row r="189" spans="2:27">
      <c r="B189" s="2980"/>
      <c r="C189" s="2981"/>
      <c r="D189" s="2985"/>
      <c r="E189" s="2985"/>
      <c r="F189" s="2726"/>
      <c r="G189" s="2980"/>
      <c r="H189" s="2981"/>
      <c r="I189" s="3317"/>
      <c r="J189" s="3317"/>
      <c r="K189" s="3020" t="str">
        <f>+F188</f>
        <v>Upland Development for National Food Security</v>
      </c>
      <c r="L189" s="3021"/>
      <c r="M189" s="3022"/>
      <c r="N189" s="3022"/>
      <c r="O189" s="3022"/>
      <c r="P189" s="2923" t="s">
        <v>58</v>
      </c>
      <c r="Q189" s="3021">
        <v>125000000</v>
      </c>
      <c r="R189" s="3337"/>
      <c r="S189" s="3341"/>
      <c r="T189" s="3348"/>
      <c r="U189" s="3352"/>
      <c r="V189" s="3324"/>
      <c r="W189" s="3056"/>
    </row>
    <row r="190" spans="2:27" s="2667" customFormat="1" ht="30" customHeight="1">
      <c r="B190" s="2703"/>
      <c r="C190" s="2704"/>
      <c r="D190" s="2701" t="s">
        <v>40</v>
      </c>
      <c r="E190" s="3310" t="s">
        <v>438</v>
      </c>
      <c r="F190" s="3310"/>
      <c r="G190" s="2703"/>
      <c r="H190" s="2704"/>
      <c r="I190" s="2701" t="str">
        <f>D190</f>
        <v>B</v>
      </c>
      <c r="J190" s="3304" t="s">
        <v>439</v>
      </c>
      <c r="K190" s="3305"/>
      <c r="L190" s="2807">
        <f>L191+L192</f>
        <v>98900000</v>
      </c>
      <c r="M190" s="2808">
        <f>M191+M192</f>
        <v>19780000</v>
      </c>
      <c r="N190" s="2808">
        <f>N191+N192</f>
        <v>500000</v>
      </c>
      <c r="O190" s="2750">
        <f t="shared" si="25"/>
        <v>119180000</v>
      </c>
      <c r="P190" s="2750" t="s">
        <v>21</v>
      </c>
      <c r="Q190" s="2750">
        <f>Q191+Q192</f>
        <v>98900000</v>
      </c>
      <c r="R190" s="2750">
        <f>Q190-L190</f>
        <v>0</v>
      </c>
      <c r="S190" s="2750"/>
      <c r="T190" s="2750"/>
      <c r="U190" s="2750"/>
      <c r="V190" s="2750"/>
      <c r="W190" s="2847"/>
      <c r="X190" s="2835"/>
      <c r="Y190" s="2873"/>
    </row>
    <row r="191" spans="2:27" ht="75">
      <c r="B191" s="2980"/>
      <c r="C191" s="2981"/>
      <c r="D191" s="2982"/>
      <c r="E191" s="2983">
        <v>1</v>
      </c>
      <c r="F191" s="2715" t="s">
        <v>440</v>
      </c>
      <c r="G191" s="2980"/>
      <c r="H191" s="2981"/>
      <c r="I191" s="2982"/>
      <c r="J191" s="2983">
        <f>E191</f>
        <v>1</v>
      </c>
      <c r="K191" s="3023" t="str">
        <f>F191</f>
        <v>Young Enterpreneur Growth and Development for Sustainable Agricultural Development</v>
      </c>
      <c r="L191" s="3024">
        <v>68900000</v>
      </c>
      <c r="M191" s="3013">
        <v>13780000</v>
      </c>
      <c r="N191" s="2764">
        <v>0</v>
      </c>
      <c r="O191" s="3013">
        <f t="shared" si="25"/>
        <v>82680000</v>
      </c>
      <c r="P191" s="2893" t="s">
        <v>170</v>
      </c>
      <c r="Q191" s="3024">
        <f>L191</f>
        <v>68900000</v>
      </c>
      <c r="R191" s="3013">
        <v>0</v>
      </c>
      <c r="S191" s="3024" t="s">
        <v>441</v>
      </c>
      <c r="T191" s="3112" t="s">
        <v>21</v>
      </c>
      <c r="U191" s="3112" t="s">
        <v>21</v>
      </c>
      <c r="V191" s="3112" t="s">
        <v>21</v>
      </c>
      <c r="W191" s="3057"/>
    </row>
    <row r="192" spans="2:27" s="2668" customFormat="1" ht="75">
      <c r="B192" s="2724"/>
      <c r="C192" s="2987"/>
      <c r="D192" s="2985"/>
      <c r="E192" s="2986">
        <v>2</v>
      </c>
      <c r="F192" s="2715" t="s">
        <v>442</v>
      </c>
      <c r="G192" s="2724"/>
      <c r="H192" s="2987"/>
      <c r="I192" s="2985"/>
      <c r="J192" s="2986">
        <f>E192</f>
        <v>2</v>
      </c>
      <c r="K192" s="3025" t="str">
        <f>F192</f>
        <v>Rural Empowerment and Agricultural Development (READ) Programme in Sulawesi Island – Phase II</v>
      </c>
      <c r="L192" s="3026">
        <v>30000000</v>
      </c>
      <c r="M192" s="3027">
        <v>6000000</v>
      </c>
      <c r="N192" s="3027">
        <v>500000</v>
      </c>
      <c r="O192" s="3027">
        <f t="shared" si="25"/>
        <v>36500000</v>
      </c>
      <c r="P192" s="3028" t="s">
        <v>170</v>
      </c>
      <c r="Q192" s="3026">
        <v>30000000</v>
      </c>
      <c r="R192" s="3027">
        <v>0</v>
      </c>
      <c r="S192" s="3026" t="s">
        <v>441</v>
      </c>
      <c r="T192" s="3112" t="s">
        <v>21</v>
      </c>
      <c r="U192" s="3112" t="s">
        <v>21</v>
      </c>
      <c r="V192" s="3112" t="s">
        <v>21</v>
      </c>
      <c r="W192" s="3058"/>
      <c r="X192" s="2854"/>
      <c r="Y192" s="2876"/>
    </row>
    <row r="193" spans="2:25" s="2668" customFormat="1" ht="24.95" customHeight="1">
      <c r="B193" s="2724"/>
      <c r="C193" s="2696">
        <v>14</v>
      </c>
      <c r="D193" s="2695" t="s">
        <v>443</v>
      </c>
      <c r="E193" s="2696"/>
      <c r="F193" s="2697"/>
      <c r="G193" s="2724"/>
      <c r="H193" s="2889">
        <f>C193</f>
        <v>14</v>
      </c>
      <c r="I193" s="2743" t="s">
        <v>444</v>
      </c>
      <c r="J193" s="2744"/>
      <c r="K193" s="2744"/>
      <c r="L193" s="2998">
        <f>+L194</f>
        <v>92308000</v>
      </c>
      <c r="M193" s="2998">
        <f>+M194</f>
        <v>2500000</v>
      </c>
      <c r="N193" s="2998">
        <f>+N194</f>
        <v>0</v>
      </c>
      <c r="O193" s="2745">
        <f t="shared" si="25"/>
        <v>94808000</v>
      </c>
      <c r="P193" s="2745" t="s">
        <v>21</v>
      </c>
      <c r="Q193" s="2745">
        <f>Q194</f>
        <v>92308000</v>
      </c>
      <c r="R193" s="2745">
        <f>R194</f>
        <v>0</v>
      </c>
      <c r="S193" s="2745"/>
      <c r="T193" s="2745"/>
      <c r="U193" s="2745"/>
      <c r="V193" s="2745"/>
      <c r="W193" s="2955" t="s">
        <v>445</v>
      </c>
      <c r="X193" s="2854"/>
      <c r="Y193" s="2876"/>
    </row>
    <row r="194" spans="2:25" s="2667" customFormat="1" ht="30" customHeight="1">
      <c r="B194" s="2703"/>
      <c r="C194" s="2704"/>
      <c r="D194" s="2701" t="s">
        <v>23</v>
      </c>
      <c r="E194" s="3310" t="s">
        <v>446</v>
      </c>
      <c r="F194" s="3310"/>
      <c r="G194" s="2703"/>
      <c r="H194" s="2704"/>
      <c r="I194" s="2701" t="str">
        <f>D194</f>
        <v>A</v>
      </c>
      <c r="J194" s="3304" t="s">
        <v>447</v>
      </c>
      <c r="K194" s="3305"/>
      <c r="L194" s="2807">
        <f>L195</f>
        <v>92308000</v>
      </c>
      <c r="M194" s="2808">
        <f>M195</f>
        <v>2500000</v>
      </c>
      <c r="N194" s="2808">
        <f>N195</f>
        <v>0</v>
      </c>
      <c r="O194" s="2750">
        <f t="shared" si="25"/>
        <v>94808000</v>
      </c>
      <c r="P194" s="2750" t="s">
        <v>21</v>
      </c>
      <c r="Q194" s="2750">
        <f>Q195</f>
        <v>92308000</v>
      </c>
      <c r="R194" s="2750">
        <f>Q194-L194</f>
        <v>0</v>
      </c>
      <c r="S194" s="2750"/>
      <c r="T194" s="2750"/>
      <c r="U194" s="2750"/>
      <c r="V194" s="2750"/>
      <c r="W194" s="2847"/>
      <c r="X194" s="2835"/>
      <c r="Y194" s="2873"/>
    </row>
    <row r="195" spans="2:25" s="2667" customFormat="1" ht="20.100000000000001" customHeight="1">
      <c r="B195" s="2703"/>
      <c r="C195" s="2887"/>
      <c r="D195" s="2888"/>
      <c r="E195" s="2986">
        <v>1</v>
      </c>
      <c r="F195" s="2877" t="s">
        <v>448</v>
      </c>
      <c r="G195" s="2703"/>
      <c r="H195" s="2704"/>
      <c r="I195" s="2705"/>
      <c r="J195" s="2776">
        <f>E195</f>
        <v>1</v>
      </c>
      <c r="K195" s="3126" t="str">
        <f>F195</f>
        <v>Development of Maritime Vocational Training Centers</v>
      </c>
      <c r="L195" s="3068">
        <v>92308000</v>
      </c>
      <c r="M195" s="2916">
        <v>2500000</v>
      </c>
      <c r="N195" s="2917">
        <v>0</v>
      </c>
      <c r="O195" s="2918">
        <f t="shared" si="25"/>
        <v>94808000</v>
      </c>
      <c r="P195" s="3009" t="s">
        <v>58</v>
      </c>
      <c r="Q195" s="3009">
        <f>L195</f>
        <v>92308000</v>
      </c>
      <c r="R195" s="2921">
        <f>R196</f>
        <v>0</v>
      </c>
      <c r="S195" s="3112" t="s">
        <v>21</v>
      </c>
      <c r="T195" s="3112" t="s">
        <v>21</v>
      </c>
      <c r="U195" s="3112" t="s">
        <v>21</v>
      </c>
      <c r="V195" s="3112" t="s">
        <v>21</v>
      </c>
      <c r="W195" s="3074"/>
      <c r="X195" s="2835"/>
      <c r="Y195" s="2873"/>
    </row>
    <row r="196" spans="2:25" s="2668" customFormat="1" ht="24.95" customHeight="1">
      <c r="B196" s="2724"/>
      <c r="C196" s="2696">
        <v>15</v>
      </c>
      <c r="D196" s="2695" t="s">
        <v>449</v>
      </c>
      <c r="E196" s="2696"/>
      <c r="F196" s="2697"/>
      <c r="G196" s="2724"/>
      <c r="H196" s="2889">
        <f>C196</f>
        <v>15</v>
      </c>
      <c r="I196" s="2743" t="s">
        <v>450</v>
      </c>
      <c r="J196" s="2744"/>
      <c r="K196" s="2744"/>
      <c r="L196" s="2998">
        <f>+L197</f>
        <v>107000000</v>
      </c>
      <c r="M196" s="2998">
        <f>+M197</f>
        <v>4261000</v>
      </c>
      <c r="N196" s="2998">
        <f>N197</f>
        <v>2160000</v>
      </c>
      <c r="O196" s="2745">
        <f t="shared" si="25"/>
        <v>113421000</v>
      </c>
      <c r="P196" s="2745" t="s">
        <v>21</v>
      </c>
      <c r="Q196" s="2745">
        <f>Q197</f>
        <v>107000000</v>
      </c>
      <c r="R196" s="2745">
        <f>R197</f>
        <v>0</v>
      </c>
      <c r="S196" s="2745"/>
      <c r="T196" s="2745"/>
      <c r="U196" s="2745"/>
      <c r="V196" s="2745"/>
      <c r="W196" s="2955" t="s">
        <v>445</v>
      </c>
      <c r="X196" s="2854"/>
      <c r="Y196" s="2876"/>
    </row>
    <row r="197" spans="2:25" s="2667" customFormat="1" ht="30" customHeight="1">
      <c r="B197" s="2703"/>
      <c r="C197" s="2704"/>
      <c r="D197" s="2701" t="s">
        <v>23</v>
      </c>
      <c r="E197" s="3310" t="s">
        <v>451</v>
      </c>
      <c r="F197" s="3310"/>
      <c r="G197" s="2703"/>
      <c r="H197" s="2704"/>
      <c r="I197" s="2701" t="str">
        <f>D197</f>
        <v>A</v>
      </c>
      <c r="J197" s="3304" t="s">
        <v>452</v>
      </c>
      <c r="K197" s="3305"/>
      <c r="L197" s="2807">
        <f>L198</f>
        <v>107000000</v>
      </c>
      <c r="M197" s="2808">
        <f>M198</f>
        <v>4261000</v>
      </c>
      <c r="N197" s="2808">
        <f>N198</f>
        <v>2160000</v>
      </c>
      <c r="O197" s="2750">
        <f t="shared" si="25"/>
        <v>113421000</v>
      </c>
      <c r="P197" s="2750" t="s">
        <v>21</v>
      </c>
      <c r="Q197" s="2750">
        <f>Q198</f>
        <v>107000000</v>
      </c>
      <c r="R197" s="2750">
        <f>Q197-L197</f>
        <v>0</v>
      </c>
      <c r="S197" s="2750"/>
      <c r="T197" s="2750"/>
      <c r="U197" s="2750"/>
      <c r="V197" s="2750"/>
      <c r="W197" s="2847"/>
      <c r="X197" s="2835"/>
      <c r="Y197" s="2873"/>
    </row>
    <row r="198" spans="2:25" s="2667" customFormat="1" ht="20.100000000000001" customHeight="1">
      <c r="B198" s="2703"/>
      <c r="C198" s="2887"/>
      <c r="D198" s="2888"/>
      <c r="E198" s="2979">
        <v>1</v>
      </c>
      <c r="F198" s="2877" t="s">
        <v>453</v>
      </c>
      <c r="G198" s="2703"/>
      <c r="H198" s="2717"/>
      <c r="I198" s="2717"/>
      <c r="J198" s="2787">
        <f>E198</f>
        <v>1</v>
      </c>
      <c r="K198" s="3100" t="str">
        <f>F198</f>
        <v xml:space="preserve">Outer Ring Fishing Ports Development - Phase I </v>
      </c>
      <c r="L198" s="2915">
        <v>107000000</v>
      </c>
      <c r="M198" s="2916">
        <v>4261000</v>
      </c>
      <c r="N198" s="2917">
        <v>2160000</v>
      </c>
      <c r="O198" s="2918">
        <f t="shared" si="25"/>
        <v>113421000</v>
      </c>
      <c r="P198" s="3009" t="s">
        <v>454</v>
      </c>
      <c r="Q198" s="2919">
        <f>L198</f>
        <v>107000000</v>
      </c>
      <c r="R198" s="2921">
        <f>R199</f>
        <v>0</v>
      </c>
      <c r="S198" s="3112" t="s">
        <v>21</v>
      </c>
      <c r="T198" s="3030" t="s">
        <v>455</v>
      </c>
      <c r="U198" s="3112" t="s">
        <v>21</v>
      </c>
      <c r="V198" s="3112" t="s">
        <v>21</v>
      </c>
      <c r="W198" s="2847" t="s">
        <v>456</v>
      </c>
      <c r="X198" s="2835"/>
      <c r="Y198" s="2873"/>
    </row>
    <row r="199" spans="2:25" ht="24.95" customHeight="1">
      <c r="B199" s="2980"/>
      <c r="C199" s="2696">
        <v>16</v>
      </c>
      <c r="D199" s="2695" t="s">
        <v>457</v>
      </c>
      <c r="E199" s="2696"/>
      <c r="F199" s="2697"/>
      <c r="G199" s="2980"/>
      <c r="H199" s="2889">
        <f>C199</f>
        <v>16</v>
      </c>
      <c r="I199" s="2743" t="s">
        <v>458</v>
      </c>
      <c r="J199" s="2744"/>
      <c r="K199" s="2744"/>
      <c r="L199" s="2998">
        <f>+L200</f>
        <v>150000000</v>
      </c>
      <c r="M199" s="2998">
        <f>+M200</f>
        <v>9000000</v>
      </c>
      <c r="N199" s="2998"/>
      <c r="O199" s="2745">
        <f t="shared" si="25"/>
        <v>159000000</v>
      </c>
      <c r="P199" s="2745" t="s">
        <v>21</v>
      </c>
      <c r="Q199" s="2745">
        <f>Q200</f>
        <v>150000000</v>
      </c>
      <c r="R199" s="2745">
        <f>R200</f>
        <v>0</v>
      </c>
      <c r="S199" s="2745"/>
      <c r="T199" s="2745"/>
      <c r="U199" s="2745"/>
      <c r="V199" s="2745"/>
      <c r="W199" s="2955" t="s">
        <v>445</v>
      </c>
    </row>
    <row r="200" spans="2:25" s="2667" customFormat="1" ht="35.1" customHeight="1">
      <c r="B200" s="2703"/>
      <c r="C200" s="2704"/>
      <c r="D200" s="2701" t="s">
        <v>23</v>
      </c>
      <c r="E200" s="3310" t="s">
        <v>459</v>
      </c>
      <c r="F200" s="3310"/>
      <c r="G200" s="2703"/>
      <c r="H200" s="2704"/>
      <c r="I200" s="2701" t="str">
        <f>D200</f>
        <v>A</v>
      </c>
      <c r="J200" s="3304" t="s">
        <v>460</v>
      </c>
      <c r="K200" s="3305"/>
      <c r="L200" s="2807">
        <f>L201</f>
        <v>150000000</v>
      </c>
      <c r="M200" s="2808">
        <f>M201</f>
        <v>9000000</v>
      </c>
      <c r="N200" s="2808"/>
      <c r="O200" s="2750">
        <f t="shared" si="25"/>
        <v>159000000</v>
      </c>
      <c r="P200" s="2750" t="s">
        <v>21</v>
      </c>
      <c r="Q200" s="2750">
        <f>Q201</f>
        <v>150000000</v>
      </c>
      <c r="R200" s="2750">
        <f>Q200-L200</f>
        <v>0</v>
      </c>
      <c r="S200" s="2750"/>
      <c r="T200" s="2750"/>
      <c r="U200" s="2750"/>
      <c r="V200" s="2750"/>
      <c r="W200" s="2847"/>
      <c r="X200" s="2835"/>
      <c r="Y200" s="2873"/>
    </row>
    <row r="201" spans="2:25" s="2667" customFormat="1" ht="58.5" customHeight="1">
      <c r="B201" s="2703"/>
      <c r="C201" s="2887"/>
      <c r="D201" s="2888"/>
      <c r="E201" s="2979">
        <v>1</v>
      </c>
      <c r="F201" s="2877" t="s">
        <v>461</v>
      </c>
      <c r="G201" s="2703"/>
      <c r="H201" s="2717"/>
      <c r="I201" s="2717"/>
      <c r="J201" s="2787">
        <f>E201</f>
        <v>1</v>
      </c>
      <c r="K201" s="3100" t="str">
        <f>F201</f>
        <v>Strengthening Climate and Weather Service Capacity – Phase II</v>
      </c>
      <c r="L201" s="2915">
        <v>150000000</v>
      </c>
      <c r="M201" s="2916">
        <v>9000000</v>
      </c>
      <c r="N201" s="2917">
        <v>0</v>
      </c>
      <c r="O201" s="2918">
        <f t="shared" si="25"/>
        <v>159000000</v>
      </c>
      <c r="P201" s="2919" t="s">
        <v>462</v>
      </c>
      <c r="Q201" s="2919">
        <f>L201</f>
        <v>150000000</v>
      </c>
      <c r="R201" s="2921">
        <f>R202</f>
        <v>0</v>
      </c>
      <c r="S201" s="3112" t="s">
        <v>21</v>
      </c>
      <c r="T201" s="3112" t="s">
        <v>21</v>
      </c>
      <c r="U201" s="3112" t="s">
        <v>21</v>
      </c>
      <c r="V201" s="3112" t="s">
        <v>21</v>
      </c>
      <c r="W201" s="2847"/>
      <c r="X201" s="2835"/>
      <c r="Y201" s="2873"/>
    </row>
    <row r="202" spans="2:25" s="2667" customFormat="1" ht="36.75" customHeight="1">
      <c r="B202" s="2703"/>
      <c r="C202" s="2887"/>
      <c r="D202" s="2888"/>
      <c r="E202" s="2979"/>
      <c r="F202" s="2877"/>
      <c r="G202" s="2703"/>
      <c r="H202" s="2717"/>
      <c r="I202" s="2717"/>
      <c r="J202" s="2787"/>
      <c r="K202" s="3100" t="s">
        <v>463</v>
      </c>
      <c r="L202" s="2935"/>
      <c r="M202" s="2916"/>
      <c r="N202" s="2917"/>
      <c r="O202" s="2918"/>
      <c r="P202" s="2919"/>
      <c r="Q202" s="2919"/>
      <c r="R202" s="2918"/>
      <c r="S202" s="3112" t="s">
        <v>464</v>
      </c>
      <c r="T202" s="3112" t="s">
        <v>464</v>
      </c>
      <c r="U202" s="3112" t="s">
        <v>464</v>
      </c>
      <c r="V202" s="3112" t="s">
        <v>21</v>
      </c>
      <c r="W202" s="3326" t="s">
        <v>465</v>
      </c>
      <c r="X202" s="2835"/>
      <c r="Y202" s="2873"/>
    </row>
    <row r="203" spans="2:25" s="2667" customFormat="1" ht="20.25" customHeight="1">
      <c r="B203" s="2703"/>
      <c r="C203" s="2887"/>
      <c r="D203" s="2888"/>
      <c r="E203" s="2979"/>
      <c r="F203" s="2877"/>
      <c r="G203" s="2703"/>
      <c r="H203" s="2717"/>
      <c r="I203" s="2717"/>
      <c r="J203" s="2787"/>
      <c r="K203" s="3100" t="s">
        <v>466</v>
      </c>
      <c r="L203" s="2935"/>
      <c r="M203" s="2916"/>
      <c r="N203" s="2917"/>
      <c r="O203" s="2918"/>
      <c r="P203" s="2919"/>
      <c r="Q203" s="2919"/>
      <c r="R203" s="2918"/>
      <c r="S203" s="3112" t="s">
        <v>21</v>
      </c>
      <c r="T203" s="3112" t="s">
        <v>21</v>
      </c>
      <c r="U203" s="3112" t="s">
        <v>464</v>
      </c>
      <c r="V203" s="3112" t="s">
        <v>21</v>
      </c>
      <c r="W203" s="3327"/>
      <c r="X203" s="2835"/>
      <c r="Y203" s="2873"/>
    </row>
    <row r="204" spans="2:25" ht="24.95" customHeight="1">
      <c r="B204" s="2980"/>
      <c r="C204" s="2696">
        <v>17</v>
      </c>
      <c r="D204" s="2695" t="s">
        <v>467</v>
      </c>
      <c r="E204" s="2696"/>
      <c r="F204" s="2697"/>
      <c r="G204" s="2980"/>
      <c r="H204" s="2889">
        <f>C204</f>
        <v>17</v>
      </c>
      <c r="I204" s="2743" t="s">
        <v>468</v>
      </c>
      <c r="J204" s="2889"/>
      <c r="K204" s="2744"/>
      <c r="L204" s="2998">
        <f>L205</f>
        <v>114400000</v>
      </c>
      <c r="M204" s="2998">
        <f>M205</f>
        <v>17200000</v>
      </c>
      <c r="N204" s="2998">
        <f>N205</f>
        <v>0</v>
      </c>
      <c r="O204" s="2745">
        <f t="shared" si="25"/>
        <v>131600000</v>
      </c>
      <c r="P204" s="2745" t="s">
        <v>21</v>
      </c>
      <c r="Q204" s="2745">
        <f>Q206</f>
        <v>114400000</v>
      </c>
      <c r="R204" s="2745">
        <f>R206</f>
        <v>0</v>
      </c>
      <c r="S204" s="2745"/>
      <c r="T204" s="2745"/>
      <c r="U204" s="2745"/>
      <c r="V204" s="2745"/>
      <c r="W204" s="2955"/>
    </row>
    <row r="205" spans="2:25" s="2667" customFormat="1" ht="30" customHeight="1">
      <c r="B205" s="2703"/>
      <c r="C205" s="2704"/>
      <c r="D205" s="2701" t="s">
        <v>23</v>
      </c>
      <c r="E205" s="3310" t="s">
        <v>469</v>
      </c>
      <c r="F205" s="3310"/>
      <c r="G205" s="2703"/>
      <c r="H205" s="2704"/>
      <c r="I205" s="2701" t="str">
        <f>D205</f>
        <v>A</v>
      </c>
      <c r="J205" s="3304" t="s">
        <v>470</v>
      </c>
      <c r="K205" s="3305"/>
      <c r="L205" s="2807">
        <f>+L206</f>
        <v>114400000</v>
      </c>
      <c r="M205" s="2808">
        <f>+M206</f>
        <v>17200000</v>
      </c>
      <c r="N205" s="2808">
        <f>+N206</f>
        <v>0</v>
      </c>
      <c r="O205" s="2750">
        <f t="shared" si="25"/>
        <v>131600000</v>
      </c>
      <c r="P205" s="2750" t="s">
        <v>21</v>
      </c>
      <c r="Q205" s="2750">
        <f>Q206</f>
        <v>114400000</v>
      </c>
      <c r="R205" s="2750">
        <f>Q205-L205</f>
        <v>0</v>
      </c>
      <c r="S205" s="2750"/>
      <c r="T205" s="2750"/>
      <c r="U205" s="2750"/>
      <c r="V205" s="2750"/>
      <c r="W205" s="2847"/>
      <c r="X205" s="2835"/>
      <c r="Y205" s="2873"/>
    </row>
    <row r="206" spans="2:25" s="2667" customFormat="1" ht="155.25" customHeight="1">
      <c r="B206" s="2703"/>
      <c r="C206" s="2887"/>
      <c r="D206" s="2888"/>
      <c r="E206" s="2979">
        <v>1</v>
      </c>
      <c r="F206" s="3065" t="s">
        <v>471</v>
      </c>
      <c r="G206" s="2704"/>
      <c r="H206" s="3066"/>
      <c r="I206" s="3069"/>
      <c r="J206" s="3070">
        <f>E206</f>
        <v>1</v>
      </c>
      <c r="K206" s="3127" t="str">
        <f>F206</f>
        <v>Development of Maritime National Science and Technology Park (NTSP) in the Northern Penajam Paser and Revitalization Infrastructure Marine Survey</v>
      </c>
      <c r="L206" s="3009">
        <v>114400000</v>
      </c>
      <c r="M206" s="3071">
        <v>17200000</v>
      </c>
      <c r="N206" s="3001">
        <v>0</v>
      </c>
      <c r="O206" s="2918">
        <f t="shared" si="25"/>
        <v>131600000</v>
      </c>
      <c r="P206" s="3009" t="s">
        <v>454</v>
      </c>
      <c r="Q206" s="3009">
        <f>L206</f>
        <v>114400000</v>
      </c>
      <c r="R206" s="3075">
        <f>Q206-L206</f>
        <v>0</v>
      </c>
      <c r="S206" s="3076" t="s">
        <v>472</v>
      </c>
      <c r="T206" s="3076" t="s">
        <v>473</v>
      </c>
      <c r="U206" s="3076" t="s">
        <v>474</v>
      </c>
      <c r="V206" s="3076" t="s">
        <v>475</v>
      </c>
      <c r="W206" s="3128" t="s">
        <v>476</v>
      </c>
      <c r="X206" s="2835"/>
      <c r="Y206" s="2873"/>
    </row>
    <row r="207" spans="2:25" s="2664" customFormat="1" ht="30" customHeight="1">
      <c r="B207" s="3313" t="s">
        <v>477</v>
      </c>
      <c r="C207" s="3314"/>
      <c r="D207" s="3314"/>
      <c r="E207" s="3314"/>
      <c r="F207" s="3315"/>
      <c r="G207" s="3313" t="s">
        <v>477</v>
      </c>
      <c r="H207" s="3314"/>
      <c r="I207" s="3314"/>
      <c r="J207" s="3314"/>
      <c r="K207" s="3315"/>
      <c r="L207" s="3072">
        <f>L8+L148</f>
        <v>39876907800</v>
      </c>
      <c r="M207" s="3072">
        <f t="shared" ref="M207:R207" si="26">M8+M148</f>
        <v>5227763500</v>
      </c>
      <c r="N207" s="3072">
        <f t="shared" si="26"/>
        <v>19660000</v>
      </c>
      <c r="O207" s="3072">
        <f t="shared" si="26"/>
        <v>45124331300</v>
      </c>
      <c r="P207" s="3072">
        <f t="shared" si="26"/>
        <v>0</v>
      </c>
      <c r="Q207" s="3072">
        <f t="shared" si="26"/>
        <v>34206108500</v>
      </c>
      <c r="R207" s="3072">
        <f t="shared" si="26"/>
        <v>-5670799300</v>
      </c>
      <c r="S207" s="3072"/>
      <c r="T207" s="3072"/>
      <c r="U207" s="3072"/>
      <c r="V207" s="3072"/>
      <c r="W207" s="3077"/>
      <c r="X207" s="2825"/>
      <c r="Y207" s="2870"/>
    </row>
    <row r="208" spans="2:25">
      <c r="O208" s="2678"/>
      <c r="P208" s="3073"/>
      <c r="Q208" s="3078"/>
      <c r="R208" s="2678"/>
      <c r="S208" s="2678"/>
      <c r="T208" s="2678"/>
      <c r="U208" s="2678"/>
      <c r="V208" s="2678"/>
    </row>
    <row r="209" spans="2:30">
      <c r="B209" s="3067" t="s">
        <v>478</v>
      </c>
      <c r="L209" s="2677">
        <f>L207-Q207</f>
        <v>5670799300</v>
      </c>
    </row>
    <row r="210" spans="2:30" s="2673" customFormat="1">
      <c r="B210" s="3067" t="s">
        <v>479</v>
      </c>
      <c r="C210" s="2675"/>
      <c r="D210" s="2675"/>
      <c r="E210" s="2675"/>
      <c r="F210" s="2676"/>
      <c r="G210" s="2676"/>
      <c r="H210" s="2676"/>
      <c r="I210" s="2676"/>
      <c r="J210" s="2676"/>
      <c r="K210" s="2676"/>
      <c r="L210" s="2677"/>
      <c r="M210" s="2678"/>
      <c r="N210" s="2679"/>
      <c r="O210" s="2680"/>
      <c r="P210" s="2681"/>
      <c r="Q210" s="2682"/>
      <c r="R210" s="2680"/>
      <c r="S210" s="2680"/>
      <c r="T210" s="2680"/>
      <c r="U210" s="2680"/>
      <c r="V210" s="2680"/>
      <c r="W210" s="3079"/>
      <c r="Y210" s="2684"/>
      <c r="Z210" s="2674"/>
      <c r="AA210" s="2674"/>
      <c r="AB210" s="2674"/>
      <c r="AC210" s="2674"/>
      <c r="AD210" s="2674"/>
    </row>
    <row r="211" spans="2:30" s="2673" customFormat="1">
      <c r="B211" s="2674" t="s">
        <v>480</v>
      </c>
      <c r="C211" s="2675"/>
      <c r="D211" s="2675"/>
      <c r="E211" s="2675"/>
      <c r="F211" s="2676"/>
      <c r="G211" s="2676"/>
      <c r="H211" s="2676"/>
      <c r="I211" s="2676"/>
      <c r="J211" s="2676"/>
      <c r="K211" s="2676"/>
      <c r="L211" s="2677"/>
      <c r="M211" s="2678"/>
      <c r="N211" s="2679"/>
      <c r="O211" s="2680"/>
      <c r="P211" s="2681"/>
      <c r="Q211" s="3080">
        <f>L209+R207</f>
        <v>0</v>
      </c>
      <c r="R211" s="2680"/>
      <c r="S211" s="2680"/>
      <c r="T211" s="2680"/>
      <c r="U211" s="2680"/>
      <c r="V211" s="2680"/>
      <c r="W211" s="3079"/>
      <c r="Y211" s="2684"/>
      <c r="Z211" s="2674"/>
      <c r="AA211" s="2674"/>
      <c r="AB211" s="2674"/>
      <c r="AC211" s="2674"/>
      <c r="AD211" s="2674"/>
    </row>
    <row r="212" spans="2:30" s="2673" customFormat="1">
      <c r="B212" s="2674"/>
      <c r="C212" s="2675"/>
      <c r="D212" s="2675"/>
      <c r="E212" s="2675"/>
      <c r="F212" s="2676"/>
      <c r="G212" s="2676"/>
      <c r="H212" s="2676"/>
      <c r="I212" s="2676"/>
      <c r="J212" s="2676"/>
      <c r="K212" s="2676"/>
      <c r="L212" s="2677"/>
      <c r="M212" s="2678"/>
      <c r="N212" s="2679"/>
      <c r="O212" s="2680"/>
      <c r="P212" s="2681"/>
      <c r="Q212" s="2682"/>
      <c r="R212" s="2680"/>
      <c r="S212" s="2680"/>
      <c r="T212" s="2680"/>
      <c r="U212" s="2680"/>
      <c r="V212" s="2680"/>
      <c r="W212" s="3079"/>
      <c r="Y212" s="2684"/>
      <c r="Z212" s="2674"/>
      <c r="AA212" s="2674"/>
      <c r="AB212" s="2674"/>
      <c r="AC212" s="2674"/>
      <c r="AD212" s="2674"/>
    </row>
    <row r="213" spans="2:30" s="2673" customFormat="1">
      <c r="B213" s="2674"/>
      <c r="C213" s="2675"/>
      <c r="D213" s="2675"/>
      <c r="E213" s="2675"/>
      <c r="F213" s="2676"/>
      <c r="G213" s="2676"/>
      <c r="H213" s="2676"/>
      <c r="I213" s="2676"/>
      <c r="J213" s="2676"/>
      <c r="K213" s="2676"/>
      <c r="L213" s="2677"/>
      <c r="M213" s="2678"/>
      <c r="N213" s="2679"/>
      <c r="O213" s="2680"/>
      <c r="P213" s="2681"/>
      <c r="Q213" s="2682"/>
      <c r="R213" s="2680"/>
      <c r="S213" s="2680"/>
      <c r="T213" s="2680"/>
      <c r="U213" s="2680"/>
      <c r="V213" s="2680"/>
      <c r="W213" s="3079"/>
      <c r="Y213" s="2684"/>
      <c r="Z213" s="2674"/>
      <c r="AA213" s="2674"/>
      <c r="AB213" s="2674"/>
      <c r="AC213" s="2674"/>
      <c r="AD213" s="2674"/>
    </row>
  </sheetData>
  <autoFilter ref="B7:W207"/>
  <mergeCells count="101">
    <mergeCell ref="V62:V63"/>
    <mergeCell ref="V186:V187"/>
    <mergeCell ref="V188:V189"/>
    <mergeCell ref="W5:W6"/>
    <mergeCell ref="W202:W203"/>
    <mergeCell ref="B5:F6"/>
    <mergeCell ref="G5:K6"/>
    <mergeCell ref="R186:R187"/>
    <mergeCell ref="R188:R189"/>
    <mergeCell ref="S62:S63"/>
    <mergeCell ref="S186:S187"/>
    <mergeCell ref="S188:S189"/>
    <mergeCell ref="T62:T63"/>
    <mergeCell ref="T186:T187"/>
    <mergeCell ref="T188:T189"/>
    <mergeCell ref="U62:U63"/>
    <mergeCell ref="U186:U187"/>
    <mergeCell ref="U188:U189"/>
    <mergeCell ref="E197:F197"/>
    <mergeCell ref="J197:K197"/>
    <mergeCell ref="E200:F200"/>
    <mergeCell ref="J200:K200"/>
    <mergeCell ref="I168:K168"/>
    <mergeCell ref="E169:F169"/>
    <mergeCell ref="E205:F205"/>
    <mergeCell ref="J205:K205"/>
    <mergeCell ref="B207:F207"/>
    <mergeCell ref="G207:K207"/>
    <mergeCell ref="I188:I189"/>
    <mergeCell ref="J188:J189"/>
    <mergeCell ref="E178:F178"/>
    <mergeCell ref="J178:K178"/>
    <mergeCell ref="E182:F182"/>
    <mergeCell ref="J182:K182"/>
    <mergeCell ref="E185:F185"/>
    <mergeCell ref="J185:K185"/>
    <mergeCell ref="E190:F190"/>
    <mergeCell ref="J190:K190"/>
    <mergeCell ref="E194:F194"/>
    <mergeCell ref="J194:K194"/>
    <mergeCell ref="J169:K169"/>
    <mergeCell ref="E172:F172"/>
    <mergeCell ref="J172:K172"/>
    <mergeCell ref="E174:F174"/>
    <mergeCell ref="J174:K174"/>
    <mergeCell ref="E176:F176"/>
    <mergeCell ref="J176:K176"/>
    <mergeCell ref="E132:F132"/>
    <mergeCell ref="J132:K132"/>
    <mergeCell ref="E135:F135"/>
    <mergeCell ref="J135:K135"/>
    <mergeCell ref="B148:F148"/>
    <mergeCell ref="G148:K148"/>
    <mergeCell ref="E150:F150"/>
    <mergeCell ref="J150:K150"/>
    <mergeCell ref="E160:F160"/>
    <mergeCell ref="J160:K160"/>
    <mergeCell ref="E110:F110"/>
    <mergeCell ref="J110:K110"/>
    <mergeCell ref="E113:F113"/>
    <mergeCell ref="J113:K113"/>
    <mergeCell ref="E116:F116"/>
    <mergeCell ref="J116:K116"/>
    <mergeCell ref="E124:F124"/>
    <mergeCell ref="J124:K124"/>
    <mergeCell ref="E127:F127"/>
    <mergeCell ref="J127:K127"/>
    <mergeCell ref="E66:F66"/>
    <mergeCell ref="J66:K66"/>
    <mergeCell ref="E80:F80"/>
    <mergeCell ref="J80:K80"/>
    <mergeCell ref="E84:F84"/>
    <mergeCell ref="J84:K84"/>
    <mergeCell ref="E96:F96"/>
    <mergeCell ref="J96:K96"/>
    <mergeCell ref="E106:F106"/>
    <mergeCell ref="J106:K106"/>
    <mergeCell ref="E24:F24"/>
    <mergeCell ref="J24:K24"/>
    <mergeCell ref="E33:F33"/>
    <mergeCell ref="J33:K33"/>
    <mergeCell ref="E48:F48"/>
    <mergeCell ref="J48:K48"/>
    <mergeCell ref="E57:F57"/>
    <mergeCell ref="J57:K57"/>
    <mergeCell ref="E60:F60"/>
    <mergeCell ref="J60:K60"/>
    <mergeCell ref="B3:W3"/>
    <mergeCell ref="P5:Q5"/>
    <mergeCell ref="S5:V5"/>
    <mergeCell ref="B8:F8"/>
    <mergeCell ref="G8:K8"/>
    <mergeCell ref="E10:F10"/>
    <mergeCell ref="J10:K10"/>
    <mergeCell ref="E18:F18"/>
    <mergeCell ref="J18:K18"/>
    <mergeCell ref="L5:L6"/>
    <mergeCell ref="M5:M6"/>
    <mergeCell ref="N5:N6"/>
    <mergeCell ref="O5:O6"/>
    <mergeCell ref="R5:R6"/>
  </mergeCells>
  <printOptions horizontalCentered="1"/>
  <pageMargins left="0.35416666666666702" right="0.35416666666666702" top="0.156944444444444" bottom="0.74791666666666701" header="0.118055555555556" footer="0.23611111111111099"/>
  <pageSetup paperSize="9" scale="43" fitToHeight="0" orientation="landscape"/>
  <headerFooter>
    <oddFooter>&amp;R&amp;P/&amp;N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Q225"/>
  <sheetViews>
    <sheetView topLeftCell="J1" zoomScale="64" zoomScaleNormal="64" workbookViewId="0">
      <pane ySplit="8" topLeftCell="A9" activePane="bottomLeft" state="frozen"/>
      <selection pane="bottomLeft" activeCell="S24" sqref="S24"/>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3.42578125" style="10" customWidth="1"/>
    <col min="14" max="14" width="43.7109375" style="12" customWidth="1"/>
    <col min="15" max="17" width="9.140625" style="10" hidden="1" customWidth="1"/>
    <col min="18" max="18" width="21" style="13" customWidth="1"/>
    <col min="19" max="19" width="21" style="13" hidden="1" customWidth="1"/>
    <col min="20" max="20" width="20.140625" style="13" hidden="1" customWidth="1"/>
    <col min="21" max="21" width="15.85546875" style="13" hidden="1" customWidth="1"/>
    <col min="22" max="22" width="21" style="13" hidden="1" customWidth="1"/>
    <col min="23" max="23" width="20.85546875" style="14" customWidth="1"/>
    <col min="24" max="24" width="1.28515625" style="10" hidden="1" customWidth="1"/>
    <col min="25" max="25" width="21" style="13" customWidth="1"/>
    <col min="26" max="26" width="20.28515625" style="13" hidden="1" customWidth="1"/>
    <col min="27" max="27" width="21.5703125" style="10" hidden="1" customWidth="1"/>
    <col min="28" max="28" width="20.7109375" style="12" customWidth="1"/>
    <col min="29" max="31" width="20.7109375" style="12" hidden="1" customWidth="1"/>
    <col min="32" max="34" width="20.7109375" style="12" customWidth="1"/>
    <col min="35" max="35" width="31.28515625" style="10" hidden="1" customWidth="1"/>
    <col min="36" max="36" width="33.5703125" style="10" hidden="1" customWidth="1"/>
    <col min="37" max="37" width="26.7109375" style="10" hidden="1" customWidth="1"/>
    <col min="38" max="38" width="24" style="10" hidden="1" customWidth="1"/>
    <col min="39" max="39" width="29.28515625" style="10" hidden="1" customWidth="1"/>
    <col min="40" max="40" width="20.140625" style="10" hidden="1" customWidth="1"/>
    <col min="41" max="41" width="22.5703125" style="10" hidden="1" customWidth="1"/>
    <col min="42" max="42" width="22.5703125" style="12" hidden="1" customWidth="1"/>
    <col min="43" max="43" width="45.7109375" style="12" hidden="1" customWidth="1"/>
    <col min="44" max="16384" width="9.140625" style="10"/>
  </cols>
  <sheetData>
    <row r="1" spans="1:43" s="1" customFormat="1" ht="18">
      <c r="J1" s="3356" t="s">
        <v>481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c r="AP1" s="3356"/>
      <c r="AQ1" s="3356"/>
    </row>
    <row r="2" spans="1:43" s="1" customFormat="1" ht="18">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row>
    <row r="3" spans="1:43" s="1" customFormat="1" ht="18">
      <c r="J3" s="3357" t="s">
        <v>482</v>
      </c>
      <c r="K3" s="3358"/>
      <c r="L3" s="3358"/>
      <c r="M3" s="3358"/>
      <c r="N3" s="3358"/>
      <c r="O3" s="3358"/>
      <c r="P3" s="3358"/>
      <c r="Q3" s="3358"/>
      <c r="R3" s="3358"/>
      <c r="S3" s="3358"/>
      <c r="T3" s="3358"/>
      <c r="U3" s="3358"/>
      <c r="V3" s="3358"/>
      <c r="W3" s="3358"/>
      <c r="X3" s="3358"/>
      <c r="Y3" s="3358"/>
      <c r="Z3" s="3358"/>
      <c r="AA3" s="3358"/>
      <c r="AB3" s="3358"/>
      <c r="AC3" s="3358"/>
      <c r="AD3" s="3358"/>
      <c r="AE3" s="3358"/>
      <c r="AF3" s="3358"/>
      <c r="AG3" s="3358"/>
      <c r="AH3" s="3358"/>
      <c r="AI3" s="15"/>
      <c r="AJ3" s="15"/>
      <c r="AK3" s="15"/>
      <c r="AL3" s="15"/>
      <c r="AM3" s="15"/>
      <c r="AN3" s="15"/>
      <c r="AO3" s="15"/>
      <c r="AP3" s="146"/>
      <c r="AQ3" s="15"/>
    </row>
    <row r="4" spans="1:43" s="1" customFormat="1" ht="15.75" customHeight="1">
      <c r="J4" s="15"/>
      <c r="K4" s="15"/>
      <c r="L4" s="15"/>
      <c r="M4" s="15"/>
      <c r="N4" s="15"/>
      <c r="O4" s="15"/>
      <c r="P4" s="15"/>
      <c r="Q4" s="15"/>
      <c r="R4" s="73"/>
      <c r="S4" s="73"/>
      <c r="T4" s="73"/>
      <c r="U4" s="73"/>
      <c r="V4" s="73"/>
      <c r="W4" s="15"/>
      <c r="X4" s="15"/>
      <c r="Y4" s="15"/>
      <c r="Z4" s="73"/>
      <c r="AA4" s="15"/>
      <c r="AB4" s="15"/>
      <c r="AC4" s="15"/>
      <c r="AD4" s="15"/>
      <c r="AE4" s="15"/>
      <c r="AF4" s="15"/>
      <c r="AG4" s="15"/>
      <c r="AH4" s="94" t="s">
        <v>483</v>
      </c>
      <c r="AI4" s="15"/>
      <c r="AJ4" s="15"/>
      <c r="AK4" s="15"/>
      <c r="AL4" s="15"/>
      <c r="AM4" s="15"/>
      <c r="AN4" s="15"/>
      <c r="AO4" s="15"/>
      <c r="AP4" s="146"/>
      <c r="AQ4" s="15"/>
    </row>
    <row r="5" spans="1:43">
      <c r="AQ5" s="106" t="s">
        <v>483</v>
      </c>
    </row>
    <row r="6" spans="1:43" s="2" customFormat="1" ht="24.95" customHeight="1">
      <c r="J6" s="3359" t="s">
        <v>484</v>
      </c>
      <c r="K6" s="3359"/>
      <c r="L6" s="3359"/>
      <c r="M6" s="3359"/>
      <c r="N6" s="3359"/>
      <c r="O6" s="16"/>
      <c r="P6" s="16"/>
      <c r="Q6" s="16"/>
      <c r="R6" s="3366" t="s">
        <v>485</v>
      </c>
      <c r="S6" s="3368" t="s">
        <v>486</v>
      </c>
      <c r="T6" s="3366" t="s">
        <v>487</v>
      </c>
      <c r="U6" s="3366" t="s">
        <v>488</v>
      </c>
      <c r="V6" s="3366" t="s">
        <v>477</v>
      </c>
      <c r="W6" s="3359" t="s">
        <v>7</v>
      </c>
      <c r="X6" s="3359"/>
      <c r="Y6" s="3359"/>
      <c r="Z6" s="3368" t="s">
        <v>489</v>
      </c>
      <c r="AA6" s="3370" t="s">
        <v>490</v>
      </c>
      <c r="AB6" s="3360" t="s">
        <v>9</v>
      </c>
      <c r="AC6" s="3361"/>
      <c r="AD6" s="3361"/>
      <c r="AE6" s="3361"/>
      <c r="AF6" s="3361"/>
      <c r="AG6" s="3361"/>
      <c r="AH6" s="3362"/>
      <c r="AI6" s="16"/>
      <c r="AJ6" s="16"/>
      <c r="AK6" s="16"/>
      <c r="AL6" s="16"/>
      <c r="AM6" s="16"/>
      <c r="AN6" s="16"/>
      <c r="AO6" s="16"/>
      <c r="AP6" s="3370" t="s">
        <v>491</v>
      </c>
      <c r="AQ6" s="3370" t="s">
        <v>492</v>
      </c>
    </row>
    <row r="7" spans="1:43" s="2" customFormat="1" ht="24.95" customHeight="1">
      <c r="J7" s="3359"/>
      <c r="K7" s="3359"/>
      <c r="L7" s="3359"/>
      <c r="M7" s="3359"/>
      <c r="N7" s="3359"/>
      <c r="O7" s="16"/>
      <c r="P7" s="16"/>
      <c r="Q7" s="16"/>
      <c r="R7" s="3367"/>
      <c r="S7" s="3369"/>
      <c r="T7" s="3367"/>
      <c r="U7" s="3367"/>
      <c r="V7" s="3367"/>
      <c r="W7" s="76" t="s">
        <v>11</v>
      </c>
      <c r="X7" s="16"/>
      <c r="Y7" s="75" t="s">
        <v>493</v>
      </c>
      <c r="Z7" s="3369"/>
      <c r="AA7" s="3371"/>
      <c r="AB7" s="95" t="s">
        <v>13</v>
      </c>
      <c r="AC7" s="95" t="s">
        <v>494</v>
      </c>
      <c r="AD7" s="95" t="s">
        <v>495</v>
      </c>
      <c r="AE7" s="95" t="s">
        <v>496</v>
      </c>
      <c r="AF7" s="95" t="s">
        <v>14</v>
      </c>
      <c r="AG7" s="95" t="s">
        <v>15</v>
      </c>
      <c r="AH7" s="95" t="s">
        <v>16</v>
      </c>
      <c r="AI7" s="16"/>
      <c r="AJ7" s="16"/>
      <c r="AK7" s="16"/>
      <c r="AL7" s="16"/>
      <c r="AM7" s="16"/>
      <c r="AN7" s="16"/>
      <c r="AO7" s="16"/>
      <c r="AP7" s="3371"/>
      <c r="AQ7" s="3371"/>
    </row>
    <row r="8" spans="1:43">
      <c r="J8" s="17"/>
      <c r="K8" s="18"/>
      <c r="L8" s="18"/>
      <c r="M8" s="18"/>
      <c r="N8" s="19"/>
      <c r="O8" s="20"/>
      <c r="P8" s="20"/>
      <c r="Q8" s="20"/>
      <c r="R8" s="77"/>
      <c r="S8" s="77"/>
      <c r="T8" s="77"/>
      <c r="U8" s="77"/>
      <c r="V8" s="77"/>
      <c r="W8" s="78"/>
      <c r="X8" s="20" t="str">
        <f>BB[[#Headers],[BILA-MULTI]]</f>
        <v>BILA-MULTI</v>
      </c>
      <c r="Y8" s="77"/>
      <c r="Z8" s="77"/>
      <c r="AA8" s="20"/>
      <c r="AB8" s="37"/>
      <c r="AC8" s="37"/>
      <c r="AD8" s="37"/>
      <c r="AE8" s="37"/>
      <c r="AF8" s="37"/>
      <c r="AG8" s="37"/>
      <c r="AH8" s="37"/>
      <c r="AI8" s="20" t="s">
        <v>497</v>
      </c>
      <c r="AJ8" s="20" t="s">
        <v>498</v>
      </c>
      <c r="AK8" s="20" t="s">
        <v>499</v>
      </c>
      <c r="AL8" s="20" t="s">
        <v>500</v>
      </c>
      <c r="AM8" s="20" t="s">
        <v>10</v>
      </c>
      <c r="AN8" s="20" t="s">
        <v>501</v>
      </c>
      <c r="AO8" s="20" t="s">
        <v>502</v>
      </c>
      <c r="AP8" s="37"/>
      <c r="AQ8" s="37"/>
    </row>
    <row r="9" spans="1:43" s="3" customFormat="1" ht="30" customHeight="1">
      <c r="A9" s="3" t="s">
        <v>21</v>
      </c>
      <c r="B9" s="3" t="s">
        <v>21</v>
      </c>
      <c r="C9" s="3" t="s">
        <v>21</v>
      </c>
      <c r="D9" s="3" t="s">
        <v>21</v>
      </c>
      <c r="E9" s="3" t="s">
        <v>21</v>
      </c>
      <c r="F9" s="3" t="s">
        <v>21</v>
      </c>
      <c r="G9" s="3" t="s">
        <v>21</v>
      </c>
      <c r="H9" s="3" t="s">
        <v>21</v>
      </c>
      <c r="I9" s="3" t="s">
        <v>21</v>
      </c>
      <c r="J9" s="21" t="str">
        <f>DATA!B2</f>
        <v>I</v>
      </c>
      <c r="K9" s="22" t="str">
        <f>DATA!D2</f>
        <v>INFRASTRUKTUR</v>
      </c>
      <c r="L9" s="22"/>
      <c r="M9" s="22"/>
      <c r="N9" s="23"/>
      <c r="O9" s="22"/>
      <c r="P9" s="22"/>
      <c r="Q9" s="22"/>
      <c r="R9" s="79">
        <f>+R10+R126+R129+R137+R140+R145+R148</f>
        <v>35286135700</v>
      </c>
      <c r="S9" s="79">
        <f>+S10+S126+S129+S137+S140+S145+S148</f>
        <v>35286135700</v>
      </c>
      <c r="T9" s="79">
        <f>+T10+T126+T129+T137+T140+T145+T148</f>
        <v>4724797700</v>
      </c>
      <c r="U9" s="79">
        <f>+U10+U126+U129+U137+U140+U145+U148</f>
        <v>17000000</v>
      </c>
      <c r="V9" s="79">
        <f>+V10+V126+V129+V137+V140+V145+V148</f>
        <v>39777933400</v>
      </c>
      <c r="W9" s="79"/>
      <c r="X9" s="79" t="e">
        <f>+X10+X126+X129+X137+X140+X145+X148</f>
        <v>#VALUE!</v>
      </c>
      <c r="Y9" s="79">
        <f>+Y10+Y126+Y129+Y137+Y140+Y145+Y148</f>
        <v>35095755700</v>
      </c>
      <c r="Z9" s="79">
        <f>+Z10+Z126+Z129+Z137+Z140+Z145+Z148</f>
        <v>-537391404</v>
      </c>
      <c r="AA9" s="22"/>
      <c r="AB9" s="23"/>
      <c r="AC9" s="23"/>
      <c r="AD9" s="23"/>
      <c r="AE9" s="23"/>
      <c r="AF9" s="23"/>
      <c r="AG9" s="23"/>
      <c r="AH9" s="23"/>
      <c r="AI9" s="22"/>
      <c r="AJ9" s="22"/>
      <c r="AK9" s="22"/>
      <c r="AL9" s="22"/>
      <c r="AM9" s="22"/>
      <c r="AN9" s="22"/>
      <c r="AO9" s="22"/>
      <c r="AP9" s="23"/>
      <c r="AQ9" s="23"/>
    </row>
    <row r="10" spans="1:43" s="4" customFormat="1" ht="24.95" customHeight="1">
      <c r="J10" s="24"/>
      <c r="K10" s="25">
        <f>DATA!E2</f>
        <v>1</v>
      </c>
      <c r="L10" s="26" t="str">
        <f>DATA!F2</f>
        <v>Kementerian Pekerjaan Umum dan Perumahan Rakyat</v>
      </c>
      <c r="M10" s="26"/>
      <c r="N10" s="27"/>
      <c r="O10" s="26"/>
      <c r="P10" s="26"/>
      <c r="Q10" s="26"/>
      <c r="R10" s="80">
        <f>+R11+R20+R26+R36+R54+R67+R70+R77+R91+R95+R110+R120+R124</f>
        <v>22288199000</v>
      </c>
      <c r="S10" s="80">
        <f>+S11+S20+S26+S36+S54+S67+S70+S77+S91+S95+S110+S120+S124</f>
        <v>22288199000</v>
      </c>
      <c r="T10" s="80">
        <f>+T11+T20+T26+T36+T54+T67+T70+T77+T91+T95+T110+T120+T124</f>
        <v>2886244500</v>
      </c>
      <c r="U10" s="80">
        <f>+U11+U20+U26+U36+U54+U67+U70+U77+U91+U95+U110+U120+U124</f>
        <v>7000000</v>
      </c>
      <c r="V10" s="80">
        <f>+V11+V20+V26+V36+V54+V67+V70+V77+V91+V95+V110+V120+V124</f>
        <v>24931443500</v>
      </c>
      <c r="W10" s="80"/>
      <c r="X10" s="80" t="e">
        <f>+X11+X20+X26+X36+X54+X67+X70+X77+X91+X95+X110+X120+X124</f>
        <v>#VALUE!</v>
      </c>
      <c r="Y10" s="80">
        <f>+Y11+Y20+Y26+Y36+Y54+Y67+Y70+Y77+Y91+Y95+Y110+Y120+Y124</f>
        <v>22097819000</v>
      </c>
      <c r="Z10" s="80">
        <f>+Z11+Z20+Z26+Z36+Z54+Z67+Z70+Z77+Z91+Z95+Z110+Z120+Z124</f>
        <v>-126391404</v>
      </c>
      <c r="AA10" s="26"/>
      <c r="AB10" s="27"/>
      <c r="AC10" s="27"/>
      <c r="AD10" s="27"/>
      <c r="AE10" s="27"/>
      <c r="AF10" s="27"/>
      <c r="AG10" s="27"/>
      <c r="AH10" s="27"/>
      <c r="AI10" s="26"/>
      <c r="AJ10" s="26"/>
      <c r="AK10" s="26"/>
      <c r="AL10" s="26"/>
      <c r="AM10" s="26"/>
      <c r="AN10" s="26"/>
      <c r="AO10" s="26"/>
      <c r="AP10" s="27"/>
      <c r="AQ10" s="27"/>
    </row>
    <row r="11" spans="1:43" s="5" customFormat="1" ht="24.95" customHeight="1">
      <c r="J11" s="28"/>
      <c r="K11" s="29"/>
      <c r="L11" s="30" t="str">
        <f>DATA!I2</f>
        <v>A</v>
      </c>
      <c r="M11" s="31" t="str">
        <f>DATA!J2</f>
        <v xml:space="preserve">Program Pembangunan Jalan Tol </v>
      </c>
      <c r="N11" s="32"/>
      <c r="O11" s="31"/>
      <c r="P11" s="31"/>
      <c r="Q11" s="31"/>
      <c r="R11" s="81">
        <f>+R12+R15</f>
        <v>2025000000</v>
      </c>
      <c r="S11" s="81">
        <f>+S12+S15</f>
        <v>2025000000</v>
      </c>
      <c r="T11" s="81">
        <f>+T12+T15</f>
        <v>173650000</v>
      </c>
      <c r="U11" s="81">
        <f>+U12+U15</f>
        <v>0</v>
      </c>
      <c r="V11" s="81">
        <f>+V12+V15</f>
        <v>2198650000</v>
      </c>
      <c r="W11" s="82"/>
      <c r="X11" s="31"/>
      <c r="Y11" s="81">
        <f>+Y12+Y15</f>
        <v>2025000000</v>
      </c>
      <c r="Z11" s="81">
        <f>+Z12+Z15</f>
        <v>0</v>
      </c>
      <c r="AA11" s="31"/>
      <c r="AB11" s="32"/>
      <c r="AC11" s="32"/>
      <c r="AD11" s="32"/>
      <c r="AE11" s="32"/>
      <c r="AF11" s="32"/>
      <c r="AG11" s="32"/>
      <c r="AH11" s="32"/>
      <c r="AI11" s="31"/>
      <c r="AJ11" s="31"/>
      <c r="AK11" s="31"/>
      <c r="AL11" s="31"/>
      <c r="AM11" s="31"/>
      <c r="AN11" s="31"/>
      <c r="AO11" s="31"/>
      <c r="AP11" s="32"/>
      <c r="AQ11" s="32"/>
    </row>
    <row r="12" spans="1:43" ht="30" customHeight="1">
      <c r="A12" s="10">
        <f>DATA!A2</f>
        <v>1</v>
      </c>
      <c r="B12" s="10" t="str">
        <f>DATA!B2</f>
        <v>I</v>
      </c>
      <c r="C12" s="10" t="str">
        <f>DATA!D2</f>
        <v>INFRASTRUKTUR</v>
      </c>
      <c r="D12" s="10">
        <f>DATA!E2</f>
        <v>1</v>
      </c>
      <c r="E12" s="10" t="str">
        <f>DATA!F2</f>
        <v>Kementerian Pekerjaan Umum dan Perumahan Rakyat</v>
      </c>
      <c r="F12" s="10" t="str">
        <f>DATA!H2</f>
        <v>Toll Road Development Program</v>
      </c>
      <c r="G12" s="10" t="str">
        <f>DATA!I2</f>
        <v>A</v>
      </c>
      <c r="H12" s="10" t="str">
        <f>DATA!J2</f>
        <v xml:space="preserve">Program Pembangunan Jalan Tol </v>
      </c>
      <c r="I12" s="10">
        <f>DATA!K2</f>
        <v>1</v>
      </c>
      <c r="J12" s="33"/>
      <c r="K12" s="34"/>
      <c r="L12" s="35"/>
      <c r="M12" s="36">
        <f>DATA!K2</f>
        <v>1</v>
      </c>
      <c r="N12" s="37" t="str">
        <f>DATA!L2</f>
        <v>Toll Road Development in Kalimantan, Sumatera, and Java Islands</v>
      </c>
      <c r="O12" s="20">
        <f>DATA!Q2</f>
        <v>0</v>
      </c>
      <c r="P12" s="20">
        <f>DATA!R2</f>
        <v>1</v>
      </c>
      <c r="Q12" s="20">
        <f>DATA!S2</f>
        <v>1</v>
      </c>
      <c r="R12" s="77">
        <f>DATA!T2</f>
        <v>1250000000</v>
      </c>
      <c r="S12" s="77">
        <f>DATA!U2</f>
        <v>1250000000</v>
      </c>
      <c r="T12" s="77">
        <f>DATA!V2</f>
        <v>101250000</v>
      </c>
      <c r="U12" s="77">
        <f>DATA!W2</f>
        <v>0</v>
      </c>
      <c r="V12" s="77">
        <f>DATA!X2</f>
        <v>1351250000</v>
      </c>
      <c r="W12" s="78" t="str">
        <f>DATA!Y2</f>
        <v>-</v>
      </c>
      <c r="X12" s="20">
        <f>DATA!Z2</f>
        <v>0</v>
      </c>
      <c r="Y12" s="77">
        <f>DATA!AA2</f>
        <v>1250000000</v>
      </c>
      <c r="Z12" s="77">
        <f>DATA!AG2</f>
        <v>0</v>
      </c>
      <c r="AA12" s="20" t="str">
        <f>DATA!AH2</f>
        <v>-</v>
      </c>
      <c r="AB12" s="37" t="str">
        <f>DATA!AI2</f>
        <v>-</v>
      </c>
      <c r="AC12" s="152" t="str">
        <f>DATA!AM2</f>
        <v>-</v>
      </c>
      <c r="AD12" s="152" t="str">
        <f>DATA!AN2</f>
        <v>-</v>
      </c>
      <c r="AE12" s="152" t="str">
        <f>DATA!AO2</f>
        <v>-</v>
      </c>
      <c r="AF12" s="37" t="str">
        <f>DATA!AJ2</f>
        <v>-</v>
      </c>
      <c r="AG12" s="37" t="str">
        <f>DATA!AK2</f>
        <v>-</v>
      </c>
      <c r="AH12" s="37" t="str">
        <f>DATA!AL2</f>
        <v>-</v>
      </c>
      <c r="AI12" s="20" t="str">
        <f>DATA!AM2</f>
        <v>-</v>
      </c>
      <c r="AJ12" s="20" t="str">
        <f>DATA!AN2</f>
        <v>-</v>
      </c>
      <c r="AK12" s="20" t="str">
        <f>DATA!AO2</f>
        <v>-</v>
      </c>
      <c r="AL12" s="20" t="str">
        <f>DATA!AP2</f>
        <v>-</v>
      </c>
      <c r="AM12" s="20" t="str">
        <f>DATA!AY2</f>
        <v>-</v>
      </c>
      <c r="AN12" s="20" t="e">
        <f>DATA!#REF!</f>
        <v>#REF!</v>
      </c>
      <c r="AO12" s="20" t="str">
        <f>DATA!AZ2</f>
        <v>-</v>
      </c>
      <c r="AP12" s="152" t="e">
        <f>DATA!#REF!</f>
        <v>#REF!</v>
      </c>
      <c r="AQ12" s="37" t="str">
        <f>DATA!BA2</f>
        <v>-</v>
      </c>
    </row>
    <row r="13" spans="1:43" s="6" customFormat="1" ht="43.5" customHeight="1">
      <c r="A13" s="6">
        <f>DATA!A3</f>
        <v>1</v>
      </c>
      <c r="B13" s="6">
        <f>DATA!B3</f>
        <v>0</v>
      </c>
      <c r="C13" s="6" t="str">
        <f>DATA!D3</f>
        <v>INFRASTRUKTUR</v>
      </c>
      <c r="D13" s="6">
        <f>DATA!E3</f>
        <v>1</v>
      </c>
      <c r="E13" s="6" t="str">
        <f>DATA!F3</f>
        <v>Kementerian Pekerjaan Umum dan Perumahan Rakyat</v>
      </c>
      <c r="F13" s="6" t="str">
        <f>DATA!H3</f>
        <v>Toll Road Development Program</v>
      </c>
      <c r="G13" s="6" t="str">
        <f>DATA!I3</f>
        <v>A</v>
      </c>
      <c r="H13" s="6" t="str">
        <f>DATA!J3</f>
        <v xml:space="preserve">Program Pembangunan Jalan Tol </v>
      </c>
      <c r="I13" s="6">
        <f>DATA!K3</f>
        <v>1</v>
      </c>
      <c r="J13" s="38"/>
      <c r="K13" s="39"/>
      <c r="L13" s="39"/>
      <c r="M13" s="40"/>
      <c r="N13" s="41" t="str">
        <f>DATA!L3</f>
        <v>Toll Road Development in Kalimantan, Sumatera, and Java Islands</v>
      </c>
      <c r="O13" s="42">
        <f>DATA!Q3</f>
        <v>0.5</v>
      </c>
      <c r="P13" s="42">
        <f>DATA!R3</f>
        <v>0</v>
      </c>
      <c r="Q13" s="42">
        <f>DATA!S3</f>
        <v>0</v>
      </c>
      <c r="R13" s="83">
        <f>DATA!T3</f>
        <v>0</v>
      </c>
      <c r="S13" s="83">
        <f>DATA!U3</f>
        <v>0</v>
      </c>
      <c r="T13" s="83">
        <f>DATA!V3</f>
        <v>0</v>
      </c>
      <c r="U13" s="83">
        <f>DATA!W3</f>
        <v>0</v>
      </c>
      <c r="V13" s="83">
        <f>DATA!X3</f>
        <v>0</v>
      </c>
      <c r="W13" s="84" t="str">
        <f>DATA!Y3</f>
        <v>RRT</v>
      </c>
      <c r="X13" s="42" t="str">
        <f>DATA!Z3</f>
        <v>Bilateral</v>
      </c>
      <c r="Y13" s="83">
        <f>DATA!AA3</f>
        <v>1000000000</v>
      </c>
      <c r="Z13" s="83">
        <f>DATA!AG3</f>
        <v>0</v>
      </c>
      <c r="AA13" s="42">
        <f>DATA!AH3</f>
        <v>2016</v>
      </c>
      <c r="AB13" s="67" t="str">
        <f>DATA!AI3</f>
        <v>-</v>
      </c>
      <c r="AC13" s="152" t="str">
        <f>DATA!AM3</f>
        <v>-</v>
      </c>
      <c r="AD13" s="152" t="str">
        <f>DATA!AN3</f>
        <v>siap</v>
      </c>
      <c r="AE13" s="152" t="str">
        <f>DATA!AO3</f>
        <v>dalam proses
(pelaksanaan &lt; 50%)</v>
      </c>
      <c r="AF13" s="67" t="str">
        <f>DATA!AJ3</f>
        <v>FS, AMDAL, LARAP</v>
      </c>
      <c r="AG13" s="67" t="str">
        <f>DATA!AK3</f>
        <v>(1) Cisumdawu I: 80 %
(2) Serang-Panimbang: 25%</v>
      </c>
      <c r="AH13" s="67" t="str">
        <f>DATA!AL3</f>
        <v>-</v>
      </c>
      <c r="AI13" s="42" t="str">
        <f>DATA!AM3</f>
        <v>-</v>
      </c>
      <c r="AJ13" s="42" t="str">
        <f>DATA!AN3</f>
        <v>siap</v>
      </c>
      <c r="AK13" s="42" t="str">
        <f>DATA!AO3</f>
        <v>dalam proses
(pelaksanaan &lt; 50%)</v>
      </c>
      <c r="AL13" s="42" t="str">
        <f>DATA!AP3</f>
        <v>belum ada proses tender/lelang</v>
      </c>
      <c r="AM13" s="42" t="str">
        <f>DATA!AY3</f>
        <v>- Konfirmasi melalui surat Sekjen nomor KU.01.12-Sj/636 tgl 23 Oktober 2015
- Terdiri dari 3 kegiatan: (1) seksi 1 (Ruas Cisumdawu I); (2) Serang-Panimbang; (3) Belum ditentukan
- Prioritas ruas Cisumdawu I</v>
      </c>
      <c r="AN13" s="42" t="e">
        <f>DATA!#REF!</f>
        <v>#REF!</v>
      </c>
      <c r="AO13" s="42">
        <f>DATA!AZ3</f>
        <v>0</v>
      </c>
      <c r="AP13" s="152" t="e">
        <f>DATA!#REF!</f>
        <v>#REF!</v>
      </c>
      <c r="AQ13" s="67" t="str">
        <f>DATA!BA3</f>
        <v>Pembangunan jalan tol di provinsi Kalimantan Timur, Banten, dan Sumatera Utara dengan panjang sekitar 150 km</v>
      </c>
    </row>
    <row r="14" spans="1:43" s="6" customFormat="1" ht="45.75" customHeight="1">
      <c r="A14" s="6">
        <f>DATA!A4</f>
        <v>2</v>
      </c>
      <c r="B14" s="6">
        <f>DATA!B4</f>
        <v>0</v>
      </c>
      <c r="C14" s="6" t="str">
        <f>DATA!D4</f>
        <v>INFRASTRUKTUR</v>
      </c>
      <c r="D14" s="6">
        <f>DATA!E4</f>
        <v>1</v>
      </c>
      <c r="E14" s="6" t="str">
        <f>DATA!F4</f>
        <v>Kementerian Pekerjaan Umum dan Perumahan Rakyat</v>
      </c>
      <c r="F14" s="6" t="str">
        <f>DATA!H4</f>
        <v>Toll Road Development Program</v>
      </c>
      <c r="G14" s="6" t="str">
        <f>DATA!I4</f>
        <v>A</v>
      </c>
      <c r="H14" s="6" t="str">
        <f>DATA!J4</f>
        <v xml:space="preserve">Program Pembangunan Jalan Tol </v>
      </c>
      <c r="I14" s="6">
        <f>DATA!K4</f>
        <v>1</v>
      </c>
      <c r="J14" s="38"/>
      <c r="K14" s="39"/>
      <c r="L14" s="39"/>
      <c r="M14" s="43"/>
      <c r="N14" s="41" t="str">
        <f>DATA!L4</f>
        <v>Toll Road Development in Kalimantan, Sumatera, and Java Islands</v>
      </c>
      <c r="O14" s="42">
        <f>DATA!Q4</f>
        <v>0.5</v>
      </c>
      <c r="P14" s="42">
        <f>DATA!R4</f>
        <v>0</v>
      </c>
      <c r="Q14" s="42">
        <f>DATA!S4</f>
        <v>0</v>
      </c>
      <c r="R14" s="83">
        <f>DATA!T4</f>
        <v>0</v>
      </c>
      <c r="S14" s="83">
        <f>DATA!U4</f>
        <v>0</v>
      </c>
      <c r="T14" s="83">
        <f>DATA!V4</f>
        <v>0</v>
      </c>
      <c r="U14" s="83">
        <f>DATA!W4</f>
        <v>0</v>
      </c>
      <c r="V14" s="83">
        <f>DATA!X4</f>
        <v>0</v>
      </c>
      <c r="W14" s="84" t="str">
        <f>DATA!Y4</f>
        <v>Korea</v>
      </c>
      <c r="X14" s="42" t="str">
        <f>DATA!Z4</f>
        <v>Bilateral</v>
      </c>
      <c r="Y14" s="83">
        <f>DATA!AA4</f>
        <v>250000000</v>
      </c>
      <c r="Z14" s="83">
        <f>DATA!AG4</f>
        <v>0</v>
      </c>
      <c r="AA14" s="42">
        <f>DATA!AH4</f>
        <v>2016</v>
      </c>
      <c r="AB14" s="67" t="str">
        <f>DATA!AI4</f>
        <v>-</v>
      </c>
      <c r="AC14" s="152" t="str">
        <f>DATA!AM4</f>
        <v>-</v>
      </c>
      <c r="AD14" s="152" t="str">
        <f>DATA!AN4</f>
        <v>siap</v>
      </c>
      <c r="AE14" s="152" t="str">
        <f>DATA!AO4</f>
        <v>dalam proses
(pelaksanaan &lt; 50%)</v>
      </c>
      <c r="AF14" s="67" t="str">
        <f>DATA!AJ4</f>
        <v>FS, AMDAL, LARAP</v>
      </c>
      <c r="AG14" s="67" t="str">
        <f>DATA!AK4</f>
        <v>(1) Cisumdawu I: 80 %
(2) Serang-Panimbang: 25%</v>
      </c>
      <c r="AH14" s="67" t="str">
        <f>DATA!AL4</f>
        <v>-</v>
      </c>
      <c r="AI14" s="42" t="str">
        <f>DATA!AM4</f>
        <v>-</v>
      </c>
      <c r="AJ14" s="42" t="str">
        <f>DATA!AN4</f>
        <v>siap</v>
      </c>
      <c r="AK14" s="42" t="str">
        <f>DATA!AO4</f>
        <v>dalam proses
(pelaksanaan &lt; 50%)</v>
      </c>
      <c r="AL14" s="42" t="str">
        <f>DATA!AP4</f>
        <v>belum ada proses tender/lelang</v>
      </c>
      <c r="AM14" s="42" t="str">
        <f>DATA!AY4</f>
        <v>- Konfirmasi melalui surat Sekjen nomor KU.01.12-Sj/636 tgl 23 Oktober 2015
- Terdiri dari 3 kegiatan: (1) seksi 1 (Ruas Cisumdawu I); (2) Serang-Panimbang; (3) Belum ditentukan
- Prioritas ruas Cisumdawu I</v>
      </c>
      <c r="AN14" s="42" t="e">
        <f>DATA!#REF!</f>
        <v>#REF!</v>
      </c>
      <c r="AO14" s="42">
        <f>DATA!AZ4</f>
        <v>0</v>
      </c>
      <c r="AP14" s="152" t="e">
        <f>DATA!#REF!</f>
        <v>#REF!</v>
      </c>
      <c r="AQ14" s="67" t="str">
        <f>DATA!BA4</f>
        <v>Pembangunan jalan tol di provinsi Kalimantan Timur, Banten, dan Sumatera Utara dengan panjang sekitar 150 km</v>
      </c>
    </row>
    <row r="15" spans="1:43" ht="29.25" customHeight="1">
      <c r="A15" s="10">
        <f>DATA!A5</f>
        <v>3</v>
      </c>
      <c r="B15" s="10">
        <f>DATA!B5</f>
        <v>0</v>
      </c>
      <c r="C15" s="10" t="str">
        <f>DATA!D5</f>
        <v>INFRASTRUKTUR</v>
      </c>
      <c r="D15" s="10">
        <f>DATA!E5</f>
        <v>1</v>
      </c>
      <c r="E15" s="10" t="str">
        <f>DATA!F5</f>
        <v>Kementerian Pekerjaan Umum dan Perumahan Rakyat</v>
      </c>
      <c r="F15" s="10" t="str">
        <f>DATA!H5</f>
        <v>Toll Road Development Program</v>
      </c>
      <c r="G15" s="10" t="str">
        <f>DATA!I5</f>
        <v>A</v>
      </c>
      <c r="H15" s="10" t="str">
        <f>DATA!J5</f>
        <v xml:space="preserve">Program Pembangunan Jalan Tol </v>
      </c>
      <c r="I15" s="10">
        <f>DATA!K5</f>
        <v>2</v>
      </c>
      <c r="J15" s="33"/>
      <c r="K15" s="34"/>
      <c r="L15" s="34"/>
      <c r="M15" s="36">
        <f>DATA!K5</f>
        <v>2</v>
      </c>
      <c r="N15" s="37" t="str">
        <f>DATA!L5</f>
        <v>Toll Road Development in Selected Area:</v>
      </c>
      <c r="O15" s="20">
        <f>DATA!Q5</f>
        <v>0</v>
      </c>
      <c r="P15" s="20">
        <f>DATA!R5</f>
        <v>0</v>
      </c>
      <c r="Q15" s="20">
        <f>DATA!S5</f>
        <v>0</v>
      </c>
      <c r="R15" s="77">
        <f>DATA!T5</f>
        <v>775000000</v>
      </c>
      <c r="S15" s="83">
        <f>DATA!U5</f>
        <v>775000000</v>
      </c>
      <c r="T15" s="77">
        <f>DATA!V5</f>
        <v>72400000</v>
      </c>
      <c r="U15" s="77">
        <f>DATA!W5</f>
        <v>0</v>
      </c>
      <c r="V15" s="77">
        <f>DATA!X5</f>
        <v>847400000</v>
      </c>
      <c r="W15" s="78" t="str">
        <f>DATA!Y5</f>
        <v>-</v>
      </c>
      <c r="X15" s="20">
        <f>DATA!Z5</f>
        <v>0</v>
      </c>
      <c r="Y15" s="77">
        <f>DATA!AA5</f>
        <v>775000000</v>
      </c>
      <c r="Z15" s="77">
        <f>DATA!AG5</f>
        <v>0</v>
      </c>
      <c r="AA15" s="20" t="str">
        <f>DATA!AH5</f>
        <v>-</v>
      </c>
      <c r="AB15" s="37" t="str">
        <f>DATA!AI5</f>
        <v>-</v>
      </c>
      <c r="AC15" s="152" t="str">
        <f>DATA!AM5</f>
        <v>-</v>
      </c>
      <c r="AD15" s="152">
        <f>DATA!AN5</f>
        <v>0</v>
      </c>
      <c r="AE15" s="152" t="str">
        <f>DATA!AO5</f>
        <v>-</v>
      </c>
      <c r="AF15" s="37" t="str">
        <f>DATA!AJ5</f>
        <v>-</v>
      </c>
      <c r="AG15" s="37" t="str">
        <f>DATA!AK5</f>
        <v>-</v>
      </c>
      <c r="AH15" s="37" t="str">
        <f>DATA!AL5</f>
        <v>-</v>
      </c>
      <c r="AI15" s="20" t="str">
        <f>DATA!AM5</f>
        <v>-</v>
      </c>
      <c r="AJ15" s="20">
        <f>DATA!AN5</f>
        <v>0</v>
      </c>
      <c r="AK15" s="20" t="str">
        <f>DATA!AO5</f>
        <v>-</v>
      </c>
      <c r="AL15" s="20">
        <f>DATA!AP5</f>
        <v>0</v>
      </c>
      <c r="AM15" s="20" t="str">
        <f>DATA!AY5</f>
        <v>Konfirmasi melalui surat Sekjen nomor KU.01.12-Sj/636 tgl 23 Oktober 2015</v>
      </c>
      <c r="AN15" s="20" t="e">
        <f>DATA!#REF!</f>
        <v>#REF!</v>
      </c>
      <c r="AO15" s="20">
        <f>DATA!AZ5</f>
        <v>0</v>
      </c>
      <c r="AP15" s="152" t="e">
        <f>DATA!#REF!</f>
        <v>#REF!</v>
      </c>
      <c r="AQ15" s="37" t="str">
        <f>DATA!BA5</f>
        <v>Pembangunan jalan tol di berbagai wilayah dengan total sepanjang 55,94 km</v>
      </c>
    </row>
    <row r="16" spans="1:43" s="6" customFormat="1" ht="57" customHeight="1">
      <c r="A16" s="6">
        <f>DATA!A6</f>
        <v>4</v>
      </c>
      <c r="B16" s="6">
        <f>DATA!B6</f>
        <v>0</v>
      </c>
      <c r="C16" s="6" t="str">
        <f>DATA!D6</f>
        <v>INFRASTRUKTUR</v>
      </c>
      <c r="D16" s="6">
        <f>DATA!E6</f>
        <v>1</v>
      </c>
      <c r="E16" s="6" t="str">
        <f>DATA!F6</f>
        <v>Kementerian Pekerjaan Umum dan Perumahan Rakyat</v>
      </c>
      <c r="F16" s="6" t="str">
        <f>DATA!H6</f>
        <v>Toll Road Development Program</v>
      </c>
      <c r="G16" s="6" t="str">
        <f>DATA!I6</f>
        <v>A</v>
      </c>
      <c r="H16" s="6" t="str">
        <f>DATA!J6</f>
        <v xml:space="preserve">Program Pembangunan Jalan Tol </v>
      </c>
      <c r="I16" s="6">
        <f>DATA!K6</f>
        <v>2</v>
      </c>
      <c r="J16" s="38"/>
      <c r="K16" s="39"/>
      <c r="L16" s="39"/>
      <c r="M16" s="72"/>
      <c r="N16" s="41" t="str">
        <f>DATA!L6</f>
        <v>Development of Cileunyi - Sumedang - Dawuan Toll Road Phase II</v>
      </c>
      <c r="O16" s="42">
        <f>DATA!Q6</f>
        <v>1</v>
      </c>
      <c r="P16" s="42">
        <f>DATA!R6</f>
        <v>1</v>
      </c>
      <c r="Q16" s="42">
        <f>DATA!S6</f>
        <v>2</v>
      </c>
      <c r="R16" s="83">
        <f>DATA!T6</f>
        <v>330000000</v>
      </c>
      <c r="S16" s="83">
        <f>DATA!U6</f>
        <v>330000000</v>
      </c>
      <c r="T16" s="83">
        <f>DATA!V6</f>
        <v>26000000</v>
      </c>
      <c r="U16" s="83">
        <f>DATA!W6</f>
        <v>0</v>
      </c>
      <c r="V16" s="83">
        <f>DATA!X6</f>
        <v>356000000</v>
      </c>
      <c r="W16" s="84" t="str">
        <f>DATA!Y6</f>
        <v>RRT</v>
      </c>
      <c r="X16" s="42" t="str">
        <f>DATA!Z6</f>
        <v>Bilateral</v>
      </c>
      <c r="Y16" s="83">
        <f>DATA!AA6</f>
        <v>330000000</v>
      </c>
      <c r="Z16" s="83">
        <f>DATA!AG6</f>
        <v>0</v>
      </c>
      <c r="AA16" s="42">
        <f>DATA!AH6</f>
        <v>2015</v>
      </c>
      <c r="AB16" s="67" t="str">
        <f>DATA!AI6</f>
        <v>- Sudah ada R/C
- Green Book 2015
- Proses LA</v>
      </c>
      <c r="AC16" s="152" t="str">
        <f>DATA!AR6</f>
        <v>Nilai pinjaman di:
- GB 16 USD 219.399 ribu
- GB 15 USD 235.000 ribu</v>
      </c>
      <c r="AD16" s="152" t="str">
        <f>DATA!AN6</f>
        <v>(memiliki FS dan DED)</v>
      </c>
      <c r="AE16" s="152" t="str">
        <f>DATA!AO6</f>
        <v>dalam proses
(pelaksanaan 80%)</v>
      </c>
      <c r="AF16" s="67" t="str">
        <f>DATA!AJ6</f>
        <v>FS, DED</v>
      </c>
      <c r="AG16" s="115">
        <f>DATA!AK6</f>
        <v>0.80200000000000005</v>
      </c>
      <c r="AH16" s="67" t="str">
        <f>DATA!AL6</f>
        <v>Kontrak sudah ditandatangani</v>
      </c>
      <c r="AI16" s="42" t="str">
        <f>DATA!AR6</f>
        <v>Nilai pinjaman di:
- GB 16 USD 219.399 ribu
- GB 15 USD 235.000 ribu</v>
      </c>
      <c r="AJ16" s="42" t="str">
        <f>DATA!AN6</f>
        <v>(memiliki FS dan DED)</v>
      </c>
      <c r="AK16" s="42" t="str">
        <f>DATA!AO6</f>
        <v>dalam proses
(pelaksanaan 80%)</v>
      </c>
      <c r="AL16" s="42" t="str">
        <f>DATA!AP6</f>
        <v>dalam proses tender/lelang</v>
      </c>
      <c r="AM16" s="42" t="str">
        <f>DATA!AY6</f>
        <v>Konfirmasi melalui surat Sekjen nomor KU.01.12-Sj/636 tgl 23 Oktober 2015</v>
      </c>
      <c r="AN16" s="42" t="e">
        <f>DATA!#REF!</f>
        <v>#REF!</v>
      </c>
      <c r="AO16" s="42">
        <f>DATA!AZ6</f>
        <v>0</v>
      </c>
      <c r="AP16" s="152" t="e">
        <f>DATA!#REF!</f>
        <v>#REF!</v>
      </c>
      <c r="AQ16" s="67" t="str">
        <f>DATA!BA6</f>
        <v>- Pembangunan jalan tol Cileunyi-Sumedang-Dawuan sepanjang 11,1 km 
- Pelayanan konsultasi untuk DED dan pengawasan konstruksi</v>
      </c>
    </row>
    <row r="17" spans="1:43" s="6" customFormat="1" ht="36.75" customHeight="1">
      <c r="A17" s="6">
        <f>DATA!A7</f>
        <v>5</v>
      </c>
      <c r="B17" s="6">
        <f>DATA!B7</f>
        <v>0</v>
      </c>
      <c r="C17" s="6" t="str">
        <f>DATA!D7</f>
        <v>INFRASTRUKTUR</v>
      </c>
      <c r="D17" s="6">
        <f>DATA!E7</f>
        <v>1</v>
      </c>
      <c r="E17" s="6" t="str">
        <f>DATA!F7</f>
        <v>Kementerian Pekerjaan Umum dan Perumahan Rakyat</v>
      </c>
      <c r="F17" s="6" t="str">
        <f>DATA!H7</f>
        <v>Toll Road Development Program</v>
      </c>
      <c r="G17" s="6" t="str">
        <f>DATA!I7</f>
        <v>A</v>
      </c>
      <c r="H17" s="6" t="str">
        <f>DATA!J7</f>
        <v xml:space="preserve">Program Pembangunan Jalan Tol </v>
      </c>
      <c r="I17" s="6">
        <f>DATA!K7</f>
        <v>2</v>
      </c>
      <c r="J17" s="38"/>
      <c r="K17" s="39"/>
      <c r="L17" s="39"/>
      <c r="M17" s="72"/>
      <c r="N17" s="41" t="str">
        <f>DATA!L7</f>
        <v xml:space="preserve">Toll Road Development of Balikpapan - Samarinda </v>
      </c>
      <c r="O17" s="42">
        <f>DATA!Q7</f>
        <v>1</v>
      </c>
      <c r="P17" s="42">
        <f>DATA!R7</f>
        <v>1</v>
      </c>
      <c r="Q17" s="42">
        <f>DATA!S7</f>
        <v>3</v>
      </c>
      <c r="R17" s="83">
        <f>DATA!T7</f>
        <v>65000000</v>
      </c>
      <c r="S17" s="83">
        <f>DATA!U7</f>
        <v>65000000</v>
      </c>
      <c r="T17" s="83">
        <f>DATA!V7</f>
        <v>6500000</v>
      </c>
      <c r="U17" s="83">
        <f>DATA!W7</f>
        <v>0</v>
      </c>
      <c r="V17" s="83">
        <f>DATA!X7</f>
        <v>71500000</v>
      </c>
      <c r="W17" s="84" t="str">
        <f>DATA!Y7</f>
        <v>RRT</v>
      </c>
      <c r="X17" s="42" t="str">
        <f>DATA!Z7</f>
        <v>Bilateral</v>
      </c>
      <c r="Y17" s="83">
        <f>DATA!AA7</f>
        <v>65000000</v>
      </c>
      <c r="Z17" s="83">
        <f>DATA!AG7</f>
        <v>0</v>
      </c>
      <c r="AA17" s="42">
        <f>DATA!AH7</f>
        <v>2015</v>
      </c>
      <c r="AB17" s="67" t="str">
        <f>DATA!AI7</f>
        <v>- Sudah ada R/C
- Green Book 2015
- Loan Agreement tgl 29 Des'15</v>
      </c>
      <c r="AC17" s="152" t="str">
        <f>DATA!AR7</f>
        <v>Nilai pinjaman di GB USD 65.000 ribu</v>
      </c>
      <c r="AD17" s="152" t="str">
        <f>DATA!AN7</f>
        <v>(memiliki FS dan DED)</v>
      </c>
      <c r="AE17" s="152" t="str">
        <f>DATA!AO7</f>
        <v>dalam proses
(pelaksanaan 55%)</v>
      </c>
      <c r="AF17" s="67" t="str">
        <f>DATA!AJ7</f>
        <v>FS, DED</v>
      </c>
      <c r="AG17" s="115">
        <f>DATA!AK7</f>
        <v>0.55200000000000005</v>
      </c>
      <c r="AH17" s="67" t="str">
        <f>DATA!AL7</f>
        <v>Kontrak sudah ditandatangani</v>
      </c>
      <c r="AI17" s="42" t="str">
        <f>DATA!AR7</f>
        <v>Nilai pinjaman di GB USD 65.000 ribu</v>
      </c>
      <c r="AJ17" s="42" t="str">
        <f>DATA!AN7</f>
        <v>(memiliki FS dan DED)</v>
      </c>
      <c r="AK17" s="42" t="str">
        <f>DATA!AO7</f>
        <v>dalam proses
(pelaksanaan 55%)</v>
      </c>
      <c r="AL17" s="42" t="str">
        <f>DATA!AP7</f>
        <v>dalam proses tender/lelang</v>
      </c>
      <c r="AM17" s="42" t="str">
        <f>DATA!AY7</f>
        <v>Konfirmasi melalui surat Sekjen nomor KU.01.12-Sj/636 tgl 23 Oktober 2015</v>
      </c>
      <c r="AN17" s="42" t="e">
        <f>DATA!#REF!</f>
        <v>#REF!</v>
      </c>
      <c r="AO17" s="42">
        <f>DATA!AZ7</f>
        <v>0</v>
      </c>
      <c r="AP17" s="152" t="e">
        <f>DATA!#REF!</f>
        <v>#REF!</v>
      </c>
      <c r="AQ17" s="67" t="str">
        <f>DATA!BA7</f>
        <v xml:space="preserve">Pembangunan jalan tol Balikpapan-Samarinda sepanjang 11,09 km </v>
      </c>
    </row>
    <row r="18" spans="1:43" s="6" customFormat="1" ht="33" customHeight="1">
      <c r="A18" s="6">
        <f>DATA!A8</f>
        <v>6</v>
      </c>
      <c r="B18" s="6">
        <f>DATA!B8</f>
        <v>0</v>
      </c>
      <c r="C18" s="6" t="str">
        <f>DATA!D8</f>
        <v>INFRASTRUKTUR</v>
      </c>
      <c r="D18" s="6">
        <f>DATA!E8</f>
        <v>1</v>
      </c>
      <c r="E18" s="6" t="str">
        <f>DATA!F8</f>
        <v>Kementerian Pekerjaan Umum dan Perumahan Rakyat</v>
      </c>
      <c r="F18" s="6" t="str">
        <f>DATA!H8</f>
        <v>Toll Road Development Program</v>
      </c>
      <c r="G18" s="6" t="str">
        <f>DATA!I8</f>
        <v>A</v>
      </c>
      <c r="H18" s="6" t="str">
        <f>DATA!J8</f>
        <v xml:space="preserve">Program Pembangunan Jalan Tol </v>
      </c>
      <c r="I18" s="6">
        <f>DATA!K8</f>
        <v>2</v>
      </c>
      <c r="J18" s="38"/>
      <c r="K18" s="39"/>
      <c r="L18" s="39"/>
      <c r="M18" s="72"/>
      <c r="N18" s="41" t="str">
        <f>DATA!L8</f>
        <v xml:space="preserve">Toll Road Development of Manado - Bitung </v>
      </c>
      <c r="O18" s="42">
        <f>DATA!Q8</f>
        <v>1</v>
      </c>
      <c r="P18" s="42">
        <f>DATA!R8</f>
        <v>1</v>
      </c>
      <c r="Q18" s="42">
        <f>DATA!S8</f>
        <v>4</v>
      </c>
      <c r="R18" s="83">
        <f>DATA!T8</f>
        <v>80000000</v>
      </c>
      <c r="S18" s="83">
        <f>DATA!U8</f>
        <v>80000000</v>
      </c>
      <c r="T18" s="83">
        <f>DATA!V8</f>
        <v>8000000</v>
      </c>
      <c r="U18" s="83">
        <f>DATA!W8</f>
        <v>0</v>
      </c>
      <c r="V18" s="83">
        <f>DATA!X8</f>
        <v>88000000</v>
      </c>
      <c r="W18" s="84" t="str">
        <f>DATA!Y8</f>
        <v>RRT</v>
      </c>
      <c r="X18" s="42" t="str">
        <f>DATA!Z8</f>
        <v>Bilateral</v>
      </c>
      <c r="Y18" s="83">
        <f>DATA!AA8</f>
        <v>80000000</v>
      </c>
      <c r="Z18" s="83">
        <f>DATA!AG8</f>
        <v>0</v>
      </c>
      <c r="AA18" s="42">
        <f>DATA!AH8</f>
        <v>2015</v>
      </c>
      <c r="AB18" s="67" t="str">
        <f>DATA!AI8</f>
        <v>- Sudah ada R/C
- Green Book 2015
- Proses LA</v>
      </c>
      <c r="AC18" s="152" t="str">
        <f>DATA!AR8</f>
        <v>Nilai pinjaman di: 
- GB 16 USD 78.100 ribu
- GB 15 USD 80.000 ribu</v>
      </c>
      <c r="AD18" s="152" t="str">
        <f>DATA!AN8</f>
        <v>(memiliki FS dan DED)</v>
      </c>
      <c r="AE18" s="152" t="str">
        <f>DATA!AO8</f>
        <v>dalam proses
(pelaksanaan 94%)</v>
      </c>
      <c r="AF18" s="67" t="str">
        <f>DATA!AJ8</f>
        <v>FS, DED</v>
      </c>
      <c r="AG18" s="115">
        <f>DATA!AK8</f>
        <v>0.93840000000000001</v>
      </c>
      <c r="AH18" s="67" t="str">
        <f>DATA!AL8</f>
        <v>Kontrak sudah ditandatangani</v>
      </c>
      <c r="AI18" s="42" t="str">
        <f>DATA!AR8</f>
        <v>Nilai pinjaman di: 
- GB 16 USD 78.100 ribu
- GB 15 USD 80.000 ribu</v>
      </c>
      <c r="AJ18" s="42" t="str">
        <f>DATA!AN8</f>
        <v>(memiliki FS dan DED)</v>
      </c>
      <c r="AK18" s="42" t="str">
        <f>DATA!AO8</f>
        <v>dalam proses
(pelaksanaan 94%)</v>
      </c>
      <c r="AL18" s="42" t="str">
        <f>DATA!AP8</f>
        <v>dalam proses tender/lelang</v>
      </c>
      <c r="AM18" s="42" t="str">
        <f>DATA!AY8</f>
        <v>Konfirmasi melalui surat Sekjen nomor KU.01.12-Sj/636 tgl 23 Oktober 2015</v>
      </c>
      <c r="AN18" s="42" t="e">
        <f>DATA!#REF!</f>
        <v>#REF!</v>
      </c>
      <c r="AO18" s="42">
        <f>DATA!AZ8</f>
        <v>0</v>
      </c>
      <c r="AP18" s="152" t="e">
        <f>DATA!#REF!</f>
        <v>#REF!</v>
      </c>
      <c r="AQ18" s="67" t="str">
        <f>DATA!BA8</f>
        <v xml:space="preserve">Pembangunan jalan tol Manado-Bitung sepanjang 7,3 km </v>
      </c>
    </row>
    <row r="19" spans="1:43" s="6" customFormat="1" ht="34.5" customHeight="1">
      <c r="A19" s="6">
        <f>DATA!A9</f>
        <v>7</v>
      </c>
      <c r="B19" s="6">
        <f>DATA!B9</f>
        <v>0</v>
      </c>
      <c r="C19" s="6" t="str">
        <f>DATA!D9</f>
        <v>INFRASTRUKTUR</v>
      </c>
      <c r="D19" s="6">
        <f>DATA!E9</f>
        <v>1</v>
      </c>
      <c r="E19" s="6" t="str">
        <f>DATA!F9</f>
        <v>Kementerian Pekerjaan Umum dan Perumahan Rakyat</v>
      </c>
      <c r="F19" s="6" t="str">
        <f>DATA!H9</f>
        <v>Toll Road Development Program</v>
      </c>
      <c r="G19" s="6" t="str">
        <f>DATA!I9</f>
        <v>A</v>
      </c>
      <c r="H19" s="6" t="str">
        <f>DATA!J9</f>
        <v xml:space="preserve">Program Pembangunan Jalan Tol </v>
      </c>
      <c r="I19" s="6">
        <f>DATA!K9</f>
        <v>2</v>
      </c>
      <c r="J19" s="38"/>
      <c r="K19" s="39"/>
      <c r="L19" s="39"/>
      <c r="M19" s="40"/>
      <c r="N19" s="126" t="str">
        <f>DATA!L9</f>
        <v xml:space="preserve">Toll Road Development of Solo - Kertosono </v>
      </c>
      <c r="O19" s="42">
        <f>DATA!Q9</f>
        <v>1</v>
      </c>
      <c r="P19" s="42">
        <f>DATA!R9</f>
        <v>1</v>
      </c>
      <c r="Q19" s="42">
        <f>DATA!S9</f>
        <v>5</v>
      </c>
      <c r="R19" s="83">
        <f>DATA!T9</f>
        <v>300000000</v>
      </c>
      <c r="S19" s="83">
        <f>DATA!U9</f>
        <v>300000000</v>
      </c>
      <c r="T19" s="83">
        <f>DATA!V9</f>
        <v>31900000</v>
      </c>
      <c r="U19" s="83">
        <f>DATA!W9</f>
        <v>0</v>
      </c>
      <c r="V19" s="83">
        <f>DATA!X9</f>
        <v>331900000</v>
      </c>
      <c r="W19" s="84" t="str">
        <f>DATA!Y9</f>
        <v>RRT</v>
      </c>
      <c r="X19" s="42" t="str">
        <f>DATA!Z9</f>
        <v>Bilateral</v>
      </c>
      <c r="Y19" s="83">
        <f>DATA!AA9</f>
        <v>300000000</v>
      </c>
      <c r="Z19" s="83">
        <f>DATA!AG9</f>
        <v>0</v>
      </c>
      <c r="AA19" s="42">
        <f>DATA!AH9</f>
        <v>2015</v>
      </c>
      <c r="AB19" s="67" t="str">
        <f>DATA!AI9</f>
        <v>- Sudah ada R/C
- Green Book 2015
- Loan Agreement tgl 29 Des'15</v>
      </c>
      <c r="AC19" s="152" t="str">
        <f>DATA!AR9</f>
        <v>Nilai pinjaman di GB USD 200.000 ribu</v>
      </c>
      <c r="AD19" s="152" t="str">
        <f>DATA!AN9</f>
        <v>(memiliki FS dan DED)</v>
      </c>
      <c r="AE19" s="152" t="str">
        <f>DATA!AO9</f>
        <v>dalam proses
(pelaksanaan 62%)</v>
      </c>
      <c r="AF19" s="67" t="str">
        <f>DATA!AJ9</f>
        <v>FS, DED</v>
      </c>
      <c r="AG19" s="115">
        <f>DATA!AK9</f>
        <v>0.62229999999999996</v>
      </c>
      <c r="AH19" s="67" t="str">
        <f>DATA!AL9</f>
        <v>Kontrak sudah ditandatangani</v>
      </c>
      <c r="AI19" s="42" t="str">
        <f>DATA!AR9</f>
        <v>Nilai pinjaman di GB USD 200.000 ribu</v>
      </c>
      <c r="AJ19" s="42" t="str">
        <f>DATA!AN9</f>
        <v>(memiliki FS dan DED)</v>
      </c>
      <c r="AK19" s="42" t="str">
        <f>DATA!AO9</f>
        <v>dalam proses
(pelaksanaan 62%)</v>
      </c>
      <c r="AL19" s="42" t="str">
        <f>DATA!AP9</f>
        <v>dalam proses tender/lelang</v>
      </c>
      <c r="AM19" s="42" t="str">
        <f>DATA!AY9</f>
        <v>Konfirmasi melalui surat Sekjen nomor KU.01.12-Sj/636 tgl 23 Oktober 2015</v>
      </c>
      <c r="AN19" s="42" t="e">
        <f>DATA!#REF!</f>
        <v>#REF!</v>
      </c>
      <c r="AO19" s="42">
        <f>DATA!AZ9</f>
        <v>0</v>
      </c>
      <c r="AP19" s="152" t="e">
        <f>DATA!#REF!</f>
        <v>#REF!</v>
      </c>
      <c r="AQ19" s="67" t="str">
        <f>DATA!BA9</f>
        <v xml:space="preserve">Pembangunan jalan tol Solo-Kertosono sepanjang 26,45 km </v>
      </c>
    </row>
    <row r="20" spans="1:43" s="5" customFormat="1" ht="33.75" customHeight="1">
      <c r="J20" s="28"/>
      <c r="K20" s="50"/>
      <c r="L20" s="30" t="str">
        <f>DATA!I10</f>
        <v>B</v>
      </c>
      <c r="M20" s="31" t="str">
        <f>DATA!J10</f>
        <v xml:space="preserve">Program Pembangunan / Peningkatan Jembatan </v>
      </c>
      <c r="N20" s="51"/>
      <c r="O20" s="31"/>
      <c r="P20" s="31"/>
      <c r="Q20" s="31"/>
      <c r="R20" s="81">
        <f>SUM(R21:R25)</f>
        <v>1500000000</v>
      </c>
      <c r="S20" s="81">
        <f>SUM(S21:S25)</f>
        <v>1500000000</v>
      </c>
      <c r="T20" s="81">
        <f t="shared" ref="T20:Z20" si="0">SUM(T21:T25)</f>
        <v>126500000</v>
      </c>
      <c r="U20" s="81">
        <f t="shared" si="0"/>
        <v>0</v>
      </c>
      <c r="V20" s="81">
        <f t="shared" si="0"/>
        <v>1626500000</v>
      </c>
      <c r="W20" s="81"/>
      <c r="X20" s="81">
        <f t="shared" si="0"/>
        <v>0</v>
      </c>
      <c r="Y20" s="81">
        <f t="shared" si="0"/>
        <v>1500000000</v>
      </c>
      <c r="Z20" s="81">
        <f t="shared" si="0"/>
        <v>0</v>
      </c>
      <c r="AA20" s="31"/>
      <c r="AB20" s="32"/>
      <c r="AC20" s="32"/>
      <c r="AD20" s="32"/>
      <c r="AE20" s="32"/>
      <c r="AF20" s="32"/>
      <c r="AG20" s="32"/>
      <c r="AH20" s="32"/>
      <c r="AI20" s="31"/>
      <c r="AJ20" s="31"/>
      <c r="AK20" s="31"/>
      <c r="AL20" s="31"/>
      <c r="AM20" s="31"/>
      <c r="AN20" s="31"/>
      <c r="AO20" s="31"/>
      <c r="AP20" s="32"/>
      <c r="AQ20" s="32"/>
    </row>
    <row r="21" spans="1:43" ht="45" customHeight="1">
      <c r="A21" s="10">
        <f>DATA!A10</f>
        <v>8</v>
      </c>
      <c r="B21" s="10">
        <f>DATA!B10</f>
        <v>0</v>
      </c>
      <c r="C21" s="10" t="str">
        <f>DATA!D10</f>
        <v>INFRASTRUKTUR</v>
      </c>
      <c r="D21" s="10">
        <f>DATA!E10</f>
        <v>1</v>
      </c>
      <c r="E21" s="10" t="str">
        <f>DATA!F10</f>
        <v>Kementerian Pekerjaan Umum dan Perumahan Rakyat</v>
      </c>
      <c r="F21" s="10" t="str">
        <f>DATA!H10</f>
        <v>Development and Improvement of National Bridges Program</v>
      </c>
      <c r="G21" s="10" t="str">
        <f>DATA!I10</f>
        <v>B</v>
      </c>
      <c r="H21" s="10" t="str">
        <f>DATA!J10</f>
        <v xml:space="preserve">Program Pembangunan / Peningkatan Jembatan </v>
      </c>
      <c r="I21" s="10">
        <f>DATA!K10</f>
        <v>1</v>
      </c>
      <c r="J21" s="33"/>
      <c r="K21" s="34"/>
      <c r="L21" s="35"/>
      <c r="M21" s="52">
        <f>DATA!K10</f>
        <v>1</v>
      </c>
      <c r="N21" s="53" t="str">
        <f>DATA!L10</f>
        <v>Material Procurement for Construction and Bridge Rehabilitation</v>
      </c>
      <c r="O21" s="20">
        <f>DATA!Q10</f>
        <v>1</v>
      </c>
      <c r="P21" s="20">
        <f>DATA!R10</f>
        <v>1</v>
      </c>
      <c r="Q21" s="20">
        <f>DATA!S10</f>
        <v>6</v>
      </c>
      <c r="R21" s="77">
        <f>DATA!T10</f>
        <v>450000000</v>
      </c>
      <c r="S21" s="83">
        <f>DATA!U10</f>
        <v>450000000</v>
      </c>
      <c r="T21" s="77">
        <f>DATA!V10</f>
        <v>0</v>
      </c>
      <c r="U21" s="77">
        <f>DATA!W10</f>
        <v>0</v>
      </c>
      <c r="V21" s="77">
        <f>DATA!X10</f>
        <v>450000000</v>
      </c>
      <c r="W21" s="78" t="str">
        <f>DATA!Y10</f>
        <v>Spanyol/RRT</v>
      </c>
      <c r="X21" s="20" t="str">
        <f>DATA!Z10</f>
        <v>Multi Lender</v>
      </c>
      <c r="Y21" s="77">
        <f>DATA!AA10</f>
        <v>450000000</v>
      </c>
      <c r="Z21" s="77">
        <f>DATA!AG10</f>
        <v>0</v>
      </c>
      <c r="AA21" s="20">
        <f>DATA!AH10</f>
        <v>2017</v>
      </c>
      <c r="AB21" s="37" t="str">
        <f>DATA!AI10</f>
        <v>-</v>
      </c>
      <c r="AC21" s="152" t="str">
        <f>DATA!AR10</f>
        <v>belum ada dokumen R/C</v>
      </c>
      <c r="AD21" s="152" t="str">
        <f>DATA!AN10</f>
        <v>belum ada keterangan</v>
      </c>
      <c r="AE21" s="152" t="str">
        <f>DATA!AO10</f>
        <v>belum ada keterangan</v>
      </c>
      <c r="AF21" s="37" t="str">
        <f>DATA!AJ10</f>
        <v>-</v>
      </c>
      <c r="AG21" s="37" t="str">
        <f>DATA!AK10</f>
        <v>-</v>
      </c>
      <c r="AH21" s="37" t="str">
        <f>DATA!AL10</f>
        <v>-</v>
      </c>
      <c r="AI21" s="20" t="str">
        <f>DATA!AR10</f>
        <v>belum ada dokumen R/C</v>
      </c>
      <c r="AJ21" s="20" t="str">
        <f>DATA!AN10</f>
        <v>belum ada keterangan</v>
      </c>
      <c r="AK21" s="20" t="str">
        <f>DATA!AO10</f>
        <v>belum ada keterangan</v>
      </c>
      <c r="AL21" s="20" t="str">
        <f>DATA!AP10</f>
        <v>belum ada proses tender/lelang</v>
      </c>
      <c r="AM21" s="20" t="str">
        <f>DATA!AY10</f>
        <v>- Konfirmasi melalui surat Sekjen nomor KU.01.12-Sj/636 tgl 23 Oktober 2015
- Telah ada pengalaman sebelumnya dengan Loan Spanyol</v>
      </c>
      <c r="AN21" s="20" t="e">
        <f>DATA!#REF!</f>
        <v>#REF!</v>
      </c>
      <c r="AO21" s="20">
        <f>DATA!AZ10</f>
        <v>0</v>
      </c>
      <c r="AP21" s="152" t="e">
        <f>DATA!#REF!</f>
        <v>#REF!</v>
      </c>
      <c r="AQ21" s="37" t="str">
        <f>DATA!BA10</f>
        <v>Pengadaan material rangka jembatan untuk pekerjaan konstruksi dan rehabilitasi sekitar 55.000 m jembatan yang ada di Indonesia</v>
      </c>
    </row>
    <row r="22" spans="1:43" ht="45" customHeight="1">
      <c r="A22" s="10">
        <f>DATA!A11</f>
        <v>9</v>
      </c>
      <c r="B22" s="10">
        <f>DATA!B11</f>
        <v>0</v>
      </c>
      <c r="C22" s="10" t="str">
        <f>DATA!D11</f>
        <v>INFRASTRUKTUR</v>
      </c>
      <c r="D22" s="10">
        <f>DATA!E11</f>
        <v>1</v>
      </c>
      <c r="E22" s="10" t="str">
        <f>DATA!F11</f>
        <v>Kementerian Pekerjaan Umum dan Perumahan Rakyat</v>
      </c>
      <c r="F22" s="10" t="str">
        <f>DATA!H11</f>
        <v>Development and Improvement of National Bridges Program</v>
      </c>
      <c r="G22" s="10" t="str">
        <f>DATA!I11</f>
        <v>B</v>
      </c>
      <c r="H22" s="10" t="str">
        <f>DATA!J11</f>
        <v xml:space="preserve">Program Pembangunan / Peningkatan Jembatan </v>
      </c>
      <c r="I22" s="10">
        <f>DATA!K11</f>
        <v>2</v>
      </c>
      <c r="J22" s="33"/>
      <c r="K22" s="34"/>
      <c r="L22" s="34"/>
      <c r="M22" s="36">
        <f>DATA!K11</f>
        <v>2</v>
      </c>
      <c r="N22" s="37" t="str">
        <f>DATA!L11</f>
        <v>Development of Fly Over/ Under Pass for Railways Crossing</v>
      </c>
      <c r="O22" s="20">
        <f>DATA!Q11</f>
        <v>1</v>
      </c>
      <c r="P22" s="20">
        <f>DATA!R11</f>
        <v>1</v>
      </c>
      <c r="Q22" s="20">
        <f>DATA!S11</f>
        <v>7</v>
      </c>
      <c r="R22" s="77">
        <f>DATA!T11</f>
        <v>250000000</v>
      </c>
      <c r="S22" s="83">
        <f>DATA!U11</f>
        <v>250000000</v>
      </c>
      <c r="T22" s="77">
        <f>DATA!V11</f>
        <v>50000000</v>
      </c>
      <c r="U22" s="77">
        <f>DATA!W11</f>
        <v>0</v>
      </c>
      <c r="V22" s="77">
        <f>DATA!X11</f>
        <v>300000000</v>
      </c>
      <c r="W22" s="78" t="str">
        <f>DATA!Y11</f>
        <v>JICA</v>
      </c>
      <c r="X22" s="20" t="str">
        <f>DATA!Z11</f>
        <v>Bilateral</v>
      </c>
      <c r="Y22" s="77">
        <f>DATA!AA11</f>
        <v>250000000</v>
      </c>
      <c r="Z22" s="77">
        <f>DATA!AG11</f>
        <v>0</v>
      </c>
      <c r="AA22" s="20">
        <f>DATA!AH11</f>
        <v>2017</v>
      </c>
      <c r="AB22" s="37" t="str">
        <f>DATA!AI11</f>
        <v>-</v>
      </c>
      <c r="AC22" s="152" t="str">
        <f>DATA!AR11</f>
        <v>belum ada dokumen R/C</v>
      </c>
      <c r="AD22" s="152" t="str">
        <f>DATA!AN11</f>
        <v>dalam proses
(penyusunan FS)</v>
      </c>
      <c r="AE22" s="152" t="str">
        <f>DATA!AO11</f>
        <v>belum ada keterangan</v>
      </c>
      <c r="AF22" s="37" t="str">
        <f>DATA!AJ11</f>
        <v>Penyusunan FS dan BD</v>
      </c>
      <c r="AG22" s="37" t="str">
        <f>DATA!AK11</f>
        <v>-</v>
      </c>
      <c r="AH22" s="37" t="str">
        <f>DATA!AL11</f>
        <v>-</v>
      </c>
      <c r="AI22" s="20" t="str">
        <f>DATA!AR11</f>
        <v>belum ada dokumen R/C</v>
      </c>
      <c r="AJ22" s="20" t="str">
        <f>DATA!AN11</f>
        <v>dalam proses
(penyusunan FS)</v>
      </c>
      <c r="AK22" s="20" t="str">
        <f>DATA!AO11</f>
        <v>belum ada keterangan</v>
      </c>
      <c r="AL22" s="20" t="str">
        <f>DATA!AP11</f>
        <v>belum ada proses tender/lelang</v>
      </c>
      <c r="AM22" s="20" t="str">
        <f>DATA!AY11</f>
        <v>- Konfirmasi melalui surat Sekjen nomor KU.01.12-Sj/636 tgl 23 Oktober 2015</v>
      </c>
      <c r="AN22" s="20" t="e">
        <f>DATA!#REF!</f>
        <v>#REF!</v>
      </c>
      <c r="AO22" s="20">
        <f>DATA!AZ11</f>
        <v>0</v>
      </c>
      <c r="AP22" s="152" t="e">
        <f>DATA!#REF!</f>
        <v>#REF!</v>
      </c>
      <c r="AQ22" s="37" t="str">
        <f>DATA!BA11</f>
        <v>Pembangunan fly over/ under pass untuk persimpangan jalan dengan jalan kereta sepanjang 7 km di Jawa dan Sumatera</v>
      </c>
    </row>
    <row r="23" spans="1:43" ht="43.5" customHeight="1">
      <c r="A23" s="10">
        <f>DATA!A12</f>
        <v>10</v>
      </c>
      <c r="B23" s="10">
        <f>DATA!B12</f>
        <v>0</v>
      </c>
      <c r="C23" s="10" t="str">
        <f>DATA!D12</f>
        <v>INFRASTRUKTUR</v>
      </c>
      <c r="D23" s="10">
        <f>DATA!E12</f>
        <v>1</v>
      </c>
      <c r="E23" s="10" t="str">
        <f>DATA!F12</f>
        <v>Kementerian Pekerjaan Umum dan Perumahan Rakyat</v>
      </c>
      <c r="F23" s="10" t="str">
        <f>DATA!H12</f>
        <v>Development and Improvement of National Bridges Program</v>
      </c>
      <c r="G23" s="10" t="str">
        <f>DATA!I12</f>
        <v>B</v>
      </c>
      <c r="H23" s="10" t="str">
        <f>DATA!J12</f>
        <v xml:space="preserve">Program Pembangunan / Peningkatan Jembatan </v>
      </c>
      <c r="I23" s="10">
        <f>DATA!K12</f>
        <v>3</v>
      </c>
      <c r="J23" s="33"/>
      <c r="K23" s="34"/>
      <c r="L23" s="34"/>
      <c r="M23" s="36">
        <f>DATA!K12</f>
        <v>3</v>
      </c>
      <c r="N23" s="37" t="str">
        <f>DATA!L12</f>
        <v>Development of Fly Over/ Under Pass in Major Cities</v>
      </c>
      <c r="O23" s="20">
        <f>DATA!Q12</f>
        <v>1</v>
      </c>
      <c r="P23" s="20">
        <f>DATA!R12</f>
        <v>1</v>
      </c>
      <c r="Q23" s="20">
        <f>DATA!S12</f>
        <v>8</v>
      </c>
      <c r="R23" s="77">
        <f>DATA!T12</f>
        <v>270000000</v>
      </c>
      <c r="S23" s="83">
        <f>DATA!U12</f>
        <v>270000000</v>
      </c>
      <c r="T23" s="77">
        <f>DATA!V12</f>
        <v>50000000</v>
      </c>
      <c r="U23" s="77">
        <f>DATA!W12</f>
        <v>0</v>
      </c>
      <c r="V23" s="77">
        <f>DATA!X12</f>
        <v>320000000</v>
      </c>
      <c r="W23" s="78" t="str">
        <f>DATA!Y12</f>
        <v>JICA</v>
      </c>
      <c r="X23" s="20" t="str">
        <f>DATA!Z12</f>
        <v>Bilateral</v>
      </c>
      <c r="Y23" s="77">
        <f>DATA!AA12</f>
        <v>270000000</v>
      </c>
      <c r="Z23" s="77">
        <f>DATA!AG12</f>
        <v>0</v>
      </c>
      <c r="AA23" s="20">
        <f>DATA!AH12</f>
        <v>2017</v>
      </c>
      <c r="AB23" s="37" t="str">
        <f>DATA!AI12</f>
        <v>-</v>
      </c>
      <c r="AC23" s="152" t="str">
        <f>DATA!AR12</f>
        <v>belum ada dokumen R/C</v>
      </c>
      <c r="AD23" s="152" t="str">
        <f>DATA!AN12</f>
        <v>dalam proses
 (penyusunan FS)</v>
      </c>
      <c r="AE23" s="152" t="str">
        <f>DATA!AO12</f>
        <v>belum ada keterangan</v>
      </c>
      <c r="AF23" s="37" t="str">
        <f>DATA!AJ12</f>
        <v>Penyusunan FS dan BD</v>
      </c>
      <c r="AG23" s="37" t="str">
        <f>DATA!AK12</f>
        <v>-</v>
      </c>
      <c r="AH23" s="37" t="str">
        <f>DATA!AL12</f>
        <v>-</v>
      </c>
      <c r="AI23" s="20" t="str">
        <f>DATA!AR12</f>
        <v>belum ada dokumen R/C</v>
      </c>
      <c r="AJ23" s="20" t="str">
        <f>DATA!AN12</f>
        <v>dalam proses
 (penyusunan FS)</v>
      </c>
      <c r="AK23" s="20" t="str">
        <f>DATA!AO12</f>
        <v>belum ada keterangan</v>
      </c>
      <c r="AL23" s="20" t="str">
        <f>DATA!AP12</f>
        <v>belum ada proses tender/lelang</v>
      </c>
      <c r="AM23" s="20" t="str">
        <f>DATA!AY12</f>
        <v>Konfirmasi melalui surat Sekjen nomor KU.01.12-Sj/636 tgl 23 Oktober 2015</v>
      </c>
      <c r="AN23" s="20" t="e">
        <f>DATA!#REF!</f>
        <v>#REF!</v>
      </c>
      <c r="AO23" s="20">
        <f>DATA!AZ12</f>
        <v>0</v>
      </c>
      <c r="AP23" s="152" t="e">
        <f>DATA!#REF!</f>
        <v>#REF!</v>
      </c>
      <c r="AQ23" s="37" t="str">
        <f>DATA!BA12</f>
        <v>Pembangunan fly over/ under pass sepanjang kurang lebih 8 km untuk 9 kota besar yang ada di Jawa dan Sumatera</v>
      </c>
    </row>
    <row r="24" spans="1:43" ht="35.25" customHeight="1">
      <c r="A24" s="10">
        <f>DATA!A13</f>
        <v>11</v>
      </c>
      <c r="B24" s="10">
        <f>DATA!B13</f>
        <v>0</v>
      </c>
      <c r="C24" s="10" t="str">
        <f>DATA!D13</f>
        <v>INFRASTRUKTUR</v>
      </c>
      <c r="D24" s="10">
        <f>DATA!E13</f>
        <v>1</v>
      </c>
      <c r="E24" s="10" t="str">
        <f>DATA!F13</f>
        <v>Kementerian Pekerjaan Umum dan Perumahan Rakyat</v>
      </c>
      <c r="F24" s="10" t="str">
        <f>DATA!H13</f>
        <v>Development and Improvement of National Bridges Program</v>
      </c>
      <c r="G24" s="10" t="str">
        <f>DATA!I13</f>
        <v>B</v>
      </c>
      <c r="H24" s="10" t="str">
        <f>DATA!J13</f>
        <v xml:space="preserve">Program Pembangunan / Peningkatan Jembatan </v>
      </c>
      <c r="I24" s="10">
        <f>DATA!K13</f>
        <v>4</v>
      </c>
      <c r="J24" s="33"/>
      <c r="K24" s="34"/>
      <c r="L24" s="34"/>
      <c r="M24" s="36">
        <f>DATA!K13</f>
        <v>4</v>
      </c>
      <c r="N24" s="37" t="str">
        <f>DATA!L13</f>
        <v>Balinka - Matur - Ngarai Sianok Tunnel Construction</v>
      </c>
      <c r="O24" s="20">
        <f>DATA!Q13</f>
        <v>1</v>
      </c>
      <c r="P24" s="20">
        <f>DATA!R13</f>
        <v>1</v>
      </c>
      <c r="Q24" s="20">
        <f>DATA!S13</f>
        <v>9</v>
      </c>
      <c r="R24" s="77">
        <f>DATA!T13</f>
        <v>175000000</v>
      </c>
      <c r="S24" s="83">
        <f>DATA!U13</f>
        <v>175000000</v>
      </c>
      <c r="T24" s="77">
        <f>DATA!V13</f>
        <v>8750000</v>
      </c>
      <c r="U24" s="77">
        <f>DATA!W13</f>
        <v>0</v>
      </c>
      <c r="V24" s="77">
        <f>DATA!X13</f>
        <v>183750000</v>
      </c>
      <c r="W24" s="78" t="str">
        <f>DATA!Y13</f>
        <v>Korea/RRT</v>
      </c>
      <c r="X24" s="20" t="str">
        <f>DATA!Z13</f>
        <v>Multi Lender</v>
      </c>
      <c r="Y24" s="77">
        <f>DATA!AA13</f>
        <v>175000000</v>
      </c>
      <c r="Z24" s="77">
        <f>DATA!AG13</f>
        <v>0</v>
      </c>
      <c r="AA24" s="20">
        <f>DATA!AH13</f>
        <v>2017</v>
      </c>
      <c r="AB24" s="37" t="str">
        <f>DATA!AI13</f>
        <v>-</v>
      </c>
      <c r="AC24" s="152" t="str">
        <f>DATA!AR13</f>
        <v>belum ada dokumen R/C</v>
      </c>
      <c r="AD24" s="152" t="str">
        <f>DATA!AN13</f>
        <v>dalam proses
(memiliki FS dan DED)</v>
      </c>
      <c r="AE24" s="152" t="str">
        <f>DATA!AO13</f>
        <v>belum ada keterangan</v>
      </c>
      <c r="AF24" s="37" t="str">
        <f>DATA!AJ13</f>
        <v>FS, DED, SP2LP</v>
      </c>
      <c r="AG24" s="37" t="str">
        <f>DATA!AK13</f>
        <v>-</v>
      </c>
      <c r="AH24" s="37" t="str">
        <f>DATA!AL13</f>
        <v>-</v>
      </c>
      <c r="AI24" s="20" t="str">
        <f>DATA!AR13</f>
        <v>belum ada dokumen R/C</v>
      </c>
      <c r="AJ24" s="20" t="str">
        <f>DATA!AN13</f>
        <v>dalam proses
(memiliki FS dan DED)</v>
      </c>
      <c r="AK24" s="20" t="str">
        <f>DATA!AO13</f>
        <v>belum ada keterangan</v>
      </c>
      <c r="AL24" s="20" t="str">
        <f>DATA!AP13</f>
        <v>belum ada proses tender/lelang</v>
      </c>
      <c r="AM24" s="20" t="str">
        <f>DATA!AY13</f>
        <v>Konfirmasi melalui surat Sekjen nomor KU.01.12-Sj/636 tgl 23 Oktober 2015</v>
      </c>
      <c r="AN24" s="20" t="e">
        <f>DATA!#REF!</f>
        <v>#REF!</v>
      </c>
      <c r="AO24" s="20">
        <f>DATA!AZ13</f>
        <v>0</v>
      </c>
      <c r="AP24" s="152" t="e">
        <f>DATA!#REF!</f>
        <v>#REF!</v>
      </c>
      <c r="AQ24" s="37" t="str">
        <f>DATA!BA13</f>
        <v xml:space="preserve">Pembangunan terowongan, jembatan dan jalan sepanjang 5 km di daerah Balinka-Ngarai Sianok, Sumatera Barat </v>
      </c>
    </row>
    <row r="25" spans="1:43" ht="58.5" customHeight="1">
      <c r="A25" s="10">
        <f>DATA!A14</f>
        <v>12</v>
      </c>
      <c r="B25" s="10">
        <f>DATA!B14</f>
        <v>0</v>
      </c>
      <c r="C25" s="10" t="str">
        <f>DATA!D14</f>
        <v>INFRASTRUKTUR</v>
      </c>
      <c r="D25" s="10">
        <f>DATA!E14</f>
        <v>1</v>
      </c>
      <c r="E25" s="10" t="str">
        <f>DATA!F14</f>
        <v>Kementerian Pekerjaan Umum dan Perumahan Rakyat</v>
      </c>
      <c r="F25" s="10" t="str">
        <f>DATA!H14</f>
        <v>Development and Improvement of National Bridges Program</v>
      </c>
      <c r="G25" s="10" t="str">
        <f>DATA!I14</f>
        <v>B</v>
      </c>
      <c r="H25" s="10" t="str">
        <f>DATA!J14</f>
        <v xml:space="preserve">Program Pembangunan / Peningkatan Jembatan </v>
      </c>
      <c r="I25" s="10">
        <f>DATA!K14</f>
        <v>5</v>
      </c>
      <c r="J25" s="33"/>
      <c r="K25" s="34"/>
      <c r="L25" s="54"/>
      <c r="M25" s="36">
        <f>DATA!K14</f>
        <v>5</v>
      </c>
      <c r="N25" s="37" t="str">
        <f>DATA!L14</f>
        <v>Long Span Bridge Development for Selected Area</v>
      </c>
      <c r="O25" s="20">
        <f>DATA!Q14</f>
        <v>1</v>
      </c>
      <c r="P25" s="20">
        <f>DATA!R14</f>
        <v>1</v>
      </c>
      <c r="Q25" s="20">
        <f>DATA!S14</f>
        <v>10</v>
      </c>
      <c r="R25" s="77">
        <f>DATA!T14</f>
        <v>355000000</v>
      </c>
      <c r="S25" s="83">
        <f>DATA!U14</f>
        <v>355000000</v>
      </c>
      <c r="T25" s="77">
        <f>DATA!V14</f>
        <v>17750000</v>
      </c>
      <c r="U25" s="77">
        <f>DATA!W14</f>
        <v>0</v>
      </c>
      <c r="V25" s="77">
        <f>DATA!X14</f>
        <v>372750000</v>
      </c>
      <c r="W25" s="78" t="str">
        <f>DATA!Y14</f>
        <v>Korea/RRT</v>
      </c>
      <c r="X25" s="20" t="str">
        <f>DATA!Z14</f>
        <v>Multi Lender</v>
      </c>
      <c r="Y25" s="77">
        <f>DATA!AA14</f>
        <v>355000000</v>
      </c>
      <c r="Z25" s="77">
        <f>DATA!AG14</f>
        <v>0</v>
      </c>
      <c r="AA25" s="20" t="str">
        <f>DATA!AH14</f>
        <v>Tanpa keterangan</v>
      </c>
      <c r="AB25" s="37" t="str">
        <f>DATA!AI14</f>
        <v>-</v>
      </c>
      <c r="AC25" s="152" t="str">
        <f>DATA!AR14</f>
        <v>belum ada dokumen R/C</v>
      </c>
      <c r="AD25" s="152" t="str">
        <f>DATA!AN14</f>
        <v>belum ada keterangan</v>
      </c>
      <c r="AE25" s="152" t="str">
        <f>DATA!AO14</f>
        <v>belum ada keterangan</v>
      </c>
      <c r="AF25" s="37" t="str">
        <f>DATA!AJ14</f>
        <v>-</v>
      </c>
      <c r="AG25" s="37" t="str">
        <f>DATA!AK14</f>
        <v>-</v>
      </c>
      <c r="AH25" s="37" t="str">
        <f>DATA!AL14</f>
        <v>-</v>
      </c>
      <c r="AI25" s="20" t="str">
        <f>DATA!AR14</f>
        <v>belum ada dokumen R/C</v>
      </c>
      <c r="AJ25" s="20" t="str">
        <f>DATA!AN14</f>
        <v>belum ada keterangan</v>
      </c>
      <c r="AK25" s="20" t="str">
        <f>DATA!AO14</f>
        <v>belum ada keterangan</v>
      </c>
      <c r="AL25" s="20" t="str">
        <f>DATA!AP14</f>
        <v>belum ada proses tender/lelang</v>
      </c>
      <c r="AM25" s="20" t="str">
        <f>DATA!AY14</f>
        <v>Konfirmasi melalui surat Sekjen nomor KU.01.12-Sj/636 tgl 23 Oktober 2015</v>
      </c>
      <c r="AN25" s="20" t="e">
        <f>DATA!#REF!</f>
        <v>#REF!</v>
      </c>
      <c r="AO25" s="20">
        <f>DATA!AZ14</f>
        <v>0</v>
      </c>
      <c r="AP25" s="152" t="e">
        <f>DATA!#REF!</f>
        <v>#REF!</v>
      </c>
      <c r="AQ25" s="37" t="str">
        <f>DATA!BA14</f>
        <v>Pembangunan jembatan bentang panjang 5.000 m (pada area tertentu) di wilayah Pulau Jawa dan Sumatera yang dipisahkan oleh oleh sungai, rawa, danau, selat, saluran besar.</v>
      </c>
    </row>
    <row r="26" spans="1:43" s="5" customFormat="1" ht="33.75" customHeight="1">
      <c r="J26" s="28"/>
      <c r="K26" s="50"/>
      <c r="L26" s="30" t="str">
        <f>DATA!I15</f>
        <v>C</v>
      </c>
      <c r="M26" s="31" t="str">
        <f>DATA!J16</f>
        <v>Program Pembangunan / Peningkatan Jalan</v>
      </c>
      <c r="N26" s="51"/>
      <c r="O26" s="31"/>
      <c r="P26" s="31"/>
      <c r="Q26" s="31"/>
      <c r="R26" s="81">
        <f>SUM(R27:R34)</f>
        <v>2000000000</v>
      </c>
      <c r="S26" s="81">
        <f>SUM(S27:S35)</f>
        <v>2000000000</v>
      </c>
      <c r="T26" s="81">
        <f>SUM(T28:T34)</f>
        <v>350000000</v>
      </c>
      <c r="U26" s="81">
        <f>SUM(U28:U34)</f>
        <v>0</v>
      </c>
      <c r="V26" s="81">
        <f>SUM(V28:V34)</f>
        <v>2100000000</v>
      </c>
      <c r="W26" s="81"/>
      <c r="X26" s="81">
        <f>SUM(X28:X34)</f>
        <v>0</v>
      </c>
      <c r="Y26" s="81">
        <f>SUM(Y28:Y34)</f>
        <v>1750000000</v>
      </c>
      <c r="Z26" s="81">
        <f>SUM(Z28:Z34)</f>
        <v>0</v>
      </c>
      <c r="AA26" s="31"/>
      <c r="AB26" s="32"/>
      <c r="AC26" s="32"/>
      <c r="AD26" s="32"/>
      <c r="AE26" s="32"/>
      <c r="AF26" s="32"/>
      <c r="AG26" s="32"/>
      <c r="AH26" s="32"/>
      <c r="AI26" s="31"/>
      <c r="AJ26" s="31"/>
      <c r="AK26" s="31"/>
      <c r="AL26" s="31"/>
      <c r="AM26" s="31"/>
      <c r="AN26" s="31"/>
      <c r="AO26" s="31"/>
      <c r="AP26" s="32"/>
      <c r="AQ26" s="32"/>
    </row>
    <row r="27" spans="1:43" s="5" customFormat="1" ht="33.75" customHeight="1">
      <c r="J27" s="28"/>
      <c r="K27" s="50"/>
      <c r="L27" s="55"/>
      <c r="M27" s="36">
        <f>DATA!K15</f>
        <v>1</v>
      </c>
      <c r="N27" s="37" t="str">
        <f>DATA!L15</f>
        <v>Urban Arterial Road Improvement Project</v>
      </c>
      <c r="O27" s="37">
        <f>DATA!Q15</f>
        <v>1</v>
      </c>
      <c r="P27" s="37">
        <f>DATA!R15</f>
        <v>1</v>
      </c>
      <c r="Q27" s="37">
        <f>DATA!S15</f>
        <v>0</v>
      </c>
      <c r="R27" s="87">
        <f>DATA!T15</f>
        <v>250000000</v>
      </c>
      <c r="S27" s="87">
        <f>DATA!U15</f>
        <v>205000000</v>
      </c>
      <c r="T27" s="87">
        <f>DATA!V15</f>
        <v>50000000</v>
      </c>
      <c r="U27" s="87">
        <f>DATA!W15</f>
        <v>0</v>
      </c>
      <c r="V27" s="87">
        <f>DATA!X15</f>
        <v>300000000</v>
      </c>
      <c r="W27" s="78" t="str">
        <f>DATA!Y15</f>
        <v>JICA</v>
      </c>
      <c r="X27" s="37" t="str">
        <f>DATA!Z15</f>
        <v>Multilateral</v>
      </c>
      <c r="Y27" s="87">
        <f>DATA!AA15</f>
        <v>205000000</v>
      </c>
      <c r="Z27" s="87">
        <f>DATA!AG15</f>
        <v>0</v>
      </c>
      <c r="AA27" s="37">
        <f>DATA!AH15</f>
        <v>2016</v>
      </c>
      <c r="AB27" s="56" t="str">
        <f>DATA!AI15</f>
        <v>-</v>
      </c>
      <c r="AC27" s="152">
        <f>DATA!AM15</f>
        <v>0</v>
      </c>
      <c r="AD27" s="152" t="str">
        <f>DATA!AN15</f>
        <v>siap</v>
      </c>
      <c r="AE27" s="152" t="str">
        <f>DATA!AO15</f>
        <v>belum ada keterangan</v>
      </c>
      <c r="AF27" s="56" t="str">
        <f>DATA!AJ15</f>
        <v>Sebagian telah ada FS, DED dan AMDAL</v>
      </c>
      <c r="AG27" s="56" t="str">
        <f>DATA!AK15</f>
        <v>-</v>
      </c>
      <c r="AH27" s="56" t="str">
        <f>DATA!AL15</f>
        <v>-</v>
      </c>
      <c r="AI27" s="31"/>
      <c r="AJ27" s="31"/>
      <c r="AK27" s="31"/>
      <c r="AL27" s="31"/>
      <c r="AM27" s="31"/>
      <c r="AN27" s="31"/>
      <c r="AO27" s="31"/>
      <c r="AP27" s="152" t="e">
        <f>DATA!#REF!</f>
        <v>#REF!</v>
      </c>
      <c r="AQ27" s="32"/>
    </row>
    <row r="28" spans="1:43" ht="37.5" customHeight="1">
      <c r="A28" s="10">
        <f>DATA!A16</f>
        <v>14</v>
      </c>
      <c r="B28" s="10">
        <f>DATA!B16</f>
        <v>0</v>
      </c>
      <c r="C28" s="10" t="str">
        <f>DATA!D16</f>
        <v>INFRASTRUKTUR</v>
      </c>
      <c r="D28" s="10">
        <f>DATA!E16</f>
        <v>1</v>
      </c>
      <c r="E28" s="10" t="str">
        <f>DATA!F16</f>
        <v>Kementerian Pekerjaan Umum dan Perumahan Rakyat</v>
      </c>
      <c r="F28" s="10" t="str">
        <f>DATA!H16</f>
        <v>Development and Improvement of National Roads Program</v>
      </c>
      <c r="G28" s="10" t="str">
        <f>DATA!I16</f>
        <v>C</v>
      </c>
      <c r="H28" s="10" t="str">
        <f>DATA!J16</f>
        <v>Program Pembangunan / Peningkatan Jalan</v>
      </c>
      <c r="I28" s="10">
        <f>DATA!K16</f>
        <v>2</v>
      </c>
      <c r="J28" s="33"/>
      <c r="K28" s="34"/>
      <c r="L28" s="34"/>
      <c r="M28" s="36">
        <f>DATA!K16</f>
        <v>2</v>
      </c>
      <c r="N28" s="37" t="str">
        <f>DATA!L16</f>
        <v>Construction of Development of Trans South-South, Eastern Java</v>
      </c>
      <c r="O28" s="20">
        <f>DATA!Q16</f>
        <v>1</v>
      </c>
      <c r="P28" s="20">
        <f>DATA!R16</f>
        <v>1</v>
      </c>
      <c r="Q28" s="20">
        <f>DATA!S16</f>
        <v>12</v>
      </c>
      <c r="R28" s="77">
        <f>DATA!T16</f>
        <v>250000000</v>
      </c>
      <c r="S28" s="77">
        <f>DATA!U16</f>
        <v>250000000</v>
      </c>
      <c r="T28" s="77">
        <f>DATA!V16</f>
        <v>50000000</v>
      </c>
      <c r="U28" s="77">
        <f>DATA!W16</f>
        <v>0</v>
      </c>
      <c r="V28" s="77">
        <f>DATA!X16</f>
        <v>300000000</v>
      </c>
      <c r="W28" s="88" t="str">
        <f>DATA!Y16</f>
        <v>IDB</v>
      </c>
      <c r="X28" s="77" t="str">
        <f>DATA!Z16</f>
        <v>Multilateral</v>
      </c>
      <c r="Y28" s="77">
        <f>DATA!AA16</f>
        <v>250000000</v>
      </c>
      <c r="Z28" s="77">
        <f>DATA!AG16</f>
        <v>0</v>
      </c>
      <c r="AA28" s="100">
        <f>DATA!AH16</f>
        <v>2016</v>
      </c>
      <c r="AB28" s="101" t="str">
        <f>DATA!AI16</f>
        <v>-</v>
      </c>
      <c r="AC28" s="152" t="str">
        <f>DATA!AM16</f>
        <v>Rev. 2016</v>
      </c>
      <c r="AD28" s="152" t="str">
        <f>DATA!AN16</f>
        <v>siap</v>
      </c>
      <c r="AE28" s="152" t="str">
        <f>DATA!AO16</f>
        <v>belum ada keterangan</v>
      </c>
      <c r="AF28" s="101" t="str">
        <f>DATA!AJ16</f>
        <v>FS ada, DED dan AMDAL sebagian</v>
      </c>
      <c r="AG28" s="101" t="str">
        <f>DATA!AK16</f>
        <v>-</v>
      </c>
      <c r="AH28" s="56" t="str">
        <f>DATA!AL16</f>
        <v>-</v>
      </c>
      <c r="AI28" s="20" t="str">
        <f>DATA!AM16</f>
        <v>Rev. 2016</v>
      </c>
      <c r="AJ28" s="20" t="str">
        <f>DATA!AN16</f>
        <v>siap</v>
      </c>
      <c r="AK28" s="20" t="str">
        <f>DATA!AO16</f>
        <v>belum ada keterangan</v>
      </c>
      <c r="AL28" s="20" t="str">
        <f>DATA!AP16</f>
        <v>belum ada proses tender/lelang</v>
      </c>
      <c r="AM28" s="20" t="str">
        <f>DATA!AY16</f>
        <v>Konfirmasi melalui surat Sekjen nomor KU.01.12-Sj/636 tgl 23 Oktober 2015</v>
      </c>
      <c r="AN28" s="20" t="e">
        <f>DATA!#REF!</f>
        <v>#REF!</v>
      </c>
      <c r="AO28" s="20">
        <f>DATA!AZ16</f>
        <v>0</v>
      </c>
      <c r="AP28" s="152" t="e">
        <f>DATA!#REF!</f>
        <v>#REF!</v>
      </c>
      <c r="AQ28" s="37" t="str">
        <f>DATA!BA16</f>
        <v>Pembangunan dan peningkatan 200 km jalan Trans Selatan Selatan Pulau Jawa</v>
      </c>
    </row>
    <row r="29" spans="1:43" ht="45.75" customHeight="1">
      <c r="A29" s="10">
        <f>DATA!A17</f>
        <v>15</v>
      </c>
      <c r="B29" s="10">
        <f>DATA!B17</f>
        <v>0</v>
      </c>
      <c r="C29" s="10" t="str">
        <f>DATA!D17</f>
        <v>INFRASTRUKTUR</v>
      </c>
      <c r="D29" s="10">
        <f>DATA!E17</f>
        <v>1</v>
      </c>
      <c r="E29" s="10" t="str">
        <f>DATA!F17</f>
        <v>Kementerian Pekerjaan Umum dan Perumahan Rakyat</v>
      </c>
      <c r="F29" s="10" t="str">
        <f>DATA!H17</f>
        <v>Development and Improvement of National Roads Program</v>
      </c>
      <c r="G29" s="10" t="str">
        <f>DATA!I17</f>
        <v>C</v>
      </c>
      <c r="H29" s="10" t="str">
        <f>DATA!J17</f>
        <v>Program Pembangunan / Peningkatan Jalan</v>
      </c>
      <c r="I29" s="10">
        <f>DATA!K17</f>
        <v>3</v>
      </c>
      <c r="J29" s="33"/>
      <c r="K29" s="34"/>
      <c r="L29" s="34"/>
      <c r="M29" s="36">
        <f>DATA!K17</f>
        <v>3</v>
      </c>
      <c r="N29" s="37" t="str">
        <f>DATA!L17</f>
        <v>Road Improvement Project to Support Integrated Land and Sea Toll Way - Northern Area</v>
      </c>
      <c r="O29" s="20">
        <f>DATA!Q17</f>
        <v>1</v>
      </c>
      <c r="P29" s="20">
        <f>DATA!R17</f>
        <v>1</v>
      </c>
      <c r="Q29" s="20">
        <f>DATA!S17</f>
        <v>13</v>
      </c>
      <c r="R29" s="77">
        <f>DATA!T17</f>
        <v>250000000</v>
      </c>
      <c r="S29" s="83">
        <f>DATA!U16</f>
        <v>250000000</v>
      </c>
      <c r="T29" s="77">
        <f>DATA!V17</f>
        <v>50000000</v>
      </c>
      <c r="U29" s="77">
        <f>DATA!W17</f>
        <v>0</v>
      </c>
      <c r="V29" s="77">
        <f>DATA!X17</f>
        <v>300000000</v>
      </c>
      <c r="W29" s="78" t="str">
        <f>DATA!Y17</f>
        <v>Bank Dunia</v>
      </c>
      <c r="X29" s="20" t="str">
        <f>DATA!Z17</f>
        <v>Multilateral</v>
      </c>
      <c r="Y29" s="77">
        <f>DATA!AA17</f>
        <v>250000000</v>
      </c>
      <c r="Z29" s="77">
        <f>DATA!AG17</f>
        <v>0</v>
      </c>
      <c r="AA29" s="20" t="str">
        <f>DATA!AH17</f>
        <v>Tanpa keterangan</v>
      </c>
      <c r="AB29" s="56" t="str">
        <f>DATA!AI17</f>
        <v>-</v>
      </c>
      <c r="AC29" s="152">
        <f>DATA!AM17</f>
        <v>0</v>
      </c>
      <c r="AD29" s="152" t="str">
        <f>DATA!AN17</f>
        <v>belum ada keterangan</v>
      </c>
      <c r="AE29" s="152" t="str">
        <f>DATA!AO17</f>
        <v>belum ada keterangan</v>
      </c>
      <c r="AF29" s="56" t="str">
        <f>DATA!AJ17</f>
        <v>-</v>
      </c>
      <c r="AG29" s="56" t="str">
        <f>DATA!AK17</f>
        <v>-</v>
      </c>
      <c r="AH29" s="56" t="str">
        <f>DATA!AL17</f>
        <v>-</v>
      </c>
      <c r="AI29" s="20">
        <f>DATA!AM17</f>
        <v>0</v>
      </c>
      <c r="AJ29" s="20" t="str">
        <f>DATA!AN17</f>
        <v>belum ada keterangan</v>
      </c>
      <c r="AK29" s="20" t="str">
        <f>DATA!AO17</f>
        <v>belum ada keterangan</v>
      </c>
      <c r="AL29" s="20" t="str">
        <f>DATA!AP17</f>
        <v>belum ada proses tender/lelang</v>
      </c>
      <c r="AM29" s="20" t="str">
        <f>DATA!AY17</f>
        <v>Konfirmasi melalui surat Sekjen nomor KU.01.12-Sj/636 tgl 23 Oktober 2015</v>
      </c>
      <c r="AN29" s="20" t="e">
        <f>DATA!#REF!</f>
        <v>#REF!</v>
      </c>
      <c r="AO29" s="20" t="str">
        <f>DATA!AZ17</f>
        <v>termasuk ES (akan dipecah?) -&gt; konfirmasi tgl 15 Okt' 15</v>
      </c>
      <c r="AP29" s="152" t="e">
        <f>DATA!#REF!</f>
        <v>#REF!</v>
      </c>
      <c r="AQ29" s="37" t="str">
        <f>DATA!BA17</f>
        <v>Pembangunan/peningkatan 200 km jalan untuk mendukung tol laut bagian utara termasuk (i) koridor Aceh - Medan - Riau dan (ii) Medan - Sibolga</v>
      </c>
    </row>
    <row r="30" spans="1:43" ht="84" customHeight="1">
      <c r="A30" s="10">
        <f>DATA!A18</f>
        <v>16</v>
      </c>
      <c r="B30" s="10">
        <f>DATA!B18</f>
        <v>0</v>
      </c>
      <c r="C30" s="10" t="str">
        <f>DATA!D18</f>
        <v>INFRASTRUKTUR</v>
      </c>
      <c r="D30" s="10">
        <f>DATA!E18</f>
        <v>1</v>
      </c>
      <c r="E30" s="10" t="str">
        <f>DATA!F18</f>
        <v>Kementerian Pekerjaan Umum dan Perumahan Rakyat</v>
      </c>
      <c r="F30" s="10" t="str">
        <f>DATA!H18</f>
        <v>Development and Improvement of National Roads Program</v>
      </c>
      <c r="G30" s="10" t="str">
        <f>DATA!I18</f>
        <v>C</v>
      </c>
      <c r="H30" s="10" t="str">
        <f>DATA!J18</f>
        <v>Program Pembangunan / Peningkatan Jalan</v>
      </c>
      <c r="I30" s="10">
        <f>DATA!K18</f>
        <v>4</v>
      </c>
      <c r="J30" s="33"/>
      <c r="K30" s="34"/>
      <c r="L30" s="34"/>
      <c r="M30" s="36">
        <f>DATA!K18</f>
        <v>4</v>
      </c>
      <c r="N30" s="37" t="str">
        <f>DATA!L18</f>
        <v>Road Improvement Project to Support Integrated Land and Sea Toll Way - Southern Area</v>
      </c>
      <c r="O30" s="20">
        <f>DATA!Q18</f>
        <v>1</v>
      </c>
      <c r="P30" s="20">
        <f>DATA!R18</f>
        <v>1</v>
      </c>
      <c r="Q30" s="20">
        <f>DATA!S18</f>
        <v>14</v>
      </c>
      <c r="R30" s="77">
        <f>DATA!T18</f>
        <v>250000000</v>
      </c>
      <c r="S30" s="83">
        <f>DATA!U17</f>
        <v>250000000</v>
      </c>
      <c r="T30" s="77">
        <f>DATA!V18</f>
        <v>50000000</v>
      </c>
      <c r="U30" s="77">
        <f>DATA!W18</f>
        <v>0</v>
      </c>
      <c r="V30" s="77">
        <f>DATA!X18</f>
        <v>300000000</v>
      </c>
      <c r="W30" s="78" t="str">
        <f>DATA!Y18</f>
        <v>Bank Dunia/ADB</v>
      </c>
      <c r="X30" s="20" t="str">
        <f>DATA!Z18</f>
        <v>Multi Lender</v>
      </c>
      <c r="Y30" s="77">
        <f>DATA!AA18</f>
        <v>250000000</v>
      </c>
      <c r="Z30" s="77">
        <f>DATA!AG18</f>
        <v>0</v>
      </c>
      <c r="AA30" s="20" t="str">
        <f>DATA!AH18</f>
        <v>Tanpa keterangan</v>
      </c>
      <c r="AB30" s="56" t="str">
        <f>DATA!AI18</f>
        <v>-</v>
      </c>
      <c r="AC30" s="152" t="str">
        <f>DATA!AR18</f>
        <v>belum ada dokumen R/C</v>
      </c>
      <c r="AD30" s="152" t="str">
        <f>DATA!AN18</f>
        <v>belum ada keterangan</v>
      </c>
      <c r="AE30" s="152" t="str">
        <f>DATA!AO18</f>
        <v>belum ada keterangan</v>
      </c>
      <c r="AF30" s="56" t="str">
        <f>DATA!AJ18</f>
        <v>-</v>
      </c>
      <c r="AG30" s="56" t="str">
        <f>DATA!AK18</f>
        <v>-</v>
      </c>
      <c r="AH30" s="56" t="str">
        <f>DATA!AL18</f>
        <v>-</v>
      </c>
      <c r="AI30" s="20" t="str">
        <f>DATA!AR18</f>
        <v>belum ada dokumen R/C</v>
      </c>
      <c r="AJ30" s="20" t="str">
        <f>DATA!AN18</f>
        <v>belum ada keterangan</v>
      </c>
      <c r="AK30" s="20" t="str">
        <f>DATA!AO18</f>
        <v>belum ada keterangan</v>
      </c>
      <c r="AL30" s="20" t="str">
        <f>DATA!AP18</f>
        <v>belum ada proses tender/lelang</v>
      </c>
      <c r="AM30" s="20" t="str">
        <f>DATA!AY18</f>
        <v>Konfirmasi melalui surat Sekjen nomor KU.01.12-Sj/636 tgl 23 Oktober 2015</v>
      </c>
      <c r="AN30" s="20" t="e">
        <f>DATA!#REF!</f>
        <v>#REF!</v>
      </c>
      <c r="AO30" s="20">
        <f>DATA!AZ18</f>
        <v>0</v>
      </c>
      <c r="AP30" s="152" t="e">
        <f>DATA!#REF!</f>
        <v>#REF!</v>
      </c>
      <c r="AQ30" s="37"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row>
    <row r="31" spans="1:43" ht="46.5" customHeight="1">
      <c r="A31" s="10">
        <f>DATA!A19</f>
        <v>17</v>
      </c>
      <c r="B31" s="10">
        <f>DATA!B19</f>
        <v>0</v>
      </c>
      <c r="C31" s="10" t="str">
        <f>DATA!D19</f>
        <v>INFRASTRUKTUR</v>
      </c>
      <c r="D31" s="10">
        <f>DATA!E19</f>
        <v>1</v>
      </c>
      <c r="E31" s="10" t="str">
        <f>DATA!F19</f>
        <v>Kementerian Pekerjaan Umum dan Perumahan Rakyat</v>
      </c>
      <c r="F31" s="10" t="str">
        <f>DATA!H19</f>
        <v>Development and Improvement of National Roads Program</v>
      </c>
      <c r="G31" s="10" t="str">
        <f>DATA!I19</f>
        <v>C</v>
      </c>
      <c r="H31" s="10" t="str">
        <f>DATA!J19</f>
        <v>Program Pembangunan / Peningkatan Jalan</v>
      </c>
      <c r="I31" s="10">
        <f>DATA!K19</f>
        <v>5</v>
      </c>
      <c r="J31" s="33"/>
      <c r="K31" s="34"/>
      <c r="L31" s="34"/>
      <c r="M31" s="36">
        <f>DATA!K19</f>
        <v>5</v>
      </c>
      <c r="N31" s="37" t="str">
        <f>DATA!L19</f>
        <v>National Road Improvement in West and South Kalimantan</v>
      </c>
      <c r="O31" s="20">
        <f>DATA!Q19</f>
        <v>1</v>
      </c>
      <c r="P31" s="20">
        <f>DATA!R19</f>
        <v>1</v>
      </c>
      <c r="Q31" s="20">
        <f>DATA!S19</f>
        <v>15</v>
      </c>
      <c r="R31" s="77">
        <f>DATA!T19</f>
        <v>250000000</v>
      </c>
      <c r="S31" s="83">
        <f>DATA!U18</f>
        <v>250000000</v>
      </c>
      <c r="T31" s="77">
        <f>DATA!V19</f>
        <v>50000000</v>
      </c>
      <c r="U31" s="77">
        <f>DATA!W19</f>
        <v>0</v>
      </c>
      <c r="V31" s="77">
        <f>DATA!X19</f>
        <v>300000000</v>
      </c>
      <c r="W31" s="78" t="str">
        <f>DATA!Y19</f>
        <v>IDB</v>
      </c>
      <c r="X31" s="20" t="str">
        <f>DATA!Z19</f>
        <v>Multilateral</v>
      </c>
      <c r="Y31" s="77">
        <f>DATA!AA19</f>
        <v>250000000</v>
      </c>
      <c r="Z31" s="77">
        <f>DATA!AG19</f>
        <v>0</v>
      </c>
      <c r="AA31" s="20">
        <f>DATA!AH19</f>
        <v>2017</v>
      </c>
      <c r="AB31" s="56" t="str">
        <f>DATA!AI19</f>
        <v>-</v>
      </c>
      <c r="AC31" s="152" t="str">
        <f>DATA!AR19</f>
        <v>belum ada dokumen R/C</v>
      </c>
      <c r="AD31" s="152" t="str">
        <f>DATA!AN19</f>
        <v>belum ada keterangan</v>
      </c>
      <c r="AE31" s="152" t="str">
        <f>DATA!AO19</f>
        <v>belum ada keterangan</v>
      </c>
      <c r="AF31" s="56" t="str">
        <f>DATA!AJ19</f>
        <v>-</v>
      </c>
      <c r="AG31" s="56" t="str">
        <f>DATA!AK19</f>
        <v>-</v>
      </c>
      <c r="AH31" s="56" t="str">
        <f>DATA!AL19</f>
        <v>-</v>
      </c>
      <c r="AI31" s="20" t="str">
        <f>DATA!AR19</f>
        <v>belum ada dokumen R/C</v>
      </c>
      <c r="AJ31" s="20" t="str">
        <f>DATA!AN19</f>
        <v>belum ada keterangan</v>
      </c>
      <c r="AK31" s="20" t="str">
        <f>DATA!AO19</f>
        <v>belum ada keterangan</v>
      </c>
      <c r="AL31" s="20" t="str">
        <f>DATA!AP19</f>
        <v>belum ada proses tender/lelang</v>
      </c>
      <c r="AM31" s="20" t="str">
        <f>DATA!AY19</f>
        <v>Konfirmasi melalui surat Sekjen nomor KU.01.12-Sj/636 tgl 23 Oktober 2015</v>
      </c>
      <c r="AN31" s="20" t="e">
        <f>DATA!#REF!</f>
        <v>#REF!</v>
      </c>
      <c r="AO31" s="20">
        <f>DATA!AZ19</f>
        <v>0</v>
      </c>
      <c r="AP31" s="152" t="e">
        <f>DATA!#REF!</f>
        <v>#REF!</v>
      </c>
      <c r="AQ31" s="37" t="str">
        <f>DATA!BA19</f>
        <v>Pembangunan/peningkatan 200 km jalan di daerah koridor perbatasan di Kalimantan Barat dan jalan internasional di Kalimantan Selatan</v>
      </c>
    </row>
    <row r="32" spans="1:43" ht="36.75" customHeight="1">
      <c r="A32" s="10">
        <f>DATA!A20</f>
        <v>18</v>
      </c>
      <c r="B32" s="10">
        <f>DATA!B20</f>
        <v>0</v>
      </c>
      <c r="C32" s="10" t="str">
        <f>DATA!D20</f>
        <v>INFRASTRUKTUR</v>
      </c>
      <c r="D32" s="10">
        <f>DATA!E20</f>
        <v>1</v>
      </c>
      <c r="E32" s="10" t="str">
        <f>DATA!F20</f>
        <v>Kementerian Pekerjaan Umum dan Perumahan Rakyat</v>
      </c>
      <c r="F32" s="10" t="str">
        <f>DATA!H20</f>
        <v>Development and Improvement of National Roads Program</v>
      </c>
      <c r="G32" s="10" t="str">
        <f>DATA!I20</f>
        <v>C</v>
      </c>
      <c r="H32" s="10" t="str">
        <f>DATA!J20</f>
        <v>Program Pembangunan / Peningkatan Jalan</v>
      </c>
      <c r="I32" s="10">
        <f>DATA!K20</f>
        <v>6</v>
      </c>
      <c r="J32" s="33"/>
      <c r="K32" s="34"/>
      <c r="L32" s="34"/>
      <c r="M32" s="36">
        <f>DATA!K20</f>
        <v>6</v>
      </c>
      <c r="N32" s="37" t="str">
        <f>DATA!L20</f>
        <v>National Road Improvement in Central Kalimantan</v>
      </c>
      <c r="O32" s="20">
        <f>DATA!Q20</f>
        <v>1</v>
      </c>
      <c r="P32" s="20">
        <f>DATA!R20</f>
        <v>1</v>
      </c>
      <c r="Q32" s="20">
        <f>DATA!S20</f>
        <v>16</v>
      </c>
      <c r="R32" s="77">
        <f>DATA!T20</f>
        <v>250000000</v>
      </c>
      <c r="S32" s="83">
        <f>DATA!U19</f>
        <v>250000000</v>
      </c>
      <c r="T32" s="77">
        <f>DATA!V20</f>
        <v>50000000</v>
      </c>
      <c r="U32" s="77">
        <f>DATA!W20</f>
        <v>0</v>
      </c>
      <c r="V32" s="77">
        <f>DATA!X20</f>
        <v>300000000</v>
      </c>
      <c r="W32" s="78" t="str">
        <f>DATA!Y20</f>
        <v>Bank Dunia/ADB</v>
      </c>
      <c r="X32" s="20" t="str">
        <f>DATA!Z20</f>
        <v>Multi Lender</v>
      </c>
      <c r="Y32" s="77">
        <f>DATA!AA20</f>
        <v>250000000</v>
      </c>
      <c r="Z32" s="77">
        <f>DATA!AG20</f>
        <v>0</v>
      </c>
      <c r="AA32" s="20" t="str">
        <f>DATA!AH20</f>
        <v>Tanpa keterangan</v>
      </c>
      <c r="AB32" s="56" t="str">
        <f>DATA!AI20</f>
        <v>-</v>
      </c>
      <c r="AC32" s="152" t="str">
        <f>DATA!AR20</f>
        <v>belum ada dokumen R/C</v>
      </c>
      <c r="AD32" s="152" t="str">
        <f>DATA!AN20</f>
        <v>siap</v>
      </c>
      <c r="AE32" s="152" t="str">
        <f>DATA!AO20</f>
        <v>belum ada keterangan</v>
      </c>
      <c r="AF32" s="56" t="str">
        <f>DATA!AJ20</f>
        <v xml:space="preserve">FS, BD, AMDAL, Penyusunan DED, SP2LP </v>
      </c>
      <c r="AG32" s="56" t="str">
        <f>DATA!AK20</f>
        <v>-</v>
      </c>
      <c r="AH32" s="56" t="str">
        <f>DATA!AL20</f>
        <v>-</v>
      </c>
      <c r="AI32" s="20" t="str">
        <f>DATA!AR20</f>
        <v>belum ada dokumen R/C</v>
      </c>
      <c r="AJ32" s="20" t="str">
        <f>DATA!AN20</f>
        <v>siap</v>
      </c>
      <c r="AK32" s="20" t="str">
        <f>DATA!AO20</f>
        <v>belum ada keterangan</v>
      </c>
      <c r="AL32" s="20" t="str">
        <f>DATA!AP20</f>
        <v>belum ada proses tender/lelang</v>
      </c>
      <c r="AM32" s="20" t="str">
        <f>DATA!AY20</f>
        <v>Konfirmasi melalui surat Sekjen nomor KU.01.12-Sj/636 tgl 23 Oktober 2015</v>
      </c>
      <c r="AN32" s="20" t="e">
        <f>DATA!#REF!</f>
        <v>#REF!</v>
      </c>
      <c r="AO32" s="20">
        <f>DATA!AZ20</f>
        <v>0</v>
      </c>
      <c r="AP32" s="152" t="e">
        <f>DATA!#REF!</f>
        <v>#REF!</v>
      </c>
      <c r="AQ32" s="37" t="str">
        <f>DATA!BA20</f>
        <v>Pembangunan 200 km jalan di wilayah Kalimantan Tengah</v>
      </c>
    </row>
    <row r="33" spans="1:43" ht="31.5" customHeight="1">
      <c r="A33" s="10">
        <f>DATA!A21</f>
        <v>19</v>
      </c>
      <c r="B33" s="10">
        <f>DATA!B21</f>
        <v>0</v>
      </c>
      <c r="C33" s="10" t="str">
        <f>DATA!D21</f>
        <v>INFRASTRUKTUR</v>
      </c>
      <c r="D33" s="10">
        <f>DATA!E21</f>
        <v>1</v>
      </c>
      <c r="E33" s="10" t="str">
        <f>DATA!F21</f>
        <v>Kementerian Pekerjaan Umum dan Perumahan Rakyat</v>
      </c>
      <c r="F33" s="10" t="str">
        <f>DATA!H21</f>
        <v>Development and Improvement of National Roads Program</v>
      </c>
      <c r="G33" s="10" t="str">
        <f>DATA!I21</f>
        <v>C</v>
      </c>
      <c r="H33" s="10" t="str">
        <f>DATA!J21</f>
        <v>Program Pembangunan / Peningkatan Jalan</v>
      </c>
      <c r="I33" s="10">
        <f>DATA!K21</f>
        <v>7</v>
      </c>
      <c r="J33" s="33"/>
      <c r="K33" s="34"/>
      <c r="L33" s="34"/>
      <c r="M33" s="36">
        <f>DATA!K21</f>
        <v>7</v>
      </c>
      <c r="N33" s="37" t="str">
        <f>DATA!L21</f>
        <v>National Road Improvement in North and East Kalimantan</v>
      </c>
      <c r="O33" s="20">
        <f>DATA!Q21</f>
        <v>1</v>
      </c>
      <c r="P33" s="20">
        <f>DATA!R21</f>
        <v>1</v>
      </c>
      <c r="Q33" s="20">
        <f>DATA!S21</f>
        <v>17</v>
      </c>
      <c r="R33" s="77">
        <f>DATA!T21</f>
        <v>250000000</v>
      </c>
      <c r="S33" s="83">
        <f>DATA!U20</f>
        <v>250000000</v>
      </c>
      <c r="T33" s="77">
        <f>DATA!V21</f>
        <v>50000000</v>
      </c>
      <c r="U33" s="77">
        <f>DATA!W21</f>
        <v>0</v>
      </c>
      <c r="V33" s="77">
        <f>DATA!X21</f>
        <v>300000000</v>
      </c>
      <c r="W33" s="78" t="str">
        <f>DATA!Y21</f>
        <v>IDB</v>
      </c>
      <c r="X33" s="20" t="str">
        <f>DATA!Z21</f>
        <v>Multilateral</v>
      </c>
      <c r="Y33" s="77">
        <f>DATA!AA21</f>
        <v>250000000</v>
      </c>
      <c r="Z33" s="77">
        <f>DATA!AG21</f>
        <v>0</v>
      </c>
      <c r="AA33" s="20">
        <f>DATA!AH21</f>
        <v>2016</v>
      </c>
      <c r="AB33" s="56" t="str">
        <f>DATA!AI21</f>
        <v>-</v>
      </c>
      <c r="AC33" s="152" t="str">
        <f>DATA!AR21</f>
        <v>belum ada dokumen R/C</v>
      </c>
      <c r="AD33" s="152" t="str">
        <f>DATA!AN21</f>
        <v>siap</v>
      </c>
      <c r="AE33" s="152" t="str">
        <f>DATA!AO21</f>
        <v>belum ada keterangan</v>
      </c>
      <c r="AF33" s="56" t="str">
        <f>DATA!AJ21</f>
        <v>FS dan BD ada, DED dan AMDAL sebagian</v>
      </c>
      <c r="AG33" s="56" t="str">
        <f>DATA!AK21</f>
        <v>-</v>
      </c>
      <c r="AH33" s="56" t="str">
        <f>DATA!AL21</f>
        <v>-</v>
      </c>
      <c r="AI33" s="20" t="str">
        <f>DATA!AR21</f>
        <v>belum ada dokumen R/C</v>
      </c>
      <c r="AJ33" s="20" t="str">
        <f>DATA!AN21</f>
        <v>siap</v>
      </c>
      <c r="AK33" s="20" t="str">
        <f>DATA!AO21</f>
        <v>belum ada keterangan</v>
      </c>
      <c r="AL33" s="20" t="str">
        <f>DATA!AP21</f>
        <v>belum ada proses tender/lelang</v>
      </c>
      <c r="AM33" s="20" t="str">
        <f>DATA!AY21</f>
        <v>Konfirmasi melalui surat Sekjen nomor KU.01.12-Sj/636 tgl 23 Oktober 201515</v>
      </c>
      <c r="AN33" s="20" t="e">
        <f>DATA!#REF!</f>
        <v>#REF!</v>
      </c>
      <c r="AO33" s="20">
        <f>DATA!AZ21</f>
        <v>0</v>
      </c>
      <c r="AP33" s="152" t="e">
        <f>DATA!#REF!</f>
        <v>#REF!</v>
      </c>
      <c r="AQ33" s="37" t="str">
        <f>DATA!BA21</f>
        <v>Pembangunan 200 km jalan di wilayah Kalimantan Utara dan Kalimantan Timur</v>
      </c>
    </row>
    <row r="34" spans="1:43" ht="48" customHeight="1">
      <c r="A34" s="10">
        <f>DATA!A22</f>
        <v>20</v>
      </c>
      <c r="B34" s="10">
        <f>DATA!B22</f>
        <v>0</v>
      </c>
      <c r="C34" s="10" t="str">
        <f>DATA!D22</f>
        <v>INFRASTRUKTUR</v>
      </c>
      <c r="D34" s="10">
        <f>DATA!E22</f>
        <v>1</v>
      </c>
      <c r="E34" s="10" t="str">
        <f>DATA!F22</f>
        <v>Kementerian Pekerjaan Umum dan Perumahan Rakyat</v>
      </c>
      <c r="F34" s="10" t="str">
        <f>DATA!H22</f>
        <v>Development and Improvement of National Roads Program</v>
      </c>
      <c r="G34" s="10" t="str">
        <f>DATA!I22</f>
        <v>C</v>
      </c>
      <c r="H34" s="10" t="str">
        <f>DATA!J22</f>
        <v>Program Pembangunan / Peningkatan Jalan</v>
      </c>
      <c r="I34" s="10">
        <f>DATA!K22</f>
        <v>8</v>
      </c>
      <c r="J34" s="33"/>
      <c r="K34" s="34"/>
      <c r="L34" s="54"/>
      <c r="M34" s="36">
        <f>DATA!K22</f>
        <v>8</v>
      </c>
      <c r="N34" s="37" t="str">
        <f>DATA!L22</f>
        <v>Road Improvement Project in Sulawesi Island and Major Cities</v>
      </c>
      <c r="O34" s="20">
        <f>DATA!Q22</f>
        <v>1</v>
      </c>
      <c r="P34" s="20">
        <f>DATA!R22</f>
        <v>1</v>
      </c>
      <c r="Q34" s="20">
        <f>DATA!S22</f>
        <v>18</v>
      </c>
      <c r="R34" s="77">
        <f>DATA!T22</f>
        <v>250000000</v>
      </c>
      <c r="S34" s="83">
        <f>DATA!U21</f>
        <v>250000000</v>
      </c>
      <c r="T34" s="77">
        <f>DATA!V22</f>
        <v>50000000</v>
      </c>
      <c r="U34" s="77">
        <f>DATA!W22</f>
        <v>0</v>
      </c>
      <c r="V34" s="77">
        <f>DATA!X22</f>
        <v>300000000</v>
      </c>
      <c r="W34" s="78" t="str">
        <f>DATA!Y22</f>
        <v>IDB</v>
      </c>
      <c r="X34" s="20" t="str">
        <f>DATA!Z22</f>
        <v>Multilateral</v>
      </c>
      <c r="Y34" s="77">
        <f>DATA!AA22</f>
        <v>250000000</v>
      </c>
      <c r="Z34" s="77">
        <f>DATA!AG22</f>
        <v>0</v>
      </c>
      <c r="AA34" s="20">
        <f>DATA!AH22</f>
        <v>2016</v>
      </c>
      <c r="AB34" s="56" t="str">
        <f>DATA!AI22</f>
        <v>-</v>
      </c>
      <c r="AC34" s="152" t="str">
        <f>DATA!AR22</f>
        <v>belum ada dokumen R/C</v>
      </c>
      <c r="AD34" s="152" t="str">
        <f>DATA!AN22</f>
        <v>siap</v>
      </c>
      <c r="AE34" s="152" t="str">
        <f>DATA!AO22</f>
        <v>belum ada keterangan</v>
      </c>
      <c r="AF34" s="56" t="str">
        <f>DATA!AJ22</f>
        <v>FS, AMDAL</v>
      </c>
      <c r="AG34" s="56" t="str">
        <f>DATA!AK22</f>
        <v>-</v>
      </c>
      <c r="AH34" s="56" t="str">
        <f>DATA!AL22</f>
        <v>-</v>
      </c>
      <c r="AI34" s="20" t="str">
        <f>DATA!AR22</f>
        <v>belum ada dokumen R/C</v>
      </c>
      <c r="AJ34" s="20" t="str">
        <f>DATA!AN22</f>
        <v>siap</v>
      </c>
      <c r="AK34" s="20" t="str">
        <f>DATA!AO22</f>
        <v>belum ada keterangan</v>
      </c>
      <c r="AL34" s="20" t="str">
        <f>DATA!AP22</f>
        <v>belum ada proses tender/lelang</v>
      </c>
      <c r="AM34" s="20" t="str">
        <f>DATA!AY22</f>
        <v xml:space="preserve">Konfirmasi melalui surat Sekjen nomor KU.01.12-Sj/636 tgl 23 Oktober 2015
</v>
      </c>
      <c r="AN34" s="20" t="e">
        <f>DATA!#REF!</f>
        <v>#REF!</v>
      </c>
      <c r="AO34" s="20" t="str">
        <f>DATA!AZ22</f>
        <v xml:space="preserve">Lender kembali IDB berdasarkan hasil konfirmasi rapat dgn Dit,Multilateral tgl 15 Okt'15 </v>
      </c>
      <c r="AP34" s="152" t="e">
        <f>DATA!#REF!</f>
        <v>#REF!</v>
      </c>
      <c r="AQ34" s="37" t="str">
        <f>DATA!BA22</f>
        <v xml:space="preserve">Pembangunan jalan (ringroad dan bypass) sepanjang sekitar 200 km di wilayah metropolitan Mamminasata dan Gorontalo Outer Ring Road </v>
      </c>
    </row>
    <row r="35" spans="1:43" ht="48" customHeight="1">
      <c r="J35" s="33"/>
      <c r="K35" s="34"/>
      <c r="L35" s="54"/>
      <c r="M35" s="36">
        <f>DATA!K23</f>
        <v>9</v>
      </c>
      <c r="N35" s="56" t="str">
        <f>DATA!L23</f>
        <v>Engineering Service for National Roads Development Project</v>
      </c>
      <c r="O35" s="36">
        <f>DATA!Q23</f>
        <v>0</v>
      </c>
      <c r="P35" s="36">
        <f>DATA!R23</f>
        <v>1</v>
      </c>
      <c r="Q35" s="36">
        <f>DATA!S23</f>
        <v>0</v>
      </c>
      <c r="R35" s="88">
        <f>DATA!T23</f>
        <v>0</v>
      </c>
      <c r="S35" s="88">
        <f>DATA!U23</f>
        <v>45000000</v>
      </c>
      <c r="T35" s="88">
        <f>DATA!V23</f>
        <v>0</v>
      </c>
      <c r="U35" s="88">
        <f>DATA!W23</f>
        <v>0</v>
      </c>
      <c r="V35" s="88">
        <f>DATA!X23</f>
        <v>0</v>
      </c>
      <c r="W35" s="88" t="str">
        <f>DATA!Y23</f>
        <v>ADB</v>
      </c>
      <c r="X35" s="88" t="str">
        <f>DATA!Z23</f>
        <v>Multilateral</v>
      </c>
      <c r="Y35" s="88">
        <f>DATA!AA23</f>
        <v>45000000</v>
      </c>
      <c r="Z35" s="88">
        <f>DATA!AG23</f>
        <v>0</v>
      </c>
      <c r="AA35" s="102">
        <f>DATA!AH23</f>
        <v>2016</v>
      </c>
      <c r="AB35" s="56" t="str">
        <f>DATA!AI23</f>
        <v>- Sudah ada R/C
- Green Book 2015</v>
      </c>
      <c r="AC35" s="152" t="str">
        <f>DATA!AM23</f>
        <v>2016; 2015</v>
      </c>
      <c r="AD35" s="152" t="str">
        <f>DATA!AN23</f>
        <v>siap</v>
      </c>
      <c r="AE35" s="152" t="str">
        <f>DATA!AO23</f>
        <v>tidak butuh lahan</v>
      </c>
      <c r="AF35" s="56" t="str">
        <f>DATA!AJ23</f>
        <v>-</v>
      </c>
      <c r="AG35" s="56" t="str">
        <f>DATA!AK23</f>
        <v>-</v>
      </c>
      <c r="AH35" s="56" t="str">
        <f>DATA!AL23</f>
        <v>-</v>
      </c>
      <c r="AI35" s="20"/>
      <c r="AJ35" s="20"/>
      <c r="AK35" s="20"/>
      <c r="AL35" s="20"/>
      <c r="AM35" s="20"/>
      <c r="AN35" s="20"/>
      <c r="AO35" s="20"/>
      <c r="AP35" s="152" t="e">
        <f>DATA!#REF!</f>
        <v>#REF!</v>
      </c>
      <c r="AQ35" s="37"/>
    </row>
    <row r="36" spans="1:43" s="5" customFormat="1" ht="33.75" customHeight="1">
      <c r="J36" s="28"/>
      <c r="K36" s="50"/>
      <c r="L36" s="30" t="str">
        <f>DATA!I24</f>
        <v>D</v>
      </c>
      <c r="M36" s="31" t="str">
        <f>DATA!J24</f>
        <v>Program Pembangunan Air Minum</v>
      </c>
      <c r="N36" s="51"/>
      <c r="O36" s="31"/>
      <c r="P36" s="31"/>
      <c r="Q36" s="31"/>
      <c r="R36" s="81">
        <f>+R37+R38+R39+R48</f>
        <v>1197680000</v>
      </c>
      <c r="S36" s="81">
        <f>+S37+S38+S39+S48+S53</f>
        <v>1197680000</v>
      </c>
      <c r="T36" s="81">
        <f>+T37+T38+T39+T48</f>
        <v>59434000</v>
      </c>
      <c r="U36" s="81">
        <f>+U37+U38+U39+U48</f>
        <v>0</v>
      </c>
      <c r="V36" s="81">
        <f>+V37+V38+V39+V48</f>
        <v>1257114000</v>
      </c>
      <c r="W36" s="81"/>
      <c r="X36" s="81" t="e">
        <f>+X37+X38+X39+X48</f>
        <v>#VALUE!</v>
      </c>
      <c r="Y36" s="81">
        <f>+Y37+Y38+Y39+Y48</f>
        <v>1197680000</v>
      </c>
      <c r="Z36" s="81">
        <f>+Z37+Z38+Z39+Z48</f>
        <v>0</v>
      </c>
      <c r="AA36" s="31"/>
      <c r="AB36" s="32"/>
      <c r="AC36" s="32"/>
      <c r="AD36" s="32"/>
      <c r="AE36" s="32"/>
      <c r="AF36" s="32"/>
      <c r="AG36" s="32"/>
      <c r="AH36" s="32"/>
      <c r="AI36" s="31"/>
      <c r="AJ36" s="31"/>
      <c r="AK36" s="31"/>
      <c r="AL36" s="31"/>
      <c r="AM36" s="31"/>
      <c r="AN36" s="31"/>
      <c r="AO36" s="31"/>
      <c r="AP36" s="32"/>
      <c r="AQ36" s="32"/>
    </row>
    <row r="37" spans="1:43" ht="42" customHeight="1">
      <c r="A37" s="10">
        <f>DATA!A24</f>
        <v>21</v>
      </c>
      <c r="B37" s="10">
        <f>DATA!B24</f>
        <v>0</v>
      </c>
      <c r="C37" s="10" t="str">
        <f>DATA!D24</f>
        <v>INFRASTRUKTUR</v>
      </c>
      <c r="D37" s="10">
        <f>DATA!E24</f>
        <v>1</v>
      </c>
      <c r="E37" s="10" t="str">
        <f>DATA!F24</f>
        <v>Kementerian Pekerjaan Umum dan Perumahan Rakyat</v>
      </c>
      <c r="F37" s="10" t="str">
        <f>DATA!H24</f>
        <v>Drinking Water Development Program</v>
      </c>
      <c r="G37" s="10" t="str">
        <f>DATA!I24</f>
        <v>D</v>
      </c>
      <c r="H37" s="10" t="str">
        <f>DATA!J24</f>
        <v>Program Pembangunan Air Minum</v>
      </c>
      <c r="I37" s="10">
        <f>DATA!K24</f>
        <v>1</v>
      </c>
      <c r="J37" s="33"/>
      <c r="K37" s="34"/>
      <c r="L37" s="35"/>
      <c r="M37" s="36">
        <f>DATA!K24</f>
        <v>1</v>
      </c>
      <c r="N37" s="37" t="str">
        <f>DATA!L24</f>
        <v>Community Based Water and Sanitation Program  (PAMSIMAS)</v>
      </c>
      <c r="O37" s="20">
        <f>DATA!Q24</f>
        <v>1</v>
      </c>
      <c r="P37" s="20">
        <f>DATA!R24</f>
        <v>1</v>
      </c>
      <c r="Q37" s="20">
        <f>DATA!S24</f>
        <v>19</v>
      </c>
      <c r="R37" s="77">
        <f>DATA!T24</f>
        <v>300000000</v>
      </c>
      <c r="S37" s="88">
        <f>DATA!U24</f>
        <v>300000000</v>
      </c>
      <c r="T37" s="77">
        <f>DATA!V24</f>
        <v>15000000</v>
      </c>
      <c r="U37" s="77">
        <f>DATA!W24</f>
        <v>0</v>
      </c>
      <c r="V37" s="77">
        <f>DATA!X24</f>
        <v>315000000</v>
      </c>
      <c r="W37" s="78" t="str">
        <f>DATA!Y24</f>
        <v>Bank Dunia</v>
      </c>
      <c r="X37" s="20" t="str">
        <f>DATA!Z24</f>
        <v>Multilateral</v>
      </c>
      <c r="Y37" s="77">
        <f>DATA!AA24</f>
        <v>300000000</v>
      </c>
      <c r="Z37" s="77">
        <f>DATA!AG24</f>
        <v>0</v>
      </c>
      <c r="AA37" s="20">
        <f>DATA!AH24</f>
        <v>2016</v>
      </c>
      <c r="AB37" s="37" t="str">
        <f>DATA!AI24</f>
        <v xml:space="preserve">- Green Book 2015
- Sudah negosiasi
- Tender konsultan </v>
      </c>
      <c r="AC37" s="152" t="str">
        <f>DATA!AR24</f>
        <v>-</v>
      </c>
      <c r="AD37" s="152" t="str">
        <f>DATA!AN24</f>
        <v>dalam proses
(memiliki FS dan DED)</v>
      </c>
      <c r="AE37" s="152" t="str">
        <f>DATA!AO24</f>
        <v>belum ada keterangan</v>
      </c>
      <c r="AF37" s="37" t="str">
        <f>DATA!AJ24</f>
        <v xml:space="preserve">FS, DED
</v>
      </c>
      <c r="AG37" s="37" t="str">
        <f>DATA!AK24</f>
        <v>-</v>
      </c>
      <c r="AH37" s="37" t="str">
        <f>DATA!AL24</f>
        <v>-</v>
      </c>
      <c r="AI37" s="20" t="str">
        <f>DATA!AR24</f>
        <v>-</v>
      </c>
      <c r="AJ37" s="20" t="str">
        <f>DATA!AN24</f>
        <v>dalam proses
(memiliki FS dan DED)</v>
      </c>
      <c r="AK37" s="20" t="str">
        <f>DATA!AO24</f>
        <v>belum ada keterangan</v>
      </c>
      <c r="AL37" s="20" t="str">
        <f>DATA!AP24</f>
        <v>belum ada proses tender/lelang</v>
      </c>
      <c r="AM37"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N37" s="20" t="e">
        <f>DATA!#REF!</f>
        <v>#REF!</v>
      </c>
      <c r="AO37" s="20">
        <f>DATA!AZ24</f>
        <v>0</v>
      </c>
      <c r="AP37" s="152" t="e">
        <f>DATA!#REF!</f>
        <v>#REF!</v>
      </c>
      <c r="AQ37" s="37" t="str">
        <f>DATA!BA24</f>
        <v>Peningkatan kualitas pemukiman dan penyediaan air bersih berkelanjutan yang melayani 719.500 Sambungan Rumah (SR).</v>
      </c>
    </row>
    <row r="38" spans="1:43" ht="75" customHeight="1">
      <c r="A38" s="10">
        <f>DATA!A25</f>
        <v>22</v>
      </c>
      <c r="B38" s="10">
        <f>DATA!B25</f>
        <v>0</v>
      </c>
      <c r="C38" s="10" t="str">
        <f>DATA!D25</f>
        <v>INFRASTRUKTUR</v>
      </c>
      <c r="D38" s="10">
        <f>DATA!E25</f>
        <v>1</v>
      </c>
      <c r="E38" s="10" t="str">
        <f>DATA!F25</f>
        <v>Kementerian Pekerjaan Umum dan Perumahan Rakyat</v>
      </c>
      <c r="F38" s="10" t="str">
        <f>DATA!H25</f>
        <v>Drinking Water Development Program</v>
      </c>
      <c r="G38" s="10" t="str">
        <f>DATA!I25</f>
        <v>D</v>
      </c>
      <c r="H38" s="10" t="str">
        <f>DATA!J25</f>
        <v>Program Pembangunan Air Minum</v>
      </c>
      <c r="I38" s="10">
        <f>DATA!K25</f>
        <v>2</v>
      </c>
      <c r="J38" s="33"/>
      <c r="K38" s="34"/>
      <c r="L38" s="34"/>
      <c r="M38" s="36">
        <f>DATA!K25</f>
        <v>2</v>
      </c>
      <c r="N38" s="37" t="str">
        <f>DATA!L25</f>
        <v>National Urban Water Supply</v>
      </c>
      <c r="O38" s="20">
        <f>DATA!Q25</f>
        <v>1</v>
      </c>
      <c r="P38" s="20">
        <f>DATA!R25</f>
        <v>1</v>
      </c>
      <c r="Q38" s="20">
        <f>DATA!S25</f>
        <v>20</v>
      </c>
      <c r="R38" s="77">
        <f>DATA!T25</f>
        <v>100000000</v>
      </c>
      <c r="S38" s="88">
        <f>DATA!U25</f>
        <v>100000000</v>
      </c>
      <c r="T38" s="77">
        <f>DATA!V25</f>
        <v>5000000</v>
      </c>
      <c r="U38" s="77">
        <f>DATA!W25</f>
        <v>0</v>
      </c>
      <c r="V38" s="77">
        <f>DATA!X25</f>
        <v>105000000</v>
      </c>
      <c r="W38" s="78" t="str">
        <f>DATA!Y25</f>
        <v>Bank Dunia</v>
      </c>
      <c r="X38" s="20" t="str">
        <f>DATA!Z25</f>
        <v>Multilateral</v>
      </c>
      <c r="Y38" s="77">
        <f>DATA!AA25</f>
        <v>100000000</v>
      </c>
      <c r="Z38" s="77">
        <f>DATA!AG25</f>
        <v>0</v>
      </c>
      <c r="AA38" s="20">
        <f>DATA!AH25</f>
        <v>2017</v>
      </c>
      <c r="AB38" s="37">
        <f>DATA!AI25</f>
        <v>0</v>
      </c>
      <c r="AC38" s="152" t="str">
        <f>DATA!AR25</f>
        <v>belum ada dokumen R/C</v>
      </c>
      <c r="AD38" s="152" t="str">
        <f>DATA!AN25</f>
        <v>belum ada keterangan</v>
      </c>
      <c r="AE38" s="152" t="str">
        <f>DATA!AO25</f>
        <v>belum ada keterangan</v>
      </c>
      <c r="AF38" s="37" t="str">
        <f>DATA!AJ25</f>
        <v>-</v>
      </c>
      <c r="AG38" s="37" t="str">
        <f>DATA!AK25</f>
        <v>-</v>
      </c>
      <c r="AH38" s="37" t="str">
        <f>DATA!AL25</f>
        <v>-</v>
      </c>
      <c r="AI38" s="20" t="str">
        <f>DATA!AR25</f>
        <v>belum ada dokumen R/C</v>
      </c>
      <c r="AJ38" s="20" t="str">
        <f>DATA!AN25</f>
        <v>belum ada keterangan</v>
      </c>
      <c r="AK38" s="20" t="str">
        <f>DATA!AO25</f>
        <v>belum ada keterangan</v>
      </c>
      <c r="AL38" s="20" t="str">
        <f>DATA!AP25</f>
        <v>belum ada proses tender/lelang</v>
      </c>
      <c r="AM38" s="20" t="str">
        <f>DATA!AY25</f>
        <v>Konfirmasi melalui surat Sekjen nomor KU.01.12-Sj/636 tgl 23 Oktober 2015</v>
      </c>
      <c r="AN38" s="20" t="e">
        <f>DATA!#REF!</f>
        <v>#REF!</v>
      </c>
      <c r="AO38" s="20">
        <f>DATA!AZ25</f>
        <v>0</v>
      </c>
      <c r="AP38" s="152" t="e">
        <f>DATA!#REF!</f>
        <v>#REF!</v>
      </c>
      <c r="AQ38" s="37" t="str">
        <f>DATA!BA25</f>
        <v>Pembangunan Sistem Pengelolaan Air Mimum (SPAM) perkotaan sebesar 239,808 Sambungan Rumah (SR) untuk perluasan akses pelayanan air minum, termasuk kegiatan penguatan kapasitas pendanaan dan kelembagaan.</v>
      </c>
    </row>
    <row r="39" spans="1:43" s="9" customFormat="1" ht="60.75" customHeight="1">
      <c r="A39" s="9">
        <f>DATA!A26</f>
        <v>23</v>
      </c>
      <c r="B39" s="9">
        <f>DATA!B26</f>
        <v>0</v>
      </c>
      <c r="C39" s="9" t="str">
        <f>DATA!D26</f>
        <v>INFRASTRUKTUR</v>
      </c>
      <c r="D39" s="9">
        <f>DATA!E26</f>
        <v>1</v>
      </c>
      <c r="E39" s="9" t="str">
        <f>DATA!F26</f>
        <v>Kementerian Pekerjaan Umum dan Perumahan Rakyat</v>
      </c>
      <c r="F39" s="9" t="str">
        <f>DATA!H26</f>
        <v>Drinking Water Development Program</v>
      </c>
      <c r="G39" s="9" t="str">
        <f>DATA!I26</f>
        <v>D</v>
      </c>
      <c r="H39" s="9" t="str">
        <f>DATA!J26</f>
        <v>Program Pembangunan Air Minum</v>
      </c>
      <c r="I39" s="9">
        <f>DATA!K26</f>
        <v>3</v>
      </c>
      <c r="J39" s="62"/>
      <c r="K39" s="63"/>
      <c r="L39" s="63"/>
      <c r="M39" s="64">
        <f>DATA!K26</f>
        <v>3</v>
      </c>
      <c r="N39" s="65" t="str">
        <f>DATA!L26</f>
        <v>The Development of Regional Water Supply System in Selected Area:</v>
      </c>
      <c r="O39" s="66">
        <f>DATA!Q26</f>
        <v>0</v>
      </c>
      <c r="P39" s="66">
        <f>DATA!R26</f>
        <v>0</v>
      </c>
      <c r="Q39" s="66">
        <f>DATA!S26</f>
        <v>0</v>
      </c>
      <c r="R39" s="91">
        <f>DATA!T26</f>
        <v>672680000</v>
      </c>
      <c r="S39" s="88">
        <f>DATA!U26</f>
        <v>646300000</v>
      </c>
      <c r="T39" s="91">
        <f>DATA!V26</f>
        <v>33634000</v>
      </c>
      <c r="U39" s="91">
        <f>DATA!W26</f>
        <v>0</v>
      </c>
      <c r="V39" s="91">
        <f>DATA!X26</f>
        <v>706314000</v>
      </c>
      <c r="W39" s="92" t="str">
        <f>DATA!Y26</f>
        <v>-</v>
      </c>
      <c r="X39" s="66">
        <f>DATA!Z26</f>
        <v>0</v>
      </c>
      <c r="Y39" s="91">
        <f>DATA!AA26</f>
        <v>672680000</v>
      </c>
      <c r="Z39" s="91">
        <f>DATA!AG26</f>
        <v>0</v>
      </c>
      <c r="AA39" s="66" t="str">
        <f>DATA!AH26</f>
        <v>-</v>
      </c>
      <c r="AB39" s="65" t="str">
        <f>DATA!AI26</f>
        <v>-</v>
      </c>
      <c r="AC39" s="152">
        <f>DATA!AM26</f>
        <v>0</v>
      </c>
      <c r="AD39" s="152" t="str">
        <f>DATA!AN26</f>
        <v>-</v>
      </c>
      <c r="AE39" s="152" t="str">
        <f>DATA!AO26</f>
        <v>-</v>
      </c>
      <c r="AF39" s="65" t="str">
        <f>DATA!AJ26</f>
        <v>-</v>
      </c>
      <c r="AG39" s="65" t="str">
        <f>DATA!AK26</f>
        <v>-</v>
      </c>
      <c r="AH39" s="65" t="str">
        <f>DATA!AL26</f>
        <v>-</v>
      </c>
      <c r="AI39" s="66">
        <f>DATA!AM26</f>
        <v>0</v>
      </c>
      <c r="AJ39" s="66" t="str">
        <f>DATA!AN26</f>
        <v>-</v>
      </c>
      <c r="AK39" s="66" t="str">
        <f>DATA!AO26</f>
        <v>-</v>
      </c>
      <c r="AL39" s="66">
        <f>DATA!AP26</f>
        <v>0</v>
      </c>
      <c r="AM39" s="66" t="str">
        <f>DATA!AY26</f>
        <v>Konfirmasi melalui surat Sekjen nomor KU.01.12-Sj/636 tgl 23 Oktober 2015</v>
      </c>
      <c r="AN39" s="66" t="e">
        <f>DATA!#REF!</f>
        <v>#REF!</v>
      </c>
      <c r="AO39" s="66">
        <f>DATA!AZ26</f>
        <v>0</v>
      </c>
      <c r="AP39" s="152" t="e">
        <f>DATA!#REF!</f>
        <v>#REF!</v>
      </c>
      <c r="AQ39" s="65" t="str">
        <f>DATA!BA26</f>
        <v>Pembangunan Instalasi Pengolahan Air (IPA) di 8 wilayah dengan total kapasitas 20.450 lt/dt dan pembangunan jaringan transmisi air minum untuk 882.441 Sambungan Rumah (SR)</v>
      </c>
    </row>
    <row r="40" spans="1:43" s="6" customFormat="1" ht="60.75" customHeight="1">
      <c r="A40" s="6">
        <f>DATA!A27</f>
        <v>24</v>
      </c>
      <c r="B40" s="6">
        <f>DATA!B27</f>
        <v>0</v>
      </c>
      <c r="C40" s="6" t="str">
        <f>DATA!D27</f>
        <v>INFRASTRUKTUR</v>
      </c>
      <c r="D40" s="6">
        <f>DATA!E27</f>
        <v>1</v>
      </c>
      <c r="E40" s="6" t="str">
        <f>DATA!F27</f>
        <v>Kementerian Pekerjaan Umum dan Perumahan Rakyat</v>
      </c>
      <c r="F40" s="6" t="str">
        <f>DATA!H27</f>
        <v>Drinking Water Development Program</v>
      </c>
      <c r="G40" s="6" t="str">
        <f>DATA!I27</f>
        <v>D</v>
      </c>
      <c r="H40" s="6" t="str">
        <f>DATA!J27</f>
        <v>Program Pembangunan Air Minum</v>
      </c>
      <c r="I40" s="6">
        <f>DATA!K27</f>
        <v>3</v>
      </c>
      <c r="J40" s="38"/>
      <c r="K40" s="39"/>
      <c r="L40" s="39"/>
      <c r="M40" s="40"/>
      <c r="N40" s="67" t="str">
        <f>DATA!L27</f>
        <v xml:space="preserve">Mamminasata Water Supply Development Project </v>
      </c>
      <c r="O40" s="42">
        <f>DATA!Q27</f>
        <v>1</v>
      </c>
      <c r="P40" s="42">
        <f>DATA!R27</f>
        <v>1</v>
      </c>
      <c r="Q40" s="42">
        <f>DATA!S27</f>
        <v>21</v>
      </c>
      <c r="R40" s="83">
        <f>DATA!T27</f>
        <v>100000000</v>
      </c>
      <c r="S40" s="88">
        <f>DATA!U27</f>
        <v>100000000</v>
      </c>
      <c r="T40" s="83">
        <f>DATA!V27</f>
        <v>5000000</v>
      </c>
      <c r="U40" s="83">
        <f>DATA!W27</f>
        <v>0</v>
      </c>
      <c r="V40" s="83">
        <f>DATA!X27</f>
        <v>105000000</v>
      </c>
      <c r="W40" s="84" t="str">
        <f>DATA!Y27</f>
        <v>JICA</v>
      </c>
      <c r="X40" s="42" t="str">
        <f>DATA!Z27</f>
        <v>Bilateral</v>
      </c>
      <c r="Y40" s="83">
        <f>DATA!AA27</f>
        <v>100000000</v>
      </c>
      <c r="Z40" s="83">
        <f>DATA!AG27</f>
        <v>0</v>
      </c>
      <c r="AA40" s="42">
        <f>DATA!AH27</f>
        <v>2016</v>
      </c>
      <c r="AB40" s="67" t="str">
        <f>DATA!AI27</f>
        <v>-</v>
      </c>
      <c r="AC40" s="152">
        <f>DATA!AM27</f>
        <v>0</v>
      </c>
      <c r="AD40" s="152" t="str">
        <f>DATA!AN27</f>
        <v>siap</v>
      </c>
      <c r="AE40" s="152" t="str">
        <f>DATA!AO27</f>
        <v>dalam proses
(persiapan)</v>
      </c>
      <c r="AF40" s="67" t="str">
        <f>DATA!AJ27</f>
        <v>FS , AMDAL, DED</v>
      </c>
      <c r="AG40" s="67" t="str">
        <f>DATA!AK27</f>
        <v>Proses pembebasan lahan oleh Pemda</v>
      </c>
      <c r="AH40" s="67" t="str">
        <f>DATA!AL27</f>
        <v>-</v>
      </c>
      <c r="AI40" s="42">
        <f>DATA!AM27</f>
        <v>0</v>
      </c>
      <c r="AJ40" s="42" t="str">
        <f>DATA!AN27</f>
        <v>siap</v>
      </c>
      <c r="AK40" s="42" t="str">
        <f>DATA!AO27</f>
        <v>dalam proses
(persiapan)</v>
      </c>
      <c r="AL40" s="42" t="str">
        <f>DATA!AP27</f>
        <v>belum ada proses tender/lelang</v>
      </c>
      <c r="AM40" s="42" t="str">
        <f>DATA!AY27</f>
        <v>Konfirmasi melalui surat Sekjen nomor KU.01.12-Sj/636 tgl 23 Oktober 2015</v>
      </c>
      <c r="AN40" s="42" t="e">
        <f>DATA!#REF!</f>
        <v>#REF!</v>
      </c>
      <c r="AO40" s="42">
        <f>DATA!AZ27</f>
        <v>0</v>
      </c>
      <c r="AP40" s="152" t="e">
        <f>DATA!#REF!</f>
        <v>#REF!</v>
      </c>
      <c r="AQ40" s="67" t="str">
        <f>DATA!BA27</f>
        <v>Pembangunan IPA Somba Opu Tahap II, kap. 1.000 lt/dt dan pembangunan jaringan pipa transmisi air minum untuk melayani 149.925 SR di wilayah Makassar, Maros, Gowa dan Takalar.</v>
      </c>
    </row>
    <row r="41" spans="1:43" s="6" customFormat="1" ht="88.5" customHeight="1">
      <c r="A41" s="6">
        <f>DATA!A28</f>
        <v>25</v>
      </c>
      <c r="B41" s="6">
        <f>DATA!B28</f>
        <v>0</v>
      </c>
      <c r="C41" s="6" t="str">
        <f>DATA!D28</f>
        <v>INFRASTRUKTUR</v>
      </c>
      <c r="D41" s="6">
        <f>DATA!E28</f>
        <v>1</v>
      </c>
      <c r="E41" s="6" t="str">
        <f>DATA!F28</f>
        <v>Kementerian Pekerjaan Umum dan Perumahan Rakyat</v>
      </c>
      <c r="F41" s="6" t="str">
        <f>DATA!H28</f>
        <v>Drinking Water Development Program</v>
      </c>
      <c r="G41" s="6" t="str">
        <f>DATA!I28</f>
        <v>D</v>
      </c>
      <c r="H41" s="6" t="str">
        <f>DATA!J28</f>
        <v>Program Pembangunan Air Minum</v>
      </c>
      <c r="I41" s="6">
        <f>DATA!K28</f>
        <v>3</v>
      </c>
      <c r="J41" s="38"/>
      <c r="K41" s="39"/>
      <c r="L41" s="39"/>
      <c r="M41" s="38"/>
      <c r="N41" s="67" t="str">
        <f>DATA!L28</f>
        <v xml:space="preserve">The Development of Regional Water Supply System in Benteng Kobema </v>
      </c>
      <c r="O41" s="42">
        <f>DATA!Q28</f>
        <v>1</v>
      </c>
      <c r="P41" s="42">
        <f>DATA!R28</f>
        <v>1</v>
      </c>
      <c r="Q41" s="42">
        <f>DATA!S28</f>
        <v>22</v>
      </c>
      <c r="R41" s="83">
        <f>DATA!T28</f>
        <v>74300000</v>
      </c>
      <c r="S41" s="88">
        <f>DATA!U28</f>
        <v>74300000</v>
      </c>
      <c r="T41" s="83">
        <f>DATA!V28</f>
        <v>3715000</v>
      </c>
      <c r="U41" s="83">
        <f>DATA!W28</f>
        <v>0</v>
      </c>
      <c r="V41" s="83">
        <f>DATA!X28</f>
        <v>78015000</v>
      </c>
      <c r="W41" s="84" t="str">
        <f>DATA!Y28</f>
        <v>Bank Dunia/JICA/ADB</v>
      </c>
      <c r="X41" s="42" t="str">
        <f>DATA!Z28</f>
        <v>Multi Lender</v>
      </c>
      <c r="Y41" s="83">
        <f>DATA!AA28</f>
        <v>74300000</v>
      </c>
      <c r="Z41" s="83">
        <f>DATA!AG28</f>
        <v>0</v>
      </c>
      <c r="AA41" s="42">
        <f>DATA!AH28</f>
        <v>2017</v>
      </c>
      <c r="AB41" s="67" t="str">
        <f>DATA!AI28</f>
        <v>-</v>
      </c>
      <c r="AC41" s="152">
        <f>DATA!AM28</f>
        <v>0</v>
      </c>
      <c r="AD41" s="152" t="str">
        <f>DATA!AN28</f>
        <v>dalam proses
(penyusunan FS)</v>
      </c>
      <c r="AE41" s="152" t="str">
        <f>DATA!AO28</f>
        <v>dalam proses
(persiapan)</v>
      </c>
      <c r="AF41" s="67" t="str">
        <f>DATA!AJ28</f>
        <v>RISPAM, DED, SIPA, Organisasi Pelaksana, DDUB</v>
      </c>
      <c r="AG41" s="67" t="str">
        <f>DATA!AK28</f>
        <v>Proses pembebasan lahan oleh Pemda</v>
      </c>
      <c r="AH41" s="67" t="str">
        <f>DATA!AL28</f>
        <v>-</v>
      </c>
      <c r="AI41" s="42">
        <f>DATA!AM28</f>
        <v>0</v>
      </c>
      <c r="AJ41" s="42" t="str">
        <f>DATA!AN28</f>
        <v>dalam proses
(penyusunan FS)</v>
      </c>
      <c r="AK41" s="42" t="str">
        <f>DATA!AO28</f>
        <v>dalam proses
(persiapan)</v>
      </c>
      <c r="AL41" s="42" t="str">
        <f>DATA!AP28</f>
        <v>belum ada proses tender/lelang</v>
      </c>
      <c r="AM41" s="42" t="str">
        <f>DATA!AY28</f>
        <v>Konfirmasi melalui surat Sekjen nomor KU.01.12-Sj/636 tgl 23 Oktober 2015</v>
      </c>
      <c r="AN41" s="42" t="e">
        <f>DATA!#REF!</f>
        <v>#REF!</v>
      </c>
      <c r="AO41" s="42" t="str">
        <f>DATA!AZ28</f>
        <v>JICA &amp; ADB juga diindikasikan akan mendanai kegiatan ini meskipun belum ada pembicaraan</v>
      </c>
      <c r="AP41" s="152" t="e">
        <f>DATA!#REF!</f>
        <v>#REF!</v>
      </c>
      <c r="AQ41" s="67"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row>
    <row r="42" spans="1:43" s="6" customFormat="1" ht="87" customHeight="1">
      <c r="A42" s="6">
        <f>DATA!A29</f>
        <v>26</v>
      </c>
      <c r="B42" s="6">
        <f>DATA!B29</f>
        <v>0</v>
      </c>
      <c r="C42" s="6" t="str">
        <f>DATA!D29</f>
        <v>INFRASTRUKTUR</v>
      </c>
      <c r="D42" s="6">
        <f>DATA!E29</f>
        <v>1</v>
      </c>
      <c r="E42" s="6" t="str">
        <f>DATA!F29</f>
        <v>Kementerian Pekerjaan Umum dan Perumahan Rakyat</v>
      </c>
      <c r="F42" s="6" t="str">
        <f>DATA!H29</f>
        <v>Drinking Water Development Program</v>
      </c>
      <c r="G42" s="6" t="str">
        <f>DATA!I29</f>
        <v>D</v>
      </c>
      <c r="H42" s="6" t="str">
        <f>DATA!J29</f>
        <v>Program Pembangunan Air Minum</v>
      </c>
      <c r="I42" s="6">
        <f>DATA!K29</f>
        <v>3</v>
      </c>
      <c r="J42" s="38"/>
      <c r="K42" s="39"/>
      <c r="L42" s="39"/>
      <c r="M42" s="38"/>
      <c r="N42" s="67" t="str">
        <f>DATA!L29</f>
        <v xml:space="preserve">The Development of Regional Water Supply System in Wosusokas </v>
      </c>
      <c r="O42" s="42">
        <f>DATA!Q29</f>
        <v>1</v>
      </c>
      <c r="P42" s="42">
        <f>DATA!R29</f>
        <v>1</v>
      </c>
      <c r="Q42" s="42">
        <f>DATA!S29</f>
        <v>23</v>
      </c>
      <c r="R42" s="83">
        <f>DATA!T29</f>
        <v>106200000</v>
      </c>
      <c r="S42" s="88">
        <f>DATA!U29</f>
        <v>106200000</v>
      </c>
      <c r="T42" s="83">
        <f>DATA!V29</f>
        <v>5310000</v>
      </c>
      <c r="U42" s="83">
        <f>DATA!W29</f>
        <v>0</v>
      </c>
      <c r="V42" s="83">
        <f>DATA!X29</f>
        <v>111510000</v>
      </c>
      <c r="W42" s="84" t="str">
        <f>DATA!Y29</f>
        <v>Jerman (KfW)</v>
      </c>
      <c r="X42" s="42" t="str">
        <f>DATA!Z29</f>
        <v>Bilateral</v>
      </c>
      <c r="Y42" s="83">
        <f>DATA!AA29</f>
        <v>106200000</v>
      </c>
      <c r="Z42" s="83">
        <f>DATA!AG29</f>
        <v>0</v>
      </c>
      <c r="AA42" s="42">
        <f>DATA!AH29</f>
        <v>2017</v>
      </c>
      <c r="AB42" s="67" t="str">
        <f>DATA!AI29</f>
        <v>-</v>
      </c>
      <c r="AC42" s="152">
        <f>DATA!AM29</f>
        <v>0</v>
      </c>
      <c r="AD42" s="152" t="str">
        <f>DATA!AN29</f>
        <v>dalam proses
(penyusunan FS)</v>
      </c>
      <c r="AE42" s="152" t="str">
        <f>DATA!AO29</f>
        <v>dalam proses
(persiapan)</v>
      </c>
      <c r="AF42" s="67" t="str">
        <f>DATA!AJ29</f>
        <v>RISPAM, DED, SIPA, Organisasi Pelaksana, DDUB</v>
      </c>
      <c r="AG42" s="67" t="str">
        <f>DATA!AK29</f>
        <v>Proses pembebasan lahan oleh Pemda</v>
      </c>
      <c r="AH42" s="67" t="str">
        <f>DATA!AL29</f>
        <v>-</v>
      </c>
      <c r="AI42" s="42">
        <f>DATA!AM29</f>
        <v>0</v>
      </c>
      <c r="AJ42" s="42" t="str">
        <f>DATA!AN29</f>
        <v>dalam proses
(penyusunan FS)</v>
      </c>
      <c r="AK42" s="42" t="str">
        <f>DATA!AO29</f>
        <v>dalam proses
(persiapan)</v>
      </c>
      <c r="AL42" s="42" t="str">
        <f>DATA!AP29</f>
        <v>belum ada proses tender/lelang</v>
      </c>
      <c r="AM42" s="42" t="str">
        <f>DATA!AY29</f>
        <v>Konfirmasi melalui surat Sekjen nomor KU.01.12-Sj/636 tgl 23 Oktober 2015</v>
      </c>
      <c r="AN42" s="42" t="e">
        <f>DATA!#REF!</f>
        <v>#REF!</v>
      </c>
      <c r="AO42" s="42">
        <f>DATA!AZ29</f>
        <v>0</v>
      </c>
      <c r="AP42" s="152" t="e">
        <f>DATA!#REF!</f>
        <v>#REF!</v>
      </c>
      <c r="AQ42" s="67"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row>
    <row r="43" spans="1:43" s="6" customFormat="1" ht="89.25">
      <c r="A43" s="6">
        <f>DATA!A30</f>
        <v>27</v>
      </c>
      <c r="B43" s="6">
        <f>DATA!B30</f>
        <v>0</v>
      </c>
      <c r="C43" s="6" t="str">
        <f>DATA!D30</f>
        <v>INFRASTRUKTUR</v>
      </c>
      <c r="D43" s="6">
        <f>DATA!E30</f>
        <v>1</v>
      </c>
      <c r="E43" s="6" t="str">
        <f>DATA!F30</f>
        <v>Kementerian Pekerjaan Umum dan Perumahan Rakyat</v>
      </c>
      <c r="F43" s="6" t="str">
        <f>DATA!H30</f>
        <v>Drinking Water Development Program</v>
      </c>
      <c r="G43" s="6" t="str">
        <f>DATA!I30</f>
        <v>D</v>
      </c>
      <c r="H43" s="6" t="str">
        <f>DATA!J30</f>
        <v>Program Pembangunan Air Minum</v>
      </c>
      <c r="I43" s="6">
        <f>DATA!K30</f>
        <v>3</v>
      </c>
      <c r="J43" s="38"/>
      <c r="K43" s="39"/>
      <c r="L43" s="39"/>
      <c r="M43" s="38"/>
      <c r="N43" s="67" t="str">
        <f>DATA!L30</f>
        <v xml:space="preserve">The Development of Regional Water Supply System of Jatigede </v>
      </c>
      <c r="O43" s="42">
        <f>DATA!Q30</f>
        <v>1</v>
      </c>
      <c r="P43" s="42">
        <f>DATA!R30</f>
        <v>1</v>
      </c>
      <c r="Q43" s="42">
        <f>DATA!S30</f>
        <v>24</v>
      </c>
      <c r="R43" s="83">
        <f>DATA!T30</f>
        <v>167000000</v>
      </c>
      <c r="S43" s="88">
        <f>DATA!U30</f>
        <v>140620000</v>
      </c>
      <c r="T43" s="83">
        <f>DATA!V30</f>
        <v>8350000</v>
      </c>
      <c r="U43" s="83">
        <f>DATA!W30</f>
        <v>0</v>
      </c>
      <c r="V43" s="83">
        <f>DATA!X30</f>
        <v>175350000</v>
      </c>
      <c r="W43" s="84" t="str">
        <f>DATA!Y30</f>
        <v>Bank Dunia/JICA/ADB</v>
      </c>
      <c r="X43" s="42" t="str">
        <f>DATA!Z30</f>
        <v>Multi Lender</v>
      </c>
      <c r="Y43" s="83">
        <f>DATA!AA30</f>
        <v>140620000</v>
      </c>
      <c r="Z43" s="83">
        <f>DATA!AG30</f>
        <v>0</v>
      </c>
      <c r="AA43" s="42">
        <f>DATA!AH30</f>
        <v>2017</v>
      </c>
      <c r="AB43" s="67" t="str">
        <f>DATA!AI30</f>
        <v>-</v>
      </c>
      <c r="AC43" s="152">
        <f>DATA!AM30</f>
        <v>0</v>
      </c>
      <c r="AD43" s="152" t="str">
        <f>DATA!AN30</f>
        <v>belum ada keterangan</v>
      </c>
      <c r="AE43" s="152" t="str">
        <f>DATA!AO30</f>
        <v>belum ada keterangan</v>
      </c>
      <c r="AF43" s="67" t="str">
        <f>DATA!AJ30</f>
        <v>-</v>
      </c>
      <c r="AG43" s="67" t="str">
        <f>DATA!AK30</f>
        <v>-</v>
      </c>
      <c r="AH43" s="67" t="str">
        <f>DATA!AL30</f>
        <v>-</v>
      </c>
      <c r="AI43" s="42">
        <f>DATA!AM30</f>
        <v>0</v>
      </c>
      <c r="AJ43" s="42" t="str">
        <f>DATA!AN30</f>
        <v>belum ada keterangan</v>
      </c>
      <c r="AK43" s="42" t="str">
        <f>DATA!AO30</f>
        <v>belum ada keterangan</v>
      </c>
      <c r="AL43" s="42" t="str">
        <f>DATA!AP30</f>
        <v>belum ada proses tender/lelang</v>
      </c>
      <c r="AM43" s="42" t="str">
        <f>DATA!AY30</f>
        <v>Konfirmasi melalui surat Sekjen nomor KU.01.12-Sj/636 tgl 23 Oktober 2015</v>
      </c>
      <c r="AN43" s="42" t="e">
        <f>DATA!#REF!</f>
        <v>#REF!</v>
      </c>
      <c r="AO43" s="42">
        <f>DATA!AZ30</f>
        <v>0</v>
      </c>
      <c r="AP43" s="152" t="e">
        <f>DATA!#REF!</f>
        <v>#REF!</v>
      </c>
      <c r="AQ43" s="67"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row>
    <row r="44" spans="1:43" s="6" customFormat="1" ht="88.5" customHeight="1">
      <c r="A44" s="6">
        <f>DATA!A31</f>
        <v>28</v>
      </c>
      <c r="B44" s="6">
        <f>DATA!B31</f>
        <v>0</v>
      </c>
      <c r="C44" s="6" t="str">
        <f>DATA!D31</f>
        <v>INFRASTRUKTUR</v>
      </c>
      <c r="D44" s="6">
        <f>DATA!E31</f>
        <v>1</v>
      </c>
      <c r="E44" s="6" t="str">
        <f>DATA!F31</f>
        <v>Kementerian Pekerjaan Umum dan Perumahan Rakyat</v>
      </c>
      <c r="F44" s="6" t="str">
        <f>DATA!H31</f>
        <v>Drinking Water Development Program</v>
      </c>
      <c r="G44" s="6" t="str">
        <f>DATA!I31</f>
        <v>D</v>
      </c>
      <c r="H44" s="6" t="str">
        <f>DATA!J31</f>
        <v>Program Pembangunan Air Minum</v>
      </c>
      <c r="I44" s="6">
        <f>DATA!K31</f>
        <v>3</v>
      </c>
      <c r="J44" s="38"/>
      <c r="K44" s="39"/>
      <c r="L44" s="39"/>
      <c r="M44" s="38"/>
      <c r="N44" s="67" t="str">
        <f>DATA!L31</f>
        <v>The Development of Regional Water Supply System of Petanglong</v>
      </c>
      <c r="O44" s="42">
        <f>DATA!Q31</f>
        <v>1</v>
      </c>
      <c r="P44" s="42">
        <f>DATA!R31</f>
        <v>1</v>
      </c>
      <c r="Q44" s="42">
        <f>DATA!S31</f>
        <v>25</v>
      </c>
      <c r="R44" s="83">
        <f>DATA!T31</f>
        <v>95380000</v>
      </c>
      <c r="S44" s="88">
        <f>DATA!U31</f>
        <v>95380000</v>
      </c>
      <c r="T44" s="83">
        <f>DATA!V31</f>
        <v>4769000</v>
      </c>
      <c r="U44" s="83">
        <f>DATA!W31</f>
        <v>0</v>
      </c>
      <c r="V44" s="83">
        <f>DATA!X31</f>
        <v>100149000</v>
      </c>
      <c r="W44" s="84" t="str">
        <f>DATA!Y31</f>
        <v>Bank Dunia/JICA/ADB</v>
      </c>
      <c r="X44" s="42" t="str">
        <f>DATA!Z31</f>
        <v>Multi Lender</v>
      </c>
      <c r="Y44" s="83">
        <f>DATA!AA31</f>
        <v>95380000</v>
      </c>
      <c r="Z44" s="83">
        <f>DATA!AG31</f>
        <v>0</v>
      </c>
      <c r="AA44" s="42">
        <f>DATA!AH31</f>
        <v>2017</v>
      </c>
      <c r="AB44" s="67" t="str">
        <f>DATA!AI31</f>
        <v>Tahap persiapan project</v>
      </c>
      <c r="AC44" s="152">
        <f>DATA!AM31</f>
        <v>0</v>
      </c>
      <c r="AD44" s="152" t="str">
        <f>DATA!AN31</f>
        <v>belum ada keterangan</v>
      </c>
      <c r="AE44" s="152" t="str">
        <f>DATA!AO31</f>
        <v>belum ada keterangan</v>
      </c>
      <c r="AF44" s="67" t="str">
        <f>DATA!AJ31</f>
        <v>-</v>
      </c>
      <c r="AG44" s="67" t="str">
        <f>DATA!AK31</f>
        <v>-</v>
      </c>
      <c r="AH44" s="67" t="str">
        <f>DATA!AL31</f>
        <v>-</v>
      </c>
      <c r="AI44" s="42">
        <f>DATA!AM31</f>
        <v>0</v>
      </c>
      <c r="AJ44" s="42" t="str">
        <f>DATA!AN31</f>
        <v>belum ada keterangan</v>
      </c>
      <c r="AK44" s="42" t="str">
        <f>DATA!AO31</f>
        <v>belum ada keterangan</v>
      </c>
      <c r="AL44" s="42" t="str">
        <f>DATA!AP31</f>
        <v>belum ada proses tender/lelang</v>
      </c>
      <c r="AM44" s="42" t="str">
        <f>DATA!AY31</f>
        <v>Konfirmasi melalui surat Sekjen nomor KU.01.12-Sj/636 tgl 23 Oktober 2015</v>
      </c>
      <c r="AN44" s="42" t="e">
        <f>DATA!#REF!</f>
        <v>#REF!</v>
      </c>
      <c r="AO44" s="42">
        <f>DATA!AZ31</f>
        <v>0</v>
      </c>
      <c r="AP44" s="152" t="e">
        <f>DATA!#REF!</f>
        <v>#REF!</v>
      </c>
      <c r="AQ44" s="67" t="str">
        <f>DATA!BA31</f>
        <v>Pembangunan intake dan transmisi air baku, pembangunan IPA dengan kapasitas 1.100 lt/dt untuk sistem pengelolaan air minum yang berkapasitas 1.100 lt/dt, dan untuk penyediaan SPAM yang melayani 142.999 SR  di wilayah Kab. Batang, Kota Pekalongan, Kab. Pekalongan</v>
      </c>
    </row>
    <row r="45" spans="1:43" s="6" customFormat="1" ht="63.75">
      <c r="A45" s="6">
        <f>DATA!A32</f>
        <v>29</v>
      </c>
      <c r="B45" s="6">
        <f>DATA!B32</f>
        <v>0</v>
      </c>
      <c r="C45" s="6" t="str">
        <f>DATA!D32</f>
        <v>INFRASTRUKTUR</v>
      </c>
      <c r="D45" s="6">
        <f>DATA!E32</f>
        <v>1</v>
      </c>
      <c r="E45" s="6" t="str">
        <f>DATA!F32</f>
        <v>Kementerian Pekerjaan Umum dan Perumahan Rakyat</v>
      </c>
      <c r="F45" s="6" t="str">
        <f>DATA!H32</f>
        <v>Drinking Water Development Program</v>
      </c>
      <c r="G45" s="6" t="str">
        <f>DATA!I32</f>
        <v>D</v>
      </c>
      <c r="H45" s="6" t="str">
        <f>DATA!J32</f>
        <v>Program Pembangunan Air Minum</v>
      </c>
      <c r="I45" s="6">
        <f>DATA!K32</f>
        <v>3</v>
      </c>
      <c r="J45" s="38"/>
      <c r="K45" s="39"/>
      <c r="L45" s="39"/>
      <c r="M45" s="38"/>
      <c r="N45" s="67" t="str">
        <f>DATA!L32</f>
        <v xml:space="preserve">The Development of Regional Water Supply System of Durolis </v>
      </c>
      <c r="O45" s="42">
        <f>DATA!Q32</f>
        <v>1</v>
      </c>
      <c r="P45" s="42">
        <f>DATA!R32</f>
        <v>1</v>
      </c>
      <c r="Q45" s="42">
        <f>DATA!S32</f>
        <v>26</v>
      </c>
      <c r="R45" s="83">
        <f>DATA!T32</f>
        <v>33400000</v>
      </c>
      <c r="S45" s="88">
        <f>DATA!U32</f>
        <v>33400000</v>
      </c>
      <c r="T45" s="83">
        <f>DATA!V32</f>
        <v>1670000</v>
      </c>
      <c r="U45" s="83">
        <f>DATA!W32</f>
        <v>0</v>
      </c>
      <c r="V45" s="83">
        <f>DATA!X32</f>
        <v>35070000</v>
      </c>
      <c r="W45" s="84" t="str">
        <f>DATA!Y32</f>
        <v>Bank Dunia/JICA/ADB</v>
      </c>
      <c r="X45" s="42" t="str">
        <f>DATA!Z32</f>
        <v>Multi Lender</v>
      </c>
      <c r="Y45" s="83">
        <f>DATA!AA32</f>
        <v>33400000</v>
      </c>
      <c r="Z45" s="83">
        <f>DATA!AG32</f>
        <v>0</v>
      </c>
      <c r="AA45" s="42">
        <f>DATA!AH32</f>
        <v>2017</v>
      </c>
      <c r="AB45" s="67" t="str">
        <f>DATA!AI32</f>
        <v>-</v>
      </c>
      <c r="AC45" s="152">
        <f>DATA!AM32</f>
        <v>0</v>
      </c>
      <c r="AD45" s="152" t="str">
        <f>DATA!AN32</f>
        <v>siap</v>
      </c>
      <c r="AE45" s="152" t="str">
        <f>DATA!AO32</f>
        <v>siap</v>
      </c>
      <c r="AF45" s="67" t="str">
        <f>DATA!AJ32</f>
        <v>FS, DED, AMDAL</v>
      </c>
      <c r="AG45" s="67" t="str">
        <f>DATA!AK32</f>
        <v xml:space="preserve"> Lahan sudah tersedia </v>
      </c>
      <c r="AH45" s="67" t="str">
        <f>DATA!AL32</f>
        <v>-</v>
      </c>
      <c r="AI45" s="42">
        <f>DATA!AM32</f>
        <v>0</v>
      </c>
      <c r="AJ45" s="42" t="str">
        <f>DATA!AN32</f>
        <v>siap</v>
      </c>
      <c r="AK45" s="42" t="str">
        <f>DATA!AO32</f>
        <v>siap</v>
      </c>
      <c r="AL45" s="42" t="str">
        <f>DATA!AP32</f>
        <v>belum ada proses tender/lelang</v>
      </c>
      <c r="AM45" s="42" t="str">
        <f>DATA!AY32</f>
        <v>Konfirmasi melalui surat Sekjen nomor KU.01.12-Sj/636 tgl 23 Oktober 2015</v>
      </c>
      <c r="AN45" s="42" t="e">
        <f>DATA!#REF!</f>
        <v>#REF!</v>
      </c>
      <c r="AO45" s="42" t="str">
        <f>DATA!AZ32</f>
        <v>ADB juga diindikasikan akan mendanai kegiatan ini</v>
      </c>
      <c r="AP45" s="152" t="e">
        <f>DATA!#REF!</f>
        <v>#REF!</v>
      </c>
      <c r="AQ45" s="67" t="str">
        <f>DATA!BA32</f>
        <v>Pembangunan unit air baku, unit produksi dan distribusi utama, unit pelayanan dan unit pengelolaan untuk sistem pengelolaan air minum yang berkapasitas 500 lt/dt dan untuk melayani masyarakat sebesar 24.000 SR di wilayah Dumai, Rokan Hilir dan Bengkalis</v>
      </c>
    </row>
    <row r="46" spans="1:43" s="6" customFormat="1" ht="86.25" customHeight="1">
      <c r="A46" s="6">
        <f>DATA!A33</f>
        <v>30</v>
      </c>
      <c r="B46" s="6">
        <f>DATA!B33</f>
        <v>0</v>
      </c>
      <c r="C46" s="6" t="str">
        <f>DATA!D33</f>
        <v>INFRASTRUKTUR</v>
      </c>
      <c r="D46" s="6">
        <f>DATA!E33</f>
        <v>1</v>
      </c>
      <c r="E46" s="6" t="str">
        <f>DATA!F33</f>
        <v>Kementerian Pekerjaan Umum dan Perumahan Rakyat</v>
      </c>
      <c r="F46" s="6" t="str">
        <f>DATA!H33</f>
        <v>Drinking Water Development Program</v>
      </c>
      <c r="G46" s="6" t="str">
        <f>DATA!I33</f>
        <v>D</v>
      </c>
      <c r="H46" s="6" t="str">
        <f>DATA!J33</f>
        <v>Program Pembangunan Air Minum</v>
      </c>
      <c r="I46" s="6">
        <f>DATA!K33</f>
        <v>3</v>
      </c>
      <c r="J46" s="38"/>
      <c r="K46" s="39"/>
      <c r="L46" s="39"/>
      <c r="M46" s="38"/>
      <c r="N46" s="67" t="str">
        <f>DATA!L33</f>
        <v xml:space="preserve">The Development of Regional Water Supply System of  Banten - Jakarta from Karian Dam </v>
      </c>
      <c r="O46" s="42">
        <f>DATA!Q33</f>
        <v>1</v>
      </c>
      <c r="P46" s="42">
        <f>DATA!R33</f>
        <v>1</v>
      </c>
      <c r="Q46" s="42">
        <f>DATA!S33</f>
        <v>27</v>
      </c>
      <c r="R46" s="83">
        <f>DATA!T33</f>
        <v>40000000</v>
      </c>
      <c r="S46" s="88">
        <f>DATA!U33</f>
        <v>40000000</v>
      </c>
      <c r="T46" s="83">
        <f>DATA!V33</f>
        <v>2000000</v>
      </c>
      <c r="U46" s="83">
        <f>DATA!W33</f>
        <v>0</v>
      </c>
      <c r="V46" s="83">
        <f>DATA!X33</f>
        <v>42000000</v>
      </c>
      <c r="W46" s="84" t="str">
        <f>DATA!Y33</f>
        <v>Korea</v>
      </c>
      <c r="X46" s="42" t="str">
        <f>DATA!Z33</f>
        <v>Bilateral</v>
      </c>
      <c r="Y46" s="83">
        <f>DATA!AA33</f>
        <v>40000000</v>
      </c>
      <c r="Z46" s="83">
        <f>DATA!AG33</f>
        <v>0</v>
      </c>
      <c r="AA46" s="42">
        <f>DATA!AH33</f>
        <v>2017</v>
      </c>
      <c r="AB46" s="67" t="str">
        <f>DATA!AI33</f>
        <v>-</v>
      </c>
      <c r="AC46" s="152">
        <f>DATA!AM33</f>
        <v>0</v>
      </c>
      <c r="AD46" s="152" t="str">
        <f>DATA!AN33</f>
        <v>dalam proses
(memiliki FS)</v>
      </c>
      <c r="AE46" s="152" t="str">
        <f>DATA!AO33</f>
        <v>dalam proses
(persiapan)</v>
      </c>
      <c r="AF46" s="67" t="str">
        <f>DATA!AJ33</f>
        <v>FS</v>
      </c>
      <c r="AG46" s="67" t="str">
        <f>DATA!AK33</f>
        <v>Proses pembebasan lahan oleh Pemda</v>
      </c>
      <c r="AH46" s="67" t="str">
        <f>DATA!AL33</f>
        <v>-</v>
      </c>
      <c r="AI46" s="42">
        <f>DATA!AM33</f>
        <v>0</v>
      </c>
      <c r="AJ46" s="42" t="str">
        <f>DATA!AN33</f>
        <v>dalam proses
(memiliki FS)</v>
      </c>
      <c r="AK46" s="42" t="str">
        <f>DATA!AO33</f>
        <v>dalam proses
(persiapan)</v>
      </c>
      <c r="AL46" s="42" t="str">
        <f>DATA!AP33</f>
        <v>belum ada proses tender/lelang</v>
      </c>
      <c r="AM46" s="42" t="str">
        <f>DATA!AY33</f>
        <v>Konfirmasi melalui surat Sekjen nomor KU.01.12-Sj/636 tgl 23 Oktober 2015</v>
      </c>
      <c r="AN46" s="42" t="e">
        <f>DATA!#REF!</f>
        <v>#REF!</v>
      </c>
      <c r="AO46" s="42">
        <f>DATA!AZ33</f>
        <v>0</v>
      </c>
      <c r="AP46" s="152" t="e">
        <f>DATA!#REF!</f>
        <v>#REF!</v>
      </c>
      <c r="AQ46" s="67"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row>
    <row r="47" spans="1:43" s="6" customFormat="1" ht="56.25" customHeight="1">
      <c r="A47" s="6">
        <f>DATA!A34</f>
        <v>31</v>
      </c>
      <c r="B47" s="6">
        <f>DATA!B34</f>
        <v>0</v>
      </c>
      <c r="C47" s="6" t="str">
        <f>DATA!D34</f>
        <v>INFRASTRUKTUR</v>
      </c>
      <c r="D47" s="6">
        <f>DATA!E34</f>
        <v>1</v>
      </c>
      <c r="E47" s="6" t="str">
        <f>DATA!F34</f>
        <v>Kementerian Pekerjaan Umum dan Perumahan Rakyat</v>
      </c>
      <c r="F47" s="6" t="str">
        <f>DATA!H34</f>
        <v>Drinking Water Development Program</v>
      </c>
      <c r="G47" s="6" t="str">
        <f>DATA!I34</f>
        <v>D</v>
      </c>
      <c r="H47" s="6" t="str">
        <f>DATA!J34</f>
        <v>Program Pembangunan Air Minum</v>
      </c>
      <c r="I47" s="6">
        <f>DATA!K34</f>
        <v>3</v>
      </c>
      <c r="J47" s="38"/>
      <c r="K47" s="39"/>
      <c r="L47" s="39"/>
      <c r="M47" s="43"/>
      <c r="N47" s="67" t="str">
        <f>DATA!L34</f>
        <v xml:space="preserve">The Development of Regional Water Supply System of Mebidang </v>
      </c>
      <c r="O47" s="42">
        <f>DATA!Q34</f>
        <v>1</v>
      </c>
      <c r="P47" s="42">
        <f>DATA!R34</f>
        <v>1</v>
      </c>
      <c r="Q47" s="42">
        <f>DATA!S34</f>
        <v>28</v>
      </c>
      <c r="R47" s="83">
        <f>DATA!T34</f>
        <v>56400000</v>
      </c>
      <c r="S47" s="88">
        <f>DATA!U34</f>
        <v>56400000</v>
      </c>
      <c r="T47" s="83">
        <f>DATA!V34</f>
        <v>2820000</v>
      </c>
      <c r="U47" s="83">
        <f>DATA!W34</f>
        <v>0</v>
      </c>
      <c r="V47" s="83">
        <f>DATA!X34</f>
        <v>59220000</v>
      </c>
      <c r="W47" s="84" t="str">
        <f>DATA!Y34</f>
        <v>Jerman (KfW)</v>
      </c>
      <c r="X47" s="42" t="str">
        <f>DATA!Z34</f>
        <v>Bilateral</v>
      </c>
      <c r="Y47" s="83">
        <f>DATA!AA34</f>
        <v>56400000</v>
      </c>
      <c r="Z47" s="83">
        <f>DATA!AG34</f>
        <v>0</v>
      </c>
      <c r="AA47" s="42">
        <f>DATA!AH34</f>
        <v>2017</v>
      </c>
      <c r="AB47" s="67" t="str">
        <f>DATA!AI34</f>
        <v>-</v>
      </c>
      <c r="AC47" s="152">
        <f>DATA!AM34</f>
        <v>0</v>
      </c>
      <c r="AD47" s="152" t="str">
        <f>DATA!AN34</f>
        <v>dalam proses
(memiliki FS dan DED)</v>
      </c>
      <c r="AE47" s="152" t="str">
        <f>DATA!AO34</f>
        <v>dalam proses
(persiapan)</v>
      </c>
      <c r="AF47" s="67" t="str">
        <f>DATA!AJ34</f>
        <v>FS, DED</v>
      </c>
      <c r="AG47" s="67" t="str">
        <f>DATA!AK34</f>
        <v>Proses pembebasan lahan oleh Pemda</v>
      </c>
      <c r="AH47" s="67" t="str">
        <f>DATA!AL34</f>
        <v>-</v>
      </c>
      <c r="AI47" s="42">
        <f>DATA!AM34</f>
        <v>0</v>
      </c>
      <c r="AJ47" s="42" t="str">
        <f>DATA!AN34</f>
        <v>dalam proses
(memiliki FS dan DED)</v>
      </c>
      <c r="AK47" s="42" t="str">
        <f>DATA!AO34</f>
        <v>dalam proses
(persiapan)</v>
      </c>
      <c r="AL47" s="42" t="str">
        <f>DATA!AP34</f>
        <v>belum ada proses tender/lelang</v>
      </c>
      <c r="AM47" s="42" t="str">
        <f>DATA!AY34</f>
        <v>Konfirmasi melalui surat Sekjen nomor KU.01.12-Sj/636 tgl 23 Oktober 2015</v>
      </c>
      <c r="AN47" s="42" t="e">
        <f>DATA!#REF!</f>
        <v>#REF!</v>
      </c>
      <c r="AO47" s="42">
        <f>DATA!AZ34</f>
        <v>0</v>
      </c>
      <c r="AP47" s="152" t="e">
        <f>DATA!#REF!</f>
        <v>#REF!</v>
      </c>
      <c r="AQ47" s="67" t="str">
        <f>DATA!BA34</f>
        <v>Pembangunan IPA dengan kapasitas 1.250 lt/dt, pembangunan jaringan pipa transmisi untuk penyediaan air minum yang melayani 84.558 SR di wilayah Medan, Binjai, dan Deli Serdang.</v>
      </c>
    </row>
    <row r="48" spans="1:43" ht="48.75" customHeight="1">
      <c r="A48" s="10">
        <f>DATA!A35</f>
        <v>32</v>
      </c>
      <c r="B48" s="10">
        <f>DATA!B35</f>
        <v>0</v>
      </c>
      <c r="C48" s="10" t="str">
        <f>DATA!D35</f>
        <v>INFRASTRUKTUR</v>
      </c>
      <c r="D48" s="10">
        <f>DATA!E35</f>
        <v>1</v>
      </c>
      <c r="E48" s="10" t="str">
        <f>DATA!F35</f>
        <v>Kementerian Pekerjaan Umum dan Perumahan Rakyat</v>
      </c>
      <c r="F48" s="10" t="str">
        <f>DATA!H35</f>
        <v>Drinking Water Development Program</v>
      </c>
      <c r="G48" s="10" t="str">
        <f>DATA!I35</f>
        <v>D</v>
      </c>
      <c r="H48" s="10" t="str">
        <f>DATA!J35</f>
        <v>Program Pembangunan Air Minum</v>
      </c>
      <c r="I48" s="10">
        <f>DATA!K35</f>
        <v>4</v>
      </c>
      <c r="J48" s="33"/>
      <c r="K48" s="34"/>
      <c r="L48" s="34"/>
      <c r="M48" s="36">
        <f>DATA!K35</f>
        <v>4</v>
      </c>
      <c r="N48" s="37" t="str">
        <f>DATA!L35</f>
        <v>Water Supply System and Small Scale Water Treatment:</v>
      </c>
      <c r="O48" s="20">
        <f>DATA!Q35</f>
        <v>0</v>
      </c>
      <c r="P48" s="20">
        <f>DATA!R35</f>
        <v>0</v>
      </c>
      <c r="Q48" s="20">
        <f>DATA!S35</f>
        <v>0</v>
      </c>
      <c r="R48" s="77">
        <f>DATA!T35</f>
        <v>125000000</v>
      </c>
      <c r="S48" s="88">
        <f>DATA!U35</f>
        <v>125000000</v>
      </c>
      <c r="T48" s="77">
        <f>DATA!V35</f>
        <v>5800000</v>
      </c>
      <c r="U48" s="77">
        <f>DATA!W35</f>
        <v>0</v>
      </c>
      <c r="V48" s="77">
        <f>DATA!X35</f>
        <v>130800000</v>
      </c>
      <c r="W48" s="78" t="str">
        <f>DATA!Y35</f>
        <v>-</v>
      </c>
      <c r="X48" s="20">
        <f>DATA!Z35</f>
        <v>0</v>
      </c>
      <c r="Y48" s="77">
        <f>DATA!AA35</f>
        <v>125000000</v>
      </c>
      <c r="Z48" s="77">
        <f>DATA!AG35</f>
        <v>0</v>
      </c>
      <c r="AA48" s="20" t="str">
        <f>DATA!AH35</f>
        <v>-</v>
      </c>
      <c r="AB48" s="37" t="str">
        <f>DATA!AI35</f>
        <v>-</v>
      </c>
      <c r="AC48" s="152">
        <f>DATA!AM35</f>
        <v>0</v>
      </c>
      <c r="AD48" s="152" t="str">
        <f>DATA!AN35</f>
        <v>-</v>
      </c>
      <c r="AE48" s="152" t="str">
        <f>DATA!AO35</f>
        <v>-</v>
      </c>
      <c r="AF48" s="37" t="str">
        <f>DATA!AJ35</f>
        <v>-</v>
      </c>
      <c r="AG48" s="37" t="str">
        <f>DATA!AK35</f>
        <v>-</v>
      </c>
      <c r="AH48" s="37" t="str">
        <f>DATA!AL35</f>
        <v>-</v>
      </c>
      <c r="AI48" s="20">
        <f>DATA!AM35</f>
        <v>0</v>
      </c>
      <c r="AJ48" s="20" t="str">
        <f>DATA!AN35</f>
        <v>-</v>
      </c>
      <c r="AK48" s="20" t="str">
        <f>DATA!AO35</f>
        <v>-</v>
      </c>
      <c r="AL48" s="20">
        <f>DATA!AP35</f>
        <v>0</v>
      </c>
      <c r="AM48" s="20" t="str">
        <f>DATA!AY35</f>
        <v>Konfirmasi melalui surat Sekjen nomor KU.01.12-Sj/636 tgl 23 Oktober 2015</v>
      </c>
      <c r="AN48" s="20" t="e">
        <f>DATA!#REF!</f>
        <v>#REF!</v>
      </c>
      <c r="AO48" s="20">
        <f>DATA!AZ35</f>
        <v>0</v>
      </c>
      <c r="AP48" s="152" t="e">
        <f>DATA!#REF!</f>
        <v>#REF!</v>
      </c>
      <c r="AQ48" s="37" t="str">
        <f>DATA!BA35</f>
        <v>Pengadaan dan pembangunan Instalasi Pengolahan Air Minum skala kecil untuk penanganan keadaan darurat dan Ibu Kota Kecamatan (IKK) terpilih</v>
      </c>
    </row>
    <row r="49" spans="1:43" s="6" customFormat="1" ht="66.75" customHeight="1">
      <c r="A49" s="6">
        <f>DATA!A36</f>
        <v>33</v>
      </c>
      <c r="B49" s="6">
        <f>DATA!B36</f>
        <v>0</v>
      </c>
      <c r="C49" s="6" t="str">
        <f>DATA!D36</f>
        <v>INFRASTRUKTUR</v>
      </c>
      <c r="D49" s="6">
        <f>DATA!E36</f>
        <v>1</v>
      </c>
      <c r="E49" s="6" t="str">
        <f>DATA!F36</f>
        <v>Kementerian Pekerjaan Umum dan Perumahan Rakyat</v>
      </c>
      <c r="F49" s="6" t="str">
        <f>DATA!H36</f>
        <v>Drinking Water Development Program</v>
      </c>
      <c r="G49" s="6" t="str">
        <f>DATA!I36</f>
        <v>D</v>
      </c>
      <c r="H49" s="6" t="str">
        <f>DATA!J36</f>
        <v>Program Pembangunan Air Minum</v>
      </c>
      <c r="I49" s="6">
        <f>DATA!K36</f>
        <v>4</v>
      </c>
      <c r="J49" s="38"/>
      <c r="K49" s="39"/>
      <c r="L49" s="39"/>
      <c r="M49" s="40"/>
      <c r="N49" s="67" t="str">
        <f>DATA!L36</f>
        <v xml:space="preserve">Small Scale Water Treatment Plants for Emergency Relief </v>
      </c>
      <c r="O49" s="42">
        <f>DATA!Q36</f>
        <v>1</v>
      </c>
      <c r="P49" s="42">
        <f>DATA!R36</f>
        <v>1</v>
      </c>
      <c r="Q49" s="42">
        <f>DATA!S36</f>
        <v>29</v>
      </c>
      <c r="R49" s="83">
        <f>DATA!T36</f>
        <v>25000000</v>
      </c>
      <c r="S49" s="88">
        <f>DATA!U36</f>
        <v>25000000</v>
      </c>
      <c r="T49" s="83">
        <f>DATA!V36</f>
        <v>800000</v>
      </c>
      <c r="U49" s="83">
        <f>DATA!W36</f>
        <v>0</v>
      </c>
      <c r="V49" s="83">
        <f>DATA!X36</f>
        <v>25800000</v>
      </c>
      <c r="W49" s="84" t="str">
        <f>DATA!Y36</f>
        <v>Spanyol</v>
      </c>
      <c r="X49" s="42" t="str">
        <f>DATA!Z36</f>
        <v>Bilateral</v>
      </c>
      <c r="Y49" s="83">
        <f>DATA!AA36</f>
        <v>25000000</v>
      </c>
      <c r="Z49" s="83">
        <f>DATA!AG36</f>
        <v>0</v>
      </c>
      <c r="AA49" s="42">
        <f>DATA!AH36</f>
        <v>2016</v>
      </c>
      <c r="AB49" s="67" t="str">
        <f>DATA!AI36</f>
        <v>- Sudah ada R/C
- Green Book 2015
 - Proses Loan Agreement</v>
      </c>
      <c r="AC49" s="152" t="str">
        <f>DATA!AM36</f>
        <v>2016; 2015</v>
      </c>
      <c r="AD49" s="152" t="str">
        <f>DATA!AN36</f>
        <v>siap</v>
      </c>
      <c r="AE49" s="152" t="str">
        <f>DATA!AO36</f>
        <v>dalam proses
(persiapan)</v>
      </c>
      <c r="AF49" s="67" t="str">
        <f>DATA!AJ36</f>
        <v>FS</v>
      </c>
      <c r="AG49" s="67" t="str">
        <f>DATA!AK36</f>
        <v>-</v>
      </c>
      <c r="AH49" s="67" t="str">
        <f>DATA!AL36</f>
        <v>-</v>
      </c>
      <c r="AI49" s="42" t="str">
        <f>DATA!AM36</f>
        <v>2016; 2015</v>
      </c>
      <c r="AJ49" s="42" t="str">
        <f>DATA!AN36</f>
        <v>siap</v>
      </c>
      <c r="AK49" s="42" t="str">
        <f>DATA!AO36</f>
        <v>dalam proses
(persiapan)</v>
      </c>
      <c r="AL49" s="42" t="str">
        <f>DATA!AP36</f>
        <v>belum ada proses tender/lelang</v>
      </c>
      <c r="AM49" s="42" t="str">
        <f>DATA!AY36</f>
        <v>Konfirmasi melalui surat Sekjen nomor KU.01.12-Sj/636 tgl 23 Oktober 2015</v>
      </c>
      <c r="AN49" s="42" t="e">
        <f>DATA!#REF!</f>
        <v>#REF!</v>
      </c>
      <c r="AO49" s="42">
        <f>DATA!AZ36</f>
        <v>0</v>
      </c>
      <c r="AP49" s="152" t="e">
        <f>DATA!#REF!</f>
        <v>#REF!</v>
      </c>
      <c r="AQ49" s="67" t="str">
        <f>DATA!BA36</f>
        <v>Pengadaan Instalasi Pengolahan Air (IPA) yang dapat dipindahkan (mobile) untuk penanganan keadaan darurat,  yang dilengkapi dengan alat pendukung, truk, dan sistem komunikasi di 4 lokasi (kota Medan, Bekasi, Makassar, dan Surabaya)</v>
      </c>
    </row>
    <row r="50" spans="1:43" ht="35.25" customHeight="1">
      <c r="J50" s="33"/>
      <c r="K50" s="34"/>
      <c r="L50" s="34"/>
      <c r="M50" s="33"/>
      <c r="N50" s="37" t="str">
        <f>DATA!L37</f>
        <v>IKK Water Supply Program and Small Water Treatment Plant for Water Scarcity Area</v>
      </c>
      <c r="O50" s="20">
        <f>DATA!Q37</f>
        <v>0</v>
      </c>
      <c r="P50" s="20">
        <f>DATA!R37</f>
        <v>1</v>
      </c>
      <c r="Q50" s="20">
        <f>DATA!S37</f>
        <v>30</v>
      </c>
      <c r="R50" s="77">
        <f>DATA!T37</f>
        <v>100000000</v>
      </c>
      <c r="S50" s="88">
        <f>DATA!U37</f>
        <v>100000000</v>
      </c>
      <c r="T50" s="77">
        <f>DATA!V37</f>
        <v>5000000</v>
      </c>
      <c r="U50" s="77">
        <f>DATA!W37</f>
        <v>0</v>
      </c>
      <c r="V50" s="77">
        <f>DATA!X37</f>
        <v>105000000</v>
      </c>
      <c r="W50" s="78" t="str">
        <f>DATA!Y37</f>
        <v>-</v>
      </c>
      <c r="X50" s="20">
        <f>DATA!Z37</f>
        <v>0</v>
      </c>
      <c r="Y50" s="77">
        <f>DATA!AA37</f>
        <v>100000000</v>
      </c>
      <c r="Z50" s="77">
        <f>DATA!AG37</f>
        <v>0</v>
      </c>
      <c r="AA50" s="104" t="str">
        <f>DATA!AH37</f>
        <v>-</v>
      </c>
      <c r="AB50" s="105" t="str">
        <f>DATA!AI37</f>
        <v>-</v>
      </c>
      <c r="AC50" s="152" t="str">
        <f>DATA!AM37</f>
        <v>-</v>
      </c>
      <c r="AD50" s="152" t="str">
        <f>DATA!AN37</f>
        <v>-</v>
      </c>
      <c r="AE50" s="152" t="str">
        <f>DATA!AO37</f>
        <v>-</v>
      </c>
      <c r="AF50" s="105" t="str">
        <f>DATA!AJ37</f>
        <v>-</v>
      </c>
      <c r="AG50" s="105" t="str">
        <f>DATA!AK37</f>
        <v>-</v>
      </c>
      <c r="AH50" s="105" t="str">
        <f>DATA!AL37</f>
        <v>-</v>
      </c>
      <c r="AI50" s="104" t="str">
        <f>DATA!AM37</f>
        <v>-</v>
      </c>
      <c r="AJ50" s="104" t="str">
        <f>DATA!AN37</f>
        <v>-</v>
      </c>
      <c r="AK50" s="104" t="str">
        <f>DATA!AO37</f>
        <v>-</v>
      </c>
      <c r="AL50" s="104" t="str">
        <f>DATA!AP37</f>
        <v>-</v>
      </c>
      <c r="AM50" s="104" t="str">
        <f>DATA!AY37</f>
        <v>Konfirmasi melalui surat Sekjen nomor KU.01.12-Sj/636 tgl 23 Oktober 2015</v>
      </c>
      <c r="AN50" s="104" t="e">
        <f>DATA!#REF!</f>
        <v>#REF!</v>
      </c>
      <c r="AO50" s="104" t="str">
        <f>DATA!AZ37</f>
        <v>-</v>
      </c>
      <c r="AP50" s="152" t="e">
        <f>DATA!#REF!</f>
        <v>#REF!</v>
      </c>
      <c r="AQ50" s="105" t="str">
        <f>DATA!BA37</f>
        <v>-</v>
      </c>
    </row>
    <row r="51" spans="1:43" s="6" customFormat="1" ht="89.25">
      <c r="A51" s="6">
        <f>DATA!A38</f>
        <v>34</v>
      </c>
      <c r="B51" s="6">
        <f>DATA!B38</f>
        <v>0</v>
      </c>
      <c r="C51" s="6" t="str">
        <f>DATA!D38</f>
        <v>INFRASTRUKTUR</v>
      </c>
      <c r="D51" s="6">
        <f>DATA!E38</f>
        <v>1</v>
      </c>
      <c r="E51" s="6" t="str">
        <f>DATA!F38</f>
        <v>Kementerian Pekerjaan Umum dan Perumahan Rakyat</v>
      </c>
      <c r="F51" s="6" t="str">
        <f>DATA!H38</f>
        <v>Drinking Water Development Program</v>
      </c>
      <c r="G51" s="6" t="str">
        <f>DATA!I38</f>
        <v>D</v>
      </c>
      <c r="H51" s="6" t="str">
        <f>DATA!J38</f>
        <v>Program Pembangunan Air Minum</v>
      </c>
      <c r="I51" s="6">
        <f>DATA!K38</f>
        <v>4</v>
      </c>
      <c r="J51" s="38"/>
      <c r="K51" s="39"/>
      <c r="L51" s="71"/>
      <c r="M51" s="43"/>
      <c r="N51" s="67" t="str">
        <f>DATA!L38</f>
        <v>IKK Water Supply Program and Small Water Treatment Plant for Water Scarcity Area</v>
      </c>
      <c r="O51" s="42">
        <f>DATA!Q38</f>
        <v>0.5</v>
      </c>
      <c r="P51" s="42">
        <f>DATA!R38</f>
        <v>0</v>
      </c>
      <c r="Q51" s="42">
        <f>DATA!S38</f>
        <v>0</v>
      </c>
      <c r="R51" s="83">
        <f>DATA!T38</f>
        <v>0</v>
      </c>
      <c r="S51" s="88">
        <f>DATA!U38</f>
        <v>100000000</v>
      </c>
      <c r="T51" s="83">
        <f>DATA!V38</f>
        <v>0</v>
      </c>
      <c r="U51" s="83">
        <f>DATA!W38</f>
        <v>0</v>
      </c>
      <c r="V51" s="83">
        <f>DATA!X38</f>
        <v>0</v>
      </c>
      <c r="W51" s="84" t="str">
        <f>DATA!Y38</f>
        <v>Hungaria</v>
      </c>
      <c r="X51" s="42" t="str">
        <f>DATA!Z38</f>
        <v>Bilateral</v>
      </c>
      <c r="Y51" s="83">
        <f>DATA!AA38</f>
        <v>50000000</v>
      </c>
      <c r="Z51" s="83">
        <f>DATA!AG38</f>
        <v>0</v>
      </c>
      <c r="AA51" s="42">
        <f>DATA!AH38</f>
        <v>2016</v>
      </c>
      <c r="AB51" s="67" t="str">
        <f>DATA!AI38</f>
        <v>- Sudah ada R/C
- Green Book 2015
- Proses LA</v>
      </c>
      <c r="AC51" s="152" t="str">
        <f>DATA!AM38</f>
        <v>2016; 2015</v>
      </c>
      <c r="AD51" s="152" t="str">
        <f>DATA!AN38</f>
        <v>siap</v>
      </c>
      <c r="AE51" s="152" t="str">
        <f>DATA!AO38</f>
        <v>dalam proses
(pelaksanaan &lt;50%)</v>
      </c>
      <c r="AF51" s="67" t="str">
        <f>DATA!AJ38</f>
        <v>Surat minat, RISPAM, DED, SIPA, Organisasi Pelaksana, DDUB</v>
      </c>
      <c r="AG51" s="67" t="str">
        <f>DATA!AK38</f>
        <v>Sebagian lokasi dalam proses pembebasan lahan oleh Pemda</v>
      </c>
      <c r="AH51" s="67" t="str">
        <f>DATA!AL38</f>
        <v>Dalam proses pengadaan</v>
      </c>
      <c r="AI51" s="42" t="str">
        <f>DATA!AM38</f>
        <v>2016; 2015</v>
      </c>
      <c r="AJ51" s="42" t="str">
        <f>DATA!AN38</f>
        <v>siap</v>
      </c>
      <c r="AK51" s="42" t="str">
        <f>DATA!AO38</f>
        <v>dalam proses
(pelaksanaan &lt;50%)</v>
      </c>
      <c r="AL51" s="42" t="str">
        <f>DATA!AP38</f>
        <v>dalam proses tender/lelang</v>
      </c>
      <c r="AM51" s="42" t="str">
        <f>DATA!AY38</f>
        <v>Konfirmasi melalui surat Sekjen nomor KU.01.12-Sj/636 tgl 23 Oktober 2015</v>
      </c>
      <c r="AN51" s="42" t="e">
        <f>DATA!#REF!</f>
        <v>#REF!</v>
      </c>
      <c r="AO51" s="42"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P51" s="152" t="e">
        <f>DATA!#REF!</f>
        <v>#REF!</v>
      </c>
      <c r="AQ51" s="67"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row>
    <row r="52" spans="1:43" s="6" customFormat="1" ht="30" customHeight="1">
      <c r="J52" s="38"/>
      <c r="K52" s="39"/>
      <c r="L52" s="71"/>
      <c r="M52" s="43"/>
      <c r="N52" s="67" t="str">
        <f>DATA!L39</f>
        <v>IKK Water Supply Program and Small Water Treatment Plant for Water Scarcity Area</v>
      </c>
      <c r="O52" s="42">
        <f>DATA!Q39</f>
        <v>0.5</v>
      </c>
      <c r="P52" s="42">
        <f>DATA!R39</f>
        <v>0</v>
      </c>
      <c r="Q52" s="42">
        <f>DATA!S39</f>
        <v>0</v>
      </c>
      <c r="R52" s="83">
        <f>DATA!T39</f>
        <v>0</v>
      </c>
      <c r="S52" s="88">
        <f>DATA!U39</f>
        <v>100000000</v>
      </c>
      <c r="T52" s="83">
        <f>DATA!V39</f>
        <v>0</v>
      </c>
      <c r="U52" s="83">
        <f>DATA!W39</f>
        <v>0</v>
      </c>
      <c r="V52" s="83">
        <f>DATA!X39</f>
        <v>0</v>
      </c>
      <c r="W52" s="84" t="str">
        <f>DATA!Y39</f>
        <v>IDB</v>
      </c>
      <c r="X52" s="42" t="str">
        <f>DATA!Z39</f>
        <v>Multilateral</v>
      </c>
      <c r="Y52" s="83">
        <f>DATA!AA39</f>
        <v>50000000</v>
      </c>
      <c r="Z52" s="83">
        <f>DATA!AG39</f>
        <v>0</v>
      </c>
      <c r="AA52" s="42">
        <f>DATA!AH39</f>
        <v>2017</v>
      </c>
      <c r="AB52" s="67" t="str">
        <f>DATA!AI39</f>
        <v>-</v>
      </c>
      <c r="AC52" s="152">
        <f>DATA!AM39</f>
        <v>0</v>
      </c>
      <c r="AD52" s="152" t="str">
        <f>DATA!AN39</f>
        <v>siap</v>
      </c>
      <c r="AE52" s="152" t="str">
        <f>DATA!AO39</f>
        <v>dalam proses
(pelaksanaan &lt;50%)</v>
      </c>
      <c r="AF52" s="67" t="str">
        <f>DATA!AJ39</f>
        <v>-</v>
      </c>
      <c r="AG52" s="67" t="str">
        <f>DATA!AK39</f>
        <v>-</v>
      </c>
      <c r="AH52" s="67" t="str">
        <f>DATA!AL39</f>
        <v>-</v>
      </c>
      <c r="AI52" s="42">
        <f>DATA!AM39</f>
        <v>0</v>
      </c>
      <c r="AJ52" s="42" t="str">
        <f>DATA!AN39</f>
        <v>siap</v>
      </c>
      <c r="AK52" s="42" t="str">
        <f>DATA!AO39</f>
        <v>dalam proses
(pelaksanaan &lt;50%)</v>
      </c>
      <c r="AL52" s="42" t="str">
        <f>DATA!AP39</f>
        <v>belum ada proses tender/lelang</v>
      </c>
      <c r="AM52" s="42" t="str">
        <f>DATA!AY39</f>
        <v>Konfirmasi melalui surat Sekjen nomor KU.01.12-Sj/636 tgl 23 Oktober 2015</v>
      </c>
      <c r="AN52" s="42" t="e">
        <f>DATA!#REF!</f>
        <v>#REF!</v>
      </c>
      <c r="AO52" s="42">
        <f>DATA!AZ39</f>
        <v>0</v>
      </c>
      <c r="AP52" s="152" t="e">
        <f>DATA!#REF!</f>
        <v>#REF!</v>
      </c>
      <c r="AQ52" s="67">
        <f>DATA!BA39</f>
        <v>0</v>
      </c>
    </row>
    <row r="53" spans="1:43" s="6" customFormat="1" ht="37.5" customHeight="1">
      <c r="J53" s="38"/>
      <c r="K53" s="39"/>
      <c r="L53" s="71"/>
      <c r="M53" s="36">
        <f>DATA!K40</f>
        <v>5</v>
      </c>
      <c r="N53" s="37" t="str">
        <f>DATA!L40</f>
        <v>Engineering Service for Water Supply Development Project</v>
      </c>
      <c r="O53" s="20">
        <f>DATA!Q40</f>
        <v>0</v>
      </c>
      <c r="P53" s="20">
        <f>DATA!R40</f>
        <v>1</v>
      </c>
      <c r="Q53" s="20">
        <f>DATA!S40</f>
        <v>0</v>
      </c>
      <c r="R53" s="77">
        <f>DATA!T40</f>
        <v>0</v>
      </c>
      <c r="S53" s="88">
        <f>DATA!U40</f>
        <v>26380000</v>
      </c>
      <c r="T53" s="77">
        <f>DATA!V40</f>
        <v>0</v>
      </c>
      <c r="U53" s="77">
        <f>DATA!W40</f>
        <v>0</v>
      </c>
      <c r="V53" s="77">
        <f>DATA!X40</f>
        <v>0</v>
      </c>
      <c r="W53" s="78" t="str">
        <f>DATA!Y40</f>
        <v>ADB</v>
      </c>
      <c r="X53" s="20" t="str">
        <f>DATA!Z40</f>
        <v>Multilateral</v>
      </c>
      <c r="Y53" s="77">
        <f>DATA!AA40</f>
        <v>26380000</v>
      </c>
      <c r="Z53" s="77">
        <f>DATA!AG40</f>
        <v>0</v>
      </c>
      <c r="AA53" s="20">
        <f>DATA!AH40</f>
        <v>2016</v>
      </c>
      <c r="AB53" s="37" t="str">
        <f>DATA!AI40</f>
        <v>- Green Book 2015</v>
      </c>
      <c r="AC53" s="152" t="str">
        <f>DATA!AM40</f>
        <v>2015; 2016</v>
      </c>
      <c r="AD53" s="152" t="str">
        <f>DATA!AN40</f>
        <v>siap</v>
      </c>
      <c r="AE53" s="152" t="str">
        <f>DATA!AO40</f>
        <v>tidak butuh lahan</v>
      </c>
      <c r="AF53" s="37" t="str">
        <f>DATA!AJ40</f>
        <v>-</v>
      </c>
      <c r="AG53" s="37" t="str">
        <f>DATA!AK40</f>
        <v>-</v>
      </c>
      <c r="AH53" s="37" t="str">
        <f>DATA!AL40</f>
        <v>-</v>
      </c>
      <c r="AI53" s="42"/>
      <c r="AJ53" s="42"/>
      <c r="AK53" s="42"/>
      <c r="AL53" s="42"/>
      <c r="AM53" s="42"/>
      <c r="AN53" s="42"/>
      <c r="AO53" s="42"/>
      <c r="AP53" s="152" t="e">
        <f>DATA!#REF!</f>
        <v>#REF!</v>
      </c>
      <c r="AQ53" s="67"/>
    </row>
    <row r="54" spans="1:43" s="5" customFormat="1" ht="33.75" customHeight="1">
      <c r="J54" s="28"/>
      <c r="K54" s="50"/>
      <c r="L54" s="30" t="str">
        <f>DATA!I41</f>
        <v>E</v>
      </c>
      <c r="M54" s="31" t="str">
        <f>DATA!J41</f>
        <v xml:space="preserve">Program Pembangunan Sistem Pengelolaan Air Limbah </v>
      </c>
      <c r="N54" s="51"/>
      <c r="O54" s="31"/>
      <c r="P54" s="31"/>
      <c r="Q54" s="31"/>
      <c r="R54" s="81">
        <f>+R55+R58+R59+R60+R64+R65</f>
        <v>3583000000</v>
      </c>
      <c r="S54" s="81">
        <f>+S55+S58+S59+S60+S64+S65</f>
        <v>3583000000</v>
      </c>
      <c r="T54" s="81">
        <f t="shared" ref="T54:Z54" si="1">+T55+T58+T59+T60+T64+T65</f>
        <v>179150000</v>
      </c>
      <c r="U54" s="81">
        <f t="shared" si="1"/>
        <v>0</v>
      </c>
      <c r="V54" s="81">
        <f t="shared" si="1"/>
        <v>3762150000</v>
      </c>
      <c r="W54" s="81"/>
      <c r="X54" s="81" t="e">
        <f t="shared" si="1"/>
        <v>#VALUE!</v>
      </c>
      <c r="Y54" s="81">
        <f t="shared" si="1"/>
        <v>3583000000</v>
      </c>
      <c r="Z54" s="81">
        <f t="shared" si="1"/>
        <v>0</v>
      </c>
      <c r="AA54" s="31"/>
      <c r="AB54" s="32"/>
      <c r="AC54" s="32"/>
      <c r="AD54" s="32"/>
      <c r="AE54" s="32"/>
      <c r="AF54" s="32"/>
      <c r="AG54" s="32"/>
      <c r="AH54" s="32"/>
      <c r="AI54" s="31"/>
      <c r="AJ54" s="31"/>
      <c r="AK54" s="31"/>
      <c r="AL54" s="31"/>
      <c r="AM54" s="31"/>
      <c r="AN54" s="31"/>
      <c r="AO54" s="31"/>
      <c r="AP54" s="32"/>
      <c r="AQ54" s="32"/>
    </row>
    <row r="55" spans="1:43" ht="57.75" customHeight="1">
      <c r="A55" s="10">
        <f>DATA!A41</f>
        <v>35</v>
      </c>
      <c r="B55" s="10">
        <f>DATA!B41</f>
        <v>0</v>
      </c>
      <c r="C55" s="10" t="str">
        <f>DATA!D41</f>
        <v>INFRASTRUKTUR</v>
      </c>
      <c r="D55" s="10">
        <f>DATA!E41</f>
        <v>1</v>
      </c>
      <c r="E55" s="10" t="str">
        <f>DATA!F41</f>
        <v>Kementerian Pekerjaan Umum dan Perumahan Rakyat</v>
      </c>
      <c r="F55" s="10" t="str">
        <f>DATA!H41</f>
        <v>Development of Waste Water Management Program</v>
      </c>
      <c r="G55" s="10" t="str">
        <f>DATA!I41</f>
        <v>E</v>
      </c>
      <c r="H55" s="10" t="str">
        <f>DATA!J41</f>
        <v xml:space="preserve">Program Pembangunan Sistem Pengelolaan Air Limbah </v>
      </c>
      <c r="I55" s="10">
        <f>DATA!K41</f>
        <v>1</v>
      </c>
      <c r="J55" s="33"/>
      <c r="K55" s="34"/>
      <c r="L55" s="35"/>
      <c r="M55" s="36">
        <f>DATA!K41</f>
        <v>1</v>
      </c>
      <c r="N55" s="37" t="str">
        <f>DATA!L41</f>
        <v>Community Based Sanitation Program (SANIMAS)</v>
      </c>
      <c r="O55" s="37">
        <f>DATA!Q41</f>
        <v>0</v>
      </c>
      <c r="P55" s="37">
        <f>DATA!R41</f>
        <v>1</v>
      </c>
      <c r="Q55" s="37">
        <f>DATA!S41</f>
        <v>31</v>
      </c>
      <c r="R55" s="87">
        <f>DATA!T41</f>
        <v>250000000</v>
      </c>
      <c r="S55" s="88">
        <f>DATA!U41</f>
        <v>250000000</v>
      </c>
      <c r="T55" s="87">
        <f>DATA!V41</f>
        <v>12500000</v>
      </c>
      <c r="U55" s="87">
        <f>DATA!W41</f>
        <v>0</v>
      </c>
      <c r="V55" s="87">
        <f>DATA!X41</f>
        <v>262500000</v>
      </c>
      <c r="W55" s="37" t="str">
        <f>DATA!Y41</f>
        <v>-</v>
      </c>
      <c r="X55" s="37">
        <f>DATA!Z41</f>
        <v>0</v>
      </c>
      <c r="Y55" s="37">
        <f>DATA!AA41</f>
        <v>250000000</v>
      </c>
      <c r="Z55" s="87">
        <f>DATA!AG41</f>
        <v>0</v>
      </c>
      <c r="AA55" s="37" t="str">
        <f>DATA!AH41</f>
        <v>-</v>
      </c>
      <c r="AB55" s="37" t="str">
        <f>DATA!AI41</f>
        <v>-</v>
      </c>
      <c r="AC55" s="152" t="str">
        <f>DATA!AM41</f>
        <v>-</v>
      </c>
      <c r="AD55" s="152" t="str">
        <f>DATA!AN41</f>
        <v>-</v>
      </c>
      <c r="AE55" s="152" t="str">
        <f>DATA!AO41</f>
        <v>-</v>
      </c>
      <c r="AF55" s="37" t="str">
        <f>DATA!AJ41</f>
        <v>-</v>
      </c>
      <c r="AG55" s="37" t="str">
        <f>DATA!AK41</f>
        <v>-</v>
      </c>
      <c r="AH55" s="37" t="str">
        <f>DATA!AL41</f>
        <v>-</v>
      </c>
      <c r="AI55" s="37" t="str">
        <f>DATA!AM41</f>
        <v>-</v>
      </c>
      <c r="AJ55" s="37" t="str">
        <f>DATA!AN41</f>
        <v>-</v>
      </c>
      <c r="AK55" s="37" t="str">
        <f>DATA!AO41</f>
        <v>-</v>
      </c>
      <c r="AL55" s="37" t="str">
        <f>DATA!AP41</f>
        <v>belum ada proses tender/lelang</v>
      </c>
      <c r="AM55" s="37" t="str">
        <f>DATA!AY41</f>
        <v>- Merupakan kelanjutan dari kegiatan Urban Sanitation and Rural Infrastructure Support to PNPM Mandiri Projrct (USRI) yang telah berakhir pada tanggal 30 Juni 2015
- Konfirmasi melalui surat Sekjen nomor KU.01.12-Sj/636 tgl 23 Oktober 2015</v>
      </c>
      <c r="AN55" s="37" t="e">
        <f>DATA!#REF!</f>
        <v>#REF!</v>
      </c>
      <c r="AO55" s="37" t="str">
        <f>DATA!AZ41</f>
        <v>- ADB akan co-financing dengan IDB dan diindikasikan akan mendanai kegiatan ini sebesar USD 125 juta untuk wilayah Indonesia Timur
'- IDB akan co-financing dengan ADB dan diindikasikan akan mendanai kegiatan ini sebesar USD 25 juta untuk wilayah Indonesia Barat</v>
      </c>
      <c r="AP55" s="152" t="e">
        <f>DATA!#REF!</f>
        <v>#REF!</v>
      </c>
      <c r="AQ55" s="37" t="str">
        <f>DATA!BA41</f>
        <v>Bantuan langsung masyarakat, penguatan institusi pengelola, dan jasa konsultasi.</v>
      </c>
    </row>
    <row r="56" spans="1:43" s="6" customFormat="1" ht="55.5" customHeight="1">
      <c r="J56" s="38"/>
      <c r="K56" s="39"/>
      <c r="L56" s="39"/>
      <c r="M56" s="72"/>
      <c r="N56" s="67" t="str">
        <f>DATA!L42</f>
        <v>Community Based Sanitation Program (SANIMAS)</v>
      </c>
      <c r="O56" s="67">
        <f>DATA!Q42</f>
        <v>0.5</v>
      </c>
      <c r="P56" s="67">
        <f>DATA!R42</f>
        <v>1</v>
      </c>
      <c r="Q56" s="67">
        <f>DATA!S42</f>
        <v>31</v>
      </c>
      <c r="R56" s="93">
        <f>DATA!T42</f>
        <v>0</v>
      </c>
      <c r="S56" s="88">
        <f>DATA!U42</f>
        <v>0</v>
      </c>
      <c r="T56" s="93">
        <f>DATA!V42</f>
        <v>0</v>
      </c>
      <c r="U56" s="93">
        <f>DATA!W42</f>
        <v>0</v>
      </c>
      <c r="V56" s="93">
        <f>DATA!X42</f>
        <v>0</v>
      </c>
      <c r="W56" s="84" t="str">
        <f>DATA!Y42</f>
        <v>ADB</v>
      </c>
      <c r="X56" s="67" t="str">
        <f>DATA!Z42</f>
        <v>Multilateral</v>
      </c>
      <c r="Y56" s="67">
        <f>DATA!AA42</f>
        <v>125000000</v>
      </c>
      <c r="Z56" s="93">
        <f>DATA!AG42</f>
        <v>0</v>
      </c>
      <c r="AA56" s="67">
        <f>DATA!AH42</f>
        <v>2016</v>
      </c>
      <c r="AB56" s="67" t="str">
        <f>DATA!AI42</f>
        <v>-</v>
      </c>
      <c r="AC56" s="152">
        <f>DATA!AM42</f>
        <v>0</v>
      </c>
      <c r="AD56" s="152" t="str">
        <f>DATA!AN42</f>
        <v>belum ada keterangan</v>
      </c>
      <c r="AE56" s="152" t="str">
        <f>DATA!AO42</f>
        <v>tidak butuh lahan</v>
      </c>
      <c r="AF56" s="67" t="str">
        <f>DATA!AJ42</f>
        <v>-</v>
      </c>
      <c r="AG56" s="67" t="str">
        <f>DATA!AK42</f>
        <v>Tidak ada kegiatan pengadaan lahan, lahan akan diperoleh dari masyarakat</v>
      </c>
      <c r="AH56" s="67" t="str">
        <f>DATA!AL42</f>
        <v>-</v>
      </c>
      <c r="AI56" s="67">
        <f>DATA!AM42</f>
        <v>0</v>
      </c>
      <c r="AJ56" s="67" t="str">
        <f>DATA!AN42</f>
        <v>belum ada keterangan</v>
      </c>
      <c r="AK56" s="67" t="str">
        <f>DATA!AO42</f>
        <v>tidak butuh lahan</v>
      </c>
      <c r="AL56" s="67" t="str">
        <f>DATA!AP42</f>
        <v>belum ada proses tender/lelang</v>
      </c>
      <c r="AM56" s="67" t="str">
        <f>DATA!AY42</f>
        <v>- Merupakan kelanjutan dari kegiatan Urban Sanitation and Rural Infrastructure Support to PNPM Mandiri Projrct (USRI) yang telah berakhir pada tanggal 30 Juni 2015
- Konfirmasi melalui e-mail tanggal 17, 18, dan 21 Sept 2015</v>
      </c>
      <c r="AN56" s="67" t="e">
        <f>DATA!#REF!</f>
        <v>#REF!</v>
      </c>
      <c r="AO56" s="6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P56" s="152" t="e">
        <f>DATA!#REF!</f>
        <v>#REF!</v>
      </c>
      <c r="AQ56" s="67" t="str">
        <f>DATA!BA42</f>
        <v>Bantuan langsung masyarakat, penguatan institusi pengelola, dan jasa konsultasi.</v>
      </c>
    </row>
    <row r="57" spans="1:43" s="6" customFormat="1" ht="46.5" customHeight="1">
      <c r="J57" s="38"/>
      <c r="K57" s="39"/>
      <c r="L57" s="39"/>
      <c r="M57" s="72"/>
      <c r="N57" s="67" t="str">
        <f>DATA!L43</f>
        <v>Community Based Sanitation Program (SANIMAS)</v>
      </c>
      <c r="O57" s="67">
        <f>DATA!Q43</f>
        <v>0.5</v>
      </c>
      <c r="P57" s="67">
        <f>DATA!R43</f>
        <v>1</v>
      </c>
      <c r="Q57" s="67">
        <f>DATA!S43</f>
        <v>31</v>
      </c>
      <c r="R57" s="93">
        <f>DATA!T43</f>
        <v>0</v>
      </c>
      <c r="S57" s="88">
        <f>DATA!U43</f>
        <v>0</v>
      </c>
      <c r="T57" s="93">
        <f>DATA!V43</f>
        <v>0</v>
      </c>
      <c r="U57" s="93">
        <f>DATA!W43</f>
        <v>0</v>
      </c>
      <c r="V57" s="93">
        <f>DATA!X43</f>
        <v>0</v>
      </c>
      <c r="W57" s="84" t="str">
        <f>DATA!Y43</f>
        <v>IDB</v>
      </c>
      <c r="X57" s="67" t="str">
        <f>DATA!Z43</f>
        <v>Multilateral</v>
      </c>
      <c r="Y57" s="67">
        <f>DATA!AA43</f>
        <v>125000000</v>
      </c>
      <c r="Z57" s="93">
        <f>DATA!AG43</f>
        <v>0</v>
      </c>
      <c r="AA57" s="67">
        <f>DATA!AH43</f>
        <v>2017</v>
      </c>
      <c r="AB57" s="67" t="str">
        <f>DATA!AI43</f>
        <v>-</v>
      </c>
      <c r="AC57" s="152">
        <f>DATA!AM43</f>
        <v>0</v>
      </c>
      <c r="AD57" s="152" t="str">
        <f>DATA!AN43</f>
        <v>belum ada keterangan</v>
      </c>
      <c r="AE57" s="152" t="str">
        <f>DATA!AO43</f>
        <v>tidak butuh lahan</v>
      </c>
      <c r="AF57" s="67" t="str">
        <f>DATA!AJ43</f>
        <v>-</v>
      </c>
      <c r="AG57" s="67" t="str">
        <f>DATA!AK43</f>
        <v>Tidak ada kegiatan pengadaan lahan, lahan akan diperoleh dari masyarakat</v>
      </c>
      <c r="AH57" s="67" t="str">
        <f>DATA!AL43</f>
        <v>-</v>
      </c>
      <c r="AI57" s="67">
        <f>DATA!AM43</f>
        <v>0</v>
      </c>
      <c r="AJ57" s="67" t="str">
        <f>DATA!AN43</f>
        <v>belum ada keterangan</v>
      </c>
      <c r="AK57" s="67" t="str">
        <f>DATA!AO43</f>
        <v>tidak butuh lahan</v>
      </c>
      <c r="AL57" s="67" t="str">
        <f>DATA!AP43</f>
        <v>belum ada proses tender/lelang</v>
      </c>
      <c r="AM57" s="67" t="str">
        <f>DATA!AY43</f>
        <v>- Merupakan kelanjutan dari kegiatan Urban Sanitation and Rural Infrastructure Support to PNPM Mandiri Projrct (USRI) yang telah berakhir pada tanggal 30 Juni 2015
- Konfirmasi melalui surat Sekjen nomor KU.01.12-Sj/636 tgl 23 Oktober 2015</v>
      </c>
      <c r="AN57" s="67" t="e">
        <f>DATA!#REF!</f>
        <v>#REF!</v>
      </c>
      <c r="AO57" s="6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P57" s="152" t="e">
        <f>DATA!#REF!</f>
        <v>#REF!</v>
      </c>
      <c r="AQ57" s="67" t="str">
        <f>DATA!BA43</f>
        <v>Bantuan langsung masyarakat, penguatan institusi pengelola, dan jasa konsultasi.</v>
      </c>
    </row>
    <row r="58" spans="1:43" ht="80.25" customHeight="1">
      <c r="A58" s="10">
        <f>DATA!A44</f>
        <v>36</v>
      </c>
      <c r="B58" s="10">
        <f>DATA!B44</f>
        <v>0</v>
      </c>
      <c r="C58" s="10" t="str">
        <f>DATA!D44</f>
        <v>INFRASTRUKTUR</v>
      </c>
      <c r="D58" s="10">
        <f>DATA!E44</f>
        <v>1</v>
      </c>
      <c r="E58" s="10" t="str">
        <f>DATA!F44</f>
        <v>Kementerian Pekerjaan Umum dan Perumahan Rakyat</v>
      </c>
      <c r="F58" s="10" t="str">
        <f>DATA!H44</f>
        <v>Development of Waste Water Management Program</v>
      </c>
      <c r="G58" s="10" t="str">
        <f>DATA!I44</f>
        <v>E</v>
      </c>
      <c r="H58" s="10" t="str">
        <f>DATA!J44</f>
        <v xml:space="preserve">Program Pembangunan Sistem Pengelolaan Air Limbah </v>
      </c>
      <c r="I58" s="10">
        <f>DATA!K44</f>
        <v>2</v>
      </c>
      <c r="J58" s="33"/>
      <c r="K58" s="34"/>
      <c r="L58" s="34"/>
      <c r="M58" s="36">
        <f>DATA!K44</f>
        <v>2</v>
      </c>
      <c r="N58" s="37" t="str">
        <f>DATA!L44</f>
        <v>Jakarta Sewerage Development Project - Zone 1 and Zone 6</v>
      </c>
      <c r="O58" s="20">
        <f>DATA!Q44</f>
        <v>1</v>
      </c>
      <c r="P58" s="20">
        <f>DATA!R44</f>
        <v>1</v>
      </c>
      <c r="Q58" s="20">
        <f>DATA!S44</f>
        <v>32</v>
      </c>
      <c r="R58" s="77">
        <f>DATA!T44</f>
        <v>1950000000</v>
      </c>
      <c r="S58" s="88">
        <f>DATA!U44</f>
        <v>1950000000</v>
      </c>
      <c r="T58" s="77">
        <f>DATA!V44</f>
        <v>97500000</v>
      </c>
      <c r="U58" s="77">
        <f>DATA!W44</f>
        <v>0</v>
      </c>
      <c r="V58" s="77">
        <f>DATA!X44</f>
        <v>2047500000</v>
      </c>
      <c r="W58" s="78" t="str">
        <f>DATA!Y44</f>
        <v>JICA</v>
      </c>
      <c r="X58" s="20" t="str">
        <f>DATA!Z44</f>
        <v>Bilateral</v>
      </c>
      <c r="Y58" s="77">
        <f>DATA!AA44</f>
        <v>1950000000</v>
      </c>
      <c r="Z58" s="77">
        <f>DATA!AG44</f>
        <v>0</v>
      </c>
      <c r="AA58" s="20">
        <f>DATA!AH44</f>
        <v>2017</v>
      </c>
      <c r="AB58" s="37" t="str">
        <f>DATA!AI44</f>
        <v>-</v>
      </c>
      <c r="AC58" s="152">
        <f>DATA!AM44</f>
        <v>0</v>
      </c>
      <c r="AD58" s="152" t="str">
        <f>DATA!AN44</f>
        <v>dalam proses
(memiliki FS)</v>
      </c>
      <c r="AE58" s="152" t="str">
        <f>DATA!AO44</f>
        <v>dalam proses</v>
      </c>
      <c r="AF58" s="37" t="str">
        <f>DATA!AJ44</f>
        <v>- FS
- Penyusunan DED</v>
      </c>
      <c r="AG58" s="37" t="str">
        <f>DATA!AK44</f>
        <v>Lahan untuk IPAL sudah dibebaskan</v>
      </c>
      <c r="AH58" s="37" t="str">
        <f>DATA!AL44</f>
        <v>-</v>
      </c>
      <c r="AI58" s="20">
        <f>DATA!AM44</f>
        <v>0</v>
      </c>
      <c r="AJ58" s="20" t="str">
        <f>DATA!AN44</f>
        <v>dalam proses
(memiliki FS)</v>
      </c>
      <c r="AK58" s="20" t="str">
        <f>DATA!AO44</f>
        <v>dalam proses</v>
      </c>
      <c r="AL58" s="20" t="str">
        <f>DATA!AP44</f>
        <v>belum ada proses tender/lelang</v>
      </c>
      <c r="AM58" s="20" t="str">
        <f>DATA!AY44</f>
        <v>Konfirmasi melalui surat Sekjen nomor KU.01.12-Sj/636 tgl 23 Oktober 2015</v>
      </c>
      <c r="AN58" s="20" t="e">
        <f>DATA!#REF!</f>
        <v>#REF!</v>
      </c>
      <c r="AO58" s="20">
        <f>DATA!AZ44</f>
        <v>0</v>
      </c>
      <c r="AP58" s="152" t="e">
        <f>DATA!#REF!</f>
        <v>#REF!</v>
      </c>
      <c r="AQ58" s="37" t="str">
        <f>DATA!BA44</f>
        <v>Pembangunan jaringan perpipaan dan Instalasi Pengolahan Air Limbah (IPAL) terpusat di Zona-1 dan Zona-6, pembangunan unit stasiun pompa, serta penyusunan Detail Engineering Design (DED) untuk IPAL Terpusat Zona 6</v>
      </c>
    </row>
    <row r="59" spans="1:43" ht="51" customHeight="1">
      <c r="A59" s="10">
        <f>DATA!A45</f>
        <v>37</v>
      </c>
      <c r="B59" s="10">
        <f>DATA!B45</f>
        <v>0</v>
      </c>
      <c r="C59" s="10" t="str">
        <f>DATA!D45</f>
        <v>INFRASTRUKTUR</v>
      </c>
      <c r="D59" s="10">
        <f>DATA!E45</f>
        <v>1</v>
      </c>
      <c r="E59" s="10" t="str">
        <f>DATA!F45</f>
        <v>Kementerian Pekerjaan Umum dan Perumahan Rakyat</v>
      </c>
      <c r="F59" s="10" t="str">
        <f>DATA!H45</f>
        <v>Development of Waste Water Management Program</v>
      </c>
      <c r="G59" s="10" t="str">
        <f>DATA!I45</f>
        <v>E</v>
      </c>
      <c r="H59" s="10" t="str">
        <f>DATA!J45</f>
        <v xml:space="preserve">Program Pembangunan Sistem Pengelolaan Air Limbah </v>
      </c>
      <c r="I59" s="10">
        <f>DATA!K45</f>
        <v>3</v>
      </c>
      <c r="J59" s="33"/>
      <c r="K59" s="34"/>
      <c r="L59" s="34"/>
      <c r="M59" s="36">
        <f>DATA!K45</f>
        <v>3</v>
      </c>
      <c r="N59" s="37" t="str">
        <f>DATA!L45</f>
        <v>The Development of Sewage Treatment Plant Facility in Priority Area</v>
      </c>
      <c r="O59" s="20">
        <f>DATA!Q45</f>
        <v>1</v>
      </c>
      <c r="P59" s="20">
        <f>DATA!R45</f>
        <v>1</v>
      </c>
      <c r="Q59" s="20">
        <f>DATA!S45</f>
        <v>33</v>
      </c>
      <c r="R59" s="77">
        <f>DATA!T45</f>
        <v>75000000</v>
      </c>
      <c r="S59" s="88">
        <f>DATA!U45</f>
        <v>75000000</v>
      </c>
      <c r="T59" s="77">
        <f>DATA!V45</f>
        <v>3750000</v>
      </c>
      <c r="U59" s="77">
        <f>DATA!W45</f>
        <v>0</v>
      </c>
      <c r="V59" s="77">
        <f>DATA!X45</f>
        <v>78750000</v>
      </c>
      <c r="W59" s="78" t="str">
        <f>DATA!Y45</f>
        <v>Bank Dunia/JICA</v>
      </c>
      <c r="X59" s="20" t="str">
        <f>DATA!Z45</f>
        <v>Multi Lender</v>
      </c>
      <c r="Y59" s="77">
        <f>DATA!AA45</f>
        <v>75000000</v>
      </c>
      <c r="Z59" s="77">
        <f>DATA!AG45</f>
        <v>0</v>
      </c>
      <c r="AA59" s="20">
        <f>DATA!AH45</f>
        <v>2018</v>
      </c>
      <c r="AB59" s="37" t="str">
        <f>DATA!AI45</f>
        <v>-</v>
      </c>
      <c r="AC59" s="152">
        <f>DATA!AM45</f>
        <v>0</v>
      </c>
      <c r="AD59" s="152" t="str">
        <f>DATA!AN45</f>
        <v>dalam proses
(memiliki FS)</v>
      </c>
      <c r="AE59" s="152" t="str">
        <f>DATA!AO45</f>
        <v>belum ada keterangan</v>
      </c>
      <c r="AF59" s="37" t="str">
        <f>DATA!AJ45</f>
        <v>FS disiapkan melalui APBN TA 2015</v>
      </c>
      <c r="AG59" s="37" t="str">
        <f>DATA!AK45</f>
        <v>-</v>
      </c>
      <c r="AH59" s="37" t="str">
        <f>DATA!AL45</f>
        <v>-</v>
      </c>
      <c r="AI59" s="20">
        <f>DATA!AM45</f>
        <v>0</v>
      </c>
      <c r="AJ59" s="20" t="str">
        <f>DATA!AN45</f>
        <v>dalam proses
(memiliki FS)</v>
      </c>
      <c r="AK59" s="20" t="str">
        <f>DATA!AO45</f>
        <v>belum ada keterangan</v>
      </c>
      <c r="AL59" s="20" t="str">
        <f>DATA!AP45</f>
        <v>belum ada proses tender/lelang</v>
      </c>
      <c r="AM59" s="20" t="str">
        <f>DATA!AY45</f>
        <v>- Sedang dalam konsep desain bentuk kegiatan
- 'Konfirmasi melalui surat Sekjen nomor KU.01.12-Sj/636 tgl 23 Oktober 2015</v>
      </c>
      <c r="AN59" s="20" t="e">
        <f>DATA!#REF!</f>
        <v>#REF!</v>
      </c>
      <c r="AO59" s="20" t="str">
        <f>DATA!AZ45</f>
        <v>JICA diindikasikan juga akan mendanai kegaiatan ini</v>
      </c>
      <c r="AP59" s="152" t="e">
        <f>DATA!#REF!</f>
        <v>#REF!</v>
      </c>
      <c r="AQ59" s="37" t="str">
        <f>DATA!BA45</f>
        <v>Penyediaan sarana prasarana Instalasi Pengolahan Lumpur Tinja (IPLT), seperti mobil tinja, pompa penyedot dan unit IPLT.</v>
      </c>
    </row>
    <row r="60" spans="1:43" ht="22.5" customHeight="1">
      <c r="A60" s="10">
        <f>DATA!A46</f>
        <v>38</v>
      </c>
      <c r="B60" s="10">
        <f>DATA!B46</f>
        <v>0</v>
      </c>
      <c r="C60" s="10" t="str">
        <f>DATA!D46</f>
        <v>INFRASTRUKTUR</v>
      </c>
      <c r="D60" s="10">
        <f>DATA!E46</f>
        <v>1</v>
      </c>
      <c r="E60" s="10" t="str">
        <f>DATA!F46</f>
        <v>Kementerian Pekerjaan Umum dan Perumahan Rakyat</v>
      </c>
      <c r="F60" s="10" t="str">
        <f>DATA!H46</f>
        <v>Development of Waste Water Management Program</v>
      </c>
      <c r="G60" s="10" t="str">
        <f>DATA!I46</f>
        <v>E</v>
      </c>
      <c r="H60" s="10" t="str">
        <f>DATA!J46</f>
        <v xml:space="preserve">Program Pembangunan Sistem Pengelolaan Air Limbah </v>
      </c>
      <c r="I60" s="10">
        <f>DATA!K46</f>
        <v>4</v>
      </c>
      <c r="J60" s="33"/>
      <c r="K60" s="34"/>
      <c r="L60" s="34"/>
      <c r="M60" s="36">
        <f>DATA!K46</f>
        <v>4</v>
      </c>
      <c r="N60" s="37" t="str">
        <f>DATA!L46</f>
        <v>Sewerage System Development in Indonesia</v>
      </c>
      <c r="O60" s="20">
        <f>DATA!Q46</f>
        <v>0</v>
      </c>
      <c r="P60" s="20">
        <f>DATA!R46</f>
        <v>1</v>
      </c>
      <c r="Q60" s="20">
        <f>DATA!S46</f>
        <v>34</v>
      </c>
      <c r="R60" s="77">
        <f>DATA!T46</f>
        <v>975000000</v>
      </c>
      <c r="S60" s="88">
        <f>DATA!U46</f>
        <v>975000000</v>
      </c>
      <c r="T60" s="77">
        <f>DATA!V46</f>
        <v>48750000</v>
      </c>
      <c r="U60" s="77">
        <f>DATA!W46</f>
        <v>0</v>
      </c>
      <c r="V60" s="77">
        <f>DATA!X46</f>
        <v>1023750000</v>
      </c>
      <c r="W60" s="78" t="str">
        <f>DATA!Y46</f>
        <v>-</v>
      </c>
      <c r="X60" s="20">
        <f>DATA!Z46</f>
        <v>0</v>
      </c>
      <c r="Y60" s="77">
        <f>DATA!AA46</f>
        <v>975000000</v>
      </c>
      <c r="Z60" s="77">
        <f>DATA!AG46</f>
        <v>0</v>
      </c>
      <c r="AA60" s="20"/>
      <c r="AB60" s="37" t="str">
        <f>DATA!AI46</f>
        <v>-</v>
      </c>
      <c r="AC60" s="152" t="str">
        <f>DATA!AM46</f>
        <v>-</v>
      </c>
      <c r="AD60" s="152" t="str">
        <f>DATA!AN46</f>
        <v>-</v>
      </c>
      <c r="AE60" s="152" t="str">
        <f>DATA!AO46</f>
        <v>-</v>
      </c>
      <c r="AF60" s="37" t="str">
        <f>DATA!AJ46</f>
        <v>-</v>
      </c>
      <c r="AG60" s="37" t="str">
        <f>DATA!AK46</f>
        <v>-</v>
      </c>
      <c r="AH60" s="37" t="str">
        <f>DATA!AL46</f>
        <v>-</v>
      </c>
      <c r="AI60" s="20" t="str">
        <f>DATA!AM46</f>
        <v>-</v>
      </c>
      <c r="AJ60" s="20" t="str">
        <f>DATA!AN46</f>
        <v>-</v>
      </c>
      <c r="AK60" s="20" t="str">
        <f>DATA!AO46</f>
        <v>-</v>
      </c>
      <c r="AL60" s="20" t="str">
        <f>DATA!AP46</f>
        <v>-</v>
      </c>
      <c r="AM60" s="20" t="str">
        <f>DATA!AY46</f>
        <v>Konfirmasi melalui surat Sekjen nomor KU.01.12-Sj/636 tgl 23 Oktober 2015</v>
      </c>
      <c r="AN60" s="20" t="e">
        <f>DATA!#REF!</f>
        <v>#REF!</v>
      </c>
      <c r="AO60" s="20" t="str">
        <f>DATA!AZ46</f>
        <v>-</v>
      </c>
      <c r="AP60" s="152" t="e">
        <f>DATA!#REF!</f>
        <v>#REF!</v>
      </c>
      <c r="AQ60" s="37" t="str">
        <f>DATA!BA46</f>
        <v>-</v>
      </c>
    </row>
    <row r="61" spans="1:43" s="6" customFormat="1" ht="48.75" customHeight="1">
      <c r="A61" s="6">
        <f>DATA!A47</f>
        <v>38</v>
      </c>
      <c r="B61" s="6">
        <f>DATA!B47</f>
        <v>0</v>
      </c>
      <c r="C61" s="6" t="str">
        <f>DATA!D47</f>
        <v>INFRASTRUKTUR</v>
      </c>
      <c r="D61" s="6">
        <f>DATA!E47</f>
        <v>1</v>
      </c>
      <c r="E61" s="6" t="str">
        <f>DATA!F47</f>
        <v>Kementerian Pekerjaan Umum dan Perumahan Rakyat</v>
      </c>
      <c r="F61" s="6" t="str">
        <f>DATA!H47</f>
        <v>Development of Waste Water Management Program</v>
      </c>
      <c r="G61" s="6" t="str">
        <f>DATA!I47</f>
        <v>E</v>
      </c>
      <c r="H61" s="6" t="str">
        <f>DATA!J47</f>
        <v xml:space="preserve">Program Pembangunan Sistem Pengelolaan Air Limbah </v>
      </c>
      <c r="I61" s="6">
        <f>DATA!K47</f>
        <v>4</v>
      </c>
      <c r="J61" s="38"/>
      <c r="K61" s="39"/>
      <c r="L61" s="39"/>
      <c r="M61" s="40"/>
      <c r="N61" s="67" t="str">
        <f>DATA!L47</f>
        <v>Sewerage System Development in Indonesia</v>
      </c>
      <c r="O61" s="42">
        <f>DATA!Q47</f>
        <v>0.25</v>
      </c>
      <c r="P61" s="42">
        <f>DATA!R47</f>
        <v>0</v>
      </c>
      <c r="Q61" s="42">
        <f>DATA!S47</f>
        <v>0</v>
      </c>
      <c r="R61" s="83">
        <f>DATA!T47</f>
        <v>0</v>
      </c>
      <c r="S61" s="88">
        <f>DATA!U47</f>
        <v>0</v>
      </c>
      <c r="T61" s="83">
        <f>DATA!V47</f>
        <v>0</v>
      </c>
      <c r="U61" s="83">
        <f>DATA!W47</f>
        <v>0</v>
      </c>
      <c r="V61" s="83">
        <f>DATA!X47</f>
        <v>0</v>
      </c>
      <c r="W61" s="84" t="str">
        <f>DATA!Y47</f>
        <v>ADB</v>
      </c>
      <c r="X61" s="42" t="str">
        <f>DATA!Z47</f>
        <v>Multilateral</v>
      </c>
      <c r="Y61" s="83">
        <f>DATA!AA47</f>
        <v>424800000</v>
      </c>
      <c r="Z61" s="83">
        <f>DATA!AG47</f>
        <v>0</v>
      </c>
      <c r="AA61" s="42">
        <f>DATA!AH47</f>
        <v>2017</v>
      </c>
      <c r="AB61" s="67" t="str">
        <f>DATA!AI47</f>
        <v>-</v>
      </c>
      <c r="AC61" s="152">
        <f>DATA!AM47</f>
        <v>0</v>
      </c>
      <c r="AD61" s="152" t="str">
        <f>DATA!AN47</f>
        <v>belum ada keterangan</v>
      </c>
      <c r="AE61" s="152" t="str">
        <f>DATA!AO47</f>
        <v>belum ada keterangan</v>
      </c>
      <c r="AF61" s="67" t="str">
        <f>DATA!AJ47</f>
        <v>-</v>
      </c>
      <c r="AG61" s="67" t="str">
        <f>DATA!AK47</f>
        <v>-</v>
      </c>
      <c r="AH61" s="67" t="str">
        <f>DATA!AL47</f>
        <v>-</v>
      </c>
      <c r="AI61" s="42">
        <f>DATA!AM47</f>
        <v>0</v>
      </c>
      <c r="AJ61" s="42" t="str">
        <f>DATA!AN47</f>
        <v>belum ada keterangan</v>
      </c>
      <c r="AK61" s="42" t="str">
        <f>DATA!AO47</f>
        <v>belum ada keterangan</v>
      </c>
      <c r="AL61" s="42" t="str">
        <f>DATA!AP47</f>
        <v>belum ada proses tender/lelang</v>
      </c>
      <c r="AM61" s="42" t="str">
        <f>DATA!AY47</f>
        <v>- termasuk ESP senilai USD 26,38 juta, indikasi Lender ADB
- belum ada proses penyiapan
- Konfirmasi melalui surat Sekjen nomor KU.01.12-Sj/636 tgl 23 Oktober 2015</v>
      </c>
      <c r="AN61" s="42" t="e">
        <f>DATA!#REF!</f>
        <v>#REF!</v>
      </c>
      <c r="AO61" s="42" t="str">
        <f>DATA!AZ47</f>
        <v>Sudah ada pembicaraan awal</v>
      </c>
      <c r="AP61" s="152" t="e">
        <f>DATA!#REF!</f>
        <v>#REF!</v>
      </c>
      <c r="AQ61" s="67" t="str">
        <f>DATA!BA47</f>
        <v>Pembangunan fisik sarana dan prasarana sanitasi serta Instalasi Pengolahan Air Limbah (IPAL) dan penguatan kapasitas lembaga pengelola</v>
      </c>
    </row>
    <row r="62" spans="1:43" s="6" customFormat="1" ht="43.5" customHeight="1">
      <c r="A62" s="6">
        <f>DATA!A48</f>
        <v>39</v>
      </c>
      <c r="B62" s="6">
        <f>DATA!B48</f>
        <v>0</v>
      </c>
      <c r="C62" s="6" t="str">
        <f>DATA!D48</f>
        <v>INFRASTRUKTUR</v>
      </c>
      <c r="D62" s="6">
        <f>DATA!E48</f>
        <v>1</v>
      </c>
      <c r="E62" s="6" t="str">
        <f>DATA!F48</f>
        <v>Kementerian Pekerjaan Umum dan Perumahan Rakyat</v>
      </c>
      <c r="F62" s="6" t="str">
        <f>DATA!H48</f>
        <v>Development of Waste Water Management Program</v>
      </c>
      <c r="G62" s="6" t="str">
        <f>DATA!I48</f>
        <v>E</v>
      </c>
      <c r="H62" s="6" t="str">
        <f>DATA!J48</f>
        <v xml:space="preserve">Program Pembangunan Sistem Pengelolaan Air Limbah </v>
      </c>
      <c r="I62" s="6">
        <f>DATA!K48</f>
        <v>4</v>
      </c>
      <c r="J62" s="38"/>
      <c r="K62" s="39"/>
      <c r="L62" s="39"/>
      <c r="M62" s="38"/>
      <c r="N62" s="67" t="str">
        <f>DATA!L48</f>
        <v>Sewerage System Development in Indonesia</v>
      </c>
      <c r="O62" s="42">
        <f>DATA!Q48</f>
        <v>0.25</v>
      </c>
      <c r="P62" s="42">
        <f>DATA!R48</f>
        <v>0</v>
      </c>
      <c r="Q62" s="42">
        <f>DATA!S48</f>
        <v>0</v>
      </c>
      <c r="R62" s="83">
        <f>DATA!T48</f>
        <v>0</v>
      </c>
      <c r="S62" s="88">
        <f>DATA!U48</f>
        <v>0</v>
      </c>
      <c r="T62" s="83">
        <f>DATA!V48</f>
        <v>0</v>
      </c>
      <c r="U62" s="83">
        <f>DATA!W48</f>
        <v>0</v>
      </c>
      <c r="V62" s="83">
        <f>DATA!X48</f>
        <v>0</v>
      </c>
      <c r="W62" s="84" t="str">
        <f>DATA!Y48</f>
        <v>IDB</v>
      </c>
      <c r="X62" s="42" t="str">
        <f>DATA!Z48</f>
        <v>Multilateral</v>
      </c>
      <c r="Y62" s="83">
        <f>DATA!AA48</f>
        <v>325000000</v>
      </c>
      <c r="Z62" s="83">
        <f>DATA!AG48</f>
        <v>0</v>
      </c>
      <c r="AA62" s="42">
        <f>DATA!AH48</f>
        <v>2017</v>
      </c>
      <c r="AB62" s="67" t="str">
        <f>DATA!AI48</f>
        <v>-</v>
      </c>
      <c r="AC62" s="152">
        <f>DATA!AM48</f>
        <v>0</v>
      </c>
      <c r="AD62" s="152" t="str">
        <f>DATA!AN48</f>
        <v>belum ada keterangan</v>
      </c>
      <c r="AE62" s="152" t="str">
        <f>DATA!AO48</f>
        <v>belum ada keterangan</v>
      </c>
      <c r="AF62" s="67" t="str">
        <f>DATA!AJ48</f>
        <v>-</v>
      </c>
      <c r="AG62" s="67" t="str">
        <f>DATA!AK48</f>
        <v>-</v>
      </c>
      <c r="AH62" s="67" t="str">
        <f>DATA!AL48</f>
        <v>-</v>
      </c>
      <c r="AI62" s="42">
        <f>DATA!AM48</f>
        <v>0</v>
      </c>
      <c r="AJ62" s="42" t="str">
        <f>DATA!AN48</f>
        <v>belum ada keterangan</v>
      </c>
      <c r="AK62" s="42" t="str">
        <f>DATA!AO48</f>
        <v>belum ada keterangan</v>
      </c>
      <c r="AL62" s="42" t="str">
        <f>DATA!AP48</f>
        <v>belum ada proses tender/lelang</v>
      </c>
      <c r="AM62" s="42" t="str">
        <f>DATA!AY48</f>
        <v>- belum ada proses penyiapan
- Konfirmasi melalui surat Sekjen nomor KU.01.12-Sj/636 tgl 23 Oktober 2015</v>
      </c>
      <c r="AN62" s="42" t="e">
        <f>DATA!#REF!</f>
        <v>#REF!</v>
      </c>
      <c r="AO62" s="42" t="str">
        <f>DATA!AZ48</f>
        <v>Sudah ada pembicaraan awal</v>
      </c>
      <c r="AP62" s="152" t="e">
        <f>DATA!#REF!</f>
        <v>#REF!</v>
      </c>
      <c r="AQ62" s="67" t="str">
        <f>DATA!BA48</f>
        <v>Pembangunan fisik sarana dan prasarana sanitasi serta Instalasi Pengolahan Air Limbah (IPAL) dan penguatan kapasitas lembaga pengelola</v>
      </c>
    </row>
    <row r="63" spans="1:43" s="6" customFormat="1" ht="45.75" customHeight="1">
      <c r="A63" s="6">
        <f>DATA!A49</f>
        <v>40</v>
      </c>
      <c r="B63" s="6">
        <f>DATA!B49</f>
        <v>0</v>
      </c>
      <c r="C63" s="6" t="str">
        <f>DATA!D49</f>
        <v>INFRASTRUKTUR</v>
      </c>
      <c r="D63" s="6">
        <f>DATA!E49</f>
        <v>1</v>
      </c>
      <c r="E63" s="6" t="str">
        <f>DATA!F49</f>
        <v>Kementerian Pekerjaan Umum dan Perumahan Rakyat</v>
      </c>
      <c r="F63" s="6" t="str">
        <f>DATA!H49</f>
        <v>Development of Waste Water Management Program</v>
      </c>
      <c r="G63" s="6" t="str">
        <f>DATA!I49</f>
        <v>E</v>
      </c>
      <c r="H63" s="6" t="str">
        <f>DATA!J49</f>
        <v xml:space="preserve">Program Pembangunan Sistem Pengelolaan Air Limbah </v>
      </c>
      <c r="I63" s="6">
        <f>DATA!K49</f>
        <v>4</v>
      </c>
      <c r="J63" s="38"/>
      <c r="K63" s="39"/>
      <c r="L63" s="39"/>
      <c r="M63" s="43"/>
      <c r="N63" s="67" t="str">
        <f>DATA!L49</f>
        <v>Sewerage System Development in Indonesia</v>
      </c>
      <c r="O63" s="42">
        <f>DATA!Q49</f>
        <v>0.25</v>
      </c>
      <c r="P63" s="42">
        <f>DATA!R49</f>
        <v>0</v>
      </c>
      <c r="Q63" s="42">
        <f>DATA!S49</f>
        <v>0</v>
      </c>
      <c r="R63" s="83">
        <f>DATA!T49</f>
        <v>0</v>
      </c>
      <c r="S63" s="88">
        <f>DATA!U49</f>
        <v>0</v>
      </c>
      <c r="T63" s="83">
        <f>DATA!V49</f>
        <v>0</v>
      </c>
      <c r="U63" s="83">
        <f>DATA!W49</f>
        <v>0</v>
      </c>
      <c r="V63" s="83">
        <f>DATA!X49</f>
        <v>0</v>
      </c>
      <c r="W63" s="84" t="str">
        <f>DATA!Y49</f>
        <v>Bank Dunia</v>
      </c>
      <c r="X63" s="42" t="str">
        <f>DATA!Z49</f>
        <v>Multilateral</v>
      </c>
      <c r="Y63" s="83">
        <f>DATA!AA49</f>
        <v>200000000</v>
      </c>
      <c r="Z63" s="83">
        <f>DATA!AG49</f>
        <v>0</v>
      </c>
      <c r="AA63" s="42">
        <f>DATA!AH49</f>
        <v>2017</v>
      </c>
      <c r="AB63" s="67" t="str">
        <f>DATA!AI49</f>
        <v>-</v>
      </c>
      <c r="AC63" s="152">
        <f>DATA!AM49</f>
        <v>0</v>
      </c>
      <c r="AD63" s="152" t="str">
        <f>DATA!AN49</f>
        <v>belum ada keterangan</v>
      </c>
      <c r="AE63" s="152" t="str">
        <f>DATA!AO49</f>
        <v>belum ada keterangan</v>
      </c>
      <c r="AF63" s="67" t="str">
        <f>DATA!AJ49</f>
        <v>-</v>
      </c>
      <c r="AG63" s="67" t="str">
        <f>DATA!AK49</f>
        <v>-</v>
      </c>
      <c r="AH63" s="67" t="str">
        <f>DATA!AL49</f>
        <v>-</v>
      </c>
      <c r="AI63" s="42">
        <f>DATA!AM49</f>
        <v>0</v>
      </c>
      <c r="AJ63" s="42" t="str">
        <f>DATA!AN49</f>
        <v>belum ada keterangan</v>
      </c>
      <c r="AK63" s="42" t="str">
        <f>DATA!AO49</f>
        <v>belum ada keterangan</v>
      </c>
      <c r="AL63" s="42" t="str">
        <f>DATA!AP49</f>
        <v>belum ada proses tender/lelang</v>
      </c>
      <c r="AM63" s="42" t="str">
        <f>DATA!AY49</f>
        <v>- belum ada proses penyiapan
- Konfirmasi melalui surat Sekjen nomor KU.01.12-Sj/636 tgl 23 Oktober 2015</v>
      </c>
      <c r="AN63" s="42" t="e">
        <f>DATA!#REF!</f>
        <v>#REF!</v>
      </c>
      <c r="AO63" s="42" t="str">
        <f>DATA!AZ49</f>
        <v>Sudah ada pembicaraan awal</v>
      </c>
      <c r="AP63" s="152" t="e">
        <f>DATA!#REF!</f>
        <v>#REF!</v>
      </c>
      <c r="AQ63" s="67" t="str">
        <f>DATA!BA49</f>
        <v>Pembangunan fisik sarana dan prasarana sanitasi serta Instalasi Pengolahan Air Limbah (IPAL) dan penguatan kapasitas lembaga pengelola</v>
      </c>
    </row>
    <row r="64" spans="1:43" ht="43.5" customHeight="1">
      <c r="A64" s="10">
        <f>DATA!A51</f>
        <v>41</v>
      </c>
      <c r="B64" s="10">
        <f>DATA!B51</f>
        <v>0</v>
      </c>
      <c r="C64" s="10" t="str">
        <f>DATA!D51</f>
        <v>INFRASTRUKTUR</v>
      </c>
      <c r="D64" s="10">
        <f>DATA!E51</f>
        <v>1</v>
      </c>
      <c r="E64" s="10" t="str">
        <f>DATA!F51</f>
        <v>Kementerian Pekerjaan Umum dan Perumahan Rakyat</v>
      </c>
      <c r="F64" s="10" t="str">
        <f>DATA!H51</f>
        <v>Development of Waste Water Management Program</v>
      </c>
      <c r="G64" s="10" t="str">
        <f>DATA!I51</f>
        <v>E</v>
      </c>
      <c r="H64" s="10" t="str">
        <f>DATA!J51</f>
        <v xml:space="preserve">Program Pembangunan Sistem Pengelolaan Air Limbah </v>
      </c>
      <c r="I64" s="10">
        <f>DATA!K51</f>
        <v>5</v>
      </c>
      <c r="J64" s="33"/>
      <c r="K64" s="34"/>
      <c r="L64" s="34"/>
      <c r="M64" s="36">
        <f>DATA!K51</f>
        <v>5</v>
      </c>
      <c r="N64" s="37" t="str">
        <f>DATA!L51</f>
        <v>Denpasar Sewerage Development Project - Phase III</v>
      </c>
      <c r="O64" s="20">
        <f>DATA!Q51</f>
        <v>1</v>
      </c>
      <c r="P64" s="20">
        <f>DATA!R51</f>
        <v>1</v>
      </c>
      <c r="Q64" s="20">
        <f>DATA!S51</f>
        <v>35</v>
      </c>
      <c r="R64" s="77">
        <f>DATA!T51</f>
        <v>233000000</v>
      </c>
      <c r="S64" s="88">
        <f>DATA!U51</f>
        <v>233000000</v>
      </c>
      <c r="T64" s="77">
        <f>DATA!V51</f>
        <v>11650000</v>
      </c>
      <c r="U64" s="77">
        <f>DATA!W51</f>
        <v>0</v>
      </c>
      <c r="V64" s="77">
        <f>DATA!X51</f>
        <v>244650000</v>
      </c>
      <c r="W64" s="78" t="str">
        <f>DATA!Y51</f>
        <v>JICA</v>
      </c>
      <c r="X64" s="20" t="str">
        <f>DATA!Z51</f>
        <v>Bilateral</v>
      </c>
      <c r="Y64" s="77">
        <f>DATA!AA51</f>
        <v>233000000</v>
      </c>
      <c r="Z64" s="77">
        <f>DATA!AG51</f>
        <v>0</v>
      </c>
      <c r="AA64" s="20">
        <f>DATA!AH51</f>
        <v>2018</v>
      </c>
      <c r="AB64" s="37" t="str">
        <f>DATA!AI51</f>
        <v>-</v>
      </c>
      <c r="AC64" s="152">
        <f>DATA!AM51</f>
        <v>0</v>
      </c>
      <c r="AD64" s="152" t="str">
        <f>DATA!AN51</f>
        <v>dalam proses
(memiliki FS)</v>
      </c>
      <c r="AE64" s="152" t="str">
        <f>DATA!AO51</f>
        <v>belum ada keterangan</v>
      </c>
      <c r="AF64" s="37" t="str">
        <f>DATA!AJ51</f>
        <v>Penyusunan DED</v>
      </c>
      <c r="AG64" s="37" t="str">
        <f>DATA!AK51</f>
        <v>-</v>
      </c>
      <c r="AH64" s="37" t="str">
        <f>DATA!AL51</f>
        <v>-</v>
      </c>
      <c r="AI64" s="20">
        <f>DATA!AM51</f>
        <v>0</v>
      </c>
      <c r="AJ64" s="20" t="str">
        <f>DATA!AN51</f>
        <v>dalam proses
(memiliki FS)</v>
      </c>
      <c r="AK64" s="20" t="str">
        <f>DATA!AO51</f>
        <v>belum ada keterangan</v>
      </c>
      <c r="AL64" s="20" t="str">
        <f>DATA!AP51</f>
        <v>belum ada proses tender/lelang</v>
      </c>
      <c r="AM64" s="20" t="str">
        <f>DATA!AY51</f>
        <v>Konfirmasi melalui surat Sekjen nomor KU.01.12-Sj/636 tgl 23 Oktober 2015</v>
      </c>
      <c r="AN64" s="20" t="e">
        <f>DATA!#REF!</f>
        <v>#REF!</v>
      </c>
      <c r="AO64" s="20">
        <f>DATA!AZ51</f>
        <v>0</v>
      </c>
      <c r="AP64" s="152" t="e">
        <f>DATA!#REF!</f>
        <v>#REF!</v>
      </c>
      <c r="AQ64" s="37" t="str">
        <f>DATA!BA51</f>
        <v>Pembangunan jaringan perpipaan dengan area pelayanan 2.200 Ha, stasiun pompa sejumlah 2 unit, dan instalasi pengolahan air limbah.</v>
      </c>
    </row>
    <row r="65" spans="1:43" ht="36.75" customHeight="1">
      <c r="A65" s="10">
        <f>DATA!A52</f>
        <v>42</v>
      </c>
      <c r="B65" s="10">
        <f>DATA!B52</f>
        <v>0</v>
      </c>
      <c r="C65" s="10" t="str">
        <f>DATA!D52</f>
        <v>INFRASTRUKTUR</v>
      </c>
      <c r="D65" s="10">
        <f>DATA!E52</f>
        <v>1</v>
      </c>
      <c r="E65" s="10" t="str">
        <f>DATA!F52</f>
        <v>Kementerian Pekerjaan Umum dan Perumahan Rakyat</v>
      </c>
      <c r="F65" s="10" t="str">
        <f>DATA!H52</f>
        <v>Development of Waste Water Management Program</v>
      </c>
      <c r="G65" s="10" t="str">
        <f>DATA!I52</f>
        <v>E</v>
      </c>
      <c r="H65" s="10" t="str">
        <f>DATA!J52</f>
        <v xml:space="preserve">Program Pembangunan Sistem Pengelolaan Air Limbah </v>
      </c>
      <c r="I65" s="10">
        <f>DATA!K52</f>
        <v>6</v>
      </c>
      <c r="J65" s="33"/>
      <c r="K65" s="34"/>
      <c r="L65" s="54"/>
      <c r="M65" s="36">
        <f>DATA!K52</f>
        <v>6</v>
      </c>
      <c r="N65" s="37" t="str">
        <f>DATA!L52</f>
        <v>The Development and Optimization of Wastewater Treatment in Greater Bandung</v>
      </c>
      <c r="O65" s="20">
        <f>DATA!Q52</f>
        <v>1</v>
      </c>
      <c r="P65" s="20">
        <f>DATA!R52</f>
        <v>1</v>
      </c>
      <c r="Q65" s="20">
        <f>DATA!S52</f>
        <v>36</v>
      </c>
      <c r="R65" s="77">
        <f>DATA!T52</f>
        <v>100000000</v>
      </c>
      <c r="S65" s="88">
        <f>DATA!U52</f>
        <v>100000000</v>
      </c>
      <c r="T65" s="77">
        <f>DATA!V52</f>
        <v>5000000</v>
      </c>
      <c r="U65" s="77">
        <f>DATA!W52</f>
        <v>0</v>
      </c>
      <c r="V65" s="77">
        <f>DATA!X52</f>
        <v>105000000</v>
      </c>
      <c r="W65" s="78" t="str">
        <f>DATA!Y52</f>
        <v>Jerman (KfW)</v>
      </c>
      <c r="X65" s="20" t="str">
        <f>DATA!Z52</f>
        <v>Bilateral</v>
      </c>
      <c r="Y65" s="77">
        <f>DATA!AA52</f>
        <v>100000000</v>
      </c>
      <c r="Z65" s="77">
        <f>DATA!AG52</f>
        <v>0</v>
      </c>
      <c r="AA65" s="20">
        <f>DATA!AH52</f>
        <v>2017</v>
      </c>
      <c r="AB65" s="37" t="str">
        <f>DATA!AI52</f>
        <v>Master Plan</v>
      </c>
      <c r="AC65" s="152">
        <f>DATA!AM52</f>
        <v>0</v>
      </c>
      <c r="AD65" s="152" t="str">
        <f>DATA!AN52</f>
        <v>dalam proses
(penyusunan FS)</v>
      </c>
      <c r="AE65" s="152" t="str">
        <f>DATA!AO52</f>
        <v>belum ada keterangan</v>
      </c>
      <c r="AF65" s="37" t="str">
        <f>DATA!AJ52</f>
        <v>Pra FS</v>
      </c>
      <c r="AG65" s="37" t="str">
        <f>DATA!AK52</f>
        <v>-</v>
      </c>
      <c r="AH65" s="37" t="str">
        <f>DATA!AL52</f>
        <v>-</v>
      </c>
      <c r="AI65" s="20">
        <f>DATA!AM52</f>
        <v>0</v>
      </c>
      <c r="AJ65" s="20" t="str">
        <f>DATA!AN52</f>
        <v>dalam proses
(penyusunan FS)</v>
      </c>
      <c r="AK65" s="20" t="str">
        <f>DATA!AO52</f>
        <v>belum ada keterangan</v>
      </c>
      <c r="AL65" s="20" t="str">
        <f>DATA!AP52</f>
        <v>belum ada proses tender/lelang</v>
      </c>
      <c r="AM65" s="20" t="str">
        <f>DATA!AY52</f>
        <v>Konfirmasi melalui surat Sekjen nomor KU.01.12-Sj/636 tgl 23 Oktober 2015</v>
      </c>
      <c r="AN65" s="20" t="e">
        <f>DATA!#REF!</f>
        <v>#REF!</v>
      </c>
      <c r="AO65" s="20">
        <f>DATA!AZ52</f>
        <v>0</v>
      </c>
      <c r="AP65" s="152" t="e">
        <f>DATA!#REF!</f>
        <v>#REF!</v>
      </c>
      <c r="AQ65" s="37" t="str">
        <f>DATA!BA52</f>
        <v>Review master plan air limbah dan optimalisasi Instalasi Pengolahan Air Limbah (IPAL) Bojongsoang.</v>
      </c>
    </row>
    <row r="66" spans="1:43" ht="36.75" customHeight="1">
      <c r="J66" s="33"/>
      <c r="K66" s="34"/>
      <c r="L66" s="54"/>
      <c r="M66" s="36">
        <f>DATA!K53</f>
        <v>7</v>
      </c>
      <c r="N66" s="56" t="str">
        <f>DATA!L53</f>
        <v>Engineering Service for Sanitation Improvement Project</v>
      </c>
      <c r="O66" s="36">
        <f>DATA!Q53</f>
        <v>0</v>
      </c>
      <c r="P66" s="36">
        <f>DATA!R53</f>
        <v>0</v>
      </c>
      <c r="Q66" s="36">
        <f>DATA!S53</f>
        <v>0</v>
      </c>
      <c r="R66" s="88">
        <f>DATA!T53</f>
        <v>0</v>
      </c>
      <c r="S66" s="88">
        <f>DATA!U53</f>
        <v>25200000</v>
      </c>
      <c r="T66" s="88">
        <f>DATA!V53</f>
        <v>0</v>
      </c>
      <c r="U66" s="88">
        <f>DATA!W53</f>
        <v>0</v>
      </c>
      <c r="V66" s="88">
        <f>DATA!X53</f>
        <v>25200000</v>
      </c>
      <c r="W66" s="88" t="str">
        <f>DATA!Y53</f>
        <v>ADB</v>
      </c>
      <c r="X66" s="88" t="str">
        <f>DATA!Z53</f>
        <v>Multilateral</v>
      </c>
      <c r="Y66" s="88">
        <f>DATA!AA53</f>
        <v>25200000</v>
      </c>
      <c r="Z66" s="88">
        <f>DATA!AG53</f>
        <v>0</v>
      </c>
      <c r="AA66" s="102">
        <f>DATA!AH53</f>
        <v>2016</v>
      </c>
      <c r="AB66" s="110" t="str">
        <f>DATA!AI53</f>
        <v>- Green Book 2015</v>
      </c>
      <c r="AC66" s="152" t="str">
        <f>DATA!AM53</f>
        <v>2015; 2016</v>
      </c>
      <c r="AD66" s="152" t="str">
        <f>DATA!AN53</f>
        <v>siap</v>
      </c>
      <c r="AE66" s="152" t="str">
        <f>DATA!AO53</f>
        <v>tidak butuh lahan</v>
      </c>
      <c r="AF66" s="110" t="str">
        <f>DATA!AJ53</f>
        <v>-</v>
      </c>
      <c r="AG66" s="110" t="str">
        <f>DATA!AK53</f>
        <v>-</v>
      </c>
      <c r="AH66" s="110" t="str">
        <f>DATA!AL53</f>
        <v>-</v>
      </c>
      <c r="AI66" s="20"/>
      <c r="AJ66" s="20"/>
      <c r="AK66" s="20"/>
      <c r="AL66" s="20"/>
      <c r="AM66" s="20"/>
      <c r="AN66" s="20"/>
      <c r="AO66" s="20"/>
      <c r="AP66" s="152" t="e">
        <f>DATA!#REF!</f>
        <v>#REF!</v>
      </c>
      <c r="AQ66" s="37"/>
    </row>
    <row r="67" spans="1:43" s="5" customFormat="1" ht="33.75" customHeight="1">
      <c r="J67" s="28"/>
      <c r="K67" s="50"/>
      <c r="L67" s="30" t="str">
        <f>DATA!I54</f>
        <v>F</v>
      </c>
      <c r="M67" s="31" t="str">
        <f>DATA!J54</f>
        <v xml:space="preserve">Program Pembangunan Sistem Pengelolaan Persampahan </v>
      </c>
      <c r="N67" s="51"/>
      <c r="O67" s="31"/>
      <c r="P67" s="31"/>
      <c r="Q67" s="31"/>
      <c r="R67" s="81">
        <f>+R68+R69</f>
        <v>250000000</v>
      </c>
      <c r="S67" s="81">
        <f>+S68+S69</f>
        <v>250000000</v>
      </c>
      <c r="T67" s="81">
        <f>+T68+T69</f>
        <v>12500000</v>
      </c>
      <c r="U67" s="81">
        <f>+U68+U69</f>
        <v>0</v>
      </c>
      <c r="V67" s="81">
        <f>+V68+V69</f>
        <v>262500000</v>
      </c>
      <c r="W67" s="81"/>
      <c r="X67" s="81" t="e">
        <f>+X68+X69</f>
        <v>#VALUE!</v>
      </c>
      <c r="Y67" s="81">
        <f>+Y68+Y69</f>
        <v>250000000</v>
      </c>
      <c r="Z67" s="81">
        <f>+Z68+Z69</f>
        <v>0</v>
      </c>
      <c r="AA67" s="31"/>
      <c r="AB67" s="32"/>
      <c r="AC67" s="153"/>
      <c r="AD67" s="32"/>
      <c r="AE67" s="32"/>
      <c r="AF67" s="32"/>
      <c r="AG67" s="32"/>
      <c r="AH67" s="32"/>
      <c r="AI67" s="31"/>
      <c r="AJ67" s="31"/>
      <c r="AK67" s="31"/>
      <c r="AL67" s="31"/>
      <c r="AM67" s="31"/>
      <c r="AN67" s="31"/>
      <c r="AO67" s="31"/>
      <c r="AP67" s="32"/>
      <c r="AQ67" s="32"/>
    </row>
    <row r="68" spans="1:43" ht="69.75" customHeight="1">
      <c r="A68" s="10">
        <f>DATA!A54</f>
        <v>43</v>
      </c>
      <c r="B68" s="10">
        <f>DATA!B54</f>
        <v>0</v>
      </c>
      <c r="C68" s="10" t="str">
        <f>DATA!D54</f>
        <v>INFRASTRUKTUR</v>
      </c>
      <c r="D68" s="10">
        <f>DATA!E54</f>
        <v>1</v>
      </c>
      <c r="E68" s="10" t="str">
        <f>DATA!F54</f>
        <v>Kementerian Pekerjaan Umum dan Perumahan Rakyat</v>
      </c>
      <c r="F68" s="10" t="str">
        <f>DATA!H54</f>
        <v>Development of Solid Waste Management Program</v>
      </c>
      <c r="G68" s="10" t="str">
        <f>DATA!I54</f>
        <v>F</v>
      </c>
      <c r="H68" s="10" t="str">
        <f>DATA!J54</f>
        <v xml:space="preserve">Program Pembangunan Sistem Pengelolaan Persampahan </v>
      </c>
      <c r="I68" s="10">
        <f>DATA!K54</f>
        <v>1</v>
      </c>
      <c r="J68" s="33"/>
      <c r="K68" s="34"/>
      <c r="L68" s="35"/>
      <c r="M68" s="36">
        <f>DATA!K54</f>
        <v>1</v>
      </c>
      <c r="N68" s="37" t="str">
        <f>DATA!L54</f>
        <v xml:space="preserve">Advanced Solid Waste Management for Sustainable Urban Development (Advance SWM-SUD) </v>
      </c>
      <c r="O68" s="20">
        <f>DATA!Q54</f>
        <v>1</v>
      </c>
      <c r="P68" s="20">
        <f>DATA!R54</f>
        <v>1</v>
      </c>
      <c r="Q68" s="20">
        <f>DATA!S54</f>
        <v>37</v>
      </c>
      <c r="R68" s="77">
        <f>DATA!T54</f>
        <v>150000000</v>
      </c>
      <c r="S68" s="88">
        <f>DATA!U54</f>
        <v>150000000</v>
      </c>
      <c r="T68" s="77">
        <f>DATA!V54</f>
        <v>7500000</v>
      </c>
      <c r="U68" s="77">
        <f>DATA!W54</f>
        <v>0</v>
      </c>
      <c r="V68" s="77">
        <f>DATA!X54</f>
        <v>157500000</v>
      </c>
      <c r="W68" s="78" t="str">
        <f>DATA!Y54</f>
        <v>Jerman (KfW)</v>
      </c>
      <c r="X68" s="20" t="str">
        <f>DATA!Z54</f>
        <v>Bilateral</v>
      </c>
      <c r="Y68" s="77">
        <f>DATA!AA54</f>
        <v>150000000</v>
      </c>
      <c r="Z68" s="77">
        <f>DATA!AG54</f>
        <v>0</v>
      </c>
      <c r="AA68" s="20">
        <f>DATA!AH54</f>
        <v>2017</v>
      </c>
      <c r="AB68" s="37" t="str">
        <f>DATA!AI54</f>
        <v>-</v>
      </c>
      <c r="AC68" s="152">
        <f>DATA!AM54</f>
        <v>0</v>
      </c>
      <c r="AD68" s="152" t="str">
        <f>DATA!AN54</f>
        <v>dalam proses
(penyusunan FS)</v>
      </c>
      <c r="AE68" s="152" t="str">
        <f>DATA!AO54</f>
        <v>belum ada keterangan</v>
      </c>
      <c r="AF68" s="37" t="str">
        <f>DATA!AJ54</f>
        <v>Telah dilakukan kajian awal oleh tim FFM KfW</v>
      </c>
      <c r="AG68" s="37" t="str">
        <f>DATA!AK54</f>
        <v>-</v>
      </c>
      <c r="AH68" s="37" t="str">
        <f>DATA!AL54</f>
        <v>-</v>
      </c>
      <c r="AI68" s="20">
        <f>DATA!AM54</f>
        <v>0</v>
      </c>
      <c r="AJ68" s="20" t="str">
        <f>DATA!AN54</f>
        <v>dalam proses
(penyusunan FS)</v>
      </c>
      <c r="AK68" s="20" t="str">
        <f>DATA!AO54</f>
        <v>belum ada keterangan</v>
      </c>
      <c r="AL68" s="20" t="str">
        <f>DATA!AP54</f>
        <v>belum ada proses tender/lelang</v>
      </c>
      <c r="AM68" s="20" t="str">
        <f>DATA!AY54</f>
        <v>- belum ada proses penyiapan
- Konfirmasi melalui surat Sekjen nomor KU.01.12-Sj/636 tgl 23 Oktober 2015</v>
      </c>
      <c r="AN68" s="20" t="e">
        <f>DATA!#REF!</f>
        <v>#REF!</v>
      </c>
      <c r="AO68" s="20">
        <f>DATA!AZ54</f>
        <v>0</v>
      </c>
      <c r="AP68" s="152" t="e">
        <f>DATA!#REF!</f>
        <v>#REF!</v>
      </c>
      <c r="AQ68" s="37" t="str">
        <f>DATA!BA54</f>
        <v>Pembangunan TPA baru, pembangunan unit sistem teknologi pengolahan sampah, pembangunan Intermediete Treatment Facility (ITF), infrastruktur penunjang, buffer zone, dan supervisi kegiatan konstruksi.</v>
      </c>
    </row>
    <row r="69" spans="1:43" ht="51">
      <c r="A69" s="10">
        <f>DATA!A55</f>
        <v>44</v>
      </c>
      <c r="B69" s="10">
        <f>DATA!B55</f>
        <v>0</v>
      </c>
      <c r="C69" s="10" t="str">
        <f>DATA!D55</f>
        <v>INFRASTRUKTUR</v>
      </c>
      <c r="D69" s="10">
        <f>DATA!E55</f>
        <v>1</v>
      </c>
      <c r="E69" s="10" t="str">
        <f>DATA!F55</f>
        <v>Kementerian Pekerjaan Umum dan Perumahan Rakyat</v>
      </c>
      <c r="F69" s="10" t="str">
        <f>DATA!H55</f>
        <v>Development of Solid Waste Management Program</v>
      </c>
      <c r="G69" s="10" t="str">
        <f>DATA!I55</f>
        <v>F</v>
      </c>
      <c r="H69" s="10" t="str">
        <f>DATA!J55</f>
        <v xml:space="preserve">Program Pembangunan Sistem Pengelolaan Persampahan </v>
      </c>
      <c r="I69" s="10">
        <f>DATA!K55</f>
        <v>2</v>
      </c>
      <c r="J69" s="33"/>
      <c r="K69" s="34"/>
      <c r="L69" s="54"/>
      <c r="M69" s="36">
        <f>DATA!K55</f>
        <v>2</v>
      </c>
      <c r="N69" s="37" t="str">
        <f>DATA!L55</f>
        <v>The Improvement of Solid Waste Management to Support Regional Area and Metropolitan Cities</v>
      </c>
      <c r="O69" s="20">
        <f>DATA!Q55</f>
        <v>1</v>
      </c>
      <c r="P69" s="20">
        <f>DATA!R55</f>
        <v>1</v>
      </c>
      <c r="Q69" s="20">
        <f>DATA!S55</f>
        <v>38</v>
      </c>
      <c r="R69" s="77">
        <f>DATA!T55</f>
        <v>100000000</v>
      </c>
      <c r="S69" s="88">
        <f>DATA!U55</f>
        <v>100000000</v>
      </c>
      <c r="T69" s="77">
        <f>DATA!V55</f>
        <v>5000000</v>
      </c>
      <c r="U69" s="77">
        <f>DATA!W55</f>
        <v>0</v>
      </c>
      <c r="V69" s="77">
        <f>DATA!X55</f>
        <v>105000000</v>
      </c>
      <c r="W69" s="78" t="str">
        <f>DATA!Y55</f>
        <v>Bank Dunia</v>
      </c>
      <c r="X69" s="20" t="str">
        <f>DATA!Z55</f>
        <v>Multilateral</v>
      </c>
      <c r="Y69" s="77">
        <f>DATA!AA55</f>
        <v>100000000</v>
      </c>
      <c r="Z69" s="77">
        <f>DATA!AG55</f>
        <v>0</v>
      </c>
      <c r="AA69" s="20">
        <f>DATA!AH55</f>
        <v>2016</v>
      </c>
      <c r="AB69" s="37" t="str">
        <f>DATA!AI55</f>
        <v>-</v>
      </c>
      <c r="AC69" s="152">
        <f>DATA!AM55</f>
        <v>0</v>
      </c>
      <c r="AD69" s="152" t="str">
        <f>DATA!AN55</f>
        <v>dalam proses
(memiliki FS)</v>
      </c>
      <c r="AE69" s="152" t="str">
        <f>DATA!AO55</f>
        <v>dalam proses
(persiapan)</v>
      </c>
      <c r="AF69" s="37" t="str">
        <f>DATA!AJ55</f>
        <v>DED dalam proses finalisasi</v>
      </c>
      <c r="AG69" s="37" t="str">
        <f>DATA!AK55</f>
        <v>Dalam proses kepemilikan lahan</v>
      </c>
      <c r="AH69" s="37" t="str">
        <f>DATA!AL55</f>
        <v>Belum ada tindak lanjut</v>
      </c>
      <c r="AI69" s="20">
        <f>DATA!AM55</f>
        <v>0</v>
      </c>
      <c r="AJ69" s="20" t="str">
        <f>DATA!AN55</f>
        <v>dalam proses
(memiliki FS)</v>
      </c>
      <c r="AK69" s="20" t="str">
        <f>DATA!AO55</f>
        <v>dalam proses
(persiapan)</v>
      </c>
      <c r="AL69" s="20" t="str">
        <f>DATA!AP55</f>
        <v>belum ada proses tender/lelang</v>
      </c>
      <c r="AM69" s="20" t="str">
        <f>DATA!AY55</f>
        <v xml:space="preserve">- Konfirmasi melalui surat Sekjen nomor KU.01.12-Sj/636 tgl 23 Oktober 2015
- Bank Dunia membantu proses studi, DED, FS (CDIA, INDII Facility) </v>
      </c>
      <c r="AN69" s="20" t="e">
        <f>DATA!#REF!</f>
        <v>#REF!</v>
      </c>
      <c r="AO69" s="20" t="str">
        <f>DATA!AZ55</f>
        <v>- FS
- Diusulkan untuk masuk Green Book 2016</v>
      </c>
      <c r="AP69" s="152" t="e">
        <f>DATA!#REF!</f>
        <v>#REF!</v>
      </c>
      <c r="AQ69" s="37" t="str">
        <f>DATA!BA55</f>
        <v>Pembangunan TPA Sanitary Landfill  baru, pembangunan Intermediete Treatment Facility (ITF), dan pengembangan konsep Reuse, Reduce, and Recycle (3R).</v>
      </c>
    </row>
    <row r="70" spans="1:43" s="5" customFormat="1" ht="33.75" customHeight="1">
      <c r="J70" s="28"/>
      <c r="K70" s="50"/>
      <c r="L70" s="30" t="str">
        <f>DATA!I56</f>
        <v>G</v>
      </c>
      <c r="M70" s="31" t="str">
        <f>DATA!J56</f>
        <v>Program Penanganan Kumuh</v>
      </c>
      <c r="N70" s="51"/>
      <c r="O70" s="31"/>
      <c r="P70" s="31"/>
      <c r="Q70" s="31"/>
      <c r="R70" s="81">
        <f>+R71+R72+R75+R76</f>
        <v>3614740000</v>
      </c>
      <c r="S70" s="81">
        <f>+S71+S72+S75+S76</f>
        <v>3614740000</v>
      </c>
      <c r="T70" s="81">
        <f t="shared" ref="T70:Z70" si="2">+T71+T72+T75+T76</f>
        <v>180737000</v>
      </c>
      <c r="U70" s="81">
        <f t="shared" si="2"/>
        <v>0</v>
      </c>
      <c r="V70" s="81">
        <f t="shared" si="2"/>
        <v>3795477000</v>
      </c>
      <c r="W70" s="81"/>
      <c r="X70" s="81" t="e">
        <f t="shared" si="2"/>
        <v>#VALUE!</v>
      </c>
      <c r="Y70" s="81">
        <f t="shared" si="2"/>
        <v>3614740000</v>
      </c>
      <c r="Z70" s="81">
        <f t="shared" si="2"/>
        <v>0</v>
      </c>
      <c r="AA70" s="31"/>
      <c r="AB70" s="32"/>
      <c r="AC70" s="32"/>
      <c r="AD70" s="32"/>
      <c r="AE70" s="32"/>
      <c r="AF70" s="32"/>
      <c r="AG70" s="32"/>
      <c r="AH70" s="32"/>
      <c r="AI70" s="31"/>
      <c r="AJ70" s="31"/>
      <c r="AK70" s="31"/>
      <c r="AL70" s="31"/>
      <c r="AM70" s="31"/>
      <c r="AN70" s="31"/>
      <c r="AO70" s="31"/>
      <c r="AP70" s="32"/>
      <c r="AQ70" s="32"/>
    </row>
    <row r="71" spans="1:43" ht="180.75" customHeight="1">
      <c r="A71" s="10">
        <f>DATA!A56</f>
        <v>45</v>
      </c>
      <c r="B71" s="10">
        <f>DATA!B56</f>
        <v>0</v>
      </c>
      <c r="C71" s="10" t="str">
        <f>DATA!D56</f>
        <v>INFRASTRUKTUR</v>
      </c>
      <c r="D71" s="10">
        <f>DATA!E56</f>
        <v>1</v>
      </c>
      <c r="E71" s="10" t="str">
        <f>DATA!F56</f>
        <v>Kementerian Pekerjaan Umum dan Perumahan Rakyat</v>
      </c>
      <c r="F71" s="10" t="str">
        <f>DATA!H56</f>
        <v>Slum Alleviation Program</v>
      </c>
      <c r="G71" s="10" t="str">
        <f>DATA!I56</f>
        <v>G</v>
      </c>
      <c r="H71" s="10" t="str">
        <f>DATA!J56</f>
        <v>Program Penanganan Kumuh</v>
      </c>
      <c r="I71" s="10">
        <f>DATA!K56</f>
        <v>1</v>
      </c>
      <c r="J71" s="33"/>
      <c r="K71" s="34"/>
      <c r="L71" s="35"/>
      <c r="M71" s="36">
        <f>DATA!K56</f>
        <v>1</v>
      </c>
      <c r="N71" s="37" t="str">
        <f>DATA!L56</f>
        <v>Slum Improvement in Strategic Human Settlements Area (SISHA)</v>
      </c>
      <c r="O71" s="20">
        <f>DATA!Q56</f>
        <v>1</v>
      </c>
      <c r="P71" s="20">
        <f>DATA!R56</f>
        <v>1</v>
      </c>
      <c r="Q71" s="20">
        <f>DATA!S56</f>
        <v>39</v>
      </c>
      <c r="R71" s="77">
        <f>DATA!T56</f>
        <v>2100000000</v>
      </c>
      <c r="S71" s="88">
        <f>DATA!U56</f>
        <v>2100000000</v>
      </c>
      <c r="T71" s="77">
        <f>DATA!V56</f>
        <v>105000000</v>
      </c>
      <c r="U71" s="77">
        <f>DATA!W56</f>
        <v>0</v>
      </c>
      <c r="V71" s="77">
        <f>DATA!X56</f>
        <v>2205000000</v>
      </c>
      <c r="W71" s="109" t="str">
        <f>DATA!Y56</f>
        <v>Bank Dunia/JICA/ADB</v>
      </c>
      <c r="X71" s="20" t="str">
        <f>DATA!Z56</f>
        <v>Multi Lender</v>
      </c>
      <c r="Y71" s="77">
        <f>DATA!AA56</f>
        <v>2100000000</v>
      </c>
      <c r="Z71" s="77">
        <f>DATA!AG56</f>
        <v>0</v>
      </c>
      <c r="AA71" s="20">
        <f>DATA!AH56</f>
        <v>2017</v>
      </c>
      <c r="AB71" s="37" t="str">
        <f>DATA!AI56</f>
        <v>-</v>
      </c>
      <c r="AC71" s="152">
        <f>DATA!AM56</f>
        <v>0</v>
      </c>
      <c r="AD71" s="152" t="str">
        <f>DATA!AN56</f>
        <v>dalam proses
(penyusunan FS)</v>
      </c>
      <c r="AE71" s="152" t="str">
        <f>DATA!AO56</f>
        <v>dalam proses
(perencanaan)</v>
      </c>
      <c r="AF71" s="37" t="str">
        <f>DATA!AJ56</f>
        <v>117 kab/kota telah terfasilitasi pendampingan penyusunan rencana kawasan permukiman kumuh perkotaan (RKPKP) tahun 2015 sebagai rencana pencegahan dan peningkatan kualitas permukiman dan perumahan kumuh perkotaan.</v>
      </c>
      <c r="AG71" s="37" t="str">
        <f>DATA!AK56</f>
        <v xml:space="preserve">Pemerintah Daerah sudah menetapkan SK Bupati / Walikota untuk Penetapan Lokasi Perumahan Kumuh dan Permukiman Kumuh. </v>
      </c>
      <c r="AH71" s="37" t="str">
        <f>DATA!AL56</f>
        <v>-</v>
      </c>
      <c r="AI71" s="20">
        <f>DATA!AM56</f>
        <v>0</v>
      </c>
      <c r="AJ71" s="20" t="str">
        <f>DATA!AN56</f>
        <v>dalam proses
(penyusunan FS)</v>
      </c>
      <c r="AK71" s="20" t="str">
        <f>DATA!AO56</f>
        <v>dalam proses
(perencanaan)</v>
      </c>
      <c r="AL71" s="20" t="str">
        <f>DATA!AP56</f>
        <v>belum ada proses tender/lelang</v>
      </c>
      <c r="AM71" s="20" t="str">
        <f>DATA!AY56</f>
        <v>- Konsep kegiatan belum siap
- Konfirmasi melalui surat Sekjen nomor KU.01.12-Sj/636 tgl 23 Oktober 2015</v>
      </c>
      <c r="AN71" s="20" t="e">
        <f>DATA!#REF!</f>
        <v>#REF!</v>
      </c>
      <c r="AO71" s="20">
        <f>DATA!AZ56</f>
        <v>0</v>
      </c>
      <c r="AP71" s="152" t="e">
        <f>DATA!#REF!</f>
        <v>#REF!</v>
      </c>
      <c r="AQ71" s="37" t="str">
        <f>DATA!BA56</f>
        <v>Penanganan kawasan kumuh sebesar 4.400 ha</v>
      </c>
    </row>
    <row r="72" spans="1:43" ht="30" customHeight="1">
      <c r="A72" s="10">
        <f>DATA!A57</f>
        <v>46</v>
      </c>
      <c r="B72" s="10">
        <f>DATA!B57</f>
        <v>0</v>
      </c>
      <c r="C72" s="10" t="str">
        <f>DATA!D57</f>
        <v>INFRASTRUKTUR</v>
      </c>
      <c r="D72" s="10">
        <f>DATA!E57</f>
        <v>1</v>
      </c>
      <c r="E72" s="10" t="str">
        <f>DATA!F57</f>
        <v>Kementerian Pekerjaan Umum dan Perumahan Rakyat</v>
      </c>
      <c r="F72" s="10" t="str">
        <f>DATA!H57</f>
        <v>Slum Alleviation Program</v>
      </c>
      <c r="G72" s="10" t="str">
        <f>DATA!I57</f>
        <v>G</v>
      </c>
      <c r="H72" s="10" t="str">
        <f>DATA!J57</f>
        <v>Program Penanganan Kumuh</v>
      </c>
      <c r="I72" s="10">
        <f>DATA!K57</f>
        <v>2</v>
      </c>
      <c r="J72" s="33"/>
      <c r="K72" s="34"/>
      <c r="L72" s="34"/>
      <c r="M72" s="36">
        <f>DATA!K57</f>
        <v>2</v>
      </c>
      <c r="N72" s="37" t="str">
        <f>DATA!L57</f>
        <v>National Slum Upgrading</v>
      </c>
      <c r="O72" s="20">
        <f>DATA!Q57</f>
        <v>0</v>
      </c>
      <c r="P72" s="20">
        <f>DATA!R57</f>
        <v>1</v>
      </c>
      <c r="Q72" s="20">
        <f>DATA!S57</f>
        <v>40</v>
      </c>
      <c r="R72" s="77">
        <f>DATA!T57</f>
        <v>1052640000</v>
      </c>
      <c r="S72" s="88">
        <f>DATA!U57</f>
        <v>1052640000</v>
      </c>
      <c r="T72" s="77">
        <f>DATA!V57</f>
        <v>52632000</v>
      </c>
      <c r="U72" s="77">
        <f>DATA!W57</f>
        <v>0</v>
      </c>
      <c r="V72" s="77">
        <f>DATA!X57</f>
        <v>1105272000</v>
      </c>
      <c r="W72" s="78" t="str">
        <f>DATA!Y57</f>
        <v>-</v>
      </c>
      <c r="X72" s="20">
        <f>DATA!Z57</f>
        <v>0</v>
      </c>
      <c r="Y72" s="77">
        <f>DATA!AA57</f>
        <v>1052640000</v>
      </c>
      <c r="Z72" s="77">
        <f>DATA!AG57</f>
        <v>0</v>
      </c>
      <c r="AA72" s="20" t="str">
        <f>DATA!AH57</f>
        <v>-</v>
      </c>
      <c r="AB72" s="37" t="str">
        <f>DATA!AI57</f>
        <v>-</v>
      </c>
      <c r="AC72" s="152" t="str">
        <f>DATA!AM57</f>
        <v>-</v>
      </c>
      <c r="AD72" s="152" t="str">
        <f>DATA!AN57</f>
        <v>-</v>
      </c>
      <c r="AE72" s="152" t="str">
        <f>DATA!AO57</f>
        <v>-</v>
      </c>
      <c r="AF72" s="37" t="str">
        <f>DATA!AJ57</f>
        <v>-</v>
      </c>
      <c r="AG72" s="37" t="str">
        <f>DATA!AK57</f>
        <v>-</v>
      </c>
      <c r="AH72" s="37" t="str">
        <f>DATA!AL57</f>
        <v>-</v>
      </c>
      <c r="AI72" s="20" t="str">
        <f>DATA!AM57</f>
        <v>-</v>
      </c>
      <c r="AJ72" s="20" t="str">
        <f>DATA!AN57</f>
        <v>-</v>
      </c>
      <c r="AK72" s="20" t="str">
        <f>DATA!AO57</f>
        <v>-</v>
      </c>
      <c r="AL72" s="20" t="str">
        <f>DATA!AP57</f>
        <v>-</v>
      </c>
      <c r="AM72" s="20" t="str">
        <f>DATA!AY57</f>
        <v>Konfirmasi melalui surat Sekjen nomor KU.01.12-Sj/636 tgl 23 Oktober 2015</v>
      </c>
      <c r="AN72" s="20" t="e">
        <f>DATA!#REF!</f>
        <v>#REF!</v>
      </c>
      <c r="AO72" s="20" t="str">
        <f>DATA!AZ57</f>
        <v>-</v>
      </c>
      <c r="AP72" s="152" t="e">
        <f>DATA!#REF!</f>
        <v>#REF!</v>
      </c>
      <c r="AQ72" s="37" t="str">
        <f>DATA!BA57</f>
        <v>-</v>
      </c>
    </row>
    <row r="73" spans="1:43" s="6" customFormat="1" ht="209.25" customHeight="1">
      <c r="A73" s="6">
        <f>DATA!A58</f>
        <v>46</v>
      </c>
      <c r="B73" s="6">
        <f>DATA!B58</f>
        <v>0</v>
      </c>
      <c r="C73" s="6" t="str">
        <f>DATA!D58</f>
        <v>INFRASTRUKTUR</v>
      </c>
      <c r="D73" s="6">
        <f>DATA!E58</f>
        <v>1</v>
      </c>
      <c r="E73" s="6" t="str">
        <f>DATA!F58</f>
        <v>Kementerian Pekerjaan Umum dan Perumahan Rakyat</v>
      </c>
      <c r="F73" s="6" t="str">
        <f>DATA!H58</f>
        <v>Slum Alleviation Program</v>
      </c>
      <c r="G73" s="6" t="str">
        <f>DATA!I58</f>
        <v>G</v>
      </c>
      <c r="H73" s="6" t="str">
        <f>DATA!J58</f>
        <v>Program Penanganan Kumuh</v>
      </c>
      <c r="I73" s="6">
        <f>DATA!K58</f>
        <v>2</v>
      </c>
      <c r="J73" s="38"/>
      <c r="K73" s="39"/>
      <c r="L73" s="39"/>
      <c r="M73" s="40"/>
      <c r="N73" s="67" t="str">
        <f>DATA!L58</f>
        <v>National Slum Upgrading</v>
      </c>
      <c r="O73" s="42">
        <f>DATA!Q58</f>
        <v>0.25</v>
      </c>
      <c r="P73" s="42">
        <f>DATA!R58</f>
        <v>0</v>
      </c>
      <c r="Q73" s="42">
        <f>DATA!S58</f>
        <v>0</v>
      </c>
      <c r="R73" s="83">
        <f>DATA!T58</f>
        <v>0</v>
      </c>
      <c r="S73" s="88">
        <f>DATA!U58</f>
        <v>0</v>
      </c>
      <c r="T73" s="83">
        <f>DATA!V58</f>
        <v>0</v>
      </c>
      <c r="U73" s="83">
        <f>DATA!W58</f>
        <v>0</v>
      </c>
      <c r="V73" s="83">
        <f>DATA!X58</f>
        <v>0</v>
      </c>
      <c r="W73" s="84" t="str">
        <f>DATA!Y58</f>
        <v>IDB</v>
      </c>
      <c r="X73" s="42" t="str">
        <f>DATA!Z58</f>
        <v>Multilateral</v>
      </c>
      <c r="Y73" s="83">
        <f>DATA!AA58</f>
        <v>329760000</v>
      </c>
      <c r="Z73" s="83">
        <f>DATA!AG58</f>
        <v>0</v>
      </c>
      <c r="AA73" s="42">
        <f>DATA!AH58</f>
        <v>2016</v>
      </c>
      <c r="AB73" s="67" t="str">
        <f>DATA!AI58</f>
        <v>Green Book 2016</v>
      </c>
      <c r="AC73" s="152">
        <f>DATA!AM58</f>
        <v>2016</v>
      </c>
      <c r="AD73" s="152" t="str">
        <f>DATA!AN58</f>
        <v>dalam proses
(penyusunan FS)</v>
      </c>
      <c r="AE73" s="152" t="str">
        <f>DATA!AO58</f>
        <v>tidak butuh lahan</v>
      </c>
      <c r="AF73" s="67" t="str">
        <f>DATA!AJ58</f>
        <v>- Concept Paper, Baseline Survey, Draft Guidelines.
- Surat Komitmen Pemda untuk penanganan kumuh.</v>
      </c>
      <c r="AG73" s="67"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H73" s="67" t="str">
        <f>DATA!AL58</f>
        <v>-</v>
      </c>
      <c r="AI73" s="42">
        <f>DATA!AM58</f>
        <v>2016</v>
      </c>
      <c r="AJ73" s="42" t="str">
        <f>DATA!AN58</f>
        <v>dalam proses
(penyusunan FS)</v>
      </c>
      <c r="AK73" s="42" t="str">
        <f>DATA!AO58</f>
        <v>tidak butuh lahan</v>
      </c>
      <c r="AL73" s="42" t="str">
        <f>DATA!AP58</f>
        <v>belum ada proses tender/lelang</v>
      </c>
      <c r="AM73" s="42"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N73" s="42" t="e">
        <f>DATA!#REF!</f>
        <v>#REF!</v>
      </c>
      <c r="AO73" s="42" t="str">
        <f>DATA!AZ58</f>
        <v>Sudah ada R/C</v>
      </c>
      <c r="AP73" s="152" t="e">
        <f>DATA!#REF!</f>
        <v>#REF!</v>
      </c>
      <c r="AQ73" s="67" t="str">
        <f>DATA!BA58</f>
        <v>Peningkatan kualitas permukiman di 21 provinsi, 257 kabupaten/kota,  6.626 kelurahan</v>
      </c>
    </row>
    <row r="74" spans="1:43" s="6" customFormat="1" ht="201" customHeight="1">
      <c r="A74" s="6">
        <f>DATA!A59</f>
        <v>47</v>
      </c>
      <c r="B74" s="6">
        <f>DATA!B59</f>
        <v>0</v>
      </c>
      <c r="C74" s="6" t="str">
        <f>DATA!D59</f>
        <v>INFRASTRUKTUR</v>
      </c>
      <c r="D74" s="6">
        <f>DATA!E59</f>
        <v>1</v>
      </c>
      <c r="E74" s="6" t="str">
        <f>DATA!F59</f>
        <v>Kementerian Pekerjaan Umum dan Perumahan Rakyat</v>
      </c>
      <c r="F74" s="6" t="str">
        <f>DATA!H59</f>
        <v>Slum Alleviation Program</v>
      </c>
      <c r="G74" s="6" t="str">
        <f>DATA!I59</f>
        <v>G</v>
      </c>
      <c r="H74" s="6" t="str">
        <f>DATA!J59</f>
        <v>Program Penanganan Kumuh</v>
      </c>
      <c r="I74" s="6">
        <f>DATA!K59</f>
        <v>2</v>
      </c>
      <c r="J74" s="38"/>
      <c r="K74" s="39"/>
      <c r="L74" s="39"/>
      <c r="M74" s="43"/>
      <c r="N74" s="67" t="str">
        <f>DATA!L59</f>
        <v>National Slum Upgrading</v>
      </c>
      <c r="O74" s="42">
        <f>DATA!Q59</f>
        <v>0.25</v>
      </c>
      <c r="P74" s="42">
        <f>DATA!R59</f>
        <v>0</v>
      </c>
      <c r="Q74" s="42">
        <f>DATA!S59</f>
        <v>0</v>
      </c>
      <c r="R74" s="83">
        <f>DATA!T59</f>
        <v>0</v>
      </c>
      <c r="S74" s="88">
        <f>DATA!U59</f>
        <v>0</v>
      </c>
      <c r="T74" s="83">
        <f>DATA!V59</f>
        <v>0</v>
      </c>
      <c r="U74" s="83">
        <f>DATA!W59</f>
        <v>0</v>
      </c>
      <c r="V74" s="83">
        <f>DATA!X59</f>
        <v>0</v>
      </c>
      <c r="W74" s="84" t="str">
        <f>DATA!Y59</f>
        <v>Bank Dunia</v>
      </c>
      <c r="X74" s="42" t="str">
        <f>DATA!Z59</f>
        <v>Multilateral</v>
      </c>
      <c r="Y74" s="83">
        <f>DATA!AA59</f>
        <v>216500000</v>
      </c>
      <c r="Z74" s="83">
        <f>DATA!AG59</f>
        <v>0</v>
      </c>
      <c r="AA74" s="42">
        <f>DATA!AH59</f>
        <v>2016</v>
      </c>
      <c r="AB74" s="67" t="str">
        <f>DATA!AI59</f>
        <v>Green Book 2016</v>
      </c>
      <c r="AC74" s="152">
        <f>DATA!AM59</f>
        <v>2016</v>
      </c>
      <c r="AD74" s="152" t="str">
        <f>DATA!AN59</f>
        <v>dalam proses
(penyusunan FS)</v>
      </c>
      <c r="AE74" s="152" t="str">
        <f>DATA!AO59</f>
        <v>tidak butuh lahan</v>
      </c>
      <c r="AF74" s="67" t="str">
        <f>DATA!AJ59</f>
        <v>- Concept Paper, Baseline Survey, Draft Guidelines.
- Surat Komitmen Pemda untuk penanganan kumuh.</v>
      </c>
      <c r="AG74" s="67"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H74" s="67" t="str">
        <f>DATA!AL59</f>
        <v>-</v>
      </c>
      <c r="AI74" s="42">
        <f>DATA!AM59</f>
        <v>2016</v>
      </c>
      <c r="AJ74" s="42" t="str">
        <f>DATA!AN59</f>
        <v>dalam proses
(penyusunan FS)</v>
      </c>
      <c r="AK74" s="42" t="str">
        <f>DATA!AO59</f>
        <v>tidak butuh lahan</v>
      </c>
      <c r="AL74" s="42" t="str">
        <f>DATA!AP59</f>
        <v>belum ada proses tender/lelang</v>
      </c>
      <c r="AM74" s="42"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N74" s="42" t="e">
        <f>DATA!#REF!</f>
        <v>#REF!</v>
      </c>
      <c r="AO74" s="42" t="str">
        <f>DATA!AZ59</f>
        <v>Sudah ada R/C</v>
      </c>
      <c r="AP74" s="152" t="e">
        <f>DATA!#REF!</f>
        <v>#REF!</v>
      </c>
      <c r="AQ74" s="67" t="str">
        <f>DATA!BA59</f>
        <v>Peningkatan kualitas permukiman di 21 provinsi, 257 kabupaten/kota,  6.626 kelurahan</v>
      </c>
    </row>
    <row r="75" spans="1:43" ht="89.25" customHeight="1">
      <c r="A75" s="10">
        <f>DATA!A62</f>
        <v>48</v>
      </c>
      <c r="B75" s="10">
        <f>DATA!B62</f>
        <v>0</v>
      </c>
      <c r="C75" s="10" t="str">
        <f>DATA!D62</f>
        <v>INFRASTRUKTUR</v>
      </c>
      <c r="D75" s="10">
        <f>DATA!E62</f>
        <v>1</v>
      </c>
      <c r="E75" s="10" t="str">
        <f>DATA!F62</f>
        <v>Kementerian Pekerjaan Umum dan Perumahan Rakyat</v>
      </c>
      <c r="F75" s="10" t="str">
        <f>DATA!H62</f>
        <v>Slum Alleviation Program</v>
      </c>
      <c r="G75" s="10" t="str">
        <f>DATA!I62</f>
        <v>G</v>
      </c>
      <c r="H75" s="10" t="str">
        <f>DATA!J62</f>
        <v>Program Penanganan Kumuh</v>
      </c>
      <c r="I75" s="10">
        <f>DATA!K62</f>
        <v>3</v>
      </c>
      <c r="J75" s="33"/>
      <c r="K75" s="34"/>
      <c r="L75" s="34"/>
      <c r="M75" s="36">
        <f>DATA!K62</f>
        <v>3</v>
      </c>
      <c r="N75" s="37" t="str">
        <f>DATA!L62</f>
        <v>Rural Settlement Infrastructure Development (RSID)</v>
      </c>
      <c r="O75" s="20">
        <f>DATA!Q62</f>
        <v>1</v>
      </c>
      <c r="P75" s="20">
        <f>DATA!R62</f>
        <v>1</v>
      </c>
      <c r="Q75" s="20">
        <f>DATA!S62</f>
        <v>41</v>
      </c>
      <c r="R75" s="77">
        <f>DATA!T62</f>
        <v>201000000</v>
      </c>
      <c r="S75" s="88">
        <f>DATA!U62</f>
        <v>201000000</v>
      </c>
      <c r="T75" s="77">
        <f>DATA!V62</f>
        <v>10050000</v>
      </c>
      <c r="U75" s="77">
        <f>DATA!W62</f>
        <v>0</v>
      </c>
      <c r="V75" s="77">
        <f>DATA!X62</f>
        <v>211050000</v>
      </c>
      <c r="W75" s="78" t="str">
        <f>DATA!Y62</f>
        <v>JICA</v>
      </c>
      <c r="X75" s="20" t="str">
        <f>DATA!Z62</f>
        <v>Bilateral</v>
      </c>
      <c r="Y75" s="77">
        <f>DATA!AA62</f>
        <v>201000000</v>
      </c>
      <c r="Z75" s="77">
        <f>DATA!AG62</f>
        <v>0</v>
      </c>
      <c r="AA75" s="20">
        <f>DATA!AH62</f>
        <v>2016</v>
      </c>
      <c r="AB75" s="37" t="str">
        <f>DATA!AI62</f>
        <v>-</v>
      </c>
      <c r="AC75" s="152">
        <f>DATA!AM62</f>
        <v>0</v>
      </c>
      <c r="AD75" s="152" t="str">
        <f>DATA!AN62</f>
        <v>dalam proses
(penyusunan FS)</v>
      </c>
      <c r="AE75" s="152" t="str">
        <f>DATA!AO62</f>
        <v>dalam proses
(perencanaan)</v>
      </c>
      <c r="AF75" s="37" t="str">
        <f>DATA!AJ62</f>
        <v>30 (tiga puluh) kabupaten yang sudah mempunyai Perda RTRW dan mempunyai Perda Kawasan Strategis Kabupaten (KSK)</v>
      </c>
      <c r="AG75" s="37" t="str">
        <f>DATA!AK62</f>
        <v>belum ada pedoman teknis untuk pemenuhan lahan.</v>
      </c>
      <c r="AH75" s="37" t="str">
        <f>DATA!AL62</f>
        <v>belum ada</v>
      </c>
      <c r="AI75" s="20">
        <f>DATA!AM62</f>
        <v>0</v>
      </c>
      <c r="AJ75" s="20" t="str">
        <f>DATA!AN62</f>
        <v>dalam proses
(penyusunan FS)</v>
      </c>
      <c r="AK75" s="20" t="str">
        <f>DATA!AO62</f>
        <v>dalam proses
(perencanaan)</v>
      </c>
      <c r="AL75" s="20" t="str">
        <f>DATA!AP62</f>
        <v>belum ada proses tender/lelang</v>
      </c>
      <c r="AM75" s="20" t="str">
        <f>DATA!AY62</f>
        <v>- semula Lender adalah IDB, namun berdasarkan hasil konfirmasi Kem. PUPR, Lender keg ini adalah JICA
- konsep kegiatan belum siap
- Konfirmasi melalui surat Sekjen nomor KU.01.12-Sj/636 tgl 23 Oktober 2015</v>
      </c>
      <c r="AN75" s="20" t="e">
        <f>DATA!#REF!</f>
        <v>#REF!</v>
      </c>
      <c r="AO75" s="20">
        <f>DATA!AZ62</f>
        <v>0</v>
      </c>
      <c r="AP75" s="152" t="e">
        <f>DATA!#REF!</f>
        <v>#REF!</v>
      </c>
      <c r="AQ75" s="37" t="str">
        <f>DATA!BA62</f>
        <v xml:space="preserve">Pembangunan infrastruktur perdesaan seluas 18.589 ha </v>
      </c>
    </row>
    <row r="76" spans="1:43" ht="80.25" customHeight="1">
      <c r="A76" s="10">
        <f>DATA!A63</f>
        <v>49</v>
      </c>
      <c r="B76" s="10">
        <f>DATA!B63</f>
        <v>0</v>
      </c>
      <c r="C76" s="10" t="str">
        <f>DATA!D63</f>
        <v>INFRASTRUKTUR</v>
      </c>
      <c r="D76" s="10">
        <f>DATA!E63</f>
        <v>1</v>
      </c>
      <c r="E76" s="10" t="str">
        <f>DATA!F63</f>
        <v>Kementerian Pekerjaan Umum dan Perumahan Rakyat</v>
      </c>
      <c r="F76" s="10" t="str">
        <f>DATA!H63</f>
        <v>Slum Alleviation Program</v>
      </c>
      <c r="G76" s="10" t="str">
        <f>DATA!I63</f>
        <v>G</v>
      </c>
      <c r="H76" s="10" t="str">
        <f>DATA!J63</f>
        <v>Program Penanganan Kumuh</v>
      </c>
      <c r="I76" s="10">
        <f>DATA!K63</f>
        <v>4</v>
      </c>
      <c r="J76" s="33"/>
      <c r="K76" s="34"/>
      <c r="L76" s="54"/>
      <c r="M76" s="36">
        <f>DATA!K63</f>
        <v>4</v>
      </c>
      <c r="N76" s="37" t="str">
        <f>DATA!L63</f>
        <v>Building Administration and Capacity Enforcement Development for Seismic Resilience</v>
      </c>
      <c r="O76" s="20">
        <f>DATA!Q63</f>
        <v>1</v>
      </c>
      <c r="P76" s="20">
        <f>DATA!R63</f>
        <v>1</v>
      </c>
      <c r="Q76" s="20">
        <f>DATA!S63</f>
        <v>42</v>
      </c>
      <c r="R76" s="77">
        <f>DATA!T63</f>
        <v>261100000</v>
      </c>
      <c r="S76" s="88">
        <f>DATA!U63</f>
        <v>261100000</v>
      </c>
      <c r="T76" s="77">
        <f>DATA!V63</f>
        <v>13055000</v>
      </c>
      <c r="U76" s="77">
        <f>DATA!W63</f>
        <v>0</v>
      </c>
      <c r="V76" s="77">
        <f>DATA!X63</f>
        <v>274155000</v>
      </c>
      <c r="W76" s="78" t="str">
        <f>DATA!Y63</f>
        <v>JICA</v>
      </c>
      <c r="X76" s="20" t="str">
        <f>DATA!Z63</f>
        <v>Bilateral</v>
      </c>
      <c r="Y76" s="77">
        <f>DATA!AA63</f>
        <v>261100000</v>
      </c>
      <c r="Z76" s="77">
        <f>DATA!AG63</f>
        <v>0</v>
      </c>
      <c r="AA76" s="20">
        <f>DATA!AH63</f>
        <v>2016</v>
      </c>
      <c r="AB76" s="37" t="str">
        <f>DATA!AI63</f>
        <v>-</v>
      </c>
      <c r="AC76" s="152">
        <f>DATA!AM63</f>
        <v>0</v>
      </c>
      <c r="AD76" s="152" t="str">
        <f>DATA!AN63</f>
        <v>dalam proses
(penyusunan FS)</v>
      </c>
      <c r="AE76" s="152" t="str">
        <f>DATA!AO63</f>
        <v>tidak butuh lahan</v>
      </c>
      <c r="AF76" s="37" t="str">
        <f>DATA!AJ63</f>
        <v>246 dari total 514 kota / kabupaten telah mengeluarkan Peraturan Daerah Bangunan Gedung).</v>
      </c>
      <c r="AG76" s="37" t="str">
        <f>DATA!AK63</f>
        <v>tidak ada kegiatan pengadaan lahan.</v>
      </c>
      <c r="AH76" s="37" t="str">
        <f>DATA!AL63</f>
        <v>belum ada</v>
      </c>
      <c r="AI76" s="20">
        <f>DATA!AM63</f>
        <v>0</v>
      </c>
      <c r="AJ76" s="20" t="str">
        <f>DATA!AN63</f>
        <v>dalam proses
(penyusunan FS)</v>
      </c>
      <c r="AK76" s="20" t="str">
        <f>DATA!AO63</f>
        <v>tidak butuh lahan</v>
      </c>
      <c r="AL76" s="20" t="str">
        <f>DATA!AP63</f>
        <v>belum ada proses tender/lelang</v>
      </c>
      <c r="AM76" s="20" t="str">
        <f>DATA!AY63</f>
        <v>- konsep kegiatan belum siap
- Konfirmasi melalui surat Sekjen nomor KU.01.12-Sj/636 tgl 23 Oktober 2015</v>
      </c>
      <c r="AN76" s="20" t="e">
        <f>DATA!#REF!</f>
        <v>#REF!</v>
      </c>
      <c r="AO76" s="20" t="str">
        <f>DATA!AZ63</f>
        <v>- JICA diindikasikan akan mendanai kegiatan ini dan sudah ada kajian dengan pihak JICA</v>
      </c>
      <c r="AP76" s="152" t="e">
        <f>DATA!#REF!</f>
        <v>#REF!</v>
      </c>
      <c r="AQ76" s="37" t="str">
        <f>DATA!BA63</f>
        <v>Pengembangan panduan/guidelines untuk 455 kota/kabupaten mengenai bangunan tahan gempa dan sosialisasi metode perkuatan/retrofitting untuk bangunan tahan gempa.</v>
      </c>
    </row>
    <row r="77" spans="1:43" s="5" customFormat="1" ht="33.75" customHeight="1">
      <c r="J77" s="28"/>
      <c r="K77" s="50"/>
      <c r="L77" s="30" t="str">
        <f>DATA!I67</f>
        <v>I</v>
      </c>
      <c r="M77" s="31" t="str">
        <f>DATA!J67</f>
        <v>Program Pengembangan dan Pengelolaan Irigasi</v>
      </c>
      <c r="N77" s="51"/>
      <c r="O77" s="31"/>
      <c r="P77" s="31"/>
      <c r="Q77" s="31"/>
      <c r="R77" s="81">
        <f>SUM(R78,R82:R90)</f>
        <v>3257531000</v>
      </c>
      <c r="S77" s="81">
        <f>SUM(S78,S82:S90)</f>
        <v>3257531000</v>
      </c>
      <c r="T77" s="81">
        <f t="shared" ref="T77:Z77" si="3">SUM(T78,T82:T90)</f>
        <v>345159500</v>
      </c>
      <c r="U77" s="81">
        <f t="shared" si="3"/>
        <v>0</v>
      </c>
      <c r="V77" s="81">
        <f t="shared" si="3"/>
        <v>3602690500</v>
      </c>
      <c r="W77" s="81"/>
      <c r="X77" s="81">
        <f t="shared" si="3"/>
        <v>0</v>
      </c>
      <c r="Y77" s="81">
        <f t="shared" si="3"/>
        <v>3257531000</v>
      </c>
      <c r="Z77" s="81">
        <f t="shared" si="3"/>
        <v>0</v>
      </c>
      <c r="AA77" s="31"/>
      <c r="AB77" s="32"/>
      <c r="AC77" s="32"/>
      <c r="AD77" s="32"/>
      <c r="AE77" s="32"/>
      <c r="AF77" s="32"/>
      <c r="AG77" s="32"/>
      <c r="AH77" s="32"/>
      <c r="AI77" s="31"/>
      <c r="AJ77" s="31"/>
      <c r="AK77" s="31"/>
      <c r="AL77" s="31"/>
      <c r="AM77" s="31"/>
      <c r="AN77" s="31"/>
      <c r="AO77" s="31"/>
      <c r="AP77" s="32"/>
      <c r="AQ77" s="32"/>
    </row>
    <row r="78" spans="1:43" ht="51">
      <c r="A78" s="10">
        <f>DATA!A65</f>
        <v>50</v>
      </c>
      <c r="B78" s="10">
        <f>DATA!B65</f>
        <v>0</v>
      </c>
      <c r="C78" s="10" t="str">
        <f>DATA!D65</f>
        <v>INFRASTRUKTUR</v>
      </c>
      <c r="D78" s="10">
        <f>DATA!E65</f>
        <v>1</v>
      </c>
      <c r="E78" s="10" t="str">
        <f>DATA!F65</f>
        <v>Kementerian Pekerjaan Umum dan Perumahan Rakyat</v>
      </c>
      <c r="F78" s="10" t="str">
        <f>DATA!H65</f>
        <v>Slum Alleviation Program</v>
      </c>
      <c r="G78" s="10" t="str">
        <f>DATA!I65</f>
        <v>I</v>
      </c>
      <c r="H78" s="10" t="str">
        <f>DATA!J65</f>
        <v>Program Pengembangan dan Pengelolaan Irigasi</v>
      </c>
      <c r="I78" s="10">
        <f>DATA!K65</f>
        <v>1</v>
      </c>
      <c r="J78" s="33"/>
      <c r="K78" s="34"/>
      <c r="L78" s="35"/>
      <c r="M78" s="36">
        <f>DATA!K65</f>
        <v>1</v>
      </c>
      <c r="N78" s="37" t="str">
        <f>DATA!L65</f>
        <v>Integrated Participatory Development and Management of Irrigation Project:</v>
      </c>
      <c r="O78" s="20">
        <f>DATA!Q65</f>
        <v>0</v>
      </c>
      <c r="P78" s="20">
        <f>DATA!R65</f>
        <v>0</v>
      </c>
      <c r="Q78" s="20">
        <f>DATA!S65</f>
        <v>0</v>
      </c>
      <c r="R78" s="77">
        <f>DATA!T65</f>
        <v>1200000000</v>
      </c>
      <c r="S78" s="88">
        <f>DATA!U65</f>
        <v>1200000000</v>
      </c>
      <c r="T78" s="77">
        <f>DATA!V65</f>
        <v>120000000</v>
      </c>
      <c r="U78" s="77">
        <f>DATA!W65</f>
        <v>0</v>
      </c>
      <c r="V78" s="77">
        <f>DATA!X65</f>
        <v>1320000000</v>
      </c>
      <c r="W78" s="78" t="str">
        <f>DATA!Y65</f>
        <v>-</v>
      </c>
      <c r="X78" s="20">
        <f>DATA!Z65</f>
        <v>0</v>
      </c>
      <c r="Y78" s="77">
        <f>DATA!AA65</f>
        <v>1200000000</v>
      </c>
      <c r="Z78" s="77">
        <f>DATA!AG65</f>
        <v>0</v>
      </c>
      <c r="AA78" s="20" t="str">
        <f>DATA!AH65</f>
        <v>-</v>
      </c>
      <c r="AB78" s="37" t="str">
        <f>DATA!AI65</f>
        <v>-</v>
      </c>
      <c r="AC78" s="152" t="str">
        <f>DATA!AM65</f>
        <v>-</v>
      </c>
      <c r="AD78" s="152" t="str">
        <f>DATA!AN65</f>
        <v>-</v>
      </c>
      <c r="AE78" s="152" t="str">
        <f>DATA!AO65</f>
        <v>-</v>
      </c>
      <c r="AF78" s="37" t="str">
        <f>DATA!AJ65</f>
        <v>-</v>
      </c>
      <c r="AG78" s="37" t="str">
        <f>DATA!AK65</f>
        <v>-</v>
      </c>
      <c r="AH78" s="37" t="str">
        <f>DATA!AL65</f>
        <v>-</v>
      </c>
      <c r="AI78" s="20" t="str">
        <f>DATA!AM65</f>
        <v>-</v>
      </c>
      <c r="AJ78" s="20" t="str">
        <f>DATA!AN65</f>
        <v>-</v>
      </c>
      <c r="AK78" s="20" t="str">
        <f>DATA!AO65</f>
        <v>-</v>
      </c>
      <c r="AL78" s="20" t="str">
        <f>DATA!AP65</f>
        <v>-</v>
      </c>
      <c r="AM78" s="20" t="str">
        <f>DATA!AY65</f>
        <v>Konfirmasi melalui surat Sekjen nomor KU.01.12-Sj/636 tgl 23 Oktober 2015</v>
      </c>
      <c r="AN78" s="20" t="e">
        <f>DATA!#REF!</f>
        <v>#REF!</v>
      </c>
      <c r="AO78" s="20">
        <f>DATA!AZ65</f>
        <v>0</v>
      </c>
      <c r="AP78" s="152" t="e">
        <f>DATA!#REF!</f>
        <v>#REF!</v>
      </c>
      <c r="AQ78" s="37" t="str">
        <f>DATA!BA65</f>
        <v>Pembangunan lanjutan proyek irigasi dengan total seluas 193.858 Ha dan pembangunan irigasi baru seluas 10.000 Ha yang tersebar di berbagai wilayah di Indonesia</v>
      </c>
    </row>
    <row r="79" spans="1:43" s="6" customFormat="1" ht="88.5" customHeight="1">
      <c r="A79" s="6">
        <f>DATA!A67</f>
        <v>51</v>
      </c>
      <c r="B79" s="6">
        <f>DATA!B67</f>
        <v>0</v>
      </c>
      <c r="C79" s="6" t="str">
        <f>DATA!D67</f>
        <v>INFRASTRUKTUR</v>
      </c>
      <c r="D79" s="6">
        <f>DATA!E67</f>
        <v>1</v>
      </c>
      <c r="E79" s="6" t="str">
        <f>DATA!F67</f>
        <v>Kementerian Pekerjaan Umum dan Perumahan Rakyat</v>
      </c>
      <c r="F79" s="6" t="str">
        <f>DATA!H67</f>
        <v xml:space="preserve">Development and Management of Irrigation Program </v>
      </c>
      <c r="G79" s="6" t="str">
        <f>DATA!I67</f>
        <v>I</v>
      </c>
      <c r="H79" s="6" t="str">
        <f>DATA!J67</f>
        <v>Program Pengembangan dan Pengelolaan Irigasi</v>
      </c>
      <c r="I79" s="6">
        <f>DATA!K67</f>
        <v>1</v>
      </c>
      <c r="J79" s="38"/>
      <c r="K79" s="39"/>
      <c r="L79" s="39"/>
      <c r="M79" s="40"/>
      <c r="N79" s="67" t="str">
        <f>DATA!L67</f>
        <v>Integrated Participatory Development and Management of Irrigation Project - Phase I</v>
      </c>
      <c r="O79" s="42">
        <f>DATA!Q67</f>
        <v>0.5</v>
      </c>
      <c r="P79" s="42">
        <f>DATA!R67</f>
        <v>0</v>
      </c>
      <c r="Q79" s="42">
        <f>DATA!S67</f>
        <v>43</v>
      </c>
      <c r="R79" s="83">
        <f>DATA!T67</f>
        <v>0</v>
      </c>
      <c r="S79" s="88">
        <f>DATA!U67</f>
        <v>0</v>
      </c>
      <c r="T79" s="83">
        <f>DATA!V67</f>
        <v>0</v>
      </c>
      <c r="U79" s="83">
        <f>DATA!W67</f>
        <v>0</v>
      </c>
      <c r="V79" s="83">
        <f>DATA!X67</f>
        <v>0</v>
      </c>
      <c r="W79" s="84" t="str">
        <f>DATA!Y67</f>
        <v>ADB</v>
      </c>
      <c r="X79" s="42" t="str">
        <f>DATA!Z67</f>
        <v>Multilateral</v>
      </c>
      <c r="Y79" s="83">
        <f>DATA!AA67</f>
        <v>600000000</v>
      </c>
      <c r="Z79" s="83">
        <f>DATA!AG67</f>
        <v>0</v>
      </c>
      <c r="AA79" s="42">
        <f>DATA!AH67</f>
        <v>2016</v>
      </c>
      <c r="AB79" s="67" t="str">
        <f>DATA!AI67</f>
        <v>- Sudah ada RC
- Green Book 2015
- Dalam proses pembahasan skema pinjaman</v>
      </c>
      <c r="AC79" s="152" t="str">
        <f>DATA!AM67</f>
        <v>2016; 2015</v>
      </c>
      <c r="AD79" s="152" t="str">
        <f>DATA!AN67</f>
        <v>siap</v>
      </c>
      <c r="AE79" s="152" t="str">
        <f>DATA!AO67</f>
        <v>belum ada keterangan</v>
      </c>
      <c r="AF79" s="67" t="str">
        <f>DATA!AJ67</f>
        <v>FS, DED, AMDAL, LARAP</v>
      </c>
      <c r="AG79" s="67" t="str">
        <f>DATA!AK67</f>
        <v>-</v>
      </c>
      <c r="AH79" s="67" t="str">
        <f>DATA!AL67</f>
        <v>Belum ada tender/lelang</v>
      </c>
      <c r="AI79" s="42" t="str">
        <f>DATA!AM67</f>
        <v>2016; 2015</v>
      </c>
      <c r="AJ79" s="42" t="str">
        <f>DATA!AN67</f>
        <v>siap</v>
      </c>
      <c r="AK79" s="42" t="str">
        <f>DATA!AO67</f>
        <v>belum ada keterangan</v>
      </c>
      <c r="AL79" s="42" t="str">
        <f>DATA!AP67</f>
        <v>belum ada proses tender/lelang</v>
      </c>
      <c r="AM79" s="42" t="str">
        <f>DATA!AY67</f>
        <v>- Cofinancing ADB USD 600 juta dan IFAD USD 100 juta
- Konfirmasi melalui surat Sekjen nomor KU.01.12-Sj/636 tgl 23 Oktober 2015</v>
      </c>
      <c r="AN79" s="42" t="e">
        <f>DATA!#REF!</f>
        <v>#REF!</v>
      </c>
      <c r="AO79" s="42" t="str">
        <f>DATA!AZ67</f>
        <v>termasuk RBL</v>
      </c>
      <c r="AP79" s="152" t="e">
        <f>DATA!#REF!</f>
        <v>#REF!</v>
      </c>
      <c r="AQ79" s="67"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0" spans="1:43" s="6" customFormat="1" ht="86.25" customHeight="1">
      <c r="A80" s="6">
        <f>DATA!A68</f>
        <v>52</v>
      </c>
      <c r="B80" s="6">
        <f>DATA!B68</f>
        <v>0</v>
      </c>
      <c r="C80" s="6" t="str">
        <f>DATA!D68</f>
        <v>INFRASTRUKTUR</v>
      </c>
      <c r="D80" s="6">
        <f>DATA!E68</f>
        <v>1</v>
      </c>
      <c r="E80" s="6" t="str">
        <f>DATA!F68</f>
        <v>Kementerian Pekerjaan Umum dan Perumahan Rakyat</v>
      </c>
      <c r="F80" s="6" t="str">
        <f>DATA!H68</f>
        <v xml:space="preserve">Development and Management of Irrigation Program </v>
      </c>
      <c r="G80" s="6" t="str">
        <f>DATA!I68</f>
        <v>I</v>
      </c>
      <c r="H80" s="6" t="str">
        <f>DATA!J68</f>
        <v>Program Pengembangan dan Pengelolaan Irigasi</v>
      </c>
      <c r="I80" s="6">
        <f>DATA!K68</f>
        <v>1</v>
      </c>
      <c r="J80" s="38"/>
      <c r="K80" s="39"/>
      <c r="L80" s="39"/>
      <c r="M80" s="38"/>
      <c r="N80" s="67" t="str">
        <f>DATA!L68</f>
        <v>Integrated Participatory Development and Management of Irrigation Project - Phase I</v>
      </c>
      <c r="O80" s="42">
        <f>DATA!Q68</f>
        <v>0.5</v>
      </c>
      <c r="P80" s="42">
        <f>DATA!R68</f>
        <v>0</v>
      </c>
      <c r="Q80" s="42">
        <f>DATA!S68</f>
        <v>0</v>
      </c>
      <c r="R80" s="83">
        <f>DATA!T68</f>
        <v>0</v>
      </c>
      <c r="S80" s="88">
        <f>DATA!U68</f>
        <v>0</v>
      </c>
      <c r="T80" s="83">
        <f>DATA!V68</f>
        <v>0</v>
      </c>
      <c r="U80" s="83">
        <f>DATA!W68</f>
        <v>0</v>
      </c>
      <c r="V80" s="83">
        <f>DATA!X68</f>
        <v>0</v>
      </c>
      <c r="W80" s="84" t="str">
        <f>DATA!Y68</f>
        <v>IFAD</v>
      </c>
      <c r="X80" s="42" t="str">
        <f>DATA!Z68</f>
        <v>Multilateral</v>
      </c>
      <c r="Y80" s="83">
        <f>DATA!AA68</f>
        <v>100000000</v>
      </c>
      <c r="Z80" s="83">
        <f>DATA!AG68</f>
        <v>0</v>
      </c>
      <c r="AA80" s="42">
        <f>DATA!AH68</f>
        <v>2015</v>
      </c>
      <c r="AB80" s="67" t="str">
        <f>DATA!AI68</f>
        <v>- Sudah ada RC
- Green Book 2015
- Dalam proses pembahasan skema pinjaman</v>
      </c>
      <c r="AC80" s="152" t="str">
        <f>DATA!AM68</f>
        <v>2016; 2015</v>
      </c>
      <c r="AD80" s="152" t="str">
        <f>DATA!AN68</f>
        <v>siap</v>
      </c>
      <c r="AE80" s="152" t="str">
        <f>DATA!AO68</f>
        <v>belum ada keterangan</v>
      </c>
      <c r="AF80" s="67" t="str">
        <f>DATA!AJ68</f>
        <v>FS, DED, AMDAL, LARAP</v>
      </c>
      <c r="AG80" s="67" t="str">
        <f>DATA!AK68</f>
        <v>-</v>
      </c>
      <c r="AH80" s="67" t="str">
        <f>DATA!AL68</f>
        <v>Belum ada tender/lelang</v>
      </c>
      <c r="AI80" s="42" t="str">
        <f>DATA!AM68</f>
        <v>2016; 2015</v>
      </c>
      <c r="AJ80" s="42" t="str">
        <f>DATA!AN68</f>
        <v>siap</v>
      </c>
      <c r="AK80" s="42" t="str">
        <f>DATA!AO68</f>
        <v>belum ada keterangan</v>
      </c>
      <c r="AL80" s="42" t="str">
        <f>DATA!AP68</f>
        <v>belum ada proses tender/lelang</v>
      </c>
      <c r="AM80" s="42" t="str">
        <f>DATA!AY68</f>
        <v>- Cofinancing ADB USD 600 juta dan IFAD USD 100 juta
- Konfirmasi melalui surat Sekjen nomor KU.01.12-Sj/636 tgl 23 Oktober 2015</v>
      </c>
      <c r="AN80" s="42" t="e">
        <f>DATA!#REF!</f>
        <v>#REF!</v>
      </c>
      <c r="AO80" s="42">
        <f>DATA!AZ68</f>
        <v>0</v>
      </c>
      <c r="AP80" s="152" t="e">
        <f>DATA!#REF!</f>
        <v>#REF!</v>
      </c>
      <c r="AQ80" s="67"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1" spans="1:43" s="6" customFormat="1" ht="52.5" customHeight="1">
      <c r="A81" s="6">
        <f>DATA!A70</f>
        <v>53</v>
      </c>
      <c r="B81" s="6">
        <f>DATA!B70</f>
        <v>0</v>
      </c>
      <c r="C81" s="6" t="str">
        <f>DATA!D70</f>
        <v>INFRASTRUKTUR</v>
      </c>
      <c r="D81" s="6">
        <f>DATA!E70</f>
        <v>1</v>
      </c>
      <c r="E81" s="6" t="str">
        <f>DATA!F70</f>
        <v>Kementerian Pekerjaan Umum dan Perumahan Rakyat</v>
      </c>
      <c r="F81" s="6" t="str">
        <f>DATA!H70</f>
        <v xml:space="preserve">Development and Management of Irrigation Program </v>
      </c>
      <c r="G81" s="6" t="str">
        <f>DATA!I70</f>
        <v>I</v>
      </c>
      <c r="H81" s="6" t="str">
        <f>DATA!J70</f>
        <v>Program Pengembangan dan Pengelolaan Irigasi</v>
      </c>
      <c r="I81" s="6">
        <f>DATA!K70</f>
        <v>1</v>
      </c>
      <c r="J81" s="38"/>
      <c r="K81" s="39"/>
      <c r="L81" s="39"/>
      <c r="M81" s="43"/>
      <c r="N81" s="67" t="str">
        <f>DATA!L70</f>
        <v>Integrated Participatory Development and Management of Irrigation Project - Phase II</v>
      </c>
      <c r="O81" s="42">
        <f>DATA!Q70</f>
        <v>1</v>
      </c>
      <c r="P81" s="42">
        <f>DATA!R70</f>
        <v>0</v>
      </c>
      <c r="Q81" s="42">
        <f>DATA!S70</f>
        <v>44</v>
      </c>
      <c r="R81" s="83">
        <f>DATA!T70</f>
        <v>500000000</v>
      </c>
      <c r="S81" s="88">
        <f>DATA!U70</f>
        <v>500000000</v>
      </c>
      <c r="T81" s="83">
        <f>DATA!V70</f>
        <v>50000000</v>
      </c>
      <c r="U81" s="83">
        <f>DATA!W70</f>
        <v>0</v>
      </c>
      <c r="V81" s="83">
        <f>DATA!X70</f>
        <v>550000000</v>
      </c>
      <c r="W81" s="84" t="str">
        <f>DATA!Y70</f>
        <v>ADB</v>
      </c>
      <c r="X81" s="42" t="str">
        <f>DATA!Z70</f>
        <v>Multilateral</v>
      </c>
      <c r="Y81" s="83">
        <f>DATA!AA70</f>
        <v>500000000</v>
      </c>
      <c r="Z81" s="83">
        <f>DATA!AG70</f>
        <v>0</v>
      </c>
      <c r="AA81" s="42" t="str">
        <f>DATA!AH70</f>
        <v>Tanpa keterangan</v>
      </c>
      <c r="AB81" s="67" t="str">
        <f>DATA!AI70</f>
        <v>-</v>
      </c>
      <c r="AC81" s="152" t="str">
        <f>DATA!AR70</f>
        <v>- untuk yang Phase II: belum ada penyiapan
- belum ada dokumen R/C</v>
      </c>
      <c r="AD81" s="152" t="str">
        <f>DATA!AN70</f>
        <v>belum ada keterangan</v>
      </c>
      <c r="AE81" s="152" t="str">
        <f>DATA!AO70</f>
        <v>belum ada keterangan</v>
      </c>
      <c r="AF81" s="67" t="str">
        <f>DATA!AJ70</f>
        <v>-</v>
      </c>
      <c r="AG81" s="67" t="str">
        <f>DATA!AK70</f>
        <v>-</v>
      </c>
      <c r="AH81" s="67" t="str">
        <f>DATA!AL70</f>
        <v>-</v>
      </c>
      <c r="AI81" s="42" t="str">
        <f>DATA!AR70</f>
        <v>- untuk yang Phase II: belum ada penyiapan
- belum ada dokumen R/C</v>
      </c>
      <c r="AJ81" s="42" t="str">
        <f>DATA!AN70</f>
        <v>belum ada keterangan</v>
      </c>
      <c r="AK81" s="42" t="str">
        <f>DATA!AO70</f>
        <v>belum ada keterangan</v>
      </c>
      <c r="AL81" s="42" t="str">
        <f>DATA!AP70</f>
        <v>belum ada proses tender/lelang</v>
      </c>
      <c r="AM81" s="42" t="str">
        <f>DATA!AY70</f>
        <v>Konfirmasi melalui surat Sekjen nomor KU.01.12-Sj/636 tgl 23 Oktober 2015</v>
      </c>
      <c r="AN81" s="42" t="e">
        <f>DATA!#REF!</f>
        <v>#REF!</v>
      </c>
      <c r="AO81" s="42">
        <f>DATA!AZ70</f>
        <v>0</v>
      </c>
      <c r="AP81" s="152" t="e">
        <f>DATA!#REF!</f>
        <v>#REF!</v>
      </c>
      <c r="AQ81" s="67" t="str">
        <f>DATA!BA70</f>
        <v xml:space="preserve">Pembangunan irigasi baru dengan luas lebih dari 10.000 Ha, perbaikan sistem irigasi seluas 172.880 Ha yang tersebar di seluruh Indonesia. </v>
      </c>
    </row>
    <row r="82" spans="1:43" ht="45.75" customHeight="1">
      <c r="A82" s="10">
        <f>DATA!A72</f>
        <v>54</v>
      </c>
      <c r="B82" s="10">
        <f>DATA!B72</f>
        <v>0</v>
      </c>
      <c r="C82" s="10" t="str">
        <f>DATA!D72</f>
        <v>INFRASTRUKTUR</v>
      </c>
      <c r="D82" s="10">
        <f>DATA!E72</f>
        <v>1</v>
      </c>
      <c r="E82" s="10" t="str">
        <f>DATA!F72</f>
        <v>Kementerian Pekerjaan Umum dan Perumahan Rakyat</v>
      </c>
      <c r="F82" s="10" t="str">
        <f>DATA!H72</f>
        <v xml:space="preserve">Development and Management of Irrigation Program </v>
      </c>
      <c r="G82" s="10" t="str">
        <f>DATA!I72</f>
        <v>I</v>
      </c>
      <c r="H82" s="10" t="str">
        <f>DATA!J72</f>
        <v>Program Pengembangan dan Pengelolaan Irigasi</v>
      </c>
      <c r="I82" s="10">
        <f>DATA!K72</f>
        <v>2</v>
      </c>
      <c r="J82" s="33"/>
      <c r="K82" s="34"/>
      <c r="L82" s="34"/>
      <c r="M82" s="36">
        <f>DATA!K72</f>
        <v>2</v>
      </c>
      <c r="N82" s="37" t="str">
        <f>DATA!L72</f>
        <v>The Urgent Rehabilitation of Strategic Irrigation for Western Region of Indonesia</v>
      </c>
      <c r="O82" s="20">
        <f>DATA!Q72</f>
        <v>1</v>
      </c>
      <c r="P82" s="20">
        <f>DATA!R72</f>
        <v>1</v>
      </c>
      <c r="Q82" s="20">
        <f>DATA!S72</f>
        <v>45</v>
      </c>
      <c r="R82" s="77">
        <f>DATA!T72</f>
        <v>195778000</v>
      </c>
      <c r="S82" s="88">
        <f>DATA!U72</f>
        <v>195778000</v>
      </c>
      <c r="T82" s="77">
        <f>DATA!V72</f>
        <v>27149500</v>
      </c>
      <c r="U82" s="77">
        <f>DATA!W72</f>
        <v>0</v>
      </c>
      <c r="V82" s="77">
        <f>DATA!X72</f>
        <v>222927500</v>
      </c>
      <c r="W82" s="78" t="str">
        <f>DATA!Y72</f>
        <v>Korea</v>
      </c>
      <c r="X82" s="20" t="str">
        <f>DATA!Z72</f>
        <v>Bilateral</v>
      </c>
      <c r="Y82" s="77">
        <f>DATA!AA72</f>
        <v>195778000</v>
      </c>
      <c r="Z82" s="77">
        <f>DATA!AG72</f>
        <v>0</v>
      </c>
      <c r="AA82" s="20">
        <f>DATA!AH72</f>
        <v>2016</v>
      </c>
      <c r="AB82" s="37" t="str">
        <f>DATA!AI72</f>
        <v>- Sudah ada R/C
- Green Book 2015</v>
      </c>
      <c r="AC82" s="152" t="str">
        <f>DATA!AR72</f>
        <v>-</v>
      </c>
      <c r="AD82" s="152" t="str">
        <f>DATA!AN72</f>
        <v>belum ada keterangan</v>
      </c>
      <c r="AE82" s="152" t="str">
        <f>DATA!AO72</f>
        <v>belum ada keterangan</v>
      </c>
      <c r="AF82" s="37" t="str">
        <f>DATA!AJ72</f>
        <v>FS, DED, AMDAL, LARAP</v>
      </c>
      <c r="AG82" s="37" t="str">
        <f>DATA!AK72</f>
        <v>Tidak dibutuhkan lahan</v>
      </c>
      <c r="AH82" s="37" t="str">
        <f>DATA!AL72</f>
        <v>Belum ada tender/lelang</v>
      </c>
      <c r="AI82" s="20" t="str">
        <f>DATA!AR72</f>
        <v>-</v>
      </c>
      <c r="AJ82" s="20" t="str">
        <f>DATA!AN72</f>
        <v>belum ada keterangan</v>
      </c>
      <c r="AK82" s="20" t="str">
        <f>DATA!AO72</f>
        <v>belum ada keterangan</v>
      </c>
      <c r="AL82" s="20" t="str">
        <f>DATA!AP72</f>
        <v>belum ada proses tender/lelang</v>
      </c>
      <c r="AM82" s="20" t="str">
        <f>DATA!AY72</f>
        <v>Konfirmasi melalui surat Sekjen nomor KU.01.12-Sj/636 tgl 23 Oktober 2015</v>
      </c>
      <c r="AN82" s="20" t="e">
        <f>DATA!#REF!</f>
        <v>#REF!</v>
      </c>
      <c r="AO82" s="20">
        <f>DATA!AZ72</f>
        <v>0</v>
      </c>
      <c r="AP82" s="152" t="e">
        <f>DATA!#REF!</f>
        <v>#REF!</v>
      </c>
      <c r="AQ82" s="37" t="str">
        <f>DATA!BA72</f>
        <v xml:space="preserve">Melakukan rehabilitasi fasilitas irigasi, meningkatkan sistem irigasi dan drainase dan peningkatan kapasitas O&amp;P seluas 38,523 Ha </v>
      </c>
    </row>
    <row r="83" spans="1:43" ht="111" customHeight="1">
      <c r="A83" s="10">
        <f>DATA!A73</f>
        <v>55</v>
      </c>
      <c r="B83" s="10">
        <f>DATA!B73</f>
        <v>0</v>
      </c>
      <c r="C83" s="10" t="str">
        <f>DATA!D73</f>
        <v>INFRASTRUKTUR</v>
      </c>
      <c r="D83" s="10">
        <f>DATA!E73</f>
        <v>1</v>
      </c>
      <c r="E83" s="10" t="str">
        <f>DATA!F73</f>
        <v>Kementerian Pekerjaan Umum dan Perumahan Rakyat</v>
      </c>
      <c r="F83" s="10" t="str">
        <f>DATA!H73</f>
        <v xml:space="preserve">Development and Management of Irrigation Program </v>
      </c>
      <c r="G83" s="10" t="str">
        <f>DATA!I73</f>
        <v>I</v>
      </c>
      <c r="H83" s="10" t="str">
        <f>DATA!J73</f>
        <v>Program Pengembangan dan Pengelolaan Irigasi</v>
      </c>
      <c r="I83" s="10">
        <f>DATA!K73</f>
        <v>3</v>
      </c>
      <c r="J83" s="33"/>
      <c r="K83" s="34"/>
      <c r="L83" s="34"/>
      <c r="M83" s="36">
        <f>DATA!K73</f>
        <v>3</v>
      </c>
      <c r="N83" s="37" t="str">
        <f>DATA!L73</f>
        <v>Rentang Modernization Strategic Irrigation (RIMP)</v>
      </c>
      <c r="O83" s="20">
        <f>DATA!Q73</f>
        <v>1</v>
      </c>
      <c r="P83" s="20">
        <f>DATA!R73</f>
        <v>1</v>
      </c>
      <c r="Q83" s="20">
        <f>DATA!S73</f>
        <v>46</v>
      </c>
      <c r="R83" s="77">
        <f>DATA!T73</f>
        <v>480000000</v>
      </c>
      <c r="S83" s="88">
        <f>DATA!U73</f>
        <v>480000000</v>
      </c>
      <c r="T83" s="77">
        <f>DATA!V73</f>
        <v>48000000</v>
      </c>
      <c r="U83" s="77">
        <f>DATA!W73</f>
        <v>0</v>
      </c>
      <c r="V83" s="77">
        <f>DATA!X73</f>
        <v>528000000</v>
      </c>
      <c r="W83" s="78" t="str">
        <f>DATA!Y73</f>
        <v>JICA</v>
      </c>
      <c r="X83" s="20" t="str">
        <f>DATA!Z73</f>
        <v>Bilateral</v>
      </c>
      <c r="Y83" s="77">
        <f>DATA!AA73</f>
        <v>480000000</v>
      </c>
      <c r="Z83" s="77">
        <f>DATA!AG73</f>
        <v>0</v>
      </c>
      <c r="AA83" s="20">
        <f>DATA!AH73</f>
        <v>2017</v>
      </c>
      <c r="AB83" s="37" t="str">
        <f>DATA!AI73</f>
        <v>Sudah ada R/C</v>
      </c>
      <c r="AC83" s="152" t="str">
        <f>DATA!AR73</f>
        <v>-</v>
      </c>
      <c r="AD83" s="152" t="str">
        <f>DATA!AN73</f>
        <v>siap</v>
      </c>
      <c r="AE83" s="152" t="str">
        <f>DATA!AO73</f>
        <v>tidak butuh lahan</v>
      </c>
      <c r="AF83" s="37" t="str">
        <f>DATA!AJ73</f>
        <v>FS, DED, AMDAL</v>
      </c>
      <c r="AG83" s="37" t="str">
        <f>DATA!AK73</f>
        <v>Tidak dibutuhkan lahan</v>
      </c>
      <c r="AH83" s="37" t="str">
        <f>DATA!AL73</f>
        <v>-</v>
      </c>
      <c r="AI83" s="20" t="str">
        <f>DATA!AR73</f>
        <v>-</v>
      </c>
      <c r="AJ83" s="20" t="str">
        <f>DATA!AN73</f>
        <v>siap</v>
      </c>
      <c r="AK83" s="20" t="str">
        <f>DATA!AO73</f>
        <v>tidak butuh lahan</v>
      </c>
      <c r="AL83" s="20" t="str">
        <f>DATA!AP73</f>
        <v>belum ada proses tender/lelang</v>
      </c>
      <c r="AM83" s="20" t="str">
        <f>DATA!AY73</f>
        <v>Konfirmasi melalui surat Sekjen nomor KU.01.12-Sj/636 tgl 23 Oktober 2015</v>
      </c>
      <c r="AN83" s="20" t="e">
        <f>DATA!#REF!</f>
        <v>#REF!</v>
      </c>
      <c r="AO83" s="20">
        <f>DATA!AZ73</f>
        <v>0</v>
      </c>
      <c r="AP83" s="152" t="e">
        <f>DATA!#REF!</f>
        <v>#REF!</v>
      </c>
      <c r="AQ83" s="37"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row>
    <row r="84" spans="1:43" ht="76.5">
      <c r="A84" s="10">
        <f>DATA!A74</f>
        <v>56</v>
      </c>
      <c r="B84" s="10">
        <f>DATA!B74</f>
        <v>0</v>
      </c>
      <c r="C84" s="10" t="str">
        <f>DATA!D74</f>
        <v>INFRASTRUKTUR</v>
      </c>
      <c r="D84" s="10">
        <f>DATA!E74</f>
        <v>1</v>
      </c>
      <c r="E84" s="10" t="str">
        <f>DATA!F74</f>
        <v>Kementerian Pekerjaan Umum dan Perumahan Rakyat</v>
      </c>
      <c r="F84" s="10" t="str">
        <f>DATA!H74</f>
        <v xml:space="preserve">Development and Management of Irrigation Program </v>
      </c>
      <c r="G84" s="10" t="str">
        <f>DATA!I74</f>
        <v>I</v>
      </c>
      <c r="H84" s="10" t="str">
        <f>DATA!J74</f>
        <v>Program Pengembangan dan Pengelolaan Irigasi</v>
      </c>
      <c r="I84" s="10">
        <f>DATA!K74</f>
        <v>4</v>
      </c>
      <c r="J84" s="33"/>
      <c r="K84" s="34"/>
      <c r="L84" s="34"/>
      <c r="M84" s="36">
        <f>DATA!K74</f>
        <v>4</v>
      </c>
      <c r="N84" s="37" t="str">
        <f>DATA!L74</f>
        <v>Komering Irrigation Project Stage III</v>
      </c>
      <c r="O84" s="20">
        <f>DATA!Q74</f>
        <v>1</v>
      </c>
      <c r="P84" s="20">
        <f>DATA!R74</f>
        <v>1</v>
      </c>
      <c r="Q84" s="20">
        <f>DATA!S74</f>
        <v>47</v>
      </c>
      <c r="R84" s="77">
        <f>DATA!T74</f>
        <v>120000000</v>
      </c>
      <c r="S84" s="88">
        <f>DATA!U74</f>
        <v>120000000</v>
      </c>
      <c r="T84" s="77">
        <f>DATA!V74</f>
        <v>12000000</v>
      </c>
      <c r="U84" s="77">
        <f>DATA!W74</f>
        <v>0</v>
      </c>
      <c r="V84" s="77">
        <f>DATA!X74</f>
        <v>132000000</v>
      </c>
      <c r="W84" s="78" t="str">
        <f>DATA!Y74</f>
        <v>JICA</v>
      </c>
      <c r="X84" s="20" t="str">
        <f>DATA!Z74</f>
        <v>Bilateral</v>
      </c>
      <c r="Y84" s="77">
        <f>DATA!AA74</f>
        <v>120000000</v>
      </c>
      <c r="Z84" s="77">
        <f>DATA!AG74</f>
        <v>0</v>
      </c>
      <c r="AA84" s="20">
        <f>DATA!AH74</f>
        <v>2017</v>
      </c>
      <c r="AB84" s="37" t="str">
        <f>DATA!AI74</f>
        <v xml:space="preserve">Sudah ada R/C
</v>
      </c>
      <c r="AC84" s="152" t="str">
        <f>DATA!AR74</f>
        <v>Nilai pinjaman di:
- Rev. GB 16 USD 145.568 ribu
- GB 16 USD 120.000 ribu</v>
      </c>
      <c r="AD84" s="152" t="str">
        <f>DATA!AN74</f>
        <v>siap</v>
      </c>
      <c r="AE84" s="152" t="str">
        <f>DATA!AO74</f>
        <v>belum ada keterangan</v>
      </c>
      <c r="AF84" s="37" t="str">
        <f>DATA!AJ74</f>
        <v>FS, DED, AMDAL, LARAP</v>
      </c>
      <c r="AG84" s="37" t="str">
        <f>DATA!AK74</f>
        <v>-</v>
      </c>
      <c r="AH84" s="37" t="str">
        <f>DATA!AL74</f>
        <v>-</v>
      </c>
      <c r="AI84" s="20" t="str">
        <f>DATA!AR74</f>
        <v>Nilai pinjaman di:
- Rev. GB 16 USD 145.568 ribu
- GB 16 USD 120.000 ribu</v>
      </c>
      <c r="AJ84" s="20" t="str">
        <f>DATA!AN74</f>
        <v>siap</v>
      </c>
      <c r="AK84" s="20" t="str">
        <f>DATA!AO74</f>
        <v>belum ada keterangan</v>
      </c>
      <c r="AL84" s="20" t="str">
        <f>DATA!AP74</f>
        <v>belum ada proses tender/lelang</v>
      </c>
      <c r="AM84" s="20" t="str">
        <f>DATA!AY74</f>
        <v>Konfirmasi melalui surat Sekjen nomor KU.01.12-Sj/636 tgl 23 Oktober 2015</v>
      </c>
      <c r="AN84" s="20" t="e">
        <f>DATA!#REF!</f>
        <v>#REF!</v>
      </c>
      <c r="AO84" s="20">
        <f>DATA!AZ74</f>
        <v>0</v>
      </c>
      <c r="AP84" s="152" t="e">
        <f>DATA!#REF!</f>
        <v>#REF!</v>
      </c>
      <c r="AQ84" s="37"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row>
    <row r="85" spans="1:43" ht="57.75" customHeight="1">
      <c r="A85" s="10">
        <f>DATA!A75</f>
        <v>57</v>
      </c>
      <c r="B85" s="10">
        <f>DATA!B75</f>
        <v>0</v>
      </c>
      <c r="C85" s="10" t="str">
        <f>DATA!D75</f>
        <v>INFRASTRUKTUR</v>
      </c>
      <c r="D85" s="10">
        <f>DATA!E75</f>
        <v>1</v>
      </c>
      <c r="E85" s="10" t="str">
        <f>DATA!F75</f>
        <v>Kementerian Pekerjaan Umum dan Perumahan Rakyat</v>
      </c>
      <c r="F85" s="10" t="str">
        <f>DATA!H75</f>
        <v xml:space="preserve">Development and Management of Irrigation Program </v>
      </c>
      <c r="G85" s="10" t="str">
        <f>DATA!I75</f>
        <v>I</v>
      </c>
      <c r="H85" s="10" t="str">
        <f>DATA!J75</f>
        <v>Program Pengembangan dan Pengelolaan Irigasi</v>
      </c>
      <c r="I85" s="10">
        <f>DATA!K75</f>
        <v>5</v>
      </c>
      <c r="J85" s="33"/>
      <c r="K85" s="34"/>
      <c r="L85" s="34"/>
      <c r="M85" s="36">
        <f>DATA!K75</f>
        <v>5</v>
      </c>
      <c r="N85" s="37" t="str">
        <f>DATA!L75</f>
        <v>Irrigation Development in North Sumatera</v>
      </c>
      <c r="O85" s="20">
        <f>DATA!Q75</f>
        <v>1</v>
      </c>
      <c r="P85" s="20">
        <f>DATA!R75</f>
        <v>1</v>
      </c>
      <c r="Q85" s="20">
        <f>DATA!S75</f>
        <v>48</v>
      </c>
      <c r="R85" s="77">
        <f>DATA!T75</f>
        <v>350000000</v>
      </c>
      <c r="S85" s="88">
        <f>DATA!U75</f>
        <v>350000000</v>
      </c>
      <c r="T85" s="77">
        <f>DATA!V75</f>
        <v>35000000</v>
      </c>
      <c r="U85" s="77">
        <f>DATA!W75</f>
        <v>0</v>
      </c>
      <c r="V85" s="77">
        <f>DATA!X75</f>
        <v>385000000</v>
      </c>
      <c r="W85" s="78" t="str">
        <f>DATA!Y75</f>
        <v>ADB</v>
      </c>
      <c r="X85" s="20" t="str">
        <f>DATA!Z75</f>
        <v>Multilateral</v>
      </c>
      <c r="Y85" s="77">
        <f>DATA!AA75</f>
        <v>350000000</v>
      </c>
      <c r="Z85" s="77">
        <f>DATA!AG75</f>
        <v>0</v>
      </c>
      <c r="AA85" s="20" t="str">
        <f>DATA!AH75</f>
        <v>Tanpa keterangan</v>
      </c>
      <c r="AB85" s="37" t="str">
        <f>DATA!AI75</f>
        <v>-</v>
      </c>
      <c r="AC85" s="152" t="str">
        <f>DATA!AR75</f>
        <v>belum ada dokumen R/C</v>
      </c>
      <c r="AD85" s="152" t="str">
        <f>DATA!AN75</f>
        <v>dalam proses
(memiliki FS dan DED)</v>
      </c>
      <c r="AE85" s="152" t="str">
        <f>DATA!AO75</f>
        <v>belum ada keterangan</v>
      </c>
      <c r="AF85" s="37" t="str">
        <f>DATA!AJ75</f>
        <v>FS, DED, LARAP</v>
      </c>
      <c r="AG85" s="37" t="str">
        <f>DATA!AK75</f>
        <v>-</v>
      </c>
      <c r="AH85" s="37" t="str">
        <f>DATA!AL75</f>
        <v>-</v>
      </c>
      <c r="AI85" s="20" t="str">
        <f>DATA!AR75</f>
        <v>belum ada dokumen R/C</v>
      </c>
      <c r="AJ85" s="20" t="str">
        <f>DATA!AN75</f>
        <v>dalam proses
(memiliki FS dan DED)</v>
      </c>
      <c r="AK85" s="20" t="str">
        <f>DATA!AO75</f>
        <v>belum ada keterangan</v>
      </c>
      <c r="AL85" s="20" t="str">
        <f>DATA!AP75</f>
        <v>belum ada proses tender/lelang</v>
      </c>
      <c r="AM85" s="20" t="str">
        <f>DATA!AY75</f>
        <v>- dengan skema RBL
- Konfirmasi melalui surat Sekjen nomor KU.01.12-Sj/636 tgl 23 Oktober 2015</v>
      </c>
      <c r="AN85" s="20" t="e">
        <f>DATA!#REF!</f>
        <v>#REF!</v>
      </c>
      <c r="AO85" s="20" t="str">
        <f>DATA!AZ75</f>
        <v>JICA&amp;IDB diindikasikan akan mendanai kegiatan ini namun belum ada keputusan</v>
      </c>
      <c r="AP85" s="152" t="e">
        <f>DATA!#REF!</f>
        <v>#REF!</v>
      </c>
      <c r="AQ85" s="37" t="str">
        <f>DATA!BA75</f>
        <v>Pembahasan lahan dan relokasi, pengadaan, pembangunan bangunan utama, pembangunan jaringan irigasi seluas ±100.000 Ha, pencetakan lahan sawah, dan penyusunan O&amp;P</v>
      </c>
    </row>
    <row r="86" spans="1:43" ht="51">
      <c r="A86" s="10">
        <f>DATA!A76</f>
        <v>58</v>
      </c>
      <c r="B86" s="10">
        <f>DATA!B76</f>
        <v>0</v>
      </c>
      <c r="C86" s="10" t="str">
        <f>DATA!D76</f>
        <v>INFRASTRUKTUR</v>
      </c>
      <c r="D86" s="10">
        <f>DATA!E76</f>
        <v>1</v>
      </c>
      <c r="E86" s="10" t="str">
        <f>DATA!F76</f>
        <v>Kementerian Pekerjaan Umum dan Perumahan Rakyat</v>
      </c>
      <c r="F86" s="10" t="str">
        <f>DATA!H76</f>
        <v xml:space="preserve">Development and Management of Irrigation Program </v>
      </c>
      <c r="G86" s="10" t="str">
        <f>DATA!I76</f>
        <v>I</v>
      </c>
      <c r="H86" s="10" t="str">
        <f>DATA!J76</f>
        <v>Program Pengembangan dan Pengelolaan Irigasi</v>
      </c>
      <c r="I86" s="10">
        <f>DATA!K76</f>
        <v>6</v>
      </c>
      <c r="J86" s="33"/>
      <c r="K86" s="34"/>
      <c r="L86" s="34"/>
      <c r="M86" s="36">
        <f>DATA!K76</f>
        <v>6</v>
      </c>
      <c r="N86" s="37" t="str">
        <f>DATA!L76</f>
        <v>Integrated Participatory Development and Management of Lhok Guci and Peureulak Irrigation Project</v>
      </c>
      <c r="O86" s="20">
        <f>DATA!Q76</f>
        <v>1</v>
      </c>
      <c r="P86" s="20">
        <f>DATA!R76</f>
        <v>1</v>
      </c>
      <c r="Q86" s="20">
        <f>DATA!S76</f>
        <v>49</v>
      </c>
      <c r="R86" s="77">
        <f>DATA!T76</f>
        <v>161298000</v>
      </c>
      <c r="S86" s="88">
        <f>DATA!U76</f>
        <v>161298000</v>
      </c>
      <c r="T86" s="77">
        <f>DATA!V76</f>
        <v>24195000</v>
      </c>
      <c r="U86" s="77">
        <f>DATA!W76</f>
        <v>0</v>
      </c>
      <c r="V86" s="77">
        <f>DATA!X76</f>
        <v>185493000</v>
      </c>
      <c r="W86" s="78" t="str">
        <f>DATA!Y76</f>
        <v>ADB</v>
      </c>
      <c r="X86" s="20" t="str">
        <f>DATA!Z76</f>
        <v>Multilateral</v>
      </c>
      <c r="Y86" s="77">
        <f>DATA!AA76</f>
        <v>161298000</v>
      </c>
      <c r="Z86" s="77">
        <f>DATA!AG76</f>
        <v>0</v>
      </c>
      <c r="AA86" s="20" t="str">
        <f>DATA!AH76</f>
        <v>Tanpa keterangan</v>
      </c>
      <c r="AB86" s="37" t="str">
        <f>DATA!AI76</f>
        <v>-</v>
      </c>
      <c r="AC86" s="152" t="str">
        <f>DATA!AR76</f>
        <v>belum ada dokumen R/C</v>
      </c>
      <c r="AD86" s="152" t="str">
        <f>DATA!AN76</f>
        <v>dalam proses
(memiliki FS dan DED)</v>
      </c>
      <c r="AE86" s="152" t="str">
        <f>DATA!AO76</f>
        <v>belum ada keterangan</v>
      </c>
      <c r="AF86" s="37" t="str">
        <f>DATA!AJ76</f>
        <v>FS, DED, LARAP</v>
      </c>
      <c r="AG86" s="37" t="str">
        <f>DATA!AK76</f>
        <v>-</v>
      </c>
      <c r="AH86" s="37" t="str">
        <f>DATA!AL76</f>
        <v>-</v>
      </c>
      <c r="AI86" s="20" t="str">
        <f>DATA!AR76</f>
        <v>belum ada dokumen R/C</v>
      </c>
      <c r="AJ86" s="20" t="str">
        <f>DATA!AN76</f>
        <v>dalam proses
(memiliki FS dan DED)</v>
      </c>
      <c r="AK86" s="20" t="str">
        <f>DATA!AO76</f>
        <v>belum ada keterangan</v>
      </c>
      <c r="AL86" s="20" t="str">
        <f>DATA!AP76</f>
        <v>belum ada proses tender/lelang</v>
      </c>
      <c r="AM86" s="20" t="str">
        <f>DATA!AY76</f>
        <v>- dengan skema RBL
- Konfirmasi melalui surat Sekjen nomor KU.01.12-Sj/636 tgl 23 Oktober 2015</v>
      </c>
      <c r="AN86" s="20" t="e">
        <f>DATA!#REF!</f>
        <v>#REF!</v>
      </c>
      <c r="AO86" s="20" t="str">
        <f>DATA!AZ76</f>
        <v>JICA&amp;IDB diindikasikan akan mendanai kegiatan ini namun belum ada keputusan</v>
      </c>
      <c r="AP86" s="152" t="e">
        <f>DATA!#REF!</f>
        <v>#REF!</v>
      </c>
      <c r="AQ86" s="37" t="str">
        <f>DATA!BA76</f>
        <v>Mendukung pengembangan terpadu fasilitas irigasi 18.542 Ha (lhok guci)  dan 5.000 Ha (peureulak) dengan SID partisipatif, konstruksi, dan operasi pemeliharaan.</v>
      </c>
    </row>
    <row r="87" spans="1:43" ht="88.5" customHeight="1">
      <c r="A87" s="10">
        <f>DATA!A77</f>
        <v>59</v>
      </c>
      <c r="B87" s="10">
        <f>DATA!B77</f>
        <v>0</v>
      </c>
      <c r="C87" s="10" t="str">
        <f>DATA!D77</f>
        <v>INFRASTRUKTUR</v>
      </c>
      <c r="D87" s="10">
        <f>DATA!E77</f>
        <v>1</v>
      </c>
      <c r="E87" s="10" t="str">
        <f>DATA!F77</f>
        <v>Kementerian Pekerjaan Umum dan Perumahan Rakyat</v>
      </c>
      <c r="F87" s="10" t="str">
        <f>DATA!H77</f>
        <v xml:space="preserve">Development and Management of Irrigation Program </v>
      </c>
      <c r="G87" s="10" t="str">
        <f>DATA!I77</f>
        <v>I</v>
      </c>
      <c r="H87" s="10" t="str">
        <f>DATA!J77</f>
        <v>Program Pengembangan dan Pengelolaan Irigasi</v>
      </c>
      <c r="I87" s="10">
        <f>DATA!K77</f>
        <v>7</v>
      </c>
      <c r="J87" s="33"/>
      <c r="K87" s="34"/>
      <c r="L87" s="34"/>
      <c r="M87" s="36">
        <f>DATA!K77</f>
        <v>7</v>
      </c>
      <c r="N87" s="37" t="str">
        <f>DATA!L77</f>
        <v>Modernization Strategic Irrigation Project (MSIP)</v>
      </c>
      <c r="O87" s="20">
        <f>DATA!Q77</f>
        <v>1</v>
      </c>
      <c r="P87" s="20">
        <f>DATA!R77</f>
        <v>1</v>
      </c>
      <c r="Q87" s="20">
        <f>DATA!S77</f>
        <v>50</v>
      </c>
      <c r="R87" s="77">
        <f>DATA!T77</f>
        <v>278355000</v>
      </c>
      <c r="S87" s="88">
        <f>DATA!U77</f>
        <v>278355000</v>
      </c>
      <c r="T87" s="77">
        <f>DATA!V77</f>
        <v>28000000</v>
      </c>
      <c r="U87" s="77">
        <f>DATA!W77</f>
        <v>0</v>
      </c>
      <c r="V87" s="77">
        <f>DATA!X77</f>
        <v>306355000</v>
      </c>
      <c r="W87" s="78" t="str">
        <f>DATA!Y77</f>
        <v>JICA</v>
      </c>
      <c r="X87" s="20" t="str">
        <f>DATA!Z77</f>
        <v>Bilateral</v>
      </c>
      <c r="Y87" s="77">
        <f>DATA!AA77</f>
        <v>278355000</v>
      </c>
      <c r="Z87" s="77">
        <f>DATA!AG77</f>
        <v>0</v>
      </c>
      <c r="AA87" s="20">
        <f>DATA!AH77</f>
        <v>2017</v>
      </c>
      <c r="AB87" s="37" t="str">
        <f>DATA!AI77</f>
        <v>-</v>
      </c>
      <c r="AC87" s="152" t="str">
        <f>DATA!AR77</f>
        <v>belum ada dokumen R/C</v>
      </c>
      <c r="AD87" s="152" t="str">
        <f>DATA!AN77</f>
        <v>belum ada keterangan</v>
      </c>
      <c r="AE87" s="152" t="str">
        <f>DATA!AO77</f>
        <v>belum ada keterangan</v>
      </c>
      <c r="AF87" s="37" t="str">
        <f>DATA!AJ77</f>
        <v>-</v>
      </c>
      <c r="AG87" s="37" t="str">
        <f>DATA!AK77</f>
        <v>-</v>
      </c>
      <c r="AH87" s="37" t="str">
        <f>DATA!AL77</f>
        <v>-</v>
      </c>
      <c r="AI87" s="20" t="str">
        <f>DATA!AR77</f>
        <v>belum ada dokumen R/C</v>
      </c>
      <c r="AJ87" s="20" t="str">
        <f>DATA!AN77</f>
        <v>belum ada keterangan</v>
      </c>
      <c r="AK87" s="20" t="str">
        <f>DATA!AO77</f>
        <v>belum ada keterangan</v>
      </c>
      <c r="AL87" s="20" t="str">
        <f>DATA!AP77</f>
        <v>belum ada proses tender/lelang</v>
      </c>
      <c r="AM87" s="20" t="str">
        <f>DATA!AY77</f>
        <v>Konfirmasi melalui surat Sekjen nomor KU.01.12-Sj/636 tgl 23 Oktober 2015</v>
      </c>
      <c r="AN87" s="20" t="e">
        <f>DATA!#REF!</f>
        <v>#REF!</v>
      </c>
      <c r="AO87" s="20">
        <f>DATA!AZ77</f>
        <v>0</v>
      </c>
      <c r="AP87" s="152" t="e">
        <f>DATA!#REF!</f>
        <v>#REF!</v>
      </c>
      <c r="AQ87" s="37"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row>
    <row r="88" spans="1:43" ht="102">
      <c r="A88" s="10">
        <f>DATA!A78</f>
        <v>60</v>
      </c>
      <c r="B88" s="10">
        <f>DATA!B78</f>
        <v>0</v>
      </c>
      <c r="C88" s="10" t="str">
        <f>DATA!D78</f>
        <v>INFRASTRUKTUR</v>
      </c>
      <c r="D88" s="10">
        <f>DATA!E78</f>
        <v>1</v>
      </c>
      <c r="E88" s="10" t="str">
        <f>DATA!F78</f>
        <v>Kementerian Pekerjaan Umum dan Perumahan Rakyat</v>
      </c>
      <c r="F88" s="10" t="str">
        <f>DATA!H78</f>
        <v xml:space="preserve">Development and Management of Irrigation Program </v>
      </c>
      <c r="G88" s="10" t="str">
        <f>DATA!I78</f>
        <v>I</v>
      </c>
      <c r="H88" s="10" t="str">
        <f>DATA!J78</f>
        <v>Program Pengembangan dan Pengelolaan Irigasi</v>
      </c>
      <c r="I88" s="10">
        <f>DATA!K78</f>
        <v>8</v>
      </c>
      <c r="J88" s="33"/>
      <c r="K88" s="34"/>
      <c r="L88" s="34"/>
      <c r="M88" s="36">
        <f>DATA!K78</f>
        <v>8</v>
      </c>
      <c r="N88" s="37" t="str">
        <f>DATA!L78</f>
        <v>Urgent Rehabilitation of  Irrigation Project in Indonesia (URIP)</v>
      </c>
      <c r="O88" s="20">
        <f>DATA!Q78</f>
        <v>1</v>
      </c>
      <c r="P88" s="20">
        <f>DATA!R78</f>
        <v>1</v>
      </c>
      <c r="Q88" s="20">
        <f>DATA!S78</f>
        <v>51</v>
      </c>
      <c r="R88" s="77">
        <f>DATA!T78</f>
        <v>272100000</v>
      </c>
      <c r="S88" s="88">
        <f>DATA!U78</f>
        <v>272100000</v>
      </c>
      <c r="T88" s="77">
        <f>DATA!V78</f>
        <v>40815000</v>
      </c>
      <c r="U88" s="77">
        <f>DATA!W78</f>
        <v>0</v>
      </c>
      <c r="V88" s="77">
        <f>DATA!X78</f>
        <v>312915000</v>
      </c>
      <c r="W88" s="78" t="str">
        <f>DATA!Y78</f>
        <v>Bank Dunia</v>
      </c>
      <c r="X88" s="20" t="str">
        <f>DATA!Z78</f>
        <v>Multilateral</v>
      </c>
      <c r="Y88" s="77">
        <f>DATA!AA78</f>
        <v>272100000</v>
      </c>
      <c r="Z88" s="77">
        <f>DATA!AG78</f>
        <v>0</v>
      </c>
      <c r="AA88" s="20" t="str">
        <f>DATA!AH78</f>
        <v>Tanpa keterangan</v>
      </c>
      <c r="AB88" s="37" t="str">
        <f>DATA!AI78</f>
        <v>-</v>
      </c>
      <c r="AC88" s="152" t="str">
        <f>DATA!AR78</f>
        <v>belum ada dokumen R/C</v>
      </c>
      <c r="AD88" s="152" t="str">
        <f>DATA!AN78</f>
        <v>belum ada keterangan</v>
      </c>
      <c r="AE88" s="152" t="str">
        <f>DATA!AO78</f>
        <v>belum ada keterangan</v>
      </c>
      <c r="AF88" s="37" t="str">
        <f>DATA!AJ78</f>
        <v>-</v>
      </c>
      <c r="AG88" s="37" t="str">
        <f>DATA!AK78</f>
        <v>-</v>
      </c>
      <c r="AH88" s="37" t="str">
        <f>DATA!AL78</f>
        <v>-</v>
      </c>
      <c r="AI88" s="20" t="str">
        <f>DATA!AR78</f>
        <v>belum ada dokumen R/C</v>
      </c>
      <c r="AJ88" s="20" t="str">
        <f>DATA!AN78</f>
        <v>belum ada keterangan</v>
      </c>
      <c r="AK88" s="20" t="str">
        <f>DATA!AO78</f>
        <v>belum ada keterangan</v>
      </c>
      <c r="AL88" s="20" t="str">
        <f>DATA!AP78</f>
        <v>belum ada proses tender/lelang</v>
      </c>
      <c r="AM88" s="20" t="str">
        <f>DATA!AY78</f>
        <v>Konfirmasi melalui surat Sekjen nomor KU.01.12-Sj/636 tgl 23 Oktober 2015</v>
      </c>
      <c r="AN88" s="20" t="e">
        <f>DATA!#REF!</f>
        <v>#REF!</v>
      </c>
      <c r="AO88" s="20" t="str">
        <f>DATA!AZ78</f>
        <v xml:space="preserve">Belum ada pembicaraan dgn Bank Dunia </v>
      </c>
      <c r="AP88" s="152" t="e">
        <f>DATA!#REF!</f>
        <v>#REF!</v>
      </c>
      <c r="AQ88" s="37"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row>
    <row r="89" spans="1:43" ht="69" customHeight="1">
      <c r="A89" s="10">
        <f>DATA!A79</f>
        <v>61</v>
      </c>
      <c r="B89" s="10">
        <f>DATA!B79</f>
        <v>0</v>
      </c>
      <c r="C89" s="10" t="str">
        <f>DATA!D79</f>
        <v>INFRASTRUKTUR</v>
      </c>
      <c r="D89" s="10">
        <f>DATA!E79</f>
        <v>1</v>
      </c>
      <c r="E89" s="10" t="str">
        <f>DATA!F79</f>
        <v>Kementerian Pekerjaan Umum dan Perumahan Rakyat</v>
      </c>
      <c r="F89" s="10" t="str">
        <f>DATA!H79</f>
        <v xml:space="preserve">Development and Management of Irrigation Program </v>
      </c>
      <c r="G89" s="10" t="str">
        <f>DATA!I79</f>
        <v>I</v>
      </c>
      <c r="H89" s="10" t="str">
        <f>DATA!J79</f>
        <v>Program Pengembangan dan Pengelolaan Irigasi</v>
      </c>
      <c r="I89" s="10">
        <f>DATA!K79</f>
        <v>9</v>
      </c>
      <c r="J89" s="33"/>
      <c r="K89" s="34"/>
      <c r="L89" s="34"/>
      <c r="M89" s="36">
        <f>DATA!K79</f>
        <v>9</v>
      </c>
      <c r="N89" s="37" t="str">
        <f>DATA!L79</f>
        <v>Revitalization Groundwater Irrigation in Indonesia</v>
      </c>
      <c r="O89" s="20">
        <f>DATA!Q79</f>
        <v>1</v>
      </c>
      <c r="P89" s="20">
        <f>DATA!R79</f>
        <v>1</v>
      </c>
      <c r="Q89" s="20">
        <f>DATA!S79</f>
        <v>52</v>
      </c>
      <c r="R89" s="77">
        <f>DATA!T79</f>
        <v>100000000</v>
      </c>
      <c r="S89" s="88">
        <f>DATA!U79</f>
        <v>100000000</v>
      </c>
      <c r="T89" s="77">
        <f>DATA!V79</f>
        <v>10000000</v>
      </c>
      <c r="U89" s="77">
        <f>DATA!W79</f>
        <v>0</v>
      </c>
      <c r="V89" s="77">
        <f>DATA!X79</f>
        <v>110000000</v>
      </c>
      <c r="W89" s="78" t="str">
        <f>DATA!Y79</f>
        <v>JICA</v>
      </c>
      <c r="X89" s="20" t="str">
        <f>DATA!Z79</f>
        <v>Bilateral</v>
      </c>
      <c r="Y89" s="77">
        <f>DATA!AA79</f>
        <v>100000000</v>
      </c>
      <c r="Z89" s="77">
        <f>DATA!AG79</f>
        <v>0</v>
      </c>
      <c r="AA89" s="20">
        <f>DATA!AH79</f>
        <v>2017</v>
      </c>
      <c r="AB89" s="37" t="str">
        <f>DATA!AI79</f>
        <v>-</v>
      </c>
      <c r="AC89" s="152" t="str">
        <f>DATA!AR79</f>
        <v>belum ada dokumen R/C</v>
      </c>
      <c r="AD89" s="152" t="str">
        <f>DATA!AN79</f>
        <v>belum ada keterangan</v>
      </c>
      <c r="AE89" s="152" t="str">
        <f>DATA!AO79</f>
        <v>belum ada keterangan</v>
      </c>
      <c r="AF89" s="37" t="str">
        <f>DATA!AJ79</f>
        <v>-</v>
      </c>
      <c r="AG89" s="37" t="str">
        <f>DATA!AK79</f>
        <v>-</v>
      </c>
      <c r="AH89" s="37" t="str">
        <f>DATA!AL79</f>
        <v>-</v>
      </c>
      <c r="AI89" s="20" t="str">
        <f>DATA!AR79</f>
        <v>belum ada dokumen R/C</v>
      </c>
      <c r="AJ89" s="20" t="str">
        <f>DATA!AN79</f>
        <v>belum ada keterangan</v>
      </c>
      <c r="AK89" s="20" t="str">
        <f>DATA!AO79</f>
        <v>belum ada keterangan</v>
      </c>
      <c r="AL89" s="20" t="str">
        <f>DATA!AP79</f>
        <v>belum ada proses tender/lelang</v>
      </c>
      <c r="AM89" s="20" t="str">
        <f>DATA!AY79</f>
        <v>Konfirmasi melalui surat Sekjen nomor KU.01.12-Sj/636 tgl 23 Oktober 2015</v>
      </c>
      <c r="AN89" s="20" t="e">
        <f>DATA!#REF!</f>
        <v>#REF!</v>
      </c>
      <c r="AO89" s="20">
        <f>DATA!AZ79</f>
        <v>0</v>
      </c>
      <c r="AP89" s="152" t="e">
        <f>DATA!#REF!</f>
        <v>#REF!</v>
      </c>
      <c r="AQ89" s="37" t="str">
        <f>DATA!BA79</f>
        <v>Kegiatan review desain dan kegiatan konstruksi  meliputi: rehabilitasi 772 sumur, perbaikan pipa distribusi air tanah 1.618 km, perbaikan bangunan rumah pompa, penggantian mesin pompa dan atau penggerak</v>
      </c>
    </row>
    <row r="90" spans="1:43" ht="96" customHeight="1">
      <c r="A90" s="10">
        <f>DATA!A80</f>
        <v>62</v>
      </c>
      <c r="B90" s="10">
        <f>DATA!B80</f>
        <v>0</v>
      </c>
      <c r="C90" s="10" t="str">
        <f>DATA!D80</f>
        <v>INFRASTRUKTUR</v>
      </c>
      <c r="D90" s="10">
        <f>DATA!E80</f>
        <v>1</v>
      </c>
      <c r="E90" s="10" t="str">
        <f>DATA!F80</f>
        <v>Kementerian Pekerjaan Umum dan Perumahan Rakyat</v>
      </c>
      <c r="F90" s="10" t="str">
        <f>DATA!H80</f>
        <v xml:space="preserve">Development and Management of Irrigation Program </v>
      </c>
      <c r="G90" s="10" t="str">
        <f>DATA!I80</f>
        <v>I</v>
      </c>
      <c r="H90" s="10" t="str">
        <f>DATA!J80</f>
        <v>Program Pengembangan dan Pengelolaan Irigasi</v>
      </c>
      <c r="I90" s="10">
        <f>DATA!K80</f>
        <v>10</v>
      </c>
      <c r="J90" s="33"/>
      <c r="K90" s="34"/>
      <c r="L90" s="54"/>
      <c r="M90" s="36">
        <f>DATA!K80</f>
        <v>10</v>
      </c>
      <c r="N90" s="37" t="str">
        <f>DATA!L80</f>
        <v>Engineering Service for Irrigation and Low Land Development Project</v>
      </c>
      <c r="O90" s="20">
        <f>DATA!Q80</f>
        <v>1</v>
      </c>
      <c r="P90" s="20">
        <f>DATA!R80</f>
        <v>1</v>
      </c>
      <c r="Q90" s="20">
        <f>DATA!S80</f>
        <v>53</v>
      </c>
      <c r="R90" s="77">
        <f>DATA!T80</f>
        <v>100000000</v>
      </c>
      <c r="S90" s="88">
        <f>DATA!U80</f>
        <v>100000000</v>
      </c>
      <c r="T90" s="77">
        <f>DATA!V80</f>
        <v>0</v>
      </c>
      <c r="U90" s="77">
        <f>DATA!W80</f>
        <v>0</v>
      </c>
      <c r="V90" s="77">
        <f>DATA!X80</f>
        <v>100000000</v>
      </c>
      <c r="W90" s="78" t="str">
        <f>DATA!Y80</f>
        <v>ADB</v>
      </c>
      <c r="X90" s="20" t="str">
        <f>DATA!Z80</f>
        <v>Multilateral</v>
      </c>
      <c r="Y90" s="77">
        <f>DATA!AA80</f>
        <v>100000000</v>
      </c>
      <c r="Z90" s="77">
        <f>DATA!AG80</f>
        <v>0</v>
      </c>
      <c r="AA90" s="20">
        <f>DATA!AH80</f>
        <v>2016</v>
      </c>
      <c r="AB90" s="37" t="str">
        <f>DATA!AI80</f>
        <v>- Sudah ada RC- Green Book 2015</v>
      </c>
      <c r="AC90" s="152" t="str">
        <f>DATA!AR80</f>
        <v>- sudah GB 2016  
- Nilai pinjaman di GB 38.100 ribu</v>
      </c>
      <c r="AD90" s="152" t="str">
        <f>DATA!AN80</f>
        <v>siap</v>
      </c>
      <c r="AE90" s="152" t="str">
        <f>DATA!AO80</f>
        <v>tidak butuh lahan</v>
      </c>
      <c r="AF90" s="37" t="str">
        <f>DATA!AJ80</f>
        <v>FS, DED</v>
      </c>
      <c r="AG90" s="37" t="str">
        <f>DATA!AK80</f>
        <v>Tidak membutuhkan lahan</v>
      </c>
      <c r="AH90" s="37" t="str">
        <f>DATA!AL80</f>
        <v>Belum ada tender/lelang</v>
      </c>
      <c r="AI90" s="20" t="str">
        <f>DATA!AR80</f>
        <v>- sudah GB 2016  
- Nilai pinjaman di GB 38.100 ribu</v>
      </c>
      <c r="AJ90" s="20" t="str">
        <f>DATA!AN80</f>
        <v>siap</v>
      </c>
      <c r="AK90" s="20" t="str">
        <f>DATA!AO80</f>
        <v>tidak butuh lahan</v>
      </c>
      <c r="AL90" s="20" t="str">
        <f>DATA!AP80</f>
        <v>belum ada proses tender/lelang</v>
      </c>
      <c r="AM90"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N90" s="20" t="e">
        <f>DATA!#REF!</f>
        <v>#REF!</v>
      </c>
      <c r="AO90" s="20">
        <f>DATA!AZ80</f>
        <v>0</v>
      </c>
      <c r="AP90" s="152" t="e">
        <f>DATA!#REF!</f>
        <v>#REF!</v>
      </c>
      <c r="AQ90" s="37"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row>
    <row r="91" spans="1:43" s="5" customFormat="1" ht="33.75" customHeight="1">
      <c r="J91" s="28"/>
      <c r="K91" s="50"/>
      <c r="L91" s="30" t="str">
        <f>DATA!I81</f>
        <v>J</v>
      </c>
      <c r="M91" s="31" t="str">
        <f>DATA!J81</f>
        <v xml:space="preserve">Program Penyediaan dan Pengelolaan Air Baku </v>
      </c>
      <c r="N91" s="51"/>
      <c r="O91" s="31"/>
      <c r="P91" s="31"/>
      <c r="Q91" s="31"/>
      <c r="R91" s="81">
        <f>SUM(R92:R94)</f>
        <v>623862000</v>
      </c>
      <c r="S91" s="81">
        <f>SUM(S92:S94)</f>
        <v>623862000</v>
      </c>
      <c r="T91" s="81">
        <f t="shared" ref="T91:Z91" si="4">SUM(T92:T94)</f>
        <v>201074000</v>
      </c>
      <c r="U91" s="81">
        <f t="shared" si="4"/>
        <v>0</v>
      </c>
      <c r="V91" s="81">
        <f t="shared" si="4"/>
        <v>824936000</v>
      </c>
      <c r="W91" s="81"/>
      <c r="X91" s="81">
        <f t="shared" si="4"/>
        <v>0</v>
      </c>
      <c r="Y91" s="81">
        <f t="shared" si="4"/>
        <v>623862000</v>
      </c>
      <c r="Z91" s="81">
        <f t="shared" si="4"/>
        <v>0</v>
      </c>
      <c r="AA91" s="31"/>
      <c r="AB91" s="32"/>
      <c r="AC91" s="32"/>
      <c r="AD91" s="32"/>
      <c r="AE91" s="32"/>
      <c r="AF91" s="32"/>
      <c r="AG91" s="32"/>
      <c r="AH91" s="32"/>
      <c r="AI91" s="31"/>
      <c r="AJ91" s="31"/>
      <c r="AK91" s="31"/>
      <c r="AL91" s="31"/>
      <c r="AM91" s="31"/>
      <c r="AN91" s="31"/>
      <c r="AO91" s="31"/>
      <c r="AP91" s="32"/>
      <c r="AQ91" s="32"/>
    </row>
    <row r="92" spans="1:43" ht="58.5" customHeight="1">
      <c r="A92" s="10">
        <f>DATA!A81</f>
        <v>63</v>
      </c>
      <c r="B92" s="10">
        <f>DATA!B81</f>
        <v>0</v>
      </c>
      <c r="C92" s="10" t="str">
        <f>DATA!D81</f>
        <v>INFRASTRUKTUR</v>
      </c>
      <c r="D92" s="10">
        <f>DATA!E81</f>
        <v>1</v>
      </c>
      <c r="E92" s="10" t="str">
        <f>DATA!F81</f>
        <v>Kementerian Pekerjaan Umum dan Perumahan Rakyat</v>
      </c>
      <c r="F92" s="10" t="str">
        <f>DATA!H81</f>
        <v>Provision and Management of Bulk Water Supply Program</v>
      </c>
      <c r="G92" s="10" t="str">
        <f>DATA!I81</f>
        <v>J</v>
      </c>
      <c r="H92" s="10" t="str">
        <f>DATA!J81</f>
        <v xml:space="preserve">Program Penyediaan dan Pengelolaan Air Baku </v>
      </c>
      <c r="I92" s="10">
        <f>DATA!K81</f>
        <v>1</v>
      </c>
      <c r="J92" s="33"/>
      <c r="K92" s="34"/>
      <c r="L92" s="35"/>
      <c r="M92" s="36">
        <f>DATA!K81</f>
        <v>1</v>
      </c>
      <c r="N92" s="37" t="str">
        <f>DATA!L81</f>
        <v>Integrated Citarum Water Resources Management Investment Program II</v>
      </c>
      <c r="O92" s="20">
        <f>DATA!Q81</f>
        <v>1</v>
      </c>
      <c r="P92" s="20">
        <f>DATA!R81</f>
        <v>1</v>
      </c>
      <c r="Q92" s="20">
        <f>DATA!S81</f>
        <v>54</v>
      </c>
      <c r="R92" s="77">
        <f>DATA!T81</f>
        <v>200000000</v>
      </c>
      <c r="S92" s="88">
        <f>DATA!U81</f>
        <v>200000000</v>
      </c>
      <c r="T92" s="77">
        <f>DATA!V81</f>
        <v>20000000</v>
      </c>
      <c r="U92" s="77">
        <f>DATA!W81</f>
        <v>0</v>
      </c>
      <c r="V92" s="77">
        <f>DATA!X81</f>
        <v>220000000</v>
      </c>
      <c r="W92" s="78" t="str">
        <f>DATA!Y81</f>
        <v>ADB</v>
      </c>
      <c r="X92" s="20" t="str">
        <f>DATA!Z81</f>
        <v>Multilateral</v>
      </c>
      <c r="Y92" s="77">
        <f>DATA!AA81</f>
        <v>200000000</v>
      </c>
      <c r="Z92" s="77">
        <f>DATA!AG81</f>
        <v>0</v>
      </c>
      <c r="AA92" s="20" t="str">
        <f>DATA!AH81</f>
        <v>Tanpa keterangan</v>
      </c>
      <c r="AB92" s="37" t="str">
        <f>DATA!AI81</f>
        <v>-</v>
      </c>
      <c r="AC92" s="152" t="str">
        <f>DATA!AR81</f>
        <v>belum ada dokumen R/C</v>
      </c>
      <c r="AD92" s="152" t="str">
        <f>DATA!AN81</f>
        <v>dalam proses
(memiliki FS dan DED)</v>
      </c>
      <c r="AE92" s="152" t="str">
        <f>DATA!AO81</f>
        <v>dalam proses
(perencanaan)</v>
      </c>
      <c r="AF92" s="37" t="str">
        <f>DATA!AJ81</f>
        <v>FS, DED</v>
      </c>
      <c r="AG92" s="37" t="str">
        <f>DATA!AK81</f>
        <v>Penyusunan dokumen LARAP</v>
      </c>
      <c r="AH92" s="37" t="str">
        <f>DATA!AL81</f>
        <v>-</v>
      </c>
      <c r="AI92" s="20" t="str">
        <f>DATA!AR81</f>
        <v>belum ada dokumen R/C</v>
      </c>
      <c r="AJ92" s="20" t="str">
        <f>DATA!AN81</f>
        <v>dalam proses
(memiliki FS dan DED)</v>
      </c>
      <c r="AK92" s="20" t="str">
        <f>DATA!AO81</f>
        <v>dalam proses
(perencanaan)</v>
      </c>
      <c r="AL92" s="20" t="str">
        <f>DATA!AP81</f>
        <v>belum ada proses tender/lelang</v>
      </c>
      <c r="AM92" s="20" t="str">
        <f>DATA!AY81</f>
        <v>Konfirmasi melalui surat Sekjen nomor KU.01.12-Sj/636 tgl 23 Oktober 2015</v>
      </c>
      <c r="AN92" s="20" t="e">
        <f>DATA!#REF!</f>
        <v>#REF!</v>
      </c>
      <c r="AO92" s="20" t="str">
        <f>DATA!AZ81</f>
        <v>ada penolakan dari ADB untuk membiayai kegiatan ini (info P'Dewo)</v>
      </c>
      <c r="AP92" s="152" t="e">
        <f>DATA!#REF!</f>
        <v>#REF!</v>
      </c>
      <c r="AQ92" s="37" t="str">
        <f>DATA!BA81</f>
        <v>Pengembangan air baku di sungai citarum dan sekeliling bandung untuk memenuhi kebutuhan air baku lebih kurang 1,5 m3/det di Bandung serta menghindari erosi sungai Citarum</v>
      </c>
    </row>
    <row r="93" spans="1:43" ht="46.5" customHeight="1">
      <c r="A93" s="10">
        <f>DATA!A82</f>
        <v>64</v>
      </c>
      <c r="B93" s="10">
        <f>DATA!B82</f>
        <v>0</v>
      </c>
      <c r="C93" s="10" t="str">
        <f>DATA!D82</f>
        <v>INFRASTRUKTUR</v>
      </c>
      <c r="D93" s="10">
        <f>DATA!E82</f>
        <v>1</v>
      </c>
      <c r="E93" s="10" t="str">
        <f>DATA!F82</f>
        <v>Kementerian Pekerjaan Umum dan Perumahan Rakyat</v>
      </c>
      <c r="F93" s="10" t="str">
        <f>DATA!H82</f>
        <v>Provision and Management of Bulk Water Supply Program</v>
      </c>
      <c r="G93" s="10" t="str">
        <f>DATA!I82</f>
        <v>I</v>
      </c>
      <c r="H93" s="10" t="str">
        <f>DATA!J82</f>
        <v xml:space="preserve">Program Penyediaan dan Pengelolaan Air Baku </v>
      </c>
      <c r="I93" s="10">
        <f>DATA!K82</f>
        <v>2</v>
      </c>
      <c r="J93" s="33"/>
      <c r="K93" s="34"/>
      <c r="L93" s="34"/>
      <c r="M93" s="36">
        <f>DATA!K82</f>
        <v>2</v>
      </c>
      <c r="N93" s="37" t="str">
        <f>DATA!L82</f>
        <v>Karian Dam-Serpong Water Conveyance and Supply System Project</v>
      </c>
      <c r="O93" s="20">
        <f>DATA!Q82</f>
        <v>1</v>
      </c>
      <c r="P93" s="20">
        <f>DATA!R82</f>
        <v>1</v>
      </c>
      <c r="Q93" s="20">
        <f>DATA!S82</f>
        <v>55</v>
      </c>
      <c r="R93" s="77">
        <f>DATA!T82</f>
        <v>373862000</v>
      </c>
      <c r="S93" s="88">
        <f>DATA!U82</f>
        <v>373862000</v>
      </c>
      <c r="T93" s="77">
        <f>DATA!V82</f>
        <v>181074000</v>
      </c>
      <c r="U93" s="77">
        <f>DATA!W82</f>
        <v>0</v>
      </c>
      <c r="V93" s="77">
        <f>DATA!X82</f>
        <v>554936000</v>
      </c>
      <c r="W93" s="78" t="str">
        <f>DATA!Y82</f>
        <v>Korea</v>
      </c>
      <c r="X93" s="20" t="str">
        <f>DATA!Z82</f>
        <v>Bilateral</v>
      </c>
      <c r="Y93" s="77">
        <f>DATA!AA82</f>
        <v>373862000</v>
      </c>
      <c r="Z93" s="77">
        <f>DATA!AG82</f>
        <v>0</v>
      </c>
      <c r="AA93" s="20" t="str">
        <f>DATA!AH82</f>
        <v>Tanpa keterangan</v>
      </c>
      <c r="AB93" s="37" t="str">
        <f>DATA!AI82</f>
        <v>-</v>
      </c>
      <c r="AC93" s="152" t="str">
        <f>DATA!AR82</f>
        <v>belum ada dokumen R/C</v>
      </c>
      <c r="AD93" s="152" t="str">
        <f>DATA!AN82</f>
        <v>dalam proses
(memiliki FS)</v>
      </c>
      <c r="AE93" s="152" t="str">
        <f>DATA!AO82</f>
        <v>dalam proses
(perencanaan)</v>
      </c>
      <c r="AF93" s="37" t="str">
        <f>DATA!AJ82</f>
        <v>FS</v>
      </c>
      <c r="AG93" s="37" t="str">
        <f>DATA!AK82</f>
        <v>Persiapan penyusunan dokumen LARAP</v>
      </c>
      <c r="AH93" s="37" t="str">
        <f>DATA!AL82</f>
        <v>-</v>
      </c>
      <c r="AI93" s="20" t="str">
        <f>DATA!AR82</f>
        <v>belum ada dokumen R/C</v>
      </c>
      <c r="AJ93" s="20" t="str">
        <f>DATA!AN82</f>
        <v>dalam proses
(memiliki FS)</v>
      </c>
      <c r="AK93" s="20" t="str">
        <f>DATA!AO82</f>
        <v>dalam proses
(perencanaan)</v>
      </c>
      <c r="AL93" s="20" t="str">
        <f>DATA!AP82</f>
        <v>belum ada proses tender/lelang</v>
      </c>
      <c r="AM93" s="20" t="str">
        <f>DATA!AY82</f>
        <v>Konfirmasi melalui surat Sekjen nomor KU.01.12-Sj/636 tgl 23 Oktober 2015</v>
      </c>
      <c r="AN93" s="20" t="e">
        <f>DATA!#REF!</f>
        <v>#REF!</v>
      </c>
      <c r="AO93" s="20">
        <f>DATA!AZ82</f>
        <v>0</v>
      </c>
      <c r="AP93" s="152" t="e">
        <f>DATA!#REF!</f>
        <v>#REF!</v>
      </c>
      <c r="AQ93" s="37" t="str">
        <f>DATA!BA82</f>
        <v>Pembangunan sistem air baku sepanjang 47,9 km dari Bendungan Karian ke Serpong untuk meningkatkan pasokan air di Banten dan Jakarta</v>
      </c>
    </row>
    <row r="94" spans="1:43" ht="57.75" customHeight="1">
      <c r="A94" s="10">
        <f>DATA!A83</f>
        <v>65</v>
      </c>
      <c r="B94" s="10">
        <f>DATA!B83</f>
        <v>0</v>
      </c>
      <c r="C94" s="10" t="str">
        <f>DATA!D83</f>
        <v>INFRASTRUKTUR</v>
      </c>
      <c r="D94" s="10">
        <f>DATA!E83</f>
        <v>1</v>
      </c>
      <c r="E94" s="10" t="str">
        <f>DATA!F83</f>
        <v>Kementerian Pekerjaan Umum dan Perumahan Rakyat</v>
      </c>
      <c r="F94" s="10" t="str">
        <f>DATA!H83</f>
        <v>Provision and Management of Bulk Water Supply Program</v>
      </c>
      <c r="G94" s="10" t="str">
        <f>DATA!I83</f>
        <v>I</v>
      </c>
      <c r="H94" s="10" t="str">
        <f>DATA!J83</f>
        <v xml:space="preserve">Program Penyediaan dan Pengelolaan Air Baku </v>
      </c>
      <c r="I94" s="10">
        <f>DATA!K83</f>
        <v>3</v>
      </c>
      <c r="J94" s="33"/>
      <c r="K94" s="34"/>
      <c r="L94" s="54"/>
      <c r="M94" s="36">
        <f>DATA!K83</f>
        <v>3</v>
      </c>
      <c r="N94" s="37" t="str">
        <f>DATA!L83</f>
        <v>Engineering Service for Bulk Water and Water Supply Development Project</v>
      </c>
      <c r="O94" s="20">
        <f>DATA!Q83</f>
        <v>1</v>
      </c>
      <c r="P94" s="20">
        <f>DATA!R83</f>
        <v>1</v>
      </c>
      <c r="Q94" s="20">
        <f>DATA!S83</f>
        <v>56</v>
      </c>
      <c r="R94" s="77">
        <f>DATA!T83</f>
        <v>50000000</v>
      </c>
      <c r="S94" s="88">
        <f>DATA!U83</f>
        <v>50000000</v>
      </c>
      <c r="T94" s="77">
        <f>DATA!V83</f>
        <v>0</v>
      </c>
      <c r="U94" s="77">
        <f>DATA!W83</f>
        <v>0</v>
      </c>
      <c r="V94" s="77">
        <f>DATA!X83</f>
        <v>50000000</v>
      </c>
      <c r="W94" s="78" t="str">
        <f>DATA!Y83</f>
        <v>ADB</v>
      </c>
      <c r="X94" s="20" t="str">
        <f>DATA!Z83</f>
        <v>Multilateral</v>
      </c>
      <c r="Y94" s="77">
        <f>DATA!AA83</f>
        <v>50000000</v>
      </c>
      <c r="Z94" s="77">
        <f>DATA!AG83</f>
        <v>0</v>
      </c>
      <c r="AA94" s="20">
        <f>DATA!AH83</f>
        <v>2016</v>
      </c>
      <c r="AB94" s="37" t="str">
        <f>DATA!AI83</f>
        <v>- Sudah ada RC
- Green Book 2015</v>
      </c>
      <c r="AC94" s="152" t="str">
        <f>DATA!AR83</f>
        <v>- sudah GB 2016  
- Nilai pinjaman di GB USD 2.000 ribu</v>
      </c>
      <c r="AD94" s="152" t="str">
        <f>DATA!AN83</f>
        <v>siap</v>
      </c>
      <c r="AE94" s="152" t="str">
        <f>DATA!AO83</f>
        <v>tidak butuh lahan</v>
      </c>
      <c r="AF94" s="37" t="str">
        <f>DATA!AJ83</f>
        <v>FS, DED</v>
      </c>
      <c r="AG94" s="37" t="str">
        <f>DATA!AK83</f>
        <v>Tidak membutuhkan lahan</v>
      </c>
      <c r="AH94" s="37" t="str">
        <f>DATA!AL83</f>
        <v>Belum ada tender/lelang</v>
      </c>
      <c r="AI94" s="20" t="str">
        <f>DATA!AR83</f>
        <v>- sudah GB 2016  
- Nilai pinjaman di GB USD 2.000 ribu</v>
      </c>
      <c r="AJ94" s="20" t="str">
        <f>DATA!AN83</f>
        <v>siap</v>
      </c>
      <c r="AK94" s="20" t="str">
        <f>DATA!AO83</f>
        <v>tidak butuh lahan</v>
      </c>
      <c r="AL94" s="20" t="str">
        <f>DATA!AP83</f>
        <v>belum ada proses tender/lelang</v>
      </c>
      <c r="AM94"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N94" s="20" t="e">
        <f>DATA!#REF!</f>
        <v>#REF!</v>
      </c>
      <c r="AO94" s="20">
        <f>DATA!AZ83</f>
        <v>0</v>
      </c>
      <c r="AP94" s="152" t="e">
        <f>DATA!#REF!</f>
        <v>#REF!</v>
      </c>
      <c r="AQ94" s="37" t="str">
        <f>DATA!BA83</f>
        <v>Membuat perencanaan dan analisis untuk mendukung pembangunan sistem air baku dan menyediakan fasilitas pendukung pengembangan air baku masyarakat</v>
      </c>
    </row>
    <row r="95" spans="1:43" s="5" customFormat="1" ht="33.75" customHeight="1">
      <c r="J95" s="28"/>
      <c r="K95" s="50"/>
      <c r="L95" s="30" t="str">
        <f>DATA!I84</f>
        <v>J</v>
      </c>
      <c r="M95" s="31" t="str">
        <f>DATA!J84</f>
        <v xml:space="preserve">Program Pembangunan Waduk </v>
      </c>
      <c r="N95" s="51"/>
      <c r="O95" s="31"/>
      <c r="P95" s="31"/>
      <c r="Q95" s="31"/>
      <c r="R95" s="81">
        <f>SUM(R96:R109)</f>
        <v>2133750000</v>
      </c>
      <c r="S95" s="81">
        <f>SUM(S96:S109)</f>
        <v>2133750000</v>
      </c>
      <c r="T95" s="81">
        <f t="shared" ref="T95:Y95" si="5">SUM(T96:T109)</f>
        <v>963200000</v>
      </c>
      <c r="U95" s="81">
        <f t="shared" si="5"/>
        <v>0</v>
      </c>
      <c r="V95" s="81">
        <f t="shared" si="5"/>
        <v>3096950000</v>
      </c>
      <c r="W95" s="81"/>
      <c r="X95" s="81">
        <f t="shared" si="5"/>
        <v>0</v>
      </c>
      <c r="Y95" s="81">
        <f t="shared" si="5"/>
        <v>2233750000</v>
      </c>
      <c r="Z95" s="81">
        <f>SUM(Z96:Z105)</f>
        <v>-76391404</v>
      </c>
      <c r="AA95" s="31"/>
      <c r="AB95" s="32"/>
      <c r="AC95" s="32"/>
      <c r="AD95" s="32"/>
      <c r="AE95" s="32"/>
      <c r="AF95" s="32"/>
      <c r="AG95" s="32"/>
      <c r="AH95" s="32"/>
      <c r="AI95" s="31"/>
      <c r="AJ95" s="31"/>
      <c r="AK95" s="31"/>
      <c r="AL95" s="31"/>
      <c r="AM95" s="31"/>
      <c r="AN95" s="31"/>
      <c r="AO95" s="31"/>
      <c r="AP95" s="32"/>
      <c r="AQ95" s="32"/>
    </row>
    <row r="96" spans="1:43" ht="76.5">
      <c r="A96" s="10">
        <f>DATA!A84</f>
        <v>66</v>
      </c>
      <c r="B96" s="10">
        <f>DATA!B84</f>
        <v>0</v>
      </c>
      <c r="C96" s="10" t="str">
        <f>DATA!D84</f>
        <v>INFRASTRUKTUR</v>
      </c>
      <c r="D96" s="10">
        <f>DATA!E84</f>
        <v>1</v>
      </c>
      <c r="E96" s="10" t="str">
        <f>DATA!F84</f>
        <v>Kementerian Pekerjaan Umum dan Perumahan Rakyat</v>
      </c>
      <c r="F96" s="10" t="str">
        <f>DATA!H84</f>
        <v>Dam Development Program</v>
      </c>
      <c r="G96" s="10" t="str">
        <f>DATA!I84</f>
        <v>J</v>
      </c>
      <c r="H96" s="10" t="str">
        <f>DATA!J84</f>
        <v xml:space="preserve">Program Pembangunan Waduk </v>
      </c>
      <c r="I96" s="10">
        <f>DATA!K84</f>
        <v>1</v>
      </c>
      <c r="J96" s="33"/>
      <c r="K96" s="34"/>
      <c r="L96" s="35"/>
      <c r="M96" s="36">
        <f>DATA!K84</f>
        <v>1</v>
      </c>
      <c r="N96" s="37" t="str">
        <f>DATA!L84</f>
        <v>Jambo Aye Multipurpose Dam Project</v>
      </c>
      <c r="O96" s="20">
        <f>DATA!Q84</f>
        <v>1</v>
      </c>
      <c r="P96" s="20">
        <f>DATA!R84</f>
        <v>1</v>
      </c>
      <c r="Q96" s="20">
        <f>DATA!S84</f>
        <v>57</v>
      </c>
      <c r="R96" s="77">
        <f>DATA!T84</f>
        <v>662200000</v>
      </c>
      <c r="S96" s="88">
        <f>DATA!U84</f>
        <v>662200000</v>
      </c>
      <c r="T96" s="77">
        <f>DATA!V84</f>
        <v>460700000</v>
      </c>
      <c r="U96" s="77">
        <f>DATA!W84</f>
        <v>0</v>
      </c>
      <c r="V96" s="77">
        <f>DATA!X84</f>
        <v>1122900000</v>
      </c>
      <c r="W96" s="78" t="str">
        <f>DATA!Y84</f>
        <v>Rupiah Murni</v>
      </c>
      <c r="X96" s="20" t="str">
        <f>DATA!Z84</f>
        <v>Pendanaan Dengan Rupiah Murni</v>
      </c>
      <c r="Y96" s="77">
        <f>DATA!AA84</f>
        <v>662200000</v>
      </c>
      <c r="Z96" s="77">
        <f>DATA!AG84</f>
        <v>0</v>
      </c>
      <c r="AA96" s="20">
        <f>DATA!AH84</f>
        <v>2018</v>
      </c>
      <c r="AB96" s="37" t="str">
        <f>DATA!AI84</f>
        <v>-</v>
      </c>
      <c r="AC96" s="152" t="str">
        <f>DATA!AR84</f>
        <v>belum ada dokumen R/C</v>
      </c>
      <c r="AD96" s="152" t="str">
        <f>DATA!AN84</f>
        <v>belum ada keterangan</v>
      </c>
      <c r="AE96" s="152" t="str">
        <f>DATA!AO84</f>
        <v>dalam proses
(perencanaan)</v>
      </c>
      <c r="AF96" s="37" t="str">
        <f>DATA!AJ84</f>
        <v xml:space="preserve">AMDAL siap dan penyiapan Review DED </v>
      </c>
      <c r="AG96" s="37" t="str">
        <f>DATA!AK84</f>
        <v>LARAP</v>
      </c>
      <c r="AH96" s="37" t="str">
        <f>DATA!AL84</f>
        <v>-</v>
      </c>
      <c r="AI96" s="20" t="str">
        <f>DATA!AR84</f>
        <v>belum ada dokumen R/C</v>
      </c>
      <c r="AJ96" s="20" t="str">
        <f>DATA!AN84</f>
        <v>belum ada keterangan</v>
      </c>
      <c r="AK96" s="20" t="str">
        <f>DATA!AO84</f>
        <v>dalam proses
(perencanaan)</v>
      </c>
      <c r="AL96" s="20" t="str">
        <f>DATA!AP84</f>
        <v>belum ada proses tender/lelang</v>
      </c>
      <c r="AM96" s="20" t="str">
        <f>DATA!AY84</f>
        <v>- Konfirmasi melalui surat Sekjen nomor KU.01.12-Sj/636 tgl 23 Oktober 2015
- Kegiatan akan dilaksanakan oleh pendanaan rupiah murni APBN</v>
      </c>
      <c r="AN96" s="20" t="e">
        <f>DATA!#REF!</f>
        <v>#REF!</v>
      </c>
      <c r="AO96" s="20">
        <f>DATA!AZ84</f>
        <v>0</v>
      </c>
      <c r="AP96" s="152" t="e">
        <f>DATA!#REF!</f>
        <v>#REF!</v>
      </c>
      <c r="AQ96" s="37" t="str">
        <f>DATA!BA84</f>
        <v>Meningkatkan luas areal irigasi sebesar ± 10.000 Ha dengan perbaikan akses jalan, relokasi penduduk, pembebasan lahan, pekerajaan pengelakan sungai jambo aye dan reubek, pembangunan bendungan dan pendukung lainnya, pembangunan fasilitas PLTA 106 MW</v>
      </c>
    </row>
    <row r="97" spans="1:43" ht="84" customHeight="1">
      <c r="A97" s="10">
        <f>DATA!A85</f>
        <v>67</v>
      </c>
      <c r="B97" s="10">
        <f>DATA!B85</f>
        <v>0</v>
      </c>
      <c r="C97" s="10" t="str">
        <f>DATA!D85</f>
        <v>INFRASTRUKTUR</v>
      </c>
      <c r="D97" s="10">
        <f>DATA!E85</f>
        <v>1</v>
      </c>
      <c r="E97" s="10" t="str">
        <f>DATA!F85</f>
        <v>Kementerian Pekerjaan Umum dan Perumahan Rakyat</v>
      </c>
      <c r="F97" s="10" t="str">
        <f>DATA!H85</f>
        <v>Dam Development Program</v>
      </c>
      <c r="G97" s="10" t="str">
        <f>DATA!I85</f>
        <v>J</v>
      </c>
      <c r="H97" s="10" t="str">
        <f>DATA!J85</f>
        <v xml:space="preserve">Program Pembangunan Waduk </v>
      </c>
      <c r="I97" s="10">
        <f>DATA!K85</f>
        <v>2</v>
      </c>
      <c r="J97" s="33"/>
      <c r="K97" s="34"/>
      <c r="L97" s="34"/>
      <c r="M97" s="36">
        <f>DATA!K85</f>
        <v>2</v>
      </c>
      <c r="N97" s="37" t="str">
        <f>DATA!L85</f>
        <v>Komering Multipurpose Dam Project - Phase II</v>
      </c>
      <c r="O97" s="20">
        <f>DATA!Q85</f>
        <v>1</v>
      </c>
      <c r="P97" s="20">
        <f>DATA!R85</f>
        <v>1</v>
      </c>
      <c r="Q97" s="20">
        <f>DATA!S85</f>
        <v>58</v>
      </c>
      <c r="R97" s="77">
        <f>DATA!T85</f>
        <v>200000000</v>
      </c>
      <c r="S97" s="88">
        <f>DATA!U85</f>
        <v>200000000</v>
      </c>
      <c r="T97" s="77">
        <f>DATA!V85</f>
        <v>20000000</v>
      </c>
      <c r="U97" s="77">
        <f>DATA!W85</f>
        <v>0</v>
      </c>
      <c r="V97" s="77">
        <f>DATA!X85</f>
        <v>220000000</v>
      </c>
      <c r="W97" s="78" t="str">
        <f>DATA!Y85</f>
        <v>Rupiah Murni</v>
      </c>
      <c r="X97" s="20" t="str">
        <f>DATA!Z85</f>
        <v>Pendanaan Dengan Rupiah Murni</v>
      </c>
      <c r="Y97" s="77">
        <f>DATA!AA85</f>
        <v>200000000</v>
      </c>
      <c r="Z97" s="77">
        <f>DATA!AG85</f>
        <v>0</v>
      </c>
      <c r="AA97" s="20">
        <f>DATA!AH85</f>
        <v>2016</v>
      </c>
      <c r="AB97" s="37" t="str">
        <f>DATA!AI85</f>
        <v>-</v>
      </c>
      <c r="AC97" s="152" t="str">
        <f>DATA!AR85</f>
        <v>belum ada dokumen R/C</v>
      </c>
      <c r="AD97" s="152" t="str">
        <f>DATA!AN85</f>
        <v>dalam proses
(penyusunan FS)</v>
      </c>
      <c r="AE97" s="152" t="str">
        <f>DATA!AO85</f>
        <v>dalam proses
(perencanaan)</v>
      </c>
      <c r="AF97" s="37" t="str">
        <f>DATA!AJ85</f>
        <v>FS, DED, AMDAL</v>
      </c>
      <c r="AG97" s="37" t="str">
        <f>DATA!AK85</f>
        <v>Revisi RTRW Kabupaten, LARAP</v>
      </c>
      <c r="AH97" s="37" t="str">
        <f>DATA!AL85</f>
        <v>-</v>
      </c>
      <c r="AI97" s="20" t="str">
        <f>DATA!AR85</f>
        <v>belum ada dokumen R/C</v>
      </c>
      <c r="AJ97" s="20" t="str">
        <f>DATA!AN85</f>
        <v>dalam proses
(penyusunan FS)</v>
      </c>
      <c r="AK97" s="20" t="str">
        <f>DATA!AO85</f>
        <v>dalam proses
(perencanaan)</v>
      </c>
      <c r="AL97" s="20" t="str">
        <f>DATA!AP85</f>
        <v>belum ada proses tender/lelang</v>
      </c>
      <c r="AM97" s="20" t="str">
        <f>DATA!AY85</f>
        <v>- Konfirmasi melalui surat Sekjen nomor KU.01.12-Sj/636 tgl 23 Oktober 2015
- Kegiatan akan dilaksanakan oleh pendanaan rupiah murni APBN</v>
      </c>
      <c r="AN97" s="20" t="e">
        <f>DATA!#REF!</f>
        <v>#REF!</v>
      </c>
      <c r="AO97" s="20">
        <f>DATA!AZ85</f>
        <v>0</v>
      </c>
      <c r="AP97" s="152" t="e">
        <f>DATA!#REF!</f>
        <v>#REF!</v>
      </c>
      <c r="AQ97" s="37" t="str">
        <f>DATA!BA85</f>
        <v>Pembangunan bendungan komering 110 juta cm3, pembangunan fasilitas tenaga hidrolik, komponen lunak untuk memperkuat O&amp;P, Hydropower 20,80 MW, pembangunan sistem irigasi utama dan tersier skema Lempuing untuk 8.500 Ha, dan perbaikan fasilitas irigasi yang ada</v>
      </c>
    </row>
    <row r="98" spans="1:43" ht="102">
      <c r="A98" s="10">
        <f>DATA!A86</f>
        <v>68</v>
      </c>
      <c r="B98" s="10">
        <f>DATA!B86</f>
        <v>0</v>
      </c>
      <c r="C98" s="10" t="str">
        <f>DATA!D86</f>
        <v>INFRASTRUKTUR</v>
      </c>
      <c r="D98" s="10">
        <f>DATA!E86</f>
        <v>1</v>
      </c>
      <c r="E98" s="10" t="str">
        <f>DATA!F86</f>
        <v>Kementerian Pekerjaan Umum dan Perumahan Rakyat</v>
      </c>
      <c r="F98" s="10" t="str">
        <f>DATA!H86</f>
        <v>Dam Development Program</v>
      </c>
      <c r="G98" s="10" t="str">
        <f>DATA!I86</f>
        <v>J</v>
      </c>
      <c r="H98" s="10" t="str">
        <f>DATA!J86</f>
        <v xml:space="preserve">Program Pembangunan Waduk </v>
      </c>
      <c r="I98" s="10">
        <f>DATA!K86</f>
        <v>3</v>
      </c>
      <c r="J98" s="33"/>
      <c r="K98" s="34"/>
      <c r="L98" s="34"/>
      <c r="M98" s="36">
        <f>DATA!K86</f>
        <v>3</v>
      </c>
      <c r="N98" s="37" t="str">
        <f>DATA!L86</f>
        <v>Pelosika Multipurpose Dam Construction Project</v>
      </c>
      <c r="O98" s="20">
        <f>DATA!Q86</f>
        <v>1</v>
      </c>
      <c r="P98" s="20">
        <f>DATA!R86</f>
        <v>1</v>
      </c>
      <c r="Q98" s="20">
        <f>DATA!S86</f>
        <v>59</v>
      </c>
      <c r="R98" s="77">
        <f>DATA!T86</f>
        <v>200000000</v>
      </c>
      <c r="S98" s="88">
        <f>DATA!U86</f>
        <v>200000000</v>
      </c>
      <c r="T98" s="77">
        <f>DATA!V86</f>
        <v>170000000</v>
      </c>
      <c r="U98" s="77">
        <f>DATA!W86</f>
        <v>0</v>
      </c>
      <c r="V98" s="77">
        <f>DATA!X86</f>
        <v>370000000</v>
      </c>
      <c r="W98" s="78" t="str">
        <f>DATA!Y86</f>
        <v>Rupiah Murni</v>
      </c>
      <c r="X98" s="20" t="str">
        <f>DATA!Z86</f>
        <v>Pendanaan Dengan Rupiah Murni</v>
      </c>
      <c r="Y98" s="77">
        <f>DATA!AA86</f>
        <v>200000000</v>
      </c>
      <c r="Z98" s="77">
        <f>DATA!AG86</f>
        <v>0</v>
      </c>
      <c r="AA98" s="20">
        <f>DATA!AH86</f>
        <v>2017</v>
      </c>
      <c r="AB98" s="37" t="str">
        <f>DATA!AI86</f>
        <v>-</v>
      </c>
      <c r="AC98" s="152" t="str">
        <f>DATA!AR86</f>
        <v>belum ada dokumen R/C</v>
      </c>
      <c r="AD98" s="152" t="str">
        <f>DATA!AN86</f>
        <v>dalam proses
(penyusunan FS)</v>
      </c>
      <c r="AE98" s="152" t="str">
        <f>DATA!AO86</f>
        <v>dalam proses
(perencanaan)</v>
      </c>
      <c r="AF98" s="37" t="str">
        <f>DATA!AJ86</f>
        <v>AMDAL, geologi detail 2015 dan Penyiapan Review DED</v>
      </c>
      <c r="AG98" s="37" t="str">
        <f>DATA!AK86</f>
        <v>LARAP</v>
      </c>
      <c r="AH98" s="37" t="str">
        <f>DATA!AL86</f>
        <v>-</v>
      </c>
      <c r="AI98" s="20" t="str">
        <f>DATA!AR86</f>
        <v>belum ada dokumen R/C</v>
      </c>
      <c r="AJ98" s="20" t="str">
        <f>DATA!AN86</f>
        <v>dalam proses
(penyusunan FS)</v>
      </c>
      <c r="AK98" s="20" t="str">
        <f>DATA!AO86</f>
        <v>dalam proses
(perencanaan)</v>
      </c>
      <c r="AL98" s="20" t="str">
        <f>DATA!AP86</f>
        <v>belum ada proses tender/lelang</v>
      </c>
      <c r="AM98" s="20" t="str">
        <f>DATA!AY86</f>
        <v>- Konfirmasi melalui surat Sekjen nomor KU.01.12-Sj/636 tgl 23 Oktober 2015
- Kegiatan akan dilaksanakan oleh pendanaan rupiah murni APBN</v>
      </c>
      <c r="AN98" s="20" t="e">
        <f>DATA!#REF!</f>
        <v>#REF!</v>
      </c>
      <c r="AO98" s="20">
        <f>DATA!AZ86</f>
        <v>0</v>
      </c>
      <c r="AP98" s="152" t="e">
        <f>DATA!#REF!</f>
        <v>#REF!</v>
      </c>
      <c r="AQ98" s="37"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row>
    <row r="99" spans="1:43" ht="90.75" customHeight="1">
      <c r="A99" s="10">
        <f>DATA!A87</f>
        <v>69</v>
      </c>
      <c r="B99" s="10">
        <f>DATA!B87</f>
        <v>0</v>
      </c>
      <c r="C99" s="10" t="str">
        <f>DATA!D87</f>
        <v>INFRASTRUKTUR</v>
      </c>
      <c r="D99" s="10">
        <f>DATA!E87</f>
        <v>1</v>
      </c>
      <c r="E99" s="10" t="str">
        <f>DATA!F87</f>
        <v>Kementerian Pekerjaan Umum dan Perumahan Rakyat</v>
      </c>
      <c r="F99" s="10" t="str">
        <f>DATA!H87</f>
        <v>Dam Development Program</v>
      </c>
      <c r="G99" s="10" t="str">
        <f>DATA!I87</f>
        <v>J</v>
      </c>
      <c r="H99" s="10" t="str">
        <f>DATA!J87</f>
        <v xml:space="preserve">Program Pembangunan Waduk </v>
      </c>
      <c r="I99" s="10">
        <f>DATA!K87</f>
        <v>4</v>
      </c>
      <c r="J99" s="33"/>
      <c r="K99" s="34"/>
      <c r="L99" s="34"/>
      <c r="M99" s="36">
        <f>DATA!K87</f>
        <v>4</v>
      </c>
      <c r="N99" s="37" t="str">
        <f>DATA!L87</f>
        <v>Lambakan  Dam Project</v>
      </c>
      <c r="O99" s="20">
        <f>DATA!Q87</f>
        <v>1</v>
      </c>
      <c r="P99" s="20">
        <f>DATA!R87</f>
        <v>1</v>
      </c>
      <c r="Q99" s="20">
        <f>DATA!S87</f>
        <v>60</v>
      </c>
      <c r="R99" s="77">
        <f>DATA!T87</f>
        <v>258000000</v>
      </c>
      <c r="S99" s="88">
        <f>DATA!U87</f>
        <v>258000000</v>
      </c>
      <c r="T99" s="77">
        <f>DATA!V87</f>
        <v>227000000</v>
      </c>
      <c r="U99" s="77">
        <f>DATA!W87</f>
        <v>0</v>
      </c>
      <c r="V99" s="77">
        <f>DATA!X87</f>
        <v>485000000</v>
      </c>
      <c r="W99" s="78" t="str">
        <f>DATA!Y87</f>
        <v>IDB</v>
      </c>
      <c r="X99" s="20" t="str">
        <f>DATA!Z87</f>
        <v>Multilateral</v>
      </c>
      <c r="Y99" s="77">
        <f>DATA!AA87</f>
        <v>258000000</v>
      </c>
      <c r="Z99" s="77">
        <f>DATA!AG87</f>
        <v>0</v>
      </c>
      <c r="AA99" s="20" t="str">
        <f>DATA!AH87</f>
        <v>Tanpa keterangan</v>
      </c>
      <c r="AB99" s="37" t="str">
        <f>DATA!AI87</f>
        <v>-</v>
      </c>
      <c r="AC99" s="152" t="str">
        <f>DATA!AR87</f>
        <v>belum ada dokumen R/C</v>
      </c>
      <c r="AD99" s="152" t="str">
        <f>DATA!AN87</f>
        <v>dalam proses
(penyusunan FS)</v>
      </c>
      <c r="AE99" s="152" t="str">
        <f>DATA!AO87</f>
        <v>dalam proses
(perencanaan)</v>
      </c>
      <c r="AF99" s="37" t="str">
        <f>DATA!AJ87</f>
        <v>AMDAL (2017), geologi detail 2015 dan Penyiapan Review DED</v>
      </c>
      <c r="AG99" s="37" t="str">
        <f>DATA!AK87</f>
        <v>LARAP (2016)</v>
      </c>
      <c r="AH99" s="37" t="str">
        <f>DATA!AL87</f>
        <v>-</v>
      </c>
      <c r="AI99" s="20" t="str">
        <f>DATA!AR87</f>
        <v>belum ada dokumen R/C</v>
      </c>
      <c r="AJ99" s="20" t="str">
        <f>DATA!AN87</f>
        <v>dalam proses
(penyusunan FS)</v>
      </c>
      <c r="AK99" s="20" t="str">
        <f>DATA!AO87</f>
        <v>dalam proses
(perencanaan)</v>
      </c>
      <c r="AL99" s="20" t="str">
        <f>DATA!AP87</f>
        <v>belum ada proses tender/lelang</v>
      </c>
      <c r="AM99" s="20" t="str">
        <f>DATA!AY87</f>
        <v>Konfirmasi melalui surat Sekjen nomor KU.01.12-Sj/636 tgl 23 Oktober 2015</v>
      </c>
      <c r="AN99" s="20" t="e">
        <f>DATA!#REF!</f>
        <v>#REF!</v>
      </c>
      <c r="AO99" s="20">
        <f>DATA!AZ87</f>
        <v>0</v>
      </c>
      <c r="AP99" s="152" t="e">
        <f>DATA!#REF!</f>
        <v>#REF!</v>
      </c>
      <c r="AQ99" s="37" t="str">
        <f>DATA!BA87</f>
        <v>Pembangunan PLTA sebesar 15 MW, pembangunan sistem irigasi untuk mengairi 18.000 Ha, menyediakan air baku 12 m3/det untuk Kabupaten pasir, Kabupaten  Penajam Pasir Utara dan Kota Balikpapan, 4. Pembangunan tanggul penahan banjir di DAS Telake sampai 30%</v>
      </c>
    </row>
    <row r="100" spans="1:43" ht="60.75" customHeight="1">
      <c r="A100" s="10">
        <f>DATA!A88</f>
        <v>70</v>
      </c>
      <c r="B100" s="10">
        <f>DATA!B88</f>
        <v>0</v>
      </c>
      <c r="C100" s="10" t="str">
        <f>DATA!D88</f>
        <v>INFRASTRUKTUR</v>
      </c>
      <c r="D100" s="10">
        <f>DATA!E88</f>
        <v>1</v>
      </c>
      <c r="E100" s="10" t="str">
        <f>DATA!F88</f>
        <v>Kementerian Pekerjaan Umum dan Perumahan Rakyat</v>
      </c>
      <c r="F100" s="10" t="str">
        <f>DATA!H88</f>
        <v>Dam Development Program</v>
      </c>
      <c r="G100" s="10" t="str">
        <f>DATA!I88</f>
        <v>J</v>
      </c>
      <c r="H100" s="10" t="str">
        <f>DATA!J88</f>
        <v xml:space="preserve">Program Pembangunan Waduk </v>
      </c>
      <c r="I100" s="10">
        <f>DATA!K88</f>
        <v>5</v>
      </c>
      <c r="J100" s="33"/>
      <c r="K100" s="34"/>
      <c r="L100" s="34"/>
      <c r="M100" s="36">
        <f>DATA!K88</f>
        <v>5</v>
      </c>
      <c r="N100" s="37" t="str">
        <f>DATA!L88</f>
        <v>Jenelata Dam Construction Project</v>
      </c>
      <c r="O100" s="20">
        <f>DATA!Q88</f>
        <v>1</v>
      </c>
      <c r="P100" s="20">
        <f>DATA!R88</f>
        <v>1</v>
      </c>
      <c r="Q100" s="20">
        <f>DATA!S88</f>
        <v>61</v>
      </c>
      <c r="R100" s="77">
        <f>DATA!T88</f>
        <v>200000000</v>
      </c>
      <c r="S100" s="88">
        <f>DATA!U88</f>
        <v>200000000</v>
      </c>
      <c r="T100" s="77">
        <f>DATA!V88</f>
        <v>20000000</v>
      </c>
      <c r="U100" s="77">
        <f>DATA!W88</f>
        <v>0</v>
      </c>
      <c r="V100" s="77">
        <f>DATA!X88</f>
        <v>220000000</v>
      </c>
      <c r="W100" s="78" t="str">
        <f>DATA!Y88</f>
        <v>RRT</v>
      </c>
      <c r="X100" s="20" t="str">
        <f>DATA!Z88</f>
        <v>Bilateral</v>
      </c>
      <c r="Y100" s="77">
        <f>DATA!AA88</f>
        <v>200000000</v>
      </c>
      <c r="Z100" s="77">
        <f>DATA!AG88</f>
        <v>0</v>
      </c>
      <c r="AA100" s="20">
        <f>DATA!AH88</f>
        <v>2018</v>
      </c>
      <c r="AB100" s="37" t="str">
        <f>DATA!AI88</f>
        <v>-</v>
      </c>
      <c r="AC100" s="152" t="str">
        <f>DATA!AR88</f>
        <v>belum ada dokumen R/C</v>
      </c>
      <c r="AD100" s="152" t="str">
        <f>DATA!AN88</f>
        <v>siap</v>
      </c>
      <c r="AE100" s="152" t="str">
        <f>DATA!AO88</f>
        <v>dalam proses
(perencanaan)</v>
      </c>
      <c r="AF100" s="37" t="str">
        <f>DATA!AJ88</f>
        <v>model test, penyelidikan geologi 2015, AMDAL (2015)</v>
      </c>
      <c r="AG100" s="37" t="str">
        <f>DATA!AK88</f>
        <v>LARAP (2016)</v>
      </c>
      <c r="AH100" s="37" t="str">
        <f>DATA!AL88</f>
        <v>-</v>
      </c>
      <c r="AI100" s="20" t="str">
        <f>DATA!AR88</f>
        <v>belum ada dokumen R/C</v>
      </c>
      <c r="AJ100" s="20" t="str">
        <f>DATA!AN88</f>
        <v>siap</v>
      </c>
      <c r="AK100" s="20" t="str">
        <f>DATA!AO88</f>
        <v>dalam proses
(perencanaan)</v>
      </c>
      <c r="AL100" s="20" t="str">
        <f>DATA!AP88</f>
        <v>belum ada proses tender/lelang</v>
      </c>
      <c r="AM100" s="20" t="str">
        <f>DATA!AY88</f>
        <v>Konfirmasi melalui surat Sekjen nomor KU.01.12-Sj/636 tgl 23 Oktober 2015</v>
      </c>
      <c r="AN100" s="20" t="e">
        <f>DATA!#REF!</f>
        <v>#REF!</v>
      </c>
      <c r="AO100" s="20">
        <f>DATA!AZ88</f>
        <v>0</v>
      </c>
      <c r="AP100" s="152" t="e">
        <f>DATA!#REF!</f>
        <v>#REF!</v>
      </c>
      <c r="AQ100" s="37" t="str">
        <f>DATA!BA88</f>
        <v>Membangun bendungan 223 juta m3, melakukan rehabilitasi jalan, membangun fasilitas PLTA ± 10,9 MW untuk kebutuhan energi listrik Kab.Gowa, perbaikan dan peningkatan jaringan irigasi 24.400 ha</v>
      </c>
    </row>
    <row r="101" spans="1:43" ht="48" customHeight="1">
      <c r="A101" s="10">
        <f>DATA!A89</f>
        <v>71</v>
      </c>
      <c r="B101" s="10">
        <f>DATA!B89</f>
        <v>0</v>
      </c>
      <c r="C101" s="10" t="str">
        <f>DATA!D89</f>
        <v>INFRASTRUKTUR</v>
      </c>
      <c r="D101" s="10">
        <f>DATA!E89</f>
        <v>1</v>
      </c>
      <c r="E101" s="10" t="str">
        <f>DATA!F89</f>
        <v>Kementerian Pekerjaan Umum dan Perumahan Rakyat</v>
      </c>
      <c r="F101" s="10" t="str">
        <f>DATA!H89</f>
        <v>Dam Development Program</v>
      </c>
      <c r="G101" s="10" t="str">
        <f>DATA!I89</f>
        <v>J</v>
      </c>
      <c r="H101" s="10" t="str">
        <f>DATA!J89</f>
        <v xml:space="preserve">Program Pembangunan Waduk </v>
      </c>
      <c r="I101" s="10">
        <f>DATA!K89</f>
        <v>6</v>
      </c>
      <c r="J101" s="33"/>
      <c r="K101" s="34"/>
      <c r="L101" s="34"/>
      <c r="M101" s="36">
        <f>DATA!K89</f>
        <v>6</v>
      </c>
      <c r="N101" s="37" t="str">
        <f>DATA!L89</f>
        <v>Bonehulu Dam Construction Project</v>
      </c>
      <c r="O101" s="20">
        <f>DATA!Q89</f>
        <v>1</v>
      </c>
      <c r="P101" s="20">
        <f>DATA!R89</f>
        <v>1</v>
      </c>
      <c r="Q101" s="20">
        <f>DATA!S89</f>
        <v>62</v>
      </c>
      <c r="R101" s="77">
        <f>DATA!T89</f>
        <v>128250000</v>
      </c>
      <c r="S101" s="88">
        <f>DATA!U89</f>
        <v>128250000</v>
      </c>
      <c r="T101" s="77">
        <f>DATA!V89</f>
        <v>21000000</v>
      </c>
      <c r="U101" s="77">
        <f>DATA!W89</f>
        <v>0</v>
      </c>
      <c r="V101" s="77">
        <f>DATA!X89</f>
        <v>149250000</v>
      </c>
      <c r="W101" s="78" t="str">
        <f>DATA!Y89</f>
        <v>RRT</v>
      </c>
      <c r="X101" s="20" t="str">
        <f>DATA!Z89</f>
        <v>Bilateral</v>
      </c>
      <c r="Y101" s="77">
        <f>DATA!AA89</f>
        <v>128250000</v>
      </c>
      <c r="Z101" s="77">
        <f>DATA!AG89</f>
        <v>0</v>
      </c>
      <c r="AA101" s="20">
        <f>DATA!AH89</f>
        <v>2019</v>
      </c>
      <c r="AB101" s="37" t="str">
        <f>DATA!AI89</f>
        <v>-</v>
      </c>
      <c r="AC101" s="152" t="str">
        <f>DATA!AR89</f>
        <v>belum ada dokumen R/C</v>
      </c>
      <c r="AD101" s="152" t="str">
        <f>DATA!AN89</f>
        <v>dalam proses
(penyusunan FS)</v>
      </c>
      <c r="AE101" s="152" t="str">
        <f>DATA!AO89</f>
        <v>dalam proses
(perencanaan)</v>
      </c>
      <c r="AF101" s="37" t="str">
        <f>DATA!AJ89</f>
        <v>DD, model test, penyelidikan geologi 2015, AMDAL (2017)</v>
      </c>
      <c r="AG101" s="37" t="str">
        <f>DATA!AK89</f>
        <v>LARAP (2015)</v>
      </c>
      <c r="AH101" s="37" t="str">
        <f>DATA!AL89</f>
        <v>-</v>
      </c>
      <c r="AI101" s="20" t="str">
        <f>DATA!AR89</f>
        <v>belum ada dokumen R/C</v>
      </c>
      <c r="AJ101" s="20" t="str">
        <f>DATA!AN89</f>
        <v>dalam proses
(penyusunan FS)</v>
      </c>
      <c r="AK101" s="20" t="str">
        <f>DATA!AO89</f>
        <v>dalam proses
(perencanaan)</v>
      </c>
      <c r="AL101" s="20" t="str">
        <f>DATA!AP89</f>
        <v>belum ada proses tender/lelang</v>
      </c>
      <c r="AM101" s="20" t="str">
        <f>DATA!AY89</f>
        <v>Konfirmasi melalui surat Sekjen nomor KU.01.12-Sj/636 tgl 23 Oktober 2015</v>
      </c>
      <c r="AN101" s="20" t="e">
        <f>DATA!#REF!</f>
        <v>#REF!</v>
      </c>
      <c r="AO101" s="20">
        <f>DATA!AZ89</f>
        <v>0</v>
      </c>
      <c r="AP101" s="152" t="e">
        <f>DATA!#REF!</f>
        <v>#REF!</v>
      </c>
      <c r="AQ101" s="37" t="str">
        <f>DATA!BA89</f>
        <v>Pembangunan PLTA sebesar 9,99 MW, Pembangunan sistem irigasi mengairi 6.800 Ha</v>
      </c>
    </row>
    <row r="102" spans="1:43" ht="59.25" customHeight="1">
      <c r="A102" s="10">
        <f>DATA!A90</f>
        <v>72</v>
      </c>
      <c r="B102" s="10">
        <f>DATA!B90</f>
        <v>0</v>
      </c>
      <c r="C102" s="10" t="str">
        <f>DATA!D90</f>
        <v>INFRASTRUKTUR</v>
      </c>
      <c r="D102" s="10">
        <f>DATA!E90</f>
        <v>1</v>
      </c>
      <c r="E102" s="10" t="str">
        <f>DATA!F90</f>
        <v>Kementerian Pekerjaan Umum dan Perumahan Rakyat</v>
      </c>
      <c r="F102" s="10" t="str">
        <f>DATA!H90</f>
        <v>Dam Development Program</v>
      </c>
      <c r="G102" s="10" t="str">
        <f>DATA!I90</f>
        <v>J</v>
      </c>
      <c r="H102" s="10" t="str">
        <f>DATA!J90</f>
        <v xml:space="preserve">Program Pembangunan Waduk </v>
      </c>
      <c r="I102" s="10">
        <f>DATA!K90</f>
        <v>7</v>
      </c>
      <c r="J102" s="33"/>
      <c r="K102" s="34"/>
      <c r="L102" s="34"/>
      <c r="M102" s="36">
        <f>DATA!K90</f>
        <v>7</v>
      </c>
      <c r="N102" s="37" t="str">
        <f>DATA!L90</f>
        <v>Ladongi Dam Construction Project</v>
      </c>
      <c r="O102" s="20">
        <f>DATA!Q90</f>
        <v>1</v>
      </c>
      <c r="P102" s="20">
        <f>DATA!R90</f>
        <v>1</v>
      </c>
      <c r="Q102" s="20">
        <f>DATA!S90</f>
        <v>63</v>
      </c>
      <c r="R102" s="77">
        <f>DATA!T90</f>
        <v>70000000</v>
      </c>
      <c r="S102" s="88">
        <f>DATA!U90</f>
        <v>70000000</v>
      </c>
      <c r="T102" s="77">
        <f>DATA!V90</f>
        <v>7000000</v>
      </c>
      <c r="U102" s="77">
        <f>DATA!W90</f>
        <v>0</v>
      </c>
      <c r="V102" s="77">
        <f>DATA!X90</f>
        <v>77000000</v>
      </c>
      <c r="W102" s="78" t="str">
        <f>DATA!Y90</f>
        <v>RRT</v>
      </c>
      <c r="X102" s="20" t="str">
        <f>DATA!Z90</f>
        <v>Bilateral</v>
      </c>
      <c r="Y102" s="77">
        <f>DATA!AA90</f>
        <v>70000000</v>
      </c>
      <c r="Z102" s="77">
        <f>DATA!AG90</f>
        <v>0</v>
      </c>
      <c r="AA102" s="20">
        <f>DATA!AH90</f>
        <v>2017</v>
      </c>
      <c r="AB102" s="37" t="str">
        <f>DATA!AI90</f>
        <v>-</v>
      </c>
      <c r="AC102" s="152" t="str">
        <f>DATA!AR90</f>
        <v>belum ada dokumen R/C</v>
      </c>
      <c r="AD102" s="152" t="str">
        <f>DATA!AN90</f>
        <v>siap</v>
      </c>
      <c r="AE102" s="152" t="str">
        <f>DATA!AO90</f>
        <v>dalam proses
(perencanaan)</v>
      </c>
      <c r="AF102" s="37" t="str">
        <f>DATA!AJ90</f>
        <v>SID, AMDAL (2015), penyelidikan geologi, DD, model test 2015</v>
      </c>
      <c r="AG102" s="37" t="str">
        <f>DATA!AK90</f>
        <v>LARAP (2015)</v>
      </c>
      <c r="AH102" s="37" t="str">
        <f>DATA!AL90</f>
        <v>-</v>
      </c>
      <c r="AI102" s="20" t="str">
        <f>DATA!AR90</f>
        <v>belum ada dokumen R/C</v>
      </c>
      <c r="AJ102" s="20" t="str">
        <f>DATA!AN90</f>
        <v>siap</v>
      </c>
      <c r="AK102" s="20" t="str">
        <f>DATA!AO90</f>
        <v>dalam proses
(perencanaan)</v>
      </c>
      <c r="AL102" s="20" t="str">
        <f>DATA!AP90</f>
        <v>belum ada proses tender/lelang</v>
      </c>
      <c r="AM102" s="20" t="str">
        <f>DATA!AY90</f>
        <v>Konfirmasi melalui surat Sekjen nomor KU.01.12-Sj/636 tgl 23 Oktober 2015</v>
      </c>
      <c r="AN102" s="20" t="e">
        <f>DATA!#REF!</f>
        <v>#REF!</v>
      </c>
      <c r="AO102" s="20">
        <f>DATA!AZ90</f>
        <v>0</v>
      </c>
      <c r="AP102" s="152" t="e">
        <f>DATA!#REF!</f>
        <v>#REF!</v>
      </c>
      <c r="AQ102" s="37" t="str">
        <f>DATA!BA90</f>
        <v>Membangun bendungan 25,57 juta m3  dan fasilitas pendukungnya, Melakukan rehabilitasi jalan akses, Membangun PLTA 1,15 MW untuk  Kab.Kolaka Timur dan Perbaikan jaringan irigasi</v>
      </c>
    </row>
    <row r="103" spans="1:43" ht="80.25" customHeight="1">
      <c r="A103" s="10">
        <f>DATA!A91</f>
        <v>73</v>
      </c>
      <c r="B103" s="10">
        <f>DATA!B91</f>
        <v>0</v>
      </c>
      <c r="C103" s="10" t="str">
        <f>DATA!D91</f>
        <v>INFRASTRUKTUR</v>
      </c>
      <c r="D103" s="10">
        <f>DATA!E91</f>
        <v>1</v>
      </c>
      <c r="E103" s="10" t="str">
        <f>DATA!F91</f>
        <v>Kementerian Pekerjaan Umum dan Perumahan Rakyat</v>
      </c>
      <c r="F103" s="10" t="str">
        <f>DATA!H91</f>
        <v>Dam Development Program</v>
      </c>
      <c r="G103" s="10" t="str">
        <f>DATA!I91</f>
        <v>J</v>
      </c>
      <c r="H103" s="10" t="str">
        <f>DATA!J91</f>
        <v xml:space="preserve">Program Pembangunan Waduk </v>
      </c>
      <c r="I103" s="10">
        <f>DATA!K91</f>
        <v>8</v>
      </c>
      <c r="J103" s="33"/>
      <c r="K103" s="34"/>
      <c r="L103" s="34"/>
      <c r="M103" s="36">
        <f>DATA!K91</f>
        <v>8</v>
      </c>
      <c r="N103" s="37" t="str">
        <f>DATA!L91</f>
        <v>Kuwil Kawangkoan Dam Construction Project</v>
      </c>
      <c r="O103" s="20">
        <f>DATA!Q91</f>
        <v>1</v>
      </c>
      <c r="P103" s="20">
        <f>DATA!R91</f>
        <v>1</v>
      </c>
      <c r="Q103" s="20">
        <f>DATA!S91</f>
        <v>64</v>
      </c>
      <c r="R103" s="77">
        <f>DATA!T91</f>
        <v>110000000</v>
      </c>
      <c r="S103" s="88">
        <f>DATA!U91</f>
        <v>110000000</v>
      </c>
      <c r="T103" s="77">
        <f>DATA!V91</f>
        <v>11000000</v>
      </c>
      <c r="U103" s="77">
        <f>DATA!W91</f>
        <v>0</v>
      </c>
      <c r="V103" s="77">
        <f>DATA!X91</f>
        <v>121000000</v>
      </c>
      <c r="W103" s="78" t="str">
        <f>DATA!Y91</f>
        <v>Rupiah Murni</v>
      </c>
      <c r="X103" s="20" t="str">
        <f>DATA!Z91</f>
        <v>Pendanaan Dengan Rupiah Murni</v>
      </c>
      <c r="Y103" s="77">
        <f>DATA!AA91</f>
        <v>110000000</v>
      </c>
      <c r="Z103" s="77">
        <f>DATA!AG91</f>
        <v>0</v>
      </c>
      <c r="AA103" s="20">
        <f>DATA!AH91</f>
        <v>2016</v>
      </c>
      <c r="AB103" s="37" t="str">
        <f>DATA!AI91</f>
        <v>-</v>
      </c>
      <c r="AC103" s="152" t="str">
        <f>DATA!AR91</f>
        <v>belum ada dokumen R/C</v>
      </c>
      <c r="AD103" s="152" t="str">
        <f>DATA!AN91</f>
        <v>dalam proses
(penyusunan FS)</v>
      </c>
      <c r="AE103" s="152" t="str">
        <f>DATA!AO91</f>
        <v>dalam proses
(perencanaan)</v>
      </c>
      <c r="AF103" s="37" t="str">
        <f>DATA!AJ91</f>
        <v>Sertifikasi desain, penyelidikan geologi, AMDAL</v>
      </c>
      <c r="AG103" s="37" t="str">
        <f>DATA!AK91</f>
        <v>LARAP</v>
      </c>
      <c r="AH103" s="37" t="str">
        <f>DATA!AL91</f>
        <v>Dalam proses tender</v>
      </c>
      <c r="AI103" s="20" t="str">
        <f>DATA!AR91</f>
        <v>belum ada dokumen R/C</v>
      </c>
      <c r="AJ103" s="20" t="str">
        <f>DATA!AN91</f>
        <v>dalam proses
(penyusunan FS)</v>
      </c>
      <c r="AK103" s="20" t="str">
        <f>DATA!AO91</f>
        <v>dalam proses
(perencanaan)</v>
      </c>
      <c r="AL103" s="20" t="str">
        <f>DATA!AP91</f>
        <v>belum ada proses tender/lelang</v>
      </c>
      <c r="AM103" s="20" t="str">
        <f>DATA!AY91</f>
        <v>- Konfirmasi melalui surat Sekjen nomor KU.01.12-Sj/636 tgl 23 Oktober 2015
- Kegiatan akan dilaksanakan oleh pendanaan rupiah murni APBN</v>
      </c>
      <c r="AN103" s="20" t="e">
        <f>DATA!#REF!</f>
        <v>#REF!</v>
      </c>
      <c r="AO103" s="20">
        <f>DATA!AZ91</f>
        <v>0</v>
      </c>
      <c r="AP103" s="152" t="e">
        <f>DATA!#REF!</f>
        <v>#REF!</v>
      </c>
      <c r="AQ103" s="37" t="str">
        <f>DATA!BA91</f>
        <v>Melakukan konservasi sumber daya air, pelestarian lingkungan, dan pengendalian banjir, Membangun bendungan dan fasilitas pendukungnya, Melakukan rehabilitasi jalan akses , Membangun fasilitas PLTA ± 1.3 MW untuk provinsi Sulawesi Utara</v>
      </c>
    </row>
    <row r="104" spans="1:43" ht="74.25" customHeight="1">
      <c r="A104" s="10">
        <f>DATA!A92</f>
        <v>74</v>
      </c>
      <c r="B104" s="10">
        <f>DATA!B92</f>
        <v>0</v>
      </c>
      <c r="C104" s="10" t="str">
        <f>DATA!D92</f>
        <v>INFRASTRUKTUR</v>
      </c>
      <c r="D104" s="10">
        <f>DATA!E92</f>
        <v>1</v>
      </c>
      <c r="E104" s="10" t="str">
        <f>DATA!F92</f>
        <v>Kementerian Pekerjaan Umum dan Perumahan Rakyat</v>
      </c>
      <c r="F104" s="10" t="str">
        <f>DATA!H92</f>
        <v>Dam Development Program</v>
      </c>
      <c r="G104" s="10" t="str">
        <f>DATA!I92</f>
        <v>J</v>
      </c>
      <c r="H104" s="10" t="str">
        <f>DATA!J92</f>
        <v xml:space="preserve">Program Pembangunan Waduk </v>
      </c>
      <c r="I104" s="10">
        <f>DATA!K92</f>
        <v>9</v>
      </c>
      <c r="J104" s="33"/>
      <c r="K104" s="34"/>
      <c r="L104" s="34"/>
      <c r="M104" s="36">
        <f>DATA!K92</f>
        <v>9</v>
      </c>
      <c r="N104" s="37" t="str">
        <f>DATA!L92</f>
        <v>Lompatan Harimau Dam Construction Project (Rokan Kiri Dam Construction Project)</v>
      </c>
      <c r="O104" s="20">
        <f>DATA!Q92</f>
        <v>1</v>
      </c>
      <c r="P104" s="20">
        <f>DATA!R92</f>
        <v>1</v>
      </c>
      <c r="Q104" s="20">
        <f>DATA!S92</f>
        <v>65</v>
      </c>
      <c r="R104" s="77">
        <f>DATA!T92</f>
        <v>152100000</v>
      </c>
      <c r="S104" s="88">
        <f>DATA!U92</f>
        <v>152100000</v>
      </c>
      <c r="T104" s="77">
        <f>DATA!V92</f>
        <v>26500000</v>
      </c>
      <c r="U104" s="77">
        <f>DATA!W92</f>
        <v>0</v>
      </c>
      <c r="V104" s="77">
        <f>DATA!X92</f>
        <v>178600000</v>
      </c>
      <c r="W104" s="78" t="str">
        <f>DATA!Y92</f>
        <v>RRT</v>
      </c>
      <c r="X104" s="20" t="str">
        <f>DATA!Z92</f>
        <v>Bilateral</v>
      </c>
      <c r="Y104" s="77">
        <f>DATA!AA92</f>
        <v>152100000</v>
      </c>
      <c r="Z104" s="77">
        <f>DATA!AG92</f>
        <v>0</v>
      </c>
      <c r="AA104" s="20">
        <f>DATA!AH92</f>
        <v>2018</v>
      </c>
      <c r="AB104" s="37" t="str">
        <f>DATA!AI92</f>
        <v>-</v>
      </c>
      <c r="AC104" s="152" t="str">
        <f>DATA!AR92</f>
        <v>belum ada dokumen R/C</v>
      </c>
      <c r="AD104" s="152" t="str">
        <f>DATA!AN92</f>
        <v>dalam proses
(memiliki FS)</v>
      </c>
      <c r="AE104" s="152" t="str">
        <f>DATA!AO92</f>
        <v>dalam proses
(perencanaan)</v>
      </c>
      <c r="AF104" s="37" t="str">
        <f>DATA!AJ92</f>
        <v>FS (2015), DED (2016), AMDAL (2016)</v>
      </c>
      <c r="AG104" s="37" t="str">
        <f>DATA!AK92</f>
        <v>LARAP (2015)</v>
      </c>
      <c r="AH104" s="37" t="str">
        <f>DATA!AL92</f>
        <v>-</v>
      </c>
      <c r="AI104" s="20" t="str">
        <f>DATA!AR92</f>
        <v>belum ada dokumen R/C</v>
      </c>
      <c r="AJ104" s="20" t="str">
        <f>DATA!AN92</f>
        <v>dalam proses
(memiliki FS)</v>
      </c>
      <c r="AK104" s="20" t="str">
        <f>DATA!AO92</f>
        <v>dalam proses
(perencanaan)</v>
      </c>
      <c r="AL104" s="20" t="str">
        <f>DATA!AP92</f>
        <v>belum ada proses tender/lelang</v>
      </c>
      <c r="AM104" s="20" t="str">
        <f>DATA!AY92</f>
        <v>- Konfirmasi melalui surat Sekjen nomor KU.01.12-Sj/636 tgl 23 Oktober 2015
- Nama kegiatan diusulkan untuk diubah menjadi Rokan Kiri Dam Construction Project</v>
      </c>
      <c r="AN104" s="20" t="e">
        <f>DATA!#REF!</f>
        <v>#REF!</v>
      </c>
      <c r="AO104" s="20">
        <f>DATA!AZ92</f>
        <v>0</v>
      </c>
      <c r="AP104" s="152" t="e">
        <f>DATA!#REF!</f>
        <v>#REF!</v>
      </c>
      <c r="AQ104" s="37" t="str">
        <f>DATA!BA92</f>
        <v>Membangun bendungan dan fasilitas pendukungnya untuk kebutuhan irigasi seluas 4000 Ha, Melakukan konservasi SDA, pelestarian lingkungan, dan pengendalian banjir dan Membangun fasilitas PLTA ± 74,40 MW untuk Kab.Rokan</v>
      </c>
    </row>
    <row r="105" spans="1:43" ht="106.5" customHeight="1">
      <c r="A105" s="10">
        <f>DATA!A93</f>
        <v>75</v>
      </c>
      <c r="B105" s="10">
        <f>DATA!B93</f>
        <v>0</v>
      </c>
      <c r="C105" s="10" t="str">
        <f>DATA!D93</f>
        <v>INFRASTRUKTUR</v>
      </c>
      <c r="D105" s="10">
        <f>DATA!E93</f>
        <v>1</v>
      </c>
      <c r="E105" s="10" t="str">
        <f>DATA!F93</f>
        <v>Kementerian Pekerjaan Umum dan Perumahan Rakyat</v>
      </c>
      <c r="F105" s="10" t="str">
        <f>DATA!H93</f>
        <v>Dam Development Program</v>
      </c>
      <c r="G105" s="10" t="str">
        <f>DATA!I93</f>
        <v>J</v>
      </c>
      <c r="H105" s="10" t="str">
        <f>DATA!J93</f>
        <v xml:space="preserve">Program Pembangunan Waduk </v>
      </c>
      <c r="I105" s="10">
        <f>DATA!K93</f>
        <v>10</v>
      </c>
      <c r="J105" s="33"/>
      <c r="K105" s="34"/>
      <c r="L105" s="34"/>
      <c r="M105" s="36">
        <f>DATA!K93</f>
        <v>10</v>
      </c>
      <c r="N105" s="37" t="str">
        <f>DATA!L93</f>
        <v>Engineering Service for Dam Multipurpose Development Project</v>
      </c>
      <c r="O105" s="20">
        <f>DATA!Q93</f>
        <v>0</v>
      </c>
      <c r="P105" s="20">
        <f>DATA!R93</f>
        <v>1</v>
      </c>
      <c r="Q105" s="20">
        <f>DATA!S93</f>
        <v>66</v>
      </c>
      <c r="R105" s="77">
        <f>DATA!T93</f>
        <v>100000000</v>
      </c>
      <c r="S105" s="88">
        <f>DATA!U93</f>
        <v>100000000</v>
      </c>
      <c r="T105" s="77">
        <f>DATA!V93</f>
        <v>0</v>
      </c>
      <c r="U105" s="77">
        <f>DATA!W93</f>
        <v>0</v>
      </c>
      <c r="V105" s="77">
        <f>DATA!X93</f>
        <v>100000000</v>
      </c>
      <c r="W105" s="77">
        <f>DATA!Y93</f>
        <v>0</v>
      </c>
      <c r="X105" s="77">
        <f>DATA!Z93</f>
        <v>0</v>
      </c>
      <c r="Y105" s="77">
        <f>DATA!AA93</f>
        <v>100000000</v>
      </c>
      <c r="Z105" s="77">
        <f>DATA!AG93</f>
        <v>-76391404</v>
      </c>
      <c r="AA105" s="77" t="str">
        <f>DATA!AH93</f>
        <v>-</v>
      </c>
      <c r="AB105" s="77">
        <f>DATA!AI93</f>
        <v>0</v>
      </c>
      <c r="AC105" s="152" t="str">
        <f>DATA!AM93</f>
        <v>-</v>
      </c>
      <c r="AD105" s="152" t="str">
        <f>DATA!AN93</f>
        <v>-</v>
      </c>
      <c r="AE105" s="152" t="str">
        <f>DATA!AO93</f>
        <v>-</v>
      </c>
      <c r="AF105" s="77">
        <f>DATA!AJ93</f>
        <v>0</v>
      </c>
      <c r="AG105" s="77">
        <f>DATA!AK93</f>
        <v>0</v>
      </c>
      <c r="AH105" s="77">
        <f>DATA!AL93</f>
        <v>0</v>
      </c>
      <c r="AI105" s="77" t="str">
        <f>DATA!AM93</f>
        <v>-</v>
      </c>
      <c r="AJ105" s="104" t="str">
        <f>DATA!AN93</f>
        <v>-</v>
      </c>
      <c r="AK105" s="104" t="str">
        <f>DATA!AO93</f>
        <v>-</v>
      </c>
      <c r="AL105" s="104">
        <f>DATA!AP93</f>
        <v>0</v>
      </c>
      <c r="AM105" s="20" t="str">
        <f>DATA!AY93</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105" s="20" t="e">
        <f>DATA!#REF!</f>
        <v>#REF!</v>
      </c>
      <c r="AO105" s="20">
        <f>DATA!AZ93</f>
        <v>0</v>
      </c>
      <c r="AP105" s="152" t="e">
        <f>DATA!#REF!</f>
        <v>#REF!</v>
      </c>
      <c r="AQ105" s="37" t="str">
        <f>DATA!BA93</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6" spans="1:43" s="6" customFormat="1" ht="106.5" customHeight="1">
      <c r="J106" s="38"/>
      <c r="K106" s="39"/>
      <c r="L106" s="39"/>
      <c r="M106" s="72"/>
      <c r="N106" s="67" t="str">
        <f>DATA!L94</f>
        <v>Engineering Service for Dam Multipurpose Development Project</v>
      </c>
      <c r="O106" s="42">
        <f>DATA!Q94</f>
        <v>0.33333333333333298</v>
      </c>
      <c r="P106" s="42">
        <f>DATA!R94</f>
        <v>0</v>
      </c>
      <c r="Q106" s="42">
        <f>DATA!S94</f>
        <v>66</v>
      </c>
      <c r="R106" s="83">
        <f>DATA!T94</f>
        <v>0</v>
      </c>
      <c r="S106" s="88">
        <f>DATA!U94</f>
        <v>0</v>
      </c>
      <c r="T106" s="83">
        <f>DATA!V94</f>
        <v>0</v>
      </c>
      <c r="U106" s="83">
        <f>DATA!W94</f>
        <v>0</v>
      </c>
      <c r="V106" s="83">
        <f>DATA!X94</f>
        <v>0</v>
      </c>
      <c r="W106" s="84" t="str">
        <f>DATA!Y94</f>
        <v>ADB</v>
      </c>
      <c r="X106" s="42" t="str">
        <f>DATA!Z94</f>
        <v>Multilateral</v>
      </c>
      <c r="Y106" s="83">
        <f>DATA!AA94</f>
        <v>1930000</v>
      </c>
      <c r="Z106" s="83">
        <f>DATA!AG94</f>
        <v>0</v>
      </c>
      <c r="AA106" s="42">
        <f>DATA!AH94</f>
        <v>2016</v>
      </c>
      <c r="AB106" s="67" t="str">
        <f>DATA!AI94</f>
        <v>- Sudah ada RC
- Green Book 2015</v>
      </c>
      <c r="AC106" s="152" t="str">
        <f>DATA!AM94</f>
        <v>2016; 2015</v>
      </c>
      <c r="AD106" s="152" t="str">
        <f>DATA!AN94</f>
        <v>siap</v>
      </c>
      <c r="AE106" s="152" t="str">
        <f>DATA!AO94</f>
        <v>tidak butuh lahan</v>
      </c>
      <c r="AF106" s="67" t="str">
        <f>DATA!AJ94</f>
        <v>FS, DED</v>
      </c>
      <c r="AG106" s="67" t="str">
        <f>DATA!AK94</f>
        <v>Tidak membutuhkan lahan</v>
      </c>
      <c r="AH106" s="67" t="str">
        <f>DATA!AL94</f>
        <v>Belum ada tender/lelang</v>
      </c>
      <c r="AI106" s="42" t="str">
        <f>DATA!AM94</f>
        <v>2016; 2015</v>
      </c>
      <c r="AJ106" s="42" t="str">
        <f>DATA!AN94</f>
        <v>siap</v>
      </c>
      <c r="AK106" s="42" t="str">
        <f>DATA!AO94</f>
        <v>tidak butuh lahan</v>
      </c>
      <c r="AL106" s="42" t="str">
        <f>DATA!AP94</f>
        <v>belum ada proses tender/lelang</v>
      </c>
      <c r="AM106" s="42"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106" s="42" t="e">
        <f>DATA!#REF!</f>
        <v>#REF!</v>
      </c>
      <c r="AO106" s="42">
        <f>DATA!AZ94</f>
        <v>0</v>
      </c>
      <c r="AP106" s="152" t="e">
        <f>DATA!#REF!</f>
        <v>#REF!</v>
      </c>
      <c r="AQ106" s="67"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7" spans="1:43" s="6" customFormat="1" ht="106.5" customHeight="1">
      <c r="J107" s="38"/>
      <c r="K107" s="39"/>
      <c r="L107" s="39"/>
      <c r="M107" s="72"/>
      <c r="N107" s="67" t="str">
        <f>DATA!L95</f>
        <v>Engineering Service for Dam Multipurpose Development Project</v>
      </c>
      <c r="O107" s="42">
        <f>DATA!Q95</f>
        <v>0.33333333333333298</v>
      </c>
      <c r="P107" s="42">
        <f>DATA!R95</f>
        <v>0</v>
      </c>
      <c r="Q107" s="42">
        <f>DATA!S95</f>
        <v>66</v>
      </c>
      <c r="R107" s="83">
        <f>DATA!T95</f>
        <v>0</v>
      </c>
      <c r="S107" s="88">
        <f>DATA!U95</f>
        <v>0</v>
      </c>
      <c r="T107" s="83">
        <f>DATA!V95</f>
        <v>0</v>
      </c>
      <c r="U107" s="83">
        <f>DATA!W95</f>
        <v>0</v>
      </c>
      <c r="V107" s="83">
        <f>DATA!X95</f>
        <v>0</v>
      </c>
      <c r="W107" s="84" t="str">
        <f>DATA!Y95</f>
        <v>Korea</v>
      </c>
      <c r="X107" s="42" t="str">
        <f>DATA!Z95</f>
        <v>Bilateral</v>
      </c>
      <c r="Y107" s="83">
        <f>DATA!AA95</f>
        <v>21678596</v>
      </c>
      <c r="Z107" s="83">
        <f>DATA!AG95</f>
        <v>0</v>
      </c>
      <c r="AA107" s="42">
        <f>DATA!AH95</f>
        <v>2016</v>
      </c>
      <c r="AB107" s="67" t="str">
        <f>DATA!AI95</f>
        <v>- Sudah ada RC
- Diusulkan GB 2016</v>
      </c>
      <c r="AC107" s="152">
        <f>DATA!AM95</f>
        <v>2016</v>
      </c>
      <c r="AD107" s="152" t="str">
        <f>DATA!AN95</f>
        <v>siap</v>
      </c>
      <c r="AE107" s="152" t="str">
        <f>DATA!AO95</f>
        <v>tidak butuh lahan</v>
      </c>
      <c r="AF107" s="67" t="str">
        <f>DATA!AJ95</f>
        <v>FS, DED</v>
      </c>
      <c r="AG107" s="67" t="str">
        <f>DATA!AK95</f>
        <v>Tidak membutuhkan lahan</v>
      </c>
      <c r="AH107" s="67" t="str">
        <f>DATA!AL95</f>
        <v>Belum ada tender/lelang</v>
      </c>
      <c r="AI107" s="42">
        <f>DATA!AM95</f>
        <v>2016</v>
      </c>
      <c r="AJ107" s="42" t="str">
        <f>DATA!AN95</f>
        <v>siap</v>
      </c>
      <c r="AK107" s="42" t="str">
        <f>DATA!AO95</f>
        <v>tidak butuh lahan</v>
      </c>
      <c r="AL107" s="42" t="str">
        <f>DATA!AP95</f>
        <v>belum ada proses tender/lelang</v>
      </c>
      <c r="AM107" s="42"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107" s="42" t="e">
        <f>DATA!#REF!</f>
        <v>#REF!</v>
      </c>
      <c r="AO107" s="42">
        <f>DATA!AZ95</f>
        <v>0</v>
      </c>
      <c r="AP107" s="152" t="e">
        <f>DATA!#REF!</f>
        <v>#REF!</v>
      </c>
      <c r="AQ107" s="67"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8" spans="1:43" s="6" customFormat="1" ht="106.5" customHeight="1">
      <c r="J108" s="38"/>
      <c r="K108" s="39"/>
      <c r="L108" s="39"/>
      <c r="M108" s="72"/>
      <c r="N108" s="67" t="str">
        <f>DATA!L96</f>
        <v>Engineering Service for Dam Multipurpose Development Project</v>
      </c>
      <c r="O108" s="42">
        <f>DATA!Q96</f>
        <v>0.33333333333333298</v>
      </c>
      <c r="P108" s="42">
        <f>DATA!R96</f>
        <v>0</v>
      </c>
      <c r="Q108" s="42">
        <f>DATA!S96</f>
        <v>66</v>
      </c>
      <c r="R108" s="83">
        <f>DATA!T96</f>
        <v>0</v>
      </c>
      <c r="S108" s="88">
        <f>DATA!U96</f>
        <v>0</v>
      </c>
      <c r="T108" s="83">
        <f>DATA!V96</f>
        <v>0</v>
      </c>
      <c r="U108" s="83">
        <f>DATA!W96</f>
        <v>0</v>
      </c>
      <c r="V108" s="83">
        <f>DATA!X96</f>
        <v>0</v>
      </c>
      <c r="W108" s="84" t="str">
        <f>DATA!Y96</f>
        <v>Belum Ada Indikasi</v>
      </c>
      <c r="X108" s="42" t="str">
        <f>DATA!Z96</f>
        <v>Belum Ada Indikasi</v>
      </c>
      <c r="Y108" s="83">
        <f>DATA!AA96</f>
        <v>76391404</v>
      </c>
      <c r="Z108" s="83">
        <f>DATA!AG96</f>
        <v>-76391404</v>
      </c>
      <c r="AA108" s="42" t="str">
        <f>DATA!AH96</f>
        <v>Tanpa keterangan</v>
      </c>
      <c r="AB108" s="67" t="str">
        <f>DATA!AI96</f>
        <v>-</v>
      </c>
      <c r="AC108" s="152">
        <f>DATA!AM96</f>
        <v>0</v>
      </c>
      <c r="AD108" s="152" t="str">
        <f>DATA!AN96</f>
        <v>belum ada keterangan</v>
      </c>
      <c r="AE108" s="152" t="str">
        <f>DATA!AO96</f>
        <v>belum ada keterangan</v>
      </c>
      <c r="AF108" s="67" t="str">
        <f>DATA!AJ96</f>
        <v>-</v>
      </c>
      <c r="AG108" s="67" t="str">
        <f>DATA!AK96</f>
        <v>-</v>
      </c>
      <c r="AH108" s="67" t="str">
        <f>DATA!AL96</f>
        <v>-</v>
      </c>
      <c r="AI108" s="42"/>
      <c r="AJ108" s="42"/>
      <c r="AK108" s="42"/>
      <c r="AL108" s="42"/>
      <c r="AM108" s="42"/>
      <c r="AN108" s="42"/>
      <c r="AO108" s="42"/>
      <c r="AP108" s="152" t="e">
        <f>DATA!#REF!</f>
        <v>#REF!</v>
      </c>
      <c r="AQ108" s="67"/>
    </row>
    <row r="109" spans="1:43" ht="63.75">
      <c r="A109" s="10">
        <f>DATA!A97</f>
        <v>76</v>
      </c>
      <c r="B109" s="10">
        <f>DATA!B97</f>
        <v>0</v>
      </c>
      <c r="C109" s="10" t="str">
        <f>DATA!D97</f>
        <v>INFRASTRUKTUR</v>
      </c>
      <c r="D109" s="10">
        <f>DATA!E97</f>
        <v>1</v>
      </c>
      <c r="E109" s="10" t="str">
        <f>DATA!F97</f>
        <v>Kementerian Pekerjaan Umum dan Perumahan Rakyat</v>
      </c>
      <c r="F109" s="10" t="str">
        <f>DATA!H97</f>
        <v>Dam Development Program</v>
      </c>
      <c r="G109" s="10" t="str">
        <f>DATA!I97</f>
        <v>J</v>
      </c>
      <c r="H109" s="10" t="str">
        <f>DATA!J97</f>
        <v xml:space="preserve">Program Pembangunan Waduk </v>
      </c>
      <c r="I109" s="10">
        <f>DATA!K97</f>
        <v>11</v>
      </c>
      <c r="J109" s="33"/>
      <c r="K109" s="34"/>
      <c r="L109" s="54"/>
      <c r="M109" s="36">
        <f>DATA!K97</f>
        <v>11</v>
      </c>
      <c r="N109" s="37" t="str">
        <f>DATA!L97</f>
        <v>Additional Loan for Jatigede Dam Project 2</v>
      </c>
      <c r="O109" s="20">
        <f>DATA!Q97</f>
        <v>1</v>
      </c>
      <c r="P109" s="20">
        <f>DATA!R97</f>
        <v>1</v>
      </c>
      <c r="Q109" s="20">
        <f>DATA!S97</f>
        <v>67</v>
      </c>
      <c r="R109" s="77">
        <f>DATA!T97</f>
        <v>53200000</v>
      </c>
      <c r="S109" s="88">
        <f>DATA!U97</f>
        <v>53200000</v>
      </c>
      <c r="T109" s="77">
        <f>DATA!V97</f>
        <v>0</v>
      </c>
      <c r="U109" s="77">
        <f>DATA!W97</f>
        <v>0</v>
      </c>
      <c r="V109" s="77">
        <f>DATA!X97</f>
        <v>53200000</v>
      </c>
      <c r="W109" s="78" t="str">
        <f>DATA!Y97</f>
        <v>RRT</v>
      </c>
      <c r="X109" s="20" t="str">
        <f>DATA!Z97</f>
        <v>Bilateral</v>
      </c>
      <c r="Y109" s="77">
        <f>DATA!AA97</f>
        <v>53200000</v>
      </c>
      <c r="Z109" s="77">
        <f>DATA!AG97</f>
        <v>0</v>
      </c>
      <c r="AA109" s="20">
        <f>DATA!AH97</f>
        <v>2016</v>
      </c>
      <c r="AB109" s="37" t="str">
        <f>DATA!AI97</f>
        <v>- Sudah ada RC
- Green Book 2015</v>
      </c>
      <c r="AC109" s="152" t="str">
        <f>DATA!AR97</f>
        <v>-</v>
      </c>
      <c r="AD109" s="152" t="str">
        <f>DATA!AN97</f>
        <v>dalam proses
(memiliki FS dan DED)</v>
      </c>
      <c r="AE109" s="152" t="str">
        <f>DATA!AO97</f>
        <v>dalam proses
(persiapan)</v>
      </c>
      <c r="AF109" s="37" t="str">
        <f>DATA!AJ97</f>
        <v>FS, DED, persiapan impounding 2015</v>
      </c>
      <c r="AG109" s="37" t="str">
        <f>DATA!AK97</f>
        <v>- Proses perijinan penggunaan lahan dari Bupati dan Kemenhut
- Proses administrasi kependudukan</v>
      </c>
      <c r="AH109" s="37" t="str">
        <f>DATA!AL97</f>
        <v>Belum ada tender/lelang</v>
      </c>
      <c r="AI109" s="20" t="str">
        <f>DATA!AR97</f>
        <v>-</v>
      </c>
      <c r="AJ109" s="20" t="str">
        <f>DATA!AN97</f>
        <v>dalam proses
(memiliki FS dan DED)</v>
      </c>
      <c r="AK109" s="20" t="str">
        <f>DATA!AO97</f>
        <v>dalam proses
(persiapan)</v>
      </c>
      <c r="AL109" s="20" t="str">
        <f>DATA!AP97</f>
        <v>belum ada proses tender/lelang</v>
      </c>
      <c r="AM109" s="20" t="str">
        <f>DATA!AY97</f>
        <v>Konfirmasi melalui surat Sekjen nomor KU.01.12-Sj/636 tgl 23 Oktober 2015</v>
      </c>
      <c r="AN109" s="20" t="e">
        <f>DATA!#REF!</f>
        <v>#REF!</v>
      </c>
      <c r="AO109" s="20">
        <f>DATA!AZ97</f>
        <v>0</v>
      </c>
      <c r="AP109" s="152" t="e">
        <f>DATA!#REF!</f>
        <v>#REF!</v>
      </c>
      <c r="AQ109" s="37" t="str">
        <f>DATA!BA97</f>
        <v>Menyediakan air untuk keperluan irigasi sebesar 59,63 m3/dt dan membangun infrastruktur untuk PLTA 110 MW.</v>
      </c>
    </row>
    <row r="110" spans="1:43" s="5" customFormat="1" ht="33.75" customHeight="1">
      <c r="J110" s="28"/>
      <c r="K110" s="50"/>
      <c r="L110" s="30" t="str">
        <f>DATA!I98</f>
        <v>K</v>
      </c>
      <c r="M110" s="31" t="str">
        <f>DATA!J98</f>
        <v>Program Mitigasi Terhadap Daya Rusak Air</v>
      </c>
      <c r="N110" s="51"/>
      <c r="O110" s="31"/>
      <c r="P110" s="31"/>
      <c r="Q110" s="31"/>
      <c r="R110" s="81">
        <f>+R111+R112+R113+R114+R115+R116+R117</f>
        <v>1152636000</v>
      </c>
      <c r="S110" s="81">
        <f>+S111+S112+S113+S114+S115+S116+S117</f>
        <v>1152636000</v>
      </c>
      <c r="T110" s="81">
        <f t="shared" ref="T110:Z110" si="6">+T111+T112+T113+T114+T115+T116+T117</f>
        <v>149840000</v>
      </c>
      <c r="U110" s="81">
        <f t="shared" si="6"/>
        <v>0</v>
      </c>
      <c r="V110" s="81">
        <f t="shared" si="6"/>
        <v>1302476000</v>
      </c>
      <c r="W110" s="81"/>
      <c r="X110" s="81" t="e">
        <f t="shared" si="6"/>
        <v>#VALUE!</v>
      </c>
      <c r="Y110" s="81">
        <f t="shared" si="6"/>
        <v>1112256000</v>
      </c>
      <c r="Z110" s="81">
        <f t="shared" si="6"/>
        <v>0</v>
      </c>
      <c r="AA110" s="31"/>
      <c r="AB110" s="32"/>
      <c r="AC110" s="32"/>
      <c r="AD110" s="32"/>
      <c r="AE110" s="32"/>
      <c r="AF110" s="32"/>
      <c r="AG110" s="32"/>
      <c r="AH110" s="32"/>
      <c r="AI110" s="31"/>
      <c r="AJ110" s="31"/>
      <c r="AK110" s="31"/>
      <c r="AL110" s="31"/>
      <c r="AM110" s="31"/>
      <c r="AN110" s="31"/>
      <c r="AO110" s="31"/>
      <c r="AP110" s="32"/>
      <c r="AQ110" s="32"/>
    </row>
    <row r="111" spans="1:43" ht="51" customHeight="1">
      <c r="A111" s="10">
        <f>DATA!A98</f>
        <v>77</v>
      </c>
      <c r="B111" s="10">
        <f>DATA!B98</f>
        <v>0</v>
      </c>
      <c r="C111" s="10" t="str">
        <f>DATA!D98</f>
        <v>INFRASTRUKTUR</v>
      </c>
      <c r="D111" s="10">
        <f>DATA!E98</f>
        <v>1</v>
      </c>
      <c r="E111" s="10" t="str">
        <f>DATA!F98</f>
        <v>Kementerian Pekerjaan Umum dan Perumahan Rakyat</v>
      </c>
      <c r="F111" s="10" t="str">
        <f>DATA!H98</f>
        <v>Mitigation of Water Hazards Program</v>
      </c>
      <c r="G111" s="10" t="str">
        <f>DATA!I98</f>
        <v>K</v>
      </c>
      <c r="H111" s="10" t="str">
        <f>DATA!J98</f>
        <v>Program Mitigasi Terhadap Daya Rusak Air</v>
      </c>
      <c r="I111" s="10">
        <f>DATA!K98</f>
        <v>1</v>
      </c>
      <c r="J111" s="33"/>
      <c r="K111" s="34"/>
      <c r="L111" s="35"/>
      <c r="M111" s="36">
        <f>DATA!K98</f>
        <v>1</v>
      </c>
      <c r="N111" s="37" t="str">
        <f>DATA!L98</f>
        <v>Lower Solo River Improvement Project - Phase II</v>
      </c>
      <c r="O111" s="20">
        <f>DATA!Q98</f>
        <v>1</v>
      </c>
      <c r="P111" s="20">
        <f>DATA!R98</f>
        <v>1</v>
      </c>
      <c r="Q111" s="20">
        <f>DATA!S98</f>
        <v>68</v>
      </c>
      <c r="R111" s="77">
        <f>DATA!T98</f>
        <v>155836000</v>
      </c>
      <c r="S111" s="88">
        <f>DATA!U98</f>
        <v>155836000</v>
      </c>
      <c r="T111" s="77">
        <f>DATA!V98</f>
        <v>22500000</v>
      </c>
      <c r="U111" s="77">
        <f>DATA!W98</f>
        <v>0</v>
      </c>
      <c r="V111" s="77">
        <f>DATA!X98</f>
        <v>178336000</v>
      </c>
      <c r="W111" s="78" t="str">
        <f>DATA!Y98</f>
        <v>JICA</v>
      </c>
      <c r="X111" s="20" t="str">
        <f>DATA!Z98</f>
        <v>Bilateral</v>
      </c>
      <c r="Y111" s="77">
        <f>DATA!AA98</f>
        <v>155836000</v>
      </c>
      <c r="Z111" s="77">
        <f>DATA!AG98</f>
        <v>0</v>
      </c>
      <c r="AA111" s="20">
        <f>DATA!AH98</f>
        <v>2018</v>
      </c>
      <c r="AB111" s="37" t="str">
        <f>DATA!AI98</f>
        <v>-</v>
      </c>
      <c r="AC111" s="152" t="str">
        <f>DATA!AR98</f>
        <v>belum ada dokumen R/C</v>
      </c>
      <c r="AD111" s="152" t="str">
        <f>DATA!AN98</f>
        <v>siap</v>
      </c>
      <c r="AE111" s="152" t="str">
        <f>DATA!AO98</f>
        <v>dalam proses
(perencanaan)</v>
      </c>
      <c r="AF111" s="37" t="str">
        <f>DATA!AJ98</f>
        <v>FS, DED, AMDAL</v>
      </c>
      <c r="AG111" s="37" t="str">
        <f>DATA!AK98</f>
        <v>LARAP</v>
      </c>
      <c r="AH111" s="37" t="str">
        <f>DATA!AL98</f>
        <v>-</v>
      </c>
      <c r="AI111" s="20" t="str">
        <f>DATA!AR98</f>
        <v>belum ada dokumen R/C</v>
      </c>
      <c r="AJ111" s="20" t="str">
        <f>DATA!AN98</f>
        <v>siap</v>
      </c>
      <c r="AK111" s="20" t="str">
        <f>DATA!AO98</f>
        <v>dalam proses
(perencanaan)</v>
      </c>
      <c r="AL111" s="20" t="str">
        <f>DATA!AP98</f>
        <v>belum ada proses tender/lelang</v>
      </c>
      <c r="AM111" s="20" t="str">
        <f>DATA!AY98</f>
        <v>Konfirmasi melalui surat Sekjen nomor KU.01.12-Sj/636 tgl 23 Oktober 2015</v>
      </c>
      <c r="AN111" s="20" t="e">
        <f>DATA!#REF!</f>
        <v>#REF!</v>
      </c>
      <c r="AO111" s="20">
        <f>DATA!AZ98</f>
        <v>0</v>
      </c>
      <c r="AP111" s="152" t="e">
        <f>DATA!#REF!</f>
        <v>#REF!</v>
      </c>
      <c r="AQ111" s="37" t="str">
        <f>DATA!BA98</f>
        <v>Pekerjaan konstruksi dan supervisi pelaksanaan tanggul, parapet wall, pelindung tebing, sluiceway, jembatan, alur sudetan dan bangunan sungai lainnya</v>
      </c>
    </row>
    <row r="112" spans="1:43" ht="72.75" customHeight="1">
      <c r="A112" s="10">
        <f>DATA!A99</f>
        <v>78</v>
      </c>
      <c r="B112" s="10">
        <f>DATA!B99</f>
        <v>0</v>
      </c>
      <c r="C112" s="10" t="str">
        <f>DATA!D99</f>
        <v>INFRASTRUKTUR</v>
      </c>
      <c r="D112" s="10">
        <f>DATA!E99</f>
        <v>1</v>
      </c>
      <c r="E112" s="10" t="str">
        <f>DATA!F99</f>
        <v>Kementerian Pekerjaan Umum dan Perumahan Rakyat</v>
      </c>
      <c r="F112" s="10" t="str">
        <f>DATA!H99</f>
        <v>Mitigation of Water Hazards Program</v>
      </c>
      <c r="G112" s="10" t="str">
        <f>DATA!I99</f>
        <v>K</v>
      </c>
      <c r="H112" s="10" t="str">
        <f>DATA!J99</f>
        <v>Program Mitigasi Terhadap Daya Rusak Air</v>
      </c>
      <c r="I112" s="10">
        <f>DATA!K99</f>
        <v>2</v>
      </c>
      <c r="J112" s="33"/>
      <c r="K112" s="34"/>
      <c r="L112" s="34"/>
      <c r="M112" s="36">
        <f>DATA!K99</f>
        <v>2</v>
      </c>
      <c r="N112" s="37" t="str">
        <f>DATA!L99</f>
        <v>Comprehensive Countermeasure for Sediment &amp; Flood Problems in South Sulawesi Province</v>
      </c>
      <c r="O112" s="20">
        <f>DATA!Q99</f>
        <v>1</v>
      </c>
      <c r="P112" s="20">
        <f>DATA!R99</f>
        <v>1</v>
      </c>
      <c r="Q112" s="20">
        <f>DATA!S99</f>
        <v>69</v>
      </c>
      <c r="R112" s="77">
        <f>DATA!T99</f>
        <v>108100000</v>
      </c>
      <c r="S112" s="88">
        <f>DATA!U99</f>
        <v>108100000</v>
      </c>
      <c r="T112" s="77">
        <f>DATA!V99</f>
        <v>3900000</v>
      </c>
      <c r="U112" s="77">
        <f>DATA!W99</f>
        <v>0</v>
      </c>
      <c r="V112" s="77">
        <f>DATA!X99</f>
        <v>112000000</v>
      </c>
      <c r="W112" s="78" t="str">
        <f>DATA!Y99</f>
        <v>JICA</v>
      </c>
      <c r="X112" s="20" t="str">
        <f>DATA!Z99</f>
        <v>Bilateral</v>
      </c>
      <c r="Y112" s="77">
        <f>DATA!AA99</f>
        <v>108100000</v>
      </c>
      <c r="Z112" s="77">
        <f>DATA!AG99</f>
        <v>0</v>
      </c>
      <c r="AA112" s="20">
        <f>DATA!AH99</f>
        <v>2018</v>
      </c>
      <c r="AB112" s="37" t="str">
        <f>DATA!AI99</f>
        <v>-</v>
      </c>
      <c r="AC112" s="152" t="str">
        <f>DATA!AR99</f>
        <v>belum ada dokumen R/C</v>
      </c>
      <c r="AD112" s="152" t="str">
        <f>DATA!AN99</f>
        <v>dalam proses
(memiliki FS dan DED)</v>
      </c>
      <c r="AE112" s="152" t="str">
        <f>DATA!AO99</f>
        <v>belum ada keterangan</v>
      </c>
      <c r="AF112" s="37" t="str">
        <f>DATA!AJ99</f>
        <v>FS, DED</v>
      </c>
      <c r="AG112" s="37" t="str">
        <f>DATA!AK99</f>
        <v>-</v>
      </c>
      <c r="AH112" s="37" t="str">
        <f>DATA!AL99</f>
        <v>-</v>
      </c>
      <c r="AI112" s="20" t="str">
        <f>DATA!AR99</f>
        <v>belum ada dokumen R/C</v>
      </c>
      <c r="AJ112" s="20" t="str">
        <f>DATA!AN99</f>
        <v>dalam proses
(memiliki FS dan DED)</v>
      </c>
      <c r="AK112" s="20" t="str">
        <f>DATA!AO99</f>
        <v>belum ada keterangan</v>
      </c>
      <c r="AL112" s="20" t="str">
        <f>DATA!AP99</f>
        <v>belum ada proses tender/lelang</v>
      </c>
      <c r="AM112" s="20" t="str">
        <f>DATA!AY99</f>
        <v>Konfirmasi melalui surat Sekjen nomor KU.01.12-Sj/636 tgl 23 Oktober 2015</v>
      </c>
      <c r="AN112" s="20" t="e">
        <f>DATA!#REF!</f>
        <v>#REF!</v>
      </c>
      <c r="AO112" s="20">
        <f>DATA!AZ99</f>
        <v>0</v>
      </c>
      <c r="AP112" s="152" t="e">
        <f>DATA!#REF!</f>
        <v>#REF!</v>
      </c>
      <c r="AQ112" s="37" t="str">
        <f>DATA!BA99</f>
        <v>Rehabilitasi intake waduk bili-bili (1 buah), konstruksi giant sand trap facility (1 buah) di ujung waduk bili-bili dan konstruksi bangunan pengendali sedimen di luar kaldera untuk antisipasi potensi runtuhan lanjutan Bawakaraeng</v>
      </c>
    </row>
    <row r="113" spans="1:43" ht="38.25">
      <c r="A113" s="10">
        <f>DATA!A100</f>
        <v>79</v>
      </c>
      <c r="B113" s="10">
        <f>DATA!B100</f>
        <v>0</v>
      </c>
      <c r="C113" s="10" t="str">
        <f>DATA!D100</f>
        <v>INFRASTRUKTUR</v>
      </c>
      <c r="D113" s="10">
        <f>DATA!E100</f>
        <v>1</v>
      </c>
      <c r="E113" s="10" t="str">
        <f>DATA!F100</f>
        <v>Kementerian Pekerjaan Umum dan Perumahan Rakyat</v>
      </c>
      <c r="F113" s="10" t="str">
        <f>DATA!H100</f>
        <v>Mitigation of Water Hazards Program</v>
      </c>
      <c r="G113" s="10" t="str">
        <f>DATA!I100</f>
        <v>K</v>
      </c>
      <c r="H113" s="10" t="str">
        <f>DATA!J100</f>
        <v>Program Mitigasi Terhadap Daya Rusak Air</v>
      </c>
      <c r="I113" s="10">
        <f>DATA!K100</f>
        <v>3</v>
      </c>
      <c r="J113" s="33"/>
      <c r="K113" s="34"/>
      <c r="L113" s="34"/>
      <c r="M113" s="36">
        <f>DATA!K100</f>
        <v>3</v>
      </c>
      <c r="N113" s="37" t="str">
        <f>DATA!L100</f>
        <v>Bali Beach Conservation Project - Phase II</v>
      </c>
      <c r="O113" s="20">
        <f>DATA!Q100</f>
        <v>1</v>
      </c>
      <c r="P113" s="20">
        <f>DATA!R100</f>
        <v>1</v>
      </c>
      <c r="Q113" s="20">
        <f>DATA!S100</f>
        <v>70</v>
      </c>
      <c r="R113" s="77">
        <f>DATA!T100</f>
        <v>150000000</v>
      </c>
      <c r="S113" s="88">
        <f>DATA!U100</f>
        <v>150000000</v>
      </c>
      <c r="T113" s="77">
        <f>DATA!V100</f>
        <v>15000000</v>
      </c>
      <c r="U113" s="77">
        <f>DATA!W100</f>
        <v>0</v>
      </c>
      <c r="V113" s="77">
        <f>DATA!X100</f>
        <v>165000000</v>
      </c>
      <c r="W113" s="78" t="str">
        <f>DATA!Y100</f>
        <v>JICA</v>
      </c>
      <c r="X113" s="20" t="str">
        <f>DATA!Z100</f>
        <v>Bilateral</v>
      </c>
      <c r="Y113" s="77">
        <f>DATA!AA100</f>
        <v>150000000</v>
      </c>
      <c r="Z113" s="77">
        <f>DATA!AG100</f>
        <v>0</v>
      </c>
      <c r="AA113" s="20">
        <f>DATA!AH100</f>
        <v>2017</v>
      </c>
      <c r="AB113" s="37" t="str">
        <f>DATA!AI100</f>
        <v>-</v>
      </c>
      <c r="AC113" s="152" t="str">
        <f>DATA!AR100</f>
        <v>Nilai pinjaman di GB USD 90.247 ribu</v>
      </c>
      <c r="AD113" s="152" t="str">
        <f>DATA!AN100</f>
        <v>dalam proses
(memiliki FS)</v>
      </c>
      <c r="AE113" s="152" t="str">
        <f>DATA!AO100</f>
        <v>belum ada keterangan</v>
      </c>
      <c r="AF113" s="37" t="str">
        <f>DATA!AJ100</f>
        <v>FS</v>
      </c>
      <c r="AG113" s="37" t="str">
        <f>DATA!AK100</f>
        <v>-</v>
      </c>
      <c r="AH113" s="37" t="str">
        <f>DATA!AL100</f>
        <v>-</v>
      </c>
      <c r="AI113" s="20" t="str">
        <f>DATA!AR100</f>
        <v>Nilai pinjaman di GB USD 90.247 ribu</v>
      </c>
      <c r="AJ113" s="20" t="str">
        <f>DATA!AN100</f>
        <v>dalam proses
(memiliki FS)</v>
      </c>
      <c r="AK113" s="20" t="str">
        <f>DATA!AO100</f>
        <v>belum ada keterangan</v>
      </c>
      <c r="AL113" s="20" t="str">
        <f>DATA!AP100</f>
        <v>belum ada proses tender/lelang</v>
      </c>
      <c r="AM113" s="20" t="str">
        <f>DATA!AY100</f>
        <v>- Konfirmasi melalui surat Sekjen nomor KU.01.12-Sj/636 tgl 23 Oktober 2015
- MoD Fact Finding belum dapat ditandatangani dan ditentukan kemudian</v>
      </c>
      <c r="AN113" s="20" t="e">
        <f>DATA!#REF!</f>
        <v>#REF!</v>
      </c>
      <c r="AO113" s="20">
        <f>DATA!AZ100</f>
        <v>0</v>
      </c>
      <c r="AP113" s="152" t="e">
        <f>DATA!#REF!</f>
        <v>#REF!</v>
      </c>
      <c r="AQ113" s="37" t="str">
        <f>DATA!BA100</f>
        <v>Pengamanan dan konservasi pantai timur bali (sanur utara ~ candidasa) dan Pantai Kuta Utara – Legian – Seminyak dan Canggu</v>
      </c>
    </row>
    <row r="114" spans="1:43" ht="33" customHeight="1">
      <c r="A114" s="10">
        <f>DATA!A101</f>
        <v>80</v>
      </c>
      <c r="B114" s="10">
        <f>DATA!B101</f>
        <v>0</v>
      </c>
      <c r="C114" s="10" t="str">
        <f>DATA!D101</f>
        <v>INFRASTRUKTUR</v>
      </c>
      <c r="D114" s="10">
        <f>DATA!E101</f>
        <v>1</v>
      </c>
      <c r="E114" s="10" t="str">
        <f>DATA!F101</f>
        <v>Kementerian Pekerjaan Umum dan Perumahan Rakyat</v>
      </c>
      <c r="F114" s="10" t="str">
        <f>DATA!H101</f>
        <v>Mitigation of Water Hazards Program</v>
      </c>
      <c r="G114" s="10" t="str">
        <f>DATA!I101</f>
        <v>K</v>
      </c>
      <c r="H114" s="10" t="str">
        <f>DATA!J101</f>
        <v>Program Mitigasi Terhadap Daya Rusak Air</v>
      </c>
      <c r="I114" s="10">
        <f>DATA!K101</f>
        <v>4</v>
      </c>
      <c r="J114" s="33"/>
      <c r="K114" s="34"/>
      <c r="L114" s="34"/>
      <c r="M114" s="36">
        <f>DATA!K101</f>
        <v>4</v>
      </c>
      <c r="N114" s="37" t="str">
        <f>DATA!L101</f>
        <v xml:space="preserve">Urgent Disaster Reduction of Mt. Sinabung, Mt. Semeru, Mt. Kelud Mt. Lokon, and Mt. Gamalama </v>
      </c>
      <c r="O114" s="20">
        <f>DATA!Q101</f>
        <v>1</v>
      </c>
      <c r="P114" s="20">
        <f>DATA!R101</f>
        <v>1</v>
      </c>
      <c r="Q114" s="20">
        <f>DATA!S101</f>
        <v>71</v>
      </c>
      <c r="R114" s="77">
        <f>DATA!T101</f>
        <v>260000000</v>
      </c>
      <c r="S114" s="88">
        <f>DATA!U101</f>
        <v>260000000</v>
      </c>
      <c r="T114" s="77">
        <f>DATA!V101</f>
        <v>26000000</v>
      </c>
      <c r="U114" s="77">
        <f>DATA!W101</f>
        <v>0</v>
      </c>
      <c r="V114" s="77">
        <f>DATA!X101</f>
        <v>286000000</v>
      </c>
      <c r="W114" s="78" t="str">
        <f>DATA!Y101</f>
        <v>JICA</v>
      </c>
      <c r="X114" s="20" t="str">
        <f>DATA!Z101</f>
        <v>Bilateral</v>
      </c>
      <c r="Y114" s="77">
        <f>DATA!AA101</f>
        <v>260000000</v>
      </c>
      <c r="Z114" s="77">
        <f>DATA!AG101</f>
        <v>0</v>
      </c>
      <c r="AA114" s="20">
        <f>DATA!AH101</f>
        <v>2017</v>
      </c>
      <c r="AB114" s="37" t="str">
        <f>DATA!AI101</f>
        <v>-</v>
      </c>
      <c r="AC114" s="152" t="str">
        <f>DATA!AR101</f>
        <v>belum ada dokumen R/C</v>
      </c>
      <c r="AD114" s="152" t="str">
        <f>DATA!AN101</f>
        <v>siap</v>
      </c>
      <c r="AE114" s="152" t="str">
        <f>DATA!AO101</f>
        <v>dalam proses
(persiapan)</v>
      </c>
      <c r="AF114" s="37" t="str">
        <f>DATA!AJ101</f>
        <v>FS, DED, AMDAL</v>
      </c>
      <c r="AG114" s="37" t="str">
        <f>DATA!AK101</f>
        <v>LARAP</v>
      </c>
      <c r="AH114" s="37" t="str">
        <f>DATA!AL101</f>
        <v>-</v>
      </c>
      <c r="AI114" s="20" t="str">
        <f>DATA!AR101</f>
        <v>belum ada dokumen R/C</v>
      </c>
      <c r="AJ114" s="20" t="str">
        <f>DATA!AN101</f>
        <v>siap</v>
      </c>
      <c r="AK114" s="20" t="str">
        <f>DATA!AO101</f>
        <v>dalam proses
(persiapan)</v>
      </c>
      <c r="AL114" s="20" t="str">
        <f>DATA!AP101</f>
        <v>belum ada proses tender/lelang</v>
      </c>
      <c r="AM114" s="20" t="str">
        <f>DATA!AY101</f>
        <v>Konfirmasi melalui surat Sekjen nomor KU.01.12-Sj/636 tgl 23 Oktober 2015</v>
      </c>
      <c r="AN114" s="20" t="e">
        <f>DATA!#REF!</f>
        <v>#REF!</v>
      </c>
      <c r="AO114" s="20">
        <f>DATA!AZ101</f>
        <v>0</v>
      </c>
      <c r="AP114" s="152" t="e">
        <f>DATA!#REF!</f>
        <v>#REF!</v>
      </c>
      <c r="AQ114" s="37" t="str">
        <f>DATA!BA101</f>
        <v>Tersedianya fasilitas Sabo dan bangunan pengontrol sedimen lainnya.</v>
      </c>
    </row>
    <row r="115" spans="1:43" ht="53.25" customHeight="1">
      <c r="A115" s="10">
        <f>DATA!A102</f>
        <v>81</v>
      </c>
      <c r="B115" s="10">
        <f>DATA!B102</f>
        <v>0</v>
      </c>
      <c r="C115" s="10" t="str">
        <f>DATA!D102</f>
        <v>INFRASTRUKTUR</v>
      </c>
      <c r="D115" s="10">
        <f>DATA!E102</f>
        <v>1</v>
      </c>
      <c r="E115" s="10" t="str">
        <f>DATA!F102</f>
        <v>Kementerian Pekerjaan Umum dan Perumahan Rakyat</v>
      </c>
      <c r="F115" s="10" t="str">
        <f>DATA!H102</f>
        <v>Mitigation of Water Hazards Program</v>
      </c>
      <c r="G115" s="10" t="str">
        <f>DATA!I102</f>
        <v>K</v>
      </c>
      <c r="H115" s="10" t="str">
        <f>DATA!J102</f>
        <v>Program Mitigasi Terhadap Daya Rusak Air</v>
      </c>
      <c r="I115" s="10">
        <f>DATA!K102</f>
        <v>5</v>
      </c>
      <c r="J115" s="33"/>
      <c r="K115" s="34"/>
      <c r="L115" s="34"/>
      <c r="M115" s="36">
        <f>DATA!K102</f>
        <v>5</v>
      </c>
      <c r="N115" s="37" t="str">
        <f>DATA!L102</f>
        <v xml:space="preserve">Urban Flood Control System Improvement in Selected Cities -Phase II  </v>
      </c>
      <c r="O115" s="20">
        <f>DATA!Q102</f>
        <v>1</v>
      </c>
      <c r="P115" s="20">
        <f>DATA!R102</f>
        <v>1</v>
      </c>
      <c r="Q115" s="20">
        <f>DATA!S102</f>
        <v>72</v>
      </c>
      <c r="R115" s="77">
        <f>DATA!T102</f>
        <v>120000000</v>
      </c>
      <c r="S115" s="88">
        <f>DATA!U102</f>
        <v>120000000</v>
      </c>
      <c r="T115" s="77">
        <f>DATA!V102</f>
        <v>12000000</v>
      </c>
      <c r="U115" s="77">
        <f>DATA!W102</f>
        <v>0</v>
      </c>
      <c r="V115" s="77">
        <f>DATA!X102</f>
        <v>132000000</v>
      </c>
      <c r="W115" s="78" t="str">
        <f>DATA!Y102</f>
        <v>JICA</v>
      </c>
      <c r="X115" s="20" t="str">
        <f>DATA!Z102</f>
        <v>Bilateral</v>
      </c>
      <c r="Y115" s="77">
        <f>DATA!AA102</f>
        <v>120000000</v>
      </c>
      <c r="Z115" s="77">
        <f>DATA!AG102</f>
        <v>0</v>
      </c>
      <c r="AA115" s="20">
        <f>DATA!AH102</f>
        <v>2018</v>
      </c>
      <c r="AB115" s="37" t="str">
        <f>DATA!AI102</f>
        <v>-</v>
      </c>
      <c r="AC115" s="152" t="str">
        <f>DATA!AR102</f>
        <v>belum ada dokumen R/C</v>
      </c>
      <c r="AD115" s="152" t="str">
        <f>DATA!AN102</f>
        <v>siap</v>
      </c>
      <c r="AE115" s="152" t="str">
        <f>DATA!AO102</f>
        <v>dalam proses
(perencanaan)</v>
      </c>
      <c r="AF115" s="37" t="str">
        <f>DATA!AJ102</f>
        <v>FS, DED, AMDAL</v>
      </c>
      <c r="AG115" s="37" t="str">
        <f>DATA!AK102</f>
        <v>LARAP</v>
      </c>
      <c r="AH115" s="37" t="str">
        <f>DATA!AL102</f>
        <v>-</v>
      </c>
      <c r="AI115" s="20" t="str">
        <f>DATA!AR102</f>
        <v>belum ada dokumen R/C</v>
      </c>
      <c r="AJ115" s="20" t="str">
        <f>DATA!AN102</f>
        <v>siap</v>
      </c>
      <c r="AK115" s="20" t="str">
        <f>DATA!AO102</f>
        <v>dalam proses
(perencanaan)</v>
      </c>
      <c r="AL115" s="20" t="str">
        <f>DATA!AP102</f>
        <v>belum ada proses tender/lelang</v>
      </c>
      <c r="AM115" s="20" t="str">
        <f>DATA!AY102</f>
        <v>Konfirmasi melalui surat Sekjen nomor KU.01.12-Sj/636 tgl 23 Oktober 2015</v>
      </c>
      <c r="AN115" s="20" t="e">
        <f>DATA!#REF!</f>
        <v>#REF!</v>
      </c>
      <c r="AO115" s="20">
        <f>DATA!AZ102</f>
        <v>0</v>
      </c>
      <c r="AP115" s="152" t="e">
        <f>DATA!#REF!</f>
        <v>#REF!</v>
      </c>
      <c r="AQ115" s="37" t="str">
        <f>DATA!BA102</f>
        <v>Meningkatkan kapasitas sistem sungai dengan total panjang 4.35 km dan drainase di kota-kota untuk mengalirkan air hujan dengan pembangunan tanggul 6,5 Km</v>
      </c>
    </row>
    <row r="116" spans="1:43" ht="46.5" customHeight="1">
      <c r="A116" s="10">
        <f>DATA!A104</f>
        <v>0</v>
      </c>
      <c r="B116" s="10">
        <f>DATA!B104</f>
        <v>0</v>
      </c>
      <c r="C116" s="10" t="str">
        <f>DATA!D104</f>
        <v>INFRASTRUKTUR</v>
      </c>
      <c r="D116" s="10">
        <f>DATA!E104</f>
        <v>1</v>
      </c>
      <c r="E116" s="10" t="str">
        <f>DATA!F104</f>
        <v>Kementerian Pekerjaan Umum dan Perumahan Rakyat</v>
      </c>
      <c r="F116" s="10" t="str">
        <f>DATA!H104</f>
        <v>Mitigation of Water Hazards Program</v>
      </c>
      <c r="G116" s="10" t="str">
        <f>DATA!I104</f>
        <v>K</v>
      </c>
      <c r="H116" s="10" t="str">
        <f>DATA!J104</f>
        <v>Program Mitigasi Terhadap Daya Rusak Air</v>
      </c>
      <c r="I116" s="10">
        <f>DATA!K104</f>
        <v>6</v>
      </c>
      <c r="J116" s="33"/>
      <c r="K116" s="34"/>
      <c r="L116" s="34"/>
      <c r="M116" s="36">
        <f>DATA!K104</f>
        <v>6</v>
      </c>
      <c r="N116" s="37" t="str">
        <f>DATA!L104</f>
        <v>Engineering Service for Coastal and River Development Project</v>
      </c>
      <c r="O116" s="20">
        <f>DATA!Q104</f>
        <v>1</v>
      </c>
      <c r="P116" s="20">
        <f>DATA!R104</f>
        <v>1</v>
      </c>
      <c r="Q116" s="20">
        <f>DATA!S104</f>
        <v>73</v>
      </c>
      <c r="R116" s="77">
        <f>DATA!T104</f>
        <v>50000000</v>
      </c>
      <c r="S116" s="88">
        <f>DATA!U104</f>
        <v>50000000</v>
      </c>
      <c r="T116" s="77">
        <f>DATA!V104</f>
        <v>0</v>
      </c>
      <c r="U116" s="77">
        <f>DATA!W104</f>
        <v>0</v>
      </c>
      <c r="V116" s="77">
        <f>DATA!X104</f>
        <v>50000000</v>
      </c>
      <c r="W116" s="78" t="str">
        <f>DATA!Y104</f>
        <v>ADB</v>
      </c>
      <c r="X116" s="20" t="str">
        <f>DATA!Z104</f>
        <v>Multilateral</v>
      </c>
      <c r="Y116" s="77">
        <f>DATA!AA104</f>
        <v>9620000</v>
      </c>
      <c r="Z116" s="77">
        <f>DATA!AG104</f>
        <v>0</v>
      </c>
      <c r="AA116" s="20">
        <f>DATA!AH104</f>
        <v>2016</v>
      </c>
      <c r="AB116" s="37" t="str">
        <f>DATA!AI104</f>
        <v>- Sudah ada RC
- Green Book 2016</v>
      </c>
      <c r="AC116" s="152" t="str">
        <f>DATA!AM104</f>
        <v>2016; 2015</v>
      </c>
      <c r="AD116" s="152" t="str">
        <f>DATA!AN104</f>
        <v>siap</v>
      </c>
      <c r="AE116" s="152" t="str">
        <f>DATA!AO104</f>
        <v>tidak butuh lahan</v>
      </c>
      <c r="AF116" s="37" t="str">
        <f>DATA!AJ104</f>
        <v>FS, DED</v>
      </c>
      <c r="AG116" s="37" t="str">
        <f>DATA!AK104</f>
        <v>Tidak membutuhkan lahan</v>
      </c>
      <c r="AH116" s="37" t="str">
        <f>DATA!AL104</f>
        <v>Belum ada tender/lelang</v>
      </c>
      <c r="AI116" s="20" t="str">
        <f>DATA!AM104</f>
        <v>2016; 2015</v>
      </c>
      <c r="AJ116" s="20" t="str">
        <f>DATA!AN104</f>
        <v>siap</v>
      </c>
      <c r="AK116" s="20" t="str">
        <f>DATA!AO104</f>
        <v>tidak butuh lahan</v>
      </c>
      <c r="AL116" s="20" t="str">
        <f>DATA!AP104</f>
        <v>belum ada proses tender/lelang</v>
      </c>
      <c r="AM116"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N116" s="20" t="e">
        <f>DATA!#REF!</f>
        <v>#REF!</v>
      </c>
      <c r="AO116" s="20">
        <f>DATA!AZ104</f>
        <v>0</v>
      </c>
      <c r="AP116" s="152" t="e">
        <f>DATA!#REF!</f>
        <v>#REF!</v>
      </c>
      <c r="AQ116" s="37" t="str">
        <f>DATA!BA104</f>
        <v>Analisis rencana teknis pembangunan infrastruktur sungai di 33 balai wilayah sungai  dan pantai beserta fasilitasnya, O&amp;P dan pengadaan barang dan jasa</v>
      </c>
    </row>
    <row r="117" spans="1:43" ht="49.5" customHeight="1">
      <c r="A117" s="10">
        <f>DATA!A107</f>
        <v>80</v>
      </c>
      <c r="B117" s="10">
        <f>DATA!B107</f>
        <v>0</v>
      </c>
      <c r="C117" s="10" t="str">
        <f>DATA!D107</f>
        <v>INFRASTRUKTUR</v>
      </c>
      <c r="D117" s="10">
        <f>DATA!E107</f>
        <v>1</v>
      </c>
      <c r="E117" s="10" t="str">
        <f>DATA!F107</f>
        <v>Kementerian Pekerjaan Umum dan Perumahan Rakyat</v>
      </c>
      <c r="F117" s="10" t="str">
        <f>DATA!H107</f>
        <v>Mitigation of Water Hazards Program</v>
      </c>
      <c r="G117" s="10" t="str">
        <f>DATA!I107</f>
        <v>K</v>
      </c>
      <c r="H117" s="10" t="str">
        <f>DATA!J107</f>
        <v>Program Mitigasi Terhadap Daya Rusak Air</v>
      </c>
      <c r="I117" s="10">
        <f>DATA!K107</f>
        <v>7</v>
      </c>
      <c r="J117" s="33"/>
      <c r="K117" s="34"/>
      <c r="L117" s="34"/>
      <c r="M117" s="36">
        <f>DATA!K107</f>
        <v>7</v>
      </c>
      <c r="N117" s="37" t="str">
        <f>DATA!L107</f>
        <v>Flood Management in Selected River Basins:</v>
      </c>
      <c r="O117" s="20">
        <f>DATA!Q107</f>
        <v>0</v>
      </c>
      <c r="P117" s="20">
        <f>DATA!R107</f>
        <v>0</v>
      </c>
      <c r="Q117" s="20">
        <f>DATA!S107</f>
        <v>0</v>
      </c>
      <c r="R117" s="77">
        <f>DATA!T107</f>
        <v>308700000</v>
      </c>
      <c r="S117" s="88">
        <f>DATA!U107</f>
        <v>308700000</v>
      </c>
      <c r="T117" s="77">
        <f>DATA!V107</f>
        <v>70440000</v>
      </c>
      <c r="U117" s="77">
        <f>DATA!W107</f>
        <v>0</v>
      </c>
      <c r="V117" s="77">
        <f>DATA!X107</f>
        <v>379140000</v>
      </c>
      <c r="W117" s="78" t="str">
        <f>DATA!Y107</f>
        <v>-</v>
      </c>
      <c r="X117" s="20">
        <f>DATA!Z107</f>
        <v>0</v>
      </c>
      <c r="Y117" s="77">
        <f>DATA!AA107</f>
        <v>308700000</v>
      </c>
      <c r="Z117" s="77">
        <f>DATA!AG107</f>
        <v>0</v>
      </c>
      <c r="AA117" s="20" t="str">
        <f>DATA!AH107</f>
        <v>-</v>
      </c>
      <c r="AB117" s="37" t="str">
        <f>DATA!AI107</f>
        <v>-</v>
      </c>
      <c r="AC117" s="152" t="str">
        <f>DATA!AM107</f>
        <v>-</v>
      </c>
      <c r="AD117" s="152">
        <f>DATA!AN107</f>
        <v>0</v>
      </c>
      <c r="AE117" s="152" t="str">
        <f>DATA!AO107</f>
        <v>-</v>
      </c>
      <c r="AF117" s="37" t="str">
        <f>DATA!AJ107</f>
        <v>-</v>
      </c>
      <c r="AG117" s="37" t="str">
        <f>DATA!AK107</f>
        <v>-</v>
      </c>
      <c r="AH117" s="37" t="str">
        <f>DATA!AL107</f>
        <v>-</v>
      </c>
      <c r="AI117" s="20" t="str">
        <f>DATA!AM107</f>
        <v>-</v>
      </c>
      <c r="AJ117" s="20">
        <f>DATA!AN107</f>
        <v>0</v>
      </c>
      <c r="AK117" s="20" t="str">
        <f>DATA!AO107</f>
        <v>-</v>
      </c>
      <c r="AL117" s="20">
        <f>DATA!AP107</f>
        <v>0</v>
      </c>
      <c r="AM117" s="20" t="str">
        <f>DATA!AY107</f>
        <v>Konfirmasi melalui surat Sekjen nomor KU.01.12-Sj/636 tgl 23 Oktober 2015</v>
      </c>
      <c r="AN117" s="20" t="e">
        <f>DATA!#REF!</f>
        <v>#REF!</v>
      </c>
      <c r="AO117" s="20">
        <f>DATA!AZ107</f>
        <v>0</v>
      </c>
      <c r="AP117" s="152" t="e">
        <f>DATA!#REF!</f>
        <v>#REF!</v>
      </c>
      <c r="AQ117" s="37" t="str">
        <f>DATA!BA107</f>
        <v>Meningkatkan kesiapan untuk mengelola dan memitigasi banjir melalui pendekatan pengelolaan banjir terpadu di DAS terpilih yang tersebar di seluruh Indonesia</v>
      </c>
    </row>
    <row r="118" spans="1:43" s="6" customFormat="1" ht="38.25">
      <c r="A118" s="6">
        <f>DATA!A108</f>
        <v>83</v>
      </c>
      <c r="B118" s="6">
        <f>DATA!B108</f>
        <v>0</v>
      </c>
      <c r="C118" s="6" t="str">
        <f>DATA!D108</f>
        <v>INFRASTRUKTUR</v>
      </c>
      <c r="D118" s="6">
        <f>DATA!E108</f>
        <v>1</v>
      </c>
      <c r="E118" s="6" t="str">
        <f>DATA!F108</f>
        <v>Kementerian Pekerjaan Umum dan Perumahan Rakyat</v>
      </c>
      <c r="F118" s="6" t="str">
        <f>DATA!H108</f>
        <v>Mitigation of Water Hazards Program</v>
      </c>
      <c r="G118" s="6" t="str">
        <f>DATA!I108</f>
        <v>K</v>
      </c>
      <c r="H118" s="6" t="str">
        <f>DATA!J108</f>
        <v>Program Mitigasi Terhadap Daya Rusak Air</v>
      </c>
      <c r="I118" s="6">
        <f>DATA!K108</f>
        <v>7</v>
      </c>
      <c r="J118" s="38"/>
      <c r="K118" s="39"/>
      <c r="L118" s="39"/>
      <c r="M118" s="72"/>
      <c r="N118" s="67" t="str">
        <f>DATA!L108</f>
        <v>Flood Management in Selected River Basins Sector Project (Additional Financing)</v>
      </c>
      <c r="O118" s="42">
        <f>DATA!Q108</f>
        <v>1</v>
      </c>
      <c r="P118" s="42">
        <f>DATA!R108</f>
        <v>1</v>
      </c>
      <c r="Q118" s="42">
        <f>DATA!S108</f>
        <v>74</v>
      </c>
      <c r="R118" s="83">
        <f>DATA!T108</f>
        <v>200000000</v>
      </c>
      <c r="S118" s="88">
        <f>DATA!U108</f>
        <v>200000000</v>
      </c>
      <c r="T118" s="83">
        <f>DATA!V108</f>
        <v>20000000</v>
      </c>
      <c r="U118" s="83">
        <f>DATA!W108</f>
        <v>0</v>
      </c>
      <c r="V118" s="83">
        <f>DATA!X108</f>
        <v>220000000</v>
      </c>
      <c r="W118" s="84" t="str">
        <f>DATA!Y108</f>
        <v>Belum Ada Indikasi</v>
      </c>
      <c r="X118" s="42" t="str">
        <f>DATA!Z108</f>
        <v>Multilateral</v>
      </c>
      <c r="Y118" s="83">
        <f>DATA!AA108</f>
        <v>200000000</v>
      </c>
      <c r="Z118" s="83">
        <f>DATA!AG108</f>
        <v>0</v>
      </c>
      <c r="AA118" s="42" t="str">
        <f>DATA!AH108</f>
        <v>Tanpa keterangan</v>
      </c>
      <c r="AB118" s="67" t="str">
        <f>DATA!AI108</f>
        <v>-</v>
      </c>
      <c r="AC118" s="152" t="str">
        <f>DATA!AR108</f>
        <v>belum ada dokumen R/C</v>
      </c>
      <c r="AD118" s="152" t="str">
        <f>DATA!AN108</f>
        <v>belum ada keterangan</v>
      </c>
      <c r="AE118" s="152" t="str">
        <f>DATA!AO108</f>
        <v>belum ada keterangan</v>
      </c>
      <c r="AF118" s="67" t="str">
        <f>DATA!AJ108</f>
        <v>-</v>
      </c>
      <c r="AG118" s="67" t="str">
        <f>DATA!AK108</f>
        <v>-</v>
      </c>
      <c r="AH118" s="67" t="str">
        <f>DATA!AL108</f>
        <v>-</v>
      </c>
      <c r="AI118" s="42" t="str">
        <f>DATA!AR108</f>
        <v>belum ada dokumen R/C</v>
      </c>
      <c r="AJ118" s="42" t="str">
        <f>DATA!AN108</f>
        <v>belum ada keterangan</v>
      </c>
      <c r="AK118" s="42" t="str">
        <f>DATA!AO108</f>
        <v>belum ada keterangan</v>
      </c>
      <c r="AL118" s="42" t="str">
        <f>DATA!AP108</f>
        <v>belum ada proses tender/lelang</v>
      </c>
      <c r="AM118" s="42" t="str">
        <f>DATA!AY108</f>
        <v>Konfirmasi melalui surat Sekjen nomor KU.01.12-Sj/636 tgl 23 Oktober 2015</v>
      </c>
      <c r="AN118" s="42" t="e">
        <f>DATA!#REF!</f>
        <v>#REF!</v>
      </c>
      <c r="AO118" s="42" t="str">
        <f>DATA!AZ108</f>
        <v>untuk wilayah Banten</v>
      </c>
      <c r="AP118" s="152" t="e">
        <f>DATA!#REF!</f>
        <v>#REF!</v>
      </c>
      <c r="AQ118" s="67" t="str">
        <f>DATA!BA108</f>
        <v>Meningkatkan kesiapan untuk mengelola dan memitigasi banjir melalui pendekatan pengelolaan banjir terpadu di DAS terpilih</v>
      </c>
    </row>
    <row r="119" spans="1:43" s="6" customFormat="1" ht="87" customHeight="1">
      <c r="A119" s="6">
        <f>DATA!A109</f>
        <v>84</v>
      </c>
      <c r="B119" s="6">
        <f>DATA!B109</f>
        <v>0</v>
      </c>
      <c r="C119" s="6" t="str">
        <f>DATA!D109</f>
        <v>INFRASTRUKTUR</v>
      </c>
      <c r="D119" s="6">
        <f>DATA!E109</f>
        <v>1</v>
      </c>
      <c r="E119" s="6" t="str">
        <f>DATA!F109</f>
        <v>Kementerian Pekerjaan Umum dan Perumahan Rakyat</v>
      </c>
      <c r="F119" s="6" t="str">
        <f>DATA!H109</f>
        <v>Mitigation of Water Hazards Program</v>
      </c>
      <c r="G119" s="6" t="str">
        <f>DATA!I109</f>
        <v>K</v>
      </c>
      <c r="H119" s="6" t="str">
        <f>DATA!J109</f>
        <v>Program Mitigasi Terhadap Daya Rusak Air</v>
      </c>
      <c r="I119" s="6">
        <f>DATA!K109</f>
        <v>7</v>
      </c>
      <c r="J119" s="38"/>
      <c r="K119" s="39"/>
      <c r="L119" s="71"/>
      <c r="M119" s="72"/>
      <c r="N119" s="67" t="str">
        <f>DATA!L109</f>
        <v>Flood Management in Selected River Basins</v>
      </c>
      <c r="O119" s="42">
        <f>DATA!Q109</f>
        <v>1</v>
      </c>
      <c r="P119" s="42">
        <f>DATA!R109</f>
        <v>1</v>
      </c>
      <c r="Q119" s="42">
        <f>DATA!S109</f>
        <v>75</v>
      </c>
      <c r="R119" s="83">
        <f>DATA!T109</f>
        <v>108700000</v>
      </c>
      <c r="S119" s="88">
        <f>DATA!U109</f>
        <v>108700000</v>
      </c>
      <c r="T119" s="83">
        <f>DATA!V109</f>
        <v>50440000</v>
      </c>
      <c r="U119" s="83">
        <f>DATA!W109</f>
        <v>0</v>
      </c>
      <c r="V119" s="83">
        <f>DATA!X109</f>
        <v>159140000</v>
      </c>
      <c r="W119" s="84" t="str">
        <f>DATA!Y109</f>
        <v>ADB</v>
      </c>
      <c r="X119" s="42" t="str">
        <f>DATA!Z109</f>
        <v>Multilateral</v>
      </c>
      <c r="Y119" s="83">
        <f>DATA!AA109</f>
        <v>108700000</v>
      </c>
      <c r="Z119" s="83">
        <f>DATA!AG109</f>
        <v>0</v>
      </c>
      <c r="AA119" s="42" t="str">
        <f>DATA!AH109</f>
        <v>Tanpa keterangan</v>
      </c>
      <c r="AB119" s="67" t="str">
        <f>DATA!AI109</f>
        <v>- Sudah ada RC
- Green Book 2015</v>
      </c>
      <c r="AC119" s="152" t="str">
        <f>DATA!AR109</f>
        <v>-</v>
      </c>
      <c r="AD119" s="152" t="str">
        <f>DATA!AN109</f>
        <v>dalam proses
(memiliki FS dan DED)</v>
      </c>
      <c r="AE119" s="152" t="str">
        <f>DATA!AO109</f>
        <v>dalam proses
(persiapan)</v>
      </c>
      <c r="AF119" s="67" t="str">
        <f>DATA!AJ109</f>
        <v>FS, DED</v>
      </c>
      <c r="AG119" s="67" t="str">
        <f>DATA!AK109</f>
        <v>- Penetapan lokasi dengan SK Gubernur Banten dan Gubernur Maluku
- Izin AMDAL dengan SK Walikota Ambon</v>
      </c>
      <c r="AH119" s="67" t="str">
        <f>DATA!AL109</f>
        <v>Belum ada tender/lelang</v>
      </c>
      <c r="AI119" s="42" t="str">
        <f>DATA!AR109</f>
        <v>-</v>
      </c>
      <c r="AJ119" s="42" t="str">
        <f>DATA!AN109</f>
        <v>dalam proses
(memiliki FS dan DED)</v>
      </c>
      <c r="AK119" s="42" t="str">
        <f>DATA!AO109</f>
        <v>dalam proses
(persiapan)</v>
      </c>
      <c r="AL119" s="42" t="str">
        <f>DATA!AP109</f>
        <v>belum ada proses tender/lelang</v>
      </c>
      <c r="AM119" s="42" t="str">
        <f>DATA!AY109</f>
        <v>Konfirmasi melalui surat Sekjen nomor KU.01.12-Sj/636 tgl 23 Oktober 2015</v>
      </c>
      <c r="AN119" s="42" t="e">
        <f>DATA!#REF!</f>
        <v>#REF!</v>
      </c>
      <c r="AO119" s="42" t="str">
        <f>DATA!AZ109</f>
        <v>Ambon appraisal MoU 2015</v>
      </c>
      <c r="AP119" s="152" t="e">
        <f>DATA!#REF!</f>
        <v>#REF!</v>
      </c>
      <c r="AQ119" s="67" t="str">
        <f>DATA!BA109</f>
        <v>Meningkatkan kesiapan untuk mengelola dan memitigasi banjir melalui pendekatan pengelolaan banjir terpadu di DAS Ciujung, DAS Batu Merah, dan DAS Way Ruhu</v>
      </c>
    </row>
    <row r="120" spans="1:43" s="5" customFormat="1" ht="33.75" customHeight="1">
      <c r="J120" s="28"/>
      <c r="K120" s="50"/>
      <c r="L120" s="30" t="str">
        <f>DATA!I110</f>
        <v>L</v>
      </c>
      <c r="M120" s="31" t="str">
        <f>DATA!J110</f>
        <v xml:space="preserve">Program Pengelolaan Infrastruktur Sumber Daya Air </v>
      </c>
      <c r="N120" s="51"/>
      <c r="O120" s="31"/>
      <c r="P120" s="31"/>
      <c r="Q120" s="31"/>
      <c r="R120" s="81">
        <f>+R121+R122+R123</f>
        <v>650000000</v>
      </c>
      <c r="S120" s="81">
        <f>+S121+S122+S123</f>
        <v>650000000</v>
      </c>
      <c r="T120" s="81">
        <f t="shared" ref="T120:Z120" si="7">+T121+T122+T123</f>
        <v>130000000</v>
      </c>
      <c r="U120" s="81">
        <f t="shared" si="7"/>
        <v>0</v>
      </c>
      <c r="V120" s="81">
        <f t="shared" si="7"/>
        <v>780000000</v>
      </c>
      <c r="W120" s="81"/>
      <c r="X120" s="81" t="e">
        <f t="shared" si="7"/>
        <v>#VALUE!</v>
      </c>
      <c r="Y120" s="81">
        <f t="shared" si="7"/>
        <v>650000000</v>
      </c>
      <c r="Z120" s="81">
        <f t="shared" si="7"/>
        <v>-50000000</v>
      </c>
      <c r="AA120" s="31"/>
      <c r="AB120" s="32"/>
      <c r="AC120" s="32"/>
      <c r="AD120" s="32"/>
      <c r="AE120" s="32"/>
      <c r="AF120" s="32"/>
      <c r="AG120" s="32"/>
      <c r="AH120" s="32"/>
      <c r="AI120" s="31"/>
      <c r="AJ120" s="31"/>
      <c r="AK120" s="31"/>
      <c r="AL120" s="31"/>
      <c r="AM120" s="31"/>
      <c r="AN120" s="31"/>
      <c r="AO120" s="31"/>
      <c r="AP120" s="32"/>
      <c r="AQ120" s="32"/>
    </row>
    <row r="121" spans="1:43" ht="58.5" customHeight="1">
      <c r="A121" s="10">
        <f>DATA!A110</f>
        <v>85</v>
      </c>
      <c r="B121" s="10">
        <f>DATA!B110</f>
        <v>0</v>
      </c>
      <c r="C121" s="10" t="str">
        <f>DATA!D110</f>
        <v>INFRASTRUKTUR</v>
      </c>
      <c r="D121" s="10">
        <f>DATA!E110</f>
        <v>1</v>
      </c>
      <c r="E121" s="10" t="str">
        <f>DATA!F110</f>
        <v>Kementerian Pekerjaan Umum dan Perumahan Rakyat</v>
      </c>
      <c r="F121" s="10" t="str">
        <f>DATA!H110</f>
        <v>Management of Water Resources Infrastructure Program</v>
      </c>
      <c r="G121" s="10" t="str">
        <f>DATA!I110</f>
        <v>L</v>
      </c>
      <c r="H121" s="10" t="str">
        <f>DATA!J110</f>
        <v xml:space="preserve">Program Pengelolaan Infrastruktur Sumber Daya Air </v>
      </c>
      <c r="I121" s="10">
        <f>DATA!K110</f>
        <v>1</v>
      </c>
      <c r="J121" s="33"/>
      <c r="K121" s="34"/>
      <c r="L121" s="35"/>
      <c r="M121" s="36">
        <f>DATA!K110</f>
        <v>1</v>
      </c>
      <c r="N121" s="37" t="str">
        <f>DATA!L110</f>
        <v xml:space="preserve">Dam Operational Improvement and Safety Project (DOISP) - Phase II </v>
      </c>
      <c r="O121" s="20">
        <f>DATA!Q110</f>
        <v>1</v>
      </c>
      <c r="P121" s="20">
        <f>DATA!R110</f>
        <v>1</v>
      </c>
      <c r="Q121" s="20">
        <f>DATA!S110</f>
        <v>76</v>
      </c>
      <c r="R121" s="77">
        <f>DATA!T110</f>
        <v>250000000</v>
      </c>
      <c r="S121" s="88">
        <f>DATA!U110</f>
        <v>250000000</v>
      </c>
      <c r="T121" s="77">
        <f>DATA!V110</f>
        <v>50000000</v>
      </c>
      <c r="U121" s="77">
        <f>DATA!W110</f>
        <v>0</v>
      </c>
      <c r="V121" s="77">
        <f>DATA!X110</f>
        <v>300000000</v>
      </c>
      <c r="W121" s="78" t="str">
        <f>DATA!Y110</f>
        <v>Bank Dunia</v>
      </c>
      <c r="X121" s="20" t="str">
        <f>DATA!Z110</f>
        <v>Multilateral</v>
      </c>
      <c r="Y121" s="77">
        <f>DATA!AA110</f>
        <v>250000000</v>
      </c>
      <c r="Z121" s="77">
        <f>DATA!AG110</f>
        <v>0</v>
      </c>
      <c r="AA121" s="20" t="str">
        <f>DATA!AH110</f>
        <v>Tanpa keterangan</v>
      </c>
      <c r="AB121" s="37" t="str">
        <f>DATA!AI110</f>
        <v>-</v>
      </c>
      <c r="AC121" s="152" t="str">
        <f>DATA!AR110</f>
        <v>-</v>
      </c>
      <c r="AD121" s="152" t="str">
        <f>DATA!AN110</f>
        <v>dalam proses
(memiliki FS)</v>
      </c>
      <c r="AE121" s="152" t="str">
        <f>DATA!AO110</f>
        <v>belum ada keterangan</v>
      </c>
      <c r="AF121" s="37" t="str">
        <f>DATA!AJ110</f>
        <v>FS</v>
      </c>
      <c r="AG121" s="37" t="str">
        <f>DATA!AK110</f>
        <v>-</v>
      </c>
      <c r="AH121" s="37" t="str">
        <f>DATA!AL110</f>
        <v>-</v>
      </c>
      <c r="AI121" s="20" t="str">
        <f>DATA!AR110</f>
        <v>-</v>
      </c>
      <c r="AJ121" s="20" t="str">
        <f>DATA!AN110</f>
        <v>dalam proses
(memiliki FS)</v>
      </c>
      <c r="AK121" s="20" t="str">
        <f>DATA!AO110</f>
        <v>belum ada keterangan</v>
      </c>
      <c r="AL121" s="20" t="str">
        <f>DATA!AP110</f>
        <v>belum ada proses tender/lelang</v>
      </c>
      <c r="AM121" s="20" t="str">
        <f>DATA!AY110</f>
        <v>Konfirmasi melalui surat Sekjen nomor KU.01.12-Sj/636 tgl 23 Oktober 2015</v>
      </c>
      <c r="AN121" s="20" t="e">
        <f>DATA!#REF!</f>
        <v>#REF!</v>
      </c>
      <c r="AO121" s="20">
        <f>DATA!AZ110</f>
        <v>0</v>
      </c>
      <c r="AP121" s="152" t="e">
        <f>DATA!#REF!</f>
        <v>#REF!</v>
      </c>
      <c r="AQ121" s="37" t="str">
        <f>DATA!BA110</f>
        <v>Peningkatan operasi dan keamanan 63 bendungan, peningkatan OP dan kapasitas SDM, mitigasi sedimentasi waduk, peningkatan institusi keamanan bendungan dan manajemen proyek</v>
      </c>
    </row>
    <row r="122" spans="1:43" ht="50.25" customHeight="1">
      <c r="A122" s="10">
        <f>DATA!A113</f>
        <v>86</v>
      </c>
      <c r="B122" s="10">
        <f>DATA!B113</f>
        <v>0</v>
      </c>
      <c r="C122" s="10" t="str">
        <f>DATA!D113</f>
        <v>INFRASTRUKTUR</v>
      </c>
      <c r="D122" s="10">
        <f>DATA!E113</f>
        <v>1</v>
      </c>
      <c r="E122" s="10" t="str">
        <f>DATA!F113</f>
        <v>Kementerian Pekerjaan Umum dan Perumahan Rakyat</v>
      </c>
      <c r="F122" s="10" t="str">
        <f>DATA!H113</f>
        <v>Management of Water Resources Infrastructure Program</v>
      </c>
      <c r="G122" s="10" t="str">
        <f>DATA!I113</f>
        <v>L</v>
      </c>
      <c r="H122" s="10" t="str">
        <f>DATA!J113</f>
        <v xml:space="preserve">Program Pengelolaan Infrastruktur Sumber Daya Air </v>
      </c>
      <c r="I122" s="10">
        <f>DATA!K113</f>
        <v>2</v>
      </c>
      <c r="J122" s="33"/>
      <c r="K122" s="34"/>
      <c r="L122" s="34"/>
      <c r="M122" s="36">
        <f>DATA!K113</f>
        <v>2</v>
      </c>
      <c r="N122" s="37" t="str">
        <f>DATA!L113</f>
        <v xml:space="preserve">Enhanced Water Security Investment Program    </v>
      </c>
      <c r="O122" s="20">
        <f>DATA!Q113</f>
        <v>1</v>
      </c>
      <c r="P122" s="20">
        <f>DATA!R113</f>
        <v>1</v>
      </c>
      <c r="Q122" s="20">
        <f>DATA!S113</f>
        <v>77</v>
      </c>
      <c r="R122" s="77">
        <f>DATA!T113</f>
        <v>350000000</v>
      </c>
      <c r="S122" s="88">
        <f>DATA!U113</f>
        <v>350000000</v>
      </c>
      <c r="T122" s="77">
        <f>DATA!V113</f>
        <v>70000000</v>
      </c>
      <c r="U122" s="77">
        <f>DATA!W113</f>
        <v>0</v>
      </c>
      <c r="V122" s="77">
        <f>DATA!X113</f>
        <v>420000000</v>
      </c>
      <c r="W122" s="78" t="str">
        <f>DATA!Y113</f>
        <v>ADB</v>
      </c>
      <c r="X122" s="20" t="str">
        <f>DATA!Z113</f>
        <v>Multilateral</v>
      </c>
      <c r="Y122" s="77">
        <f>DATA!AA113</f>
        <v>350000000</v>
      </c>
      <c r="Z122" s="77">
        <f>DATA!AG113</f>
        <v>0</v>
      </c>
      <c r="AA122" s="20" t="str">
        <f>DATA!AH113</f>
        <v>Tanpa keterangan</v>
      </c>
      <c r="AB122" s="37" t="str">
        <f>DATA!AI113</f>
        <v>-</v>
      </c>
      <c r="AC122" s="152" t="str">
        <f>DATA!AR113</f>
        <v>belum ada dokumen R/C</v>
      </c>
      <c r="AD122" s="152" t="str">
        <f>DATA!AN113</f>
        <v>belum ada keterangan</v>
      </c>
      <c r="AE122" s="152" t="str">
        <f>DATA!AO113</f>
        <v>belum ada keterangan</v>
      </c>
      <c r="AF122" s="37" t="str">
        <f>DATA!AJ113</f>
        <v>-</v>
      </c>
      <c r="AG122" s="37" t="str">
        <f>DATA!AK113</f>
        <v>-</v>
      </c>
      <c r="AH122" s="37" t="str">
        <f>DATA!AL113</f>
        <v>-</v>
      </c>
      <c r="AI122" s="20" t="str">
        <f>DATA!AR113</f>
        <v>belum ada dokumen R/C</v>
      </c>
      <c r="AJ122" s="20" t="str">
        <f>DATA!AN113</f>
        <v>belum ada keterangan</v>
      </c>
      <c r="AK122" s="20" t="str">
        <f>DATA!AO113</f>
        <v>belum ada keterangan</v>
      </c>
      <c r="AL122" s="20" t="str">
        <f>DATA!AP113</f>
        <v>belum ada proses tender/lelang</v>
      </c>
      <c r="AM122" s="20" t="str">
        <f>DATA!AY113</f>
        <v>Konfirmasi melalui surat Sekjen nomor KU.01.12-Sj/636 tgl 23 Oktober 2015</v>
      </c>
      <c r="AN122" s="20" t="e">
        <f>DATA!#REF!</f>
        <v>#REF!</v>
      </c>
      <c r="AO122" s="20" t="str">
        <f>DATA!AZ113</f>
        <v>Belum ada pembicaraan dgn ADB</v>
      </c>
      <c r="AP122" s="152" t="e">
        <f>DATA!#REF!</f>
        <v>#REF!</v>
      </c>
      <c r="AQ122" s="37" t="str">
        <f>DATA!BA113</f>
        <v>Peningkatan kapasitas waduk, pemanfaatan potensi bendungan untuk pembangkit listrik dan manajemen proyek</v>
      </c>
    </row>
    <row r="123" spans="1:43" ht="32.25" customHeight="1">
      <c r="A123" s="10">
        <f>DATA!A114</f>
        <v>87</v>
      </c>
      <c r="B123" s="10">
        <f>DATA!B114</f>
        <v>0</v>
      </c>
      <c r="C123" s="10" t="str">
        <f>DATA!D114</f>
        <v>INFRASTRUKTUR</v>
      </c>
      <c r="D123" s="10">
        <f>DATA!E114</f>
        <v>1</v>
      </c>
      <c r="E123" s="10" t="str">
        <f>DATA!F114</f>
        <v>Kementerian Pekerjaan Umum dan Perumahan Rakyat</v>
      </c>
      <c r="F123" s="10" t="str">
        <f>DATA!H114</f>
        <v>Management of Water Resources Infrastructure Program</v>
      </c>
      <c r="G123" s="10" t="str">
        <f>DATA!I114</f>
        <v>L</v>
      </c>
      <c r="H123" s="10" t="str">
        <f>DATA!J114</f>
        <v xml:space="preserve">Program Pengelolaan Infrastruktur Sumber Daya Air </v>
      </c>
      <c r="I123" s="10">
        <f>DATA!K114</f>
        <v>3</v>
      </c>
      <c r="J123" s="33"/>
      <c r="K123" s="34"/>
      <c r="L123" s="54"/>
      <c r="M123" s="36">
        <f>DATA!K114</f>
        <v>3</v>
      </c>
      <c r="N123" s="37" t="str">
        <f>DATA!L114</f>
        <v>Engineering Service for Water Resources Infrastructure Management</v>
      </c>
      <c r="O123" s="20">
        <f>DATA!Q114</f>
        <v>1</v>
      </c>
      <c r="P123" s="20">
        <f>DATA!R114</f>
        <v>1</v>
      </c>
      <c r="Q123" s="20">
        <f>DATA!S114</f>
        <v>78</v>
      </c>
      <c r="R123" s="77">
        <f>DATA!T114</f>
        <v>50000000</v>
      </c>
      <c r="S123" s="88">
        <f>DATA!U114</f>
        <v>50000000</v>
      </c>
      <c r="T123" s="77">
        <f>DATA!V114</f>
        <v>10000000</v>
      </c>
      <c r="U123" s="77">
        <f>DATA!W114</f>
        <v>0</v>
      </c>
      <c r="V123" s="77">
        <f>DATA!X114</f>
        <v>60000000</v>
      </c>
      <c r="W123" s="78" t="str">
        <f>DATA!Y114</f>
        <v>Belum Ada Indikasi</v>
      </c>
      <c r="X123" s="20" t="str">
        <f>DATA!Z114</f>
        <v>Multilateral</v>
      </c>
      <c r="Y123" s="77">
        <f>DATA!AA114</f>
        <v>50000000</v>
      </c>
      <c r="Z123" s="77">
        <f>DATA!AG114</f>
        <v>-50000000</v>
      </c>
      <c r="AA123" s="20" t="str">
        <f>DATA!AH114</f>
        <v>Tanpa keterangan</v>
      </c>
      <c r="AB123" s="37" t="str">
        <f>DATA!AI114</f>
        <v>-</v>
      </c>
      <c r="AC123" s="152" t="str">
        <f>DATA!AR114</f>
        <v>belum ada dokumen R/C</v>
      </c>
      <c r="AD123" s="152" t="str">
        <f>DATA!AN114</f>
        <v>siap</v>
      </c>
      <c r="AE123" s="152" t="str">
        <f>DATA!AO114</f>
        <v>tidak butuh lahan</v>
      </c>
      <c r="AF123" s="37" t="str">
        <f>DATA!AJ114</f>
        <v>-</v>
      </c>
      <c r="AG123" s="37" t="str">
        <f>DATA!AK114</f>
        <v>-</v>
      </c>
      <c r="AH123" s="37" t="str">
        <f>DATA!AL114</f>
        <v>-</v>
      </c>
      <c r="AI123" s="20" t="str">
        <f>DATA!AR114</f>
        <v>belum ada dokumen R/C</v>
      </c>
      <c r="AJ123" s="20" t="str">
        <f>DATA!AN114</f>
        <v>siap</v>
      </c>
      <c r="AK123" s="20" t="str">
        <f>DATA!AO114</f>
        <v>tidak butuh lahan</v>
      </c>
      <c r="AL123" s="20" t="str">
        <f>DATA!AP114</f>
        <v>belum ada proses tender/lelang</v>
      </c>
      <c r="AM123" s="20" t="str">
        <f>DATA!AY114</f>
        <v>Konfirmasi melalui surat Sekjen nomor KU.01.12-Sj/636 tgl 23 Oktober 2015</v>
      </c>
      <c r="AN123" s="20" t="e">
        <f>DATA!#REF!</f>
        <v>#REF!</v>
      </c>
      <c r="AO123" s="20" t="str">
        <f>DATA!AZ114</f>
        <v>Belum ada pembicaraan dgn ADB</v>
      </c>
      <c r="AP123" s="152" t="e">
        <f>DATA!#REF!</f>
        <v>#REF!</v>
      </c>
      <c r="AQ123" s="37" t="str">
        <f>DATA!BA114</f>
        <v>Engineering services dan management project untuk pengelolaan infrastruktur sumber daya air</v>
      </c>
    </row>
    <row r="124" spans="1:43" s="5" customFormat="1" ht="33.75" customHeight="1">
      <c r="J124" s="28"/>
      <c r="K124" s="50"/>
      <c r="L124" s="30" t="str">
        <f>DATA!I117</f>
        <v>M</v>
      </c>
      <c r="M124" s="31" t="str">
        <f>DATA!J117</f>
        <v>Program Penyediaaan Perumahan Bagi MBR</v>
      </c>
      <c r="N124" s="51"/>
      <c r="O124" s="31"/>
      <c r="P124" s="31"/>
      <c r="Q124" s="31"/>
      <c r="R124" s="81">
        <f>+R125</f>
        <v>300000000</v>
      </c>
      <c r="S124" s="81">
        <f>+S125</f>
        <v>300000000</v>
      </c>
      <c r="T124" s="81">
        <f t="shared" ref="T124:Z124" si="8">+T125</f>
        <v>15000000</v>
      </c>
      <c r="U124" s="81">
        <f t="shared" si="8"/>
        <v>7000000</v>
      </c>
      <c r="V124" s="81">
        <f t="shared" si="8"/>
        <v>322000000</v>
      </c>
      <c r="W124" s="81"/>
      <c r="X124" s="81" t="str">
        <f t="shared" si="8"/>
        <v>Multilateral</v>
      </c>
      <c r="Y124" s="81">
        <f t="shared" si="8"/>
        <v>300000000</v>
      </c>
      <c r="Z124" s="81">
        <f t="shared" si="8"/>
        <v>0</v>
      </c>
      <c r="AA124" s="31"/>
      <c r="AB124" s="32"/>
      <c r="AC124" s="32"/>
      <c r="AD124" s="32"/>
      <c r="AE124" s="32"/>
      <c r="AF124" s="32"/>
      <c r="AG124" s="32"/>
      <c r="AH124" s="32"/>
      <c r="AI124" s="31"/>
      <c r="AJ124" s="31"/>
      <c r="AK124" s="31"/>
      <c r="AL124" s="31"/>
      <c r="AM124" s="31"/>
      <c r="AN124" s="31"/>
      <c r="AO124" s="31"/>
      <c r="AP124" s="32"/>
      <c r="AQ124" s="32"/>
    </row>
    <row r="125" spans="1:43" ht="45.75" customHeight="1">
      <c r="A125" s="10">
        <f>DATA!A117</f>
        <v>88</v>
      </c>
      <c r="B125" s="10">
        <f>DATA!B117</f>
        <v>0</v>
      </c>
      <c r="C125" s="10" t="str">
        <f>DATA!D117</f>
        <v>INFRASTRUKTUR</v>
      </c>
      <c r="D125" s="10">
        <f>DATA!E117</f>
        <v>1</v>
      </c>
      <c r="E125" s="10" t="str">
        <f>DATA!F117</f>
        <v>Kementerian Pekerjaan Umum dan Perumahan Rakyat</v>
      </c>
      <c r="F125" s="10" t="str">
        <f>DATA!H117</f>
        <v>Program for Provision of Housing For Low-Income Households</v>
      </c>
      <c r="G125" s="10" t="str">
        <f>DATA!I117</f>
        <v>M</v>
      </c>
      <c r="H125" s="10" t="str">
        <f>DATA!J117</f>
        <v>Program Penyediaaan Perumahan Bagi MBR</v>
      </c>
      <c r="I125" s="10">
        <f>DATA!K117</f>
        <v>1</v>
      </c>
      <c r="J125" s="33"/>
      <c r="K125" s="54"/>
      <c r="L125" s="20"/>
      <c r="M125" s="36">
        <f>DATA!K117</f>
        <v>1</v>
      </c>
      <c r="N125" s="37" t="str">
        <f>DATA!L117</f>
        <v xml:space="preserve">Financial Support for Low Income Households </v>
      </c>
      <c r="O125" s="20">
        <f>DATA!Q117</f>
        <v>0</v>
      </c>
      <c r="P125" s="20">
        <f>DATA!R117</f>
        <v>0</v>
      </c>
      <c r="Q125" s="20">
        <f>DATA!S117</f>
        <v>79</v>
      </c>
      <c r="R125" s="77">
        <f>DATA!T117</f>
        <v>300000000</v>
      </c>
      <c r="S125" s="88">
        <f>DATA!U117</f>
        <v>300000000</v>
      </c>
      <c r="T125" s="77">
        <f>DATA!V117</f>
        <v>15000000</v>
      </c>
      <c r="U125" s="77">
        <f>DATA!W117</f>
        <v>7000000</v>
      </c>
      <c r="V125" s="77">
        <f>DATA!X117</f>
        <v>322000000</v>
      </c>
      <c r="W125" s="78" t="str">
        <f>DATA!Y117</f>
        <v>Bank Dunia</v>
      </c>
      <c r="X125" s="20" t="str">
        <f>DATA!Z117</f>
        <v>Multilateral</v>
      </c>
      <c r="Y125" s="77">
        <f>DATA!AA117</f>
        <v>300000000</v>
      </c>
      <c r="Z125" s="77">
        <f>DATA!AG117</f>
        <v>0</v>
      </c>
      <c r="AA125" s="20">
        <f>DATA!AH117</f>
        <v>2017</v>
      </c>
      <c r="AB125" s="37" t="str">
        <f>DATA!AI117</f>
        <v>Penyusunan R/C</v>
      </c>
      <c r="AC125" s="152" t="str">
        <f>DATA!AR117</f>
        <v>belum ada dokumen R/C</v>
      </c>
      <c r="AD125" s="152" t="str">
        <f>DATA!AN117</f>
        <v>belum ada keterangan</v>
      </c>
      <c r="AE125" s="152" t="str">
        <f>DATA!AO117</f>
        <v>belum ada keterangan</v>
      </c>
      <c r="AF125" s="37" t="str">
        <f>DATA!AJ117</f>
        <v>-</v>
      </c>
      <c r="AG125" s="37" t="str">
        <f>DATA!AK117</f>
        <v>-</v>
      </c>
      <c r="AH125" s="37" t="str">
        <f>DATA!AL117</f>
        <v>-</v>
      </c>
      <c r="AI125" s="20" t="str">
        <f>DATA!AR117</f>
        <v>belum ada dokumen R/C</v>
      </c>
      <c r="AJ125" s="20" t="str">
        <f>DATA!AN117</f>
        <v>belum ada keterangan</v>
      </c>
      <c r="AK125" s="20" t="str">
        <f>DATA!AO117</f>
        <v>belum ada keterangan</v>
      </c>
      <c r="AL125" s="20" t="str">
        <f>DATA!AP117</f>
        <v>belum ada proses tender/lelang</v>
      </c>
      <c r="AM125" s="20" t="str">
        <f>DATA!AY117</f>
        <v>Konfirmasi melalui surat Sekjen nomor KU.01.12-Sj/636 tgl 23 Oktober 2015</v>
      </c>
      <c r="AN125" s="20" t="e">
        <f>DATA!#REF!</f>
        <v>#REF!</v>
      </c>
      <c r="AO125" s="20" t="str">
        <f>DATA!AZ117</f>
        <v>Tujuan kegiatan ini adalah untuk membantu uang muka pembangunan rumah</v>
      </c>
      <c r="AP125" s="152" t="e">
        <f>DATA!#REF!</f>
        <v>#REF!</v>
      </c>
      <c r="AQ125" s="37" t="str">
        <f>DATA!BA117</f>
        <v>Peningkatan kapasitas lembaga pembiayaan, pengembangan sistem pembiayaan perumahan mikro, dan pengembangan  sistem pembiayaan perumahan</v>
      </c>
    </row>
    <row r="126" spans="1:43" s="4" customFormat="1" ht="24.95" customHeight="1">
      <c r="J126" s="107"/>
      <c r="K126" s="25">
        <f>DATA!E118</f>
        <v>2</v>
      </c>
      <c r="L126" s="108" t="str">
        <f>DATA!F118</f>
        <v>PERUMNAS</v>
      </c>
      <c r="M126" s="26"/>
      <c r="N126" s="27"/>
      <c r="O126" s="26"/>
      <c r="P126" s="26"/>
      <c r="Q126" s="26"/>
      <c r="R126" s="80">
        <f>+R127</f>
        <v>200000000</v>
      </c>
      <c r="S126" s="80">
        <f>+S127</f>
        <v>200000000</v>
      </c>
      <c r="T126" s="80">
        <f t="shared" ref="T126:Z127" si="9">+T127</f>
        <v>20000000</v>
      </c>
      <c r="U126" s="80">
        <f t="shared" si="9"/>
        <v>0</v>
      </c>
      <c r="V126" s="80">
        <f t="shared" si="9"/>
        <v>220000000</v>
      </c>
      <c r="W126" s="80"/>
      <c r="X126" s="80" t="str">
        <f t="shared" si="9"/>
        <v>Bilateral</v>
      </c>
      <c r="Y126" s="80">
        <f t="shared" si="9"/>
        <v>200000000</v>
      </c>
      <c r="Z126" s="80">
        <f t="shared" si="9"/>
        <v>0</v>
      </c>
      <c r="AA126" s="26"/>
      <c r="AB126" s="27"/>
      <c r="AC126" s="27"/>
      <c r="AD126" s="27"/>
      <c r="AE126" s="27"/>
      <c r="AF126" s="27"/>
      <c r="AG126" s="27"/>
      <c r="AH126" s="27"/>
      <c r="AI126" s="26"/>
      <c r="AJ126" s="26"/>
      <c r="AK126" s="26"/>
      <c r="AL126" s="26"/>
      <c r="AM126" s="26"/>
      <c r="AN126" s="26"/>
      <c r="AO126" s="26"/>
      <c r="AP126" s="27"/>
      <c r="AQ126" s="27"/>
    </row>
    <row r="127" spans="1:43" s="5" customFormat="1" ht="33.75" customHeight="1">
      <c r="J127" s="28"/>
      <c r="K127" s="29"/>
      <c r="L127" s="30" t="str">
        <f>DATA!I118</f>
        <v>A</v>
      </c>
      <c r="M127" s="31" t="str">
        <f>DATA!J118</f>
        <v>Program Penyediaaan Perumahan Bagi MBR</v>
      </c>
      <c r="N127" s="51"/>
      <c r="O127" s="31"/>
      <c r="P127" s="31"/>
      <c r="Q127" s="31"/>
      <c r="R127" s="81">
        <f>+R128</f>
        <v>200000000</v>
      </c>
      <c r="S127" s="81">
        <f>+S128</f>
        <v>200000000</v>
      </c>
      <c r="T127" s="81">
        <f t="shared" si="9"/>
        <v>20000000</v>
      </c>
      <c r="U127" s="81">
        <f t="shared" si="9"/>
        <v>0</v>
      </c>
      <c r="V127" s="81">
        <f t="shared" si="9"/>
        <v>220000000</v>
      </c>
      <c r="W127" s="81"/>
      <c r="X127" s="81" t="str">
        <f t="shared" si="9"/>
        <v>Bilateral</v>
      </c>
      <c r="Y127" s="81">
        <f t="shared" si="9"/>
        <v>200000000</v>
      </c>
      <c r="Z127" s="81">
        <f t="shared" si="9"/>
        <v>0</v>
      </c>
      <c r="AA127" s="31"/>
      <c r="AB127" s="32"/>
      <c r="AC127" s="32"/>
      <c r="AD127" s="32"/>
      <c r="AE127" s="32"/>
      <c r="AF127" s="32"/>
      <c r="AG127" s="32"/>
      <c r="AH127" s="32"/>
      <c r="AI127" s="31"/>
      <c r="AJ127" s="31"/>
      <c r="AK127" s="31"/>
      <c r="AL127" s="31"/>
      <c r="AM127" s="31"/>
      <c r="AN127" s="31"/>
      <c r="AO127" s="31"/>
      <c r="AP127" s="32"/>
      <c r="AQ127" s="32"/>
    </row>
    <row r="128" spans="1:43" ht="63.75">
      <c r="A128" s="10">
        <f>DATA!A118</f>
        <v>89</v>
      </c>
      <c r="B128" s="10">
        <f>DATA!B118</f>
        <v>0</v>
      </c>
      <c r="C128" s="10" t="str">
        <f>DATA!D118</f>
        <v>INFRASTRUKTUR</v>
      </c>
      <c r="D128" s="10">
        <f>DATA!E118</f>
        <v>2</v>
      </c>
      <c r="E128" s="10" t="str">
        <f>DATA!F118</f>
        <v>PERUMNAS</v>
      </c>
      <c r="F128" s="10" t="str">
        <f>DATA!H118</f>
        <v>Program for Provision of Housing For Low-Income Households</v>
      </c>
      <c r="G128" s="10" t="str">
        <f>DATA!I118</f>
        <v>A</v>
      </c>
      <c r="H128" s="10" t="str">
        <f>DATA!J118</f>
        <v>Program Penyediaaan Perumahan Bagi MBR</v>
      </c>
      <c r="I128" s="10">
        <f>DATA!K118</f>
        <v>1</v>
      </c>
      <c r="J128" s="33"/>
      <c r="K128" s="54"/>
      <c r="L128" s="20"/>
      <c r="M128" s="36">
        <f>DATA!K118</f>
        <v>1</v>
      </c>
      <c r="N128" s="37" t="str">
        <f>DATA!L118</f>
        <v>Support for National Housing and Urban Development Cooperation</v>
      </c>
      <c r="O128" s="20">
        <f>DATA!Q118</f>
        <v>1</v>
      </c>
      <c r="P128" s="20">
        <f>DATA!R118</f>
        <v>1</v>
      </c>
      <c r="Q128" s="20">
        <f>DATA!S118</f>
        <v>80</v>
      </c>
      <c r="R128" s="77">
        <f>DATA!T118</f>
        <v>200000000</v>
      </c>
      <c r="S128" s="88">
        <f>DATA!U118</f>
        <v>200000000</v>
      </c>
      <c r="T128" s="77">
        <f>DATA!V118</f>
        <v>20000000</v>
      </c>
      <c r="U128" s="77">
        <f>DATA!W118</f>
        <v>0</v>
      </c>
      <c r="V128" s="77">
        <f>DATA!X118</f>
        <v>220000000</v>
      </c>
      <c r="W128" s="78" t="str">
        <f>DATA!Y118</f>
        <v>JICA</v>
      </c>
      <c r="X128" s="20" t="str">
        <f>DATA!Z118</f>
        <v>Bilateral</v>
      </c>
      <c r="Y128" s="77">
        <f>DATA!AA118</f>
        <v>200000000</v>
      </c>
      <c r="Z128" s="77">
        <f>DATA!AG118</f>
        <v>0</v>
      </c>
      <c r="AA128" s="20">
        <f>DATA!AH118</f>
        <v>2017</v>
      </c>
      <c r="AB128" s="37" t="str">
        <f>DATA!AI118</f>
        <v>Penyusunan R/C</v>
      </c>
      <c r="AC128" s="152" t="str">
        <f>DATA!AR118</f>
        <v>belum ada dokumen R/C</v>
      </c>
      <c r="AD128" s="152" t="str">
        <f>DATA!AN118</f>
        <v>dalam proses
(memiliki FS dan DED)</v>
      </c>
      <c r="AE128" s="152" t="str">
        <f>DATA!AO118</f>
        <v>siap</v>
      </c>
      <c r="AF128" s="37" t="str">
        <f>DATA!AJ118</f>
        <v>FS, DED</v>
      </c>
      <c r="AG128" s="37" t="str">
        <f>DATA!AK118</f>
        <v>100% (lahan milik PERUMNAS)</v>
      </c>
      <c r="AH128" s="37" t="str">
        <f>DATA!AL118</f>
        <v>Mengikuti tahapan setiap project sesuai Standart Operational Procedure (SOP) Perumnas</v>
      </c>
      <c r="AI128" s="20" t="str">
        <f>DATA!AR118</f>
        <v>belum ada dokumen R/C</v>
      </c>
      <c r="AJ128" s="20" t="str">
        <f>DATA!AN118</f>
        <v>dalam proses
(memiliki FS dan DED)</v>
      </c>
      <c r="AK128" s="20" t="str">
        <f>DATA!AO118</f>
        <v>siap</v>
      </c>
      <c r="AL128" s="20" t="str">
        <f>DATA!AP118</f>
        <v>belum ada proses tender/lelang</v>
      </c>
      <c r="AM128"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N128" s="20" t="e">
        <f>DATA!#REF!</f>
        <v>#REF!</v>
      </c>
      <c r="AO128" s="20">
        <f>DATA!AZ118</f>
        <v>0</v>
      </c>
      <c r="AP128" s="152" t="e">
        <f>DATA!#REF!</f>
        <v>#REF!</v>
      </c>
      <c r="AQ128" s="37" t="str">
        <f>DATA!BA118</f>
        <v>Membangun 69.784 unit rumah (35.438 unit rumah sederhana tapak dan 34.346 unit rumah susun), meremajakan 3.816 unit rumah susun, dan mengelola perumahan umum (property management)</v>
      </c>
    </row>
    <row r="129" spans="1:43" s="4" customFormat="1" ht="24.95" customHeight="1">
      <c r="J129" s="107"/>
      <c r="K129" s="25">
        <f>DATA!E119</f>
        <v>3</v>
      </c>
      <c r="L129" s="108" t="str">
        <f>DATA!F119</f>
        <v>Kementerian Perhubungan</v>
      </c>
      <c r="M129" s="25"/>
      <c r="N129" s="27"/>
      <c r="O129" s="26"/>
      <c r="P129" s="26"/>
      <c r="Q129" s="26"/>
      <c r="R129" s="80">
        <f>+R130</f>
        <v>5765336700</v>
      </c>
      <c r="S129" s="80">
        <f>+S130</f>
        <v>5765336700</v>
      </c>
      <c r="T129" s="80">
        <f t="shared" ref="T129:Z129" si="10">+T130</f>
        <v>647453200</v>
      </c>
      <c r="U129" s="80">
        <f t="shared" si="10"/>
        <v>0</v>
      </c>
      <c r="V129" s="80">
        <f t="shared" si="10"/>
        <v>6412789900</v>
      </c>
      <c r="W129" s="80"/>
      <c r="X129" s="80" t="e">
        <f t="shared" si="10"/>
        <v>#VALUE!</v>
      </c>
      <c r="Y129" s="80">
        <f t="shared" si="10"/>
        <v>5765336700</v>
      </c>
      <c r="Z129" s="80">
        <f t="shared" si="10"/>
        <v>0</v>
      </c>
      <c r="AA129" s="26"/>
      <c r="AB129" s="27"/>
      <c r="AC129" s="27"/>
      <c r="AD129" s="27"/>
      <c r="AE129" s="27"/>
      <c r="AF129" s="27"/>
      <c r="AG129" s="27"/>
      <c r="AH129" s="27"/>
      <c r="AI129" s="26"/>
      <c r="AJ129" s="26"/>
      <c r="AK129" s="26"/>
      <c r="AL129" s="26"/>
      <c r="AM129" s="26"/>
      <c r="AN129" s="26"/>
      <c r="AO129" s="26"/>
      <c r="AP129" s="27"/>
      <c r="AQ129" s="27"/>
    </row>
    <row r="130" spans="1:43" s="5" customFormat="1" ht="33.75" customHeight="1">
      <c r="J130" s="28"/>
      <c r="K130" s="29"/>
      <c r="L130" s="30" t="str">
        <f>DATA!I119</f>
        <v>A</v>
      </c>
      <c r="M130" s="31" t="str">
        <f>DATA!J119</f>
        <v>Program Pengembangan Perkeretaapian</v>
      </c>
      <c r="N130" s="51"/>
      <c r="O130" s="31"/>
      <c r="P130" s="31"/>
      <c r="Q130" s="31"/>
      <c r="R130" s="81">
        <f>+R131+R134+R135+R136</f>
        <v>5765336700</v>
      </c>
      <c r="S130" s="81">
        <f>+S131+S134+S135+S136</f>
        <v>5765336700</v>
      </c>
      <c r="T130" s="81">
        <f t="shared" ref="T130:Z130" si="11">+T131+T134+T135+T136</f>
        <v>647453200</v>
      </c>
      <c r="U130" s="81">
        <f t="shared" si="11"/>
        <v>0</v>
      </c>
      <c r="V130" s="81">
        <f t="shared" si="11"/>
        <v>6412789900</v>
      </c>
      <c r="W130" s="81"/>
      <c r="X130" s="81" t="e">
        <f t="shared" si="11"/>
        <v>#VALUE!</v>
      </c>
      <c r="Y130" s="81">
        <f t="shared" si="11"/>
        <v>5765336700</v>
      </c>
      <c r="Z130" s="81">
        <f t="shared" si="11"/>
        <v>0</v>
      </c>
      <c r="AA130" s="31"/>
      <c r="AB130" s="32"/>
      <c r="AC130" s="32"/>
      <c r="AD130" s="32"/>
      <c r="AE130" s="32"/>
      <c r="AF130" s="32"/>
      <c r="AG130" s="32"/>
      <c r="AH130" s="32"/>
      <c r="AI130" s="31"/>
      <c r="AJ130" s="31"/>
      <c r="AK130" s="31"/>
      <c r="AL130" s="31"/>
      <c r="AM130" s="31"/>
      <c r="AN130" s="31"/>
      <c r="AO130" s="31"/>
      <c r="AP130" s="32"/>
      <c r="AQ130" s="32"/>
    </row>
    <row r="131" spans="1:43" ht="27.75" customHeight="1">
      <c r="A131" s="10">
        <f>DATA!A119</f>
        <v>90</v>
      </c>
      <c r="B131" s="10">
        <f>DATA!B119</f>
        <v>0</v>
      </c>
      <c r="C131" s="10" t="str">
        <f>DATA!D119</f>
        <v>INFRASTRUKTUR</v>
      </c>
      <c r="D131" s="10">
        <f>DATA!E119</f>
        <v>3</v>
      </c>
      <c r="E131" s="10" t="str">
        <f>DATA!F119</f>
        <v>Kementerian Perhubungan</v>
      </c>
      <c r="F131" s="10" t="str">
        <f>DATA!H119</f>
        <v>Railway Development Program</v>
      </c>
      <c r="G131" s="10" t="str">
        <f>DATA!I119</f>
        <v>A</v>
      </c>
      <c r="H131" s="10" t="str">
        <f>DATA!J119</f>
        <v>Program Pengembangan Perkeretaapian</v>
      </c>
      <c r="I131" s="10">
        <f>DATA!K119</f>
        <v>1</v>
      </c>
      <c r="J131" s="33"/>
      <c r="K131" s="34"/>
      <c r="L131" s="35"/>
      <c r="M131" s="36">
        <f>DATA!K119</f>
        <v>1</v>
      </c>
      <c r="N131" s="37" t="str">
        <f>DATA!L119</f>
        <v>Procurement of Track Material and Turn Out:</v>
      </c>
      <c r="O131" s="20">
        <f>DATA!Q119</f>
        <v>0</v>
      </c>
      <c r="P131" s="20">
        <f>DATA!R119</f>
        <v>0</v>
      </c>
      <c r="Q131" s="20">
        <f>DATA!S119</f>
        <v>0</v>
      </c>
      <c r="R131" s="77">
        <f>DATA!T119</f>
        <v>492336700</v>
      </c>
      <c r="S131" s="88">
        <f>DATA!U119</f>
        <v>492336700</v>
      </c>
      <c r="T131" s="77">
        <f>DATA!V119</f>
        <v>119453200</v>
      </c>
      <c r="U131" s="77">
        <f>DATA!W119</f>
        <v>0</v>
      </c>
      <c r="V131" s="77">
        <f>DATA!X119</f>
        <v>611789900</v>
      </c>
      <c r="W131" s="78" t="str">
        <f>DATA!Y119</f>
        <v>-</v>
      </c>
      <c r="X131" s="20">
        <f>DATA!Z119</f>
        <v>0</v>
      </c>
      <c r="Y131" s="77">
        <f>DATA!AA119</f>
        <v>492336700</v>
      </c>
      <c r="Z131" s="77">
        <f>DATA!AG119</f>
        <v>0</v>
      </c>
      <c r="AA131" s="20" t="str">
        <f>DATA!AH119</f>
        <v>-</v>
      </c>
      <c r="AB131" s="37" t="str">
        <f>DATA!AI119</f>
        <v>-</v>
      </c>
      <c r="AC131" s="152" t="str">
        <f>DATA!AM119</f>
        <v>-</v>
      </c>
      <c r="AD131" s="152">
        <f>DATA!AN119</f>
        <v>0</v>
      </c>
      <c r="AE131" s="152" t="str">
        <f>DATA!AO119</f>
        <v>-</v>
      </c>
      <c r="AF131" s="37" t="str">
        <f>DATA!AJ119</f>
        <v>-</v>
      </c>
      <c r="AG131" s="37" t="str">
        <f>DATA!AK119</f>
        <v>-</v>
      </c>
      <c r="AH131" s="37" t="str">
        <f>DATA!AL119</f>
        <v>-</v>
      </c>
      <c r="AI131" s="20" t="str">
        <f>DATA!AM119</f>
        <v>-</v>
      </c>
      <c r="AJ131" s="20">
        <f>DATA!AN119</f>
        <v>0</v>
      </c>
      <c r="AK131" s="20" t="str">
        <f>DATA!AO119</f>
        <v>-</v>
      </c>
      <c r="AL131" s="20">
        <f>DATA!AP119</f>
        <v>0</v>
      </c>
      <c r="AM131" s="20" t="str">
        <f>DATA!AY119</f>
        <v>Surat Kepala Biro Perencanaan nomor 548/BI/SRT/IX/2015 tgl 10 September 2015</v>
      </c>
      <c r="AN131" s="20" t="e">
        <f>DATA!#REF!</f>
        <v>#REF!</v>
      </c>
      <c r="AO131" s="20">
        <f>DATA!AZ119</f>
        <v>0</v>
      </c>
      <c r="AP131" s="152" t="e">
        <f>DATA!#REF!</f>
        <v>#REF!</v>
      </c>
      <c r="AQ131" s="37" t="str">
        <f>DATA!BA119</f>
        <v>Pengadaan 4.500 km track material dan pengadaan 650 unit wesel</v>
      </c>
    </row>
    <row r="132" spans="1:43" s="6" customFormat="1" ht="89.25">
      <c r="A132" s="6">
        <f>DATA!A120</f>
        <v>91</v>
      </c>
      <c r="B132" s="6">
        <f>DATA!B120</f>
        <v>0</v>
      </c>
      <c r="C132" s="6" t="str">
        <f>DATA!D120</f>
        <v>INFRASTRUKTUR</v>
      </c>
      <c r="D132" s="6">
        <f>DATA!E120</f>
        <v>3</v>
      </c>
      <c r="E132" s="6" t="str">
        <f>DATA!F120</f>
        <v>Kementerian Perhubungan</v>
      </c>
      <c r="F132" s="6" t="str">
        <f>DATA!H120</f>
        <v>Railway Development Program</v>
      </c>
      <c r="G132" s="6" t="str">
        <f>DATA!I120</f>
        <v>A</v>
      </c>
      <c r="H132" s="6" t="str">
        <f>DATA!J120</f>
        <v>Program Pengembangan Perkeretaapian</v>
      </c>
      <c r="I132" s="6">
        <f>DATA!K120</f>
        <v>1</v>
      </c>
      <c r="J132" s="38"/>
      <c r="K132" s="39"/>
      <c r="L132" s="39"/>
      <c r="M132" s="40"/>
      <c r="N132" s="67" t="str">
        <f>DATA!L120</f>
        <v>Procurement of Track Material and Turn Out - Phase II</v>
      </c>
      <c r="O132" s="42">
        <f>DATA!Q120</f>
        <v>1</v>
      </c>
      <c r="P132" s="42">
        <f>DATA!R120</f>
        <v>1</v>
      </c>
      <c r="Q132" s="42">
        <f>DATA!S120</f>
        <v>81</v>
      </c>
      <c r="R132" s="83">
        <f>DATA!T120</f>
        <v>200000000</v>
      </c>
      <c r="S132" s="88">
        <f>DATA!U120</f>
        <v>200000000</v>
      </c>
      <c r="T132" s="83">
        <f>DATA!V120</f>
        <v>46369000</v>
      </c>
      <c r="U132" s="83">
        <f>DATA!W120</f>
        <v>0</v>
      </c>
      <c r="V132" s="83">
        <f>DATA!X120</f>
        <v>246369000</v>
      </c>
      <c r="W132" s="84" t="str">
        <f>DATA!Y120</f>
        <v>RRT</v>
      </c>
      <c r="X132" s="42" t="str">
        <f>DATA!Z120</f>
        <v>Bilateral</v>
      </c>
      <c r="Y132" s="83">
        <f>DATA!AA120</f>
        <v>200000000</v>
      </c>
      <c r="Z132" s="83">
        <f>DATA!AG120</f>
        <v>0</v>
      </c>
      <c r="AA132" s="42">
        <f>DATA!AH120</f>
        <v>2016</v>
      </c>
      <c r="AB132" s="67" t="str">
        <f>DATA!AI120</f>
        <v>- Sudah ada R/C
- Green Book 2015
- Proses E/N dan LA
- Dalam proses persiapan penandatanganan Loan Agreement</v>
      </c>
      <c r="AC132" s="152" t="str">
        <f>DATA!AR120</f>
        <v>Nilai pinjaman di:
- GB 16 USD 175.056 ribu
- GB 15 USD 185.470 ribu</v>
      </c>
      <c r="AD132" s="152" t="str">
        <f>DATA!AN120</f>
        <v>dalam proses</v>
      </c>
      <c r="AE132" s="152" t="str">
        <f>DATA!AO120</f>
        <v>tidak butuh lahan</v>
      </c>
      <c r="AF132" s="67" t="str">
        <f>DATA!AJ120</f>
        <v>- TOR
- RAB</v>
      </c>
      <c r="AG132" s="67" t="str">
        <f>DATA!AK120</f>
        <v xml:space="preserve">Tidak butuh pengadaan lahan </v>
      </c>
      <c r="AH132" s="67" t="str">
        <f>DATA!AL120</f>
        <v>Proses persetujuan draft kontrak oleh Menteri Perhubungan</v>
      </c>
      <c r="AI132" s="42" t="str">
        <f>DATA!AR120</f>
        <v>Nilai pinjaman di:
- GB 16 USD 175.056 ribu
- GB 15 USD 185.470 ribu</v>
      </c>
      <c r="AJ132" s="42" t="str">
        <f>DATA!AN120</f>
        <v>dalam proses</v>
      </c>
      <c r="AK132" s="42" t="str">
        <f>DATA!AO120</f>
        <v>tidak butuh lahan</v>
      </c>
      <c r="AL132" s="42" t="str">
        <f>DATA!AP120</f>
        <v>belum ada proses tender/lelang</v>
      </c>
      <c r="AM132" s="42" t="str">
        <f>DATA!AY120</f>
        <v>Surat Kepala Biro Perencanaan nomor 548/BI/SRT/IX/2015 tgl 10 September 2015</v>
      </c>
      <c r="AN132" s="42" t="e">
        <f>DATA!#REF!</f>
        <v>#REF!</v>
      </c>
      <c r="AO132" s="42">
        <f>DATA!AZ120</f>
        <v>0</v>
      </c>
      <c r="AP132" s="152" t="e">
        <f>DATA!#REF!</f>
        <v>#REF!</v>
      </c>
      <c r="AQ132" s="67" t="str">
        <f>DATA!BA120</f>
        <v>Pengadaan 1.500 km track material tipe UIC-54 dan pengadaan 300 unit wesel</v>
      </c>
    </row>
    <row r="133" spans="1:43" s="6" customFormat="1" ht="35.25" customHeight="1">
      <c r="A133" s="6">
        <f>DATA!A121</f>
        <v>92</v>
      </c>
      <c r="B133" s="6">
        <f>DATA!B121</f>
        <v>0</v>
      </c>
      <c r="C133" s="6" t="str">
        <f>DATA!D121</f>
        <v>INFRASTRUKTUR</v>
      </c>
      <c r="D133" s="6">
        <f>DATA!E121</f>
        <v>3</v>
      </c>
      <c r="E133" s="6" t="str">
        <f>DATA!F121</f>
        <v>Kementerian Perhubungan</v>
      </c>
      <c r="F133" s="6" t="str">
        <f>DATA!H121</f>
        <v>Railway Development Program</v>
      </c>
      <c r="G133" s="6" t="str">
        <f>DATA!I121</f>
        <v>A</v>
      </c>
      <c r="H133" s="6" t="str">
        <f>DATA!J121</f>
        <v>Program Pengembangan Perkeretaapian</v>
      </c>
      <c r="I133" s="6">
        <f>DATA!K121</f>
        <v>1</v>
      </c>
      <c r="J133" s="38"/>
      <c r="K133" s="39"/>
      <c r="L133" s="39"/>
      <c r="M133" s="43"/>
      <c r="N133" s="67" t="str">
        <f>DATA!L121</f>
        <v>Procurement of Track Material and Turn Out - Phase III</v>
      </c>
      <c r="O133" s="42">
        <f>DATA!Q121</f>
        <v>1</v>
      </c>
      <c r="P133" s="42">
        <f>DATA!R121</f>
        <v>1</v>
      </c>
      <c r="Q133" s="42">
        <f>DATA!S121</f>
        <v>82</v>
      </c>
      <c r="R133" s="83">
        <f>DATA!T121</f>
        <v>292336700</v>
      </c>
      <c r="S133" s="88">
        <f>DATA!U121</f>
        <v>292336700</v>
      </c>
      <c r="T133" s="83">
        <f>DATA!V121</f>
        <v>73084200</v>
      </c>
      <c r="U133" s="83">
        <f>DATA!W121</f>
        <v>0</v>
      </c>
      <c r="V133" s="83">
        <f>DATA!X121</f>
        <v>365420900</v>
      </c>
      <c r="W133" s="84" t="str">
        <f>DATA!Y121</f>
        <v>Belum Ada Indikasi</v>
      </c>
      <c r="X133" s="42" t="str">
        <f>DATA!Z121</f>
        <v>Belum Ada Indikasi</v>
      </c>
      <c r="Y133" s="83">
        <f>DATA!AA121</f>
        <v>292336700</v>
      </c>
      <c r="Z133" s="83">
        <f>DATA!AG121</f>
        <v>0</v>
      </c>
      <c r="AA133" s="42">
        <f>DATA!AH121</f>
        <v>2016</v>
      </c>
      <c r="AB133" s="67" t="str">
        <f>DATA!AI121</f>
        <v>-</v>
      </c>
      <c r="AC133" s="152" t="str">
        <f>DATA!AR121</f>
        <v>belum ada dokumen R/C</v>
      </c>
      <c r="AD133" s="152" t="str">
        <f>DATA!AN121</f>
        <v>belum ada keterangan</v>
      </c>
      <c r="AE133" s="152" t="str">
        <f>DATA!AO121</f>
        <v>tidak butuh lahan</v>
      </c>
      <c r="AF133" s="67" t="str">
        <f>DATA!AJ121</f>
        <v>-</v>
      </c>
      <c r="AG133" s="67" t="str">
        <f>DATA!AK121</f>
        <v xml:space="preserve">Tidak butuh pengadaan lahan </v>
      </c>
      <c r="AH133" s="67" t="str">
        <f>DATA!AL121</f>
        <v>-</v>
      </c>
      <c r="AI133" s="42" t="str">
        <f>DATA!AR121</f>
        <v>belum ada dokumen R/C</v>
      </c>
      <c r="AJ133" s="42" t="str">
        <f>DATA!AN121</f>
        <v>belum ada keterangan</v>
      </c>
      <c r="AK133" s="42" t="str">
        <f>DATA!AO121</f>
        <v>tidak butuh lahan</v>
      </c>
      <c r="AL133" s="42" t="str">
        <f>DATA!AP121</f>
        <v>belum ada proses tender/lelang</v>
      </c>
      <c r="AM133" s="42" t="str">
        <f>DATA!AY121</f>
        <v xml:space="preserve">- Menunggu kepastian Lender
- Surat Kepala Biro Perencanaan nomor 548/BI/SRT/IX/2015 tgl 10 September 2015
</v>
      </c>
      <c r="AN133" s="42" t="e">
        <f>DATA!#REF!</f>
        <v>#REF!</v>
      </c>
      <c r="AO133" s="42">
        <f>DATA!AZ121</f>
        <v>0</v>
      </c>
      <c r="AP133" s="152" t="e">
        <f>DATA!#REF!</f>
        <v>#REF!</v>
      </c>
      <c r="AQ133" s="67" t="str">
        <f>DATA!BA121</f>
        <v>Pengadaan 3.000 km track material tipe R 60 dan pengadaan 350 unit wesel</v>
      </c>
    </row>
    <row r="134" spans="1:43" ht="75.75" customHeight="1">
      <c r="A134" s="10">
        <f>DATA!A123</f>
        <v>93</v>
      </c>
      <c r="B134" s="10">
        <f>DATA!B123</f>
        <v>0</v>
      </c>
      <c r="C134" s="10" t="str">
        <f>DATA!D123</f>
        <v>INFRASTRUKTUR</v>
      </c>
      <c r="D134" s="10">
        <f>DATA!E123</f>
        <v>3</v>
      </c>
      <c r="E134" s="10" t="str">
        <f>DATA!F123</f>
        <v>Kementerian Perhubungan</v>
      </c>
      <c r="F134" s="10" t="str">
        <f>DATA!H123</f>
        <v>Railway Development Program</v>
      </c>
      <c r="G134" s="10" t="str">
        <f>DATA!I123</f>
        <v>A</v>
      </c>
      <c r="H134" s="10" t="str">
        <f>DATA!J123</f>
        <v>Program Pengembangan Perkeretaapian</v>
      </c>
      <c r="I134" s="10">
        <f>DATA!K123</f>
        <v>2</v>
      </c>
      <c r="J134" s="33"/>
      <c r="K134" s="34"/>
      <c r="L134" s="34"/>
      <c r="M134" s="36">
        <f>DATA!K123</f>
        <v>2</v>
      </c>
      <c r="N134" s="37" t="str">
        <f>DATA!L123</f>
        <v xml:space="preserve">Construction of Jakarta Mass Rapid Transit Project - Phase II </v>
      </c>
      <c r="O134" s="20">
        <f>DATA!Q123</f>
        <v>1</v>
      </c>
      <c r="P134" s="20">
        <f>DATA!R123</f>
        <v>1</v>
      </c>
      <c r="Q134" s="20">
        <f>DATA!S123</f>
        <v>83</v>
      </c>
      <c r="R134" s="77">
        <f>DATA!T123</f>
        <v>1678000000</v>
      </c>
      <c r="S134" s="88">
        <f>DATA!U123</f>
        <v>1678000000</v>
      </c>
      <c r="T134" s="77">
        <f>DATA!V123</f>
        <v>167800000</v>
      </c>
      <c r="U134" s="77">
        <f>DATA!W123</f>
        <v>0</v>
      </c>
      <c r="V134" s="77">
        <f>DATA!X123</f>
        <v>1845800000</v>
      </c>
      <c r="W134" s="78" t="str">
        <f>DATA!Y123</f>
        <v>JICA</v>
      </c>
      <c r="X134" s="20" t="str">
        <f>DATA!Z123</f>
        <v>Bilateral</v>
      </c>
      <c r="Y134" s="77">
        <f>DATA!AA123</f>
        <v>1678000000</v>
      </c>
      <c r="Z134" s="77">
        <f>DATA!AG123</f>
        <v>0</v>
      </c>
      <c r="AA134" s="20">
        <f>DATA!AH123</f>
        <v>2016</v>
      </c>
      <c r="AB134" s="37" t="str">
        <f>DATA!AI123</f>
        <v>-</v>
      </c>
      <c r="AC134" s="152" t="str">
        <f>DATA!AR123</f>
        <v>belum ada dokumen R/C</v>
      </c>
      <c r="AD134" s="152" t="str">
        <f>DATA!AN123</f>
        <v>dalam proses
(memiliki FS)</v>
      </c>
      <c r="AE134" s="152" t="str">
        <f>DATA!AO123</f>
        <v>dalam proses
(perencanaan)</v>
      </c>
      <c r="AF134" s="37" t="str">
        <f>DATA!AJ123</f>
        <v>- FS
- TOR (Disusun oleh Pemda DKI Jakarta)
-  RAB (Disusun oleh Pemda DKI Jakarta)</v>
      </c>
      <c r="AG134" s="37" t="str">
        <f>DATA!AK123</f>
        <v>Indikasi kebutuhan lahan menunggu hasil desain</v>
      </c>
      <c r="AH134" s="37" t="str">
        <f>DATA!AL123</f>
        <v>- Dilaksanakan oleh Pemda DKI Jakarta (Implementing Agency)</v>
      </c>
      <c r="AI134" s="20" t="str">
        <f>DATA!AR123</f>
        <v>belum ada dokumen R/C</v>
      </c>
      <c r="AJ134" s="20" t="str">
        <f>DATA!AN123</f>
        <v>dalam proses
(memiliki FS)</v>
      </c>
      <c r="AK134" s="20" t="str">
        <f>DATA!AO123</f>
        <v>dalam proses
(perencanaan)</v>
      </c>
      <c r="AL134" s="20" t="str">
        <f>DATA!AP123</f>
        <v>belum ada proses tender/lelang</v>
      </c>
      <c r="AM134" s="20" t="str">
        <f>DATA!AY123</f>
        <v>Surat Kepala Biro Perencanaan nomor 548/BI/SRT/IX/2015 tgl 10 September 2015</v>
      </c>
      <c r="AN134" s="20" t="e">
        <f>DATA!#REF!</f>
        <v>#REF!</v>
      </c>
      <c r="AO134" s="20">
        <f>DATA!AZ123</f>
        <v>0</v>
      </c>
      <c r="AP134" s="152" t="e">
        <f>DATA!#REF!</f>
        <v>#REF!</v>
      </c>
      <c r="AQ134" s="37" t="str">
        <f>DATA!BA123</f>
        <v>Terbangunnya jaringan MRT dari bundaran HI ke Kampung Bandan</v>
      </c>
    </row>
    <row r="135" spans="1:43" ht="74.25" customHeight="1">
      <c r="A135" s="10">
        <f>DATA!A124</f>
        <v>94</v>
      </c>
      <c r="B135" s="10">
        <f>DATA!B124</f>
        <v>0</v>
      </c>
      <c r="C135" s="10" t="str">
        <f>DATA!D124</f>
        <v>INFRASTRUKTUR</v>
      </c>
      <c r="D135" s="10">
        <f>DATA!E124</f>
        <v>3</v>
      </c>
      <c r="E135" s="10" t="str">
        <f>DATA!F124</f>
        <v>Kementerian Perhubungan</v>
      </c>
      <c r="F135" s="10" t="str">
        <f>DATA!H124</f>
        <v>Railway Development Program</v>
      </c>
      <c r="G135" s="10" t="str">
        <f>DATA!I124</f>
        <v>A</v>
      </c>
      <c r="H135" s="10" t="str">
        <f>DATA!J124</f>
        <v>Program Pengembangan Perkeretaapian</v>
      </c>
      <c r="I135" s="10">
        <f>DATA!K124</f>
        <v>3</v>
      </c>
      <c r="J135" s="33"/>
      <c r="K135" s="34"/>
      <c r="L135" s="34"/>
      <c r="M135" s="36">
        <f>DATA!K124</f>
        <v>3</v>
      </c>
      <c r="N135" s="37" t="str">
        <f>DATA!L124</f>
        <v>Construction of Jakarta Mass Rapid Transit East-West Line Project - Phase I</v>
      </c>
      <c r="O135" s="20">
        <f>DATA!Q124</f>
        <v>1</v>
      </c>
      <c r="P135" s="20">
        <f>DATA!R124</f>
        <v>1</v>
      </c>
      <c r="Q135" s="20">
        <f>DATA!S124</f>
        <v>84</v>
      </c>
      <c r="R135" s="77">
        <f>DATA!T124</f>
        <v>3572000000</v>
      </c>
      <c r="S135" s="88">
        <f>DATA!U124</f>
        <v>3572000000</v>
      </c>
      <c r="T135" s="77">
        <f>DATA!V124</f>
        <v>357200000</v>
      </c>
      <c r="U135" s="77">
        <f>DATA!W124</f>
        <v>0</v>
      </c>
      <c r="V135" s="77">
        <f>DATA!X124</f>
        <v>3929200000</v>
      </c>
      <c r="W135" s="78" t="str">
        <f>DATA!Y124</f>
        <v>JICA</v>
      </c>
      <c r="X135" s="20" t="str">
        <f>DATA!Z124</f>
        <v>Bilateral</v>
      </c>
      <c r="Y135" s="77">
        <f>DATA!AA124</f>
        <v>3572000000</v>
      </c>
      <c r="Z135" s="77">
        <f>DATA!AG124</f>
        <v>0</v>
      </c>
      <c r="AA135" s="20">
        <f>DATA!AH124</f>
        <v>2018</v>
      </c>
      <c r="AB135" s="37" t="str">
        <f>DATA!AI124</f>
        <v>-</v>
      </c>
      <c r="AC135" s="152" t="str">
        <f>DATA!AR124</f>
        <v>belum ada dokumen R/C</v>
      </c>
      <c r="AD135" s="152" t="str">
        <f>DATA!AN124</f>
        <v>dalam proses
(memiliki FS)</v>
      </c>
      <c r="AE135" s="152" t="str">
        <f>DATA!AO124</f>
        <v>dalam proses
(perencanaan)</v>
      </c>
      <c r="AF135" s="37" t="str">
        <f>DATA!AJ124</f>
        <v>- FS
- TOR (Disusun oleh Pemda DKI Jakarta)
-  RAB (Disusun oleh Pemda DKI Jakarta)</v>
      </c>
      <c r="AG135" s="37" t="str">
        <f>DATA!AK124</f>
        <v>Indikasi kebutuhan lahan menunggu hasil desain</v>
      </c>
      <c r="AH135" s="37" t="str">
        <f>DATA!AL124</f>
        <v>- Dilaksanakan oleh Pemda DKI Jakarta (Implementing Agency)</v>
      </c>
      <c r="AI135" s="20" t="str">
        <f>DATA!AR124</f>
        <v>belum ada dokumen R/C</v>
      </c>
      <c r="AJ135" s="20" t="str">
        <f>DATA!AN124</f>
        <v>dalam proses
(memiliki FS)</v>
      </c>
      <c r="AK135" s="20" t="str">
        <f>DATA!AO124</f>
        <v>dalam proses
(perencanaan)</v>
      </c>
      <c r="AL135" s="20" t="str">
        <f>DATA!AP124</f>
        <v>belum ada proses tender/lelang</v>
      </c>
      <c r="AM135" s="20" t="str">
        <f>DATA!AY124</f>
        <v>Surat Kepala Biro Perencanaan nomor 548/BI/SRT/IX/2015 tgl 10 September 2015</v>
      </c>
      <c r="AN135" s="20" t="e">
        <f>DATA!#REF!</f>
        <v>#REF!</v>
      </c>
      <c r="AO135" s="20">
        <f>DATA!AZ124</f>
        <v>0</v>
      </c>
      <c r="AP135" s="152" t="e">
        <f>DATA!#REF!</f>
        <v>#REF!</v>
      </c>
      <c r="AQ135" s="37" t="str">
        <f>DATA!BA124</f>
        <v>Terbangunnya jaringan MRT dari Jakarta Timur ke Jakarta Barat</v>
      </c>
    </row>
    <row r="136" spans="1:43" ht="51">
      <c r="A136" s="10">
        <f>DATA!A125</f>
        <v>95</v>
      </c>
      <c r="B136" s="10">
        <f>DATA!B125</f>
        <v>0</v>
      </c>
      <c r="C136" s="10" t="str">
        <f>DATA!D125</f>
        <v>INFRASTRUKTUR</v>
      </c>
      <c r="D136" s="10">
        <f>DATA!E125</f>
        <v>3</v>
      </c>
      <c r="E136" s="10" t="str">
        <f>DATA!F125</f>
        <v>Kementerian Perhubungan</v>
      </c>
      <c r="F136" s="10" t="str">
        <f>DATA!H125</f>
        <v>Railway Development Program</v>
      </c>
      <c r="G136" s="10" t="str">
        <f>DATA!I125</f>
        <v>A</v>
      </c>
      <c r="H136" s="10" t="str">
        <f>DATA!J125</f>
        <v>Program Pengembangan Perkeretaapian</v>
      </c>
      <c r="I136" s="10">
        <f>DATA!K125</f>
        <v>4</v>
      </c>
      <c r="J136" s="33"/>
      <c r="K136" s="54"/>
      <c r="L136" s="54"/>
      <c r="M136" s="36">
        <f>DATA!K125</f>
        <v>4</v>
      </c>
      <c r="N136" s="37" t="str">
        <f>DATA!L125</f>
        <v xml:space="preserve">Engineering Services Jakarta Mass Rapid Transit (MRT) East West Line Project - Phase I </v>
      </c>
      <c r="O136" s="20">
        <f>DATA!Q125</f>
        <v>1</v>
      </c>
      <c r="P136" s="20">
        <f>DATA!R125</f>
        <v>1</v>
      </c>
      <c r="Q136" s="20">
        <f>DATA!S125</f>
        <v>86</v>
      </c>
      <c r="R136" s="77">
        <f>DATA!T125</f>
        <v>23000000</v>
      </c>
      <c r="S136" s="88">
        <f>DATA!U125</f>
        <v>23000000</v>
      </c>
      <c r="T136" s="77">
        <f>DATA!V125</f>
        <v>3000000</v>
      </c>
      <c r="U136" s="77">
        <f>DATA!W125</f>
        <v>0</v>
      </c>
      <c r="V136" s="77">
        <f>DATA!X125</f>
        <v>26000000</v>
      </c>
      <c r="W136" s="78" t="str">
        <f>DATA!Y125</f>
        <v>JICA</v>
      </c>
      <c r="X136" s="20" t="str">
        <f>DATA!Z125</f>
        <v>Bilateral</v>
      </c>
      <c r="Y136" s="77">
        <f>DATA!AA125</f>
        <v>23000000</v>
      </c>
      <c r="Z136" s="77">
        <f>DATA!AG125</f>
        <v>0</v>
      </c>
      <c r="AA136" s="20">
        <f>DATA!AH125</f>
        <v>2015</v>
      </c>
      <c r="AB136" s="37" t="str">
        <f>DATA!AI125</f>
        <v>- Sudah ada R/C
- Green Book 2015
- Loan Agreement tgl 4 Des'15</v>
      </c>
      <c r="AC136" s="152" t="str">
        <f>DATA!AR125</f>
        <v>Nilai pinjaman di GB 19.200 ribu</v>
      </c>
      <c r="AD136" s="152" t="str">
        <f>DATA!AN125</f>
        <v>siap</v>
      </c>
      <c r="AE136" s="152" t="str">
        <f>DATA!AO125</f>
        <v>tidak butuh lahan</v>
      </c>
      <c r="AF136" s="37" t="str">
        <f>DATA!AJ125</f>
        <v>- TOR
- RAB</v>
      </c>
      <c r="AG136" s="37" t="str">
        <f>DATA!AK125</f>
        <v>Tidak membutuhkan pengadaan lahan</v>
      </c>
      <c r="AH136" s="37" t="str">
        <f>DATA!AL125</f>
        <v xml:space="preserve">- </v>
      </c>
      <c r="AI136" s="20" t="str">
        <f>DATA!AR125</f>
        <v>Nilai pinjaman di GB 19.200 ribu</v>
      </c>
      <c r="AJ136" s="20" t="str">
        <f>DATA!AN125</f>
        <v>siap</v>
      </c>
      <c r="AK136" s="20" t="str">
        <f>DATA!AO125</f>
        <v>tidak butuh lahan</v>
      </c>
      <c r="AL136" s="20" t="str">
        <f>DATA!AP125</f>
        <v>belum ada proses tender/lelang</v>
      </c>
      <c r="AM136" s="20" t="str">
        <f>DATA!AY125</f>
        <v>Surat Kepala Biro Perencanaan nomor 548/BI/SRT/IX/2015 tgl 10 September 2015</v>
      </c>
      <c r="AN136" s="20" t="e">
        <f>DATA!#REF!</f>
        <v>#REF!</v>
      </c>
      <c r="AO136" s="20">
        <f>DATA!AZ125</f>
        <v>0</v>
      </c>
      <c r="AP136" s="152" t="e">
        <f>DATA!#REF!</f>
        <v>#REF!</v>
      </c>
      <c r="AQ136" s="37" t="str">
        <f>DATA!BA125</f>
        <v xml:space="preserve">Tersedianya DED dan dokumen tender </v>
      </c>
    </row>
    <row r="137" spans="1:43" s="4" customFormat="1" ht="24.95" customHeight="1">
      <c r="J137" s="107"/>
      <c r="K137" s="25">
        <f>DATA!E130</f>
        <v>4</v>
      </c>
      <c r="L137" s="108" t="str">
        <f>DATA!F130</f>
        <v>Pemprov. DKI Jakarta</v>
      </c>
      <c r="M137" s="25"/>
      <c r="N137" s="27"/>
      <c r="O137" s="26"/>
      <c r="P137" s="26"/>
      <c r="Q137" s="26"/>
      <c r="R137" s="80">
        <f>+R138</f>
        <v>1050000000</v>
      </c>
      <c r="S137" s="80">
        <f>+S138</f>
        <v>1050000000</v>
      </c>
      <c r="T137" s="80">
        <f t="shared" ref="T137:Z138" si="12">+T138</f>
        <v>150000000</v>
      </c>
      <c r="U137" s="80">
        <f t="shared" si="12"/>
        <v>0</v>
      </c>
      <c r="V137" s="80">
        <f t="shared" si="12"/>
        <v>1200000000</v>
      </c>
      <c r="W137" s="80"/>
      <c r="X137" s="80" t="str">
        <f t="shared" si="12"/>
        <v>Bilateral</v>
      </c>
      <c r="Y137" s="80">
        <f t="shared" si="12"/>
        <v>1050000000</v>
      </c>
      <c r="Z137" s="80">
        <f t="shared" si="12"/>
        <v>0</v>
      </c>
      <c r="AA137" s="26"/>
      <c r="AB137" s="27"/>
      <c r="AC137" s="27"/>
      <c r="AD137" s="27"/>
      <c r="AE137" s="27"/>
      <c r="AF137" s="27"/>
      <c r="AG137" s="27"/>
      <c r="AH137" s="27"/>
      <c r="AI137" s="26"/>
      <c r="AJ137" s="26"/>
      <c r="AK137" s="26"/>
      <c r="AL137" s="26"/>
      <c r="AM137" s="26"/>
      <c r="AN137" s="26"/>
      <c r="AO137" s="26"/>
      <c r="AP137" s="27"/>
      <c r="AQ137" s="27"/>
    </row>
    <row r="138" spans="1:43" s="5" customFormat="1" ht="33.75" customHeight="1">
      <c r="J138" s="28"/>
      <c r="K138" s="29"/>
      <c r="L138" s="30" t="str">
        <f>DATA!I130</f>
        <v>A</v>
      </c>
      <c r="M138" s="31" t="str">
        <f>DATA!J130</f>
        <v>Program Pengembangan Perkeretaapian</v>
      </c>
      <c r="N138" s="51"/>
      <c r="O138" s="31"/>
      <c r="P138" s="31"/>
      <c r="Q138" s="31"/>
      <c r="R138" s="81">
        <f>+R139</f>
        <v>1050000000</v>
      </c>
      <c r="S138" s="81">
        <f>+S139</f>
        <v>1050000000</v>
      </c>
      <c r="T138" s="81">
        <f t="shared" si="12"/>
        <v>150000000</v>
      </c>
      <c r="U138" s="81">
        <f t="shared" si="12"/>
        <v>0</v>
      </c>
      <c r="V138" s="81">
        <f t="shared" si="12"/>
        <v>1200000000</v>
      </c>
      <c r="W138" s="81"/>
      <c r="X138" s="81" t="str">
        <f t="shared" si="12"/>
        <v>Bilateral</v>
      </c>
      <c r="Y138" s="81">
        <f t="shared" si="12"/>
        <v>1050000000</v>
      </c>
      <c r="Z138" s="81">
        <f t="shared" si="12"/>
        <v>0</v>
      </c>
      <c r="AA138" s="31"/>
      <c r="AB138" s="32"/>
      <c r="AC138" s="32"/>
      <c r="AD138" s="32"/>
      <c r="AE138" s="32"/>
      <c r="AF138" s="32"/>
      <c r="AG138" s="32"/>
      <c r="AH138" s="32"/>
      <c r="AI138" s="31"/>
      <c r="AJ138" s="31"/>
      <c r="AK138" s="31"/>
      <c r="AL138" s="31"/>
      <c r="AM138" s="31"/>
      <c r="AN138" s="31"/>
      <c r="AO138" s="31"/>
      <c r="AP138" s="32"/>
      <c r="AQ138" s="32"/>
    </row>
    <row r="139" spans="1:43" ht="45.75" customHeight="1">
      <c r="A139" s="10">
        <f>DATA!A130</f>
        <v>96</v>
      </c>
      <c r="B139" s="10">
        <f>DATA!B130</f>
        <v>0</v>
      </c>
      <c r="C139" s="10" t="str">
        <f>DATA!D130</f>
        <v>INFRASTRUKTUR</v>
      </c>
      <c r="D139" s="10">
        <f>DATA!E130</f>
        <v>4</v>
      </c>
      <c r="E139" s="10" t="str">
        <f>DATA!F130</f>
        <v>Pemprov. DKI Jakarta</v>
      </c>
      <c r="F139" s="10" t="str">
        <f>DATA!H130</f>
        <v>Railway Development Program</v>
      </c>
      <c r="G139" s="10" t="str">
        <f>DATA!I130</f>
        <v>A</v>
      </c>
      <c r="H139" s="10" t="str">
        <f>DATA!J130</f>
        <v>Program Pengembangan Perkeretaapian</v>
      </c>
      <c r="I139" s="10">
        <f>DATA!K130</f>
        <v>1</v>
      </c>
      <c r="J139" s="33"/>
      <c r="K139" s="54"/>
      <c r="L139" s="20"/>
      <c r="M139" s="20">
        <f>DATA!K130</f>
        <v>1</v>
      </c>
      <c r="N139" s="37" t="str">
        <f>DATA!L130</f>
        <v>Construction of Jakarta Mass Rapid Transit Project</v>
      </c>
      <c r="O139" s="20">
        <f>DATA!Q130</f>
        <v>1</v>
      </c>
      <c r="P139" s="20">
        <f>DATA!R130</f>
        <v>1</v>
      </c>
      <c r="Q139" s="20">
        <f>DATA!S130</f>
        <v>85</v>
      </c>
      <c r="R139" s="77">
        <f>DATA!T130</f>
        <v>1050000000</v>
      </c>
      <c r="S139" s="88">
        <f>DATA!U130</f>
        <v>1050000000</v>
      </c>
      <c r="T139" s="77">
        <f>DATA!V130</f>
        <v>150000000</v>
      </c>
      <c r="U139" s="77">
        <f>DATA!W130</f>
        <v>0</v>
      </c>
      <c r="V139" s="77">
        <f>DATA!X130</f>
        <v>1200000000</v>
      </c>
      <c r="W139" s="78" t="str">
        <f>DATA!Y130</f>
        <v>JICA</v>
      </c>
      <c r="X139" s="20" t="str">
        <f>DATA!Z130</f>
        <v>Bilateral</v>
      </c>
      <c r="Y139" s="77">
        <f>DATA!AA130</f>
        <v>1050000000</v>
      </c>
      <c r="Z139" s="77">
        <f>DATA!AG130</f>
        <v>0</v>
      </c>
      <c r="AA139" s="20">
        <f>DATA!AH130</f>
        <v>2016</v>
      </c>
      <c r="AB139" s="37" t="str">
        <f>DATA!AI130</f>
        <v>- Sudah ada R/C
- Green Book 2015
- Loan Agreement tgl 4 Des'15</v>
      </c>
      <c r="AC139" s="152" t="str">
        <f>DATA!AR130</f>
        <v>Nilai pinjaman di GB USD 752.200 ribu</v>
      </c>
      <c r="AD139" s="152" t="str">
        <f>DATA!AN130</f>
        <v>siap</v>
      </c>
      <c r="AE139" s="152" t="str">
        <f>DATA!AO130</f>
        <v>siap</v>
      </c>
      <c r="AF139" s="37" t="str">
        <f>DATA!AJ130</f>
        <v>- TOR
- RAB</v>
      </c>
      <c r="AG139" s="114">
        <f>DATA!AK130</f>
        <v>1</v>
      </c>
      <c r="AH139" s="37" t="str">
        <f>DATA!AL130</f>
        <v>- Menunggu penandatanganan Loan Agreement</v>
      </c>
      <c r="AI139" s="20" t="str">
        <f>DATA!AR130</f>
        <v>Nilai pinjaman di GB USD 752.200 ribu</v>
      </c>
      <c r="AJ139" s="20" t="str">
        <f>DATA!AN130</f>
        <v>siap</v>
      </c>
      <c r="AK139" s="20" t="str">
        <f>DATA!AO130</f>
        <v>siap</v>
      </c>
      <c r="AL139" s="20" t="str">
        <f>DATA!AP130</f>
        <v>dalam proses tender/lelang</v>
      </c>
      <c r="AM139" s="20" t="str">
        <f>DATA!AY130</f>
        <v>Belum ada konfirmasi. Berdasarkan data dokumen kesiapan (RC)</v>
      </c>
      <c r="AN139" s="20" t="e">
        <f>DATA!#REF!</f>
        <v>#REF!</v>
      </c>
      <c r="AO139" s="20">
        <f>DATA!AZ130</f>
        <v>0</v>
      </c>
      <c r="AP139" s="152" t="e">
        <f>DATA!#REF!</f>
        <v>#REF!</v>
      </c>
      <c r="AQ139" s="37" t="str">
        <f>DATA!BA130</f>
        <v>Terbangunnya jaringan MRT dari Utara ke Selatan</v>
      </c>
    </row>
    <row r="140" spans="1:43" s="4" customFormat="1" ht="24.95" customHeight="1">
      <c r="J140" s="107"/>
      <c r="K140" s="25">
        <f>DATA!E135</f>
        <v>5</v>
      </c>
      <c r="L140" s="108" t="str">
        <f>DATA!F135</f>
        <v>Kementerian Komunikasi dan Informatika</v>
      </c>
      <c r="M140" s="25"/>
      <c r="N140" s="27"/>
      <c r="O140" s="26"/>
      <c r="P140" s="26"/>
      <c r="Q140" s="26"/>
      <c r="R140" s="80">
        <f>+R141</f>
        <v>1056000000</v>
      </c>
      <c r="S140" s="80">
        <f>+S141</f>
        <v>1056000000</v>
      </c>
      <c r="T140" s="80">
        <f t="shared" ref="T140:Z140" si="13">+T141</f>
        <v>86000000</v>
      </c>
      <c r="U140" s="80">
        <f t="shared" si="13"/>
        <v>10000000</v>
      </c>
      <c r="V140" s="80">
        <f t="shared" si="13"/>
        <v>1152000000</v>
      </c>
      <c r="W140" s="80"/>
      <c r="X140" s="80" t="e">
        <f t="shared" si="13"/>
        <v>#VALUE!</v>
      </c>
      <c r="Y140" s="80">
        <f t="shared" si="13"/>
        <v>1056000000</v>
      </c>
      <c r="Z140" s="80">
        <f t="shared" si="13"/>
        <v>-411000000</v>
      </c>
      <c r="AA140" s="26"/>
      <c r="AB140" s="27"/>
      <c r="AC140" s="27"/>
      <c r="AD140" s="27"/>
      <c r="AE140" s="27"/>
      <c r="AF140" s="27"/>
      <c r="AG140" s="27"/>
      <c r="AH140" s="27"/>
      <c r="AI140" s="26"/>
      <c r="AJ140" s="26"/>
      <c r="AK140" s="26"/>
      <c r="AL140" s="26"/>
      <c r="AM140" s="26"/>
      <c r="AN140" s="26"/>
      <c r="AO140" s="26"/>
      <c r="AP140" s="27"/>
      <c r="AQ140" s="27"/>
    </row>
    <row r="141" spans="1:43" s="5" customFormat="1" ht="33.75" customHeight="1">
      <c r="J141" s="28"/>
      <c r="K141" s="29"/>
      <c r="L141" s="30" t="str">
        <f>DATA!I135</f>
        <v>A</v>
      </c>
      <c r="M141" s="31" t="str">
        <f>DATA!J135</f>
        <v>Program Pengembangan Infrastruktur TIK dan Penyiaran</v>
      </c>
      <c r="N141" s="51"/>
      <c r="O141" s="31"/>
      <c r="P141" s="31"/>
      <c r="Q141" s="31"/>
      <c r="R141" s="81">
        <f>+R142+R143+R144</f>
        <v>1056000000</v>
      </c>
      <c r="S141" s="81">
        <f>+S142+S143+S144</f>
        <v>1056000000</v>
      </c>
      <c r="T141" s="81">
        <f t="shared" ref="T141:Z141" si="14">+T142+T143+T144</f>
        <v>86000000</v>
      </c>
      <c r="U141" s="81">
        <f t="shared" si="14"/>
        <v>10000000</v>
      </c>
      <c r="V141" s="81">
        <f t="shared" si="14"/>
        <v>1152000000</v>
      </c>
      <c r="W141" s="81"/>
      <c r="X141" s="81" t="e">
        <f t="shared" si="14"/>
        <v>#VALUE!</v>
      </c>
      <c r="Y141" s="81">
        <f t="shared" si="14"/>
        <v>1056000000</v>
      </c>
      <c r="Z141" s="81">
        <f t="shared" si="14"/>
        <v>-411000000</v>
      </c>
      <c r="AA141" s="31"/>
      <c r="AB141" s="32"/>
      <c r="AC141" s="32"/>
      <c r="AD141" s="32"/>
      <c r="AE141" s="32"/>
      <c r="AF141" s="32"/>
      <c r="AG141" s="32"/>
      <c r="AH141" s="32"/>
      <c r="AI141" s="31"/>
      <c r="AJ141" s="31"/>
      <c r="AK141" s="31"/>
      <c r="AL141" s="31"/>
      <c r="AM141" s="31"/>
      <c r="AN141" s="31"/>
      <c r="AO141" s="31"/>
      <c r="AP141" s="32"/>
      <c r="AQ141" s="32"/>
    </row>
    <row r="142" spans="1:43" ht="71.25" customHeight="1">
      <c r="A142" s="10">
        <f>DATA!A135</f>
        <v>97</v>
      </c>
      <c r="B142" s="10">
        <f>DATA!B135</f>
        <v>0</v>
      </c>
      <c r="C142" s="10" t="str">
        <f>DATA!D135</f>
        <v>INFRASTRUKTUR</v>
      </c>
      <c r="D142" s="10">
        <f>DATA!E135</f>
        <v>5</v>
      </c>
      <c r="E142" s="10" t="str">
        <f>DATA!F135</f>
        <v>Kementerian Komunikasi dan Informatika</v>
      </c>
      <c r="F142" s="10" t="str">
        <f>DATA!H135</f>
        <v>Information Communication And Technology (ICT) And Broadcasting Infrastructure Development Program</v>
      </c>
      <c r="G142" s="10" t="str">
        <f>DATA!I135</f>
        <v>A</v>
      </c>
      <c r="H142" s="10" t="str">
        <f>DATA!J135</f>
        <v>Program Pengembangan Infrastruktur TIK dan Penyiaran</v>
      </c>
      <c r="I142" s="10">
        <f>DATA!K135</f>
        <v>1</v>
      </c>
      <c r="J142" s="33"/>
      <c r="K142" s="34"/>
      <c r="L142" s="35"/>
      <c r="M142" s="36">
        <f>DATA!K135</f>
        <v>1</v>
      </c>
      <c r="N142" s="37" t="str">
        <f>DATA!L135</f>
        <v>Improvement on TV Transmitting Stations (Digitalization of TVRI) - Phase III</v>
      </c>
      <c r="O142" s="20">
        <f>DATA!Q135</f>
        <v>1</v>
      </c>
      <c r="P142" s="20">
        <f>DATA!R135</f>
        <v>1</v>
      </c>
      <c r="Q142" s="20">
        <f>DATA!S135</f>
        <v>87</v>
      </c>
      <c r="R142" s="77">
        <f>DATA!T135</f>
        <v>411000000</v>
      </c>
      <c r="S142" s="88">
        <f>DATA!U135</f>
        <v>411000000</v>
      </c>
      <c r="T142" s="77">
        <f>DATA!V135</f>
        <v>41000000</v>
      </c>
      <c r="U142" s="77">
        <f>DATA!W135</f>
        <v>0</v>
      </c>
      <c r="V142" s="77">
        <f>DATA!X135</f>
        <v>452000000</v>
      </c>
      <c r="W142" s="78" t="str">
        <f>DATA!Y135</f>
        <v>Belum Ada Indikasi</v>
      </c>
      <c r="X142" s="20" t="str">
        <f>DATA!Z135</f>
        <v>Belum Ada Indikasi</v>
      </c>
      <c r="Y142" s="77">
        <f>DATA!AA135</f>
        <v>411000000</v>
      </c>
      <c r="Z142" s="77">
        <f>DATA!AG135</f>
        <v>-411000000</v>
      </c>
      <c r="AA142" s="20" t="str">
        <f>DATA!AH135</f>
        <v>Tanpa keterangan</v>
      </c>
      <c r="AB142" s="37" t="str">
        <f>DATA!AI135</f>
        <v>(tidak ada data)</v>
      </c>
      <c r="AC142" s="152" t="str">
        <f>DATA!AR135</f>
        <v>belum ada dokumen R/C</v>
      </c>
      <c r="AD142" s="152" t="str">
        <f>DATA!AN135</f>
        <v>dalam proses
(penyusunan FS)</v>
      </c>
      <c r="AE142" s="152" t="str">
        <f>DATA!AO135</f>
        <v>siap</v>
      </c>
      <c r="AF142" s="37" t="str">
        <f>DATA!AJ135</f>
        <v>Persiapan penyusunan FS</v>
      </c>
      <c r="AG142" s="37" t="str">
        <f>DATA!AK135</f>
        <v>Menggunakan lahan milik TVRI</v>
      </c>
      <c r="AH142" s="37" t="str">
        <f>DATA!AL135</f>
        <v>Belum ada lelang/tender</v>
      </c>
      <c r="AI142" s="20" t="str">
        <f>DATA!AR135</f>
        <v>belum ada dokumen R/C</v>
      </c>
      <c r="AJ142" s="20" t="str">
        <f>DATA!AN135</f>
        <v>dalam proses
(penyusunan FS)</v>
      </c>
      <c r="AK142" s="20" t="str">
        <f>DATA!AO135</f>
        <v>siap</v>
      </c>
      <c r="AL142" s="20" t="str">
        <f>DATA!AP135</f>
        <v>belum ada proses tender/lelang</v>
      </c>
      <c r="AM142" s="20" t="str">
        <f>DATA!AY135</f>
        <v xml:space="preserve">- Belum ada indikasi Lender, Dit. Telsus sedang melakukan penjajakan, belum bisa diidentifikasikan sampai proses penjajakan selesai
- Surat Karoren Kem. Kominfo nomor S-1075/KOMINFO/SJ.1/PR.01.01/09/2015 tgl 9 September 2015
</v>
      </c>
      <c r="AN142" s="20" t="e">
        <f>DATA!#REF!</f>
        <v>#REF!</v>
      </c>
      <c r="AO142" s="20">
        <f>DATA!AZ135</f>
        <v>0</v>
      </c>
      <c r="AP142" s="152" t="e">
        <f>DATA!#REF!</f>
        <v>#REF!</v>
      </c>
      <c r="AQ142" s="37" t="str">
        <f>DATA!BA135</f>
        <v>Pengadaan peralatan dan mesin untuk rehabilitasi fasilitas produksi dan pemancar TVRI dari sistem analog ke digital untuk: 29 studio (7 di pusat dan 22 di daerah), 250 stasiun transmisi, 30 lokasi untuk ICT Broadcast</v>
      </c>
    </row>
    <row r="143" spans="1:43" ht="81" customHeight="1">
      <c r="A143" s="10">
        <f>DATA!A136</f>
        <v>98</v>
      </c>
      <c r="B143" s="10">
        <f>DATA!B136</f>
        <v>0</v>
      </c>
      <c r="C143" s="10" t="str">
        <f>DATA!D136</f>
        <v>INFRASTRUKTUR</v>
      </c>
      <c r="D143" s="10">
        <f>DATA!E136</f>
        <v>5</v>
      </c>
      <c r="E143" s="10" t="str">
        <f>DATA!F136</f>
        <v>Kementerian Komunikasi dan Informatika</v>
      </c>
      <c r="F143" s="10" t="str">
        <f>DATA!H136</f>
        <v>Information Communication And Technology (ICT) And Broadcasting Infrastructure Development Program</v>
      </c>
      <c r="G143" s="10" t="str">
        <f>DATA!I136</f>
        <v>A</v>
      </c>
      <c r="H143" s="10" t="str">
        <f>DATA!J136</f>
        <v>Program Pengembangan Infrastruktur TIK dan Penyiaran</v>
      </c>
      <c r="I143" s="10">
        <f>DATA!K136</f>
        <v>2</v>
      </c>
      <c r="J143" s="33"/>
      <c r="K143" s="34"/>
      <c r="L143" s="34"/>
      <c r="M143" s="36">
        <f>DATA!K136</f>
        <v>2</v>
      </c>
      <c r="N143" s="37" t="str">
        <f>DATA!L136</f>
        <v>Strengthening of e-Government Infrastructure</v>
      </c>
      <c r="O143" s="20">
        <f>DATA!Q136</f>
        <v>1</v>
      </c>
      <c r="P143" s="20">
        <f>DATA!R136</f>
        <v>1</v>
      </c>
      <c r="Q143" s="20">
        <f>DATA!S136</f>
        <v>88</v>
      </c>
      <c r="R143" s="77">
        <f>DATA!T136</f>
        <v>145000000</v>
      </c>
      <c r="S143" s="88">
        <f>DATA!U136</f>
        <v>145000000</v>
      </c>
      <c r="T143" s="77">
        <f>DATA!V136</f>
        <v>20000000</v>
      </c>
      <c r="U143" s="77">
        <f>DATA!W136</f>
        <v>10000000</v>
      </c>
      <c r="V143" s="77">
        <f>DATA!X136</f>
        <v>175000000</v>
      </c>
      <c r="W143" s="78" t="str">
        <f>DATA!Y136</f>
        <v>Korea</v>
      </c>
      <c r="X143" s="20" t="str">
        <f>DATA!Z136</f>
        <v>Bilateral</v>
      </c>
      <c r="Y143" s="77">
        <f>DATA!AA136</f>
        <v>145000000</v>
      </c>
      <c r="Z143" s="77">
        <f>DATA!AG136</f>
        <v>0</v>
      </c>
      <c r="AA143" s="20" t="str">
        <f>DATA!AH136</f>
        <v>Tanpa keterangan</v>
      </c>
      <c r="AB143" s="37" t="str">
        <f>DATA!AI136</f>
        <v>Persiapan penyusunan R/C</v>
      </c>
      <c r="AC143" s="152" t="str">
        <f>DATA!AR136</f>
        <v>penyiapan dokumen R/C</v>
      </c>
      <c r="AD143" s="152" t="str">
        <f>DATA!AN136</f>
        <v>dalam proses
(penyusunan FS)</v>
      </c>
      <c r="AE143" s="152" t="str">
        <f>DATA!AO136</f>
        <v>dalam proses
(persiapan)</v>
      </c>
      <c r="AF143" s="37" t="str">
        <f>DATA!AJ136</f>
        <v>Persiapan penyusunan FS dan DED</v>
      </c>
      <c r="AG143" s="37" t="str">
        <f>DATA!AK136</f>
        <v>Permohonan ijin lokasi kepada Gubernur Kaltim telah direspon persetujuan menunggu survey</v>
      </c>
      <c r="AH143" s="37" t="str">
        <f>DATA!AL136</f>
        <v>Belum ada lelang/tender</v>
      </c>
      <c r="AI143" s="20" t="str">
        <f>DATA!AR136</f>
        <v>penyiapan dokumen R/C</v>
      </c>
      <c r="AJ143" s="20" t="str">
        <f>DATA!AN136</f>
        <v>dalam proses
(penyusunan FS)</v>
      </c>
      <c r="AK143" s="20" t="str">
        <f>DATA!AO136</f>
        <v>dalam proses
(persiapan)</v>
      </c>
      <c r="AL143" s="20" t="str">
        <f>DATA!AP136</f>
        <v>belum ada proses tender/lelang</v>
      </c>
      <c r="AM143"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N143" s="20" t="e">
        <f>DATA!#REF!</f>
        <v>#REF!</v>
      </c>
      <c r="AO143" s="20">
        <f>DATA!AZ136</f>
        <v>0</v>
      </c>
      <c r="AP143" s="152" t="e">
        <f>DATA!#REF!</f>
        <v>#REF!</v>
      </c>
      <c r="AQ143" s="37" t="str">
        <f>DATA!BA136</f>
        <v>Pembangunan Data Center (DC) Nasional, pembangunan Disaster Recovery Center (DRC), pembangunan National Network Operation Center (NNOC),  sistem Government-Certification of Authority (Govt-CA),  dan penyediaan bandwidth selama 3 tahun.</v>
      </c>
    </row>
    <row r="144" spans="1:43" ht="38.25" customHeight="1">
      <c r="A144" s="10">
        <f>DATA!A137</f>
        <v>99</v>
      </c>
      <c r="B144" s="10">
        <f>DATA!B137</f>
        <v>0</v>
      </c>
      <c r="C144" s="10" t="str">
        <f>DATA!D137</f>
        <v>INFRASTRUKTUR</v>
      </c>
      <c r="D144" s="10">
        <f>DATA!E137</f>
        <v>5</v>
      </c>
      <c r="E144" s="10" t="str">
        <f>DATA!F137</f>
        <v>Kementerian Komunikasi dan Informatika</v>
      </c>
      <c r="F144" s="10" t="str">
        <f>DATA!H137</f>
        <v>Information Communication And Technology (ICT) And Broadcasting Infrastructure Development Program</v>
      </c>
      <c r="G144" s="10" t="str">
        <f>DATA!I137</f>
        <v>A</v>
      </c>
      <c r="H144" s="10" t="str">
        <f>DATA!J137</f>
        <v>Program Pengembangan Infrastruktur TIK dan Penyiaran</v>
      </c>
      <c r="I144" s="10">
        <f>DATA!K137</f>
        <v>3</v>
      </c>
      <c r="J144" s="33"/>
      <c r="K144" s="54"/>
      <c r="L144" s="54"/>
      <c r="M144" s="36">
        <f>DATA!K137</f>
        <v>3</v>
      </c>
      <c r="N144" s="37" t="str">
        <f>DATA!L137</f>
        <v>National Fiber Optic Backbone (Palapa Ring)</v>
      </c>
      <c r="O144" s="20">
        <f>DATA!Q137</f>
        <v>1</v>
      </c>
      <c r="P144" s="20">
        <f>DATA!R137</f>
        <v>1</v>
      </c>
      <c r="Q144" s="20">
        <f>DATA!S137</f>
        <v>89</v>
      </c>
      <c r="R144" s="77">
        <f>DATA!T137</f>
        <v>500000000</v>
      </c>
      <c r="S144" s="88">
        <f>DATA!U137</f>
        <v>500000000</v>
      </c>
      <c r="T144" s="77">
        <f>DATA!V137</f>
        <v>25000000</v>
      </c>
      <c r="U144" s="77">
        <f>DATA!W137</f>
        <v>0</v>
      </c>
      <c r="V144" s="77">
        <f>DATA!X137</f>
        <v>525000000</v>
      </c>
      <c r="W144" s="78" t="str">
        <f>DATA!Y137</f>
        <v>KPS</v>
      </c>
      <c r="X144" s="20" t="str">
        <f>DATA!Z137</f>
        <v>Dipindahkan ke KPS</v>
      </c>
      <c r="Y144" s="77">
        <f>DATA!AA137</f>
        <v>500000000</v>
      </c>
      <c r="Z144" s="77">
        <f>DATA!AG137</f>
        <v>0</v>
      </c>
      <c r="AA144" s="20" t="str">
        <f>DATA!AH137</f>
        <v>Tanpa keterangan</v>
      </c>
      <c r="AB144" s="37" t="str">
        <f>DATA!AI137</f>
        <v>-</v>
      </c>
      <c r="AC144" s="152">
        <f>DATA!AM137</f>
        <v>0</v>
      </c>
      <c r="AD144" s="152" t="str">
        <f>DATA!AN137</f>
        <v>belum ada keterangan</v>
      </c>
      <c r="AE144" s="152" t="str">
        <f>DATA!AO137</f>
        <v>belum ada keterangan</v>
      </c>
      <c r="AF144" s="37" t="str">
        <f>DATA!AJ137</f>
        <v>-</v>
      </c>
      <c r="AG144" s="37" t="str">
        <f>DATA!AK137</f>
        <v>-</v>
      </c>
      <c r="AH144" s="37" t="str">
        <f>DATA!AL137</f>
        <v>-</v>
      </c>
      <c r="AI144" s="20">
        <f>DATA!AM137</f>
        <v>0</v>
      </c>
      <c r="AJ144" s="20" t="str">
        <f>DATA!AN137</f>
        <v>belum ada keterangan</v>
      </c>
      <c r="AK144" s="20" t="str">
        <f>DATA!AO137</f>
        <v>belum ada keterangan</v>
      </c>
      <c r="AL144" s="20" t="str">
        <f>DATA!AP137</f>
        <v>belum ada proses tender/lelang</v>
      </c>
      <c r="AM144"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N144" s="20" t="e">
        <f>DATA!#REF!</f>
        <v>#REF!</v>
      </c>
      <c r="AO144" s="20">
        <f>DATA!AZ137</f>
        <v>0</v>
      </c>
      <c r="AP144" s="152" t="e">
        <f>DATA!#REF!</f>
        <v>#REF!</v>
      </c>
      <c r="AQ144" s="37" t="str">
        <f>DATA!BA137</f>
        <v>Pembangunan jaringan telekomunikasi pitalebar/broadband Palapa Ring di 51 kabupaten/kota.</v>
      </c>
    </row>
    <row r="145" spans="1:43" s="4" customFormat="1" ht="24.95" customHeight="1">
      <c r="J145" s="107"/>
      <c r="K145" s="25">
        <f>DATA!E138</f>
        <v>6</v>
      </c>
      <c r="L145" s="108" t="str">
        <f>DATA!F138</f>
        <v>Kepolisian RI</v>
      </c>
      <c r="M145" s="25"/>
      <c r="N145" s="27"/>
      <c r="O145" s="26"/>
      <c r="P145" s="26"/>
      <c r="Q145" s="26"/>
      <c r="R145" s="80">
        <f>+R146</f>
        <v>20000000</v>
      </c>
      <c r="S145" s="80">
        <f>+S146</f>
        <v>20000000</v>
      </c>
      <c r="T145" s="80">
        <f t="shared" ref="T145:Z146" si="15">+T146</f>
        <v>3500000</v>
      </c>
      <c r="U145" s="80">
        <f t="shared" si="15"/>
        <v>0</v>
      </c>
      <c r="V145" s="80">
        <f t="shared" si="15"/>
        <v>23500000</v>
      </c>
      <c r="W145" s="80"/>
      <c r="X145" s="80" t="str">
        <f t="shared" si="15"/>
        <v>Bilateral</v>
      </c>
      <c r="Y145" s="80">
        <f t="shared" si="15"/>
        <v>20000000</v>
      </c>
      <c r="Z145" s="80">
        <f t="shared" si="15"/>
        <v>0</v>
      </c>
      <c r="AA145" s="26"/>
      <c r="AB145" s="27"/>
      <c r="AC145" s="27"/>
      <c r="AD145" s="27"/>
      <c r="AE145" s="27"/>
      <c r="AF145" s="27"/>
      <c r="AG145" s="27"/>
      <c r="AH145" s="27"/>
      <c r="AI145" s="26"/>
      <c r="AJ145" s="26"/>
      <c r="AK145" s="26"/>
      <c r="AL145" s="26"/>
      <c r="AM145" s="26"/>
      <c r="AN145" s="26"/>
      <c r="AO145" s="26"/>
      <c r="AP145" s="27"/>
      <c r="AQ145" s="27"/>
    </row>
    <row r="146" spans="1:43" s="5" customFormat="1" ht="33.75" customHeight="1">
      <c r="J146" s="28"/>
      <c r="K146" s="29"/>
      <c r="L146" s="30" t="str">
        <f>DATA!I138</f>
        <v>A</v>
      </c>
      <c r="M146" s="31" t="str">
        <f>DATA!J138</f>
        <v>Program Pengembangan Infrastruktur TIK dan Penyiaran</v>
      </c>
      <c r="N146" s="51"/>
      <c r="O146" s="31"/>
      <c r="P146" s="31"/>
      <c r="Q146" s="31"/>
      <c r="R146" s="81">
        <f>+R147</f>
        <v>20000000</v>
      </c>
      <c r="S146" s="81">
        <f>+S147</f>
        <v>20000000</v>
      </c>
      <c r="T146" s="81">
        <f t="shared" si="15"/>
        <v>3500000</v>
      </c>
      <c r="U146" s="81">
        <f t="shared" si="15"/>
        <v>0</v>
      </c>
      <c r="V146" s="81">
        <f t="shared" si="15"/>
        <v>23500000</v>
      </c>
      <c r="W146" s="81"/>
      <c r="X146" s="81" t="str">
        <f t="shared" si="15"/>
        <v>Bilateral</v>
      </c>
      <c r="Y146" s="81">
        <f t="shared" si="15"/>
        <v>20000000</v>
      </c>
      <c r="Z146" s="81">
        <f t="shared" si="15"/>
        <v>0</v>
      </c>
      <c r="AA146" s="31"/>
      <c r="AB146" s="32"/>
      <c r="AC146" s="32"/>
      <c r="AD146" s="32"/>
      <c r="AE146" s="32"/>
      <c r="AF146" s="32"/>
      <c r="AG146" s="32"/>
      <c r="AH146" s="32"/>
      <c r="AI146" s="31"/>
      <c r="AJ146" s="31"/>
      <c r="AK146" s="31"/>
      <c r="AL146" s="31"/>
      <c r="AM146" s="31"/>
      <c r="AN146" s="31"/>
      <c r="AO146" s="31"/>
      <c r="AP146" s="32"/>
      <c r="AQ146" s="32"/>
    </row>
    <row r="147" spans="1:43" ht="47.25" customHeight="1">
      <c r="A147" s="10">
        <f>DATA!A138</f>
        <v>100</v>
      </c>
      <c r="B147" s="10">
        <f>DATA!B138</f>
        <v>0</v>
      </c>
      <c r="C147" s="10" t="str">
        <f>DATA!D138</f>
        <v>INFRASTRUKTUR</v>
      </c>
      <c r="D147" s="10">
        <f>DATA!E138</f>
        <v>6</v>
      </c>
      <c r="E147" s="10" t="str">
        <f>DATA!F138</f>
        <v>Kepolisian RI</v>
      </c>
      <c r="F147" s="10" t="str">
        <f>DATA!H138</f>
        <v>Information Communication And Technology (ICT) And Broadcasting Infrastructure Development Program</v>
      </c>
      <c r="G147" s="10" t="str">
        <f>DATA!I138</f>
        <v>A</v>
      </c>
      <c r="H147" s="10" t="str">
        <f>DATA!J138</f>
        <v>Program Pengembangan Infrastruktur TIK dan Penyiaran</v>
      </c>
      <c r="I147" s="10">
        <f>DATA!K138</f>
        <v>1</v>
      </c>
      <c r="J147" s="33"/>
      <c r="K147" s="54"/>
      <c r="L147" s="20"/>
      <c r="M147" s="36">
        <f>DATA!K138</f>
        <v>1</v>
      </c>
      <c r="N147" s="37" t="str">
        <f>DATA!L138</f>
        <v>National Criminal Information Center for Indonesian National Police - Phase II</v>
      </c>
      <c r="O147" s="20">
        <f>DATA!Q138</f>
        <v>1</v>
      </c>
      <c r="P147" s="20">
        <f>DATA!R138</f>
        <v>1</v>
      </c>
      <c r="Q147" s="20">
        <f>DATA!S138</f>
        <v>90</v>
      </c>
      <c r="R147" s="77">
        <f>DATA!T138</f>
        <v>20000000</v>
      </c>
      <c r="S147" s="88">
        <f>DATA!U138</f>
        <v>20000000</v>
      </c>
      <c r="T147" s="77">
        <f>DATA!V138</f>
        <v>3500000</v>
      </c>
      <c r="U147" s="77">
        <f>DATA!W138</f>
        <v>0</v>
      </c>
      <c r="V147" s="77">
        <f>DATA!X138</f>
        <v>23500000</v>
      </c>
      <c r="W147" s="78" t="str">
        <f>DATA!Y138</f>
        <v>Korea</v>
      </c>
      <c r="X147" s="20" t="str">
        <f>DATA!Z138</f>
        <v>Bilateral</v>
      </c>
      <c r="Y147" s="77">
        <f>DATA!AA138</f>
        <v>20000000</v>
      </c>
      <c r="Z147" s="77">
        <f>DATA!AG138</f>
        <v>0</v>
      </c>
      <c r="AA147" s="20" t="str">
        <f>DATA!AH138</f>
        <v>Tanpa keterangan</v>
      </c>
      <c r="AB147" s="37" t="str">
        <f>DATA!AI138</f>
        <v xml:space="preserve">- Sudah ada R/C
- Green Book 2015
</v>
      </c>
      <c r="AC147" s="152">
        <f>DATA!AM138</f>
        <v>2015</v>
      </c>
      <c r="AD147" s="152" t="str">
        <f>DATA!AN138</f>
        <v>siap</v>
      </c>
      <c r="AE147" s="152" t="str">
        <f>DATA!AO138</f>
        <v>tidak butuh lahan</v>
      </c>
      <c r="AF147" s="37" t="str">
        <f>DATA!AJ138</f>
        <v>FS, AMDAL</v>
      </c>
      <c r="AG147" s="37" t="str">
        <f>DATA!AK138</f>
        <v>Tidak butuh lahan</v>
      </c>
      <c r="AH147" s="37" t="str">
        <f>DATA!AL138</f>
        <v>- Dalam proses penandatanganan perjanjian pinjaman</v>
      </c>
      <c r="AI147" s="20">
        <f>DATA!AM138</f>
        <v>2015</v>
      </c>
      <c r="AJ147" s="20" t="str">
        <f>DATA!AN138</f>
        <v>siap</v>
      </c>
      <c r="AK147" s="20" t="str">
        <f>DATA!AO138</f>
        <v>tidak butuh lahan</v>
      </c>
      <c r="AL147" s="20" t="str">
        <f>DATA!AP138</f>
        <v>dalam proses tender/lelang</v>
      </c>
      <c r="AM147" s="20" t="str">
        <f>DATA!AY138</f>
        <v>Belum ada konfirmasi. Berdasarkan data dokumen kesiapan (RC)</v>
      </c>
      <c r="AN147" s="20" t="e">
        <f>DATA!#REF!</f>
        <v>#REF!</v>
      </c>
      <c r="AO147" s="20">
        <f>DATA!AZ138</f>
        <v>0</v>
      </c>
      <c r="AP147" s="152" t="e">
        <f>DATA!#REF!</f>
        <v>#REF!</v>
      </c>
      <c r="AQ147" s="37" t="str">
        <f>DATA!BA138</f>
        <v>Pengembangan proyek PIKNAS tahap I mulai dari perencanaan pengembangan sampai dengan implementasi proyek</v>
      </c>
    </row>
    <row r="148" spans="1:43" s="4" customFormat="1" ht="24.95" customHeight="1">
      <c r="J148" s="107"/>
      <c r="K148" s="25">
        <f>DATA!E139</f>
        <v>7</v>
      </c>
      <c r="L148" s="108" t="str">
        <f>DATA!F139</f>
        <v xml:space="preserve">PT. PLN    </v>
      </c>
      <c r="M148" s="25"/>
      <c r="N148" s="27"/>
      <c r="O148" s="26"/>
      <c r="P148" s="26"/>
      <c r="Q148" s="26"/>
      <c r="R148" s="80">
        <f>+R149</f>
        <v>4906600000</v>
      </c>
      <c r="S148" s="80">
        <f>+S149</f>
        <v>4906600000</v>
      </c>
      <c r="T148" s="80">
        <f t="shared" ref="T148:Z148" si="16">+T149</f>
        <v>931600000</v>
      </c>
      <c r="U148" s="80">
        <f t="shared" si="16"/>
        <v>0</v>
      </c>
      <c r="V148" s="80">
        <f t="shared" si="16"/>
        <v>5838200000</v>
      </c>
      <c r="W148" s="80"/>
      <c r="X148" s="80" t="e">
        <f t="shared" si="16"/>
        <v>#VALUE!</v>
      </c>
      <c r="Y148" s="80">
        <f t="shared" si="16"/>
        <v>4906600000</v>
      </c>
      <c r="Z148" s="80">
        <f t="shared" si="16"/>
        <v>0</v>
      </c>
      <c r="AA148" s="26"/>
      <c r="AB148" s="27"/>
      <c r="AC148" s="27"/>
      <c r="AD148" s="27"/>
      <c r="AE148" s="27"/>
      <c r="AF148" s="27"/>
      <c r="AG148" s="27"/>
      <c r="AH148" s="27"/>
      <c r="AI148" s="26"/>
      <c r="AJ148" s="26"/>
      <c r="AK148" s="26"/>
      <c r="AL148" s="26"/>
      <c r="AM148" s="26"/>
      <c r="AN148" s="26"/>
      <c r="AO148" s="26"/>
      <c r="AP148" s="27"/>
      <c r="AQ148" s="27"/>
    </row>
    <row r="149" spans="1:43" s="5" customFormat="1" ht="33.75" customHeight="1">
      <c r="J149" s="28"/>
      <c r="K149" s="29"/>
      <c r="L149" s="30" t="str">
        <f>DATA!I139</f>
        <v>A</v>
      </c>
      <c r="M149" s="31" t="str">
        <f>DATA!J139</f>
        <v>Program Pembangunan Infrastruktur Ketenagalistrikan</v>
      </c>
      <c r="N149" s="51"/>
      <c r="O149" s="31"/>
      <c r="P149" s="31"/>
      <c r="Q149" s="31"/>
      <c r="R149" s="81">
        <f>+R150+R153+R156+R157+R158+R159+R160+R161</f>
        <v>4906600000</v>
      </c>
      <c r="S149" s="81">
        <f>+S150+S153+S156+S157+S158+S159+S160+S161</f>
        <v>4906600000</v>
      </c>
      <c r="T149" s="81">
        <f t="shared" ref="T149:Z149" si="17">+T150+T153+T156+T157+T158+T159+T160+T161</f>
        <v>931600000</v>
      </c>
      <c r="U149" s="81">
        <f t="shared" si="17"/>
        <v>0</v>
      </c>
      <c r="V149" s="81">
        <f t="shared" si="17"/>
        <v>5838200000</v>
      </c>
      <c r="W149" s="81"/>
      <c r="X149" s="81" t="e">
        <f t="shared" si="17"/>
        <v>#VALUE!</v>
      </c>
      <c r="Y149" s="81">
        <f t="shared" si="17"/>
        <v>4906600000</v>
      </c>
      <c r="Z149" s="81">
        <f t="shared" si="17"/>
        <v>0</v>
      </c>
      <c r="AA149" s="31"/>
      <c r="AB149" s="32"/>
      <c r="AC149" s="32"/>
      <c r="AD149" s="32"/>
      <c r="AE149" s="32"/>
      <c r="AF149" s="32"/>
      <c r="AG149" s="32"/>
      <c r="AH149" s="32"/>
      <c r="AI149" s="31"/>
      <c r="AJ149" s="31"/>
      <c r="AK149" s="31"/>
      <c r="AL149" s="31"/>
      <c r="AM149" s="31"/>
      <c r="AN149" s="31"/>
      <c r="AO149" s="31"/>
      <c r="AP149" s="32"/>
      <c r="AQ149" s="32"/>
    </row>
    <row r="150" spans="1:43" ht="35.25" customHeight="1">
      <c r="A150" s="10">
        <f>DATA!A139</f>
        <v>101</v>
      </c>
      <c r="B150" s="10">
        <f>DATA!B139</f>
        <v>0</v>
      </c>
      <c r="C150" s="10" t="str">
        <f>DATA!D139</f>
        <v>INFRASTRUKTUR</v>
      </c>
      <c r="D150" s="10">
        <f>DATA!E139</f>
        <v>7</v>
      </c>
      <c r="E150" s="10" t="str">
        <f>DATA!F139</f>
        <v xml:space="preserve">PT. PLN    </v>
      </c>
      <c r="F150" s="10" t="str">
        <f>DATA!H139</f>
        <v>Electricity Infrastructure Development Program</v>
      </c>
      <c r="G150" s="10" t="str">
        <f>DATA!I139</f>
        <v>A</v>
      </c>
      <c r="H150" s="10" t="str">
        <f>DATA!J139</f>
        <v>Program Pembangunan Infrastruktur Ketenagalistrikan</v>
      </c>
      <c r="I150" s="10">
        <f>DATA!K139</f>
        <v>1</v>
      </c>
      <c r="J150" s="33"/>
      <c r="K150" s="34"/>
      <c r="L150" s="35"/>
      <c r="M150" s="36">
        <f>DATA!K139</f>
        <v>1</v>
      </c>
      <c r="N150" s="37" t="str">
        <f>DATA!L139</f>
        <v>Construction of Java Sumatera Interconnection 500 kV (HVDC):</v>
      </c>
      <c r="O150" s="20">
        <f>DATA!Q139</f>
        <v>0</v>
      </c>
      <c r="P150" s="20">
        <f>DATA!R139</f>
        <v>0</v>
      </c>
      <c r="Q150" s="20">
        <f>DATA!S139</f>
        <v>0</v>
      </c>
      <c r="R150" s="77">
        <f>DATA!T139</f>
        <v>1562000000</v>
      </c>
      <c r="S150" s="88">
        <f>DATA!U139</f>
        <v>1562000000</v>
      </c>
      <c r="T150" s="77">
        <f>DATA!V139</f>
        <v>253000000</v>
      </c>
      <c r="U150" s="77">
        <f>DATA!W139</f>
        <v>0</v>
      </c>
      <c r="V150" s="77">
        <f>DATA!X139</f>
        <v>1815000000</v>
      </c>
      <c r="W150" s="78" t="str">
        <f>DATA!Y139</f>
        <v>-</v>
      </c>
      <c r="X150" s="20">
        <f>DATA!Z139</f>
        <v>0</v>
      </c>
      <c r="Y150" s="77">
        <f>DATA!AA139</f>
        <v>1562000000</v>
      </c>
      <c r="Z150" s="77">
        <f>DATA!AG139</f>
        <v>0</v>
      </c>
      <c r="AA150" s="20" t="str">
        <f>DATA!AH139</f>
        <v>-</v>
      </c>
      <c r="AB150" s="37" t="str">
        <f>DATA!AI139</f>
        <v>-</v>
      </c>
      <c r="AC150" s="152" t="str">
        <f>DATA!AM139</f>
        <v>-</v>
      </c>
      <c r="AD150" s="152" t="str">
        <f>DATA!AN139</f>
        <v>-</v>
      </c>
      <c r="AE150" s="152" t="str">
        <f>DATA!AO139</f>
        <v>-</v>
      </c>
      <c r="AF150" s="37" t="str">
        <f>DATA!AJ139</f>
        <v>-</v>
      </c>
      <c r="AG150" s="37" t="str">
        <f>DATA!AK139</f>
        <v>-</v>
      </c>
      <c r="AH150" s="37" t="str">
        <f>DATA!AL139</f>
        <v>-</v>
      </c>
      <c r="AI150" s="20" t="str">
        <f>DATA!AM139</f>
        <v>-</v>
      </c>
      <c r="AJ150" s="20" t="str">
        <f>DATA!AN139</f>
        <v>-</v>
      </c>
      <c r="AK150" s="20" t="str">
        <f>DATA!AO139</f>
        <v>-</v>
      </c>
      <c r="AL150" s="20">
        <f>DATA!AP139</f>
        <v>0</v>
      </c>
      <c r="AM150" s="20" t="str">
        <f>DATA!AY139</f>
        <v>Surat Dirut PT. PLN nomor 716/REN.08.01/DIR/2015 tgl 9 September 2015</v>
      </c>
      <c r="AN150" s="20" t="e">
        <f>DATA!#REF!</f>
        <v>#REF!</v>
      </c>
      <c r="AO150" s="20">
        <f>DATA!AZ139</f>
        <v>0</v>
      </c>
      <c r="AP150" s="152" t="e">
        <f>DATA!#REF!</f>
        <v>#REF!</v>
      </c>
      <c r="AQ150" s="37" t="str">
        <f>DATA!BA139</f>
        <v>Pembangunan dan instalasi: 500 kV AC Overhead line</v>
      </c>
    </row>
    <row r="151" spans="1:43" s="6" customFormat="1" ht="142.5" customHeight="1">
      <c r="A151" s="6">
        <f>DATA!A140</f>
        <v>102</v>
      </c>
      <c r="B151" s="6">
        <f>DATA!B140</f>
        <v>0</v>
      </c>
      <c r="C151" s="6" t="str">
        <f>DATA!D140</f>
        <v>INFRASTRUKTUR</v>
      </c>
      <c r="D151" s="6">
        <f>DATA!E140</f>
        <v>7</v>
      </c>
      <c r="E151" s="6" t="str">
        <f>DATA!F140</f>
        <v xml:space="preserve">PT. PLN    </v>
      </c>
      <c r="F151" s="6" t="str">
        <f>DATA!H140</f>
        <v>Electricity Infrastructure Development Program</v>
      </c>
      <c r="G151" s="6" t="str">
        <f>DATA!I140</f>
        <v>A</v>
      </c>
      <c r="H151" s="6" t="str">
        <f>DATA!J140</f>
        <v>Program Pembangunan Infrastruktur Ketenagalistrikan</v>
      </c>
      <c r="I151" s="6">
        <f>DATA!K140</f>
        <v>1</v>
      </c>
      <c r="J151" s="38"/>
      <c r="K151" s="39"/>
      <c r="L151" s="39"/>
      <c r="M151" s="40"/>
      <c r="N151" s="67" t="str">
        <f>DATA!L140</f>
        <v>Java-Sumatera Interconnection Transmission Line (HVDC) 500 kV (Phase II)</v>
      </c>
      <c r="O151" s="42">
        <f>DATA!Q140</f>
        <v>1</v>
      </c>
      <c r="P151" s="42">
        <f>DATA!R140</f>
        <v>1</v>
      </c>
      <c r="Q151" s="42">
        <f>DATA!S140</f>
        <v>91</v>
      </c>
      <c r="R151" s="83">
        <f>DATA!T140</f>
        <v>629000000</v>
      </c>
      <c r="S151" s="88">
        <f>DATA!U140</f>
        <v>629000000</v>
      </c>
      <c r="T151" s="83">
        <f>DATA!V140</f>
        <v>88000000</v>
      </c>
      <c r="U151" s="83">
        <f>DATA!W140</f>
        <v>0</v>
      </c>
      <c r="V151" s="83">
        <f>DATA!X140</f>
        <v>717000000</v>
      </c>
      <c r="W151" s="84" t="str">
        <f>DATA!Y140</f>
        <v>JICA</v>
      </c>
      <c r="X151" s="42" t="str">
        <f>DATA!Z140</f>
        <v>Bilateral</v>
      </c>
      <c r="Y151" s="83">
        <f>DATA!AA140</f>
        <v>629000000</v>
      </c>
      <c r="Z151" s="83">
        <f>DATA!AG140</f>
        <v>0</v>
      </c>
      <c r="AA151" s="42">
        <f>DATA!AH140</f>
        <v>2015</v>
      </c>
      <c r="AB151" s="67" t="str">
        <f>DATA!AI140</f>
        <v>- Sudah ada R/C
- Green Book 2015
- Loan Agreement tgl 18 Des'15</v>
      </c>
      <c r="AC151" s="152" t="str">
        <f>DATA!AR140</f>
        <v>Nilai pinjaman di GB USD 629.140 ribu</v>
      </c>
      <c r="AD151" s="152" t="str">
        <f>DATA!AN140</f>
        <v>siap</v>
      </c>
      <c r="AE151" s="152" t="str">
        <f>DATA!AO140</f>
        <v>dalam proses
(pelaksanaan 30%)</v>
      </c>
      <c r="AF151" s="67" t="str">
        <f>DATA!AJ140</f>
        <v>FS, AMDAL</v>
      </c>
      <c r="AG151" s="115">
        <f>DATA!AK140</f>
        <v>0.3</v>
      </c>
      <c r="AH151" s="67" t="str">
        <f>DATA!AL140</f>
        <v>- Paket 1 = Proses lelang, evaluasi tahap I 
- Paket 2 = Proses lelang, akhir proses tahap I 
- Paket 3 = Kontrak 29 Okt 2014 
- Paket 4 = Proses lelang, RFP 2 Sept 2015 
- Paket 5 = Penyusunan Dokumen Tender</v>
      </c>
      <c r="AI151" s="42" t="str">
        <f>DATA!AR140</f>
        <v>Nilai pinjaman di GB USD 629.140 ribu</v>
      </c>
      <c r="AJ151" s="42" t="str">
        <f>DATA!AN140</f>
        <v>siap</v>
      </c>
      <c r="AK151" s="42" t="str">
        <f>DATA!AO140</f>
        <v>dalam proses
(pelaksanaan 30%)</v>
      </c>
      <c r="AL151" s="42" t="str">
        <f>DATA!AP140</f>
        <v>dalam proses tender/lelang</v>
      </c>
      <c r="AM151" s="42"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N151" s="42" t="e">
        <f>DATA!#REF!</f>
        <v>#REF!</v>
      </c>
      <c r="AO151" s="42">
        <f>DATA!AZ140</f>
        <v>0</v>
      </c>
      <c r="AP151" s="152" t="e">
        <f>DATA!#REF!</f>
        <v>#REF!</v>
      </c>
      <c r="AQ151" s="67" t="str">
        <f>DATA!BA140</f>
        <v>Pembangunan dan instalasi: 500 kV AC Overhead line; 500 IW DC Overhead line; kabel bawah laut HVDC; Stasiun converter HVDC; 275 kV Overhead line (OHL)</v>
      </c>
    </row>
    <row r="152" spans="1:43" s="6" customFormat="1" ht="48.75" customHeight="1">
      <c r="A152" s="6">
        <f>DATA!A141</f>
        <v>103</v>
      </c>
      <c r="B152" s="6">
        <f>DATA!B141</f>
        <v>0</v>
      </c>
      <c r="C152" s="6" t="str">
        <f>DATA!D141</f>
        <v>INFRASTRUKTUR</v>
      </c>
      <c r="D152" s="6">
        <f>DATA!E141</f>
        <v>7</v>
      </c>
      <c r="E152" s="6" t="str">
        <f>DATA!F141</f>
        <v xml:space="preserve">PT. PLN    </v>
      </c>
      <c r="F152" s="6" t="str">
        <f>DATA!H141</f>
        <v>Electricity Infrastructure Development Program</v>
      </c>
      <c r="G152" s="6" t="str">
        <f>DATA!I141</f>
        <v>A</v>
      </c>
      <c r="H152" s="6" t="str">
        <f>DATA!J141</f>
        <v>Program Pembangunan Infrastruktur Ketenagalistrikan</v>
      </c>
      <c r="I152" s="6">
        <f>DATA!K141</f>
        <v>1</v>
      </c>
      <c r="J152" s="38"/>
      <c r="K152" s="39"/>
      <c r="L152" s="39"/>
      <c r="M152" s="43"/>
      <c r="N152" s="67" t="str">
        <f>DATA!L141</f>
        <v>Construction of Java Sumatera Interconnection 500 kV (HVDC-Phase 3 &amp; 4)</v>
      </c>
      <c r="O152" s="42">
        <f>DATA!Q141</f>
        <v>1</v>
      </c>
      <c r="P152" s="42">
        <f>DATA!R141</f>
        <v>1</v>
      </c>
      <c r="Q152" s="42">
        <f>DATA!S141</f>
        <v>92</v>
      </c>
      <c r="R152" s="83">
        <f>DATA!T141</f>
        <v>933000000</v>
      </c>
      <c r="S152" s="88">
        <f>DATA!U141</f>
        <v>933000000</v>
      </c>
      <c r="T152" s="83">
        <f>DATA!V141</f>
        <v>165000000</v>
      </c>
      <c r="U152" s="83">
        <f>DATA!W141</f>
        <v>0</v>
      </c>
      <c r="V152" s="83">
        <f>DATA!X141</f>
        <v>1098000000</v>
      </c>
      <c r="W152" s="84" t="str">
        <f>DATA!Y141</f>
        <v>JICA</v>
      </c>
      <c r="X152" s="42" t="str">
        <f>DATA!Z141</f>
        <v>Bilateral</v>
      </c>
      <c r="Y152" s="83">
        <f>DATA!AA141</f>
        <v>933000000</v>
      </c>
      <c r="Z152" s="83">
        <f>DATA!AG141</f>
        <v>0</v>
      </c>
      <c r="AA152" s="42">
        <f>DATA!AH141</f>
        <v>2015</v>
      </c>
      <c r="AB152" s="67" t="str">
        <f>DATA!AI141</f>
        <v xml:space="preserve">Penyiapan R/C
</v>
      </c>
      <c r="AC152" s="152" t="str">
        <f>DATA!AR141</f>
        <v>penyiapan dokumen R/C</v>
      </c>
      <c r="AD152" s="152" t="str">
        <f>DATA!AN141</f>
        <v>belum ada keterangan</v>
      </c>
      <c r="AE152" s="152" t="str">
        <f>DATA!AO141</f>
        <v>belum ada keterangan</v>
      </c>
      <c r="AF152" s="67" t="str">
        <f>DATA!AJ141</f>
        <v>-</v>
      </c>
      <c r="AG152" s="67" t="str">
        <f>DATA!AK141</f>
        <v>-</v>
      </c>
      <c r="AH152" s="67" t="str">
        <f>DATA!AL141</f>
        <v>-</v>
      </c>
      <c r="AI152" s="42" t="str">
        <f>DATA!AR141</f>
        <v>penyiapan dokumen R/C</v>
      </c>
      <c r="AJ152" s="42" t="str">
        <f>DATA!AN141</f>
        <v>belum ada keterangan</v>
      </c>
      <c r="AK152" s="42" t="str">
        <f>DATA!AO141</f>
        <v>belum ada keterangan</v>
      </c>
      <c r="AL152" s="42" t="str">
        <f>DATA!AP141</f>
        <v>belum ada proses tender/lelang</v>
      </c>
      <c r="AM152" s="42" t="str">
        <f>DATA!AY141</f>
        <v>Surat Dirut PT. PLN nomor 716/REN.08.01/DIR/2015 tgl 9 September 2015</v>
      </c>
      <c r="AN152" s="42" t="e">
        <f>DATA!#REF!</f>
        <v>#REF!</v>
      </c>
      <c r="AO152" s="42">
        <f>DATA!AZ141</f>
        <v>0</v>
      </c>
      <c r="AP152" s="152" t="e">
        <f>DATA!#REF!</f>
        <v>#REF!</v>
      </c>
      <c r="AQ152" s="67" t="str">
        <f>DATA!BA141</f>
        <v>Pembangunan dan instalasi: 500 kV AC Overhead line; 500 IW DC Overhead line; kabel bawah laut HVDC; Stasiun converter HVDC; 275 kV Overhead line (OHL)</v>
      </c>
    </row>
    <row r="153" spans="1:43" ht="43.5" customHeight="1">
      <c r="A153" s="10">
        <f>DATA!A142</f>
        <v>104</v>
      </c>
      <c r="B153" s="10">
        <f>DATA!B142</f>
        <v>0</v>
      </c>
      <c r="C153" s="10" t="str">
        <f>DATA!D142</f>
        <v>INFRASTRUKTUR</v>
      </c>
      <c r="D153" s="10">
        <f>DATA!E142</f>
        <v>7</v>
      </c>
      <c r="E153" s="10" t="str">
        <f>DATA!F142</f>
        <v xml:space="preserve">PT. PLN    </v>
      </c>
      <c r="F153" s="10" t="str">
        <f>DATA!H142</f>
        <v>Electricity Infrastructure Development Program</v>
      </c>
      <c r="G153" s="10" t="str">
        <f>DATA!I142</f>
        <v>A</v>
      </c>
      <c r="H153" s="10" t="str">
        <f>DATA!J142</f>
        <v>Program Pembangunan Infrastruktur Ketenagalistrikan</v>
      </c>
      <c r="I153" s="10">
        <f>DATA!K142</f>
        <v>2</v>
      </c>
      <c r="J153" s="33"/>
      <c r="K153" s="34"/>
      <c r="L153" s="34"/>
      <c r="M153" s="36">
        <f>DATA!K142</f>
        <v>2</v>
      </c>
      <c r="N153" s="37" t="str">
        <f>DATA!L142</f>
        <v>Hululais Geothermal Power Plant 1&amp;2 (2x55MW):</v>
      </c>
      <c r="O153" s="20">
        <f>DATA!Q142</f>
        <v>0</v>
      </c>
      <c r="P153" s="20">
        <f>DATA!R142</f>
        <v>0</v>
      </c>
      <c r="Q153" s="20">
        <f>DATA!S142</f>
        <v>0</v>
      </c>
      <c r="R153" s="77">
        <f>DATA!T142</f>
        <v>210600000</v>
      </c>
      <c r="S153" s="88">
        <f>DATA!U142</f>
        <v>210600000</v>
      </c>
      <c r="T153" s="77">
        <f>DATA!V142</f>
        <v>42600000</v>
      </c>
      <c r="U153" s="77">
        <f>DATA!W142</f>
        <v>0</v>
      </c>
      <c r="V153" s="77">
        <f>DATA!X142</f>
        <v>253200000</v>
      </c>
      <c r="W153" s="78" t="str">
        <f>DATA!Y142</f>
        <v>-</v>
      </c>
      <c r="X153" s="20">
        <f>DATA!Z142</f>
        <v>0</v>
      </c>
      <c r="Y153" s="77">
        <f>DATA!AA142</f>
        <v>210600000</v>
      </c>
      <c r="Z153" s="77">
        <f>DATA!AG142</f>
        <v>0</v>
      </c>
      <c r="AA153" s="20" t="str">
        <f>DATA!AH142</f>
        <v>-</v>
      </c>
      <c r="AB153" s="37" t="str">
        <f>DATA!AI142</f>
        <v>-</v>
      </c>
      <c r="AC153" s="152" t="str">
        <f>DATA!AM142</f>
        <v>-</v>
      </c>
      <c r="AD153" s="152" t="str">
        <f>DATA!AN142</f>
        <v>-</v>
      </c>
      <c r="AE153" s="152" t="str">
        <f>DATA!AO142</f>
        <v>-</v>
      </c>
      <c r="AF153" s="37" t="str">
        <f>DATA!AJ142</f>
        <v>-</v>
      </c>
      <c r="AG153" s="37" t="str">
        <f>DATA!AK142</f>
        <v>-</v>
      </c>
      <c r="AH153" s="37" t="str">
        <f>DATA!AL142</f>
        <v>-</v>
      </c>
      <c r="AI153" s="20" t="str">
        <f>DATA!AM142</f>
        <v>-</v>
      </c>
      <c r="AJ153" s="20" t="str">
        <f>DATA!AN142</f>
        <v>-</v>
      </c>
      <c r="AK153" s="20" t="str">
        <f>DATA!AO142</f>
        <v>-</v>
      </c>
      <c r="AL153" s="20">
        <f>DATA!AP142</f>
        <v>0</v>
      </c>
      <c r="AM153" s="20" t="str">
        <f>DATA!AY142</f>
        <v>Surat Dirut PT. PLN nomor 716/REN.08.01/DIR/2015 tgl 9 September 2015</v>
      </c>
      <c r="AN153" s="20" t="e">
        <f>DATA!#REF!</f>
        <v>#REF!</v>
      </c>
      <c r="AO153" s="20">
        <f>DATA!AZ142</f>
        <v>0</v>
      </c>
      <c r="AP153" s="152" t="e">
        <f>DATA!#REF!</f>
        <v>#REF!</v>
      </c>
      <c r="AQ153" s="37" t="str">
        <f>DATA!BA142</f>
        <v>Pembangunan PLTP Hululais 2x55 MW, pembangunan jaringan transmisi 150 kV, termasuk engineering desainnya</v>
      </c>
    </row>
    <row r="154" spans="1:43" s="6" customFormat="1" ht="74.25" customHeight="1">
      <c r="A154" s="6">
        <f>DATA!A143</f>
        <v>105</v>
      </c>
      <c r="B154" s="6">
        <f>DATA!B143</f>
        <v>0</v>
      </c>
      <c r="C154" s="6" t="str">
        <f>DATA!D143</f>
        <v>INFRASTRUKTUR</v>
      </c>
      <c r="D154" s="6">
        <f>DATA!E143</f>
        <v>7</v>
      </c>
      <c r="E154" s="6" t="str">
        <f>DATA!F143</f>
        <v xml:space="preserve">PT. PLN    </v>
      </c>
      <c r="F154" s="6" t="str">
        <f>DATA!H143</f>
        <v>Electricity Infrastructure Development Program</v>
      </c>
      <c r="G154" s="6" t="str">
        <f>DATA!I143</f>
        <v>A</v>
      </c>
      <c r="H154" s="6" t="str">
        <f>DATA!J143</f>
        <v>Program Pembangunan Infrastruktur Ketenagalistrikan</v>
      </c>
      <c r="I154" s="6">
        <f>DATA!K143</f>
        <v>2</v>
      </c>
      <c r="J154" s="38"/>
      <c r="K154" s="39"/>
      <c r="L154" s="39"/>
      <c r="M154" s="40"/>
      <c r="N154" s="67" t="str">
        <f>DATA!L143</f>
        <v>Engineering Service for Hululais 1&amp;2 Geothermal Power Plant Project (2x55 MW)</v>
      </c>
      <c r="O154" s="42">
        <f>DATA!Q143</f>
        <v>1</v>
      </c>
      <c r="P154" s="42">
        <f>DATA!R143</f>
        <v>1</v>
      </c>
      <c r="Q154" s="42">
        <f>DATA!S143</f>
        <v>93</v>
      </c>
      <c r="R154" s="83">
        <f>DATA!T143</f>
        <v>6600000</v>
      </c>
      <c r="S154" s="88">
        <f>DATA!U143</f>
        <v>6600000</v>
      </c>
      <c r="T154" s="83">
        <f>DATA!V143</f>
        <v>600000</v>
      </c>
      <c r="U154" s="83">
        <f>DATA!W143</f>
        <v>0</v>
      </c>
      <c r="V154" s="83">
        <f>DATA!X143</f>
        <v>7200000</v>
      </c>
      <c r="W154" s="84" t="str">
        <f>DATA!Y143</f>
        <v>JICA</v>
      </c>
      <c r="X154" s="42" t="str">
        <f>DATA!Z143</f>
        <v>Bilateral</v>
      </c>
      <c r="Y154" s="83">
        <f>DATA!AA143</f>
        <v>6600000</v>
      </c>
      <c r="Z154" s="83">
        <f>DATA!AG143</f>
        <v>0</v>
      </c>
      <c r="AA154" s="42">
        <f>DATA!AH143</f>
        <v>2015</v>
      </c>
      <c r="AB154" s="67" t="str">
        <f>DATA!AI143</f>
        <v>- Sudah ada R/C0
- Green Book 2015
- Loan Agreement tgl 18 Des'15</v>
      </c>
      <c r="AC154" s="152" t="str">
        <f>DATA!AR143</f>
        <v>Nilai pinjaman di GB USD 6.570 ribu</v>
      </c>
      <c r="AD154" s="152" t="str">
        <f>DATA!AN143</f>
        <v>siap</v>
      </c>
      <c r="AE154" s="152" t="str">
        <f>DATA!AO143</f>
        <v>tidak butuh lahan</v>
      </c>
      <c r="AF154" s="67" t="str">
        <f>DATA!AJ143</f>
        <v>- AMDAL sedang di proses
- Pengeboran eksplorasi sedang di proses</v>
      </c>
      <c r="AG154" s="67" t="str">
        <f>DATA!AK143</f>
        <v>Belum</v>
      </c>
      <c r="AH154" s="67" t="str">
        <f>DATA!AL143</f>
        <v>Dalam proses persiapan pengadaan konsultan</v>
      </c>
      <c r="AI154" s="42" t="str">
        <f>DATA!AR143</f>
        <v>Nilai pinjaman di GB USD 6.570 ribu</v>
      </c>
      <c r="AJ154" s="42" t="str">
        <f>DATA!AN143</f>
        <v>siap</v>
      </c>
      <c r="AK154" s="42" t="str">
        <f>DATA!AO143</f>
        <v>tidak butuh lahan</v>
      </c>
      <c r="AL154" s="42" t="str">
        <f>DATA!AP143</f>
        <v>belum ada proses tender/lelang</v>
      </c>
      <c r="AM154" s="42" t="str">
        <f>DATA!AY143</f>
        <v>Surat Dirut PT. PLN nomor 716/REN.08.01/DIR/2015 tgl 9 September 2015</v>
      </c>
      <c r="AN154" s="42" t="e">
        <f>DATA!#REF!</f>
        <v>#REF!</v>
      </c>
      <c r="AO154" s="42">
        <f>DATA!AZ143</f>
        <v>0</v>
      </c>
      <c r="AP154" s="152" t="e">
        <f>DATA!#REF!</f>
        <v>#REF!</v>
      </c>
      <c r="AQ154" s="67" t="str">
        <f>DATA!BA143</f>
        <v>Memfasilitasi penyusunan DED, tender dokumen, dan pengawasan konstruksi untuk PLTP Hululais 1 dan 2 (2x55 MW)</v>
      </c>
    </row>
    <row r="155" spans="1:43" s="6" customFormat="1" ht="31.5" customHeight="1">
      <c r="A155" s="6">
        <f>DATA!A144</f>
        <v>106</v>
      </c>
      <c r="B155" s="6">
        <f>DATA!B144</f>
        <v>0</v>
      </c>
      <c r="C155" s="6" t="str">
        <f>DATA!D144</f>
        <v>INFRASTRUKTUR</v>
      </c>
      <c r="D155" s="6">
        <f>DATA!E144</f>
        <v>7</v>
      </c>
      <c r="E155" s="6" t="str">
        <f>DATA!F144</f>
        <v xml:space="preserve">PT. PLN    </v>
      </c>
      <c r="F155" s="6" t="str">
        <f>DATA!H144</f>
        <v>Electricity Infrastructure Development Program</v>
      </c>
      <c r="G155" s="6" t="str">
        <f>DATA!I144</f>
        <v>A</v>
      </c>
      <c r="H155" s="6" t="str">
        <f>DATA!J144</f>
        <v>Program Pembangunan Infrastruktur Ketenagalistrikan</v>
      </c>
      <c r="I155" s="6">
        <f>DATA!K144</f>
        <v>2</v>
      </c>
      <c r="J155" s="38"/>
      <c r="K155" s="39"/>
      <c r="L155" s="39"/>
      <c r="M155" s="43"/>
      <c r="N155" s="67" t="str">
        <f>DATA!L144</f>
        <v>Hululais Geothermal Power Plant  1&amp;2 (2x55MW)</v>
      </c>
      <c r="O155" s="42">
        <f>DATA!Q144</f>
        <v>1</v>
      </c>
      <c r="P155" s="42">
        <f>DATA!R144</f>
        <v>1</v>
      </c>
      <c r="Q155" s="42">
        <f>DATA!S144</f>
        <v>94</v>
      </c>
      <c r="R155" s="83">
        <f>DATA!T144</f>
        <v>204000000</v>
      </c>
      <c r="S155" s="88">
        <f>DATA!U144</f>
        <v>204000000</v>
      </c>
      <c r="T155" s="83">
        <f>DATA!V144</f>
        <v>42000000</v>
      </c>
      <c r="U155" s="83">
        <f>DATA!W144</f>
        <v>0</v>
      </c>
      <c r="V155" s="83">
        <f>DATA!X144</f>
        <v>246000000</v>
      </c>
      <c r="W155" s="84" t="str">
        <f>DATA!Y144</f>
        <v>JICA</v>
      </c>
      <c r="X155" s="42" t="str">
        <f>DATA!Z144</f>
        <v>Bilateral</v>
      </c>
      <c r="Y155" s="83">
        <f>DATA!AA144</f>
        <v>204000000</v>
      </c>
      <c r="Z155" s="83">
        <f>DATA!AG144</f>
        <v>0</v>
      </c>
      <c r="AA155" s="42">
        <f>DATA!AH144</f>
        <v>2015</v>
      </c>
      <c r="AB155" s="67" t="str">
        <f>DATA!AI144</f>
        <v>-</v>
      </c>
      <c r="AC155" s="152" t="str">
        <f>DATA!AR144</f>
        <v>belum ada dokumen R/C</v>
      </c>
      <c r="AD155" s="152" t="str">
        <f>DATA!AN144</f>
        <v>belum ada keterangan</v>
      </c>
      <c r="AE155" s="152" t="str">
        <f>DATA!AO144</f>
        <v>belum ada keterangan</v>
      </c>
      <c r="AF155" s="67" t="str">
        <f>DATA!AJ144</f>
        <v>-</v>
      </c>
      <c r="AG155" s="67" t="str">
        <f>DATA!AK144</f>
        <v>-</v>
      </c>
      <c r="AH155" s="67" t="str">
        <f>DATA!AL144</f>
        <v>-</v>
      </c>
      <c r="AI155" s="42" t="str">
        <f>DATA!AR144</f>
        <v>belum ada dokumen R/C</v>
      </c>
      <c r="AJ155" s="42" t="str">
        <f>DATA!AN144</f>
        <v>belum ada keterangan</v>
      </c>
      <c r="AK155" s="42" t="str">
        <f>DATA!AO144</f>
        <v>belum ada keterangan</v>
      </c>
      <c r="AL155" s="42" t="str">
        <f>DATA!AP144</f>
        <v>belum ada proses tender/lelang</v>
      </c>
      <c r="AM155" s="42" t="str">
        <f>DATA!AY144</f>
        <v>Surat Dirut PT. PLN nomor 716/REN.08.01/DIR/2015 tgl 9 September 2015</v>
      </c>
      <c r="AN155" s="42" t="e">
        <f>DATA!#REF!</f>
        <v>#REF!</v>
      </c>
      <c r="AO155" s="42">
        <f>DATA!AZ144</f>
        <v>0</v>
      </c>
      <c r="AP155" s="152" t="e">
        <f>DATA!#REF!</f>
        <v>#REF!</v>
      </c>
      <c r="AQ155" s="67" t="str">
        <f>DATA!BA144</f>
        <v>Pembangunan PLTP Hululais 2x55 MW dan pembangunan jaringan transmisi 150 kV</v>
      </c>
    </row>
    <row r="156" spans="1:43" ht="51">
      <c r="A156" s="10">
        <f>DATA!A145</f>
        <v>107</v>
      </c>
      <c r="B156" s="10">
        <f>DATA!B145</f>
        <v>0</v>
      </c>
      <c r="C156" s="10" t="str">
        <f>DATA!D145</f>
        <v>INFRASTRUKTUR</v>
      </c>
      <c r="D156" s="10">
        <f>DATA!E145</f>
        <v>7</v>
      </c>
      <c r="E156" s="10" t="str">
        <f>DATA!F145</f>
        <v xml:space="preserve">PT. PLN    </v>
      </c>
      <c r="F156" s="10" t="str">
        <f>DATA!H145</f>
        <v>Electricity Infrastructure Development Program</v>
      </c>
      <c r="G156" s="10" t="str">
        <f>DATA!I145</f>
        <v>A</v>
      </c>
      <c r="H156" s="10" t="str">
        <f>DATA!J145</f>
        <v>Program Pembangunan Infrastruktur Ketenagalistrikan</v>
      </c>
      <c r="I156" s="10">
        <f>DATA!K145</f>
        <v>3</v>
      </c>
      <c r="J156" s="33"/>
      <c r="K156" s="34"/>
      <c r="L156" s="34"/>
      <c r="M156" s="36">
        <f>DATA!K145</f>
        <v>3</v>
      </c>
      <c r="N156" s="37" t="str">
        <f>DATA!L145</f>
        <v>Bakaru II Hydro Electrical Power Plant (2x63MW)</v>
      </c>
      <c r="O156" s="20">
        <f>DATA!Q145</f>
        <v>1</v>
      </c>
      <c r="P156" s="20">
        <f>DATA!R145</f>
        <v>1</v>
      </c>
      <c r="Q156" s="20">
        <f>DATA!S145</f>
        <v>95</v>
      </c>
      <c r="R156" s="77">
        <f>DATA!T145</f>
        <v>280000000</v>
      </c>
      <c r="S156" s="88">
        <f>DATA!U145</f>
        <v>280000000</v>
      </c>
      <c r="T156" s="77">
        <f>DATA!V145</f>
        <v>20000000</v>
      </c>
      <c r="U156" s="77">
        <f>DATA!W145</f>
        <v>0</v>
      </c>
      <c r="V156" s="77">
        <f>DATA!X145</f>
        <v>300000000</v>
      </c>
      <c r="W156" s="78" t="str">
        <f>DATA!Y145</f>
        <v>Jerman (KfW)</v>
      </c>
      <c r="X156" s="20" t="str">
        <f>DATA!Z145</f>
        <v>Bilateral</v>
      </c>
      <c r="Y156" s="77">
        <f>DATA!AA145</f>
        <v>280000000</v>
      </c>
      <c r="Z156" s="77">
        <f>DATA!AG145</f>
        <v>0</v>
      </c>
      <c r="AA156" s="20">
        <f>DATA!AH145</f>
        <v>2016</v>
      </c>
      <c r="AB156" s="37" t="str">
        <f>DATA!AI145</f>
        <v>-</v>
      </c>
      <c r="AC156" s="152">
        <f>DATA!AM145</f>
        <v>0</v>
      </c>
      <c r="AD156" s="152" t="str">
        <f>DATA!AN145</f>
        <v>dalam proses</v>
      </c>
      <c r="AE156" s="152" t="str">
        <f>DATA!AO145</f>
        <v>dalam proses
(perencanaan)</v>
      </c>
      <c r="AF156" s="37" t="str">
        <f>DATA!AJ145</f>
        <v>Dalam tahap reviu FS, Penyusunan AMDAL</v>
      </c>
      <c r="AG156" s="37" t="str">
        <f>DATA!AK145</f>
        <v>Pembebasan lahan menunggu hasil reviu FS</v>
      </c>
      <c r="AH156" s="37" t="str">
        <f>DATA!AL145</f>
        <v>Belum ada lelang/tender</v>
      </c>
      <c r="AI156" s="20">
        <f>DATA!AM145</f>
        <v>0</v>
      </c>
      <c r="AJ156" s="20" t="str">
        <f>DATA!AN145</f>
        <v>dalam proses</v>
      </c>
      <c r="AK156" s="20" t="str">
        <f>DATA!AO145</f>
        <v>dalam proses
(perencanaan)</v>
      </c>
      <c r="AL156" s="20" t="str">
        <f>DATA!AP145</f>
        <v>belum ada proses tender/lelang</v>
      </c>
      <c r="AM156"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N156" s="20" t="e">
        <f>DATA!#REF!</f>
        <v>#REF!</v>
      </c>
      <c r="AO156" s="20">
        <f>DATA!AZ145</f>
        <v>0</v>
      </c>
      <c r="AP156" s="152" t="e">
        <f>DATA!#REF!</f>
        <v>#REF!</v>
      </c>
      <c r="AQ156" s="37" t="str">
        <f>DATA!BA145</f>
        <v xml:space="preserve"> Pembangunan PLTA Bakaru II (2x63 MW), rehabilitasi bendungan dan turbin PLTA Bakaru I, sedimentasi penanggulangan dan Engineering Services PLTA Bakaru II</v>
      </c>
    </row>
    <row r="157" spans="1:43" ht="76.5">
      <c r="A157" s="10">
        <f>DATA!A146</f>
        <v>108</v>
      </c>
      <c r="B157" s="10">
        <f>DATA!B146</f>
        <v>0</v>
      </c>
      <c r="C157" s="10" t="str">
        <f>DATA!D146</f>
        <v>INFRASTRUKTUR</v>
      </c>
      <c r="D157" s="10">
        <f>DATA!E146</f>
        <v>7</v>
      </c>
      <c r="E157" s="10" t="str">
        <f>DATA!F146</f>
        <v xml:space="preserve">PT. PLN    </v>
      </c>
      <c r="F157" s="10" t="str">
        <f>DATA!H146</f>
        <v>Electricity Infrastructure Development Program</v>
      </c>
      <c r="G157" s="10" t="str">
        <f>DATA!I146</f>
        <v>A</v>
      </c>
      <c r="H157" s="10" t="str">
        <f>DATA!J146</f>
        <v>Program Pembangunan Infrastruktur Ketenagalistrikan</v>
      </c>
      <c r="I157" s="10">
        <f>DATA!K146</f>
        <v>4</v>
      </c>
      <c r="J157" s="33"/>
      <c r="K157" s="34"/>
      <c r="L157" s="34"/>
      <c r="M157" s="36">
        <f>DATA!K146</f>
        <v>4</v>
      </c>
      <c r="N157" s="37" t="str">
        <f>DATA!L146</f>
        <v>Tulehu Geothermal Power Plant Project Unit 1&amp;2 (2x10MW)</v>
      </c>
      <c r="O157" s="20">
        <f>DATA!Q146</f>
        <v>1</v>
      </c>
      <c r="P157" s="20">
        <f>DATA!R146</f>
        <v>1</v>
      </c>
      <c r="Q157" s="20">
        <f>DATA!S146</f>
        <v>96</v>
      </c>
      <c r="R157" s="77">
        <f>DATA!T146</f>
        <v>104000000</v>
      </c>
      <c r="S157" s="88">
        <f>DATA!U146</f>
        <v>104000000</v>
      </c>
      <c r="T157" s="77">
        <f>DATA!V146</f>
        <v>18000000</v>
      </c>
      <c r="U157" s="77">
        <f>DATA!W146</f>
        <v>0</v>
      </c>
      <c r="V157" s="77">
        <f>DATA!X146</f>
        <v>122000000</v>
      </c>
      <c r="W157" s="78" t="str">
        <f>DATA!Y146</f>
        <v>JICA</v>
      </c>
      <c r="X157" s="20" t="str">
        <f>DATA!Z146</f>
        <v>Bilateral</v>
      </c>
      <c r="Y157" s="77">
        <f>DATA!AA146</f>
        <v>104000000</v>
      </c>
      <c r="Z157" s="77">
        <f>DATA!AG146</f>
        <v>0</v>
      </c>
      <c r="AA157" s="20">
        <f>DATA!AH146</f>
        <v>2018</v>
      </c>
      <c r="AB157" s="37" t="str">
        <f>DATA!AI146</f>
        <v>-</v>
      </c>
      <c r="AC157" s="152" t="str">
        <f>DATA!AR146</f>
        <v>belum ada dokumen R/C</v>
      </c>
      <c r="AD157" s="152" t="str">
        <f>DATA!AN146</f>
        <v>dalam proses
(penyusunan FS)</v>
      </c>
      <c r="AE157" s="152" t="str">
        <f>DATA!AO146</f>
        <v>dalam proses
(pelaksanaan 63%)</v>
      </c>
      <c r="AF157" s="37" t="str">
        <f>DATA!AJ146</f>
        <v>Dalam proses reviu oleh BLH</v>
      </c>
      <c r="AG157" s="114">
        <f>DATA!AK146</f>
        <v>0.63</v>
      </c>
      <c r="AH157" s="37" t="str">
        <f>DATA!AL146</f>
        <v>- Direncanakan PQ IPM Drilling Sumur Produksi/Injeksi dimulai akhir Sept 2015
- Proses finalisasi dokumen lelang</v>
      </c>
      <c r="AI157" s="20" t="str">
        <f>DATA!AR146</f>
        <v>belum ada dokumen R/C</v>
      </c>
      <c r="AJ157" s="20" t="str">
        <f>DATA!AN146</f>
        <v>dalam proses
(penyusunan FS)</v>
      </c>
      <c r="AK157" s="20" t="str">
        <f>DATA!AO146</f>
        <v>dalam proses
(pelaksanaan 63%)</v>
      </c>
      <c r="AL157" s="20" t="str">
        <f>DATA!AP146</f>
        <v>belum ada proses tender/lelang</v>
      </c>
      <c r="AM157" s="20" t="str">
        <f>DATA!AY146</f>
        <v>- Pembebasan lahan untuk lokasi power plant dan pad B masih terkendala batas wilayah antara dua desa
- Surat Dirut PT. PLN nomor 716/REN.08.01/DIR/2015 tgl 9 September 2015</v>
      </c>
      <c r="AN157" s="20" t="e">
        <f>DATA!#REF!</f>
        <v>#REF!</v>
      </c>
      <c r="AO157" s="20">
        <f>DATA!AZ146</f>
        <v>0</v>
      </c>
      <c r="AP157" s="152" t="e">
        <f>DATA!#REF!</f>
        <v>#REF!</v>
      </c>
      <c r="AQ157" s="37" t="str">
        <f>DATA!BA146</f>
        <v>Pembangunan PLTP Tulehu 2x10 MW dan tambahan pengeboran untuk 3 sumur produksi/injeksi</v>
      </c>
    </row>
    <row r="158" spans="1:43" ht="89.25">
      <c r="A158" s="10">
        <f>DATA!A147</f>
        <v>109</v>
      </c>
      <c r="B158" s="10">
        <f>DATA!B147</f>
        <v>0</v>
      </c>
      <c r="C158" s="10" t="str">
        <f>DATA!D147</f>
        <v>INFRASTRUKTUR</v>
      </c>
      <c r="D158" s="10">
        <f>DATA!E147</f>
        <v>7</v>
      </c>
      <c r="E158" s="10" t="str">
        <f>DATA!F147</f>
        <v xml:space="preserve">PT. PLN    </v>
      </c>
      <c r="F158" s="10" t="str">
        <f>DATA!H147</f>
        <v>Electricity Infrastructure Development Program</v>
      </c>
      <c r="G158" s="10" t="str">
        <f>DATA!I147</f>
        <v>A</v>
      </c>
      <c r="H158" s="10" t="str">
        <f>DATA!J147</f>
        <v>Program Pembangunan Infrastruktur Ketenagalistrikan</v>
      </c>
      <c r="I158" s="10">
        <f>DATA!K147</f>
        <v>5</v>
      </c>
      <c r="J158" s="33"/>
      <c r="K158" s="34"/>
      <c r="L158" s="34"/>
      <c r="M158" s="36">
        <f>DATA!K147</f>
        <v>5</v>
      </c>
      <c r="N158" s="37" t="str">
        <f>DATA!L147</f>
        <v>Indramayu Coal Fired Power Plant  #4 (1x1000MW)</v>
      </c>
      <c r="O158" s="20">
        <f>DATA!Q147</f>
        <v>1</v>
      </c>
      <c r="P158" s="20">
        <f>DATA!R147</f>
        <v>1</v>
      </c>
      <c r="Q158" s="20">
        <f>DATA!S147</f>
        <v>97</v>
      </c>
      <c r="R158" s="77">
        <f>DATA!T147</f>
        <v>1845000000</v>
      </c>
      <c r="S158" s="88">
        <f>DATA!U147</f>
        <v>1845000000</v>
      </c>
      <c r="T158" s="77">
        <f>DATA!V147</f>
        <v>333000000</v>
      </c>
      <c r="U158" s="77">
        <f>DATA!W147</f>
        <v>0</v>
      </c>
      <c r="V158" s="77">
        <f>DATA!X147</f>
        <v>2178000000</v>
      </c>
      <c r="W158" s="78" t="str">
        <f>DATA!Y147</f>
        <v>JICA</v>
      </c>
      <c r="X158" s="20" t="str">
        <f>DATA!Z147</f>
        <v>Bilateral</v>
      </c>
      <c r="Y158" s="77">
        <f>DATA!AA147</f>
        <v>1845000000</v>
      </c>
      <c r="Z158" s="77">
        <f>DATA!AG147</f>
        <v>0</v>
      </c>
      <c r="AA158" s="20">
        <f>DATA!AH147</f>
        <v>2017</v>
      </c>
      <c r="AB158" s="37" t="str">
        <f>DATA!AI147</f>
        <v>-</v>
      </c>
      <c r="AC158" s="152" t="str">
        <f>DATA!AR147</f>
        <v>belum ada dokumen R/C</v>
      </c>
      <c r="AD158" s="152" t="str">
        <f>DATA!AN147</f>
        <v>siap</v>
      </c>
      <c r="AE158" s="152" t="str">
        <f>DATA!AO147</f>
        <v>dalam proses
(perencanaan)</v>
      </c>
      <c r="AF158" s="37" t="str">
        <f>DATA!AJ147</f>
        <v>FS, AMDAL</v>
      </c>
      <c r="AG158" s="37" t="str">
        <f>DATA!AK147</f>
        <v>Pembebasan lahan tahun 2016</v>
      </c>
      <c r="AH158" s="37" t="str">
        <f>DATA!AL147</f>
        <v>Rencana pengadaan konsultan ES selesai Nov 2015</v>
      </c>
      <c r="AI158" s="20" t="str">
        <f>DATA!AR147</f>
        <v>belum ada dokumen R/C</v>
      </c>
      <c r="AJ158" s="20" t="str">
        <f>DATA!AN147</f>
        <v>siap</v>
      </c>
      <c r="AK158" s="20" t="str">
        <f>DATA!AO147</f>
        <v>dalam proses
(perencanaan)</v>
      </c>
      <c r="AL158" s="20" t="str">
        <f>DATA!AP147</f>
        <v>belum ada proses tender/lelang</v>
      </c>
      <c r="AM158" s="20" t="str">
        <f>DATA!AY147</f>
        <v>Surat Dirut PT. PLN nomor 716/REN.08.01/DIR/2015 tgl 9 September 2015</v>
      </c>
      <c r="AN158" s="20" t="e">
        <f>DATA!#REF!</f>
        <v>#REF!</v>
      </c>
      <c r="AO158" s="20">
        <f>DATA!AZ147</f>
        <v>0</v>
      </c>
      <c r="AP158" s="152" t="e">
        <f>DATA!#REF!</f>
        <v>#REF!</v>
      </c>
      <c r="AQ158" s="37"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row>
    <row r="159" spans="1:43" ht="203.25" customHeight="1">
      <c r="A159" s="10">
        <f>DATA!A148</f>
        <v>110</v>
      </c>
      <c r="B159" s="10">
        <f>DATA!B148</f>
        <v>0</v>
      </c>
      <c r="C159" s="10" t="str">
        <f>DATA!D148</f>
        <v>INFRASTRUKTUR</v>
      </c>
      <c r="D159" s="10">
        <f>DATA!E148</f>
        <v>7</v>
      </c>
      <c r="E159" s="10" t="str">
        <f>DATA!F148</f>
        <v xml:space="preserve">PT. PLN    </v>
      </c>
      <c r="F159" s="10" t="str">
        <f>DATA!H148</f>
        <v>Electricity Infrastructure Development Program</v>
      </c>
      <c r="G159" s="10" t="str">
        <f>DATA!I148</f>
        <v>A</v>
      </c>
      <c r="H159" s="10" t="str">
        <f>DATA!J148</f>
        <v>Program Pembangunan Infrastruktur Ketenagalistrikan</v>
      </c>
      <c r="I159" s="10">
        <f>DATA!K148</f>
        <v>6</v>
      </c>
      <c r="J159" s="33"/>
      <c r="K159" s="34"/>
      <c r="L159" s="34"/>
      <c r="M159" s="36">
        <f>DATA!K148</f>
        <v>6</v>
      </c>
      <c r="N159" s="37" t="str">
        <f>DATA!L148</f>
        <v>Additional Loan for Upper Cisokan Pumped Storage Hydro Electrical Power Plant (4x260MW)</v>
      </c>
      <c r="O159" s="20">
        <f>DATA!Q148</f>
        <v>1</v>
      </c>
      <c r="P159" s="20">
        <f>DATA!R148</f>
        <v>1</v>
      </c>
      <c r="Q159" s="20">
        <f>DATA!S148</f>
        <v>98</v>
      </c>
      <c r="R159" s="77">
        <f>DATA!T148</f>
        <v>200000000</v>
      </c>
      <c r="S159" s="88">
        <f>DATA!U148</f>
        <v>200000000</v>
      </c>
      <c r="T159" s="77">
        <f>DATA!V148</f>
        <v>0</v>
      </c>
      <c r="U159" s="77">
        <f>DATA!W148</f>
        <v>0</v>
      </c>
      <c r="V159" s="77">
        <f>DATA!X148</f>
        <v>200000000</v>
      </c>
      <c r="W159" s="78" t="str">
        <f>DATA!Y148</f>
        <v>Bank Dunia</v>
      </c>
      <c r="X159" s="20" t="str">
        <f>DATA!Z148</f>
        <v>Multilateral</v>
      </c>
      <c r="Y159" s="77">
        <f>DATA!AA148</f>
        <v>200000000</v>
      </c>
      <c r="Z159" s="77">
        <f>DATA!AG148</f>
        <v>0</v>
      </c>
      <c r="AA159" s="20">
        <f>DATA!AH148</f>
        <v>2017</v>
      </c>
      <c r="AB159" s="37" t="str">
        <f>DATA!AI148</f>
        <v>-</v>
      </c>
      <c r="AC159" s="152" t="str">
        <f>DATA!AR148</f>
        <v>belum ada dokumen R/C</v>
      </c>
      <c r="AD159" s="152" t="str">
        <f>DATA!AN148</f>
        <v>siap</v>
      </c>
      <c r="AE159" s="152" t="str">
        <f>DATA!AO148</f>
        <v>dalam proses
(pelaksanaan 95%)</v>
      </c>
      <c r="AF159" s="37" t="str">
        <f>DATA!AJ148</f>
        <v>FS, AMDAL</v>
      </c>
      <c r="AG159" s="114">
        <f>DATA!AK148</f>
        <v>0.95</v>
      </c>
      <c r="AH159" s="37"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I159" s="20" t="str">
        <f>DATA!AR148</f>
        <v>belum ada dokumen R/C</v>
      </c>
      <c r="AJ159" s="20" t="str">
        <f>DATA!AN148</f>
        <v>siap</v>
      </c>
      <c r="AK159" s="20" t="str">
        <f>DATA!AO148</f>
        <v>dalam proses
(pelaksanaan 95%)</v>
      </c>
      <c r="AL159" s="20" t="str">
        <f>DATA!AP148</f>
        <v>belum ada proses tender/lelang</v>
      </c>
      <c r="AM159"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N159" s="20" t="e">
        <f>DATA!#REF!</f>
        <v>#REF!</v>
      </c>
      <c r="AO159" s="20">
        <f>DATA!AZ148</f>
        <v>0</v>
      </c>
      <c r="AP159" s="152" t="e">
        <f>DATA!#REF!</f>
        <v>#REF!</v>
      </c>
      <c r="AQ159" s="37"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row>
    <row r="160" spans="1:43" ht="35.25" customHeight="1">
      <c r="A160" s="10">
        <f>DATA!A149</f>
        <v>111</v>
      </c>
      <c r="B160" s="10">
        <f>DATA!B149</f>
        <v>0</v>
      </c>
      <c r="C160" s="10" t="str">
        <f>DATA!D149</f>
        <v>INFRASTRUKTUR</v>
      </c>
      <c r="D160" s="10">
        <f>DATA!E149</f>
        <v>7</v>
      </c>
      <c r="E160" s="10" t="str">
        <f>DATA!F149</f>
        <v xml:space="preserve">PT. PLN    </v>
      </c>
      <c r="F160" s="10" t="str">
        <f>DATA!H149</f>
        <v>Electricity Infrastructure Development Program</v>
      </c>
      <c r="G160" s="10" t="str">
        <f>DATA!I149</f>
        <v>A</v>
      </c>
      <c r="H160" s="10" t="str">
        <f>DATA!J149</f>
        <v>Program Pembangunan Infrastruktur Ketenagalistrikan</v>
      </c>
      <c r="I160" s="10">
        <f>DATA!K149</f>
        <v>7</v>
      </c>
      <c r="J160" s="33"/>
      <c r="K160" s="34"/>
      <c r="L160" s="34"/>
      <c r="M160" s="36">
        <f>DATA!K149</f>
        <v>7</v>
      </c>
      <c r="N160" s="37" t="str">
        <f>DATA!L149</f>
        <v>Sungai Penuh Geothermal Power Plant 1&amp;2 (2x55MW)</v>
      </c>
      <c r="O160" s="20">
        <f>DATA!Q149</f>
        <v>1</v>
      </c>
      <c r="P160" s="20">
        <f>DATA!R149</f>
        <v>1</v>
      </c>
      <c r="Q160" s="20">
        <f>DATA!S149</f>
        <v>99</v>
      </c>
      <c r="R160" s="77">
        <f>DATA!T149</f>
        <v>205000000</v>
      </c>
      <c r="S160" s="88">
        <f>DATA!U149</f>
        <v>205000000</v>
      </c>
      <c r="T160" s="77">
        <f>DATA!V149</f>
        <v>45000000</v>
      </c>
      <c r="U160" s="77">
        <f>DATA!W149</f>
        <v>0</v>
      </c>
      <c r="V160" s="77">
        <f>DATA!X149</f>
        <v>250000000</v>
      </c>
      <c r="W160" s="78" t="str">
        <f>DATA!Y149</f>
        <v>ADB</v>
      </c>
      <c r="X160" s="20" t="str">
        <f>DATA!Z149</f>
        <v>Multilateral</v>
      </c>
      <c r="Y160" s="77">
        <f>DATA!AA149</f>
        <v>205000000</v>
      </c>
      <c r="Z160" s="77">
        <f>DATA!AG149</f>
        <v>0</v>
      </c>
      <c r="AA160" s="20" t="str">
        <f>DATA!AH149</f>
        <v>Tanpa keterangan</v>
      </c>
      <c r="AB160" s="37" t="str">
        <f>DATA!AI149</f>
        <v>-</v>
      </c>
      <c r="AC160" s="152" t="str">
        <f>DATA!AR149</f>
        <v>belum ada dokumen R/C</v>
      </c>
      <c r="AD160" s="152" t="str">
        <f>DATA!AN149</f>
        <v>siap</v>
      </c>
      <c r="AE160" s="152" t="str">
        <f>DATA!AO149</f>
        <v>belum ada keterangan</v>
      </c>
      <c r="AF160" s="37" t="str">
        <f>DATA!AJ149</f>
        <v>AMDAL</v>
      </c>
      <c r="AG160" s="37" t="str">
        <f>DATA!AK149</f>
        <v>-</v>
      </c>
      <c r="AH160" s="37" t="str">
        <f>DATA!AL149</f>
        <v>-</v>
      </c>
      <c r="AI160" s="20" t="str">
        <f>DATA!AR149</f>
        <v>belum ada dokumen R/C</v>
      </c>
      <c r="AJ160" s="20" t="str">
        <f>DATA!AN149</f>
        <v>siap</v>
      </c>
      <c r="AK160" s="20" t="str">
        <f>DATA!AO149</f>
        <v>belum ada keterangan</v>
      </c>
      <c r="AL160" s="20" t="str">
        <f>DATA!AP149</f>
        <v>belum ada proses tender/lelang</v>
      </c>
      <c r="AM160" s="20" t="str">
        <f>DATA!AY149</f>
        <v xml:space="preserve">- FS report terkait resource confirmation dari PGE belum ada
- Surat Dirut PT. PLN nomor 716/REN.08.01/DIR/2015 tgl 9 September 2015
</v>
      </c>
      <c r="AN160" s="20" t="e">
        <f>DATA!#REF!</f>
        <v>#REF!</v>
      </c>
      <c r="AO160" s="20">
        <f>DATA!AZ149</f>
        <v>0</v>
      </c>
      <c r="AP160" s="152" t="e">
        <f>DATA!#REF!</f>
        <v>#REF!</v>
      </c>
      <c r="AQ160" s="37" t="str">
        <f>DATA!BA149</f>
        <v>Pengembangan PLTP Sungai Penuh dengan kapasitas 2x55 MW dan jaringan transmisi terkait</v>
      </c>
    </row>
    <row r="161" spans="1:43" ht="36" customHeight="1">
      <c r="A161" s="10">
        <f>DATA!A150</f>
        <v>112</v>
      </c>
      <c r="B161" s="10">
        <f>DATA!B150</f>
        <v>0</v>
      </c>
      <c r="C161" s="10" t="str">
        <f>DATA!D150</f>
        <v>INFRASTRUKTUR</v>
      </c>
      <c r="D161" s="10">
        <f>DATA!E150</f>
        <v>7</v>
      </c>
      <c r="E161" s="10" t="str">
        <f>DATA!F150</f>
        <v xml:space="preserve">PT. PLN    </v>
      </c>
      <c r="F161" s="10" t="str">
        <f>DATA!H150</f>
        <v>Electricity Infrastructure Development Program</v>
      </c>
      <c r="G161" s="10" t="str">
        <f>DATA!I150</f>
        <v>A</v>
      </c>
      <c r="H161" s="10" t="str">
        <f>DATA!J150</f>
        <v>Program Pembangunan Infrastruktur Ketenagalistrikan</v>
      </c>
      <c r="I161" s="10">
        <f>DATA!K150</f>
        <v>8</v>
      </c>
      <c r="J161" s="52"/>
      <c r="K161" s="54"/>
      <c r="L161" s="54"/>
      <c r="M161" s="36">
        <f>DATA!K150</f>
        <v>8</v>
      </c>
      <c r="N161" s="37" t="str">
        <f>DATA!L150</f>
        <v>Matenggeng Pumped Storage Hydro Electrical Power Plant (4x225MW)</v>
      </c>
      <c r="O161" s="20">
        <f>DATA!Q150</f>
        <v>1</v>
      </c>
      <c r="P161" s="20">
        <f>DATA!R150</f>
        <v>1</v>
      </c>
      <c r="Q161" s="20">
        <f>DATA!S150</f>
        <v>100</v>
      </c>
      <c r="R161" s="77">
        <f>DATA!T150</f>
        <v>500000000</v>
      </c>
      <c r="S161" s="88">
        <f>DATA!U150</f>
        <v>500000000</v>
      </c>
      <c r="T161" s="77">
        <f>DATA!V150</f>
        <v>220000000</v>
      </c>
      <c r="U161" s="77">
        <f>DATA!W150</f>
        <v>0</v>
      </c>
      <c r="V161" s="77">
        <f>DATA!X150</f>
        <v>720000000</v>
      </c>
      <c r="W161" s="78" t="str">
        <f>DATA!Y150</f>
        <v>Bank Dunia</v>
      </c>
      <c r="X161" s="20" t="str">
        <f>DATA!Z150</f>
        <v>Multilateral</v>
      </c>
      <c r="Y161" s="77">
        <f>DATA!AA150</f>
        <v>500000000</v>
      </c>
      <c r="Z161" s="77">
        <f>DATA!AG150</f>
        <v>0</v>
      </c>
      <c r="AA161" s="20">
        <f>DATA!AH150</f>
        <v>2017</v>
      </c>
      <c r="AB161" s="37" t="str">
        <f>DATA!AI150</f>
        <v>-</v>
      </c>
      <c r="AC161" s="152" t="str">
        <f>DATA!AR150</f>
        <v>belum ada dokumen R/C</v>
      </c>
      <c r="AD161" s="152" t="str">
        <f>DATA!AN150</f>
        <v>dalam proses
(penyusunan FS)</v>
      </c>
      <c r="AE161" s="152" t="str">
        <f>DATA!AO150</f>
        <v>belum ada keterangan</v>
      </c>
      <c r="AF161" s="37" t="str">
        <f>DATA!AJ150</f>
        <v>Penyusunan FS</v>
      </c>
      <c r="AG161" s="37" t="str">
        <f>DATA!AK150</f>
        <v>-</v>
      </c>
      <c r="AH161" s="37" t="str">
        <f>DATA!AL150</f>
        <v>-</v>
      </c>
      <c r="AI161" s="20" t="str">
        <f>DATA!AR150</f>
        <v>belum ada dokumen R/C</v>
      </c>
      <c r="AJ161" s="20" t="str">
        <f>DATA!AN150</f>
        <v>dalam proses
(penyusunan FS)</v>
      </c>
      <c r="AK161" s="20" t="str">
        <f>DATA!AO150</f>
        <v>belum ada keterangan</v>
      </c>
      <c r="AL161" s="20" t="str">
        <f>DATA!AP150</f>
        <v>belum ada proses tender/lelang</v>
      </c>
      <c r="AM161" s="20" t="str">
        <f>DATA!AY150</f>
        <v>- Direncanakan menggunakan skema direct lending
- AMDAL direncanakan mulai tahun 2016
- Layout terkini tidak terindikasi overlapping dengan bendungan Matenggeng milik PU
- Surat Dirut PT. PLN nomor 716/REN.08.01/DIR/2015 tgl 9 September 2015</v>
      </c>
      <c r="AN161" s="20" t="e">
        <f>DATA!#REF!</f>
        <v>#REF!</v>
      </c>
      <c r="AO161" s="20">
        <f>DATA!AZ150</f>
        <v>0</v>
      </c>
      <c r="AP161" s="152" t="e">
        <f>DATA!#REF!</f>
        <v>#REF!</v>
      </c>
      <c r="AQ161" s="37" t="str">
        <f>DATA!BA150</f>
        <v>Pengembangan PLTA Matenggeng dengan kapasitas 4x225 MW dan jaringan transmisi terkait</v>
      </c>
    </row>
    <row r="162" spans="1:43" s="3" customFormat="1" ht="30" customHeight="1">
      <c r="J162" s="21" t="str">
        <f>DATA!B160</f>
        <v>II</v>
      </c>
      <c r="K162" s="112" t="str">
        <f>DATA!D160</f>
        <v>NON-INFRASTRUKTUR</v>
      </c>
      <c r="L162" s="22"/>
      <c r="M162" s="22"/>
      <c r="N162" s="23"/>
      <c r="O162" s="22"/>
      <c r="P162" s="22"/>
      <c r="Q162" s="22"/>
      <c r="R162" s="79">
        <f>+R163+R173+R182+R185+R197+R200+R213+R216+R219+R222</f>
        <v>4590772100</v>
      </c>
      <c r="S162" s="79">
        <f>+S163+S173+S182+S185+S197+S200+S213+S216+S219+S222</f>
        <v>4887567200</v>
      </c>
      <c r="T162" s="79">
        <f t="shared" ref="T162:Z162" si="18">+T163+T173+T182+T185+T197+T200+T213+T216+T219+T222</f>
        <v>488120200</v>
      </c>
      <c r="U162" s="79">
        <f t="shared" si="18"/>
        <v>2660000</v>
      </c>
      <c r="V162" s="79">
        <f t="shared" si="18"/>
        <v>5308007600</v>
      </c>
      <c r="W162" s="79"/>
      <c r="X162" s="79" t="e">
        <f t="shared" si="18"/>
        <v>#VALUE!</v>
      </c>
      <c r="Y162" s="79">
        <f t="shared" si="18"/>
        <v>4590772100</v>
      </c>
      <c r="Z162" s="79">
        <f t="shared" si="18"/>
        <v>-1609442600</v>
      </c>
      <c r="AA162" s="22"/>
      <c r="AB162" s="23"/>
      <c r="AC162" s="23"/>
      <c r="AD162" s="23"/>
      <c r="AE162" s="23"/>
      <c r="AF162" s="23"/>
      <c r="AG162" s="23"/>
      <c r="AH162" s="23"/>
      <c r="AI162" s="22"/>
      <c r="AJ162" s="22"/>
      <c r="AK162" s="22"/>
      <c r="AL162" s="22"/>
      <c r="AM162" s="22"/>
      <c r="AN162" s="22"/>
      <c r="AO162" s="22"/>
      <c r="AP162" s="23"/>
      <c r="AQ162" s="23"/>
    </row>
    <row r="163" spans="1:43" s="4" customFormat="1" ht="24.95" customHeight="1">
      <c r="J163" s="24"/>
      <c r="K163" s="25">
        <f>DATA!E160</f>
        <v>8</v>
      </c>
      <c r="L163" s="108" t="str">
        <f>DATA!F160</f>
        <v>Kementerian Riset, Teknologi, dan Pendidikan Tinggi</v>
      </c>
      <c r="M163" s="25"/>
      <c r="N163" s="27"/>
      <c r="O163" s="26"/>
      <c r="P163" s="26"/>
      <c r="Q163" s="26"/>
      <c r="R163" s="80">
        <f>+R164</f>
        <v>290311500</v>
      </c>
      <c r="S163" s="80">
        <f>+S164</f>
        <v>527171100</v>
      </c>
      <c r="T163" s="80">
        <f t="shared" ref="T163:Z164" si="19">+T164</f>
        <v>54543500</v>
      </c>
      <c r="U163" s="80">
        <f t="shared" si="19"/>
        <v>0</v>
      </c>
      <c r="V163" s="80">
        <f t="shared" si="19"/>
        <v>581714600</v>
      </c>
      <c r="W163" s="80"/>
      <c r="X163" s="80">
        <f t="shared" si="19"/>
        <v>0</v>
      </c>
      <c r="Y163" s="80">
        <f t="shared" si="19"/>
        <v>290311500</v>
      </c>
      <c r="Z163" s="80">
        <f t="shared" si="19"/>
        <v>0</v>
      </c>
      <c r="AA163" s="26"/>
      <c r="AB163" s="27"/>
      <c r="AC163" s="27"/>
      <c r="AD163" s="27"/>
      <c r="AE163" s="27"/>
      <c r="AF163" s="27"/>
      <c r="AG163" s="27"/>
      <c r="AH163" s="27"/>
      <c r="AI163" s="26"/>
      <c r="AJ163" s="26"/>
      <c r="AK163" s="26"/>
      <c r="AL163" s="26"/>
      <c r="AM163" s="26"/>
      <c r="AN163" s="26"/>
      <c r="AO163" s="26"/>
      <c r="AP163" s="27"/>
      <c r="AQ163" s="27"/>
    </row>
    <row r="164" spans="1:43" s="5" customFormat="1" ht="33.75" customHeight="1">
      <c r="J164" s="28"/>
      <c r="K164" s="29"/>
      <c r="L164" s="30" t="str">
        <f>DATA!I160</f>
        <v>A</v>
      </c>
      <c r="M164" s="31" t="str">
        <f>DATA!J160</f>
        <v xml:space="preserve">Program Peningkatan Akses, Kualitas, Relevansi, dan Daya Saing Pendidikan Tinggi </v>
      </c>
      <c r="N164" s="51"/>
      <c r="O164" s="31"/>
      <c r="P164" s="31"/>
      <c r="Q164" s="31"/>
      <c r="R164" s="81">
        <f>+R165</f>
        <v>290311500</v>
      </c>
      <c r="S164" s="81">
        <f>+S165</f>
        <v>527171100</v>
      </c>
      <c r="T164" s="81">
        <f t="shared" si="19"/>
        <v>54543500</v>
      </c>
      <c r="U164" s="81">
        <f t="shared" si="19"/>
        <v>0</v>
      </c>
      <c r="V164" s="81">
        <f t="shared" si="19"/>
        <v>581714600</v>
      </c>
      <c r="W164" s="81"/>
      <c r="X164" s="81">
        <f t="shared" si="19"/>
        <v>0</v>
      </c>
      <c r="Y164" s="81">
        <f t="shared" si="19"/>
        <v>290311500</v>
      </c>
      <c r="Z164" s="81">
        <f t="shared" si="19"/>
        <v>0</v>
      </c>
      <c r="AA164" s="31"/>
      <c r="AB164" s="32"/>
      <c r="AC164" s="32"/>
      <c r="AD164" s="32"/>
      <c r="AE164" s="32"/>
      <c r="AF164" s="32"/>
      <c r="AG164" s="32"/>
      <c r="AH164" s="32"/>
      <c r="AI164" s="31"/>
      <c r="AJ164" s="31"/>
      <c r="AK164" s="31"/>
      <c r="AL164" s="31"/>
      <c r="AM164" s="31"/>
      <c r="AN164" s="31"/>
      <c r="AO164" s="31"/>
      <c r="AP164" s="32"/>
      <c r="AQ164" s="32"/>
    </row>
    <row r="165" spans="1:43" ht="48.75" customHeight="1">
      <c r="A165" s="10">
        <f>DATA!A160</f>
        <v>113</v>
      </c>
      <c r="B165" s="10" t="str">
        <f>DATA!B160</f>
        <v>II</v>
      </c>
      <c r="C165" s="10" t="str">
        <f>DATA!D160</f>
        <v>NON-INFRASTRUKTUR</v>
      </c>
      <c r="D165" s="10">
        <f>DATA!E160</f>
        <v>8</v>
      </c>
      <c r="E165" s="10" t="str">
        <f>DATA!F160</f>
        <v>Kementerian Riset, Teknologi, dan Pendidikan Tinggi</v>
      </c>
      <c r="F165" s="10" t="str">
        <f>DATA!H160</f>
        <v>Improving Access, Quality, Relevance, and Competitiveness of Higher Education Program</v>
      </c>
      <c r="G165" s="10" t="str">
        <f>DATA!I160</f>
        <v>A</v>
      </c>
      <c r="H165" s="10" t="str">
        <f>DATA!J160</f>
        <v xml:space="preserve">Program Peningkatan Akses, Kualitas, Relevansi, dan Daya Saing Pendidikan Tinggi </v>
      </c>
      <c r="I165" s="10">
        <f>DATA!K160</f>
        <v>1</v>
      </c>
      <c r="J165" s="33"/>
      <c r="K165" s="34"/>
      <c r="L165" s="35"/>
      <c r="M165" s="36">
        <f>DATA!K160</f>
        <v>1</v>
      </c>
      <c r="N165" s="37" t="str">
        <f>DATA!L160</f>
        <v>Strengthening Capacity of State Higher Education:</v>
      </c>
      <c r="O165" s="20">
        <f>DATA!Q160</f>
        <v>0</v>
      </c>
      <c r="P165" s="20">
        <f>DATA!R160</f>
        <v>1</v>
      </c>
      <c r="Q165" s="20">
        <f>DATA!S160</f>
        <v>101</v>
      </c>
      <c r="R165" s="77">
        <f>DATA!T160</f>
        <v>290311500</v>
      </c>
      <c r="S165" s="88">
        <f>DATA!U160</f>
        <v>527171100</v>
      </c>
      <c r="T165" s="77">
        <f>DATA!V160</f>
        <v>54543500</v>
      </c>
      <c r="U165" s="77">
        <f>DATA!W160</f>
        <v>0</v>
      </c>
      <c r="V165" s="77">
        <f>DATA!X160</f>
        <v>581714600</v>
      </c>
      <c r="W165" s="78" t="str">
        <f>DATA!Y160</f>
        <v>-</v>
      </c>
      <c r="X165" s="20">
        <f>DATA!Z160</f>
        <v>0</v>
      </c>
      <c r="Y165" s="77">
        <f>DATA!AA160</f>
        <v>290311500</v>
      </c>
      <c r="Z165" s="77">
        <f>DATA!AG160</f>
        <v>0</v>
      </c>
      <c r="AA165" s="20" t="str">
        <f>DATA!AH160</f>
        <v>-</v>
      </c>
      <c r="AB165" s="37" t="str">
        <f>DATA!AI160</f>
        <v>-</v>
      </c>
      <c r="AC165" s="152" t="str">
        <f>DATA!AM160</f>
        <v>-</v>
      </c>
      <c r="AD165" s="152">
        <f>DATA!AN160</f>
        <v>0</v>
      </c>
      <c r="AE165" s="152" t="str">
        <f>DATA!AO160</f>
        <v>-</v>
      </c>
      <c r="AF165" s="37" t="str">
        <f>DATA!AJ160</f>
        <v>-</v>
      </c>
      <c r="AG165" s="37" t="str">
        <f>DATA!AK160</f>
        <v>-</v>
      </c>
      <c r="AH165" s="37" t="str">
        <f>DATA!AL160</f>
        <v>-</v>
      </c>
      <c r="AI165" s="20" t="str">
        <f>DATA!AM160</f>
        <v>-</v>
      </c>
      <c r="AJ165" s="20">
        <f>DATA!AN160</f>
        <v>0</v>
      </c>
      <c r="AK165" s="20" t="str">
        <f>DATA!AO160</f>
        <v>-</v>
      </c>
      <c r="AL165" s="20">
        <f>DATA!AP160</f>
        <v>0</v>
      </c>
      <c r="AM165" s="20" t="str">
        <f>DATA!AY160</f>
        <v>Surat Sekjen nomor 1532/A.A1/PR/2015 tgl 9 September 2015</v>
      </c>
      <c r="AN165" s="20" t="e">
        <f>DATA!#REF!</f>
        <v>#REF!</v>
      </c>
      <c r="AO165" s="20">
        <f>DATA!AZ160</f>
        <v>0</v>
      </c>
      <c r="AP165" s="152" t="e">
        <f>DATA!#REF!</f>
        <v>#REF!</v>
      </c>
      <c r="AQ165" s="37" t="str">
        <f>DATA!BA160</f>
        <v>Pembangunan sarana dan prasarana perkuliahan, pengadaan peralatan, pengembangan SDM, serta jasa konsultan</v>
      </c>
    </row>
    <row r="166" spans="1:43" s="6" customFormat="1" ht="59.25" customHeight="1">
      <c r="A166" s="6">
        <f>DATA!A161</f>
        <v>114</v>
      </c>
      <c r="B166" s="6">
        <f>DATA!B161</f>
        <v>0</v>
      </c>
      <c r="C166" s="6" t="str">
        <f>DATA!D161</f>
        <v>NON-INFRASTRUKTUR</v>
      </c>
      <c r="D166" s="6">
        <f>DATA!E161</f>
        <v>8</v>
      </c>
      <c r="E166" s="6" t="str">
        <f>DATA!F161</f>
        <v>Kementerian Riset, Teknologi, dan Pendidikan Tinggi</v>
      </c>
      <c r="F166" s="6" t="str">
        <f>DATA!H161</f>
        <v>Improving Access, Quality, Relevance, and Competitiveness of Higher Education Program</v>
      </c>
      <c r="G166" s="6" t="str">
        <f>DATA!I161</f>
        <v>A</v>
      </c>
      <c r="H166" s="6" t="str">
        <f>DATA!J161</f>
        <v xml:space="preserve">Program Peningkatan Akses, Kualitas, Relevansi, dan Daya Saing Pendidikan Tinggi </v>
      </c>
      <c r="I166" s="6">
        <f>DATA!K161</f>
        <v>1</v>
      </c>
      <c r="J166" s="38"/>
      <c r="K166" s="39"/>
      <c r="L166" s="39"/>
      <c r="M166" s="40"/>
      <c r="N166" s="67" t="str">
        <f>DATA!L161</f>
        <v>The Development of Sultan Ageng Tirtayasa University (UNTIRTA)</v>
      </c>
      <c r="O166" s="42">
        <f>DATA!Q161</f>
        <v>0.14285714285714285</v>
      </c>
      <c r="P166" s="42">
        <f>DATA!R161</f>
        <v>0</v>
      </c>
      <c r="Q166" s="42">
        <f>DATA!S161</f>
        <v>0</v>
      </c>
      <c r="R166" s="83">
        <f>DATA!T161</f>
        <v>49882300</v>
      </c>
      <c r="S166" s="88">
        <f>DATA!U161</f>
        <v>49882300</v>
      </c>
      <c r="T166" s="83">
        <f>DATA!V161</f>
        <v>3797300</v>
      </c>
      <c r="U166" s="83">
        <f>DATA!W161</f>
        <v>0</v>
      </c>
      <c r="V166" s="83">
        <f>DATA!X161</f>
        <v>53679600</v>
      </c>
      <c r="W166" s="84" t="str">
        <f>DATA!Y161</f>
        <v>IDB</v>
      </c>
      <c r="X166" s="42" t="str">
        <f>DATA!Z161</f>
        <v>Multilateral</v>
      </c>
      <c r="Y166" s="83">
        <f>DATA!AA161</f>
        <v>49882300</v>
      </c>
      <c r="Z166" s="83">
        <f>DATA!AG161</f>
        <v>0</v>
      </c>
      <c r="AA166" s="42" t="str">
        <f>DATA!AH161</f>
        <v>Tanpa keterangan</v>
      </c>
      <c r="AB166" s="67" t="str">
        <f>DATA!AI161</f>
        <v xml:space="preserve">Penyusunan R/C
</v>
      </c>
      <c r="AC166" s="152" t="str">
        <f>DATA!AR161</f>
        <v>-</v>
      </c>
      <c r="AD166" s="152" t="str">
        <f>DATA!AN161</f>
        <v>siap</v>
      </c>
      <c r="AE166" s="152" t="str">
        <f>DATA!AO161</f>
        <v>siap</v>
      </c>
      <c r="AF166" s="67" t="str">
        <f>DATA!AJ161</f>
        <v>- Pemrosesan FS
- AMDAL proses lelang</v>
      </c>
      <c r="AG166" s="115">
        <f>DATA!AK161</f>
        <v>1</v>
      </c>
      <c r="AH166" s="67" t="str">
        <f>DATA!AL161</f>
        <v>-</v>
      </c>
      <c r="AI166" s="42" t="str">
        <f>DATA!AR161</f>
        <v>-</v>
      </c>
      <c r="AJ166" s="42" t="str">
        <f>DATA!AN161</f>
        <v>siap</v>
      </c>
      <c r="AK166" s="42" t="str">
        <f>DATA!AO161</f>
        <v>siap</v>
      </c>
      <c r="AL166" s="42" t="str">
        <f>DATA!AP161</f>
        <v>belum ada proses tender/lelang</v>
      </c>
      <c r="AM166" s="42" t="str">
        <f>DATA!AY161</f>
        <v>Surat Sekjen nomor 1532/A.A1/PR/2015 tgl 9 September 2015</v>
      </c>
      <c r="AN166" s="42" t="e">
        <f>DATA!#REF!</f>
        <v>#REF!</v>
      </c>
      <c r="AO166" s="42">
        <f>DATA!AZ161</f>
        <v>0</v>
      </c>
      <c r="AP166" s="152" t="e">
        <f>DATA!#REF!</f>
        <v>#REF!</v>
      </c>
      <c r="AQ166" s="67" t="str">
        <f>DATA!BA161</f>
        <v>Pembangunan sarana dan prasarana pendidikan (gedung perkuliahan, laboratorium dan sarana pendukung lainnya)  dan pengembangan landscape dan infrastruktur</v>
      </c>
    </row>
    <row r="167" spans="1:43" s="6" customFormat="1" ht="71.25" customHeight="1">
      <c r="A167" s="6">
        <f>DATA!A162</f>
        <v>115</v>
      </c>
      <c r="B167" s="6">
        <f>DATA!B162</f>
        <v>0</v>
      </c>
      <c r="C167" s="6" t="str">
        <f>DATA!D162</f>
        <v>NON-INFRASTRUKTUR</v>
      </c>
      <c r="D167" s="6">
        <f>DATA!E162</f>
        <v>8</v>
      </c>
      <c r="E167" s="6" t="str">
        <f>DATA!F162</f>
        <v>Kementerian Riset, Teknologi, dan Pendidikan Tinggi</v>
      </c>
      <c r="F167" s="6" t="str">
        <f>DATA!H162</f>
        <v>Improving Access, Quality, Relevance, and Competitiveness of Higher Education Program</v>
      </c>
      <c r="G167" s="6" t="str">
        <f>DATA!I162</f>
        <v>A</v>
      </c>
      <c r="H167" s="6" t="str">
        <f>DATA!J162</f>
        <v xml:space="preserve">Program Peningkatan Akses, Kualitas, Relevansi, dan Daya Saing Pendidikan Tinggi </v>
      </c>
      <c r="I167" s="6">
        <f>DATA!K162</f>
        <v>1</v>
      </c>
      <c r="J167" s="38"/>
      <c r="K167" s="39"/>
      <c r="L167" s="39"/>
      <c r="M167" s="38"/>
      <c r="N167" s="67" t="str">
        <f>DATA!L162</f>
        <v>Development for State University of Malang as The Learning University</v>
      </c>
      <c r="O167" s="42">
        <f>DATA!Q162</f>
        <v>0.14285714285714285</v>
      </c>
      <c r="P167" s="42">
        <f>DATA!R162</f>
        <v>0</v>
      </c>
      <c r="Q167" s="42">
        <f>DATA!S162</f>
        <v>0</v>
      </c>
      <c r="R167" s="83">
        <f>DATA!T162</f>
        <v>38400000</v>
      </c>
      <c r="S167" s="88">
        <f>DATA!U162</f>
        <v>38400000</v>
      </c>
      <c r="T167" s="83">
        <f>DATA!V162</f>
        <v>9335300</v>
      </c>
      <c r="U167" s="83">
        <f>DATA!W162</f>
        <v>0</v>
      </c>
      <c r="V167" s="83">
        <f>DATA!X162</f>
        <v>47735300</v>
      </c>
      <c r="W167" s="84" t="str">
        <f>DATA!Y162</f>
        <v>IDB</v>
      </c>
      <c r="X167" s="42" t="str">
        <f>DATA!Z162</f>
        <v>Multilateral</v>
      </c>
      <c r="Y167" s="83">
        <f>DATA!AA162</f>
        <v>38400000</v>
      </c>
      <c r="Z167" s="83">
        <f>DATA!AG162</f>
        <v>0</v>
      </c>
      <c r="AA167" s="42" t="str">
        <f>DATA!AH162</f>
        <v>Tanpa keterangan</v>
      </c>
      <c r="AB167" s="67" t="str">
        <f>DATA!AI162</f>
        <v xml:space="preserve">Penyusunan R/C
</v>
      </c>
      <c r="AC167" s="152" t="str">
        <f>DATA!AR162</f>
        <v>-</v>
      </c>
      <c r="AD167" s="152" t="str">
        <f>DATA!AN162</f>
        <v>siap</v>
      </c>
      <c r="AE167" s="152" t="str">
        <f>DATA!AO162</f>
        <v>siap</v>
      </c>
      <c r="AF167" s="67" t="str">
        <f>DATA!AJ162</f>
        <v>- FS
- AMDAL dalam proses</v>
      </c>
      <c r="AG167" s="115">
        <f>DATA!AK162</f>
        <v>1</v>
      </c>
      <c r="AH167" s="67" t="str">
        <f>DATA!AL162</f>
        <v>-</v>
      </c>
      <c r="AI167" s="42" t="str">
        <f>DATA!AR162</f>
        <v>-</v>
      </c>
      <c r="AJ167" s="42" t="str">
        <f>DATA!AN162</f>
        <v>siap</v>
      </c>
      <c r="AK167" s="42" t="str">
        <f>DATA!AO162</f>
        <v>siap</v>
      </c>
      <c r="AL167" s="42" t="str">
        <f>DATA!AP162</f>
        <v>belum ada proses tender/lelang</v>
      </c>
      <c r="AM167" s="42" t="str">
        <f>DATA!AY162</f>
        <v>Surat Sekjen nomor 1532/A.A1/PR/2015 tgl 9 September 2015</v>
      </c>
      <c r="AN167" s="42" t="e">
        <f>DATA!#REF!</f>
        <v>#REF!</v>
      </c>
      <c r="AO167" s="42">
        <f>DATA!AZ162</f>
        <v>0</v>
      </c>
      <c r="AP167" s="152" t="e">
        <f>DATA!#REF!</f>
        <v>#REF!</v>
      </c>
      <c r="AQ167" s="67" t="str">
        <f>DATA!BA162</f>
        <v>Pembangunan sarana dan prasarana perkuliahan (ruang kuliah, ruang dosen, peralatan laboratorium, instalasi jaringan listrik dan telekomunikasi, instalasi air bersih, sanitasi dan mekanikal engineering) dan pengembangan SDM.</v>
      </c>
    </row>
    <row r="168" spans="1:43" s="6" customFormat="1" ht="101.25" customHeight="1">
      <c r="A168" s="6">
        <f>DATA!A163</f>
        <v>116</v>
      </c>
      <c r="B168" s="6">
        <f>DATA!B163</f>
        <v>0</v>
      </c>
      <c r="C168" s="6" t="str">
        <f>DATA!D163</f>
        <v>NON-INFRASTRUKTUR</v>
      </c>
      <c r="D168" s="6">
        <f>DATA!E163</f>
        <v>8</v>
      </c>
      <c r="E168" s="6" t="str">
        <f>DATA!F163</f>
        <v>Kementerian Riset, Teknologi, dan Pendidikan Tinggi</v>
      </c>
      <c r="F168" s="6" t="str">
        <f>DATA!H163</f>
        <v>Improving Access, Quality, Relevance, and Competitiveness of Higher Education Program</v>
      </c>
      <c r="G168" s="6" t="str">
        <f>DATA!I163</f>
        <v>A</v>
      </c>
      <c r="H168" s="6" t="str">
        <f>DATA!J163</f>
        <v xml:space="preserve">Program Peningkatan Akses, Kualitas, Relevansi, dan Daya Saing Pendidikan Tinggi </v>
      </c>
      <c r="I168" s="6">
        <f>DATA!K163</f>
        <v>1</v>
      </c>
      <c r="J168" s="38"/>
      <c r="K168" s="39"/>
      <c r="L168" s="39"/>
      <c r="M168" s="38"/>
      <c r="N168" s="67" t="str">
        <f>DATA!L163</f>
        <v>The Development and Upgrading Mulawarman University</v>
      </c>
      <c r="O168" s="42">
        <f>DATA!Q163</f>
        <v>0.14285714285714285</v>
      </c>
      <c r="P168" s="42">
        <f>DATA!R163</f>
        <v>0</v>
      </c>
      <c r="Q168" s="42">
        <f>DATA!S163</f>
        <v>0</v>
      </c>
      <c r="R168" s="83">
        <f>DATA!T163</f>
        <v>44400000</v>
      </c>
      <c r="S168" s="88">
        <f>DATA!U163</f>
        <v>44400000</v>
      </c>
      <c r="T168" s="83">
        <f>DATA!V163</f>
        <v>485800</v>
      </c>
      <c r="U168" s="83">
        <f>DATA!W163</f>
        <v>0</v>
      </c>
      <c r="V168" s="83">
        <f>DATA!X163</f>
        <v>44885800</v>
      </c>
      <c r="W168" s="84" t="str">
        <f>DATA!Y163</f>
        <v>IDB</v>
      </c>
      <c r="X168" s="42" t="str">
        <f>DATA!Z163</f>
        <v>Multilateral</v>
      </c>
      <c r="Y168" s="83">
        <f>DATA!AA163</f>
        <v>44400000</v>
      </c>
      <c r="Z168" s="83">
        <f>DATA!AG163</f>
        <v>0</v>
      </c>
      <c r="AA168" s="42" t="str">
        <f>DATA!AH163</f>
        <v>Tanpa keterangan</v>
      </c>
      <c r="AB168" s="67" t="str">
        <f>DATA!AI163</f>
        <v xml:space="preserve">Penyusunan R/C
</v>
      </c>
      <c r="AC168" s="152" t="str">
        <f>DATA!AR163</f>
        <v>-</v>
      </c>
      <c r="AD168" s="152" t="str">
        <f>DATA!AN163</f>
        <v>siap</v>
      </c>
      <c r="AE168" s="152" t="str">
        <f>DATA!AO163</f>
        <v>siap</v>
      </c>
      <c r="AF168" s="67" t="str">
        <f>DATA!AJ163</f>
        <v>FS dan AMDAL target Desember 2015</v>
      </c>
      <c r="AG168" s="115">
        <f>DATA!AK163</f>
        <v>1</v>
      </c>
      <c r="AH168" s="67" t="str">
        <f>DATA!AL163</f>
        <v>-</v>
      </c>
      <c r="AI168" s="42" t="str">
        <f>DATA!AR163</f>
        <v>-</v>
      </c>
      <c r="AJ168" s="42" t="str">
        <f>DATA!AN163</f>
        <v>siap</v>
      </c>
      <c r="AK168" s="42" t="str">
        <f>DATA!AO163</f>
        <v>siap</v>
      </c>
      <c r="AL168" s="42" t="str">
        <f>DATA!AP163</f>
        <v>belum ada proses tender/lelang</v>
      </c>
      <c r="AM168" s="42" t="str">
        <f>DATA!AY163</f>
        <v>Surat Sekjen nomor 1532/A.A1/PR/2015 tgl 9 September 2015</v>
      </c>
      <c r="AN168" s="42" t="e">
        <f>DATA!#REF!</f>
        <v>#REF!</v>
      </c>
      <c r="AO168" s="42">
        <f>DATA!AZ163</f>
        <v>0</v>
      </c>
      <c r="AP168" s="152" t="e">
        <f>DATA!#REF!</f>
        <v>#REF!</v>
      </c>
      <c r="AQ168" s="67"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row>
    <row r="169" spans="1:43" s="6" customFormat="1" ht="54" customHeight="1">
      <c r="A169" s="6">
        <f>DATA!A164</f>
        <v>117</v>
      </c>
      <c r="B169" s="6">
        <f>DATA!B164</f>
        <v>0</v>
      </c>
      <c r="C169" s="6" t="str">
        <f>DATA!D164</f>
        <v>NON-INFRASTRUKTUR</v>
      </c>
      <c r="D169" s="6">
        <f>DATA!E164</f>
        <v>8</v>
      </c>
      <c r="E169" s="6" t="str">
        <f>DATA!F164</f>
        <v>Kementerian Riset, Teknologi, dan Pendidikan Tinggi</v>
      </c>
      <c r="F169" s="6" t="str">
        <f>DATA!H164</f>
        <v>Improving Access, Quality, Relevance, and Competitiveness of Higher Education Program</v>
      </c>
      <c r="G169" s="6" t="str">
        <f>DATA!I164</f>
        <v>A</v>
      </c>
      <c r="H169" s="6" t="str">
        <f>DATA!J164</f>
        <v xml:space="preserve">Program Peningkatan Akses, Kualitas, Relevansi, dan Daya Saing Pendidikan Tinggi </v>
      </c>
      <c r="I169" s="6">
        <f>DATA!K164</f>
        <v>1</v>
      </c>
      <c r="J169" s="38"/>
      <c r="K169" s="39"/>
      <c r="L169" s="39"/>
      <c r="M169" s="38"/>
      <c r="N169" s="67" t="str">
        <f>DATA!L164</f>
        <v>Improvement of The Capacity and Contribution of The University of Jember on Standardized and Excellent Tridharma Implementation in South East Asia Region</v>
      </c>
      <c r="O169" s="42">
        <f>DATA!Q164</f>
        <v>0.14285714285714285</v>
      </c>
      <c r="P169" s="42">
        <f>DATA!R164</f>
        <v>0</v>
      </c>
      <c r="Q169" s="42">
        <f>DATA!S164</f>
        <v>0</v>
      </c>
      <c r="R169" s="83">
        <f>DATA!T164</f>
        <v>44091200</v>
      </c>
      <c r="S169" s="88">
        <f>DATA!U164</f>
        <v>44091200</v>
      </c>
      <c r="T169" s="83">
        <f>DATA!V164</f>
        <v>1992700</v>
      </c>
      <c r="U169" s="83">
        <f>DATA!W164</f>
        <v>0</v>
      </c>
      <c r="V169" s="83">
        <f>DATA!X164</f>
        <v>46083900</v>
      </c>
      <c r="W169" s="84" t="str">
        <f>DATA!Y164</f>
        <v>IDB</v>
      </c>
      <c r="X169" s="42" t="str">
        <f>DATA!Z164</f>
        <v>Multilateral</v>
      </c>
      <c r="Y169" s="83">
        <f>DATA!AA164</f>
        <v>44091200</v>
      </c>
      <c r="Z169" s="83">
        <f>DATA!AG164</f>
        <v>0</v>
      </c>
      <c r="AA169" s="42" t="str">
        <f>DATA!AH164</f>
        <v>Tanpa keterangan</v>
      </c>
      <c r="AB169" s="67" t="str">
        <f>DATA!AI164</f>
        <v xml:space="preserve">Penyusunan R/C
</v>
      </c>
      <c r="AC169" s="152" t="str">
        <f>DATA!AR164</f>
        <v>-</v>
      </c>
      <c r="AD169" s="152" t="str">
        <f>DATA!AN164</f>
        <v>siap</v>
      </c>
      <c r="AE169" s="152" t="str">
        <f>DATA!AO164</f>
        <v>siap</v>
      </c>
      <c r="AF169" s="67" t="str">
        <f>DATA!AJ164</f>
        <v>- Penyusunan AMDAL dan DED</v>
      </c>
      <c r="AG169" s="115">
        <f>DATA!AK164</f>
        <v>1</v>
      </c>
      <c r="AH169" s="67" t="str">
        <f>DATA!AL164</f>
        <v>-</v>
      </c>
      <c r="AI169" s="42" t="str">
        <f>DATA!AR164</f>
        <v>-</v>
      </c>
      <c r="AJ169" s="42" t="str">
        <f>DATA!AN164</f>
        <v>siap</v>
      </c>
      <c r="AK169" s="42" t="str">
        <f>DATA!AO164</f>
        <v>siap</v>
      </c>
      <c r="AL169" s="42" t="str">
        <f>DATA!AP164</f>
        <v>belum ada proses tender/lelang</v>
      </c>
      <c r="AM169" s="42" t="str">
        <f>DATA!AY164</f>
        <v>Surat Sekjen nomor 1532/A.A1/PR/2015 tgl 9 September 2015</v>
      </c>
      <c r="AN169" s="42" t="e">
        <f>DATA!#REF!</f>
        <v>#REF!</v>
      </c>
      <c r="AO169" s="42">
        <f>DATA!AZ164</f>
        <v>0</v>
      </c>
      <c r="AP169" s="152" t="e">
        <f>DATA!#REF!</f>
        <v>#REF!</v>
      </c>
      <c r="AQ169" s="67" t="str">
        <f>DATA!BA164</f>
        <v>Pembangunan sarana dan prasarana perkuliahan, pengadaan peralatan, pengembangan SDM, dan jasa konsultan</v>
      </c>
    </row>
    <row r="170" spans="1:43" s="6" customFormat="1" ht="43.5" customHeight="1">
      <c r="A170" s="6">
        <f>DATA!A165</f>
        <v>118</v>
      </c>
      <c r="B170" s="6">
        <f>DATA!B165</f>
        <v>0</v>
      </c>
      <c r="C170" s="6" t="str">
        <f>DATA!D165</f>
        <v>NON-INFRASTRUKTUR</v>
      </c>
      <c r="D170" s="6">
        <f>DATA!E165</f>
        <v>8</v>
      </c>
      <c r="E170" s="6" t="str">
        <f>DATA!F165</f>
        <v>Kementerian Riset, Teknologi, dan Pendidikan Tinggi</v>
      </c>
      <c r="F170" s="6" t="str">
        <f>DATA!H165</f>
        <v>Improving Access, Quality, Relevance, and Competitiveness of Higher Education Program</v>
      </c>
      <c r="G170" s="6" t="str">
        <f>DATA!I165</f>
        <v>A</v>
      </c>
      <c r="H170" s="6" t="str">
        <f>DATA!J165</f>
        <v xml:space="preserve">Program Peningkatan Akses, Kualitas, Relevansi, dan Daya Saing Pendidikan Tinggi </v>
      </c>
      <c r="I170" s="6">
        <f>DATA!K165</f>
        <v>1</v>
      </c>
      <c r="J170" s="38"/>
      <c r="K170" s="39"/>
      <c r="L170" s="39"/>
      <c r="M170" s="38"/>
      <c r="N170" s="67" t="str">
        <f>DATA!L165</f>
        <v>The Plan of Hasanuddin University Hospital Development</v>
      </c>
      <c r="O170" s="42">
        <f>DATA!Q165</f>
        <v>0.14285714285714285</v>
      </c>
      <c r="P170" s="42">
        <f>DATA!R165</f>
        <v>0</v>
      </c>
      <c r="Q170" s="42">
        <f>DATA!S165</f>
        <v>0</v>
      </c>
      <c r="R170" s="83">
        <f>DATA!T165</f>
        <v>31565800</v>
      </c>
      <c r="S170" s="88">
        <f>DATA!U165</f>
        <v>31565800</v>
      </c>
      <c r="T170" s="83">
        <f>DATA!V165</f>
        <v>2586200</v>
      </c>
      <c r="U170" s="83">
        <f>DATA!W165</f>
        <v>0</v>
      </c>
      <c r="V170" s="83">
        <f>DATA!X165</f>
        <v>34152000</v>
      </c>
      <c r="W170" s="84" t="str">
        <f>DATA!Y165</f>
        <v>Jerman (KfW)</v>
      </c>
      <c r="X170" s="42" t="str">
        <f>DATA!Z165</f>
        <v>Bilateral</v>
      </c>
      <c r="Y170" s="83">
        <f>DATA!AA165</f>
        <v>31565800</v>
      </c>
      <c r="Z170" s="83">
        <f>DATA!AG165</f>
        <v>0</v>
      </c>
      <c r="AA170" s="42" t="str">
        <f>DATA!AH165</f>
        <v>Tanpa keterangan</v>
      </c>
      <c r="AB170" s="67" t="str">
        <f>DATA!AI165</f>
        <v xml:space="preserve">Penyusunan R/C
</v>
      </c>
      <c r="AC170" s="152" t="str">
        <f>DATA!AR165</f>
        <v>-</v>
      </c>
      <c r="AD170" s="152" t="str">
        <f>DATA!AN165</f>
        <v>siap</v>
      </c>
      <c r="AE170" s="152" t="str">
        <f>DATA!AO165</f>
        <v>siap</v>
      </c>
      <c r="AF170" s="67" t="str">
        <f>DATA!AJ165</f>
        <v>AMDAL</v>
      </c>
      <c r="AG170" s="115">
        <f>DATA!AK165</f>
        <v>1</v>
      </c>
      <c r="AH170" s="67" t="str">
        <f>DATA!AL165</f>
        <v>-</v>
      </c>
      <c r="AI170" s="42" t="str">
        <f>DATA!AR165</f>
        <v>-</v>
      </c>
      <c r="AJ170" s="42" t="str">
        <f>DATA!AN165</f>
        <v>siap</v>
      </c>
      <c r="AK170" s="42" t="str">
        <f>DATA!AO165</f>
        <v>siap</v>
      </c>
      <c r="AL170" s="42" t="str">
        <f>DATA!AP165</f>
        <v>belum ada proses tender/lelang</v>
      </c>
      <c r="AM170" s="42" t="str">
        <f>DATA!AY165</f>
        <v>Surat Sekjen nomor 1532/A.A1/PR/2015 tgl 9 September 2015</v>
      </c>
      <c r="AN170" s="42" t="e">
        <f>DATA!#REF!</f>
        <v>#REF!</v>
      </c>
      <c r="AO170" s="42">
        <f>DATA!AZ165</f>
        <v>0</v>
      </c>
      <c r="AP170" s="152" t="e">
        <f>DATA!#REF!</f>
        <v>#REF!</v>
      </c>
      <c r="AQ170" s="67" t="str">
        <f>DATA!BA165</f>
        <v>Pengadaan peralatan, pengembangan SDM, pengembangan telemedicine dan sistem manajemen informasi, dan manajemen dan jasa konsultasi</v>
      </c>
    </row>
    <row r="171" spans="1:43" s="6" customFormat="1" ht="57.75" customHeight="1">
      <c r="A171" s="6">
        <f>DATA!A166</f>
        <v>119</v>
      </c>
      <c r="B171" s="6">
        <f>DATA!B166</f>
        <v>0</v>
      </c>
      <c r="C171" s="6" t="str">
        <f>DATA!D166</f>
        <v>NON-INFRASTRUKTUR</v>
      </c>
      <c r="D171" s="6">
        <f>DATA!E166</f>
        <v>8</v>
      </c>
      <c r="E171" s="6" t="str">
        <f>DATA!F166</f>
        <v>Kementerian Riset, Teknologi, dan Pendidikan Tinggi</v>
      </c>
      <c r="F171" s="6" t="str">
        <f>DATA!H166</f>
        <v>Improving Access, Quality, Relevance, and Competitiveness of Higher Education Program</v>
      </c>
      <c r="G171" s="6" t="str">
        <f>DATA!I166</f>
        <v>A</v>
      </c>
      <c r="H171" s="6" t="str">
        <f>DATA!J166</f>
        <v xml:space="preserve">Program Peningkatan Akses, Kualitas, Relevansi, dan Daya Saing Pendidikan Tinggi </v>
      </c>
      <c r="I171" s="6">
        <f>DATA!K166</f>
        <v>1</v>
      </c>
      <c r="J171" s="38"/>
      <c r="K171" s="39"/>
      <c r="L171" s="39"/>
      <c r="M171" s="38"/>
      <c r="N171" s="67" t="str">
        <f>DATA!L166</f>
        <v>Establishment of University of Bengkulu’s Hospital</v>
      </c>
      <c r="O171" s="42">
        <f>DATA!Q166</f>
        <v>18000000</v>
      </c>
      <c r="P171" s="42">
        <f>DATA!R166</f>
        <v>0</v>
      </c>
      <c r="Q171" s="42">
        <f>DATA!S166</f>
        <v>0</v>
      </c>
      <c r="R171" s="83">
        <f>DATA!T166</f>
        <v>10278200</v>
      </c>
      <c r="S171" s="88">
        <f>DATA!U166</f>
        <v>10278200</v>
      </c>
      <c r="T171" s="83">
        <f>DATA!V166</f>
        <v>182000</v>
      </c>
      <c r="U171" s="83">
        <f>DATA!W166</f>
        <v>0</v>
      </c>
      <c r="V171" s="83">
        <f>DATA!X166</f>
        <v>10460200</v>
      </c>
      <c r="W171" s="84" t="str">
        <f>DATA!Y166</f>
        <v>JICA</v>
      </c>
      <c r="X171" s="42" t="str">
        <f>DATA!Z166</f>
        <v>Bilateral</v>
      </c>
      <c r="Y171" s="83">
        <f>DATA!AA166</f>
        <v>10278200</v>
      </c>
      <c r="Z171" s="83">
        <f>DATA!AG166</f>
        <v>0</v>
      </c>
      <c r="AA171" s="42" t="str">
        <f>DATA!AH166</f>
        <v>Tanpa keterangan</v>
      </c>
      <c r="AB171" s="67" t="str">
        <f>DATA!AI166</f>
        <v xml:space="preserve">Penyusunan R/C
</v>
      </c>
      <c r="AC171" s="152" t="str">
        <f>DATA!AR166</f>
        <v>penyiapan dokumen R/C</v>
      </c>
      <c r="AD171" s="152" t="str">
        <f>DATA!AN166</f>
        <v>siap</v>
      </c>
      <c r="AE171" s="152" t="str">
        <f>DATA!AO166</f>
        <v>siap</v>
      </c>
      <c r="AF171" s="67" t="str">
        <f>DATA!AJ166</f>
        <v>- FS
- AMDAL</v>
      </c>
      <c r="AG171" s="115">
        <f>DATA!AK166</f>
        <v>1</v>
      </c>
      <c r="AH171" s="67" t="str">
        <f>DATA!AL166</f>
        <v>-</v>
      </c>
      <c r="AI171" s="42" t="str">
        <f>DATA!AR166</f>
        <v>penyiapan dokumen R/C</v>
      </c>
      <c r="AJ171" s="42" t="str">
        <f>DATA!AN166</f>
        <v>siap</v>
      </c>
      <c r="AK171" s="42" t="str">
        <f>DATA!AO166</f>
        <v>siap</v>
      </c>
      <c r="AL171" s="42" t="str">
        <f>DATA!AP166</f>
        <v>belum ada proses tender/lelang</v>
      </c>
      <c r="AM171" s="42" t="str">
        <f>DATA!AY166</f>
        <v>- Lender semula adalah IDB namun pihak Kemristekdikti mengkonfirmasikan  Lender untuk kegiatan ini adalah JICA
- Surat Sekjen nomor 1532/A.A1/PR/2015 tgl 9 September 2015</v>
      </c>
      <c r="AN171" s="42" t="e">
        <f>DATA!#REF!</f>
        <v>#REF!</v>
      </c>
      <c r="AO171" s="42">
        <f>DATA!AZ166</f>
        <v>0</v>
      </c>
      <c r="AP171" s="152" t="e">
        <f>DATA!#REF!</f>
        <v>#REF!</v>
      </c>
      <c r="AQ171" s="67" t="str">
        <f>DATA!BA166</f>
        <v>Pembangunan RS Pendidikan di Universitas Bengkulu, pengadaan peralatan medis dan furniture, pengembangan SDM, manajemen proyek, koordinasi, dan pembelajaran</v>
      </c>
    </row>
    <row r="172" spans="1:43" s="6" customFormat="1" ht="50.25" customHeight="1">
      <c r="A172" s="6">
        <f>DATA!A167</f>
        <v>120</v>
      </c>
      <c r="B172" s="6">
        <f>DATA!B167</f>
        <v>0</v>
      </c>
      <c r="C172" s="6" t="str">
        <f>DATA!D167</f>
        <v>NON-INFRASTRUKTUR</v>
      </c>
      <c r="D172" s="6">
        <f>DATA!E167</f>
        <v>8</v>
      </c>
      <c r="E172" s="6" t="str">
        <f>DATA!F167</f>
        <v>Kementerian Riset, Teknologi, dan Pendidikan Tinggi</v>
      </c>
      <c r="F172" s="6" t="str">
        <f>DATA!H167</f>
        <v>Improving Access, Quality, Relevance, and Competitiveness of Higher Education Program</v>
      </c>
      <c r="G172" s="6" t="str">
        <f>DATA!I167</f>
        <v>A</v>
      </c>
      <c r="H172" s="6" t="str">
        <f>DATA!J167</f>
        <v xml:space="preserve">Program Peningkatan Akses, Kualitas, Relevansi, dan Daya Saing Pendidikan Tinggi </v>
      </c>
      <c r="I172" s="6">
        <f>DATA!K167</f>
        <v>1</v>
      </c>
      <c r="J172" s="38"/>
      <c r="K172" s="71"/>
      <c r="L172" s="71"/>
      <c r="M172" s="43"/>
      <c r="N172" s="67" t="str">
        <f>DATA!L167</f>
        <v>University of Gadjah Mada Achieving World Class University with Socio-Entrepreneurial Spirit</v>
      </c>
      <c r="O172" s="42">
        <f>DATA!Q167</f>
        <v>0.14285714285714285</v>
      </c>
      <c r="P172" s="42">
        <f>DATA!R167</f>
        <v>0</v>
      </c>
      <c r="Q172" s="42">
        <f>DATA!S167</f>
        <v>0</v>
      </c>
      <c r="R172" s="83">
        <f>DATA!T167</f>
        <v>71694000</v>
      </c>
      <c r="S172" s="88">
        <f>DATA!U167</f>
        <v>71694000</v>
      </c>
      <c r="T172" s="83">
        <f>DATA!V167</f>
        <v>7041900</v>
      </c>
      <c r="U172" s="83">
        <f>DATA!W167</f>
        <v>0</v>
      </c>
      <c r="V172" s="83">
        <f>DATA!X167</f>
        <v>78735900</v>
      </c>
      <c r="W172" s="84" t="str">
        <f>DATA!Y167</f>
        <v>JICA</v>
      </c>
      <c r="X172" s="42" t="str">
        <f>DATA!Z167</f>
        <v>Bilateral</v>
      </c>
      <c r="Y172" s="83">
        <f>DATA!AA167</f>
        <v>71694000</v>
      </c>
      <c r="Z172" s="83">
        <f>DATA!AG167</f>
        <v>0</v>
      </c>
      <c r="AA172" s="42" t="str">
        <f>DATA!AH167</f>
        <v>Tanpa keterangan</v>
      </c>
      <c r="AB172" s="67" t="str">
        <f>DATA!AI167</f>
        <v xml:space="preserve">Penyusunan R/C
</v>
      </c>
      <c r="AC172" s="152" t="str">
        <f>DATA!AR167</f>
        <v>-</v>
      </c>
      <c r="AD172" s="152" t="str">
        <f>DATA!AN167</f>
        <v>siap</v>
      </c>
      <c r="AE172" s="152" t="str">
        <f>DATA!AO167</f>
        <v>siap</v>
      </c>
      <c r="AF172" s="67" t="str">
        <f>DATA!AJ167</f>
        <v>- FS
- AMDAL dan DED dalam proses</v>
      </c>
      <c r="AG172" s="115">
        <f>DATA!AK167</f>
        <v>0.95</v>
      </c>
      <c r="AH172" s="67" t="str">
        <f>DATA!AL167</f>
        <v>-</v>
      </c>
      <c r="AI172" s="42" t="str">
        <f>DATA!AR167</f>
        <v>-</v>
      </c>
      <c r="AJ172" s="42" t="str">
        <f>DATA!AN167</f>
        <v>siap</v>
      </c>
      <c r="AK172" s="42" t="str">
        <f>DATA!AO167</f>
        <v>siap</v>
      </c>
      <c r="AL172" s="42" t="str">
        <f>DATA!AP167</f>
        <v>belum ada proses tender/lelang</v>
      </c>
      <c r="AM172" s="42" t="str">
        <f>DATA!AY167</f>
        <v>- Lender semula adalah IDB namun pihak Kemristekdikti mengkonfirmasikan  Lender untuk kegiatan ini adalah JICA
- Target penyelesaian lahan akhir Desember 2015
- Surat Sekjen nomor 1532/A.A1/PR/2015 tgl 9 September 2015</v>
      </c>
      <c r="AN172" s="42" t="e">
        <f>DATA!#REF!</f>
        <v>#REF!</v>
      </c>
      <c r="AO172" s="42">
        <f>DATA!AZ167</f>
        <v>0</v>
      </c>
      <c r="AP172" s="152" t="e">
        <f>DATA!#REF!</f>
        <v>#REF!</v>
      </c>
      <c r="AQ172" s="67" t="str">
        <f>DATA!BA167</f>
        <v>Pembangunan gedung baru, pengadaan peralatan, pengembangan SDM dan desain kurikulum, jasa konsultan, dan manajemen proyek</v>
      </c>
    </row>
    <row r="173" spans="1:43" s="4" customFormat="1" ht="24.95" customHeight="1">
      <c r="J173" s="107"/>
      <c r="K173" s="25">
        <f>DATA!E173</f>
        <v>9</v>
      </c>
      <c r="L173" s="108" t="str">
        <f>DATA!F173</f>
        <v>Kementerian Agama</v>
      </c>
      <c r="M173" s="25"/>
      <c r="N173" s="27"/>
      <c r="O173" s="26"/>
      <c r="P173" s="26"/>
      <c r="Q173" s="26"/>
      <c r="R173" s="80">
        <f>+R174</f>
        <v>238210000</v>
      </c>
      <c r="S173" s="80">
        <f>+S174</f>
        <v>298145500</v>
      </c>
      <c r="T173" s="80">
        <f t="shared" ref="T173:Z174" si="20">+T174</f>
        <v>60851400</v>
      </c>
      <c r="U173" s="80">
        <f t="shared" si="20"/>
        <v>0</v>
      </c>
      <c r="V173" s="80">
        <f t="shared" si="20"/>
        <v>288657100</v>
      </c>
      <c r="W173" s="80"/>
      <c r="X173" s="80">
        <f t="shared" si="20"/>
        <v>0</v>
      </c>
      <c r="Y173" s="80">
        <f t="shared" si="20"/>
        <v>238210000</v>
      </c>
      <c r="Z173" s="80">
        <f t="shared" si="20"/>
        <v>0</v>
      </c>
      <c r="AA173" s="26"/>
      <c r="AB173" s="27"/>
      <c r="AC173" s="27"/>
      <c r="AD173" s="27"/>
      <c r="AE173" s="27"/>
      <c r="AF173" s="27"/>
      <c r="AG173" s="27"/>
      <c r="AH173" s="27"/>
      <c r="AI173" s="26"/>
      <c r="AJ173" s="26"/>
      <c r="AK173" s="26"/>
      <c r="AL173" s="26"/>
      <c r="AM173" s="26"/>
      <c r="AN173" s="26"/>
      <c r="AO173" s="26"/>
      <c r="AP173" s="27"/>
      <c r="AQ173" s="27"/>
    </row>
    <row r="174" spans="1:43" s="5" customFormat="1" ht="33.75" customHeight="1">
      <c r="J174" s="28"/>
      <c r="K174" s="29"/>
      <c r="L174" s="30" t="str">
        <f>DATA!I173</f>
        <v>A</v>
      </c>
      <c r="M174" s="31" t="str">
        <f>DATA!J173</f>
        <v>Program Peningkatan Akses, Kualitas, Relevansi, dan Daya Saing Pendidikan Tinggi Islam</v>
      </c>
      <c r="N174" s="51"/>
      <c r="O174" s="31"/>
      <c r="P174" s="31"/>
      <c r="Q174" s="31"/>
      <c r="R174" s="81">
        <f>+R175</f>
        <v>238210000</v>
      </c>
      <c r="S174" s="81">
        <f>+S175</f>
        <v>298145500</v>
      </c>
      <c r="T174" s="81">
        <f t="shared" si="20"/>
        <v>60851400</v>
      </c>
      <c r="U174" s="81">
        <f t="shared" si="20"/>
        <v>0</v>
      </c>
      <c r="V174" s="81">
        <f t="shared" si="20"/>
        <v>288657100</v>
      </c>
      <c r="W174" s="81"/>
      <c r="X174" s="81">
        <f t="shared" si="20"/>
        <v>0</v>
      </c>
      <c r="Y174" s="81">
        <f t="shared" si="20"/>
        <v>238210000</v>
      </c>
      <c r="Z174" s="81">
        <f t="shared" si="20"/>
        <v>0</v>
      </c>
      <c r="AA174" s="31"/>
      <c r="AB174" s="32"/>
      <c r="AC174" s="32"/>
      <c r="AD174" s="32"/>
      <c r="AE174" s="32"/>
      <c r="AF174" s="32"/>
      <c r="AG174" s="32"/>
      <c r="AH174" s="32"/>
      <c r="AI174" s="31"/>
      <c r="AJ174" s="31"/>
      <c r="AK174" s="31"/>
      <c r="AL174" s="31"/>
      <c r="AM174" s="31"/>
      <c r="AN174" s="31"/>
      <c r="AO174" s="31"/>
      <c r="AP174" s="32"/>
      <c r="AQ174" s="32"/>
    </row>
    <row r="175" spans="1:43" ht="38.25">
      <c r="A175" s="10">
        <f>DATA!A173</f>
        <v>121</v>
      </c>
      <c r="B175" s="10">
        <f>DATA!B173</f>
        <v>0</v>
      </c>
      <c r="C175" s="10" t="str">
        <f>DATA!D173</f>
        <v>NON-INFRASTRUKTUR</v>
      </c>
      <c r="D175" s="10">
        <f>DATA!E173</f>
        <v>9</v>
      </c>
      <c r="E175" s="10" t="str">
        <f>DATA!F173</f>
        <v>Kementerian Agama</v>
      </c>
      <c r="F175" s="10" t="str">
        <f>DATA!H173</f>
        <v>Improving Access, Quality, Relevance, and Competitiveness of Islamic Higher Education Program</v>
      </c>
      <c r="G175" s="10" t="str">
        <f>DATA!I173</f>
        <v>A</v>
      </c>
      <c r="H175" s="10" t="str">
        <f>DATA!J173</f>
        <v>Program Peningkatan Akses, Kualitas, Relevansi, dan Daya Saing Pendidikan Tinggi Islam</v>
      </c>
      <c r="I175" s="10">
        <f>DATA!K173</f>
        <v>1</v>
      </c>
      <c r="J175" s="33"/>
      <c r="K175" s="34"/>
      <c r="L175" s="35"/>
      <c r="M175" s="36">
        <f>DATA!K173</f>
        <v>1</v>
      </c>
      <c r="N175" s="37" t="str">
        <f>DATA!L173</f>
        <v>Strengthening Capacity of Islamic Higher Education (IAIN and UIN):</v>
      </c>
      <c r="O175" s="20">
        <f>DATA!Q173</f>
        <v>0</v>
      </c>
      <c r="P175" s="20">
        <f>DATA!R173</f>
        <v>1</v>
      </c>
      <c r="Q175" s="20">
        <f>DATA!S173</f>
        <v>102</v>
      </c>
      <c r="R175" s="77">
        <f>DATA!T173</f>
        <v>238210000</v>
      </c>
      <c r="S175" s="88">
        <f>DATA!U173</f>
        <v>298145500</v>
      </c>
      <c r="T175" s="77">
        <f>DATA!V173</f>
        <v>60851400</v>
      </c>
      <c r="U175" s="77">
        <f>DATA!W173</f>
        <v>0</v>
      </c>
      <c r="V175" s="77">
        <f>DATA!X173</f>
        <v>288657100</v>
      </c>
      <c r="W175" s="78" t="str">
        <f>DATA!Y173</f>
        <v>-</v>
      </c>
      <c r="X175" s="20">
        <f>DATA!Z173</f>
        <v>0</v>
      </c>
      <c r="Y175" s="77">
        <f>DATA!AA173</f>
        <v>238210000</v>
      </c>
      <c r="Z175" s="77">
        <f>DATA!AG173</f>
        <v>0</v>
      </c>
      <c r="AA175" s="20" t="str">
        <f>DATA!AH173</f>
        <v>-</v>
      </c>
      <c r="AB175" s="37" t="str">
        <f>DATA!AI173</f>
        <v>-</v>
      </c>
      <c r="AC175" s="152" t="str">
        <f>DATA!AM173</f>
        <v>-</v>
      </c>
      <c r="AD175" s="152" t="str">
        <f>DATA!AN173</f>
        <v>-</v>
      </c>
      <c r="AE175" s="152" t="str">
        <f>DATA!AO173</f>
        <v>-</v>
      </c>
      <c r="AF175" s="37" t="str">
        <f>DATA!AJ173</f>
        <v>-</v>
      </c>
      <c r="AG175" s="37" t="str">
        <f>DATA!AK173</f>
        <v>-</v>
      </c>
      <c r="AH175" s="37" t="str">
        <f>DATA!AL173</f>
        <v>-</v>
      </c>
      <c r="AI175" s="20" t="str">
        <f>DATA!AM173</f>
        <v>-</v>
      </c>
      <c r="AJ175" s="20" t="str">
        <f>DATA!AN173</f>
        <v>-</v>
      </c>
      <c r="AK175" s="20" t="str">
        <f>DATA!AO173</f>
        <v>-</v>
      </c>
      <c r="AL175" s="20">
        <f>DATA!AP173</f>
        <v>0</v>
      </c>
      <c r="AM175" s="20" t="str">
        <f>DATA!AY173</f>
        <v>Surat Sekjen a/n Menteri Agama nomor SJ/B.I/1/KU.00.2/6260/2015 tanggal 17 September 2015</v>
      </c>
      <c r="AN175" s="20" t="e">
        <f>DATA!#REF!</f>
        <v>#REF!</v>
      </c>
      <c r="AO175" s="20">
        <f>DATA!AZ173</f>
        <v>0</v>
      </c>
      <c r="AP175" s="152" t="e">
        <f>DATA!#REF!</f>
        <v>#REF!</v>
      </c>
      <c r="AQ175" s="37" t="str">
        <f>DATA!BA173</f>
        <v>Pembangunan sarana dan prasarana perkuliahan, pengadaan peralatan, pengembangan SDM, serta jasa konsultan</v>
      </c>
    </row>
    <row r="176" spans="1:43" s="6" customFormat="1" ht="61.5" customHeight="1">
      <c r="A176" s="6">
        <f>DATA!A174</f>
        <v>124</v>
      </c>
      <c r="B176" s="6">
        <f>DATA!B174</f>
        <v>0</v>
      </c>
      <c r="C176" s="6" t="str">
        <f>DATA!D174</f>
        <v>NON-INFRASTRUKTUR</v>
      </c>
      <c r="D176" s="6">
        <f>DATA!E174</f>
        <v>9</v>
      </c>
      <c r="E176" s="6" t="str">
        <f>DATA!F174</f>
        <v>Kementerian Agama</v>
      </c>
      <c r="F176" s="6" t="str">
        <f>DATA!H174</f>
        <v>Improving Access, Quality, Relevance, and Competitiveness of Islamic Higher Education Program</v>
      </c>
      <c r="G176" s="6" t="str">
        <f>DATA!I174</f>
        <v>A</v>
      </c>
      <c r="H176" s="6" t="str">
        <f>DATA!J174</f>
        <v>Program Peningkatan Akses, Kualitas, Relevansi, dan Daya Saing Pendidikan Tinggi Islam</v>
      </c>
      <c r="I176" s="6">
        <f>DATA!K174</f>
        <v>1</v>
      </c>
      <c r="J176" s="38"/>
      <c r="K176" s="39"/>
      <c r="L176" s="39"/>
      <c r="M176" s="40"/>
      <c r="N176" s="67" t="str">
        <f>DATA!L174</f>
        <v>Improvement and Optimalization of Sunan Ampel Surabaya State Islamic University</v>
      </c>
      <c r="O176" s="42">
        <f>DATA!Q174</f>
        <v>0.16666666666666666</v>
      </c>
      <c r="P176" s="42">
        <f>DATA!R174</f>
        <v>0</v>
      </c>
      <c r="Q176" s="42">
        <f>DATA!S174</f>
        <v>0</v>
      </c>
      <c r="R176" s="83">
        <f>DATA!T174</f>
        <v>40000000</v>
      </c>
      <c r="S176" s="88">
        <f>DATA!U174</f>
        <v>40000000</v>
      </c>
      <c r="T176" s="83">
        <f>DATA!V174</f>
        <v>10000000</v>
      </c>
      <c r="U176" s="83">
        <f>DATA!W174</f>
        <v>0</v>
      </c>
      <c r="V176" s="83">
        <f>DATA!X174</f>
        <v>50000000</v>
      </c>
      <c r="W176" s="84" t="str">
        <f>DATA!Y174</f>
        <v>IDB</v>
      </c>
      <c r="X176" s="42" t="str">
        <f>DATA!Z174</f>
        <v>Multilateral</v>
      </c>
      <c r="Y176" s="83">
        <f>DATA!AA174</f>
        <v>40000000</v>
      </c>
      <c r="Z176" s="83">
        <f>DATA!AG174</f>
        <v>0</v>
      </c>
      <c r="AA176" s="42" t="str">
        <f>DATA!AH174</f>
        <v>Tanpa keterangan</v>
      </c>
      <c r="AB176" s="67" t="str">
        <f>DATA!AI174</f>
        <v>Penyusunan R/C</v>
      </c>
      <c r="AC176" s="152" t="str">
        <f>DATA!AR174</f>
        <v>-</v>
      </c>
      <c r="AD176" s="152" t="str">
        <f>DATA!AN174</f>
        <v>siap</v>
      </c>
      <c r="AE176" s="152" t="str">
        <f>DATA!AO174</f>
        <v>siap</v>
      </c>
      <c r="AF176" s="67" t="str">
        <f>DATA!AJ174</f>
        <v>- FS dan Proposal
- Penyusunan R/C</v>
      </c>
      <c r="AG176" s="115">
        <f>DATA!AK174</f>
        <v>0.85</v>
      </c>
      <c r="AH176" s="67" t="str">
        <f>DATA!AL174</f>
        <v>-</v>
      </c>
      <c r="AI176" s="42" t="str">
        <f>DATA!AR174</f>
        <v>-</v>
      </c>
      <c r="AJ176" s="42" t="str">
        <f>DATA!AN174</f>
        <v>siap</v>
      </c>
      <c r="AK176" s="42" t="str">
        <f>DATA!AO174</f>
        <v>siap</v>
      </c>
      <c r="AL176" s="42" t="str">
        <f>DATA!AP174</f>
        <v>belum ada proses tender/lelang</v>
      </c>
      <c r="AM176" s="42" t="str">
        <f>DATA!AY174</f>
        <v xml:space="preserve">- Pembebasan kekurangan lahan dilakukan tahun 2016
- Surat Sekjen a/n Menteri Agama nomor SJ/B.I/1/KU.00.2/6260/2015 tanggal 17 September 2015
</v>
      </c>
      <c r="AN176" s="42" t="e">
        <f>DATA!#REF!</f>
        <v>#REF!</v>
      </c>
      <c r="AO176" s="42">
        <f>DATA!AZ174</f>
        <v>0</v>
      </c>
      <c r="AP176" s="152" t="e">
        <f>DATA!#REF!</f>
        <v>#REF!</v>
      </c>
      <c r="AQ176" s="67" t="str">
        <f>DATA!BA174</f>
        <v xml:space="preserve">Pengembangan sarana prasarana perkuliahan (fakultas Saintek, Psikologi dan Kesehatan, Humaniora dan Ilmu Sosial), pengembangan kurikulum dan manajemen akademik, dan pengembangan SDM 
</v>
      </c>
    </row>
    <row r="177" spans="1:43" s="6" customFormat="1" ht="52.5" customHeight="1">
      <c r="A177" s="6">
        <f>DATA!A175</f>
        <v>125</v>
      </c>
      <c r="B177" s="6">
        <f>DATA!B175</f>
        <v>0</v>
      </c>
      <c r="C177" s="6" t="str">
        <f>DATA!D175</f>
        <v>NON-INFRASTRUKTUR</v>
      </c>
      <c r="D177" s="6">
        <f>DATA!E175</f>
        <v>9</v>
      </c>
      <c r="E177" s="6" t="str">
        <f>DATA!F175</f>
        <v>Kementerian Agama</v>
      </c>
      <c r="F177" s="6" t="str">
        <f>DATA!H175</f>
        <v>Improving Access, Quality, Relevance, and Competitiveness of Islamic Higher Education Program</v>
      </c>
      <c r="G177" s="6" t="str">
        <f>DATA!I175</f>
        <v>A</v>
      </c>
      <c r="H177" s="6" t="str">
        <f>DATA!J175</f>
        <v>Program Peningkatan Akses, Kualitas, Relevansi, dan Daya Saing Pendidikan Tinggi Islam</v>
      </c>
      <c r="I177" s="6">
        <f>DATA!K175</f>
        <v>1</v>
      </c>
      <c r="J177" s="38"/>
      <c r="K177" s="39"/>
      <c r="L177" s="39"/>
      <c r="M177" s="38"/>
      <c r="N177" s="67" t="str">
        <f>DATA!L175</f>
        <v>Improvement Access and Quality of State Islamic Institute  Suthan Maulana Hasanuddin Banten</v>
      </c>
      <c r="O177" s="42">
        <f>DATA!Q175</f>
        <v>0.16666666666666666</v>
      </c>
      <c r="P177" s="42">
        <f>DATA!R175</f>
        <v>0</v>
      </c>
      <c r="Q177" s="42">
        <f>DATA!S175</f>
        <v>0</v>
      </c>
      <c r="R177" s="83">
        <f>DATA!T175</f>
        <v>40000000</v>
      </c>
      <c r="S177" s="88">
        <f>DATA!U175</f>
        <v>40000000</v>
      </c>
      <c r="T177" s="83">
        <f>DATA!V175</f>
        <v>5985000</v>
      </c>
      <c r="U177" s="83">
        <f>DATA!W175</f>
        <v>0</v>
      </c>
      <c r="V177" s="83">
        <f>DATA!X175</f>
        <v>45985000</v>
      </c>
      <c r="W177" s="84" t="str">
        <f>DATA!Y175</f>
        <v>IDB</v>
      </c>
      <c r="X177" s="42" t="str">
        <f>DATA!Z175</f>
        <v>Multilateral</v>
      </c>
      <c r="Y177" s="83">
        <f>DATA!AA175</f>
        <v>40000000</v>
      </c>
      <c r="Z177" s="83">
        <f>DATA!AG175</f>
        <v>0</v>
      </c>
      <c r="AA177" s="42" t="str">
        <f>DATA!AH175</f>
        <v>Tanpa keterangan</v>
      </c>
      <c r="AB177" s="67" t="str">
        <f>DATA!AI175</f>
        <v>Penyusunan R/C</v>
      </c>
      <c r="AC177" s="152" t="str">
        <f>DATA!AR175</f>
        <v>-</v>
      </c>
      <c r="AD177" s="152" t="str">
        <f>DATA!AN175</f>
        <v>siap</v>
      </c>
      <c r="AE177" s="152" t="str">
        <f>DATA!AO175</f>
        <v>siap</v>
      </c>
      <c r="AF177" s="67" t="str">
        <f>DATA!AJ175</f>
        <v>- Sudah ada Master Plan
- AMDAL</v>
      </c>
      <c r="AG177" s="115">
        <f>DATA!AK175</f>
        <v>1</v>
      </c>
      <c r="AH177" s="67" t="str">
        <f>DATA!AL175</f>
        <v>-</v>
      </c>
      <c r="AI177" s="42" t="str">
        <f>DATA!AR175</f>
        <v>-</v>
      </c>
      <c r="AJ177" s="42" t="str">
        <f>DATA!AN175</f>
        <v>siap</v>
      </c>
      <c r="AK177" s="42" t="str">
        <f>DATA!AO175</f>
        <v>siap</v>
      </c>
      <c r="AL177" s="42" t="str">
        <f>DATA!AP175</f>
        <v>belum ada proses tender/lelang</v>
      </c>
      <c r="AM177" s="42"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N177" s="42" t="e">
        <f>DATA!#REF!</f>
        <v>#REF!</v>
      </c>
      <c r="AO177" s="42">
        <f>DATA!AZ175</f>
        <v>0</v>
      </c>
      <c r="AP177" s="152" t="e">
        <f>DATA!#REF!</f>
        <v>#REF!</v>
      </c>
      <c r="AQ177" s="67" t="str">
        <f>DATA!BA175</f>
        <v>Pembangunan gedung dan infrastruktur, pengadaaan mebelair dan peralatan, peningkatan SDM, dan pengembangan kurikulum akademik</v>
      </c>
    </row>
    <row r="178" spans="1:43" s="6" customFormat="1" ht="66.75" customHeight="1">
      <c r="A178" s="6">
        <f>DATA!A176</f>
        <v>126</v>
      </c>
      <c r="B178" s="6">
        <f>DATA!B176</f>
        <v>0</v>
      </c>
      <c r="C178" s="6" t="str">
        <f>DATA!D176</f>
        <v>NON-INFRASTRUKTUR</v>
      </c>
      <c r="D178" s="6">
        <f>DATA!E176</f>
        <v>9</v>
      </c>
      <c r="E178" s="6" t="str">
        <f>DATA!F176</f>
        <v>Kementerian Agama</v>
      </c>
      <c r="F178" s="6" t="str">
        <f>DATA!H176</f>
        <v>Improving Access, Quality, Relevance, and Competitiveness of Islamic Higher Education Program</v>
      </c>
      <c r="G178" s="6" t="str">
        <f>DATA!I176</f>
        <v>A</v>
      </c>
      <c r="H178" s="6" t="str">
        <f>DATA!J176</f>
        <v>Program Peningkatan Akses, Kualitas, Relevansi, dan Daya Saing Pendidikan Tinggi Islam</v>
      </c>
      <c r="I178" s="6">
        <f>DATA!K176</f>
        <v>1</v>
      </c>
      <c r="J178" s="38"/>
      <c r="K178" s="39"/>
      <c r="L178" s="39"/>
      <c r="M178" s="38"/>
      <c r="N178" s="67" t="str">
        <f>DATA!L176</f>
        <v xml:space="preserve">Development and Quality Improvement  of Antasari State Islamic Institute </v>
      </c>
      <c r="O178" s="42">
        <f>DATA!Q176</f>
        <v>0.16666666666666666</v>
      </c>
      <c r="P178" s="42">
        <f>DATA!R176</f>
        <v>0</v>
      </c>
      <c r="Q178" s="42">
        <f>DATA!S176</f>
        <v>0</v>
      </c>
      <c r="R178" s="83">
        <f>DATA!T176</f>
        <v>39908600</v>
      </c>
      <c r="S178" s="88">
        <f>DATA!U176</f>
        <v>39908600</v>
      </c>
      <c r="T178" s="83">
        <f>DATA!V176</f>
        <v>10290700</v>
      </c>
      <c r="U178" s="83">
        <f>DATA!W176</f>
        <v>0</v>
      </c>
      <c r="V178" s="83">
        <f>DATA!X176</f>
        <v>50199300</v>
      </c>
      <c r="W178" s="84" t="str">
        <f>DATA!Y176</f>
        <v>IDB</v>
      </c>
      <c r="X178" s="42" t="str">
        <f>DATA!Z176</f>
        <v>Multilateral</v>
      </c>
      <c r="Y178" s="83">
        <f>DATA!AA176</f>
        <v>39900000</v>
      </c>
      <c r="Z178" s="83">
        <f>DATA!AG176</f>
        <v>0</v>
      </c>
      <c r="AA178" s="42" t="str">
        <f>DATA!AH176</f>
        <v>Tanpa keterangan</v>
      </c>
      <c r="AB178" s="67" t="str">
        <f>DATA!AI176</f>
        <v>Penyusunan R/C</v>
      </c>
      <c r="AC178" s="152" t="str">
        <f>DATA!AR176</f>
        <v>-</v>
      </c>
      <c r="AD178" s="152" t="str">
        <f>DATA!AN176</f>
        <v>siap</v>
      </c>
      <c r="AE178" s="152" t="str">
        <f>DATA!AO176</f>
        <v>siap</v>
      </c>
      <c r="AF178" s="67" t="str">
        <f>DATA!AJ176</f>
        <v>Sudah melakukan penyiapan perencanaan</v>
      </c>
      <c r="AG178" s="115">
        <f>DATA!AK176</f>
        <v>1</v>
      </c>
      <c r="AH178" s="67" t="str">
        <f>DATA!AL176</f>
        <v>-</v>
      </c>
      <c r="AI178" s="42" t="str">
        <f>DATA!AR176</f>
        <v>-</v>
      </c>
      <c r="AJ178" s="42" t="str">
        <f>DATA!AN176</f>
        <v>siap</v>
      </c>
      <c r="AK178" s="42" t="str">
        <f>DATA!AO176</f>
        <v>siap</v>
      </c>
      <c r="AL178" s="42" t="str">
        <f>DATA!AP176</f>
        <v>belum ada proses tender/lelang</v>
      </c>
      <c r="AM178" s="42" t="str">
        <f>DATA!AY176</f>
        <v>Surat Sekjen a/n Menteri Agama nomor SJ/B.I/1/KU.00.2/6260/2015 tanggal 17 September 2015</v>
      </c>
      <c r="AN178" s="42" t="e">
        <f>DATA!#REF!</f>
        <v>#REF!</v>
      </c>
      <c r="AO178" s="42">
        <f>DATA!AZ176</f>
        <v>0</v>
      </c>
      <c r="AP178" s="152" t="e">
        <f>DATA!#REF!</f>
        <v>#REF!</v>
      </c>
      <c r="AQ178" s="67" t="str">
        <f>DATA!BA176</f>
        <v>Pembangunan gedung dan infrastruktur, penguatan kelembagaan (pengembangan kurikulum, prodi, manajemen dan peningkatan jumlah dan kualitas riset), dan pengembangan SDM</v>
      </c>
    </row>
    <row r="179" spans="1:43" s="6" customFormat="1" ht="87" customHeight="1">
      <c r="A179" s="6">
        <f>DATA!A177</f>
        <v>127</v>
      </c>
      <c r="B179" s="6">
        <f>DATA!B177</f>
        <v>0</v>
      </c>
      <c r="C179" s="6" t="str">
        <f>DATA!D177</f>
        <v>NON-INFRASTRUKTUR</v>
      </c>
      <c r="D179" s="6" t="str">
        <f>DATA!E177</f>
        <v>z</v>
      </c>
      <c r="E179" s="6" t="str">
        <f>DATA!F177</f>
        <v>Kementerian Agama</v>
      </c>
      <c r="F179" s="6" t="str">
        <f>DATA!H177</f>
        <v>Improving Access, Quality, Relevance, and Competitiveness of Islamic Higher Education Program</v>
      </c>
      <c r="G179" s="6" t="str">
        <f>DATA!I177</f>
        <v>A</v>
      </c>
      <c r="H179" s="6" t="str">
        <f>DATA!J177</f>
        <v>Program Peningkatan Akses, Kualitas, Relevansi, dan Daya Saing Pendidikan Tinggi Islam</v>
      </c>
      <c r="I179" s="6">
        <f>DATA!K177</f>
        <v>1</v>
      </c>
      <c r="J179" s="38"/>
      <c r="K179" s="39"/>
      <c r="L179" s="39"/>
      <c r="M179" s="38"/>
      <c r="N179" s="67" t="str">
        <f>DATA!L177</f>
        <v xml:space="preserve">Tranformation of State Islamic Institute  Sulthan Thaha Saifuddin to State Islamic University </v>
      </c>
      <c r="O179" s="42">
        <f>DATA!Q177</f>
        <v>0.16666666666666666</v>
      </c>
      <c r="P179" s="42">
        <f>DATA!R177</f>
        <v>0</v>
      </c>
      <c r="Q179" s="42">
        <f>DATA!S177</f>
        <v>0</v>
      </c>
      <c r="R179" s="83">
        <f>DATA!T177</f>
        <v>40000000</v>
      </c>
      <c r="S179" s="88">
        <f>DATA!U177</f>
        <v>40000000</v>
      </c>
      <c r="T179" s="83">
        <f>DATA!V177</f>
        <v>10000000</v>
      </c>
      <c r="U179" s="83">
        <f>DATA!W177</f>
        <v>0</v>
      </c>
      <c r="V179" s="83">
        <f>DATA!X177</f>
        <v>50000000</v>
      </c>
      <c r="W179" s="84" t="str">
        <f>DATA!Y177</f>
        <v>IDB</v>
      </c>
      <c r="X179" s="42" t="str">
        <f>DATA!Z177</f>
        <v>Multilateral</v>
      </c>
      <c r="Y179" s="83">
        <f>DATA!AA177</f>
        <v>40000000</v>
      </c>
      <c r="Z179" s="83">
        <f>DATA!AG177</f>
        <v>0</v>
      </c>
      <c r="AA179" s="42" t="str">
        <f>DATA!AH177</f>
        <v>Tanpa keterangan</v>
      </c>
      <c r="AB179" s="67" t="str">
        <f>DATA!AI177</f>
        <v>Penyusunan R/C</v>
      </c>
      <c r="AC179" s="152" t="str">
        <f>DATA!AR177</f>
        <v>-</v>
      </c>
      <c r="AD179" s="152" t="str">
        <f>DATA!AN177</f>
        <v>siap</v>
      </c>
      <c r="AE179" s="152" t="str">
        <f>DATA!AO177</f>
        <v>siap</v>
      </c>
      <c r="AF179" s="67" t="str">
        <f>DATA!AJ177</f>
        <v>Sedang merinci kegiatan</v>
      </c>
      <c r="AG179" s="115">
        <f>DATA!AK177</f>
        <v>1</v>
      </c>
      <c r="AH179" s="67" t="str">
        <f>DATA!AL177</f>
        <v>-</v>
      </c>
      <c r="AI179" s="42" t="str">
        <f>DATA!AR177</f>
        <v>-</v>
      </c>
      <c r="AJ179" s="42" t="str">
        <f>DATA!AN177</f>
        <v>siap</v>
      </c>
      <c r="AK179" s="42" t="str">
        <f>DATA!AO177</f>
        <v>siap</v>
      </c>
      <c r="AL179" s="42" t="str">
        <f>DATA!AP177</f>
        <v>belum ada proses tender/lelang</v>
      </c>
      <c r="AM179" s="42" t="str">
        <f>DATA!AY177</f>
        <v>Surat Sekjen a/n Menteri Agama nomor SJ/B.I/1/KU.00.2/6260/2015 tanggal 17 September 2015</v>
      </c>
      <c r="AN179" s="42" t="e">
        <f>DATA!#REF!</f>
        <v>#REF!</v>
      </c>
      <c r="AO179" s="42">
        <f>DATA!AZ177</f>
        <v>0</v>
      </c>
      <c r="AP179" s="152" t="e">
        <f>DATA!#REF!</f>
        <v>#REF!</v>
      </c>
      <c r="AQ179" s="67"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row>
    <row r="180" spans="1:43" s="6" customFormat="1" ht="93.75" customHeight="1">
      <c r="A180" s="6">
        <f>DATA!A178</f>
        <v>128</v>
      </c>
      <c r="B180" s="6">
        <f>DATA!B178</f>
        <v>0</v>
      </c>
      <c r="C180" s="6" t="str">
        <f>DATA!D178</f>
        <v>NON-INFRASTRUKTUR</v>
      </c>
      <c r="D180" s="6">
        <f>DATA!E178</f>
        <v>9</v>
      </c>
      <c r="E180" s="6" t="str">
        <f>DATA!F178</f>
        <v>Kementerian Agama</v>
      </c>
      <c r="F180" s="6" t="str">
        <f>DATA!H178</f>
        <v>Improving Access, Quality, Relevance, and Competitiveness of Islamic Higher Education Program</v>
      </c>
      <c r="G180" s="6" t="str">
        <f>DATA!I178</f>
        <v>A</v>
      </c>
      <c r="H180" s="6" t="str">
        <f>DATA!J178</f>
        <v>Program Peningkatan Akses, Kualitas, Relevansi, dan Daya Saing Pendidikan Tinggi Islam</v>
      </c>
      <c r="I180" s="6">
        <f>DATA!K178</f>
        <v>1</v>
      </c>
      <c r="J180" s="38"/>
      <c r="K180" s="39"/>
      <c r="L180" s="39"/>
      <c r="M180" s="38"/>
      <c r="N180" s="67" t="str">
        <f>DATA!L178</f>
        <v>Development and Institutional Transformation of State Islamic Institute  Raden Intan Lampung</v>
      </c>
      <c r="O180" s="42">
        <f>DATA!Q178</f>
        <v>0.16666666666666666</v>
      </c>
      <c r="P180" s="42">
        <f>DATA!R178</f>
        <v>0</v>
      </c>
      <c r="Q180" s="42">
        <f>DATA!S178</f>
        <v>0</v>
      </c>
      <c r="R180" s="83">
        <f>DATA!T178</f>
        <v>40000000</v>
      </c>
      <c r="S180" s="88">
        <f>DATA!U178</f>
        <v>40000000</v>
      </c>
      <c r="T180" s="83">
        <f>DATA!V178</f>
        <v>10000000</v>
      </c>
      <c r="U180" s="83">
        <f>DATA!W178</f>
        <v>0</v>
      </c>
      <c r="V180" s="83">
        <f>DATA!X178</f>
        <v>50000000</v>
      </c>
      <c r="W180" s="84" t="str">
        <f>DATA!Y178</f>
        <v>IDB</v>
      </c>
      <c r="X180" s="42" t="str">
        <f>DATA!Z178</f>
        <v>Multilateral</v>
      </c>
      <c r="Y180" s="83">
        <f>DATA!AA178</f>
        <v>40000000</v>
      </c>
      <c r="Z180" s="83">
        <f>DATA!AG178</f>
        <v>0</v>
      </c>
      <c r="AA180" s="42" t="str">
        <f>DATA!AH178</f>
        <v>Tanpa keterangan</v>
      </c>
      <c r="AB180" s="67" t="str">
        <f>DATA!AI178</f>
        <v>Penyusunan R/C</v>
      </c>
      <c r="AC180" s="152" t="str">
        <f>DATA!AR178</f>
        <v>-</v>
      </c>
      <c r="AD180" s="152" t="str">
        <f>DATA!AN178</f>
        <v>siap</v>
      </c>
      <c r="AE180" s="152" t="str">
        <f>DATA!AO178</f>
        <v>siap</v>
      </c>
      <c r="AF180" s="67" t="str">
        <f>DATA!AJ178</f>
        <v>- Sudah ada Master Plan</v>
      </c>
      <c r="AG180" s="115">
        <f>DATA!AK178</f>
        <v>1</v>
      </c>
      <c r="AH180" s="67" t="str">
        <f>DATA!AL178</f>
        <v>-</v>
      </c>
      <c r="AI180" s="42" t="str">
        <f>DATA!AR178</f>
        <v>-</v>
      </c>
      <c r="AJ180" s="42" t="str">
        <f>DATA!AN178</f>
        <v>siap</v>
      </c>
      <c r="AK180" s="42" t="str">
        <f>DATA!AO178</f>
        <v>siap</v>
      </c>
      <c r="AL180" s="42" t="str">
        <f>DATA!AP178</f>
        <v>belum ada proses tender/lelang</v>
      </c>
      <c r="AM180" s="42"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N180" s="42" t="e">
        <f>DATA!#REF!</f>
        <v>#REF!</v>
      </c>
      <c r="AO180" s="42">
        <f>DATA!AZ178</f>
        <v>0</v>
      </c>
      <c r="AP180" s="152" t="e">
        <f>DATA!#REF!</f>
        <v>#REF!</v>
      </c>
      <c r="AQ180" s="67"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row>
    <row r="181" spans="1:43" s="6" customFormat="1" ht="30.75" customHeight="1">
      <c r="A181" s="6">
        <f>DATA!A179</f>
        <v>123</v>
      </c>
      <c r="B181" s="6">
        <f>DATA!B179</f>
        <v>0</v>
      </c>
      <c r="C181" s="6" t="str">
        <f>DATA!D179</f>
        <v>NON-INFRASTRUKTUR</v>
      </c>
      <c r="D181" s="6">
        <f>DATA!E179</f>
        <v>9</v>
      </c>
      <c r="E181" s="6" t="str">
        <f>DATA!F179</f>
        <v>Kementerian Agama</v>
      </c>
      <c r="F181" s="6" t="str">
        <f>DATA!H179</f>
        <v>Improving Access, Quality, Relevance, and Competitiveness of Islamic Higher Education Program</v>
      </c>
      <c r="G181" s="6" t="str">
        <f>DATA!I179</f>
        <v>A</v>
      </c>
      <c r="H181" s="6" t="str">
        <f>DATA!J179</f>
        <v>Program Peningkatan Akses, Kualitas, Relevansi, dan Daya Saing Pendidikan Tinggi Islam</v>
      </c>
      <c r="I181" s="6">
        <f>DATA!K179</f>
        <v>1</v>
      </c>
      <c r="J181" s="38"/>
      <c r="K181" s="71"/>
      <c r="L181" s="71"/>
      <c r="M181" s="43"/>
      <c r="N181" s="67" t="str">
        <f>DATA!L179</f>
        <v xml:space="preserve">Development of Imam Bonjol State Islamic Institute Project </v>
      </c>
      <c r="O181" s="42">
        <f>DATA!Q179</f>
        <v>0.16666666666666666</v>
      </c>
      <c r="P181" s="42">
        <f>DATA!R179</f>
        <v>0</v>
      </c>
      <c r="Q181" s="42">
        <f>DATA!S179</f>
        <v>0</v>
      </c>
      <c r="R181" s="83">
        <f>DATA!T179</f>
        <v>38301400</v>
      </c>
      <c r="S181" s="88">
        <f>DATA!U179</f>
        <v>38301400</v>
      </c>
      <c r="T181" s="83">
        <f>DATA!V179</f>
        <v>4171400</v>
      </c>
      <c r="U181" s="83">
        <f>DATA!W179</f>
        <v>0</v>
      </c>
      <c r="V181" s="83">
        <f>DATA!X179</f>
        <v>42472800</v>
      </c>
      <c r="W181" s="84" t="str">
        <f>DATA!Y179</f>
        <v>IDB</v>
      </c>
      <c r="X181" s="42" t="str">
        <f>DATA!Z179</f>
        <v>Multilateral</v>
      </c>
      <c r="Y181" s="83">
        <f>DATA!AA179</f>
        <v>38310000</v>
      </c>
      <c r="Z181" s="83">
        <f>DATA!AG179</f>
        <v>0</v>
      </c>
      <c r="AA181" s="42" t="str">
        <f>DATA!AH179</f>
        <v>Tanpa keterangan</v>
      </c>
      <c r="AB181" s="67" t="str">
        <f>DATA!AI179</f>
        <v>Penyusunan R/C</v>
      </c>
      <c r="AC181" s="152" t="str">
        <f>DATA!AR179</f>
        <v>-</v>
      </c>
      <c r="AD181" s="152" t="str">
        <f>DATA!AN179</f>
        <v>siap</v>
      </c>
      <c r="AE181" s="152" t="str">
        <f>DATA!AO179</f>
        <v>siap</v>
      </c>
      <c r="AF181" s="67" t="str">
        <f>DATA!AJ179</f>
        <v>Sedang merinci rencana kegiatan</v>
      </c>
      <c r="AG181" s="115">
        <f>DATA!AK179</f>
        <v>1</v>
      </c>
      <c r="AH181" s="67" t="str">
        <f>DATA!AL179</f>
        <v>-</v>
      </c>
      <c r="AI181" s="42" t="str">
        <f>DATA!AR179</f>
        <v>-</v>
      </c>
      <c r="AJ181" s="42" t="str">
        <f>DATA!AN179</f>
        <v>siap</v>
      </c>
      <c r="AK181" s="42" t="str">
        <f>DATA!AO179</f>
        <v>siap</v>
      </c>
      <c r="AL181" s="42" t="str">
        <f>DATA!AP179</f>
        <v>belum ada proses tender/lelang</v>
      </c>
      <c r="AM181" s="42" t="str">
        <f>DATA!AY179</f>
        <v>Surat Sekjen a/n Menteri Agama nomor SJ/B.I/1/KU.00.2/6260/2015 tanggal 17 September 2015</v>
      </c>
      <c r="AN181" s="42" t="e">
        <f>DATA!#REF!</f>
        <v>#REF!</v>
      </c>
      <c r="AO181" s="42">
        <f>DATA!AZ179</f>
        <v>0</v>
      </c>
      <c r="AP181" s="152" t="e">
        <f>DATA!#REF!</f>
        <v>#REF!</v>
      </c>
      <c r="AQ181" s="67" t="str">
        <f>DATA!BA179</f>
        <v>Pembangunan sarana dan prasarana perkuliahan,  Peningkatan kualitas SDM, pengembangan kurikulum</v>
      </c>
    </row>
    <row r="182" spans="1:43" s="4" customFormat="1" ht="24.95" customHeight="1">
      <c r="J182" s="107"/>
      <c r="K182" s="25">
        <f>DATA!E181</f>
        <v>10</v>
      </c>
      <c r="L182" s="108" t="str">
        <f>DATA!F181</f>
        <v>Kementerian PPN/Bappenas</v>
      </c>
      <c r="M182" s="25"/>
      <c r="N182" s="27"/>
      <c r="O182" s="26"/>
      <c r="P182" s="26"/>
      <c r="Q182" s="26"/>
      <c r="R182" s="80">
        <f>+R183</f>
        <v>300000000</v>
      </c>
      <c r="S182" s="80">
        <f>+S183</f>
        <v>300000000</v>
      </c>
      <c r="T182" s="80">
        <f t="shared" ref="T182:Z183" si="21">+T183</f>
        <v>0</v>
      </c>
      <c r="U182" s="80">
        <f t="shared" si="21"/>
        <v>0</v>
      </c>
      <c r="V182" s="80">
        <f t="shared" si="21"/>
        <v>300000000</v>
      </c>
      <c r="W182" s="80"/>
      <c r="X182" s="80" t="str">
        <f t="shared" si="21"/>
        <v>Multilateral</v>
      </c>
      <c r="Y182" s="80">
        <f t="shared" si="21"/>
        <v>300000000</v>
      </c>
      <c r="Z182" s="80">
        <f t="shared" si="21"/>
        <v>0</v>
      </c>
      <c r="AA182" s="26"/>
      <c r="AB182" s="27"/>
      <c r="AC182" s="27"/>
      <c r="AD182" s="27"/>
      <c r="AE182" s="27"/>
      <c r="AF182" s="27"/>
      <c r="AG182" s="27"/>
      <c r="AH182" s="27"/>
      <c r="AI182" s="26"/>
      <c r="AJ182" s="26"/>
      <c r="AK182" s="26"/>
      <c r="AL182" s="26"/>
      <c r="AM182" s="26"/>
      <c r="AN182" s="26"/>
      <c r="AO182" s="26"/>
      <c r="AP182" s="27"/>
      <c r="AQ182" s="27"/>
    </row>
    <row r="183" spans="1:43" s="5" customFormat="1" ht="33.75" customHeight="1">
      <c r="J183" s="28"/>
      <c r="K183" s="29"/>
      <c r="L183" s="30" t="str">
        <f>DATA!I181</f>
        <v>A</v>
      </c>
      <c r="M183" s="113" t="str">
        <f>DATA!J181</f>
        <v>Program Pengembangan Sumber Daya Aparatur  dalam Rangka Reformasi Birokrasi</v>
      </c>
      <c r="N183" s="51"/>
      <c r="O183" s="31"/>
      <c r="P183" s="31"/>
      <c r="Q183" s="31"/>
      <c r="R183" s="81">
        <f>+R184</f>
        <v>300000000</v>
      </c>
      <c r="S183" s="81">
        <f>+S184</f>
        <v>300000000</v>
      </c>
      <c r="T183" s="81">
        <f t="shared" si="21"/>
        <v>0</v>
      </c>
      <c r="U183" s="81">
        <f t="shared" si="21"/>
        <v>0</v>
      </c>
      <c r="V183" s="81">
        <f t="shared" si="21"/>
        <v>300000000</v>
      </c>
      <c r="W183" s="81"/>
      <c r="X183" s="81" t="str">
        <f t="shared" si="21"/>
        <v>Multilateral</v>
      </c>
      <c r="Y183" s="81">
        <f t="shared" si="21"/>
        <v>300000000</v>
      </c>
      <c r="Z183" s="81">
        <f t="shared" si="21"/>
        <v>0</v>
      </c>
      <c r="AA183" s="31"/>
      <c r="AB183" s="32"/>
      <c r="AC183" s="32"/>
      <c r="AD183" s="32"/>
      <c r="AE183" s="32"/>
      <c r="AF183" s="32"/>
      <c r="AG183" s="32"/>
      <c r="AH183" s="32"/>
      <c r="AI183" s="31"/>
      <c r="AJ183" s="31"/>
      <c r="AK183" s="31"/>
      <c r="AL183" s="31"/>
      <c r="AM183" s="31"/>
      <c r="AN183" s="31"/>
      <c r="AO183" s="31"/>
      <c r="AP183" s="32"/>
      <c r="AQ183" s="32"/>
    </row>
    <row r="184" spans="1:43" s="6" customFormat="1" ht="35.25" customHeight="1">
      <c r="A184" s="6">
        <f>DATA!A181</f>
        <v>129</v>
      </c>
      <c r="B184" s="6">
        <f>DATA!B181</f>
        <v>0</v>
      </c>
      <c r="C184" s="6" t="str">
        <f>DATA!D181</f>
        <v>NON-INFRASTRUKTUR</v>
      </c>
      <c r="D184" s="6">
        <f>DATA!E181</f>
        <v>10</v>
      </c>
      <c r="E184" s="6" t="str">
        <f>DATA!F181</f>
        <v>Kementerian PPN/Bappenas</v>
      </c>
      <c r="F184" s="6" t="str">
        <f>DATA!H181</f>
        <v>Human Resources Development for Bureaucracy Reform Program</v>
      </c>
      <c r="G184" s="6" t="str">
        <f>DATA!I181</f>
        <v>A</v>
      </c>
      <c r="H184" s="6" t="str">
        <f>DATA!J181</f>
        <v>Program Pengembangan Sumber Daya Aparatur  dalam Rangka Reformasi Birokrasi</v>
      </c>
      <c r="I184" s="6">
        <f>DATA!K181</f>
        <v>1</v>
      </c>
      <c r="J184" s="38"/>
      <c r="K184" s="71"/>
      <c r="L184" s="39"/>
      <c r="M184" s="38">
        <f>DATA!K181</f>
        <v>1</v>
      </c>
      <c r="N184" s="67" t="str">
        <f>DATA!L181</f>
        <v>Development of Capacity, Quality, and Competency of Human Resources for Government Officer</v>
      </c>
      <c r="O184" s="42">
        <f>DATA!Q181</f>
        <v>1</v>
      </c>
      <c r="P184" s="42">
        <f>DATA!R181</f>
        <v>1</v>
      </c>
      <c r="Q184" s="42">
        <f>DATA!S181</f>
        <v>103</v>
      </c>
      <c r="R184" s="83">
        <f>DATA!T181</f>
        <v>300000000</v>
      </c>
      <c r="S184" s="88">
        <f>DATA!U181</f>
        <v>300000000</v>
      </c>
      <c r="T184" s="83">
        <f>DATA!V181</f>
        <v>0</v>
      </c>
      <c r="U184" s="83">
        <f>DATA!W181</f>
        <v>0</v>
      </c>
      <c r="V184" s="83">
        <f>DATA!X181</f>
        <v>300000000</v>
      </c>
      <c r="W184" s="84" t="str">
        <f>DATA!Y181</f>
        <v>Bank Dunia</v>
      </c>
      <c r="X184" s="42" t="str">
        <f>DATA!Z181</f>
        <v>Multilateral</v>
      </c>
      <c r="Y184" s="83">
        <f>DATA!AA181</f>
        <v>300000000</v>
      </c>
      <c r="Z184" s="83">
        <f>DATA!AG181</f>
        <v>0</v>
      </c>
      <c r="AA184" s="42" t="str">
        <f>DATA!AH181</f>
        <v>Tanpa keterangan</v>
      </c>
      <c r="AB184" s="67" t="str">
        <f>DATA!AI181</f>
        <v>Penyusunan R/C</v>
      </c>
      <c r="AC184" s="152" t="str">
        <f>DATA!AR181</f>
        <v>belum ada dokumen R/C</v>
      </c>
      <c r="AD184" s="152" t="str">
        <f>DATA!AN181</f>
        <v>dalam proses
(penyusunan FS)</v>
      </c>
      <c r="AE184" s="152" t="str">
        <f>DATA!AO181</f>
        <v>tidak butuh lahan</v>
      </c>
      <c r="AF184" s="67" t="str">
        <f>DATA!AJ181</f>
        <v>Sedang evaluasi SPIRIT tahap sebelumnya</v>
      </c>
      <c r="AG184" s="67" t="str">
        <f>DATA!AK181</f>
        <v>Tidak membutuhkan lahan</v>
      </c>
      <c r="AH184" s="67" t="str">
        <f>DATA!AL181</f>
        <v>-</v>
      </c>
      <c r="AI184" s="42" t="str">
        <f>DATA!AR181</f>
        <v>belum ada dokumen R/C</v>
      </c>
      <c r="AJ184" s="42" t="str">
        <f>DATA!AN181</f>
        <v>dalam proses
(penyusunan FS)</v>
      </c>
      <c r="AK184" s="42" t="str">
        <f>DATA!AO181</f>
        <v>tidak butuh lahan</v>
      </c>
      <c r="AL184" s="42" t="str">
        <f>DATA!AP181</f>
        <v>belum ada proses tender/lelang</v>
      </c>
      <c r="AM184" s="42" t="str">
        <f>DATA!AY181</f>
        <v>Surat Sesmen PPN/Sestama Bappenas nomor 5877/SES/09/2015 tgl 14 September 2015</v>
      </c>
      <c r="AN184" s="42" t="e">
        <f>DATA!#REF!</f>
        <v>#REF!</v>
      </c>
      <c r="AO184" s="42" t="str">
        <f>DATA!AZ181</f>
        <v>Diusulkan untuk masuk GB 2016</v>
      </c>
      <c r="AP184" s="152" t="e">
        <f>DATA!#REF!</f>
        <v>#REF!</v>
      </c>
      <c r="AQ184" s="67" t="str">
        <f>DATA!BA181</f>
        <v>Menghasilkan sekitar 2.109 lulusan gelar dan non gelar</v>
      </c>
    </row>
    <row r="185" spans="1:43" s="4" customFormat="1" ht="24.95" customHeight="1">
      <c r="J185" s="107"/>
      <c r="K185" s="25">
        <f>DATA!E182</f>
        <v>11</v>
      </c>
      <c r="L185" s="108" t="str">
        <f>DATA!F182</f>
        <v>Kementerian Kesehatan</v>
      </c>
      <c r="M185" s="25"/>
      <c r="N185" s="27"/>
      <c r="O185" s="26"/>
      <c r="P185" s="26"/>
      <c r="Q185" s="26"/>
      <c r="R185" s="80">
        <f>+R186+R188+R190+R192</f>
        <v>1746000000</v>
      </c>
      <c r="S185" s="80">
        <f>+S186+S188+S190+S192</f>
        <v>1746000000</v>
      </c>
      <c r="T185" s="80">
        <f t="shared" ref="T185:Z185" si="22">+T186+T188+T190+T192</f>
        <v>174600000</v>
      </c>
      <c r="U185" s="80">
        <f t="shared" si="22"/>
        <v>0</v>
      </c>
      <c r="V185" s="80">
        <f t="shared" si="22"/>
        <v>1920600000</v>
      </c>
      <c r="W185" s="80"/>
      <c r="X185" s="80" t="e">
        <f t="shared" si="22"/>
        <v>#VALUE!</v>
      </c>
      <c r="Y185" s="80">
        <f t="shared" si="22"/>
        <v>1746000000</v>
      </c>
      <c r="Z185" s="80">
        <f t="shared" si="22"/>
        <v>-755600000</v>
      </c>
      <c r="AA185" s="26"/>
      <c r="AB185" s="27"/>
      <c r="AC185" s="27"/>
      <c r="AD185" s="27"/>
      <c r="AE185" s="27"/>
      <c r="AF185" s="27"/>
      <c r="AG185" s="27"/>
      <c r="AH185" s="27"/>
      <c r="AI185" s="26"/>
      <c r="AJ185" s="26"/>
      <c r="AK185" s="26"/>
      <c r="AL185" s="26"/>
      <c r="AM185" s="26"/>
      <c r="AN185" s="26"/>
      <c r="AO185" s="26"/>
      <c r="AP185" s="27"/>
      <c r="AQ185" s="27"/>
    </row>
    <row r="186" spans="1:43" s="5" customFormat="1" ht="33.75" customHeight="1">
      <c r="J186" s="28"/>
      <c r="K186" s="29"/>
      <c r="L186" s="30" t="str">
        <f>DATA!I181</f>
        <v>A</v>
      </c>
      <c r="M186" s="31" t="str">
        <f>DATA!J182</f>
        <v>Program Pelayanan Kesehatan Dasar</v>
      </c>
      <c r="N186" s="51"/>
      <c r="O186" s="31"/>
      <c r="P186" s="31"/>
      <c r="Q186" s="31"/>
      <c r="R186" s="81">
        <f>+R187</f>
        <v>150000000</v>
      </c>
      <c r="S186" s="81">
        <f>+S187</f>
        <v>150000000</v>
      </c>
      <c r="T186" s="81">
        <f>+T187</f>
        <v>15000000</v>
      </c>
      <c r="U186" s="81">
        <f>+U187</f>
        <v>0</v>
      </c>
      <c r="V186" s="81">
        <f>+V187</f>
        <v>165000000</v>
      </c>
      <c r="W186" s="81"/>
      <c r="X186" s="81" t="str">
        <f>+X187</f>
        <v>Multilateral</v>
      </c>
      <c r="Y186" s="81">
        <f>+Y187</f>
        <v>150000000</v>
      </c>
      <c r="Z186" s="81">
        <f>+Z187</f>
        <v>0</v>
      </c>
      <c r="AA186" s="31"/>
      <c r="AB186" s="32"/>
      <c r="AC186" s="32"/>
      <c r="AD186" s="32"/>
      <c r="AE186" s="32"/>
      <c r="AF186" s="32"/>
      <c r="AG186" s="32"/>
      <c r="AH186" s="32"/>
      <c r="AI186" s="31"/>
      <c r="AJ186" s="31"/>
      <c r="AK186" s="31"/>
      <c r="AL186" s="31"/>
      <c r="AM186" s="31"/>
      <c r="AN186" s="31"/>
      <c r="AO186" s="31"/>
      <c r="AP186" s="32"/>
      <c r="AQ186" s="32"/>
    </row>
    <row r="187" spans="1:43" ht="75.75" customHeight="1">
      <c r="A187" s="10">
        <f>DATA!A182</f>
        <v>130</v>
      </c>
      <c r="B187" s="10">
        <f>DATA!B182</f>
        <v>0</v>
      </c>
      <c r="C187" s="10" t="str">
        <f>DATA!D182</f>
        <v>NON-INFRASTRUKTUR</v>
      </c>
      <c r="D187" s="10">
        <f>DATA!E182</f>
        <v>11</v>
      </c>
      <c r="E187" s="10" t="str">
        <f>DATA!F182</f>
        <v>Kementerian Kesehatan</v>
      </c>
      <c r="F187" s="10" t="str">
        <f>DATA!H182</f>
        <v>Basic Health Care Program</v>
      </c>
      <c r="G187" s="10" t="str">
        <f>DATA!I182</f>
        <v>A</v>
      </c>
      <c r="H187" s="10" t="str">
        <f>DATA!J182</f>
        <v>Program Pelayanan Kesehatan Dasar</v>
      </c>
      <c r="I187" s="10">
        <f>DATA!K182</f>
        <v>1</v>
      </c>
      <c r="J187" s="33"/>
      <c r="K187" s="34"/>
      <c r="L187" s="54"/>
      <c r="M187" s="52">
        <f>DATA!K182</f>
        <v>1</v>
      </c>
      <c r="N187" s="37" t="str">
        <f>DATA!L182</f>
        <v>Improvement of Primary Health Care</v>
      </c>
      <c r="O187" s="20">
        <f>DATA!Q182</f>
        <v>1</v>
      </c>
      <c r="P187" s="20">
        <f>DATA!R182</f>
        <v>1</v>
      </c>
      <c r="Q187" s="20">
        <f>DATA!S182</f>
        <v>104</v>
      </c>
      <c r="R187" s="77">
        <f>DATA!T182</f>
        <v>150000000</v>
      </c>
      <c r="S187" s="88">
        <f>DATA!U182</f>
        <v>150000000</v>
      </c>
      <c r="T187" s="77">
        <f>DATA!V182</f>
        <v>15000000</v>
      </c>
      <c r="U187" s="77">
        <f>DATA!W182</f>
        <v>0</v>
      </c>
      <c r="V187" s="77">
        <f>DATA!X182</f>
        <v>165000000</v>
      </c>
      <c r="W187" s="78" t="str">
        <f>DATA!Y182</f>
        <v>Bank Dunia</v>
      </c>
      <c r="X187" s="20" t="str">
        <f>DATA!Z182</f>
        <v>Multilateral</v>
      </c>
      <c r="Y187" s="77">
        <f>DATA!AA182</f>
        <v>150000000</v>
      </c>
      <c r="Z187" s="77">
        <f>DATA!AG182</f>
        <v>0</v>
      </c>
      <c r="AA187" s="20" t="str">
        <f>DATA!AH182</f>
        <v>Tanpa keterangan</v>
      </c>
      <c r="AB187" s="37" t="str">
        <f>DATA!AI182</f>
        <v>-</v>
      </c>
      <c r="AC187" s="152" t="str">
        <f>DATA!AR182</f>
        <v>belum ada dokumen R/C</v>
      </c>
      <c r="AD187" s="152" t="str">
        <f>DATA!AN182</f>
        <v>belum ada keterangan</v>
      </c>
      <c r="AE187" s="152" t="str">
        <f>DATA!AO182</f>
        <v>tidak butuh lahan</v>
      </c>
      <c r="AF187" s="37" t="str">
        <f>DATA!AJ182</f>
        <v>-</v>
      </c>
      <c r="AG187" s="37" t="str">
        <f>DATA!AK182</f>
        <v>Tidak dibutuhkan lahan</v>
      </c>
      <c r="AH187" s="37" t="str">
        <f>DATA!AL182</f>
        <v>-</v>
      </c>
      <c r="AI187" s="20" t="str">
        <f>DATA!AR182</f>
        <v>belum ada dokumen R/C</v>
      </c>
      <c r="AJ187" s="20" t="str">
        <f>DATA!AN182</f>
        <v>belum ada keterangan</v>
      </c>
      <c r="AK187" s="20" t="str">
        <f>DATA!AO182</f>
        <v>tidak butuh lahan</v>
      </c>
      <c r="AL187" s="20" t="str">
        <f>DATA!AP182</f>
        <v>belum ada proses tender/lelang</v>
      </c>
      <c r="AM187" s="20" t="str">
        <f>DATA!AY182</f>
        <v>Surat Sekjen nomor PR.02.03/I/1814/2015 tanggal 9 September 2015</v>
      </c>
      <c r="AN187" s="20" t="e">
        <f>DATA!#REF!</f>
        <v>#REF!</v>
      </c>
      <c r="AO187" s="20">
        <f>DATA!AZ182</f>
        <v>0</v>
      </c>
      <c r="AP187" s="152" t="e">
        <f>DATA!#REF!</f>
        <v>#REF!</v>
      </c>
      <c r="AQ187" s="37" t="str">
        <f>DATA!BA182</f>
        <v>Kegiatan akreditasi pusat kesehatan, pengembangan sistem informasi kesehatan, pemenuhan kebutuhan pelayanan kesehatan pada daerah perbatasan, dan memfasilitasi hubungan pusat kesehatan dengan unit transfusi darah</v>
      </c>
    </row>
    <row r="188" spans="1:43" s="5" customFormat="1" ht="33.75" customHeight="1">
      <c r="J188" s="28"/>
      <c r="K188" s="50"/>
      <c r="L188" s="30" t="str">
        <f>DATA!I183</f>
        <v>B</v>
      </c>
      <c r="M188" s="31" t="str">
        <f>DATA!J183</f>
        <v>Program Pengembangan Sumber Daya Manusia Kesehatan</v>
      </c>
      <c r="N188" s="51"/>
      <c r="O188" s="31"/>
      <c r="P188" s="31"/>
      <c r="Q188" s="31"/>
      <c r="R188" s="81">
        <f>+R189</f>
        <v>240000000</v>
      </c>
      <c r="S188" s="81">
        <f>+S189</f>
        <v>240000000</v>
      </c>
      <c r="T188" s="81">
        <f t="shared" ref="T188:Z188" si="23">+T189</f>
        <v>24000000</v>
      </c>
      <c r="U188" s="81">
        <f t="shared" si="23"/>
        <v>0</v>
      </c>
      <c r="V188" s="81">
        <f t="shared" si="23"/>
        <v>264000000</v>
      </c>
      <c r="W188" s="81"/>
      <c r="X188" s="81" t="str">
        <f t="shared" si="23"/>
        <v>Multilateral</v>
      </c>
      <c r="Y188" s="81">
        <f t="shared" si="23"/>
        <v>240000000</v>
      </c>
      <c r="Z188" s="81">
        <f t="shared" si="23"/>
        <v>0</v>
      </c>
      <c r="AA188" s="31"/>
      <c r="AB188" s="32"/>
      <c r="AC188" s="32"/>
      <c r="AD188" s="32"/>
      <c r="AE188" s="32"/>
      <c r="AF188" s="32"/>
      <c r="AG188" s="32"/>
      <c r="AH188" s="32"/>
      <c r="AI188" s="31"/>
      <c r="AJ188" s="31"/>
      <c r="AK188" s="31"/>
      <c r="AL188" s="31"/>
      <c r="AM188" s="31"/>
      <c r="AN188" s="31"/>
      <c r="AO188" s="31"/>
      <c r="AP188" s="32"/>
      <c r="AQ188" s="32"/>
    </row>
    <row r="189" spans="1:43" ht="46.5" customHeight="1">
      <c r="A189" s="10">
        <f>DATA!A183</f>
        <v>131</v>
      </c>
      <c r="B189" s="10">
        <f>DATA!B183</f>
        <v>0</v>
      </c>
      <c r="C189" s="10" t="str">
        <f>DATA!D183</f>
        <v>NON-INFRASTRUKTUR</v>
      </c>
      <c r="D189" s="10">
        <f>DATA!E183</f>
        <v>11</v>
      </c>
      <c r="E189" s="10" t="str">
        <f>DATA!F183</f>
        <v>Kementerian Kesehatan</v>
      </c>
      <c r="F189" s="10" t="str">
        <f>DATA!H183</f>
        <v>Program for Human Resources Development in Health Sector</v>
      </c>
      <c r="G189" s="10" t="str">
        <f>DATA!I183</f>
        <v>B</v>
      </c>
      <c r="H189" s="10" t="str">
        <f>DATA!J183</f>
        <v>Program Pengembangan Sumber Daya Manusia Kesehatan</v>
      </c>
      <c r="I189" s="10">
        <f>DATA!K183</f>
        <v>1</v>
      </c>
      <c r="J189" s="33"/>
      <c r="K189" s="34"/>
      <c r="L189" s="20"/>
      <c r="M189" s="36">
        <f>DATA!K183</f>
        <v>1</v>
      </c>
      <c r="N189" s="37" t="str">
        <f>DATA!L183</f>
        <v>Improvement of Facilities and Infrastructure for Teaching and Learning Activities in Health Sector</v>
      </c>
      <c r="O189" s="20">
        <f>DATA!Q183</f>
        <v>1</v>
      </c>
      <c r="P189" s="20">
        <f>DATA!R183</f>
        <v>1</v>
      </c>
      <c r="Q189" s="20">
        <f>DATA!S183</f>
        <v>105</v>
      </c>
      <c r="R189" s="77">
        <f>DATA!T183</f>
        <v>240000000</v>
      </c>
      <c r="S189" s="88">
        <f>DATA!U183</f>
        <v>240000000</v>
      </c>
      <c r="T189" s="77">
        <f>DATA!V183</f>
        <v>24000000</v>
      </c>
      <c r="U189" s="77">
        <f>DATA!W183</f>
        <v>0</v>
      </c>
      <c r="V189" s="77">
        <f>DATA!X183</f>
        <v>264000000</v>
      </c>
      <c r="W189" s="78" t="str">
        <f>DATA!Y183</f>
        <v>IDB</v>
      </c>
      <c r="X189" s="20" t="str">
        <f>DATA!Z183</f>
        <v>Multilateral</v>
      </c>
      <c r="Y189" s="77">
        <f>DATA!AA183</f>
        <v>240000000</v>
      </c>
      <c r="Z189" s="77">
        <f>DATA!AG183</f>
        <v>0</v>
      </c>
      <c r="AA189" s="20" t="str">
        <f>DATA!AH183</f>
        <v>Tanpa keterangan</v>
      </c>
      <c r="AB189" s="37" t="str">
        <f>DATA!AI183</f>
        <v>Penyusunan R/C</v>
      </c>
      <c r="AC189" s="152">
        <f>DATA!AM183</f>
        <v>0</v>
      </c>
      <c r="AD189" s="152" t="str">
        <f>DATA!AN183</f>
        <v>dalam proses
(memiliki FS dan DED)</v>
      </c>
      <c r="AE189" s="152" t="str">
        <f>DATA!AO183</f>
        <v>siap</v>
      </c>
      <c r="AF189" s="37" t="str">
        <f>DATA!AJ183</f>
        <v>FS. DED</v>
      </c>
      <c r="AG189" s="114">
        <f>DATA!AK183</f>
        <v>1</v>
      </c>
      <c r="AH189" s="37" t="str">
        <f>DATA!AL183</f>
        <v>Belum ada lelang/tender</v>
      </c>
      <c r="AI189" s="20">
        <f>DATA!AM183</f>
        <v>0</v>
      </c>
      <c r="AJ189" s="20" t="str">
        <f>DATA!AN183</f>
        <v>dalam proses
(memiliki FS dan DED)</v>
      </c>
      <c r="AK189" s="20" t="str">
        <f>DATA!AO183</f>
        <v>siap</v>
      </c>
      <c r="AL189" s="20" t="str">
        <f>DATA!AP183</f>
        <v>belum ada proses tender/lelang</v>
      </c>
      <c r="AM189" s="20" t="str">
        <f>DATA!AY183</f>
        <v>- Pelaksanaan tahun 2017
- Surat Sekjen nomor PR.02.03/I/1814/2015 tanggal 9 September 2015</v>
      </c>
      <c r="AN189" s="20" t="e">
        <f>DATA!#REF!</f>
        <v>#REF!</v>
      </c>
      <c r="AO189" s="20">
        <f>DATA!AZ183</f>
        <v>0</v>
      </c>
      <c r="AP189" s="152" t="e">
        <f>DATA!#REF!</f>
        <v>#REF!</v>
      </c>
      <c r="AQ189" s="37" t="str">
        <f>DATA!BA183</f>
        <v>'Peningkatan infrastruktur Poltekkes, BPPK, Bapelkes dan UPT</v>
      </c>
    </row>
    <row r="190" spans="1:43" s="5" customFormat="1" ht="33.75" customHeight="1">
      <c r="J190" s="28"/>
      <c r="K190" s="50"/>
      <c r="L190" s="30" t="str">
        <f>DATA!I184</f>
        <v>C</v>
      </c>
      <c r="M190" s="31" t="str">
        <f>DATA!J184</f>
        <v>Program Pengendalian Penyakit, Penyehatan Lingkungan, dan Penguatan Litbang Kesehatan</v>
      </c>
      <c r="N190" s="51"/>
      <c r="O190" s="31"/>
      <c r="P190" s="31"/>
      <c r="Q190" s="31"/>
      <c r="R190" s="81">
        <f>+R191</f>
        <v>100400000</v>
      </c>
      <c r="S190" s="81">
        <f>+S191</f>
        <v>100400000</v>
      </c>
      <c r="T190" s="81">
        <f t="shared" ref="T190:Z190" si="24">+T191</f>
        <v>10040000</v>
      </c>
      <c r="U190" s="81">
        <f t="shared" si="24"/>
        <v>0</v>
      </c>
      <c r="V190" s="81">
        <f t="shared" si="24"/>
        <v>110440000</v>
      </c>
      <c r="W190" s="81"/>
      <c r="X190" s="81" t="str">
        <f t="shared" si="24"/>
        <v>Bilateral</v>
      </c>
      <c r="Y190" s="81">
        <f t="shared" si="24"/>
        <v>100400000</v>
      </c>
      <c r="Z190" s="81">
        <f t="shared" si="24"/>
        <v>0</v>
      </c>
      <c r="AA190" s="31"/>
      <c r="AB190" s="32"/>
      <c r="AC190" s="32"/>
      <c r="AD190" s="32"/>
      <c r="AE190" s="32"/>
      <c r="AF190" s="32"/>
      <c r="AG190" s="32"/>
      <c r="AH190" s="32"/>
      <c r="AI190" s="31"/>
      <c r="AJ190" s="31"/>
      <c r="AK190" s="31"/>
      <c r="AL190" s="31"/>
      <c r="AM190" s="31"/>
      <c r="AN190" s="31"/>
      <c r="AO190" s="31"/>
      <c r="AP190" s="32"/>
      <c r="AQ190" s="32"/>
    </row>
    <row r="191" spans="1:43" ht="74.25" customHeight="1">
      <c r="A191" s="10">
        <f>DATA!A184</f>
        <v>132</v>
      </c>
      <c r="B191" s="10">
        <f>DATA!B184</f>
        <v>0</v>
      </c>
      <c r="C191" s="10" t="str">
        <f>DATA!D184</f>
        <v>NON-INFRASTRUKTUR</v>
      </c>
      <c r="D191" s="10">
        <f>DATA!E184</f>
        <v>11</v>
      </c>
      <c r="E191" s="10" t="str">
        <f>DATA!F184</f>
        <v>Kementerian Kesehatan</v>
      </c>
      <c r="F191" s="10" t="str">
        <f>DATA!H184</f>
        <v>Program for Disease Control, Environmental Health, and Strengthening Health Research and Development</v>
      </c>
      <c r="G191" s="10" t="str">
        <f>DATA!I184</f>
        <v>C</v>
      </c>
      <c r="H191" s="10" t="str">
        <f>DATA!J184</f>
        <v>Program Pengendalian Penyakit, Penyehatan Lingkungan, dan Penguatan Litbang Kesehatan</v>
      </c>
      <c r="I191" s="10">
        <f>DATA!K184</f>
        <v>1</v>
      </c>
      <c r="J191" s="33"/>
      <c r="K191" s="34"/>
      <c r="L191" s="20"/>
      <c r="M191" s="36">
        <f>DATA!K184</f>
        <v>1</v>
      </c>
      <c r="N191" s="37" t="str">
        <f>DATA!L184</f>
        <v>Improvement of Capacity on Disease Control, Environmental Health, and Strengthening Health’s Research and Development</v>
      </c>
      <c r="O191" s="20">
        <f>DATA!Q184</f>
        <v>1</v>
      </c>
      <c r="P191" s="20">
        <f>DATA!R184</f>
        <v>1</v>
      </c>
      <c r="Q191" s="20">
        <f>DATA!S184</f>
        <v>106</v>
      </c>
      <c r="R191" s="77">
        <f>DATA!T184</f>
        <v>100400000</v>
      </c>
      <c r="S191" s="88">
        <f>DATA!U184</f>
        <v>100400000</v>
      </c>
      <c r="T191" s="77">
        <f>DATA!V184</f>
        <v>10040000</v>
      </c>
      <c r="U191" s="77">
        <f>DATA!W184</f>
        <v>0</v>
      </c>
      <c r="V191" s="77">
        <f>DATA!X184</f>
        <v>110440000</v>
      </c>
      <c r="W191" s="78" t="str">
        <f>DATA!Y184</f>
        <v>Jerman (KfW)</v>
      </c>
      <c r="X191" s="20" t="str">
        <f>DATA!Z184</f>
        <v>Bilateral</v>
      </c>
      <c r="Y191" s="77">
        <f>DATA!AA184</f>
        <v>100400000</v>
      </c>
      <c r="Z191" s="77">
        <f>DATA!AG184</f>
        <v>0</v>
      </c>
      <c r="AA191" s="20" t="str">
        <f>DATA!AH184</f>
        <v>Tanpa keterangan</v>
      </c>
      <c r="AB191" s="37" t="str">
        <f>DATA!AI184</f>
        <v>Penyusunan R/C</v>
      </c>
      <c r="AC191" s="152">
        <f>DATA!AM184</f>
        <v>0</v>
      </c>
      <c r="AD191" s="152" t="str">
        <f>DATA!AN184</f>
        <v>dalam proses
(memiliki)</v>
      </c>
      <c r="AE191" s="152" t="str">
        <f>DATA!AO184</f>
        <v>dalam proses
(pelaksanaan)</v>
      </c>
      <c r="AF191" s="37" t="str">
        <f>DATA!AJ184</f>
        <v>Belum ada DED &amp; AMDAL</v>
      </c>
      <c r="AG191" s="114">
        <f>DATA!AK184</f>
        <v>0.5</v>
      </c>
      <c r="AH191" s="37" t="str">
        <f>DATA!AL184</f>
        <v>Belum ada lelang/tender</v>
      </c>
      <c r="AI191" s="20">
        <f>DATA!AM184</f>
        <v>0</v>
      </c>
      <c r="AJ191" s="20" t="str">
        <f>DATA!AN184</f>
        <v>dalam proses
(memiliki)</v>
      </c>
      <c r="AK191" s="20" t="str">
        <f>DATA!AO184</f>
        <v>dalam proses
(pelaksanaan)</v>
      </c>
      <c r="AL191" s="20" t="str">
        <f>DATA!AP184</f>
        <v>belum ada proses tender/lelang</v>
      </c>
      <c r="AM191" s="20" t="str">
        <f>DATA!AY184</f>
        <v>- Tahap perencanaan selesai tahun 2016, tahap penyiapan dilakukan setelah tahap perencanaan selesai.Pelaksanaan diusulkan mulai tahun 2017.
- Surat Sekjen nomor PR.02.03/I/1814/2015 tanggal 9 September 2015</v>
      </c>
      <c r="AN191" s="20" t="e">
        <f>DATA!#REF!</f>
        <v>#REF!</v>
      </c>
      <c r="AO191" s="20">
        <f>DATA!AZ184</f>
        <v>0</v>
      </c>
      <c r="AP191" s="152" t="e">
        <f>DATA!#REF!</f>
        <v>#REF!</v>
      </c>
      <c r="AQ191" s="37" t="str">
        <f>DATA!BA184</f>
        <v>Penguatan lembaga penelitian dan pengembangan kesehatan, melengkapi fasilitas laboratorium untuk mendukung deteksi dan penelitian macam-macam virus dan bakteri, peningkatan kesadaran masyarakat terhadap kesehatan dan Peningkatan SDM kesehatan</v>
      </c>
    </row>
    <row r="192" spans="1:43" s="5" customFormat="1" ht="33.75" customHeight="1">
      <c r="J192" s="28"/>
      <c r="K192" s="50"/>
      <c r="L192" s="30" t="str">
        <f>DATA!I185</f>
        <v>D</v>
      </c>
      <c r="M192" s="31" t="str">
        <f>DATA!J185</f>
        <v>Program Pelayanan Kesehatan Rujukan</v>
      </c>
      <c r="N192" s="51"/>
      <c r="O192" s="31"/>
      <c r="P192" s="31"/>
      <c r="Q192" s="31"/>
      <c r="R192" s="81">
        <f>+R193</f>
        <v>1255600000</v>
      </c>
      <c r="S192" s="81">
        <f>+S193</f>
        <v>1255600000</v>
      </c>
      <c r="T192" s="81">
        <f t="shared" ref="T192:Z192" si="25">+T193</f>
        <v>125560000</v>
      </c>
      <c r="U192" s="81">
        <f t="shared" si="25"/>
        <v>0</v>
      </c>
      <c r="V192" s="81">
        <f t="shared" si="25"/>
        <v>1381160000</v>
      </c>
      <c r="W192" s="81"/>
      <c r="X192" s="81">
        <f t="shared" si="25"/>
        <v>0</v>
      </c>
      <c r="Y192" s="81">
        <f t="shared" si="25"/>
        <v>1255600000</v>
      </c>
      <c r="Z192" s="81">
        <f t="shared" si="25"/>
        <v>-755600000</v>
      </c>
      <c r="AA192" s="31"/>
      <c r="AB192" s="32"/>
      <c r="AC192" s="32"/>
      <c r="AD192" s="32"/>
      <c r="AE192" s="32"/>
      <c r="AF192" s="32"/>
      <c r="AG192" s="32"/>
      <c r="AH192" s="32"/>
      <c r="AI192" s="31"/>
      <c r="AJ192" s="31"/>
      <c r="AK192" s="31"/>
      <c r="AL192" s="31"/>
      <c r="AM192" s="31"/>
      <c r="AN192" s="31"/>
      <c r="AO192" s="31"/>
      <c r="AP192" s="32"/>
      <c r="AQ192" s="32"/>
    </row>
    <row r="193" spans="1:43" ht="38.25">
      <c r="A193" s="10">
        <f>DATA!A185</f>
        <v>133</v>
      </c>
      <c r="B193" s="10">
        <f>DATA!B185</f>
        <v>0</v>
      </c>
      <c r="C193" s="10" t="str">
        <f>DATA!D185</f>
        <v>NON-INFRASTRUKTUR</v>
      </c>
      <c r="D193" s="10">
        <f>DATA!E185</f>
        <v>11</v>
      </c>
      <c r="E193" s="10" t="str">
        <f>DATA!F185</f>
        <v>Kementerian Kesehatan</v>
      </c>
      <c r="F193" s="10" t="str">
        <f>DATA!H185</f>
        <v>Referral Health Services Program</v>
      </c>
      <c r="G193" s="10" t="str">
        <f>DATA!I185</f>
        <v>D</v>
      </c>
      <c r="H193" s="10" t="str">
        <f>DATA!J185</f>
        <v>Program Pelayanan Kesehatan Rujukan</v>
      </c>
      <c r="I193" s="10">
        <f>DATA!K185</f>
        <v>1</v>
      </c>
      <c r="J193" s="33"/>
      <c r="K193" s="34"/>
      <c r="L193" s="35"/>
      <c r="M193" s="36">
        <f>DATA!K185</f>
        <v>1</v>
      </c>
      <c r="N193" s="37" t="str">
        <f>DATA!L185</f>
        <v>Strengthening of National Referral Hospitals, Province Referral Hospital and Vertical Technical Units</v>
      </c>
      <c r="O193" s="20">
        <f>DATA!Q185</f>
        <v>0</v>
      </c>
      <c r="P193" s="20">
        <f>DATA!R185</f>
        <v>1</v>
      </c>
      <c r="Q193" s="20">
        <f>DATA!S185</f>
        <v>107</v>
      </c>
      <c r="R193" s="77">
        <f>DATA!T185</f>
        <v>1255600000</v>
      </c>
      <c r="S193" s="88">
        <f>DATA!U185</f>
        <v>1255600000</v>
      </c>
      <c r="T193" s="77">
        <f>DATA!V185</f>
        <v>125560000</v>
      </c>
      <c r="U193" s="77">
        <f>DATA!W185</f>
        <v>0</v>
      </c>
      <c r="V193" s="77">
        <f>DATA!X185</f>
        <v>1381160000</v>
      </c>
      <c r="W193" s="78" t="str">
        <f>DATA!Y185</f>
        <v>-</v>
      </c>
      <c r="X193" s="20">
        <f>DATA!Z185</f>
        <v>0</v>
      </c>
      <c r="Y193" s="77">
        <f>DATA!AA185</f>
        <v>1255600000</v>
      </c>
      <c r="Z193" s="77">
        <f>DATA!AG185</f>
        <v>-755600000</v>
      </c>
      <c r="AA193" s="20" t="str">
        <f>DATA!AH185</f>
        <v>-</v>
      </c>
      <c r="AB193" s="37" t="str">
        <f>DATA!AI185</f>
        <v>-</v>
      </c>
      <c r="AC193" s="152" t="str">
        <f>DATA!AM185</f>
        <v>-</v>
      </c>
      <c r="AD193" s="152" t="str">
        <f>DATA!AN185</f>
        <v>-</v>
      </c>
      <c r="AE193" s="152" t="str">
        <f>DATA!AO185</f>
        <v>-</v>
      </c>
      <c r="AF193" s="37" t="str">
        <f>DATA!AJ185</f>
        <v>-</v>
      </c>
      <c r="AG193" s="37" t="str">
        <f>DATA!AK185</f>
        <v>-</v>
      </c>
      <c r="AH193" s="37" t="str">
        <f>DATA!AL185</f>
        <v>-</v>
      </c>
      <c r="AI193" s="20" t="str">
        <f>DATA!AM185</f>
        <v>-</v>
      </c>
      <c r="AJ193" s="20" t="str">
        <f>DATA!AN185</f>
        <v>-</v>
      </c>
      <c r="AK193" s="20" t="str">
        <f>DATA!AO185</f>
        <v>-</v>
      </c>
      <c r="AL193" s="20" t="str">
        <f>DATA!AP185</f>
        <v>-</v>
      </c>
      <c r="AM193" s="20" t="str">
        <f>DATA!AY185</f>
        <v>-</v>
      </c>
      <c r="AN193" s="20" t="e">
        <f>DATA!#REF!</f>
        <v>#REF!</v>
      </c>
      <c r="AO193" s="20" t="str">
        <f>DATA!AZ185</f>
        <v>-</v>
      </c>
      <c r="AP193" s="152" t="e">
        <f>DATA!#REF!</f>
        <v>#REF!</v>
      </c>
      <c r="AQ193" s="37" t="str">
        <f>DATA!BA185</f>
        <v>-</v>
      </c>
    </row>
    <row r="194" spans="1:43" s="6" customFormat="1" ht="63.75" customHeight="1">
      <c r="A194" s="6">
        <f>DATA!A186</f>
        <v>133</v>
      </c>
      <c r="B194" s="6">
        <f>DATA!B186</f>
        <v>0</v>
      </c>
      <c r="C194" s="6" t="str">
        <f>DATA!D186</f>
        <v>NON-INFRASTRUKTUR</v>
      </c>
      <c r="D194" s="6">
        <f>DATA!E186</f>
        <v>11</v>
      </c>
      <c r="E194" s="6" t="str">
        <f>DATA!F186</f>
        <v>Kementerian Kesehatan</v>
      </c>
      <c r="F194" s="6" t="str">
        <f>DATA!H186</f>
        <v>Referral Health Services Program</v>
      </c>
      <c r="G194" s="6" t="str">
        <f>DATA!I186</f>
        <v>D</v>
      </c>
      <c r="H194" s="6" t="str">
        <f>DATA!J186</f>
        <v>Program Pelayanan Kesehatan Rujukan</v>
      </c>
      <c r="I194" s="6">
        <f>DATA!K186</f>
        <v>1</v>
      </c>
      <c r="J194" s="38"/>
      <c r="K194" s="39"/>
      <c r="L194" s="39"/>
      <c r="M194" s="40"/>
      <c r="N194" s="67" t="str">
        <f>DATA!L186</f>
        <v>Strengthening of National Referral Hospitals, Province Referral Hospital and Vertical Technical Units</v>
      </c>
      <c r="O194" s="42">
        <f>DATA!Q186</f>
        <v>0.33333333333333331</v>
      </c>
      <c r="P194" s="42">
        <f>DATA!R186</f>
        <v>0</v>
      </c>
      <c r="Q194" s="42">
        <f>DATA!S186</f>
        <v>0</v>
      </c>
      <c r="R194" s="83">
        <f>DATA!T186</f>
        <v>0</v>
      </c>
      <c r="S194" s="88">
        <f>DATA!U186</f>
        <v>0</v>
      </c>
      <c r="T194" s="83">
        <f>DATA!V186</f>
        <v>0</v>
      </c>
      <c r="U194" s="83">
        <f>DATA!W186</f>
        <v>0</v>
      </c>
      <c r="V194" s="83">
        <f>DATA!X186</f>
        <v>0</v>
      </c>
      <c r="W194" s="84" t="str">
        <f>DATA!Y186</f>
        <v>IDB</v>
      </c>
      <c r="X194" s="42" t="str">
        <f>DATA!Z186</f>
        <v>Multilateral</v>
      </c>
      <c r="Y194" s="83">
        <f>DATA!AA186</f>
        <v>250000000</v>
      </c>
      <c r="Z194" s="83">
        <f>DATA!AG186</f>
        <v>0</v>
      </c>
      <c r="AA194" s="42" t="str">
        <f>DATA!AH186</f>
        <v>Tanpa keterangan</v>
      </c>
      <c r="AB194" s="67" t="str">
        <f>DATA!AI186</f>
        <v>-</v>
      </c>
      <c r="AC194" s="152">
        <f>DATA!AM186</f>
        <v>0</v>
      </c>
      <c r="AD194" s="152" t="str">
        <f>DATA!AN186</f>
        <v>belum ada keterangan</v>
      </c>
      <c r="AE194" s="152" t="str">
        <f>DATA!AO186</f>
        <v>belum ada keterangan</v>
      </c>
      <c r="AF194" s="67" t="str">
        <f>DATA!AJ186</f>
        <v>-</v>
      </c>
      <c r="AG194" s="124" t="str">
        <f>DATA!AK186</f>
        <v>-</v>
      </c>
      <c r="AH194" s="67" t="str">
        <f>DATA!AL186</f>
        <v>-</v>
      </c>
      <c r="AI194" s="42">
        <f>DATA!AM186</f>
        <v>0</v>
      </c>
      <c r="AJ194" s="42" t="str">
        <f>DATA!AN186</f>
        <v>belum ada keterangan</v>
      </c>
      <c r="AK194" s="42" t="str">
        <f>DATA!AO186</f>
        <v>belum ada keterangan</v>
      </c>
      <c r="AL194" s="42" t="str">
        <f>DATA!AP186</f>
        <v>belum ada proses tender/lelang</v>
      </c>
      <c r="AM194" s="42" t="str">
        <f>DATA!AY186</f>
        <v>- (tidak ada data)
- Surat Sekjen nomor PR.02.03/I/1814/2015 tanggal 9 September 2015</v>
      </c>
      <c r="AN194" s="42" t="e">
        <f>DATA!#REF!</f>
        <v>#REF!</v>
      </c>
      <c r="AO194" s="42">
        <f>DATA!AZ186</f>
        <v>0</v>
      </c>
      <c r="AP194" s="152" t="e">
        <f>DATA!#REF!</f>
        <v>#REF!</v>
      </c>
      <c r="AQ194" s="67" t="str">
        <f>DATA!BA186</f>
        <v>Meningkatkan sarana dan prasarana di 14 rumah sakit pusat rujukan nasional, 20 rumah sakit rujukan provinsi dan 39 UPT (unit pelaksana teknis) vertikal sebagai pusat rujukan tersier</v>
      </c>
    </row>
    <row r="195" spans="1:43" s="6" customFormat="1" ht="63.75" customHeight="1">
      <c r="A195" s="6">
        <f>DATA!A187</f>
        <v>134</v>
      </c>
      <c r="B195" s="6">
        <f>DATA!B187</f>
        <v>0</v>
      </c>
      <c r="C195" s="6" t="str">
        <f>DATA!D187</f>
        <v>NON-INFRASTRUKTUR</v>
      </c>
      <c r="D195" s="6">
        <f>DATA!E187</f>
        <v>11</v>
      </c>
      <c r="E195" s="6" t="str">
        <f>DATA!F187</f>
        <v>Kementerian Kesehatan</v>
      </c>
      <c r="F195" s="6" t="str">
        <f>DATA!H187</f>
        <v>Referral Health Services Program</v>
      </c>
      <c r="G195" s="6" t="str">
        <f>DATA!I187</f>
        <v>D</v>
      </c>
      <c r="H195" s="6" t="str">
        <f>DATA!J187</f>
        <v>Program Pelayanan Kesehatan Rujukan</v>
      </c>
      <c r="I195" s="6">
        <f>DATA!K187</f>
        <v>1</v>
      </c>
      <c r="J195" s="38"/>
      <c r="K195" s="39"/>
      <c r="L195" s="39"/>
      <c r="M195" s="38"/>
      <c r="N195" s="67" t="str">
        <f>DATA!L187</f>
        <v>Strengthening of National Referral Hospitals, Province Referral Hospital and Vertical Technical Units</v>
      </c>
      <c r="O195" s="42">
        <f>DATA!Q187</f>
        <v>0.33333333333333331</v>
      </c>
      <c r="P195" s="42">
        <f>DATA!R187</f>
        <v>0</v>
      </c>
      <c r="Q195" s="42">
        <f>DATA!S187</f>
        <v>0</v>
      </c>
      <c r="R195" s="83">
        <f>DATA!T187</f>
        <v>0</v>
      </c>
      <c r="S195" s="88">
        <f>DATA!U187</f>
        <v>0</v>
      </c>
      <c r="T195" s="83">
        <f>DATA!V187</f>
        <v>0</v>
      </c>
      <c r="U195" s="83">
        <f>DATA!W187</f>
        <v>0</v>
      </c>
      <c r="V195" s="83">
        <f>DATA!X187</f>
        <v>0</v>
      </c>
      <c r="W195" s="84" t="str">
        <f>DATA!Y187</f>
        <v>Jerman (KfW)</v>
      </c>
      <c r="X195" s="42" t="str">
        <f>DATA!Z187</f>
        <v>Bilateral</v>
      </c>
      <c r="Y195" s="83">
        <f>DATA!AA187</f>
        <v>250000000</v>
      </c>
      <c r="Z195" s="83">
        <f>DATA!AG187</f>
        <v>0</v>
      </c>
      <c r="AA195" s="42" t="str">
        <f>DATA!AH187</f>
        <v>Tanpa keterangan</v>
      </c>
      <c r="AB195" s="67" t="str">
        <f>DATA!AI187</f>
        <v>-</v>
      </c>
      <c r="AC195" s="152">
        <f>DATA!AM187</f>
        <v>0</v>
      </c>
      <c r="AD195" s="152" t="str">
        <f>DATA!AN187</f>
        <v>belum ada keterangan</v>
      </c>
      <c r="AE195" s="152" t="str">
        <f>DATA!AO187</f>
        <v>belum ada keterangan</v>
      </c>
      <c r="AF195" s="67" t="str">
        <f>DATA!AJ187</f>
        <v>-</v>
      </c>
      <c r="AG195" s="67" t="str">
        <f>DATA!AK187</f>
        <v>-</v>
      </c>
      <c r="AH195" s="67" t="str">
        <f>DATA!AL187</f>
        <v>-</v>
      </c>
      <c r="AI195" s="42">
        <f>DATA!AM187</f>
        <v>0</v>
      </c>
      <c r="AJ195" s="42" t="str">
        <f>DATA!AN187</f>
        <v>belum ada keterangan</v>
      </c>
      <c r="AK195" s="42" t="str">
        <f>DATA!AO187</f>
        <v>belum ada keterangan</v>
      </c>
      <c r="AL195" s="42" t="str">
        <f>DATA!AP187</f>
        <v>belum ada proses tender/lelang</v>
      </c>
      <c r="AM195" s="42" t="str">
        <f>DATA!AY187</f>
        <v>- Keg ini bukan area prioritas dari Pem. Jerman
- Surat Sekjen nomor PR.02.03/I/1814/2015 tanggal 9 September 2015</v>
      </c>
      <c r="AN195" s="42" t="e">
        <f>DATA!#REF!</f>
        <v>#REF!</v>
      </c>
      <c r="AO195" s="42">
        <f>DATA!AZ187</f>
        <v>0</v>
      </c>
      <c r="AP195" s="152" t="e">
        <f>DATA!#REF!</f>
        <v>#REF!</v>
      </c>
      <c r="AQ195" s="67" t="str">
        <f>DATA!BA187</f>
        <v>Meningkatkan sarana dan prasarana di 14 rumah sakit pusat rujukan nasional, 20 rumah sakit rujukan provinsi dan 39 UPT (unit pelaksana teknis) vertikal sebagai pusat rujukan tersier</v>
      </c>
    </row>
    <row r="196" spans="1:43" s="6" customFormat="1" ht="63.75" customHeight="1">
      <c r="A196" s="6">
        <f>DATA!A188</f>
        <v>135</v>
      </c>
      <c r="B196" s="6">
        <f>DATA!B188</f>
        <v>0</v>
      </c>
      <c r="C196" s="6" t="str">
        <f>DATA!D188</f>
        <v>NON-INFRASTRUKTUR</v>
      </c>
      <c r="D196" s="6">
        <f>DATA!E188</f>
        <v>11</v>
      </c>
      <c r="E196" s="6" t="str">
        <f>DATA!F188</f>
        <v>Kementerian Kesehatan</v>
      </c>
      <c r="F196" s="6" t="str">
        <f>DATA!H188</f>
        <v>Referral Health Services Program</v>
      </c>
      <c r="G196" s="6" t="str">
        <f>DATA!I188</f>
        <v>D</v>
      </c>
      <c r="H196" s="6" t="str">
        <f>DATA!J188</f>
        <v>Program Pelayanan Kesehatan Rujukan</v>
      </c>
      <c r="I196" s="6">
        <f>DATA!K188</f>
        <v>1</v>
      </c>
      <c r="J196" s="38"/>
      <c r="K196" s="71"/>
      <c r="L196" s="71"/>
      <c r="M196" s="43"/>
      <c r="N196" s="67" t="str">
        <f>DATA!L188</f>
        <v>Strengthening of National Referral Hospitals, Province Referral Hospital and Vertical Technical Units</v>
      </c>
      <c r="O196" s="42">
        <f>DATA!Q188</f>
        <v>0.33333333333333331</v>
      </c>
      <c r="P196" s="42">
        <f>DATA!R188</f>
        <v>0</v>
      </c>
      <c r="Q196" s="42">
        <f>DATA!S188</f>
        <v>0</v>
      </c>
      <c r="R196" s="83">
        <f>DATA!T188</f>
        <v>0</v>
      </c>
      <c r="S196" s="88">
        <f>DATA!U188</f>
        <v>0</v>
      </c>
      <c r="T196" s="83">
        <f>DATA!V188</f>
        <v>0</v>
      </c>
      <c r="U196" s="83">
        <f>DATA!W188</f>
        <v>0</v>
      </c>
      <c r="V196" s="83">
        <f>DATA!X188</f>
        <v>0</v>
      </c>
      <c r="W196" s="84" t="str">
        <f>DATA!Y188</f>
        <v>Belum Ada Indikasi</v>
      </c>
      <c r="X196" s="42" t="str">
        <f>DATA!Z188</f>
        <v>Belum Ada Indikasi</v>
      </c>
      <c r="Y196" s="83">
        <f>DATA!AA188</f>
        <v>755600000</v>
      </c>
      <c r="Z196" s="83">
        <f>DATA!AG188</f>
        <v>-755600000</v>
      </c>
      <c r="AA196" s="42" t="str">
        <f>DATA!AH188</f>
        <v>Tanpa keterangan</v>
      </c>
      <c r="AB196" s="67" t="str">
        <f>DATA!AI188</f>
        <v>-</v>
      </c>
      <c r="AC196" s="152">
        <f>DATA!AM188</f>
        <v>0</v>
      </c>
      <c r="AD196" s="152" t="str">
        <f>DATA!AN188</f>
        <v>belum ada keterangan</v>
      </c>
      <c r="AE196" s="152" t="str">
        <f>DATA!AO188</f>
        <v>belum ada keterangan</v>
      </c>
      <c r="AF196" s="67" t="str">
        <f>DATA!AJ188</f>
        <v>-</v>
      </c>
      <c r="AG196" s="67" t="str">
        <f>DATA!AK188</f>
        <v>-</v>
      </c>
      <c r="AH196" s="67" t="str">
        <f>DATA!AL188</f>
        <v>-</v>
      </c>
      <c r="AI196" s="42">
        <f>DATA!AM188</f>
        <v>0</v>
      </c>
      <c r="AJ196" s="42" t="str">
        <f>DATA!AN188</f>
        <v>belum ada keterangan</v>
      </c>
      <c r="AK196" s="42" t="str">
        <f>DATA!AO188</f>
        <v>belum ada keterangan</v>
      </c>
      <c r="AL196" s="42" t="str">
        <f>DATA!AP188</f>
        <v>belum ada proses tender/lelang</v>
      </c>
      <c r="AM196" s="42" t="str">
        <f>DATA!AY188</f>
        <v>Surat Sekjen nomor PR.02.03/I/1814/2015 tanggal 9 September 2015</v>
      </c>
      <c r="AN196" s="42" t="e">
        <f>DATA!#REF!</f>
        <v>#REF!</v>
      </c>
      <c r="AO196" s="42">
        <f>DATA!AZ188</f>
        <v>0</v>
      </c>
      <c r="AP196" s="152" t="e">
        <f>DATA!#REF!</f>
        <v>#REF!</v>
      </c>
      <c r="AQ196" s="67" t="str">
        <f>DATA!BA188</f>
        <v>Meningkatkan sarana dan prasarana di 14 rumah sakit pusat rujukan nasional, 20 rumah sakit rujukan provinsi dan 39 UPT (unit pelaksana teknis) vertikal sebagai pusat rujukan tersier</v>
      </c>
    </row>
    <row r="197" spans="1:43" s="4" customFormat="1" ht="24.95" customHeight="1">
      <c r="J197" s="107"/>
      <c r="K197" s="25">
        <f>DATA!E189</f>
        <v>12</v>
      </c>
      <c r="L197" s="108" t="str">
        <f>DATA!F189</f>
        <v>Pemprov. Aceh</v>
      </c>
      <c r="M197" s="25"/>
      <c r="N197" s="27"/>
      <c r="O197" s="26"/>
      <c r="P197" s="26"/>
      <c r="Q197" s="26"/>
      <c r="R197" s="80">
        <f>+R198</f>
        <v>106800000</v>
      </c>
      <c r="S197" s="80">
        <f>+S198</f>
        <v>106800000</v>
      </c>
      <c r="T197" s="80">
        <f t="shared" ref="T197:Z198" si="26">+T198</f>
        <v>10700000</v>
      </c>
      <c r="U197" s="80">
        <f t="shared" si="26"/>
        <v>0</v>
      </c>
      <c r="V197" s="80">
        <f t="shared" si="26"/>
        <v>117500000</v>
      </c>
      <c r="W197" s="80"/>
      <c r="X197" s="80" t="str">
        <f t="shared" si="26"/>
        <v>Bilateral</v>
      </c>
      <c r="Y197" s="80">
        <f t="shared" si="26"/>
        <v>106800000</v>
      </c>
      <c r="Z197" s="80">
        <f t="shared" si="26"/>
        <v>0</v>
      </c>
      <c r="AA197" s="26"/>
      <c r="AB197" s="27"/>
      <c r="AC197" s="27"/>
      <c r="AD197" s="27"/>
      <c r="AE197" s="27"/>
      <c r="AF197" s="27"/>
      <c r="AG197" s="27"/>
      <c r="AH197" s="27"/>
      <c r="AI197" s="26"/>
      <c r="AJ197" s="26"/>
      <c r="AK197" s="26"/>
      <c r="AL197" s="26"/>
      <c r="AM197" s="26"/>
      <c r="AN197" s="26"/>
      <c r="AO197" s="26"/>
      <c r="AP197" s="27"/>
      <c r="AQ197" s="27"/>
    </row>
    <row r="198" spans="1:43" s="5" customFormat="1" ht="33.75" customHeight="1">
      <c r="J198" s="28"/>
      <c r="K198" s="29"/>
      <c r="L198" s="30" t="str">
        <f>DATA!I189</f>
        <v>A</v>
      </c>
      <c r="M198" s="31" t="str">
        <f>DATA!J189</f>
        <v>Program Pelayanan Kesehatan Rujukan</v>
      </c>
      <c r="N198" s="51"/>
      <c r="O198" s="31"/>
      <c r="P198" s="31"/>
      <c r="Q198" s="31"/>
      <c r="R198" s="81">
        <f>+R199</f>
        <v>106800000</v>
      </c>
      <c r="S198" s="81">
        <f>+S199</f>
        <v>106800000</v>
      </c>
      <c r="T198" s="81">
        <f t="shared" si="26"/>
        <v>10700000</v>
      </c>
      <c r="U198" s="81">
        <f t="shared" si="26"/>
        <v>0</v>
      </c>
      <c r="V198" s="81">
        <f t="shared" si="26"/>
        <v>117500000</v>
      </c>
      <c r="W198" s="81"/>
      <c r="X198" s="81" t="str">
        <f t="shared" si="26"/>
        <v>Bilateral</v>
      </c>
      <c r="Y198" s="81">
        <f t="shared" si="26"/>
        <v>106800000</v>
      </c>
      <c r="Z198" s="81">
        <f t="shared" si="26"/>
        <v>0</v>
      </c>
      <c r="AA198" s="31"/>
      <c r="AB198" s="32"/>
      <c r="AC198" s="32"/>
      <c r="AD198" s="32"/>
      <c r="AE198" s="32"/>
      <c r="AF198" s="32"/>
      <c r="AG198" s="32"/>
      <c r="AH198" s="32"/>
      <c r="AI198" s="31"/>
      <c r="AJ198" s="31"/>
      <c r="AK198" s="31"/>
      <c r="AL198" s="31"/>
      <c r="AM198" s="31"/>
      <c r="AN198" s="31"/>
      <c r="AO198" s="31"/>
      <c r="AP198" s="32"/>
      <c r="AQ198" s="32"/>
    </row>
    <row r="199" spans="1:43" ht="63.75" customHeight="1">
      <c r="A199" s="10">
        <f>DATA!A189</f>
        <v>136</v>
      </c>
      <c r="B199" s="10">
        <f>DATA!B189</f>
        <v>0</v>
      </c>
      <c r="C199" s="10" t="str">
        <f>DATA!D189</f>
        <v>NON-INFRASTRUKTUR</v>
      </c>
      <c r="D199" s="10">
        <f>DATA!E189</f>
        <v>12</v>
      </c>
      <c r="E199" s="10" t="str">
        <f>DATA!F189</f>
        <v>Pemprov. Aceh</v>
      </c>
      <c r="F199" s="10" t="str">
        <f>DATA!H189</f>
        <v>Health Services Referral Program</v>
      </c>
      <c r="G199" s="10" t="str">
        <f>DATA!I189</f>
        <v>A</v>
      </c>
      <c r="H199" s="10" t="str">
        <f>DATA!J189</f>
        <v>Program Pelayanan Kesehatan Rujukan</v>
      </c>
      <c r="I199" s="10">
        <f>DATA!K189</f>
        <v>1</v>
      </c>
      <c r="J199" s="33"/>
      <c r="K199" s="54"/>
      <c r="L199" s="20"/>
      <c r="M199" s="36">
        <f>DATA!K189</f>
        <v>1</v>
      </c>
      <c r="N199" s="37" t="str">
        <f>DATA!L189</f>
        <v>Reengineering and Improving The Hospital and Referral System in Selected Aceh Districts</v>
      </c>
      <c r="O199" s="20">
        <f>DATA!Q189</f>
        <v>1</v>
      </c>
      <c r="P199" s="20">
        <f>DATA!R189</f>
        <v>1</v>
      </c>
      <c r="Q199" s="20">
        <f>DATA!S189</f>
        <v>108</v>
      </c>
      <c r="R199" s="77">
        <f>DATA!T189</f>
        <v>106800000</v>
      </c>
      <c r="S199" s="88">
        <f>DATA!U189</f>
        <v>106800000</v>
      </c>
      <c r="T199" s="77">
        <f>DATA!V189</f>
        <v>10700000</v>
      </c>
      <c r="U199" s="77">
        <f>DATA!W189</f>
        <v>0</v>
      </c>
      <c r="V199" s="77">
        <f>DATA!X189</f>
        <v>117500000</v>
      </c>
      <c r="W199" s="78" t="str">
        <f>DATA!Y189</f>
        <v>Jerman (KfW)</v>
      </c>
      <c r="X199" s="20" t="str">
        <f>DATA!Z189</f>
        <v>Bilateral</v>
      </c>
      <c r="Y199" s="77">
        <f>DATA!AA189</f>
        <v>106800000</v>
      </c>
      <c r="Z199" s="77">
        <f>DATA!AG189</f>
        <v>0</v>
      </c>
      <c r="AA199" s="20" t="str">
        <f>DATA!AH189</f>
        <v>Tanpa keterangan</v>
      </c>
      <c r="AB199" s="37" t="str">
        <f>DATA!AI189</f>
        <v xml:space="preserve">- Sudah ada R/C
- Green Book 2015
</v>
      </c>
      <c r="AC199" s="152" t="str">
        <f>DATA!AM189</f>
        <v>2016; 2015</v>
      </c>
      <c r="AD199" s="152" t="str">
        <f>DATA!AN189</f>
        <v>dalam proses
(memiliki FS dan DED)</v>
      </c>
      <c r="AE199" s="152" t="str">
        <f>DATA!AO189</f>
        <v>siap</v>
      </c>
      <c r="AF199" s="37" t="str">
        <f>DATA!AJ189</f>
        <v>FS, DED</v>
      </c>
      <c r="AG199" s="114">
        <f>DATA!AK189</f>
        <v>1</v>
      </c>
      <c r="AH199" s="37" t="str">
        <f>DATA!AL189</f>
        <v>-</v>
      </c>
      <c r="AI199" s="20" t="str">
        <f>DATA!AM189</f>
        <v>2016; 2015</v>
      </c>
      <c r="AJ199" s="20" t="str">
        <f>DATA!AN189</f>
        <v>dalam proses
(memiliki FS dan DED)</v>
      </c>
      <c r="AK199" s="20" t="str">
        <f>DATA!AO189</f>
        <v>siap</v>
      </c>
      <c r="AL199" s="20" t="str">
        <f>DATA!AP189</f>
        <v>belum ada proses tender/lelang</v>
      </c>
      <c r="AM199" s="20" t="str">
        <f>DATA!AY189</f>
        <v>Surat Kepala Dinas Kesehatan Prov. Aceh nomor 443.02/998/V/2015 tanggal 27 April 2015 tentang penyampaian dokumen kesiapan (RC)</v>
      </c>
      <c r="AN199" s="20" t="e">
        <f>DATA!#REF!</f>
        <v>#REF!</v>
      </c>
      <c r="AO199" s="20">
        <f>DATA!AZ189</f>
        <v>0</v>
      </c>
      <c r="AP199" s="152" t="e">
        <f>DATA!#REF!</f>
        <v>#REF!</v>
      </c>
      <c r="AQ199" s="37" t="str">
        <f>DATA!BA189</f>
        <v xml:space="preserve">Pengembangan infrastruktur (pembangunan rumah sakit baru, rehabilitasi rumah sakit lama, dan kantor dinas kesehatan, pengadaan peralatan dan operasional, dan peningkatan SDM rumah sakit </v>
      </c>
    </row>
    <row r="200" spans="1:43" s="4" customFormat="1" ht="24.95" customHeight="1">
      <c r="J200" s="107"/>
      <c r="K200" s="25">
        <f>DATA!E190</f>
        <v>13</v>
      </c>
      <c r="L200" s="108" t="str">
        <f>DATA!F190</f>
        <v>Kementerian Pertanian</v>
      </c>
      <c r="M200" s="25"/>
      <c r="N200" s="27"/>
      <c r="O200" s="26"/>
      <c r="P200" s="26"/>
      <c r="Q200" s="26"/>
      <c r="R200" s="80">
        <f>+R201+R210</f>
        <v>1445742600</v>
      </c>
      <c r="S200" s="80">
        <f>+S201+S210</f>
        <v>1445742600</v>
      </c>
      <c r="T200" s="80">
        <f t="shared" ref="T200:Z200" si="27">+T201+T210</f>
        <v>154464300</v>
      </c>
      <c r="U200" s="80">
        <f t="shared" si="27"/>
        <v>500000</v>
      </c>
      <c r="V200" s="80">
        <f t="shared" si="27"/>
        <v>1600706900</v>
      </c>
      <c r="W200" s="80"/>
      <c r="X200" s="80" t="e">
        <f t="shared" si="27"/>
        <v>#VALUE!</v>
      </c>
      <c r="Y200" s="80">
        <f t="shared" si="27"/>
        <v>1445742600</v>
      </c>
      <c r="Z200" s="80">
        <f t="shared" si="27"/>
        <v>-746842600</v>
      </c>
      <c r="AA200" s="26"/>
      <c r="AB200" s="27"/>
      <c r="AC200" s="27"/>
      <c r="AD200" s="27"/>
      <c r="AE200" s="27"/>
      <c r="AF200" s="27"/>
      <c r="AG200" s="27"/>
      <c r="AH200" s="27"/>
      <c r="AI200" s="26"/>
      <c r="AJ200" s="26"/>
      <c r="AK200" s="26"/>
      <c r="AL200" s="26"/>
      <c r="AM200" s="26"/>
      <c r="AN200" s="26"/>
      <c r="AO200" s="26"/>
      <c r="AP200" s="27"/>
      <c r="AQ200" s="27"/>
    </row>
    <row r="201" spans="1:43" s="5" customFormat="1" ht="33.75" customHeight="1">
      <c r="J201" s="28"/>
      <c r="K201" s="29"/>
      <c r="L201" s="30" t="str">
        <f>DATA!I190</f>
        <v>A</v>
      </c>
      <c r="M201" s="31" t="str">
        <f>DATA!J190</f>
        <v>Program Penyediaan dan Pengembangan Prasarana dan Sarana Pertanian</v>
      </c>
      <c r="N201" s="51"/>
      <c r="O201" s="31"/>
      <c r="P201" s="31"/>
      <c r="Q201" s="31"/>
      <c r="R201" s="81">
        <f>+R202+R206</f>
        <v>1346842600</v>
      </c>
      <c r="S201" s="81">
        <f>+S202+S206</f>
        <v>1346842600</v>
      </c>
      <c r="T201" s="81">
        <f t="shared" ref="T201:Z201" si="28">+T202+T206</f>
        <v>134684300</v>
      </c>
      <c r="U201" s="81">
        <f t="shared" si="28"/>
        <v>0</v>
      </c>
      <c r="V201" s="81">
        <f t="shared" si="28"/>
        <v>1481526900</v>
      </c>
      <c r="W201" s="81"/>
      <c r="X201" s="81">
        <f t="shared" si="28"/>
        <v>0</v>
      </c>
      <c r="Y201" s="81">
        <f t="shared" si="28"/>
        <v>1346842600</v>
      </c>
      <c r="Z201" s="81">
        <f t="shared" si="28"/>
        <v>-746842600</v>
      </c>
      <c r="AA201" s="31"/>
      <c r="AB201" s="32"/>
      <c r="AC201" s="32"/>
      <c r="AD201" s="32"/>
      <c r="AE201" s="32"/>
      <c r="AF201" s="32"/>
      <c r="AG201" s="32"/>
      <c r="AH201" s="32"/>
      <c r="AI201" s="31"/>
      <c r="AJ201" s="31"/>
      <c r="AK201" s="31"/>
      <c r="AL201" s="31"/>
      <c r="AM201" s="31"/>
      <c r="AN201" s="31"/>
      <c r="AO201" s="31"/>
      <c r="AP201" s="32"/>
      <c r="AQ201" s="32"/>
    </row>
    <row r="202" spans="1:43" ht="24.75" customHeight="1">
      <c r="A202" s="10">
        <f>DATA!A190</f>
        <v>137</v>
      </c>
      <c r="B202" s="10">
        <f>DATA!B190</f>
        <v>0</v>
      </c>
      <c r="C202" s="10" t="str">
        <f>DATA!D190</f>
        <v>NON-INFRASTRUKTUR</v>
      </c>
      <c r="D202" s="10">
        <f>DATA!E190</f>
        <v>13</v>
      </c>
      <c r="E202" s="10" t="str">
        <f>DATA!F190</f>
        <v>Kementerian Pertanian</v>
      </c>
      <c r="F202" s="10" t="str">
        <f>DATA!H190</f>
        <v>Provision and Development of Agriculture Infrastructure Program</v>
      </c>
      <c r="G202" s="10" t="str">
        <f>DATA!I190</f>
        <v>A</v>
      </c>
      <c r="H202" s="10" t="str">
        <f>DATA!J190</f>
        <v>Program Penyediaan dan Pengembangan Prasarana dan Sarana Pertanian</v>
      </c>
      <c r="I202" s="10">
        <f>DATA!K190</f>
        <v>1</v>
      </c>
      <c r="J202" s="33"/>
      <c r="K202" s="34"/>
      <c r="L202" s="35"/>
      <c r="M202" s="36">
        <f>DATA!K190</f>
        <v>1</v>
      </c>
      <c r="N202" s="37" t="str">
        <f>DATA!L190</f>
        <v>Extensification of New Paddy Field Area</v>
      </c>
      <c r="O202" s="20">
        <f>DATA!Q190</f>
        <v>0</v>
      </c>
      <c r="P202" s="20">
        <f>DATA!R190</f>
        <v>1</v>
      </c>
      <c r="Q202" s="20">
        <f>DATA!S190</f>
        <v>109</v>
      </c>
      <c r="R202" s="77">
        <f>DATA!T190</f>
        <v>811166600</v>
      </c>
      <c r="S202" s="88">
        <f>DATA!U190</f>
        <v>811166600</v>
      </c>
      <c r="T202" s="77">
        <f>DATA!V190</f>
        <v>81116700</v>
      </c>
      <c r="U202" s="77">
        <f>DATA!W190</f>
        <v>0</v>
      </c>
      <c r="V202" s="77">
        <f>DATA!X190</f>
        <v>892283300</v>
      </c>
      <c r="W202" s="78" t="str">
        <f>DATA!Y190</f>
        <v>-</v>
      </c>
      <c r="X202" s="20">
        <f>DATA!Z190</f>
        <v>0</v>
      </c>
      <c r="Y202" s="77">
        <f>DATA!AA190</f>
        <v>811166600</v>
      </c>
      <c r="Z202" s="77">
        <f>DATA!AG190</f>
        <v>-461166600</v>
      </c>
      <c r="AA202" s="20" t="str">
        <f>DATA!AH190</f>
        <v>-</v>
      </c>
      <c r="AB202" s="152" t="str">
        <f>DATA!AI190</f>
        <v>-</v>
      </c>
      <c r="AC202" s="152" t="str">
        <f>DATA!AM190</f>
        <v>-</v>
      </c>
      <c r="AD202" s="152" t="str">
        <f>DATA!AN190</f>
        <v>-</v>
      </c>
      <c r="AE202" s="152" t="str">
        <f>DATA!AO190</f>
        <v>-</v>
      </c>
      <c r="AF202" s="37" t="str">
        <f>DATA!AJ190</f>
        <v>-</v>
      </c>
      <c r="AG202" s="37" t="str">
        <f>DATA!AK190</f>
        <v>-</v>
      </c>
      <c r="AH202" s="37" t="str">
        <f>DATA!AL190</f>
        <v>-</v>
      </c>
      <c r="AI202" s="20" t="str">
        <f>DATA!AM190</f>
        <v>-</v>
      </c>
      <c r="AJ202" s="20" t="str">
        <f>DATA!AN190</f>
        <v>-</v>
      </c>
      <c r="AK202" s="20" t="str">
        <f>DATA!AO190</f>
        <v>-</v>
      </c>
      <c r="AL202" s="20" t="str">
        <f>DATA!AP190</f>
        <v>-</v>
      </c>
      <c r="AM202" s="20" t="str">
        <f>DATA!AY190</f>
        <v>-</v>
      </c>
      <c r="AN202" s="20" t="e">
        <f>DATA!#REF!</f>
        <v>#REF!</v>
      </c>
      <c r="AO202" s="20">
        <f>DATA!AZ190</f>
        <v>0</v>
      </c>
      <c r="AP202" s="152" t="e">
        <f>DATA!#REF!</f>
        <v>#REF!</v>
      </c>
      <c r="AQ202" s="37" t="str">
        <f>DATA!BA190</f>
        <v>-</v>
      </c>
    </row>
    <row r="203" spans="1:43" s="6" customFormat="1" ht="76.5">
      <c r="A203" s="6">
        <f>DATA!A191</f>
        <v>137</v>
      </c>
      <c r="B203" s="6">
        <f>DATA!B191</f>
        <v>0</v>
      </c>
      <c r="C203" s="6" t="str">
        <f>DATA!D191</f>
        <v>NON-INFRASTRUKTUR</v>
      </c>
      <c r="D203" s="6">
        <f>DATA!E191</f>
        <v>13</v>
      </c>
      <c r="E203" s="6" t="str">
        <f>DATA!F191</f>
        <v>Kementerian Pertanian</v>
      </c>
      <c r="F203" s="6" t="str">
        <f>DATA!H191</f>
        <v>Provision and Development of Agriculture Infrastructure Program</v>
      </c>
      <c r="G203" s="6" t="str">
        <f>DATA!I191</f>
        <v>A</v>
      </c>
      <c r="H203" s="6" t="str">
        <f>DATA!J191</f>
        <v>Program Penyediaan dan Pengembangan Prasarana dan Sarana Pertanian</v>
      </c>
      <c r="I203" s="6">
        <f>DATA!K191</f>
        <v>1</v>
      </c>
      <c r="J203" s="38"/>
      <c r="K203" s="39"/>
      <c r="L203" s="39"/>
      <c r="M203" s="40"/>
      <c r="N203" s="67" t="str">
        <f>DATA!L191</f>
        <v>Extensification of New Paddy Field Area</v>
      </c>
      <c r="O203" s="42">
        <f>DATA!Q191</f>
        <v>0.33333333333333331</v>
      </c>
      <c r="P203" s="42">
        <f>DATA!R191</f>
        <v>0</v>
      </c>
      <c r="Q203" s="42">
        <f>DATA!S191</f>
        <v>0</v>
      </c>
      <c r="R203" s="83">
        <f>DATA!T191</f>
        <v>0</v>
      </c>
      <c r="S203" s="88">
        <f>DATA!U191</f>
        <v>0</v>
      </c>
      <c r="T203" s="83">
        <f>DATA!V191</f>
        <v>0</v>
      </c>
      <c r="U203" s="83">
        <f>DATA!W191</f>
        <v>0</v>
      </c>
      <c r="V203" s="83">
        <f>DATA!X191</f>
        <v>0</v>
      </c>
      <c r="W203" s="84" t="str">
        <f>DATA!Y191</f>
        <v>Bank Dunia</v>
      </c>
      <c r="X203" s="42" t="str">
        <f>DATA!Z191</f>
        <v>Multilateral</v>
      </c>
      <c r="Y203" s="83">
        <f>DATA!AA191</f>
        <v>225000000</v>
      </c>
      <c r="Z203" s="83">
        <f>DATA!AG191</f>
        <v>0</v>
      </c>
      <c r="AA203" s="42" t="str">
        <f>DATA!AH191</f>
        <v>Tanpa keterangan</v>
      </c>
      <c r="AB203" s="67" t="str">
        <f>DATA!AI191</f>
        <v>-</v>
      </c>
      <c r="AC203" s="152">
        <f>DATA!AM191</f>
        <v>0</v>
      </c>
      <c r="AD203" s="152" t="str">
        <f>DATA!AN191</f>
        <v>dalam proses
(penyusunan FS)</v>
      </c>
      <c r="AE203" s="152" t="str">
        <f>DATA!AO191</f>
        <v>belum ada keterangan</v>
      </c>
      <c r="AF203" s="67" t="str">
        <f>DATA!AJ191</f>
        <v xml:space="preserve">TOR </v>
      </c>
      <c r="AG203" s="115">
        <f>DATA!AK191</f>
        <v>0</v>
      </c>
      <c r="AH203" s="67" t="str">
        <f>DATA!AL191</f>
        <v>-</v>
      </c>
      <c r="AI203" s="42">
        <f>DATA!AM191</f>
        <v>0</v>
      </c>
      <c r="AJ203" s="42" t="str">
        <f>DATA!AN191</f>
        <v>dalam proses
(penyusunan FS)</v>
      </c>
      <c r="AK203" s="42" t="str">
        <f>DATA!AO191</f>
        <v>belum ada keterangan</v>
      </c>
      <c r="AL203" s="42" t="str">
        <f>DATA!AP191</f>
        <v>belum ada proses tender/lelang</v>
      </c>
      <c r="AM203" s="42" t="str">
        <f>DATA!AY191</f>
        <v>Surat Plh. Kepala Pusat Kem.Pertanian nomor 246/KL.230/A.6.3/09/2015 tgl 9 September 2015</v>
      </c>
      <c r="AN203" s="42" t="e">
        <f>DATA!#REF!</f>
        <v>#REF!</v>
      </c>
      <c r="AO203" s="42">
        <f>DATA!AZ191</f>
        <v>0</v>
      </c>
      <c r="AP203" s="152" t="e">
        <f>DATA!#REF!</f>
        <v>#REF!</v>
      </c>
      <c r="AQ203" s="67" t="str">
        <f>DATA!BA191</f>
        <v>Pembentukan lahan pertanian padi baru di 34 provinsi, meliputi: identifikasi calon petani dan calon lokasi (CPCL), survey/investigasi, penetapan lokasi, penyiapan lahan (land clearing and land leveling), bantuan sarana produksi, dan pertanian untuk budidaya padi.</v>
      </c>
    </row>
    <row r="204" spans="1:43" s="6" customFormat="1" ht="76.5">
      <c r="A204" s="6">
        <f>DATA!A192</f>
        <v>138</v>
      </c>
      <c r="B204" s="6">
        <f>DATA!B192</f>
        <v>0</v>
      </c>
      <c r="C204" s="6" t="str">
        <f>DATA!D192</f>
        <v>NON-INFRASTRUKTUR</v>
      </c>
      <c r="D204" s="6">
        <f>DATA!E192</f>
        <v>13</v>
      </c>
      <c r="E204" s="6" t="str">
        <f>DATA!F192</f>
        <v>Kementerian Pertanian</v>
      </c>
      <c r="F204" s="6" t="str">
        <f>DATA!H192</f>
        <v>Provision and Development of Agriculture Infrastructure Program</v>
      </c>
      <c r="G204" s="6" t="str">
        <f>DATA!I192</f>
        <v>A</v>
      </c>
      <c r="H204" s="6" t="str">
        <f>DATA!J192</f>
        <v>Program Penyediaan dan Pengembangan Prasarana dan Sarana Pertanian</v>
      </c>
      <c r="I204" s="6">
        <f>DATA!K192</f>
        <v>1</v>
      </c>
      <c r="J204" s="38"/>
      <c r="K204" s="39"/>
      <c r="L204" s="39"/>
      <c r="M204" s="38"/>
      <c r="N204" s="67" t="str">
        <f>DATA!L192</f>
        <v>Extensification of New Paddy Field Area</v>
      </c>
      <c r="O204" s="42">
        <f>DATA!Q192</f>
        <v>0.33333333333333331</v>
      </c>
      <c r="P204" s="42">
        <f>DATA!R192</f>
        <v>0</v>
      </c>
      <c r="Q204" s="42">
        <f>DATA!S192</f>
        <v>0</v>
      </c>
      <c r="R204" s="83">
        <f>DATA!T192</f>
        <v>0</v>
      </c>
      <c r="S204" s="88">
        <f>DATA!U192</f>
        <v>0</v>
      </c>
      <c r="T204" s="83">
        <f>DATA!V192</f>
        <v>0</v>
      </c>
      <c r="U204" s="83">
        <f>DATA!W192</f>
        <v>0</v>
      </c>
      <c r="V204" s="83">
        <f>DATA!X192</f>
        <v>0</v>
      </c>
      <c r="W204" s="84" t="str">
        <f>DATA!Y192</f>
        <v>IDB</v>
      </c>
      <c r="X204" s="42" t="str">
        <f>DATA!Z192</f>
        <v>Multilateral</v>
      </c>
      <c r="Y204" s="83">
        <f>DATA!AA192</f>
        <v>125000000</v>
      </c>
      <c r="Z204" s="83">
        <f>DATA!AG192</f>
        <v>0</v>
      </c>
      <c r="AA204" s="42" t="str">
        <f>DATA!AH192</f>
        <v>Tanpa keterangan</v>
      </c>
      <c r="AB204" s="67" t="str">
        <f>DATA!AI192</f>
        <v>-</v>
      </c>
      <c r="AC204" s="152">
        <f>DATA!AM192</f>
        <v>0</v>
      </c>
      <c r="AD204" s="152" t="str">
        <f>DATA!AN192</f>
        <v>dalam proses
(penyusunan FS)</v>
      </c>
      <c r="AE204" s="152" t="str">
        <f>DATA!AO192</f>
        <v>belum ada keterangan</v>
      </c>
      <c r="AF204" s="67" t="str">
        <f>DATA!AJ192</f>
        <v>-</v>
      </c>
      <c r="AG204" s="115" t="str">
        <f>DATA!AK192</f>
        <v>-</v>
      </c>
      <c r="AH204" s="67" t="str">
        <f>DATA!AL192</f>
        <v>-</v>
      </c>
      <c r="AI204" s="42">
        <f>DATA!AM192</f>
        <v>0</v>
      </c>
      <c r="AJ204" s="42" t="str">
        <f>DATA!AN192</f>
        <v>dalam proses
(penyusunan FS)</v>
      </c>
      <c r="AK204" s="42" t="str">
        <f>DATA!AO192</f>
        <v>belum ada keterangan</v>
      </c>
      <c r="AL204" s="42" t="str">
        <f>DATA!AP192</f>
        <v>belum ada proses tender/lelang</v>
      </c>
      <c r="AM204" s="42" t="str">
        <f>DATA!AY192</f>
        <v>Surat Plh. Kepala Pusat Kem.Pertanian nomor 246/KL.230/A.6.3/09/2015 tgl 9 September 2015</v>
      </c>
      <c r="AN204" s="42" t="e">
        <f>DATA!#REF!</f>
        <v>#REF!</v>
      </c>
      <c r="AO204" s="42">
        <f>DATA!AZ192</f>
        <v>0</v>
      </c>
      <c r="AP204" s="152" t="e">
        <f>DATA!#REF!</f>
        <v>#REF!</v>
      </c>
      <c r="AQ204" s="67" t="str">
        <f>DATA!BA192</f>
        <v>Pembentukan lahan pertanian padi baru di 34 provinsi, meliputi: identifikasi calon petani dan calon lokasi (CPCL), survey/investigasi, penetapan lokasi, penyiapan lahan (land clearing and land leveling), bantuan sarana produksi, dan pertanian untuk budidaya padi.</v>
      </c>
    </row>
    <row r="205" spans="1:43" s="6" customFormat="1" ht="76.5">
      <c r="A205" s="6">
        <f>DATA!A193</f>
        <v>139</v>
      </c>
      <c r="B205" s="6">
        <f>DATA!B193</f>
        <v>0</v>
      </c>
      <c r="C205" s="6" t="str">
        <f>DATA!D193</f>
        <v>NON-INFRASTRUKTUR</v>
      </c>
      <c r="D205" s="6">
        <f>DATA!E193</f>
        <v>13</v>
      </c>
      <c r="E205" s="6" t="str">
        <f>DATA!F193</f>
        <v>Kementerian Pertanian</v>
      </c>
      <c r="F205" s="6" t="str">
        <f>DATA!H193</f>
        <v>Provision and Development of Agriculture Infrastructure Program</v>
      </c>
      <c r="G205" s="6" t="str">
        <f>DATA!I193</f>
        <v>A</v>
      </c>
      <c r="H205" s="6" t="str">
        <f>DATA!J193</f>
        <v>Program Penyediaan dan Pengembangan Prasarana dan Sarana Pertanian</v>
      </c>
      <c r="I205" s="6">
        <f>DATA!K193</f>
        <v>1</v>
      </c>
      <c r="J205" s="38"/>
      <c r="K205" s="39"/>
      <c r="L205" s="39"/>
      <c r="M205" s="43"/>
      <c r="N205" s="67" t="str">
        <f>DATA!L193</f>
        <v>Extensification of New Paddy Field Area</v>
      </c>
      <c r="O205" s="42">
        <f>DATA!Q193</f>
        <v>0.33333333333333331</v>
      </c>
      <c r="P205" s="42">
        <f>DATA!R193</f>
        <v>0</v>
      </c>
      <c r="Q205" s="42">
        <f>DATA!S193</f>
        <v>0</v>
      </c>
      <c r="R205" s="83">
        <f>DATA!T193</f>
        <v>0</v>
      </c>
      <c r="S205" s="88">
        <f>DATA!U193</f>
        <v>0</v>
      </c>
      <c r="T205" s="83">
        <f>DATA!V193</f>
        <v>0</v>
      </c>
      <c r="U205" s="83">
        <f>DATA!W193</f>
        <v>0</v>
      </c>
      <c r="V205" s="83">
        <f>DATA!X193</f>
        <v>0</v>
      </c>
      <c r="W205" s="84" t="str">
        <f>DATA!Y193</f>
        <v>Belum Ada Indikasi</v>
      </c>
      <c r="X205" s="42" t="str">
        <f>DATA!Z193</f>
        <v>Belum Ada Indikasi</v>
      </c>
      <c r="Y205" s="83">
        <f>DATA!AA193</f>
        <v>461166600</v>
      </c>
      <c r="Z205" s="83">
        <f>DATA!AG193</f>
        <v>-461166600</v>
      </c>
      <c r="AA205" s="42" t="str">
        <f>DATA!AH193</f>
        <v>Tanpa keterangan</v>
      </c>
      <c r="AB205" s="67" t="str">
        <f>DATA!AI193</f>
        <v>-</v>
      </c>
      <c r="AC205" s="152">
        <f>DATA!AM193</f>
        <v>0</v>
      </c>
      <c r="AD205" s="152" t="str">
        <f>DATA!AN193</f>
        <v>belum ada keterangan</v>
      </c>
      <c r="AE205" s="152" t="str">
        <f>DATA!AO193</f>
        <v>belum ada keterangan</v>
      </c>
      <c r="AF205" s="67" t="str">
        <f>DATA!AJ193</f>
        <v>-</v>
      </c>
      <c r="AG205" s="115" t="str">
        <f>DATA!AK193</f>
        <v>-</v>
      </c>
      <c r="AH205" s="67" t="str">
        <f>DATA!AL193</f>
        <v>-</v>
      </c>
      <c r="AI205" s="42">
        <f>DATA!AM193</f>
        <v>0</v>
      </c>
      <c r="AJ205" s="42" t="str">
        <f>DATA!AN193</f>
        <v>belum ada keterangan</v>
      </c>
      <c r="AK205" s="42" t="str">
        <f>DATA!AO193</f>
        <v>belum ada keterangan</v>
      </c>
      <c r="AL205" s="42" t="str">
        <f>DATA!AP193</f>
        <v>belum ada proses tender/lelang</v>
      </c>
      <c r="AM205" s="42" t="str">
        <f>DATA!AY193</f>
        <v>Surat Plh. Kepala Pusat Kem.Pertanian nomor 246/KL.230/A.6.3/09/2015 tgl 9 September 2015</v>
      </c>
      <c r="AN205" s="42" t="e">
        <f>DATA!#REF!</f>
        <v>#REF!</v>
      </c>
      <c r="AO205" s="42">
        <f>DATA!AZ193</f>
        <v>0</v>
      </c>
      <c r="AP205" s="152" t="e">
        <f>DATA!#REF!</f>
        <v>#REF!</v>
      </c>
      <c r="AQ205" s="67" t="str">
        <f>DATA!BA193</f>
        <v>Pembentukan lahan pertanian padi baru di 34 provinsi, meliputi: identifikasi calon petani dan calon lokasi (CPCL), survey/investigasi, penetapan lokasi, penyiapan lahan (land clearing and land leveling), bantuan sarana produksi, dan pertanian untuk budidaya padi.</v>
      </c>
    </row>
    <row r="206" spans="1:43" ht="60.75" customHeight="1">
      <c r="A206" s="10">
        <f>DATA!A194</f>
        <v>140</v>
      </c>
      <c r="B206" s="10">
        <f>DATA!B194</f>
        <v>0</v>
      </c>
      <c r="C206" s="10" t="str">
        <f>DATA!D194</f>
        <v>NON-INFRASTRUKTUR</v>
      </c>
      <c r="D206" s="10">
        <f>DATA!E194</f>
        <v>13</v>
      </c>
      <c r="E206" s="10" t="str">
        <f>DATA!F194</f>
        <v>Kementerian Pertanian</v>
      </c>
      <c r="F206" s="10" t="str">
        <f>DATA!H194</f>
        <v>Provision and Development of Agriculture Infrastructure Program</v>
      </c>
      <c r="G206" s="10" t="str">
        <f>DATA!I194</f>
        <v>A</v>
      </c>
      <c r="H206" s="10" t="str">
        <f>DATA!J194</f>
        <v>Program Penyediaan dan Pengembangan Prasarana dan Sarana Pertanian</v>
      </c>
      <c r="I206" s="10">
        <f>DATA!K194</f>
        <v>2</v>
      </c>
      <c r="J206" s="33"/>
      <c r="K206" s="34"/>
      <c r="L206" s="34"/>
      <c r="M206" s="36">
        <f>DATA!K194</f>
        <v>2</v>
      </c>
      <c r="N206" s="37" t="str">
        <f>DATA!L194</f>
        <v>Upland Development for National Food Security</v>
      </c>
      <c r="O206" s="20">
        <f>DATA!Q194</f>
        <v>0</v>
      </c>
      <c r="P206" s="20">
        <f>DATA!R194</f>
        <v>1</v>
      </c>
      <c r="Q206" s="20">
        <f>DATA!S194</f>
        <v>110</v>
      </c>
      <c r="R206" s="77">
        <f>DATA!T194</f>
        <v>535676000</v>
      </c>
      <c r="S206" s="88">
        <f>DATA!U194</f>
        <v>535676000</v>
      </c>
      <c r="T206" s="77">
        <f>DATA!V194</f>
        <v>53567600</v>
      </c>
      <c r="U206" s="77">
        <f>DATA!W194</f>
        <v>0</v>
      </c>
      <c r="V206" s="77">
        <f>DATA!X194</f>
        <v>589243600</v>
      </c>
      <c r="W206" s="78" t="str">
        <f>DATA!Y194</f>
        <v>-</v>
      </c>
      <c r="X206" s="20">
        <f>DATA!Z194</f>
        <v>0</v>
      </c>
      <c r="Y206" s="77">
        <f>DATA!AA194</f>
        <v>535676000</v>
      </c>
      <c r="Z206" s="77">
        <f>DATA!AG194</f>
        <v>-285676000</v>
      </c>
      <c r="AA206" s="20" t="str">
        <f>DATA!AH194</f>
        <v>-</v>
      </c>
      <c r="AB206" s="37" t="str">
        <f>DATA!AI194</f>
        <v>-</v>
      </c>
      <c r="AC206" s="152">
        <f>DATA!AM194</f>
        <v>0</v>
      </c>
      <c r="AD206" s="152" t="str">
        <f>DATA!AN194</f>
        <v>-</v>
      </c>
      <c r="AE206" s="152" t="str">
        <f>DATA!AO194</f>
        <v>tanpa keterangan</v>
      </c>
      <c r="AF206" s="37" t="str">
        <f>DATA!AJ194</f>
        <v xml:space="preserve">TOR </v>
      </c>
      <c r="AG206" s="115">
        <f>DATA!AK194</f>
        <v>0</v>
      </c>
      <c r="AH206" s="37" t="str">
        <f>DATA!AL194</f>
        <v>-</v>
      </c>
      <c r="AI206" s="20">
        <f>DATA!AM194</f>
        <v>0</v>
      </c>
      <c r="AJ206" s="20" t="str">
        <f>DATA!AN194</f>
        <v>-</v>
      </c>
      <c r="AK206" s="20" t="str">
        <f>DATA!AO194</f>
        <v>tanpa keterangan</v>
      </c>
      <c r="AL206" s="20" t="str">
        <f>DATA!AP194</f>
        <v>belum ada proses tender/lelang</v>
      </c>
      <c r="AM206" s="20" t="str">
        <f>DATA!AY194</f>
        <v>Surat Plh. Kepala Pusat Kem.Pertanian nomor 246/KL.230/A.6.3/09/2015 tgl 9 September 2015</v>
      </c>
      <c r="AN206" s="20" t="e">
        <f>DATA!#REF!</f>
        <v>#REF!</v>
      </c>
      <c r="AO206" s="20">
        <f>DATA!AZ194</f>
        <v>0</v>
      </c>
      <c r="AP206" s="152" t="e">
        <f>DATA!#REF!</f>
        <v>#REF!</v>
      </c>
      <c r="AQ206" s="37" t="str">
        <f>DATA!BA194</f>
        <v>Rencana penggunaan lahan di dataran tinggi berdasarkan kesesuaiannya, konservasi lahan dan air di dataran tinggi, dan budidaya pertanian ramah lingkungan untuk dataran tinggi</v>
      </c>
    </row>
    <row r="207" spans="1:43" s="6" customFormat="1" ht="61.5" customHeight="1">
      <c r="A207" s="6">
        <f>DATA!A195</f>
        <v>140</v>
      </c>
      <c r="B207" s="6">
        <f>DATA!B195</f>
        <v>0</v>
      </c>
      <c r="C207" s="6" t="str">
        <f>DATA!D195</f>
        <v>NON-INFRASTRUKTUR</v>
      </c>
      <c r="D207" s="6">
        <f>DATA!E195</f>
        <v>13</v>
      </c>
      <c r="E207" s="6" t="str">
        <f>DATA!F195</f>
        <v>Kementerian Pertanian</v>
      </c>
      <c r="F207" s="6" t="str">
        <f>DATA!H195</f>
        <v>Provision and Development of Agriculture Infrastructure Program</v>
      </c>
      <c r="G207" s="6" t="str">
        <f>DATA!I195</f>
        <v>A</v>
      </c>
      <c r="H207" s="6" t="str">
        <f>DATA!J195</f>
        <v>Program Penyediaan dan Pengembangan Prasarana dan Sarana Pertanian</v>
      </c>
      <c r="I207" s="6">
        <f>DATA!K195</f>
        <v>2</v>
      </c>
      <c r="J207" s="38"/>
      <c r="K207" s="39"/>
      <c r="L207" s="39"/>
      <c r="M207" s="40"/>
      <c r="N207" s="67" t="str">
        <f>DATA!L195</f>
        <v>Upland Development for National Food Security</v>
      </c>
      <c r="O207" s="42">
        <f>DATA!Q195</f>
        <v>0.33333333333333331</v>
      </c>
      <c r="P207" s="42">
        <f>DATA!R195</f>
        <v>0</v>
      </c>
      <c r="Q207" s="42">
        <f>DATA!S195</f>
        <v>0</v>
      </c>
      <c r="R207" s="83">
        <f>DATA!T195</f>
        <v>0</v>
      </c>
      <c r="S207" s="88">
        <f>DATA!U195</f>
        <v>0</v>
      </c>
      <c r="T207" s="83">
        <f>DATA!V195</f>
        <v>0</v>
      </c>
      <c r="U207" s="83">
        <f>DATA!W195</f>
        <v>0</v>
      </c>
      <c r="V207" s="83">
        <f>DATA!X195</f>
        <v>0</v>
      </c>
      <c r="W207" s="84" t="str">
        <f>DATA!Y195</f>
        <v>Bank Dunia</v>
      </c>
      <c r="X207" s="42" t="str">
        <f>DATA!Z195</f>
        <v>Multilateral</v>
      </c>
      <c r="Y207" s="83">
        <f>DATA!AA195</f>
        <v>125000000</v>
      </c>
      <c r="Z207" s="83">
        <f>DATA!AG195</f>
        <v>0</v>
      </c>
      <c r="AA207" s="42" t="str">
        <f>DATA!AH195</f>
        <v>Tanpa keterangan</v>
      </c>
      <c r="AB207" s="67" t="str">
        <f>DATA!AI195</f>
        <v>-</v>
      </c>
      <c r="AC207" s="152">
        <f>DATA!AM195</f>
        <v>0</v>
      </c>
      <c r="AD207" s="152" t="str">
        <f>DATA!AN195</f>
        <v>dalam proses
(penyusunan FS)</v>
      </c>
      <c r="AE207" s="152" t="str">
        <f>DATA!AO195</f>
        <v>belum ada keterangan</v>
      </c>
      <c r="AF207" s="67" t="str">
        <f>DATA!AJ195</f>
        <v xml:space="preserve">TOR </v>
      </c>
      <c r="AG207" s="115">
        <f>DATA!AK195</f>
        <v>0</v>
      </c>
      <c r="AH207" s="67" t="str">
        <f>DATA!AL195</f>
        <v>-</v>
      </c>
      <c r="AI207" s="42">
        <f>DATA!AM195</f>
        <v>0</v>
      </c>
      <c r="AJ207" s="42" t="str">
        <f>DATA!AN195</f>
        <v>dalam proses
(penyusunan FS)</v>
      </c>
      <c r="AK207" s="42" t="str">
        <f>DATA!AO195</f>
        <v>belum ada keterangan</v>
      </c>
      <c r="AL207" s="42" t="str">
        <f>DATA!AP195</f>
        <v>belum ada proses tender/lelang</v>
      </c>
      <c r="AM207" s="42" t="str">
        <f>DATA!AY195</f>
        <v>Surat Plh. Kepala Pusat Kem.Pertanian nomor 246/KL.230/A.6.3/09/2015 tgl 9 September 2015</v>
      </c>
      <c r="AN207" s="42" t="e">
        <f>DATA!#REF!</f>
        <v>#REF!</v>
      </c>
      <c r="AO207" s="42">
        <f>DATA!AZ195</f>
        <v>0</v>
      </c>
      <c r="AP207" s="152" t="e">
        <f>DATA!#REF!</f>
        <v>#REF!</v>
      </c>
      <c r="AQ207" s="67" t="str">
        <f>DATA!BA195</f>
        <v>Rencana penggunaan lahan di dataran tinggi berdasarkan kesesuaiannya, konservasi lahan dan air di dataran tinggi, dan budidaya pertanian ramah lingkungan untuk dataran tinggi</v>
      </c>
    </row>
    <row r="208" spans="1:43" s="6" customFormat="1" ht="51">
      <c r="A208" s="6">
        <f>DATA!A196</f>
        <v>141</v>
      </c>
      <c r="B208" s="6">
        <f>DATA!B196</f>
        <v>0</v>
      </c>
      <c r="C208" s="6" t="str">
        <f>DATA!D196</f>
        <v>NON-INFRASTRUKTUR</v>
      </c>
      <c r="D208" s="6">
        <f>DATA!E196</f>
        <v>13</v>
      </c>
      <c r="E208" s="6" t="str">
        <f>DATA!F196</f>
        <v>Kementerian Pertanian</v>
      </c>
      <c r="F208" s="6" t="str">
        <f>DATA!H196</f>
        <v>Provision and Development of Agriculture Infrastructure Program</v>
      </c>
      <c r="G208" s="6" t="str">
        <f>DATA!I196</f>
        <v>A</v>
      </c>
      <c r="H208" s="6" t="str">
        <f>DATA!J196</f>
        <v>Program Penyediaan dan Pengembangan Prasarana dan Sarana Pertanian</v>
      </c>
      <c r="I208" s="6">
        <f>DATA!K196</f>
        <v>2</v>
      </c>
      <c r="J208" s="38"/>
      <c r="K208" s="39"/>
      <c r="L208" s="39"/>
      <c r="M208" s="38"/>
      <c r="N208" s="67" t="str">
        <f>DATA!L196</f>
        <v>Upland Development for National Food Security</v>
      </c>
      <c r="O208" s="42">
        <f>DATA!Q196</f>
        <v>0.33333333333333331</v>
      </c>
      <c r="P208" s="42">
        <f>DATA!R196</f>
        <v>0</v>
      </c>
      <c r="Q208" s="42">
        <f>DATA!S196</f>
        <v>0</v>
      </c>
      <c r="R208" s="83">
        <f>DATA!T196</f>
        <v>0</v>
      </c>
      <c r="S208" s="88">
        <f>DATA!U196</f>
        <v>0</v>
      </c>
      <c r="T208" s="83">
        <f>DATA!V196</f>
        <v>0</v>
      </c>
      <c r="U208" s="83">
        <f>DATA!W196</f>
        <v>0</v>
      </c>
      <c r="V208" s="83">
        <f>DATA!X196</f>
        <v>0</v>
      </c>
      <c r="W208" s="84" t="str">
        <f>DATA!Y196</f>
        <v>IDB</v>
      </c>
      <c r="X208" s="42" t="str">
        <f>DATA!Z196</f>
        <v>Multilateral</v>
      </c>
      <c r="Y208" s="83">
        <f>DATA!AA196</f>
        <v>125000000</v>
      </c>
      <c r="Z208" s="83">
        <f>DATA!AG196</f>
        <v>0</v>
      </c>
      <c r="AA208" s="42" t="str">
        <f>DATA!AH196</f>
        <v>Tanpa keterangan</v>
      </c>
      <c r="AB208" s="67" t="str">
        <f>DATA!AI196</f>
        <v>-</v>
      </c>
      <c r="AC208" s="152">
        <f>DATA!AM196</f>
        <v>0</v>
      </c>
      <c r="AD208" s="152" t="str">
        <f>DATA!AN196</f>
        <v>dalam proses
(penyusunan FS)</v>
      </c>
      <c r="AE208" s="152" t="str">
        <f>DATA!AO196</f>
        <v>belum ada keterangan</v>
      </c>
      <c r="AF208" s="67" t="str">
        <f>DATA!AJ196</f>
        <v>-</v>
      </c>
      <c r="AG208" s="115" t="str">
        <f>DATA!AK196</f>
        <v>-</v>
      </c>
      <c r="AH208" s="67" t="str">
        <f>DATA!AL196</f>
        <v>-</v>
      </c>
      <c r="AI208" s="42">
        <f>DATA!AM196</f>
        <v>0</v>
      </c>
      <c r="AJ208" s="42" t="str">
        <f>DATA!AN196</f>
        <v>dalam proses
(penyusunan FS)</v>
      </c>
      <c r="AK208" s="42" t="str">
        <f>DATA!AO196</f>
        <v>belum ada keterangan</v>
      </c>
      <c r="AL208" s="42" t="str">
        <f>DATA!AP196</f>
        <v>belum ada proses tender/lelang</v>
      </c>
      <c r="AM208" s="42" t="str">
        <f>DATA!AY196</f>
        <v>Surat Plh. Kepala Pusat Kem.Pertanian nomor 246/KL.230/A.6.3/09/2015 tgl 9 September 2015</v>
      </c>
      <c r="AN208" s="42" t="e">
        <f>DATA!#REF!</f>
        <v>#REF!</v>
      </c>
      <c r="AO208" s="42">
        <f>DATA!AZ196</f>
        <v>0</v>
      </c>
      <c r="AP208" s="152" t="e">
        <f>DATA!#REF!</f>
        <v>#REF!</v>
      </c>
      <c r="AQ208" s="67" t="str">
        <f>DATA!BA196</f>
        <v>Rencana penggunaan lahan di dataran tinggi berdasarkan kesesuaiannya, konservasi lahan dan air di dataran tinggi, dan budidaya pertanian ramah lingkungan untuk dataran tinggi</v>
      </c>
    </row>
    <row r="209" spans="1:43" s="6" customFormat="1" ht="65.25" customHeight="1">
      <c r="A209" s="6">
        <f>DATA!A197</f>
        <v>142</v>
      </c>
      <c r="B209" s="6">
        <f>DATA!B197</f>
        <v>0</v>
      </c>
      <c r="C209" s="6" t="str">
        <f>DATA!D197</f>
        <v>NON-INFRASTRUKTUR</v>
      </c>
      <c r="D209" s="6">
        <f>DATA!E197</f>
        <v>13</v>
      </c>
      <c r="E209" s="6" t="str">
        <f>DATA!F197</f>
        <v>Kementerian Pertanian</v>
      </c>
      <c r="F209" s="6" t="str">
        <f>DATA!H197</f>
        <v>Provision and Development of Agriculture Infrastructure Program</v>
      </c>
      <c r="G209" s="6" t="str">
        <f>DATA!I197</f>
        <v>A</v>
      </c>
      <c r="H209" s="6" t="str">
        <f>DATA!J197</f>
        <v>Program Penyediaan dan Pengembangan Prasarana dan Sarana Pertanian</v>
      </c>
      <c r="I209" s="6">
        <f>DATA!K197</f>
        <v>2</v>
      </c>
      <c r="J209" s="38"/>
      <c r="K209" s="39"/>
      <c r="L209" s="71"/>
      <c r="M209" s="43"/>
      <c r="N209" s="67" t="str">
        <f>DATA!L197</f>
        <v>Upland Development for National Food Security</v>
      </c>
      <c r="O209" s="42">
        <f>DATA!Q197</f>
        <v>0.33333333333333331</v>
      </c>
      <c r="P209" s="42">
        <f>DATA!R197</f>
        <v>0</v>
      </c>
      <c r="Q209" s="42">
        <f>DATA!S197</f>
        <v>0</v>
      </c>
      <c r="R209" s="83">
        <f>DATA!T197</f>
        <v>0</v>
      </c>
      <c r="S209" s="88">
        <f>DATA!U197</f>
        <v>0</v>
      </c>
      <c r="T209" s="83">
        <f>DATA!V197</f>
        <v>0</v>
      </c>
      <c r="U209" s="83">
        <f>DATA!W197</f>
        <v>0</v>
      </c>
      <c r="V209" s="83">
        <f>DATA!X197</f>
        <v>0</v>
      </c>
      <c r="W209" s="84" t="str">
        <f>DATA!Y197</f>
        <v>Belum Ada Indikasi</v>
      </c>
      <c r="X209" s="42" t="str">
        <f>DATA!Z197</f>
        <v>Belum Ada Indikasi</v>
      </c>
      <c r="Y209" s="83">
        <f>DATA!AA197</f>
        <v>285676000</v>
      </c>
      <c r="Z209" s="83">
        <f>DATA!AG197</f>
        <v>-285676000</v>
      </c>
      <c r="AA209" s="42" t="str">
        <f>DATA!AH197</f>
        <v>Tanpa keterangan</v>
      </c>
      <c r="AB209" s="67" t="str">
        <f>DATA!AI197</f>
        <v>-</v>
      </c>
      <c r="AC209" s="152">
        <f>DATA!AM197</f>
        <v>0</v>
      </c>
      <c r="AD209" s="152" t="str">
        <f>DATA!AN197</f>
        <v>belum ada keterangan</v>
      </c>
      <c r="AE209" s="152" t="str">
        <f>DATA!AO197</f>
        <v>belum ada keterangan</v>
      </c>
      <c r="AF209" s="67" t="str">
        <f>DATA!AJ197</f>
        <v>-</v>
      </c>
      <c r="AG209" s="115" t="str">
        <f>DATA!AK197</f>
        <v>-</v>
      </c>
      <c r="AH209" s="67" t="str">
        <f>DATA!AL197</f>
        <v>-</v>
      </c>
      <c r="AI209" s="42">
        <f>DATA!AM197</f>
        <v>0</v>
      </c>
      <c r="AJ209" s="42" t="str">
        <f>DATA!AN197</f>
        <v>belum ada keterangan</v>
      </c>
      <c r="AK209" s="42" t="str">
        <f>DATA!AO197</f>
        <v>belum ada keterangan</v>
      </c>
      <c r="AL209" s="42" t="str">
        <f>DATA!AP197</f>
        <v>belum ada proses tender/lelang</v>
      </c>
      <c r="AM209" s="42" t="str">
        <f>DATA!AY197</f>
        <v>Surat Plh. Kepala Pusat Kem.Pertanian nomor 246/KL.230/A.6.3/09/2015 tgl 9 September 2015</v>
      </c>
      <c r="AN209" s="42" t="e">
        <f>DATA!#REF!</f>
        <v>#REF!</v>
      </c>
      <c r="AO209" s="42">
        <f>DATA!AZ197</f>
        <v>0</v>
      </c>
      <c r="AP209" s="152" t="e">
        <f>DATA!#REF!</f>
        <v>#REF!</v>
      </c>
      <c r="AQ209" s="67" t="str">
        <f>DATA!BA197</f>
        <v>Rencana penggunaan lahan di dataran tinggi berdasarkan kesesuaiannya, konservasi lahan dan air di dataran tinggi, dan budidaya pertanian ramah lingkungan untuk dataran tinggi</v>
      </c>
    </row>
    <row r="210" spans="1:43" s="5" customFormat="1" ht="33.75" customHeight="1">
      <c r="J210" s="28"/>
      <c r="K210" s="50"/>
      <c r="L210" s="30" t="str">
        <f>DATA!I198</f>
        <v>B</v>
      </c>
      <c r="M210" s="31" t="str">
        <f>DATA!J198</f>
        <v>Program Peningkatan Penyuluhan, Pendidikan, dan Pelatihan Pertanian</v>
      </c>
      <c r="N210" s="51"/>
      <c r="O210" s="31"/>
      <c r="P210" s="31"/>
      <c r="Q210" s="31"/>
      <c r="R210" s="81">
        <f>+R211+R212</f>
        <v>98900000</v>
      </c>
      <c r="S210" s="81">
        <f>+S211+S212</f>
        <v>98900000</v>
      </c>
      <c r="T210" s="81">
        <f t="shared" ref="T210:Z210" si="29">+T211+T212</f>
        <v>19780000</v>
      </c>
      <c r="U210" s="81">
        <f t="shared" si="29"/>
        <v>500000</v>
      </c>
      <c r="V210" s="81">
        <f t="shared" si="29"/>
        <v>119180000</v>
      </c>
      <c r="W210" s="81"/>
      <c r="X210" s="81" t="e">
        <f t="shared" si="29"/>
        <v>#VALUE!</v>
      </c>
      <c r="Y210" s="81">
        <f t="shared" si="29"/>
        <v>98900000</v>
      </c>
      <c r="Z210" s="81">
        <f t="shared" si="29"/>
        <v>0</v>
      </c>
      <c r="AA210" s="31"/>
      <c r="AB210" s="32"/>
      <c r="AC210" s="32"/>
      <c r="AD210" s="32"/>
      <c r="AE210" s="32"/>
      <c r="AF210" s="32"/>
      <c r="AG210" s="115" t="str">
        <f>DATA!AK198</f>
        <v>-</v>
      </c>
      <c r="AH210" s="32"/>
      <c r="AI210" s="31"/>
      <c r="AJ210" s="31"/>
      <c r="AK210" s="31"/>
      <c r="AL210" s="31"/>
      <c r="AM210" s="31"/>
      <c r="AN210" s="31"/>
      <c r="AO210" s="31"/>
      <c r="AP210" s="32"/>
      <c r="AQ210" s="32"/>
    </row>
    <row r="211" spans="1:43" ht="106.5" customHeight="1">
      <c r="A211" s="10">
        <f>DATA!A198</f>
        <v>143</v>
      </c>
      <c r="B211" s="10">
        <f>DATA!B198</f>
        <v>0</v>
      </c>
      <c r="C211" s="10" t="str">
        <f>DATA!D198</f>
        <v>NON-INFRASTRUKTUR</v>
      </c>
      <c r="D211" s="10">
        <f>DATA!E198</f>
        <v>13</v>
      </c>
      <c r="E211" s="10" t="str">
        <f>DATA!F198</f>
        <v>Kementerian Pertanian</v>
      </c>
      <c r="F211" s="10" t="str">
        <f>DATA!H198</f>
        <v>Agriculture Extention, Education, and Training Improvement Program</v>
      </c>
      <c r="G211" s="10" t="str">
        <f>DATA!I198</f>
        <v>B</v>
      </c>
      <c r="H211" s="10" t="str">
        <f>DATA!J198</f>
        <v>Program Peningkatan Penyuluhan, Pendidikan, dan Pelatihan Pertanian</v>
      </c>
      <c r="I211" s="10">
        <f>DATA!K198</f>
        <v>1</v>
      </c>
      <c r="J211" s="33"/>
      <c r="K211" s="34"/>
      <c r="L211" s="35"/>
      <c r="M211" s="36">
        <f>DATA!K198</f>
        <v>1</v>
      </c>
      <c r="N211" s="37" t="str">
        <f>DATA!L198</f>
        <v>Young Enterpreneur Growth and Development for Sustainable Agricultural Development</v>
      </c>
      <c r="O211" s="20">
        <f>DATA!Q198</f>
        <v>1</v>
      </c>
      <c r="P211" s="20">
        <f>DATA!R198</f>
        <v>1</v>
      </c>
      <c r="Q211" s="20">
        <f>DATA!S198</f>
        <v>111</v>
      </c>
      <c r="R211" s="77">
        <f>DATA!T198</f>
        <v>68900000</v>
      </c>
      <c r="S211" s="88">
        <f>DATA!U198</f>
        <v>68900000</v>
      </c>
      <c r="T211" s="77">
        <f>DATA!V198</f>
        <v>13780000</v>
      </c>
      <c r="U211" s="77">
        <f>DATA!W198</f>
        <v>0</v>
      </c>
      <c r="V211" s="77">
        <f>DATA!X198</f>
        <v>82680000</v>
      </c>
      <c r="W211" s="78" t="str">
        <f>DATA!Y198</f>
        <v>IFAD</v>
      </c>
      <c r="X211" s="20" t="str">
        <f>DATA!Z198</f>
        <v>Multilateral</v>
      </c>
      <c r="Y211" s="77">
        <f>DATA!AA198</f>
        <v>68900000</v>
      </c>
      <c r="Z211" s="77">
        <f>DATA!AG198</f>
        <v>0</v>
      </c>
      <c r="AA211" s="20" t="str">
        <f>DATA!AH198</f>
        <v>Tanpa keterangan</v>
      </c>
      <c r="AB211" s="37" t="str">
        <f>DATA!AI198</f>
        <v>Dalam tahap diskusi awal dengan pihak lender untuk penyempurnaan proposal</v>
      </c>
      <c r="AC211" s="152">
        <f>DATA!AM198</f>
        <v>0</v>
      </c>
      <c r="AD211" s="152" t="str">
        <f>DATA!AN198</f>
        <v>belum ada keterangan</v>
      </c>
      <c r="AE211" s="152" t="str">
        <f>DATA!AO198</f>
        <v>belum ada keterangan</v>
      </c>
      <c r="AF211" s="37" t="str">
        <f>DATA!AJ198</f>
        <v>-</v>
      </c>
      <c r="AG211" s="115" t="str">
        <f>DATA!AK199</f>
        <v>-</v>
      </c>
      <c r="AH211" s="37" t="str">
        <f>DATA!AL198</f>
        <v>-</v>
      </c>
      <c r="AI211" s="20">
        <f>DATA!AM198</f>
        <v>0</v>
      </c>
      <c r="AJ211" s="20" t="str">
        <f>DATA!AN198</f>
        <v>belum ada keterangan</v>
      </c>
      <c r="AK211" s="20" t="str">
        <f>DATA!AO198</f>
        <v>belum ada keterangan</v>
      </c>
      <c r="AL211" s="20" t="str">
        <f>DATA!AP198</f>
        <v>belum ada proses tender/lelang</v>
      </c>
      <c r="AM211" s="20" t="str">
        <f>DATA!AY198</f>
        <v>Surat Plh. Kepala Pusat Kem.Pertanian nomor 246/KL.230/A.6.3/09/2015 tgl 9 September 2015</v>
      </c>
      <c r="AN211" s="20" t="e">
        <f>DATA!#REF!</f>
        <v>#REF!</v>
      </c>
      <c r="AO211" s="20">
        <f>DATA!AZ198</f>
        <v>0</v>
      </c>
      <c r="AP211" s="152" t="e">
        <f>DATA!#REF!</f>
        <v>#REF!</v>
      </c>
      <c r="AQ211" s="37"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row>
    <row r="212" spans="1:43" ht="63.75">
      <c r="A212" s="10">
        <f>DATA!A199</f>
        <v>144</v>
      </c>
      <c r="B212" s="10">
        <f>DATA!B199</f>
        <v>0</v>
      </c>
      <c r="C212" s="10" t="str">
        <f>DATA!D199</f>
        <v>NON-INFRASTRUKTUR</v>
      </c>
      <c r="D212" s="10">
        <f>DATA!E199</f>
        <v>13</v>
      </c>
      <c r="E212" s="10" t="str">
        <f>DATA!F199</f>
        <v>Kementerian Pertanian</v>
      </c>
      <c r="F212" s="10" t="str">
        <f>DATA!H199</f>
        <v>Agriculture Extention, Education, and Training Improvement Program</v>
      </c>
      <c r="G212" s="10" t="str">
        <f>DATA!I199</f>
        <v>B</v>
      </c>
      <c r="H212" s="10" t="str">
        <f>DATA!J199</f>
        <v>Program Peningkatan Penyuluhan, Pendidikan, dan Pelatihan Pertanian</v>
      </c>
      <c r="I212" s="10">
        <f>DATA!K199</f>
        <v>2</v>
      </c>
      <c r="J212" s="33"/>
      <c r="K212" s="54"/>
      <c r="L212" s="54"/>
      <c r="M212" s="36">
        <f>DATA!K199</f>
        <v>2</v>
      </c>
      <c r="N212" s="37" t="str">
        <f>DATA!L199</f>
        <v>Rural Empowerment and Agricultural Development (READ) Programme in Sulawesi Island – Phase II</v>
      </c>
      <c r="O212" s="20">
        <f>DATA!Q199</f>
        <v>1</v>
      </c>
      <c r="P212" s="20">
        <f>DATA!R199</f>
        <v>1</v>
      </c>
      <c r="Q212" s="20">
        <f>DATA!S199</f>
        <v>112</v>
      </c>
      <c r="R212" s="77">
        <f>DATA!T199</f>
        <v>30000000</v>
      </c>
      <c r="S212" s="88">
        <f>DATA!U199</f>
        <v>30000000</v>
      </c>
      <c r="T212" s="77">
        <f>DATA!V199</f>
        <v>6000000</v>
      </c>
      <c r="U212" s="77">
        <f>DATA!W199</f>
        <v>500000</v>
      </c>
      <c r="V212" s="77">
        <f>DATA!X199</f>
        <v>36500000</v>
      </c>
      <c r="W212" s="78" t="str">
        <f>DATA!Y199</f>
        <v>IFAD</v>
      </c>
      <c r="X212" s="20" t="str">
        <f>DATA!Z199</f>
        <v>Multilateral</v>
      </c>
      <c r="Y212" s="77">
        <f>DATA!AA199</f>
        <v>30000000</v>
      </c>
      <c r="Z212" s="77">
        <f>DATA!AG199</f>
        <v>0</v>
      </c>
      <c r="AA212" s="20" t="str">
        <f>DATA!AH199</f>
        <v>Tanpa keterangan</v>
      </c>
      <c r="AB212" s="37" t="str">
        <f>DATA!AI199</f>
        <v>Dalam tahap diskusi awal dengan pihak lender untuk penyempurnaan proposal</v>
      </c>
      <c r="AC212" s="152">
        <f>DATA!AM199</f>
        <v>0</v>
      </c>
      <c r="AD212" s="152" t="str">
        <f>DATA!AN199</f>
        <v>belum ada keterangan</v>
      </c>
      <c r="AE212" s="152" t="str">
        <f>DATA!AO199</f>
        <v>belum ada keterangan</v>
      </c>
      <c r="AF212" s="37" t="str">
        <f>DATA!AJ199</f>
        <v>-</v>
      </c>
      <c r="AG212" s="115" t="str">
        <f>DATA!AK200</f>
        <v>-</v>
      </c>
      <c r="AH212" s="37" t="str">
        <f>DATA!AL199</f>
        <v>-</v>
      </c>
      <c r="AI212" s="20">
        <f>DATA!AM199</f>
        <v>0</v>
      </c>
      <c r="AJ212" s="20" t="str">
        <f>DATA!AN199</f>
        <v>belum ada keterangan</v>
      </c>
      <c r="AK212" s="20" t="str">
        <f>DATA!AO199</f>
        <v>belum ada keterangan</v>
      </c>
      <c r="AL212" s="20" t="str">
        <f>DATA!AP199</f>
        <v>belum ada proses tender/lelang</v>
      </c>
      <c r="AM212" s="20" t="str">
        <f>DATA!AY199</f>
        <v>Surat Plh. Kepala Pusat Kem.Pertanian nomor 246/KL.230/A.6.3/09/2015 tgl 9 September 2015</v>
      </c>
      <c r="AN212" s="20" t="e">
        <f>DATA!#REF!</f>
        <v>#REF!</v>
      </c>
      <c r="AO212" s="20">
        <f>DATA!AZ199</f>
        <v>0</v>
      </c>
      <c r="AP212" s="152" t="e">
        <f>DATA!#REF!</f>
        <v>#REF!</v>
      </c>
      <c r="AQ212" s="37" t="str">
        <f>DATA!BA199</f>
        <v>Pemberdayaan masyarakat petani, peningkatan mata pencaharian, dan pembangunan infrastruktur pertanian</v>
      </c>
    </row>
    <row r="213" spans="1:43" s="4" customFormat="1" ht="24.95" customHeight="1">
      <c r="J213" s="107"/>
      <c r="K213" s="25">
        <f>DATA!E200</f>
        <v>14</v>
      </c>
      <c r="L213" s="108" t="str">
        <f>DATA!F200</f>
        <v>Kementerian Ketenagakerjaan</v>
      </c>
      <c r="M213" s="25"/>
      <c r="N213" s="27"/>
      <c r="O213" s="26"/>
      <c r="P213" s="26"/>
      <c r="Q213" s="26"/>
      <c r="R213" s="80">
        <f>+R214</f>
        <v>92308000</v>
      </c>
      <c r="S213" s="80">
        <f>+S214</f>
        <v>92308000</v>
      </c>
      <c r="T213" s="80">
        <f t="shared" ref="T213:Z214" si="30">+T214</f>
        <v>2500000</v>
      </c>
      <c r="U213" s="80">
        <f t="shared" si="30"/>
        <v>0</v>
      </c>
      <c r="V213" s="80">
        <f t="shared" si="30"/>
        <v>94808000</v>
      </c>
      <c r="W213" s="120" t="str">
        <f t="shared" si="30"/>
        <v>-</v>
      </c>
      <c r="X213" s="80" t="str">
        <f t="shared" si="30"/>
        <v>Multi Lender</v>
      </c>
      <c r="Y213" s="80">
        <f t="shared" si="30"/>
        <v>92308000</v>
      </c>
      <c r="Z213" s="80">
        <f t="shared" si="30"/>
        <v>0</v>
      </c>
      <c r="AA213" s="26"/>
      <c r="AB213" s="27"/>
      <c r="AC213" s="27"/>
      <c r="AD213" s="27"/>
      <c r="AE213" s="27"/>
      <c r="AF213" s="27"/>
      <c r="AG213" s="27"/>
      <c r="AH213" s="27"/>
      <c r="AI213" s="26"/>
      <c r="AJ213" s="26"/>
      <c r="AK213" s="26"/>
      <c r="AL213" s="26"/>
      <c r="AM213" s="26"/>
      <c r="AN213" s="26"/>
      <c r="AO213" s="26"/>
      <c r="AP213" s="27"/>
      <c r="AQ213" s="27"/>
    </row>
    <row r="214" spans="1:43" s="5" customFormat="1" ht="33.75" customHeight="1">
      <c r="J214" s="28"/>
      <c r="K214" s="29"/>
      <c r="L214" s="30" t="str">
        <f>DATA!I206</f>
        <v>A</v>
      </c>
      <c r="M214" s="31" t="str">
        <f>DATA!J206</f>
        <v>Program Pengembangan dan Pembinaan Meteorologi, Klimatologi, dan Geofisika</v>
      </c>
      <c r="N214" s="51"/>
      <c r="O214" s="31"/>
      <c r="P214" s="31"/>
      <c r="Q214" s="31"/>
      <c r="R214" s="81">
        <f>+R215</f>
        <v>92308000</v>
      </c>
      <c r="S214" s="81">
        <f>+S215</f>
        <v>92308000</v>
      </c>
      <c r="T214" s="81">
        <f t="shared" si="30"/>
        <v>2500000</v>
      </c>
      <c r="U214" s="81">
        <f t="shared" si="30"/>
        <v>0</v>
      </c>
      <c r="V214" s="81">
        <f t="shared" si="30"/>
        <v>94808000</v>
      </c>
      <c r="W214" s="121" t="s">
        <v>21</v>
      </c>
      <c r="X214" s="81" t="str">
        <f t="shared" si="30"/>
        <v>Multi Lender</v>
      </c>
      <c r="Y214" s="81">
        <f t="shared" si="30"/>
        <v>92308000</v>
      </c>
      <c r="Z214" s="81">
        <f t="shared" si="30"/>
        <v>0</v>
      </c>
      <c r="AA214" s="31"/>
      <c r="AB214" s="32"/>
      <c r="AC214" s="32"/>
      <c r="AD214" s="32"/>
      <c r="AE214" s="32"/>
      <c r="AF214" s="32"/>
      <c r="AG214" s="32"/>
      <c r="AH214" s="32"/>
      <c r="AI214" s="31"/>
      <c r="AJ214" s="31"/>
      <c r="AK214" s="31"/>
      <c r="AL214" s="31"/>
      <c r="AM214" s="31"/>
      <c r="AN214" s="31"/>
      <c r="AO214" s="31"/>
      <c r="AP214" s="32"/>
      <c r="AQ214" s="32"/>
    </row>
    <row r="215" spans="1:43" ht="47.25" customHeight="1">
      <c r="A215" s="10">
        <f>DATA!A200</f>
        <v>145</v>
      </c>
      <c r="B215" s="10">
        <f>DATA!B200</f>
        <v>0</v>
      </c>
      <c r="C215" s="10" t="str">
        <f>DATA!D200</f>
        <v>NON-INFRASTRUKTUR</v>
      </c>
      <c r="D215" s="10">
        <f>DATA!E200</f>
        <v>14</v>
      </c>
      <c r="E215" s="10" t="str">
        <f>DATA!F200</f>
        <v>Kementerian Ketenagakerjaan</v>
      </c>
      <c r="F215" s="10" t="str">
        <f>DATA!H200</f>
        <v>Improving Labor Competitiveness Program</v>
      </c>
      <c r="G215" s="10" t="str">
        <f>DATA!I200</f>
        <v>A</v>
      </c>
      <c r="H215" s="10" t="str">
        <f>DATA!J200</f>
        <v>Program Peningkatan Daya Saing Tenaga Kerja</v>
      </c>
      <c r="I215" s="10">
        <f>DATA!K200</f>
        <v>1</v>
      </c>
      <c r="J215" s="33"/>
      <c r="K215" s="54"/>
      <c r="L215" s="20"/>
      <c r="M215" s="36">
        <f>DATA!K200</f>
        <v>1</v>
      </c>
      <c r="N215" s="37" t="str">
        <f>DATA!L200</f>
        <v>Development of Maritime Vocational Training Centers</v>
      </c>
      <c r="O215" s="20">
        <f>DATA!Q200</f>
        <v>1</v>
      </c>
      <c r="P215" s="20">
        <f>DATA!R200</f>
        <v>1</v>
      </c>
      <c r="Q215" s="20">
        <f>DATA!S200</f>
        <v>113</v>
      </c>
      <c r="R215" s="77">
        <f>DATA!T200</f>
        <v>92308000</v>
      </c>
      <c r="S215" s="88">
        <f>DATA!U200</f>
        <v>92308000</v>
      </c>
      <c r="T215" s="77">
        <f>DATA!V200</f>
        <v>2500000</v>
      </c>
      <c r="U215" s="77">
        <f>DATA!W200</f>
        <v>0</v>
      </c>
      <c r="V215" s="77">
        <f>DATA!X200</f>
        <v>94808000</v>
      </c>
      <c r="W215" s="78" t="str">
        <f>DATA!Y200</f>
        <v>Austria/ JICA/ Singapura</v>
      </c>
      <c r="X215" s="20" t="str">
        <f>DATA!Z200</f>
        <v>Multi Lender</v>
      </c>
      <c r="Y215" s="77">
        <f>DATA!AA200</f>
        <v>92308000</v>
      </c>
      <c r="Z215" s="77">
        <f>DATA!AG200</f>
        <v>0</v>
      </c>
      <c r="AA215" s="20" t="str">
        <f>DATA!AH200</f>
        <v>Tanpa keterangan</v>
      </c>
      <c r="AB215" s="37" t="str">
        <f>DATA!AI200</f>
        <v>-</v>
      </c>
      <c r="AC215" s="152">
        <f>DATA!AM200</f>
        <v>0</v>
      </c>
      <c r="AD215" s="152" t="str">
        <f>DATA!AN200</f>
        <v>belum ada keterangan</v>
      </c>
      <c r="AE215" s="152" t="str">
        <f>DATA!AO200</f>
        <v>belum ada keterangan</v>
      </c>
      <c r="AF215" s="37" t="str">
        <f>DATA!AJ200</f>
        <v>-</v>
      </c>
      <c r="AG215" s="37" t="str">
        <f>DATA!AK200</f>
        <v>-</v>
      </c>
      <c r="AH215" s="37" t="str">
        <f>DATA!AL200</f>
        <v>-</v>
      </c>
      <c r="AI215" s="20">
        <f>DATA!AM200</f>
        <v>0</v>
      </c>
      <c r="AJ215" s="20" t="str">
        <f>DATA!AN200</f>
        <v>belum ada keterangan</v>
      </c>
      <c r="AK215" s="20" t="str">
        <f>DATA!AO200</f>
        <v>belum ada keterangan</v>
      </c>
      <c r="AL215" s="20" t="str">
        <f>DATA!AP200</f>
        <v>belum ada proses tender/lelang</v>
      </c>
      <c r="AM215" s="20" t="str">
        <f>DATA!AY200</f>
        <v xml:space="preserve">- Semula indikasi pendanaan oleh IDB namun pihak Kem. Naker mengkonfirmasikan bahwa Lender keg ini belum ada indikasi lender
- Konfirmasi Lender Austria didapatkan dari rapat dgn Dit. Multilateral tgl 15 Okt' 2015 di R.SG-4
</v>
      </c>
      <c r="AN215" s="20" t="e">
        <f>DATA!#REF!</f>
        <v>#REF!</v>
      </c>
      <c r="AO215" s="20" t="str">
        <f>DATA!AZ200</f>
        <v>Konfirmasi Lender Austria didapatkan dari rapat dgn Dit. Multilateral tgl 15 Okt' 2015 di R.SG-4</v>
      </c>
      <c r="AP215" s="152" t="e">
        <f>DATA!#REF!</f>
        <v>#REF!</v>
      </c>
      <c r="AQ215" s="37" t="str">
        <f>DATA!BA200</f>
        <v>Penyediaan sarana dan peralatan BLK Maritim, rehabilitasi Workshop, pengembangan Software Pelatihan, dan Training of Trainers (ToT)</v>
      </c>
    </row>
    <row r="216" spans="1:43" s="4" customFormat="1" ht="24.95" customHeight="1">
      <c r="J216" s="107"/>
      <c r="K216" s="25">
        <f>DATA!E201</f>
        <v>15</v>
      </c>
      <c r="L216" s="108" t="str">
        <f>DATA!F201</f>
        <v>Kementerian Kelautan dan Perikanan</v>
      </c>
      <c r="M216" s="25"/>
      <c r="N216" s="27"/>
      <c r="O216" s="26"/>
      <c r="P216" s="26"/>
      <c r="Q216" s="26"/>
      <c r="R216" s="80">
        <f>+R217</f>
        <v>107000000</v>
      </c>
      <c r="S216" s="80">
        <f>+S217</f>
        <v>107000000</v>
      </c>
      <c r="T216" s="80">
        <f t="shared" ref="T216:Z217" si="31">+T217</f>
        <v>4261000</v>
      </c>
      <c r="U216" s="80">
        <f t="shared" si="31"/>
        <v>2160000</v>
      </c>
      <c r="V216" s="80">
        <f t="shared" si="31"/>
        <v>113421000</v>
      </c>
      <c r="W216" s="80"/>
      <c r="X216" s="80" t="str">
        <f>+X217</f>
        <v>-</v>
      </c>
      <c r="Y216" s="80">
        <f>+Y217</f>
        <v>107000000</v>
      </c>
      <c r="Z216" s="80">
        <f>+Z217</f>
        <v>-107000000</v>
      </c>
      <c r="AA216" s="26"/>
      <c r="AB216" s="27"/>
      <c r="AC216" s="27"/>
      <c r="AD216" s="27"/>
      <c r="AE216" s="27"/>
      <c r="AF216" s="27"/>
      <c r="AG216" s="27"/>
      <c r="AH216" s="27"/>
      <c r="AI216" s="26"/>
      <c r="AJ216" s="26"/>
      <c r="AK216" s="26"/>
      <c r="AL216" s="26"/>
      <c r="AM216" s="26"/>
      <c r="AN216" s="26"/>
      <c r="AO216" s="26"/>
      <c r="AP216" s="27"/>
      <c r="AQ216" s="27"/>
    </row>
    <row r="217" spans="1:43" s="5" customFormat="1" ht="33.75" customHeight="1">
      <c r="J217" s="28"/>
      <c r="K217" s="116"/>
      <c r="L217" s="30" t="str">
        <f>DATA!I201</f>
        <v>A</v>
      </c>
      <c r="M217" s="31" t="str">
        <f>DATA!J201</f>
        <v>Program Peningkatan Fasilitas Perikanan</v>
      </c>
      <c r="N217" s="51"/>
      <c r="O217" s="31"/>
      <c r="P217" s="31"/>
      <c r="Q217" s="31"/>
      <c r="R217" s="81">
        <f>+R218</f>
        <v>107000000</v>
      </c>
      <c r="S217" s="81">
        <f>+S218</f>
        <v>107000000</v>
      </c>
      <c r="T217" s="81">
        <f t="shared" si="31"/>
        <v>4261000</v>
      </c>
      <c r="U217" s="81">
        <f t="shared" si="31"/>
        <v>2160000</v>
      </c>
      <c r="V217" s="81">
        <f t="shared" si="31"/>
        <v>113421000</v>
      </c>
      <c r="W217" s="81"/>
      <c r="X217" s="81" t="str">
        <f t="shared" si="31"/>
        <v>-</v>
      </c>
      <c r="Y217" s="81">
        <f t="shared" si="31"/>
        <v>107000000</v>
      </c>
      <c r="Z217" s="81">
        <f t="shared" si="31"/>
        <v>-107000000</v>
      </c>
      <c r="AA217" s="31"/>
      <c r="AB217" s="32"/>
      <c r="AC217" s="32"/>
      <c r="AD217" s="32"/>
      <c r="AE217" s="32"/>
      <c r="AF217" s="32"/>
      <c r="AG217" s="32"/>
      <c r="AH217" s="32"/>
      <c r="AI217" s="31"/>
      <c r="AJ217" s="31"/>
      <c r="AK217" s="31"/>
      <c r="AL217" s="31"/>
      <c r="AM217" s="31"/>
      <c r="AN217" s="31"/>
      <c r="AO217" s="31"/>
      <c r="AP217" s="32"/>
      <c r="AQ217" s="32"/>
    </row>
    <row r="218" spans="1:43" ht="58.5" customHeight="1">
      <c r="A218" s="10">
        <f>DATA!A201</f>
        <v>146</v>
      </c>
      <c r="B218" s="10">
        <f>DATA!B201</f>
        <v>0</v>
      </c>
      <c r="C218" s="10" t="str">
        <f>DATA!D201</f>
        <v>NON-INFRASTRUKTUR</v>
      </c>
      <c r="D218" s="10">
        <f>DATA!E201</f>
        <v>15</v>
      </c>
      <c r="E218" s="10" t="str">
        <f>DATA!F201</f>
        <v>Kementerian Kelautan dan Perikanan</v>
      </c>
      <c r="F218" s="10" t="str">
        <f>DATA!H201</f>
        <v>Improvement of Fisheries Facilities Program</v>
      </c>
      <c r="G218" s="10" t="str">
        <f>DATA!I201</f>
        <v>A</v>
      </c>
      <c r="H218" s="10" t="str">
        <f>DATA!J201</f>
        <v>Program Peningkatan Fasilitas Perikanan</v>
      </c>
      <c r="I218" s="10">
        <f>DATA!K201</f>
        <v>1</v>
      </c>
      <c r="J218" s="33"/>
      <c r="K218" s="20"/>
      <c r="L218" s="20"/>
      <c r="M218" s="36">
        <f>DATA!K201</f>
        <v>1</v>
      </c>
      <c r="N218" s="37" t="str">
        <f>DATA!L201</f>
        <v xml:space="preserve">Outer Ring Fishing Ports Development - Phase I </v>
      </c>
      <c r="O218" s="20">
        <f>DATA!Q201</f>
        <v>1</v>
      </c>
      <c r="P218" s="20">
        <f>DATA!R201</f>
        <v>1</v>
      </c>
      <c r="Q218" s="20">
        <f>DATA!S201</f>
        <v>114</v>
      </c>
      <c r="R218" s="77">
        <f>DATA!T201</f>
        <v>107000000</v>
      </c>
      <c r="S218" s="88">
        <f>DATA!U201</f>
        <v>107000000</v>
      </c>
      <c r="T218" s="77">
        <f>DATA!V201</f>
        <v>4261000</v>
      </c>
      <c r="U218" s="77">
        <f>DATA!W201</f>
        <v>2160000</v>
      </c>
      <c r="V218" s="77">
        <f>DATA!X201</f>
        <v>113421000</v>
      </c>
      <c r="W218" s="78" t="str">
        <f>DATA!Y201</f>
        <v>-</v>
      </c>
      <c r="X218" s="20" t="str">
        <f>DATA!Z201</f>
        <v>-</v>
      </c>
      <c r="Y218" s="77">
        <f>DATA!AA201</f>
        <v>107000000</v>
      </c>
      <c r="Z218" s="77">
        <f>DATA!AG201</f>
        <v>-107000000</v>
      </c>
      <c r="AA218" s="20" t="str">
        <f>DATA!AH201</f>
        <v>Tanpa keterangan</v>
      </c>
      <c r="AB218" s="37" t="str">
        <f>DATA!AI201</f>
        <v>-</v>
      </c>
      <c r="AC218" s="152">
        <f>DATA!AM201</f>
        <v>0</v>
      </c>
      <c r="AD218" s="152" t="str">
        <f>DATA!AN201</f>
        <v>dalam proses
(memiliki FS)</v>
      </c>
      <c r="AE218" s="152" t="str">
        <f>DATA!AO201</f>
        <v>belum ada keterangan</v>
      </c>
      <c r="AF218" s="37" t="str">
        <f>DATA!AJ201</f>
        <v>sudah ada RC</v>
      </c>
      <c r="AG218" s="37" t="str">
        <f>DATA!AK201</f>
        <v>-</v>
      </c>
      <c r="AH218" s="37" t="str">
        <f>DATA!AL201</f>
        <v>-</v>
      </c>
      <c r="AI218" s="20">
        <f>DATA!AM201</f>
        <v>0</v>
      </c>
      <c r="AJ218" s="20" t="str">
        <f>DATA!AN201</f>
        <v>dalam proses
(memiliki FS)</v>
      </c>
      <c r="AK218" s="20" t="str">
        <f>DATA!AO201</f>
        <v>belum ada keterangan</v>
      </c>
      <c r="AL218" s="20" t="str">
        <f>DATA!AP201</f>
        <v>belum ada proses tender/lelang</v>
      </c>
      <c r="AM218" s="20" t="str">
        <f>DATA!AY201</f>
        <v>- berdasarkan data/dokumen pada Bluebook sebelumnya. Semula indikasi lender Prancis, kemudian Kem. KKP mengkonfirmasikan bahwa belum ada indikasi lender
- Belum ada konfirmasi</v>
      </c>
      <c r="AN218" s="20" t="e">
        <f>DATA!#REF!</f>
        <v>#REF!</v>
      </c>
      <c r="AO218" s="20">
        <f>DATA!AZ201</f>
        <v>0</v>
      </c>
      <c r="AP218" s="152" t="e">
        <f>DATA!#REF!</f>
        <v>#REF!</v>
      </c>
      <c r="AQ218" s="37" t="str">
        <f>DATA!BA201</f>
        <v>Pekerjaan pembangunan dan peningkatan fasilitas pelabuhan perikanan serta pelatihan dan pendidikan SDM di 8 lokasi prioritas yang memiliki standar pelayanan berskala internasional</v>
      </c>
    </row>
    <row r="219" spans="1:43" s="4" customFormat="1" ht="24.95" customHeight="1">
      <c r="J219" s="107"/>
      <c r="K219" s="25">
        <f>DATA!E206</f>
        <v>16</v>
      </c>
      <c r="L219" s="108" t="str">
        <f>DATA!F206</f>
        <v>Badan Meteorologi, Klimatologi dan Geofisika (BMKG)</v>
      </c>
      <c r="M219" s="25"/>
      <c r="N219" s="27"/>
      <c r="O219" s="26"/>
      <c r="P219" s="26"/>
      <c r="Q219" s="26"/>
      <c r="R219" s="80">
        <f>+R220</f>
        <v>150000000</v>
      </c>
      <c r="S219" s="80">
        <f>+S220</f>
        <v>150000000</v>
      </c>
      <c r="T219" s="80">
        <f t="shared" ref="T219:Z220" si="32">+T220</f>
        <v>9000000</v>
      </c>
      <c r="U219" s="80">
        <f t="shared" si="32"/>
        <v>0</v>
      </c>
      <c r="V219" s="80">
        <f t="shared" si="32"/>
        <v>159000000</v>
      </c>
      <c r="W219" s="80">
        <f t="shared" si="32"/>
        <v>0</v>
      </c>
      <c r="X219" s="80">
        <f t="shared" si="32"/>
        <v>0</v>
      </c>
      <c r="Y219" s="80">
        <f t="shared" si="32"/>
        <v>150000000</v>
      </c>
      <c r="Z219" s="80">
        <f t="shared" si="32"/>
        <v>0</v>
      </c>
      <c r="AA219" s="26"/>
      <c r="AB219" s="27"/>
      <c r="AC219" s="27"/>
      <c r="AD219" s="27"/>
      <c r="AE219" s="27"/>
      <c r="AF219" s="27"/>
      <c r="AG219" s="27"/>
      <c r="AH219" s="27"/>
      <c r="AI219" s="26"/>
      <c r="AJ219" s="26"/>
      <c r="AK219" s="26"/>
      <c r="AL219" s="26"/>
      <c r="AM219" s="26"/>
      <c r="AN219" s="26"/>
      <c r="AO219" s="26"/>
      <c r="AP219" s="27"/>
      <c r="AQ219" s="27"/>
    </row>
    <row r="220" spans="1:43" s="5" customFormat="1" ht="33.75" customHeight="1">
      <c r="J220" s="28"/>
      <c r="K220" s="29"/>
      <c r="L220" s="30" t="str">
        <f>DATA!I206</f>
        <v>A</v>
      </c>
      <c r="M220" s="31" t="str">
        <f>DATA!J206</f>
        <v>Program Pengembangan dan Pembinaan Meteorologi, Klimatologi, dan Geofisika</v>
      </c>
      <c r="N220" s="51"/>
      <c r="O220" s="31"/>
      <c r="P220" s="31"/>
      <c r="Q220" s="31"/>
      <c r="R220" s="81">
        <f>+R221</f>
        <v>150000000</v>
      </c>
      <c r="S220" s="81">
        <f>+S221</f>
        <v>150000000</v>
      </c>
      <c r="T220" s="81">
        <f t="shared" si="32"/>
        <v>9000000</v>
      </c>
      <c r="U220" s="81">
        <f t="shared" si="32"/>
        <v>0</v>
      </c>
      <c r="V220" s="81">
        <f t="shared" si="32"/>
        <v>159000000</v>
      </c>
      <c r="W220" s="82"/>
      <c r="X220" s="31"/>
      <c r="Y220" s="81">
        <f t="shared" si="32"/>
        <v>150000000</v>
      </c>
      <c r="Z220" s="81">
        <f t="shared" si="32"/>
        <v>0</v>
      </c>
      <c r="AA220" s="31"/>
      <c r="AB220" s="32"/>
      <c r="AC220" s="32"/>
      <c r="AD220" s="32"/>
      <c r="AE220" s="32"/>
      <c r="AF220" s="32"/>
      <c r="AG220" s="32"/>
      <c r="AH220" s="32"/>
      <c r="AI220" s="31"/>
      <c r="AJ220" s="31"/>
      <c r="AK220" s="31"/>
      <c r="AL220" s="31"/>
      <c r="AM220" s="31"/>
      <c r="AN220" s="31"/>
      <c r="AO220" s="31"/>
      <c r="AP220" s="32"/>
      <c r="AQ220" s="32"/>
    </row>
    <row r="221" spans="1:43" ht="102">
      <c r="A221" s="10">
        <f>DATA!A206</f>
        <v>147</v>
      </c>
      <c r="B221" s="10">
        <f>DATA!B206</f>
        <v>0</v>
      </c>
      <c r="C221" s="10" t="str">
        <f>DATA!D206</f>
        <v>NON-INFRASTRUKTUR</v>
      </c>
      <c r="D221" s="10">
        <f>DATA!E206</f>
        <v>16</v>
      </c>
      <c r="E221" s="10" t="str">
        <f>DATA!F206</f>
        <v>Badan Meteorologi, Klimatologi dan Geofisika (BMKG)</v>
      </c>
      <c r="F221" s="10" t="str">
        <f>DATA!H206</f>
        <v>Program for Capacity Development and Guidance of Meteorology, Climatology, and Geophysics</v>
      </c>
      <c r="G221" s="10" t="str">
        <f>DATA!I206</f>
        <v>A</v>
      </c>
      <c r="H221" s="10" t="str">
        <f>DATA!J206</f>
        <v>Program Pengembangan dan Pembinaan Meteorologi, Klimatologi, dan Geofisika</v>
      </c>
      <c r="I221" s="10">
        <f>DATA!K206</f>
        <v>1</v>
      </c>
      <c r="J221" s="33"/>
      <c r="K221" s="54"/>
      <c r="L221" s="36"/>
      <c r="M221" s="36">
        <f>DATA!K206</f>
        <v>1</v>
      </c>
      <c r="N221" s="37" t="str">
        <f>DATA!L206</f>
        <v xml:space="preserve">Strengthening Climate and Weather Service Capacity – Phase II:
a) Kegiatan lanjutan dari kegiatan Strengthening BMKG Climate and Weather Services Capacity Phase I
b) Kegiatan pengembangan sistem Layanan Informasi Meteorologi Maritim </v>
      </c>
      <c r="O221" s="20">
        <f>DATA!Q206</f>
        <v>1</v>
      </c>
      <c r="P221" s="20">
        <f>DATA!R206</f>
        <v>1</v>
      </c>
      <c r="Q221" s="20">
        <f>DATA!S206</f>
        <v>115</v>
      </c>
      <c r="R221" s="77">
        <f>DATA!T206</f>
        <v>150000000</v>
      </c>
      <c r="S221" s="88">
        <f>DATA!U206</f>
        <v>150000000</v>
      </c>
      <c r="T221" s="77">
        <f>DATA!V206</f>
        <v>9000000</v>
      </c>
      <c r="U221" s="77">
        <f>DATA!W206</f>
        <v>0</v>
      </c>
      <c r="V221" s="77">
        <f>DATA!X206</f>
        <v>159000000</v>
      </c>
      <c r="W221" s="78" t="str">
        <f>DATA!Y206</f>
        <v>US EXIM</v>
      </c>
      <c r="X221" s="20" t="str">
        <f>DATA!Z206</f>
        <v>Bilateral</v>
      </c>
      <c r="Y221" s="77">
        <f>DATA!AA206</f>
        <v>150000000</v>
      </c>
      <c r="Z221" s="77">
        <f>DATA!AG206</f>
        <v>0</v>
      </c>
      <c r="AA221" s="20" t="str">
        <f>DATA!AH206</f>
        <v>Tanpa keterangan</v>
      </c>
      <c r="AB221" s="37" t="str">
        <f>DATA!AI206</f>
        <v>a) Siap
b) -</v>
      </c>
      <c r="AC221" s="152">
        <f>DATA!AM206</f>
        <v>0</v>
      </c>
      <c r="AD221" s="152" t="str">
        <f>DATA!AN206</f>
        <v>dalam proses
(penyusunan FS)</v>
      </c>
      <c r="AE221" s="152" t="str">
        <f>DATA!AO206</f>
        <v>siap</v>
      </c>
      <c r="AF221" s="37" t="str">
        <f>DATA!AJ206</f>
        <v>a) Siap
b) -</v>
      </c>
      <c r="AG221" s="37" t="str">
        <f>DATA!AK206</f>
        <v>a) Siap
b) Siap</v>
      </c>
      <c r="AH221" s="37" t="str">
        <f>DATA!AL206</f>
        <v>a) -
b) -</v>
      </c>
      <c r="AI221" s="20">
        <f>DATA!AM206</f>
        <v>0</v>
      </c>
      <c r="AJ221" s="20" t="str">
        <f>DATA!AN206</f>
        <v>dalam proses
(penyusunan FS)</v>
      </c>
      <c r="AK221" s="20" t="str">
        <f>DATA!AO206</f>
        <v>siap</v>
      </c>
      <c r="AL221" s="20" t="str">
        <f>DATA!AP206</f>
        <v>belum ada proses tender/lelang</v>
      </c>
      <c r="AM221" s="20" t="str">
        <f>DATA!AY206</f>
        <v>- Terintegrasi dengan sarana dan sistem hasil kegiatan fase 1 yang sudah terbangun sebelumnya
- Surat Kepala BMKG nomor KU.205/003/KB/IX/2015 tanggal 8 September 2015</v>
      </c>
      <c r="AN221" s="20" t="e">
        <f>DATA!#REF!</f>
        <v>#REF!</v>
      </c>
      <c r="AO221" s="20">
        <f>DATA!AZ206</f>
        <v>0</v>
      </c>
      <c r="AP221" s="152" t="e">
        <f>DATA!#REF!</f>
        <v>#REF!</v>
      </c>
      <c r="AQ221" s="37"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row>
    <row r="222" spans="1:43" s="4" customFormat="1" ht="24.95" customHeight="1">
      <c r="J222" s="107"/>
      <c r="K222" s="25">
        <f>DATA!E207</f>
        <v>17</v>
      </c>
      <c r="L222" s="108" t="str">
        <f>DATA!F207</f>
        <v>Badan Pengkajian dan Penerapan Teknologi (BPPT)</v>
      </c>
      <c r="M222" s="25"/>
      <c r="N222" s="27"/>
      <c r="O222" s="26"/>
      <c r="P222" s="26"/>
      <c r="Q222" s="26"/>
      <c r="R222" s="80">
        <f>+R223</f>
        <v>114400000</v>
      </c>
      <c r="S222" s="80">
        <f>+S223</f>
        <v>114400000</v>
      </c>
      <c r="T222" s="80">
        <f t="shared" ref="T222:Z223" si="33">+T223</f>
        <v>17200000</v>
      </c>
      <c r="U222" s="80">
        <f t="shared" si="33"/>
        <v>0</v>
      </c>
      <c r="V222" s="80">
        <f t="shared" si="33"/>
        <v>131600000</v>
      </c>
      <c r="W222" s="122"/>
      <c r="X222" s="26"/>
      <c r="Y222" s="80">
        <f>+Y223</f>
        <v>114400000</v>
      </c>
      <c r="Z222" s="80">
        <f>+Z223</f>
        <v>0</v>
      </c>
      <c r="AA222" s="26"/>
      <c r="AB222" s="27"/>
      <c r="AC222" s="27"/>
      <c r="AD222" s="27"/>
      <c r="AE222" s="27"/>
      <c r="AF222" s="27"/>
      <c r="AG222" s="27"/>
      <c r="AH222" s="27"/>
      <c r="AI222" s="26"/>
      <c r="AJ222" s="26"/>
      <c r="AK222" s="26"/>
      <c r="AL222" s="26"/>
      <c r="AM222" s="26"/>
      <c r="AN222" s="26"/>
      <c r="AO222" s="26"/>
      <c r="AP222" s="27"/>
      <c r="AQ222" s="27"/>
    </row>
    <row r="223" spans="1:43" s="5" customFormat="1" ht="33.75" customHeight="1">
      <c r="J223" s="28"/>
      <c r="K223" s="29"/>
      <c r="L223" s="30" t="str">
        <f>DATA!I207</f>
        <v>A</v>
      </c>
      <c r="M223" s="31" t="str">
        <f>DATA!J207</f>
        <v>Program Pembangunan Science Park dan Technopark</v>
      </c>
      <c r="N223" s="51"/>
      <c r="O223" s="31"/>
      <c r="P223" s="31"/>
      <c r="Q223" s="31"/>
      <c r="R223" s="81">
        <f>+R224</f>
        <v>114400000</v>
      </c>
      <c r="S223" s="81">
        <f>+S224</f>
        <v>114400000</v>
      </c>
      <c r="T223" s="81">
        <f t="shared" si="33"/>
        <v>17200000</v>
      </c>
      <c r="U223" s="81">
        <f t="shared" si="33"/>
        <v>0</v>
      </c>
      <c r="V223" s="81">
        <f t="shared" si="33"/>
        <v>131600000</v>
      </c>
      <c r="W223" s="81"/>
      <c r="X223" s="81" t="str">
        <f t="shared" si="33"/>
        <v>Bilateral</v>
      </c>
      <c r="Y223" s="81">
        <f t="shared" si="33"/>
        <v>114400000</v>
      </c>
      <c r="Z223" s="81">
        <f t="shared" si="33"/>
        <v>0</v>
      </c>
      <c r="AA223" s="31"/>
      <c r="AB223" s="32"/>
      <c r="AC223" s="32"/>
      <c r="AD223" s="32"/>
      <c r="AE223" s="32"/>
      <c r="AF223" s="32"/>
      <c r="AG223" s="32"/>
      <c r="AH223" s="32"/>
      <c r="AI223" s="31"/>
      <c r="AJ223" s="31"/>
      <c r="AK223" s="31"/>
      <c r="AL223" s="31"/>
      <c r="AM223" s="31"/>
      <c r="AN223" s="31"/>
      <c r="AO223" s="31"/>
      <c r="AP223" s="32"/>
      <c r="AQ223" s="32"/>
    </row>
    <row r="224" spans="1:43" ht="91.5" customHeight="1">
      <c r="A224" s="10">
        <f>DATA!A207</f>
        <v>148</v>
      </c>
      <c r="B224" s="10">
        <f>DATA!B207</f>
        <v>0</v>
      </c>
      <c r="C224" s="10" t="str">
        <f>DATA!D207</f>
        <v>NON-INFRASTRUKTUR</v>
      </c>
      <c r="D224" s="10">
        <f>DATA!E207</f>
        <v>17</v>
      </c>
      <c r="E224" s="10" t="str">
        <f>DATA!F207</f>
        <v>Badan Pengkajian dan Penerapan Teknologi (BPPT)</v>
      </c>
      <c r="F224" s="10" t="str">
        <f>DATA!H207</f>
        <v>Science Park and Technopark Development Program</v>
      </c>
      <c r="G224" s="10" t="str">
        <f>DATA!I207</f>
        <v>A</v>
      </c>
      <c r="H224" s="10" t="str">
        <f>DATA!J207</f>
        <v>Program Pembangunan Science Park dan Technopark</v>
      </c>
      <c r="I224" s="10">
        <f>DATA!K207</f>
        <v>1</v>
      </c>
      <c r="J224" s="52"/>
      <c r="K224" s="54"/>
      <c r="L224" s="36"/>
      <c r="M224" s="36">
        <f>DATA!K207</f>
        <v>1</v>
      </c>
      <c r="N224" s="37" t="str">
        <f>DATA!L207</f>
        <v>Development of Maritime National Science and Technology Park (NTSP) in the Northern Penajam Paser and Revitalization Infrastructure Marine Survey</v>
      </c>
      <c r="O224" s="20">
        <f>DATA!Q207</f>
        <v>1</v>
      </c>
      <c r="P224" s="20">
        <f>DATA!R207</f>
        <v>1</v>
      </c>
      <c r="Q224" s="20">
        <f>DATA!S207</f>
        <v>116</v>
      </c>
      <c r="R224" s="77">
        <f>DATA!T207</f>
        <v>114400000</v>
      </c>
      <c r="S224" s="88">
        <f>DATA!U207</f>
        <v>114400000</v>
      </c>
      <c r="T224" s="77">
        <f>DATA!V207</f>
        <v>17200000</v>
      </c>
      <c r="U224" s="77">
        <f>DATA!W207</f>
        <v>0</v>
      </c>
      <c r="V224" s="77">
        <f>DATA!X207</f>
        <v>131600000</v>
      </c>
      <c r="W224" s="78" t="str">
        <f>DATA!Y207</f>
        <v xml:space="preserve">Perancis (AFD)  </v>
      </c>
      <c r="X224" s="20" t="str">
        <f>DATA!Z207</f>
        <v>Bilateral</v>
      </c>
      <c r="Y224" s="77">
        <f>DATA!AA207</f>
        <v>114400000</v>
      </c>
      <c r="Z224" s="77">
        <f>DATA!AG207</f>
        <v>0</v>
      </c>
      <c r="AA224" s="20" t="str">
        <f>DATA!AH207</f>
        <v>Tanpa keterangan</v>
      </c>
      <c r="AB224" s="37" t="str">
        <f>DATA!AI207</f>
        <v xml:space="preserve">  (1) Development of Maritime NTSP: (tidak ada data)
(2) Revitalization Infrastructure Marine Survey: (tidak ada data)  </v>
      </c>
      <c r="AC224" s="152">
        <f>DATA!AM207</f>
        <v>0</v>
      </c>
      <c r="AD224" s="152" t="str">
        <f>DATA!AN207</f>
        <v>dalam proses
(penyusunan FS)</v>
      </c>
      <c r="AE224" s="152" t="str">
        <f>DATA!AO207</f>
        <v>dalam proses
(pelaksanaan)</v>
      </c>
      <c r="AF224" s="37" t="str">
        <f>DATA!AJ207</f>
        <v xml:space="preserve">  (1) Development of Maritime NTSP: Pra-FS
(2) Revitalization Infrastructure Marine Survey: (tidak ada data)  </v>
      </c>
      <c r="AG224" s="37" t="str">
        <f>DATA!AK207</f>
        <v xml:space="preserve">  (1) Development of Maritime NTSP: 20%
(2) Revitalization Infrastructure Marine Survey: tidak memerlukan lahan  </v>
      </c>
      <c r="AH224" s="37" t="str">
        <f>DATA!AL207</f>
        <v xml:space="preserve">  (1) Development of Maritime NTSP: belum ada tender
(2) Revitalization Infrastructure Marine Survey:belum ada tender  </v>
      </c>
      <c r="AI224" s="20">
        <f>DATA!AM207</f>
        <v>0</v>
      </c>
      <c r="AJ224" s="20" t="str">
        <f>DATA!AN207</f>
        <v>dalam proses
(penyusunan FS)</v>
      </c>
      <c r="AK224" s="20" t="str">
        <f>DATA!AO207</f>
        <v>dalam proses
(pelaksanaan)</v>
      </c>
      <c r="AL224" s="20" t="str">
        <f>DATA!AP207</f>
        <v>belum ada proses tender/lelang</v>
      </c>
      <c r="AM224" s="20" t="str">
        <f>DATA!AY207</f>
        <v>- Selain Perancis , pihak BPPT mengkonfirmasikan bahwa Korea berminat untuk menjadi lender pada proyek NSTP Maritim Kab. PPU
- Pelaksanaannya direncanakan tahun 2016 dan tahun 2017
-  Konfirmasi melalui e-mail tanggal 10 Sept 2015</v>
      </c>
      <c r="AN224" s="20" t="e">
        <f>DATA!#REF!</f>
        <v>#REF!</v>
      </c>
      <c r="AO224" s="20">
        <f>DATA!AZ207</f>
        <v>0</v>
      </c>
      <c r="AP224" s="152" t="e">
        <f>DATA!#REF!</f>
        <v>#REF!</v>
      </c>
      <c r="AQ224" s="37" t="str">
        <f>DATA!BA207</f>
        <v>Pembangunan dermaga kapal riset, laboratorium kemaritiman, workshop, dan sarana prasarana penunjang darat lainnya serta Revitalisasi 4 buah kapal riset Baruna Jaya I, II, III, dan IV dan peralatan survei kelautan lainnya</v>
      </c>
    </row>
    <row r="225" spans="10:43" s="3" customFormat="1" ht="30" customHeight="1">
      <c r="J225" s="3363" t="s">
        <v>477</v>
      </c>
      <c r="K225" s="3364"/>
      <c r="L225" s="3364"/>
      <c r="M225" s="3364"/>
      <c r="N225" s="3365"/>
      <c r="O225" s="119"/>
      <c r="P225" s="119"/>
      <c r="Q225" s="119"/>
      <c r="R225" s="123">
        <f>+R9+R162</f>
        <v>39876907800</v>
      </c>
      <c r="S225" s="123">
        <f>+S9+S162</f>
        <v>40173702900</v>
      </c>
      <c r="T225" s="123">
        <f>+T9+T162</f>
        <v>5212917900</v>
      </c>
      <c r="U225" s="123">
        <f>+U9+U162</f>
        <v>19660000</v>
      </c>
      <c r="V225" s="123">
        <f>+V9+V162</f>
        <v>45085941000</v>
      </c>
      <c r="W225" s="123"/>
      <c r="X225" s="123" t="e">
        <f>+X9+X162</f>
        <v>#VALUE!</v>
      </c>
      <c r="Y225" s="123">
        <f>+Y9+Y162</f>
        <v>39686527800</v>
      </c>
      <c r="Z225" s="123">
        <f>+Z9+Z162</f>
        <v>-2146834004</v>
      </c>
      <c r="AA225" s="119"/>
      <c r="AB225" s="125"/>
      <c r="AC225" s="125"/>
      <c r="AD225" s="125"/>
      <c r="AE225" s="125"/>
      <c r="AF225" s="125"/>
      <c r="AG225" s="125"/>
      <c r="AH225" s="125"/>
      <c r="AI225" s="119"/>
      <c r="AJ225" s="119"/>
      <c r="AK225" s="119"/>
      <c r="AL225" s="119"/>
      <c r="AM225" s="119"/>
      <c r="AN225" s="119"/>
      <c r="AO225" s="119"/>
      <c r="AP225" s="125"/>
      <c r="AQ225" s="125"/>
    </row>
  </sheetData>
  <autoFilter ref="A8:AQ225"/>
  <mergeCells count="15">
    <mergeCell ref="J1:AQ1"/>
    <mergeCell ref="J3:AH3"/>
    <mergeCell ref="W6:Y6"/>
    <mergeCell ref="AB6:AH6"/>
    <mergeCell ref="J225:N225"/>
    <mergeCell ref="R6:R7"/>
    <mergeCell ref="S6:S7"/>
    <mergeCell ref="T6:T7"/>
    <mergeCell ref="U6:U7"/>
    <mergeCell ref="V6:V7"/>
    <mergeCell ref="Z6:Z7"/>
    <mergeCell ref="AA6:AA7"/>
    <mergeCell ref="AP6:AP7"/>
    <mergeCell ref="AQ6:AQ7"/>
    <mergeCell ref="J6:N7"/>
  </mergeCells>
  <printOptions horizontalCentered="1"/>
  <pageMargins left="0.39305555555555599" right="0.39305555555555599" top="0.39305555555555599" bottom="0.39305555555555599" header="0.31458333333333299" footer="0.196527777777778"/>
  <pageSetup paperSize="9" scale="45" fitToHeight="0" orientation="landscape"/>
  <headerFooter>
    <oddFooter>&amp;R&amp;"Cambria,Italic"&amp;9&amp;P/&amp;N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Y127"/>
  <sheetViews>
    <sheetView topLeftCell="J1" zoomScale="64" zoomScaleNormal="64" workbookViewId="0">
      <pane ySplit="8" topLeftCell="A9" activePane="bottomLeft" state="frozen"/>
      <selection pane="bottomLeft" activeCell="S24" sqref="S24"/>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3.7109375" style="12" customWidth="1"/>
    <col min="15" max="16" width="9.140625" style="10" hidden="1" customWidth="1"/>
    <col min="17" max="17" width="19.85546875" style="10" hidden="1" customWidth="1"/>
    <col min="18" max="18" width="21" style="13" customWidth="1"/>
    <col min="19" max="19" width="21" style="13" hidden="1" customWidth="1"/>
    <col min="20" max="20" width="20.140625" style="13" hidden="1" customWidth="1"/>
    <col min="21" max="21" width="15.85546875" style="13" hidden="1" customWidth="1"/>
    <col min="22" max="22" width="21" style="13" hidden="1" customWidth="1"/>
    <col min="23" max="23" width="20.85546875" style="14" hidden="1" customWidth="1"/>
    <col min="24" max="24" width="1.28515625" style="10" hidden="1" customWidth="1"/>
    <col min="25" max="26" width="21" style="13" customWidth="1"/>
    <col min="27" max="27" width="23.42578125" style="13" customWidth="1"/>
    <col min="28" max="28" width="20.28515625" style="13" hidden="1" customWidth="1"/>
    <col min="29" max="29" width="21.5703125" style="10" hidden="1" customWidth="1"/>
    <col min="30" max="30" width="20.7109375" style="12" customWidth="1"/>
    <col min="31" max="33" width="20.7109375" style="12" hidden="1" customWidth="1"/>
    <col min="34" max="34" width="31" style="12" customWidth="1"/>
    <col min="35" max="35" width="27" style="12" customWidth="1"/>
    <col min="36" max="36" width="20.7109375" style="12" customWidth="1"/>
    <col min="37" max="37" width="31.28515625" style="10" hidden="1" customWidth="1"/>
    <col min="38" max="38" width="33.5703125" style="10" hidden="1" customWidth="1"/>
    <col min="39" max="39" width="26.7109375" style="10" hidden="1" customWidth="1"/>
    <col min="40" max="40" width="24" style="10" hidden="1" customWidth="1"/>
    <col min="41" max="41" width="29.28515625" style="10" hidden="1" customWidth="1"/>
    <col min="42" max="42" width="20.140625" style="10" hidden="1" customWidth="1"/>
    <col min="43" max="43" width="22.5703125" style="10" hidden="1" customWidth="1"/>
    <col min="44" max="44" width="22.5703125" style="12" hidden="1" customWidth="1"/>
    <col min="45" max="45" width="45.7109375" style="12" hidden="1" customWidth="1"/>
    <col min="46" max="46" width="19.42578125" style="12" hidden="1" customWidth="1"/>
    <col min="47" max="47" width="23.7109375" style="12" hidden="1" customWidth="1"/>
    <col min="48" max="48" width="51.28515625" style="12" hidden="1" customWidth="1"/>
    <col min="49" max="50" width="9.140625" style="10"/>
    <col min="51" max="51" width="15.5703125" style="10" customWidth="1"/>
    <col min="52" max="16384" width="9.140625" style="10"/>
  </cols>
  <sheetData>
    <row r="1" spans="1:48" s="1" customFormat="1" ht="18">
      <c r="J1" s="3356" t="s">
        <v>503</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c r="AP1" s="3356"/>
      <c r="AQ1" s="3356"/>
      <c r="AR1" s="3356"/>
      <c r="AS1" s="3356"/>
      <c r="AT1" s="3356"/>
      <c r="AU1" s="3356"/>
      <c r="AV1" s="3356"/>
    </row>
    <row r="2" spans="1:48" s="1" customFormat="1" ht="18">
      <c r="J2" s="15"/>
      <c r="K2" s="3356" t="s">
        <v>504</v>
      </c>
      <c r="L2" s="3356"/>
      <c r="M2" s="3356"/>
      <c r="N2" s="3356"/>
      <c r="O2" s="3356"/>
      <c r="P2" s="3356"/>
      <c r="Q2" s="3356"/>
      <c r="R2" s="3356"/>
      <c r="S2" s="3356"/>
      <c r="T2" s="3356"/>
      <c r="U2" s="3356"/>
      <c r="V2" s="3356"/>
      <c r="W2" s="3356"/>
      <c r="X2" s="3356"/>
      <c r="Y2" s="3356"/>
      <c r="Z2" s="3356"/>
      <c r="AA2" s="3356"/>
      <c r="AB2" s="3356"/>
      <c r="AC2" s="3356"/>
      <c r="AD2" s="3356"/>
      <c r="AE2" s="3356"/>
      <c r="AF2" s="3356"/>
      <c r="AG2" s="3356"/>
      <c r="AH2" s="3356"/>
      <c r="AI2" s="3356"/>
      <c r="AJ2" s="3356"/>
      <c r="AK2" s="15"/>
      <c r="AL2" s="15"/>
      <c r="AM2" s="15"/>
      <c r="AN2" s="15"/>
      <c r="AO2" s="15"/>
      <c r="AP2" s="15"/>
      <c r="AQ2" s="15"/>
      <c r="AR2" s="15"/>
      <c r="AS2" s="15"/>
      <c r="AT2" s="15"/>
      <c r="AU2" s="15"/>
      <c r="AV2" s="15"/>
    </row>
    <row r="3" spans="1:48" s="1" customFormat="1" ht="18">
      <c r="J3" s="3357" t="s">
        <v>482</v>
      </c>
      <c r="K3" s="3357"/>
      <c r="L3" s="3357"/>
      <c r="M3" s="3357"/>
      <c r="N3" s="3357"/>
      <c r="O3" s="3357"/>
      <c r="P3" s="3357"/>
      <c r="Q3" s="3357"/>
      <c r="R3" s="3357"/>
      <c r="S3" s="3357"/>
      <c r="T3" s="3357"/>
      <c r="U3" s="3357"/>
      <c r="V3" s="3357"/>
      <c r="W3" s="3357"/>
      <c r="X3" s="3357"/>
      <c r="Y3" s="3357"/>
      <c r="Z3" s="3357"/>
      <c r="AA3" s="3357"/>
      <c r="AB3" s="3357"/>
      <c r="AC3" s="3357"/>
      <c r="AD3" s="3357"/>
      <c r="AE3" s="3357"/>
      <c r="AF3" s="3357"/>
      <c r="AG3" s="3357"/>
      <c r="AH3" s="3357"/>
      <c r="AI3" s="3357"/>
      <c r="AJ3" s="3357"/>
      <c r="AK3" s="3357"/>
      <c r="AL3" s="3357"/>
      <c r="AM3" s="3357"/>
      <c r="AN3" s="3357"/>
      <c r="AO3" s="3357"/>
      <c r="AP3" s="3357"/>
      <c r="AQ3" s="3357"/>
      <c r="AR3" s="3357"/>
      <c r="AS3" s="3357"/>
      <c r="AT3" s="3357"/>
      <c r="AU3" s="3357"/>
      <c r="AV3" s="3357"/>
    </row>
    <row r="4" spans="1:48" s="1" customFormat="1" ht="15.75" customHeight="1">
      <c r="J4" s="15"/>
      <c r="K4" s="15"/>
      <c r="L4" s="15"/>
      <c r="M4" s="15"/>
      <c r="N4" s="15"/>
      <c r="O4" s="15"/>
      <c r="P4" s="15"/>
      <c r="Q4" s="15"/>
      <c r="R4" s="73"/>
      <c r="S4" s="73"/>
      <c r="T4" s="73"/>
      <c r="U4" s="73"/>
      <c r="V4" s="73"/>
      <c r="W4" s="15"/>
      <c r="X4" s="15"/>
      <c r="Y4" s="15"/>
      <c r="Z4" s="15"/>
      <c r="AA4" s="15"/>
      <c r="AB4" s="73"/>
      <c r="AC4" s="15"/>
      <c r="AD4" s="15"/>
      <c r="AE4" s="15"/>
      <c r="AF4" s="15"/>
      <c r="AG4" s="15"/>
      <c r="AH4" s="15"/>
      <c r="AI4" s="15"/>
      <c r="AJ4" s="94" t="s">
        <v>483</v>
      </c>
      <c r="AK4" s="15"/>
      <c r="AL4" s="15"/>
      <c r="AM4" s="15"/>
      <c r="AN4" s="15"/>
      <c r="AO4" s="15"/>
      <c r="AP4" s="15"/>
      <c r="AQ4" s="15"/>
      <c r="AR4" s="146"/>
      <c r="AS4" s="15"/>
      <c r="AT4" s="236"/>
      <c r="AU4" s="236"/>
      <c r="AV4" s="236"/>
    </row>
    <row r="5" spans="1:48">
      <c r="AS5" s="106" t="s">
        <v>483</v>
      </c>
    </row>
    <row r="6" spans="1:48" s="2" customFormat="1" ht="24.95" customHeight="1">
      <c r="J6" s="3388" t="s">
        <v>484</v>
      </c>
      <c r="K6" s="3372"/>
      <c r="L6" s="3372"/>
      <c r="M6" s="3372"/>
      <c r="N6" s="3372"/>
      <c r="O6" s="176"/>
      <c r="P6" s="176"/>
      <c r="Q6" s="185"/>
      <c r="R6" s="3380" t="s">
        <v>485</v>
      </c>
      <c r="S6" s="3406" t="s">
        <v>486</v>
      </c>
      <c r="T6" s="3382" t="s">
        <v>487</v>
      </c>
      <c r="U6" s="3382" t="s">
        <v>488</v>
      </c>
      <c r="V6" s="3383" t="s">
        <v>477</v>
      </c>
      <c r="W6" s="3372" t="s">
        <v>505</v>
      </c>
      <c r="X6" s="3372"/>
      <c r="Y6" s="3372"/>
      <c r="Z6" s="3372"/>
      <c r="AA6" s="3373"/>
      <c r="AB6" s="3406" t="s">
        <v>489</v>
      </c>
      <c r="AC6" s="3385" t="s">
        <v>490</v>
      </c>
      <c r="AD6" s="3374" t="s">
        <v>9</v>
      </c>
      <c r="AE6" s="3375"/>
      <c r="AF6" s="3375"/>
      <c r="AG6" s="3375"/>
      <c r="AH6" s="3375"/>
      <c r="AI6" s="3375"/>
      <c r="AJ6" s="3376"/>
      <c r="AK6" s="220"/>
      <c r="AL6" s="176"/>
      <c r="AM6" s="176"/>
      <c r="AN6" s="176"/>
      <c r="AO6" s="176"/>
      <c r="AP6" s="176"/>
      <c r="AQ6" s="176"/>
      <c r="AR6" s="3385" t="s">
        <v>491</v>
      </c>
      <c r="AS6" s="3386" t="s">
        <v>492</v>
      </c>
      <c r="AT6" s="3377" t="s">
        <v>506</v>
      </c>
      <c r="AU6" s="3378"/>
      <c r="AV6" s="3379"/>
    </row>
    <row r="7" spans="1:48" s="2" customFormat="1" ht="47.25" customHeight="1">
      <c r="J7" s="3389"/>
      <c r="K7" s="3359"/>
      <c r="L7" s="3359"/>
      <c r="M7" s="3359"/>
      <c r="N7" s="3359"/>
      <c r="O7" s="16"/>
      <c r="P7" s="16"/>
      <c r="Q7" s="117"/>
      <c r="R7" s="3381"/>
      <c r="S7" s="3407"/>
      <c r="T7" s="3367"/>
      <c r="U7" s="3367"/>
      <c r="V7" s="3384"/>
      <c r="W7" s="76" t="s">
        <v>11</v>
      </c>
      <c r="X7" s="16"/>
      <c r="Y7" s="74" t="s">
        <v>507</v>
      </c>
      <c r="Z7" s="74" t="s">
        <v>508</v>
      </c>
      <c r="AA7" s="207" t="s">
        <v>509</v>
      </c>
      <c r="AB7" s="3407"/>
      <c r="AC7" s="3371"/>
      <c r="AD7" s="208" t="s">
        <v>13</v>
      </c>
      <c r="AE7" s="208" t="s">
        <v>494</v>
      </c>
      <c r="AF7" s="208" t="s">
        <v>495</v>
      </c>
      <c r="AG7" s="208" t="s">
        <v>496</v>
      </c>
      <c r="AH7" s="208" t="s">
        <v>14</v>
      </c>
      <c r="AI7" s="208" t="s">
        <v>15</v>
      </c>
      <c r="AJ7" s="221" t="s">
        <v>16</v>
      </c>
      <c r="AK7" s="118"/>
      <c r="AL7" s="16"/>
      <c r="AM7" s="16"/>
      <c r="AN7" s="16"/>
      <c r="AO7" s="16"/>
      <c r="AP7" s="16"/>
      <c r="AQ7" s="16"/>
      <c r="AR7" s="3371"/>
      <c r="AS7" s="3387"/>
      <c r="AT7" s="237" t="s">
        <v>507</v>
      </c>
      <c r="AU7" s="76" t="s">
        <v>510</v>
      </c>
      <c r="AV7" s="238" t="s">
        <v>511</v>
      </c>
    </row>
    <row r="8" spans="1:48">
      <c r="J8" s="177"/>
      <c r="K8" s="18"/>
      <c r="L8" s="18"/>
      <c r="M8" s="18"/>
      <c r="N8" s="19"/>
      <c r="O8" s="20"/>
      <c r="P8" s="20"/>
      <c r="Q8" s="186"/>
      <c r="R8" s="187"/>
      <c r="S8" s="188"/>
      <c r="T8" s="77"/>
      <c r="U8" s="77"/>
      <c r="V8" s="77"/>
      <c r="W8" s="189"/>
      <c r="X8" s="54" t="str">
        <f>BB[[#Headers],[BILA-MULTI]]</f>
        <v>BILA-MULTI</v>
      </c>
      <c r="Y8" s="209"/>
      <c r="Z8" s="209"/>
      <c r="AA8" s="210"/>
      <c r="AB8" s="211"/>
      <c r="AC8" s="209"/>
      <c r="AD8" s="209"/>
      <c r="AE8" s="209"/>
      <c r="AF8" s="209"/>
      <c r="AG8" s="209"/>
      <c r="AH8" s="209"/>
      <c r="AI8" s="209"/>
      <c r="AJ8" s="223"/>
      <c r="AK8" s="211"/>
      <c r="AL8" s="209"/>
      <c r="AM8" s="209"/>
      <c r="AN8" s="209"/>
      <c r="AO8" s="209"/>
      <c r="AP8" s="209"/>
      <c r="AQ8" s="209"/>
      <c r="AR8" s="209"/>
      <c r="AS8" s="209"/>
      <c r="AT8" s="209"/>
      <c r="AU8" s="209"/>
      <c r="AV8" s="209"/>
    </row>
    <row r="9" spans="1:48" s="4" customFormat="1" ht="24.95" customHeight="1">
      <c r="J9" s="179"/>
      <c r="K9" s="25">
        <f>DATA!E2</f>
        <v>1</v>
      </c>
      <c r="L9" s="26" t="str">
        <f>DATA!F2</f>
        <v>Kementerian Pekerjaan Umum dan Perumahan Rakyat</v>
      </c>
      <c r="M9" s="26"/>
      <c r="N9" s="27"/>
      <c r="O9" s="26"/>
      <c r="P9" s="26"/>
      <c r="Q9" s="193"/>
      <c r="R9" s="194">
        <f t="shared" ref="R9:AU9" si="0">+R10+R17+R23+R33+R48+R60+R63+R70+R84+R88+R102+R111+R115</f>
        <v>21588199000</v>
      </c>
      <c r="S9" s="195">
        <f t="shared" si="0"/>
        <v>17985759000</v>
      </c>
      <c r="T9" s="80">
        <f t="shared" si="0"/>
        <v>2646112500</v>
      </c>
      <c r="U9" s="80">
        <f t="shared" si="0"/>
        <v>7000000</v>
      </c>
      <c r="V9" s="80">
        <f t="shared" si="0"/>
        <v>20538871500</v>
      </c>
      <c r="W9" s="80" t="e">
        <f t="shared" si="0"/>
        <v>#VALUE!</v>
      </c>
      <c r="X9" s="80" t="e">
        <f t="shared" si="0"/>
        <v>#VALUE!</v>
      </c>
      <c r="Y9" s="80">
        <f t="shared" si="0"/>
        <v>21415047596</v>
      </c>
      <c r="Z9" s="80">
        <f t="shared" si="0"/>
        <v>326391404</v>
      </c>
      <c r="AA9" s="213">
        <f t="shared" si="0"/>
        <v>0</v>
      </c>
      <c r="AB9" s="195">
        <f t="shared" si="0"/>
        <v>-126391404</v>
      </c>
      <c r="AC9" s="80" t="e">
        <f t="shared" si="0"/>
        <v>#VALUE!</v>
      </c>
      <c r="AD9" s="80"/>
      <c r="AE9" s="80"/>
      <c r="AF9" s="80"/>
      <c r="AG9" s="80"/>
      <c r="AH9" s="80"/>
      <c r="AI9" s="80"/>
      <c r="AJ9" s="227"/>
      <c r="AK9" s="195" t="e">
        <f t="shared" si="0"/>
        <v>#VALUE!</v>
      </c>
      <c r="AL9" s="80" t="e">
        <f t="shared" si="0"/>
        <v>#VALUE!</v>
      </c>
      <c r="AM9" s="80" t="e">
        <f t="shared" si="0"/>
        <v>#VALUE!</v>
      </c>
      <c r="AN9" s="80" t="e">
        <f t="shared" si="0"/>
        <v>#VALUE!</v>
      </c>
      <c r="AO9" s="80" t="e">
        <f t="shared" si="0"/>
        <v>#VALUE!</v>
      </c>
      <c r="AP9" s="80" t="e">
        <f t="shared" si="0"/>
        <v>#REF!</v>
      </c>
      <c r="AQ9" s="80" t="e">
        <f t="shared" si="0"/>
        <v>#VALUE!</v>
      </c>
      <c r="AR9" s="80" t="e">
        <f t="shared" si="0"/>
        <v>#REF!</v>
      </c>
      <c r="AS9" s="241" t="e">
        <f t="shared" si="0"/>
        <v>#VALUE!</v>
      </c>
      <c r="AT9" s="242">
        <f t="shared" si="0"/>
        <v>21731319000</v>
      </c>
      <c r="AU9" s="80">
        <f t="shared" si="0"/>
        <v>0</v>
      </c>
      <c r="AV9" s="227"/>
    </row>
    <row r="10" spans="1:48" s="5" customFormat="1" ht="24.95" customHeight="1">
      <c r="J10" s="180"/>
      <c r="K10" s="29"/>
      <c r="L10" s="30" t="str">
        <f>DATA!I2</f>
        <v>A</v>
      </c>
      <c r="M10" s="31" t="str">
        <f>DATA!J2</f>
        <v xml:space="preserve">Program Pembangunan Jalan Tol </v>
      </c>
      <c r="N10" s="32"/>
      <c r="O10" s="31"/>
      <c r="P10" s="31"/>
      <c r="Q10" s="196"/>
      <c r="R10" s="197">
        <f>R11+R13+R14+R15+R16</f>
        <v>2025000000</v>
      </c>
      <c r="S10" s="198">
        <f t="shared" ref="S10:AS10" si="1">S11+S13+S14+S15+S16</f>
        <v>775000000</v>
      </c>
      <c r="T10" s="81">
        <f t="shared" si="1"/>
        <v>72400000</v>
      </c>
      <c r="U10" s="81">
        <f t="shared" si="1"/>
        <v>0</v>
      </c>
      <c r="V10" s="81">
        <f t="shared" si="1"/>
        <v>847400000</v>
      </c>
      <c r="W10" s="81" t="e">
        <f t="shared" si="1"/>
        <v>#VALUE!</v>
      </c>
      <c r="X10" s="81" t="e">
        <f t="shared" si="1"/>
        <v>#VALUE!</v>
      </c>
      <c r="Y10" s="81">
        <f t="shared" si="1"/>
        <v>2025000000</v>
      </c>
      <c r="Z10" s="81">
        <f t="shared" si="1"/>
        <v>0</v>
      </c>
      <c r="AA10" s="214"/>
      <c r="AB10" s="198">
        <f t="shared" si="1"/>
        <v>0</v>
      </c>
      <c r="AC10" s="81">
        <f t="shared" si="1"/>
        <v>10076</v>
      </c>
      <c r="AD10" s="81"/>
      <c r="AE10" s="81"/>
      <c r="AF10" s="81"/>
      <c r="AG10" s="81"/>
      <c r="AH10" s="81"/>
      <c r="AI10" s="81"/>
      <c r="AJ10" s="229"/>
      <c r="AK10" s="198" t="e">
        <f t="shared" si="1"/>
        <v>#VALUE!</v>
      </c>
      <c r="AL10" s="81" t="e">
        <f t="shared" si="1"/>
        <v>#VALUE!</v>
      </c>
      <c r="AM10" s="81" t="e">
        <f t="shared" si="1"/>
        <v>#VALUE!</v>
      </c>
      <c r="AN10" s="81" t="e">
        <f t="shared" si="1"/>
        <v>#VALUE!</v>
      </c>
      <c r="AO10" s="81" t="e">
        <f t="shared" si="1"/>
        <v>#VALUE!</v>
      </c>
      <c r="AP10" s="81" t="e">
        <f t="shared" si="1"/>
        <v>#REF!</v>
      </c>
      <c r="AQ10" s="81">
        <f t="shared" si="1"/>
        <v>0</v>
      </c>
      <c r="AR10" s="81" t="e">
        <f t="shared" si="1"/>
        <v>#REF!</v>
      </c>
      <c r="AS10" s="243" t="e">
        <f t="shared" si="1"/>
        <v>#VALUE!</v>
      </c>
      <c r="AT10" s="244">
        <f>AT11+AT12+AT13+AT14+AT15+AT16</f>
        <v>2025000000</v>
      </c>
      <c r="AU10" s="81"/>
      <c r="AV10" s="229"/>
    </row>
    <row r="11" spans="1:48" ht="49.5" customHeight="1">
      <c r="A11" s="10">
        <f>DATA!A3</f>
        <v>1</v>
      </c>
      <c r="B11" s="10">
        <f>DATA!B3</f>
        <v>0</v>
      </c>
      <c r="C11" s="10" t="str">
        <f>DATA!D3</f>
        <v>INFRASTRUKTUR</v>
      </c>
      <c r="D11" s="10">
        <f>DATA!E3</f>
        <v>1</v>
      </c>
      <c r="E11" s="10" t="str">
        <f>DATA!F3</f>
        <v>Kementerian Pekerjaan Umum dan Perumahan Rakyat</v>
      </c>
      <c r="F11" s="10" t="str">
        <f>DATA!H3</f>
        <v>Toll Road Development Program</v>
      </c>
      <c r="G11" s="10" t="str">
        <f>DATA!I3</f>
        <v>A</v>
      </c>
      <c r="H11" s="10" t="str">
        <f>DATA!J3</f>
        <v xml:space="preserve">Program Pembangunan Jalan Tol </v>
      </c>
      <c r="I11" s="10">
        <f>DATA!K3</f>
        <v>1</v>
      </c>
      <c r="J11" s="181"/>
      <c r="K11" s="34"/>
      <c r="L11" s="34"/>
      <c r="M11" s="3390">
        <v>1</v>
      </c>
      <c r="N11" s="3393" t="str">
        <f>DATA!L2</f>
        <v>Toll Road Development in Kalimantan, Sumatera, and Java Islands</v>
      </c>
      <c r="O11" s="20">
        <f>DATA!Q3</f>
        <v>0.5</v>
      </c>
      <c r="P11" s="20">
        <f>DATA!R3</f>
        <v>0</v>
      </c>
      <c r="Q11" s="186">
        <f>DATA!S3</f>
        <v>0</v>
      </c>
      <c r="R11" s="3408">
        <f>DATA!T2</f>
        <v>1250000000</v>
      </c>
      <c r="S11" s="188">
        <f>DATA!U3</f>
        <v>0</v>
      </c>
      <c r="T11" s="77">
        <f>DATA!V3</f>
        <v>0</v>
      </c>
      <c r="U11" s="77">
        <f>DATA!W3</f>
        <v>0</v>
      </c>
      <c r="V11" s="77">
        <f>DATA!X3</f>
        <v>0</v>
      </c>
      <c r="W11" s="78" t="str">
        <f>DATA!Y3</f>
        <v>RRT</v>
      </c>
      <c r="X11" s="20" t="str">
        <f>DATA!Z3</f>
        <v>Bilateral</v>
      </c>
      <c r="Y11" s="3414">
        <f>DATA!AA2</f>
        <v>1250000000</v>
      </c>
      <c r="Z11" s="77">
        <v>0</v>
      </c>
      <c r="AA11" s="216" t="str">
        <f>DATA!Y3</f>
        <v>RRT</v>
      </c>
      <c r="AB11" s="188">
        <f>DATA!AG3</f>
        <v>0</v>
      </c>
      <c r="AC11" s="20">
        <f>DATA!AH3</f>
        <v>2016</v>
      </c>
      <c r="AD11" s="37" t="str">
        <f>DATA!AI3</f>
        <v>-</v>
      </c>
      <c r="AE11" s="152" t="str">
        <f>DATA!AM3</f>
        <v>-</v>
      </c>
      <c r="AF11" s="152" t="str">
        <f>DATA!AN3</f>
        <v>siap</v>
      </c>
      <c r="AG11" s="152" t="str">
        <f>DATA!AO3</f>
        <v>dalam proses
(pelaksanaan &lt; 50%)</v>
      </c>
      <c r="AH11" s="37" t="str">
        <f>DATA!AJ3</f>
        <v>FS, AMDAL, LARAP</v>
      </c>
      <c r="AI11" s="37" t="str">
        <f>DATA!AK3</f>
        <v>(1) Cisumdawu I: 80 %
(2) Serang-Panimbang: 25%</v>
      </c>
      <c r="AJ11" s="230" t="str">
        <f>DATA!AL3</f>
        <v>-</v>
      </c>
      <c r="AK11" s="231" t="str">
        <f>DATA!AM3</f>
        <v>-</v>
      </c>
      <c r="AL11" s="20" t="str">
        <f>DATA!AN3</f>
        <v>siap</v>
      </c>
      <c r="AM11" s="20" t="str">
        <f>DATA!AO3</f>
        <v>dalam proses
(pelaksanaan &lt; 50%)</v>
      </c>
      <c r="AN11" s="20" t="str">
        <f>DATA!AP3</f>
        <v>belum ada proses tender/lelang</v>
      </c>
      <c r="AO11" s="20" t="str">
        <f>DATA!AY3</f>
        <v>- Konfirmasi melalui surat Sekjen nomor KU.01.12-Sj/636 tgl 23 Oktober 2015
- Terdiri dari 3 kegiatan: (1) seksi 1 (Ruas Cisumdawu I); (2) Serang-Panimbang; (3) Belum ditentukan
- Prioritas ruas Cisumdawu I</v>
      </c>
      <c r="AP11" s="20" t="e">
        <f>DATA!#REF!</f>
        <v>#REF!</v>
      </c>
      <c r="AQ11" s="20">
        <f>DATA!AZ3</f>
        <v>0</v>
      </c>
      <c r="AR11" s="152" t="e">
        <f>DATA!#REF!</f>
        <v>#REF!</v>
      </c>
      <c r="AS11" s="199" t="str">
        <f>DATA!BA3</f>
        <v>Pembangunan jalan tol di provinsi Kalimantan Timur, Banten, dan Sumatera Utara dengan panjang sekitar 150 km</v>
      </c>
      <c r="AT11" s="245">
        <f>DATA!AT3</f>
        <v>1000000000</v>
      </c>
      <c r="AU11" s="109" t="str">
        <f>DATA!AU3</f>
        <v>RRT</v>
      </c>
      <c r="AV11" s="246" t="str">
        <f>DATA!AW3</f>
        <v xml:space="preserve">co-financing dengan Korea (USD 250 juta) </v>
      </c>
    </row>
    <row r="12" spans="1:48" ht="42" customHeight="1">
      <c r="A12" s="10">
        <f>DATA!A4</f>
        <v>2</v>
      </c>
      <c r="B12" s="10">
        <f>DATA!B4</f>
        <v>0</v>
      </c>
      <c r="C12" s="10" t="str">
        <f>DATA!D4</f>
        <v>INFRASTRUKTUR</v>
      </c>
      <c r="D12" s="10">
        <f>DATA!E4</f>
        <v>1</v>
      </c>
      <c r="E12" s="10" t="str">
        <f>DATA!F4</f>
        <v>Kementerian Pekerjaan Umum dan Perumahan Rakyat</v>
      </c>
      <c r="F12" s="10" t="str">
        <f>DATA!H4</f>
        <v>Toll Road Development Program</v>
      </c>
      <c r="G12" s="10" t="str">
        <f>DATA!I4</f>
        <v>A</v>
      </c>
      <c r="H12" s="10" t="str">
        <f>DATA!J4</f>
        <v xml:space="preserve">Program Pembangunan Jalan Tol </v>
      </c>
      <c r="I12" s="10">
        <f>DATA!K4</f>
        <v>1</v>
      </c>
      <c r="J12" s="181"/>
      <c r="K12" s="34"/>
      <c r="L12" s="34"/>
      <c r="M12" s="3391"/>
      <c r="N12" s="3394"/>
      <c r="O12" s="20">
        <f>DATA!Q4</f>
        <v>0.5</v>
      </c>
      <c r="P12" s="20">
        <f>DATA!R4</f>
        <v>0</v>
      </c>
      <c r="Q12" s="186">
        <f>DATA!S4</f>
        <v>0</v>
      </c>
      <c r="R12" s="3409"/>
      <c r="S12" s="188">
        <f>DATA!U4</f>
        <v>0</v>
      </c>
      <c r="T12" s="77">
        <f>DATA!V4</f>
        <v>0</v>
      </c>
      <c r="U12" s="77">
        <f>DATA!W4</f>
        <v>0</v>
      </c>
      <c r="V12" s="77">
        <f>DATA!X4</f>
        <v>0</v>
      </c>
      <c r="W12" s="78" t="str">
        <f>DATA!Y4</f>
        <v>Korea</v>
      </c>
      <c r="X12" s="20" t="str">
        <f>DATA!Z4</f>
        <v>Bilateral</v>
      </c>
      <c r="Y12" s="3415"/>
      <c r="Z12" s="77">
        <v>0</v>
      </c>
      <c r="AA12" s="216" t="str">
        <f>DATA!Y4</f>
        <v>Korea</v>
      </c>
      <c r="AB12" s="188">
        <f>DATA!AG4</f>
        <v>0</v>
      </c>
      <c r="AC12" s="20">
        <f>DATA!AH4</f>
        <v>2016</v>
      </c>
      <c r="AD12" s="37" t="str">
        <f>DATA!AI4</f>
        <v>-</v>
      </c>
      <c r="AE12" s="152" t="str">
        <f>DATA!AM4</f>
        <v>-</v>
      </c>
      <c r="AF12" s="152" t="str">
        <f>DATA!AN4</f>
        <v>siap</v>
      </c>
      <c r="AG12" s="152" t="str">
        <f>DATA!AO4</f>
        <v>dalam proses
(pelaksanaan &lt; 50%)</v>
      </c>
      <c r="AH12" s="37" t="str">
        <f>DATA!AJ4</f>
        <v>FS, AMDAL, LARAP</v>
      </c>
      <c r="AI12" s="37" t="str">
        <f>DATA!AK4</f>
        <v>(1) Cisumdawu I: 80 %
(2) Serang-Panimbang: 25%</v>
      </c>
      <c r="AJ12" s="230" t="str">
        <f>DATA!AL4</f>
        <v>-</v>
      </c>
      <c r="AK12" s="231" t="str">
        <f>DATA!AM4</f>
        <v>-</v>
      </c>
      <c r="AL12" s="20" t="str">
        <f>DATA!AN4</f>
        <v>siap</v>
      </c>
      <c r="AM12" s="20" t="str">
        <f>DATA!AO4</f>
        <v>dalam proses
(pelaksanaan &lt; 50%)</v>
      </c>
      <c r="AN12" s="20" t="str">
        <f>DATA!AP4</f>
        <v>belum ada proses tender/lelang</v>
      </c>
      <c r="AO12" s="20" t="str">
        <f>DATA!AY4</f>
        <v>- Konfirmasi melalui surat Sekjen nomor KU.01.12-Sj/636 tgl 23 Oktober 2015
- Terdiri dari 3 kegiatan: (1) seksi 1 (Ruas Cisumdawu I); (2) Serang-Panimbang; (3) Belum ditentukan
- Prioritas ruas Cisumdawu I</v>
      </c>
      <c r="AP12" s="20" t="e">
        <f>DATA!#REF!</f>
        <v>#REF!</v>
      </c>
      <c r="AQ12" s="20">
        <f>DATA!AZ4</f>
        <v>0</v>
      </c>
      <c r="AR12" s="152" t="e">
        <f>DATA!#REF!</f>
        <v>#REF!</v>
      </c>
      <c r="AS12" s="199" t="str">
        <f>DATA!BA4</f>
        <v>Pembangunan jalan tol di provinsi Kalimantan Timur, Banten, dan Sumatera Utara dengan panjang sekitar 150 km</v>
      </c>
      <c r="AT12" s="245">
        <f>DATA!AT4</f>
        <v>250000000</v>
      </c>
      <c r="AU12" s="109" t="str">
        <f>DATA!AU4</f>
        <v>Korea</v>
      </c>
      <c r="AV12" s="246" t="str">
        <f>DATA!AW4</f>
        <v>- co-financing dengan RRT (USD 1 Miliar) 
- belum masuk rolling plan EDCF (Korea)</v>
      </c>
    </row>
    <row r="13" spans="1:48" ht="63.75">
      <c r="A13" s="10">
        <f>DATA!A6</f>
        <v>4</v>
      </c>
      <c r="B13" s="10">
        <f>DATA!B6</f>
        <v>0</v>
      </c>
      <c r="C13" s="10" t="str">
        <f>DATA!D6</f>
        <v>INFRASTRUKTUR</v>
      </c>
      <c r="D13" s="10">
        <f>DATA!E6</f>
        <v>1</v>
      </c>
      <c r="E13" s="10" t="str">
        <f>DATA!F6</f>
        <v>Kementerian Pekerjaan Umum dan Perumahan Rakyat</v>
      </c>
      <c r="F13" s="10" t="str">
        <f>DATA!H6</f>
        <v>Toll Road Development Program</v>
      </c>
      <c r="G13" s="10" t="str">
        <f>DATA!I6</f>
        <v>A</v>
      </c>
      <c r="H13" s="10" t="str">
        <f>DATA!J6</f>
        <v xml:space="preserve">Program Pembangunan Jalan Tol </v>
      </c>
      <c r="I13" s="10">
        <f>DATA!K6</f>
        <v>2</v>
      </c>
      <c r="J13" s="181"/>
      <c r="K13" s="34"/>
      <c r="L13" s="34"/>
      <c r="M13" s="36">
        <v>2</v>
      </c>
      <c r="N13" s="56" t="str">
        <f>DATA!L6</f>
        <v>Development of Cileunyi - Sumedang - Dawuan Toll Road Phase II</v>
      </c>
      <c r="O13" s="20">
        <f>DATA!Q6</f>
        <v>1</v>
      </c>
      <c r="P13" s="20">
        <f>DATA!R6</f>
        <v>1</v>
      </c>
      <c r="Q13" s="186">
        <f>DATA!S6</f>
        <v>2</v>
      </c>
      <c r="R13" s="187">
        <f>DATA!T6</f>
        <v>330000000</v>
      </c>
      <c r="S13" s="188">
        <f>DATA!U6</f>
        <v>330000000</v>
      </c>
      <c r="T13" s="77">
        <f>DATA!V6</f>
        <v>26000000</v>
      </c>
      <c r="U13" s="77">
        <f>DATA!W6</f>
        <v>0</v>
      </c>
      <c r="V13" s="77">
        <f>DATA!X6</f>
        <v>356000000</v>
      </c>
      <c r="W13" s="78" t="str">
        <f>DATA!Y6</f>
        <v>RRT</v>
      </c>
      <c r="X13" s="20" t="str">
        <f>DATA!Z6</f>
        <v>Bilateral</v>
      </c>
      <c r="Y13" s="77">
        <f>DATA!AA6</f>
        <v>330000000</v>
      </c>
      <c r="Z13" s="77">
        <v>0</v>
      </c>
      <c r="AA13" s="216" t="str">
        <f>DATA!Y6</f>
        <v>RRT</v>
      </c>
      <c r="AB13" s="188">
        <f>DATA!AG6</f>
        <v>0</v>
      </c>
      <c r="AC13" s="20">
        <f>DATA!AH6</f>
        <v>2015</v>
      </c>
      <c r="AD13" s="37" t="str">
        <f>DATA!AI6</f>
        <v>- Sudah ada R/C
- Green Book 2015
- Proses LA</v>
      </c>
      <c r="AE13" s="152" t="str">
        <f>DATA!AR6</f>
        <v>Nilai pinjaman di:
- GB 16 USD 219.399 ribu
- GB 15 USD 235.000 ribu</v>
      </c>
      <c r="AF13" s="152" t="str">
        <f>DATA!AN6</f>
        <v>(memiliki FS dan DED)</v>
      </c>
      <c r="AG13" s="152" t="str">
        <f>DATA!AO6</f>
        <v>dalam proses
(pelaksanaan 80%)</v>
      </c>
      <c r="AH13" s="37" t="str">
        <f>DATA!AJ6</f>
        <v>FS, DED</v>
      </c>
      <c r="AI13" s="114">
        <f>DATA!AK6</f>
        <v>0.80200000000000005</v>
      </c>
      <c r="AJ13" s="230" t="str">
        <f>DATA!AL6</f>
        <v>Kontrak sudah ditandatangani</v>
      </c>
      <c r="AK13" s="231" t="str">
        <f>DATA!AR6</f>
        <v>Nilai pinjaman di:
- GB 16 USD 219.399 ribu
- GB 15 USD 235.000 ribu</v>
      </c>
      <c r="AL13" s="20" t="str">
        <f>DATA!AN6</f>
        <v>(memiliki FS dan DED)</v>
      </c>
      <c r="AM13" s="20" t="str">
        <f>DATA!AO6</f>
        <v>dalam proses
(pelaksanaan 80%)</v>
      </c>
      <c r="AN13" s="20" t="str">
        <f>DATA!AP6</f>
        <v>dalam proses tender/lelang</v>
      </c>
      <c r="AO13" s="20" t="str">
        <f>DATA!AY6</f>
        <v>Konfirmasi melalui surat Sekjen nomor KU.01.12-Sj/636 tgl 23 Oktober 2015</v>
      </c>
      <c r="AP13" s="20" t="e">
        <f>DATA!#REF!</f>
        <v>#REF!</v>
      </c>
      <c r="AQ13" s="20">
        <f>DATA!AZ6</f>
        <v>0</v>
      </c>
      <c r="AR13" s="152" t="e">
        <f>DATA!#REF!</f>
        <v>#REF!</v>
      </c>
      <c r="AS13" s="199" t="str">
        <f>DATA!BA6</f>
        <v>- Pembangunan jalan tol Cileunyi-Sumedang-Dawuan sepanjang 11,1 km 
- Pelayanan konsultasi untuk DED dan pengawasan konstruksi</v>
      </c>
      <c r="AT13" s="245">
        <f>DATA!AT6</f>
        <v>330000000</v>
      </c>
      <c r="AU13" s="109" t="str">
        <f>DATA!AU6</f>
        <v>RRT</v>
      </c>
      <c r="AV13" s="246" t="str">
        <f>DATA!AW6</f>
        <v>-</v>
      </c>
    </row>
    <row r="14" spans="1:48" ht="51" customHeight="1">
      <c r="A14" s="10">
        <f>DATA!A7</f>
        <v>5</v>
      </c>
      <c r="B14" s="10">
        <f>DATA!B7</f>
        <v>0</v>
      </c>
      <c r="C14" s="10" t="str">
        <f>DATA!D7</f>
        <v>INFRASTRUKTUR</v>
      </c>
      <c r="D14" s="10">
        <f>DATA!E7</f>
        <v>1</v>
      </c>
      <c r="E14" s="10" t="str">
        <f>DATA!F7</f>
        <v>Kementerian Pekerjaan Umum dan Perumahan Rakyat</v>
      </c>
      <c r="F14" s="10" t="str">
        <f>DATA!H7</f>
        <v>Toll Road Development Program</v>
      </c>
      <c r="G14" s="10" t="str">
        <f>DATA!I7</f>
        <v>A</v>
      </c>
      <c r="H14" s="10" t="str">
        <f>DATA!J7</f>
        <v xml:space="preserve">Program Pembangunan Jalan Tol </v>
      </c>
      <c r="I14" s="10">
        <f>DATA!K7</f>
        <v>2</v>
      </c>
      <c r="J14" s="181"/>
      <c r="K14" s="34"/>
      <c r="L14" s="34"/>
      <c r="M14" s="36">
        <v>3</v>
      </c>
      <c r="N14" s="56" t="str">
        <f>DATA!L7</f>
        <v xml:space="preserve">Toll Road Development of Balikpapan - Samarinda </v>
      </c>
      <c r="O14" s="20">
        <f>DATA!Q7</f>
        <v>1</v>
      </c>
      <c r="P14" s="20">
        <f>DATA!R7</f>
        <v>1</v>
      </c>
      <c r="Q14" s="186">
        <f>DATA!S7</f>
        <v>3</v>
      </c>
      <c r="R14" s="187">
        <f>DATA!T7</f>
        <v>65000000</v>
      </c>
      <c r="S14" s="188">
        <f>DATA!U7</f>
        <v>65000000</v>
      </c>
      <c r="T14" s="77">
        <f>DATA!V7</f>
        <v>6500000</v>
      </c>
      <c r="U14" s="77">
        <f>DATA!W7</f>
        <v>0</v>
      </c>
      <c r="V14" s="77">
        <f>DATA!X7</f>
        <v>71500000</v>
      </c>
      <c r="W14" s="78" t="str">
        <f>DATA!Y7</f>
        <v>RRT</v>
      </c>
      <c r="X14" s="20" t="str">
        <f>DATA!Z7</f>
        <v>Bilateral</v>
      </c>
      <c r="Y14" s="77">
        <f>DATA!AA7</f>
        <v>65000000</v>
      </c>
      <c r="Z14" s="77">
        <v>0</v>
      </c>
      <c r="AA14" s="216" t="str">
        <f>DATA!Y7</f>
        <v>RRT</v>
      </c>
      <c r="AB14" s="188">
        <f>DATA!AG7</f>
        <v>0</v>
      </c>
      <c r="AC14" s="20">
        <f>DATA!AH7</f>
        <v>2015</v>
      </c>
      <c r="AD14" s="37" t="str">
        <f>DATA!AI7</f>
        <v>- Sudah ada R/C
- Green Book 2015
- Loan Agreement tgl 29 Des'15</v>
      </c>
      <c r="AE14" s="152" t="str">
        <f>DATA!AR7</f>
        <v>Nilai pinjaman di GB USD 65.000 ribu</v>
      </c>
      <c r="AF14" s="152" t="str">
        <f>DATA!AN7</f>
        <v>(memiliki FS dan DED)</v>
      </c>
      <c r="AG14" s="152" t="str">
        <f>DATA!AO7</f>
        <v>dalam proses
(pelaksanaan 55%)</v>
      </c>
      <c r="AH14" s="37" t="str">
        <f>DATA!AJ7</f>
        <v>FS, DED</v>
      </c>
      <c r="AI14" s="114">
        <f>DATA!AK7</f>
        <v>0.55200000000000005</v>
      </c>
      <c r="AJ14" s="230" t="str">
        <f>DATA!AL7</f>
        <v>Kontrak sudah ditandatangani</v>
      </c>
      <c r="AK14" s="231" t="str">
        <f>DATA!AR7</f>
        <v>Nilai pinjaman di GB USD 65.000 ribu</v>
      </c>
      <c r="AL14" s="20" t="str">
        <f>DATA!AN7</f>
        <v>(memiliki FS dan DED)</v>
      </c>
      <c r="AM14" s="20" t="str">
        <f>DATA!AO7</f>
        <v>dalam proses
(pelaksanaan 55%)</v>
      </c>
      <c r="AN14" s="20" t="str">
        <f>DATA!AP7</f>
        <v>dalam proses tender/lelang</v>
      </c>
      <c r="AO14" s="20" t="str">
        <f>DATA!AY7</f>
        <v>Konfirmasi melalui surat Sekjen nomor KU.01.12-Sj/636 tgl 23 Oktober 2015</v>
      </c>
      <c r="AP14" s="20" t="e">
        <f>DATA!#REF!</f>
        <v>#REF!</v>
      </c>
      <c r="AQ14" s="20">
        <f>DATA!AZ7</f>
        <v>0</v>
      </c>
      <c r="AR14" s="152" t="e">
        <f>DATA!#REF!</f>
        <v>#REF!</v>
      </c>
      <c r="AS14" s="199" t="str">
        <f>DATA!BA7</f>
        <v xml:space="preserve">Pembangunan jalan tol Balikpapan-Samarinda sepanjang 11,09 km </v>
      </c>
      <c r="AT14" s="245">
        <f>DATA!AT7</f>
        <v>65000000</v>
      </c>
      <c r="AU14" s="109" t="str">
        <f>DATA!AU7</f>
        <v>RRT</v>
      </c>
      <c r="AV14" s="246" t="str">
        <f>DATA!AW7</f>
        <v>-</v>
      </c>
    </row>
    <row r="15" spans="1:48" ht="63" customHeight="1">
      <c r="A15" s="10">
        <f>DATA!A8</f>
        <v>6</v>
      </c>
      <c r="B15" s="10">
        <f>DATA!B8</f>
        <v>0</v>
      </c>
      <c r="C15" s="10" t="str">
        <f>DATA!D8</f>
        <v>INFRASTRUKTUR</v>
      </c>
      <c r="D15" s="10">
        <f>DATA!E8</f>
        <v>1</v>
      </c>
      <c r="E15" s="10" t="str">
        <f>DATA!F8</f>
        <v>Kementerian Pekerjaan Umum dan Perumahan Rakyat</v>
      </c>
      <c r="F15" s="10" t="str">
        <f>DATA!H8</f>
        <v>Toll Road Development Program</v>
      </c>
      <c r="G15" s="10" t="str">
        <f>DATA!I8</f>
        <v>A</v>
      </c>
      <c r="H15" s="10" t="str">
        <f>DATA!J8</f>
        <v xml:space="preserve">Program Pembangunan Jalan Tol </v>
      </c>
      <c r="I15" s="10">
        <f>DATA!K8</f>
        <v>2</v>
      </c>
      <c r="J15" s="181"/>
      <c r="K15" s="34"/>
      <c r="L15" s="34"/>
      <c r="M15" s="36">
        <v>4</v>
      </c>
      <c r="N15" s="56" t="str">
        <f>DATA!L8</f>
        <v xml:space="preserve">Toll Road Development of Manado - Bitung </v>
      </c>
      <c r="O15" s="20">
        <f>DATA!Q8</f>
        <v>1</v>
      </c>
      <c r="P15" s="20">
        <f>DATA!R8</f>
        <v>1</v>
      </c>
      <c r="Q15" s="186">
        <f>DATA!S8</f>
        <v>4</v>
      </c>
      <c r="R15" s="187">
        <f>DATA!T8</f>
        <v>80000000</v>
      </c>
      <c r="S15" s="188">
        <f>DATA!U8</f>
        <v>80000000</v>
      </c>
      <c r="T15" s="77">
        <f>DATA!V8</f>
        <v>8000000</v>
      </c>
      <c r="U15" s="77">
        <f>DATA!W8</f>
        <v>0</v>
      </c>
      <c r="V15" s="77">
        <f>DATA!X8</f>
        <v>88000000</v>
      </c>
      <c r="W15" s="78" t="str">
        <f>DATA!Y8</f>
        <v>RRT</v>
      </c>
      <c r="X15" s="20" t="str">
        <f>DATA!Z8</f>
        <v>Bilateral</v>
      </c>
      <c r="Y15" s="77">
        <f>DATA!AA8</f>
        <v>80000000</v>
      </c>
      <c r="Z15" s="77">
        <v>0</v>
      </c>
      <c r="AA15" s="216" t="str">
        <f>DATA!Y8</f>
        <v>RRT</v>
      </c>
      <c r="AB15" s="188">
        <f>DATA!AG8</f>
        <v>0</v>
      </c>
      <c r="AC15" s="20">
        <f>DATA!AH8</f>
        <v>2015</v>
      </c>
      <c r="AD15" s="37" t="str">
        <f>DATA!AI8</f>
        <v>- Sudah ada R/C
- Green Book 2015
- Proses LA</v>
      </c>
      <c r="AE15" s="152" t="str">
        <f>DATA!AR8</f>
        <v>Nilai pinjaman di: 
- GB 16 USD 78.100 ribu
- GB 15 USD 80.000 ribu</v>
      </c>
      <c r="AF15" s="152" t="str">
        <f>DATA!AN8</f>
        <v>(memiliki FS dan DED)</v>
      </c>
      <c r="AG15" s="152" t="str">
        <f>DATA!AO8</f>
        <v>dalam proses
(pelaksanaan 94%)</v>
      </c>
      <c r="AH15" s="37" t="str">
        <f>DATA!AJ8</f>
        <v>FS, DED</v>
      </c>
      <c r="AI15" s="114">
        <f>DATA!AK8</f>
        <v>0.93840000000000001</v>
      </c>
      <c r="AJ15" s="230" t="str">
        <f>DATA!AL8</f>
        <v>Kontrak sudah ditandatangani</v>
      </c>
      <c r="AK15" s="231" t="str">
        <f>DATA!AR8</f>
        <v>Nilai pinjaman di: 
- GB 16 USD 78.100 ribu
- GB 15 USD 80.000 ribu</v>
      </c>
      <c r="AL15" s="20" t="str">
        <f>DATA!AN8</f>
        <v>(memiliki FS dan DED)</v>
      </c>
      <c r="AM15" s="20" t="str">
        <f>DATA!AO8</f>
        <v>dalam proses
(pelaksanaan 94%)</v>
      </c>
      <c r="AN15" s="20" t="str">
        <f>DATA!AP8</f>
        <v>dalam proses tender/lelang</v>
      </c>
      <c r="AO15" s="20" t="str">
        <f>DATA!AY8</f>
        <v>Konfirmasi melalui surat Sekjen nomor KU.01.12-Sj/636 tgl 23 Oktober 2015</v>
      </c>
      <c r="AP15" s="20" t="e">
        <f>DATA!#REF!</f>
        <v>#REF!</v>
      </c>
      <c r="AQ15" s="20">
        <f>DATA!AZ8</f>
        <v>0</v>
      </c>
      <c r="AR15" s="152" t="e">
        <f>DATA!#REF!</f>
        <v>#REF!</v>
      </c>
      <c r="AS15" s="199" t="str">
        <f>DATA!BA8</f>
        <v xml:space="preserve">Pembangunan jalan tol Manado-Bitung sepanjang 7,3 km </v>
      </c>
      <c r="AT15" s="245">
        <f>DATA!AT8</f>
        <v>80000000</v>
      </c>
      <c r="AU15" s="109" t="str">
        <f>DATA!AU8</f>
        <v>RRT</v>
      </c>
      <c r="AV15" s="246" t="str">
        <f>DATA!AW8</f>
        <v>-</v>
      </c>
    </row>
    <row r="16" spans="1:48" ht="60" customHeight="1">
      <c r="A16" s="10">
        <f>DATA!A9</f>
        <v>7</v>
      </c>
      <c r="B16" s="10">
        <f>DATA!B9</f>
        <v>0</v>
      </c>
      <c r="C16" s="10" t="str">
        <f>DATA!D9</f>
        <v>INFRASTRUKTUR</v>
      </c>
      <c r="D16" s="10">
        <f>DATA!E9</f>
        <v>1</v>
      </c>
      <c r="E16" s="10" t="str">
        <f>DATA!F9</f>
        <v>Kementerian Pekerjaan Umum dan Perumahan Rakyat</v>
      </c>
      <c r="F16" s="10" t="str">
        <f>DATA!H9</f>
        <v>Toll Road Development Program</v>
      </c>
      <c r="G16" s="10" t="str">
        <f>DATA!I9</f>
        <v>A</v>
      </c>
      <c r="H16" s="10" t="str">
        <f>DATA!J9</f>
        <v xml:space="preserve">Program Pembangunan Jalan Tol </v>
      </c>
      <c r="I16" s="10">
        <f>DATA!K9</f>
        <v>2</v>
      </c>
      <c r="J16" s="181"/>
      <c r="K16" s="34"/>
      <c r="L16" s="34"/>
      <c r="M16" s="172">
        <v>5</v>
      </c>
      <c r="N16" s="173" t="str">
        <f>DATA!L9</f>
        <v xml:space="preserve">Toll Road Development of Solo - Kertosono </v>
      </c>
      <c r="O16" s="20">
        <f>DATA!Q9</f>
        <v>1</v>
      </c>
      <c r="P16" s="20">
        <f>DATA!R9</f>
        <v>1</v>
      </c>
      <c r="Q16" s="186">
        <f>DATA!S9</f>
        <v>5</v>
      </c>
      <c r="R16" s="187">
        <f>DATA!T9</f>
        <v>300000000</v>
      </c>
      <c r="S16" s="188">
        <f>DATA!U9</f>
        <v>300000000</v>
      </c>
      <c r="T16" s="77">
        <f>DATA!V9</f>
        <v>31900000</v>
      </c>
      <c r="U16" s="77">
        <f>DATA!W9</f>
        <v>0</v>
      </c>
      <c r="V16" s="77">
        <f>DATA!X9</f>
        <v>331900000</v>
      </c>
      <c r="W16" s="78" t="str">
        <f>DATA!Y9</f>
        <v>RRT</v>
      </c>
      <c r="X16" s="20" t="str">
        <f>DATA!Z9</f>
        <v>Bilateral</v>
      </c>
      <c r="Y16" s="77">
        <f>DATA!AA9</f>
        <v>300000000</v>
      </c>
      <c r="Z16" s="77">
        <v>0</v>
      </c>
      <c r="AA16" s="216" t="str">
        <f>DATA!Y9</f>
        <v>RRT</v>
      </c>
      <c r="AB16" s="188">
        <f>DATA!AG9</f>
        <v>0</v>
      </c>
      <c r="AC16" s="20">
        <f>DATA!AH9</f>
        <v>2015</v>
      </c>
      <c r="AD16" s="37" t="str">
        <f>DATA!AI9</f>
        <v>- Sudah ada R/C
- Green Book 2015
- Loan Agreement tgl 29 Des'15</v>
      </c>
      <c r="AE16" s="152" t="str">
        <f>DATA!AR9</f>
        <v>Nilai pinjaman di GB USD 200.000 ribu</v>
      </c>
      <c r="AF16" s="152" t="str">
        <f>DATA!AN9</f>
        <v>(memiliki FS dan DED)</v>
      </c>
      <c r="AG16" s="152" t="str">
        <f>DATA!AO9</f>
        <v>dalam proses
(pelaksanaan 62%)</v>
      </c>
      <c r="AH16" s="37" t="str">
        <f>DATA!AJ9</f>
        <v>FS, DED</v>
      </c>
      <c r="AI16" s="114">
        <f>DATA!AK9</f>
        <v>0.62229999999999996</v>
      </c>
      <c r="AJ16" s="230" t="str">
        <f>DATA!AL9</f>
        <v>Kontrak sudah ditandatangani</v>
      </c>
      <c r="AK16" s="231" t="str">
        <f>DATA!AR9</f>
        <v>Nilai pinjaman di GB USD 200.000 ribu</v>
      </c>
      <c r="AL16" s="20" t="str">
        <f>DATA!AN9</f>
        <v>(memiliki FS dan DED)</v>
      </c>
      <c r="AM16" s="20" t="str">
        <f>DATA!AO9</f>
        <v>dalam proses
(pelaksanaan 62%)</v>
      </c>
      <c r="AN16" s="20" t="str">
        <f>DATA!AP9</f>
        <v>dalam proses tender/lelang</v>
      </c>
      <c r="AO16" s="20" t="str">
        <f>DATA!AY9</f>
        <v>Konfirmasi melalui surat Sekjen nomor KU.01.12-Sj/636 tgl 23 Oktober 2015</v>
      </c>
      <c r="AP16" s="20" t="e">
        <f>DATA!#REF!</f>
        <v>#REF!</v>
      </c>
      <c r="AQ16" s="20">
        <f>DATA!AZ9</f>
        <v>0</v>
      </c>
      <c r="AR16" s="152" t="e">
        <f>DATA!#REF!</f>
        <v>#REF!</v>
      </c>
      <c r="AS16" s="199" t="str">
        <f>DATA!BA9</f>
        <v xml:space="preserve">Pembangunan jalan tol Solo-Kertosono sepanjang 26,45 km </v>
      </c>
      <c r="AT16" s="245">
        <f>DATA!AT9</f>
        <v>300000000</v>
      </c>
      <c r="AU16" s="109" t="str">
        <f>DATA!AU9</f>
        <v>RRT</v>
      </c>
      <c r="AV16" s="246" t="str">
        <f>DATA!AW9</f>
        <v>-</v>
      </c>
    </row>
    <row r="17" spans="1:48" s="5" customFormat="1" ht="33.75" customHeight="1">
      <c r="J17" s="180"/>
      <c r="K17" s="50"/>
      <c r="L17" s="30" t="str">
        <f>DATA!I10</f>
        <v>B</v>
      </c>
      <c r="M17" s="31" t="str">
        <f>DATA!J10</f>
        <v xml:space="preserve">Program Pembangunan / Peningkatan Jembatan </v>
      </c>
      <c r="N17" s="51"/>
      <c r="O17" s="31"/>
      <c r="P17" s="31"/>
      <c r="Q17" s="196"/>
      <c r="R17" s="197">
        <f>SUM(R18:R22)</f>
        <v>1500000000</v>
      </c>
      <c r="S17" s="198">
        <f t="shared" ref="S17:AU17" si="2">SUM(S18:S22)</f>
        <v>1500000000</v>
      </c>
      <c r="T17" s="81">
        <f t="shared" si="2"/>
        <v>126500000</v>
      </c>
      <c r="U17" s="81">
        <f t="shared" si="2"/>
        <v>0</v>
      </c>
      <c r="V17" s="81">
        <f t="shared" si="2"/>
        <v>1626500000</v>
      </c>
      <c r="W17" s="81">
        <f t="shared" si="2"/>
        <v>0</v>
      </c>
      <c r="X17" s="81">
        <f t="shared" si="2"/>
        <v>0</v>
      </c>
      <c r="Y17" s="81">
        <f t="shared" si="2"/>
        <v>1500000000</v>
      </c>
      <c r="Z17" s="81">
        <f t="shared" si="2"/>
        <v>0</v>
      </c>
      <c r="AA17" s="214">
        <f t="shared" si="2"/>
        <v>0</v>
      </c>
      <c r="AB17" s="198">
        <f t="shared" si="2"/>
        <v>0</v>
      </c>
      <c r="AC17" s="81">
        <f t="shared" si="2"/>
        <v>8068</v>
      </c>
      <c r="AD17" s="81">
        <f t="shared" si="2"/>
        <v>0</v>
      </c>
      <c r="AE17" s="81">
        <f t="shared" si="2"/>
        <v>0</v>
      </c>
      <c r="AF17" s="81">
        <f t="shared" si="2"/>
        <v>0</v>
      </c>
      <c r="AG17" s="81">
        <f t="shared" si="2"/>
        <v>0</v>
      </c>
      <c r="AH17" s="81">
        <f t="shared" si="2"/>
        <v>0</v>
      </c>
      <c r="AI17" s="81">
        <f t="shared" si="2"/>
        <v>0</v>
      </c>
      <c r="AJ17" s="229">
        <f t="shared" si="2"/>
        <v>0</v>
      </c>
      <c r="AK17" s="198">
        <f t="shared" si="2"/>
        <v>0</v>
      </c>
      <c r="AL17" s="81">
        <f t="shared" si="2"/>
        <v>0</v>
      </c>
      <c r="AM17" s="81">
        <f t="shared" si="2"/>
        <v>0</v>
      </c>
      <c r="AN17" s="81">
        <f t="shared" si="2"/>
        <v>0</v>
      </c>
      <c r="AO17" s="81">
        <f t="shared" si="2"/>
        <v>0</v>
      </c>
      <c r="AP17" s="81" t="e">
        <f t="shared" si="2"/>
        <v>#REF!</v>
      </c>
      <c r="AQ17" s="81">
        <f t="shared" si="2"/>
        <v>0</v>
      </c>
      <c r="AR17" s="81" t="e">
        <f t="shared" si="2"/>
        <v>#REF!</v>
      </c>
      <c r="AS17" s="243">
        <f t="shared" si="2"/>
        <v>0</v>
      </c>
      <c r="AT17" s="244">
        <f t="shared" si="2"/>
        <v>1500000000</v>
      </c>
      <c r="AU17" s="81">
        <f t="shared" si="2"/>
        <v>0</v>
      </c>
      <c r="AV17" s="229"/>
    </row>
    <row r="18" spans="1:48" ht="42" customHeight="1">
      <c r="A18" s="10">
        <f>DATA!A10</f>
        <v>8</v>
      </c>
      <c r="B18" s="10">
        <f>DATA!B10</f>
        <v>0</v>
      </c>
      <c r="C18" s="10" t="str">
        <f>DATA!D10</f>
        <v>INFRASTRUKTUR</v>
      </c>
      <c r="D18" s="10">
        <f>DATA!E10</f>
        <v>1</v>
      </c>
      <c r="E18" s="10" t="str">
        <f>DATA!F10</f>
        <v>Kementerian Pekerjaan Umum dan Perumahan Rakyat</v>
      </c>
      <c r="F18" s="10" t="str">
        <f>DATA!H10</f>
        <v>Development and Improvement of National Bridges Program</v>
      </c>
      <c r="G18" s="10" t="str">
        <f>DATA!I10</f>
        <v>B</v>
      </c>
      <c r="H18" s="10" t="str">
        <f>DATA!J10</f>
        <v xml:space="preserve">Program Pembangunan / Peningkatan Jembatan </v>
      </c>
      <c r="I18" s="10">
        <f>DATA!K10</f>
        <v>1</v>
      </c>
      <c r="J18" s="181"/>
      <c r="K18" s="34"/>
      <c r="L18" s="35"/>
      <c r="M18" s="52">
        <v>6</v>
      </c>
      <c r="N18" s="53" t="str">
        <f>DATA!L10</f>
        <v>Material Procurement for Construction and Bridge Rehabilitation</v>
      </c>
      <c r="O18" s="20">
        <f>DATA!Q10</f>
        <v>1</v>
      </c>
      <c r="P18" s="20">
        <f>DATA!R10</f>
        <v>1</v>
      </c>
      <c r="Q18" s="186">
        <f>DATA!S10</f>
        <v>6</v>
      </c>
      <c r="R18" s="187">
        <f>DATA!T10</f>
        <v>450000000</v>
      </c>
      <c r="S18" s="188">
        <f>DATA!U10</f>
        <v>450000000</v>
      </c>
      <c r="T18" s="77">
        <f>DATA!V10</f>
        <v>0</v>
      </c>
      <c r="U18" s="77">
        <f>DATA!W10</f>
        <v>0</v>
      </c>
      <c r="V18" s="77">
        <f>DATA!X10</f>
        <v>450000000</v>
      </c>
      <c r="W18" s="78" t="str">
        <f>DATA!Y10</f>
        <v>Spanyol/RRT</v>
      </c>
      <c r="X18" s="20" t="str">
        <f>DATA!Z10</f>
        <v>Multi Lender</v>
      </c>
      <c r="Y18" s="77">
        <f>DATA!AA10</f>
        <v>450000000</v>
      </c>
      <c r="Z18" s="77">
        <v>0</v>
      </c>
      <c r="AA18" s="216" t="str">
        <f>DATA!Y10</f>
        <v>Spanyol/RRT</v>
      </c>
      <c r="AB18" s="188">
        <f>DATA!AG10</f>
        <v>0</v>
      </c>
      <c r="AC18" s="20">
        <f>DATA!AH10</f>
        <v>2017</v>
      </c>
      <c r="AD18" s="37" t="str">
        <f>DATA!AI10</f>
        <v>-</v>
      </c>
      <c r="AE18" s="152" t="str">
        <f>DATA!AR10</f>
        <v>belum ada dokumen R/C</v>
      </c>
      <c r="AF18" s="152" t="str">
        <f>DATA!AN10</f>
        <v>belum ada keterangan</v>
      </c>
      <c r="AG18" s="152" t="str">
        <f>DATA!AO10</f>
        <v>belum ada keterangan</v>
      </c>
      <c r="AH18" s="37" t="str">
        <f>DATA!AJ10</f>
        <v>-</v>
      </c>
      <c r="AI18" s="37" t="str">
        <f>DATA!AK10</f>
        <v>-</v>
      </c>
      <c r="AJ18" s="230" t="str">
        <f>DATA!AL10</f>
        <v>-</v>
      </c>
      <c r="AK18" s="231" t="str">
        <f>DATA!AR10</f>
        <v>belum ada dokumen R/C</v>
      </c>
      <c r="AL18" s="20" t="str">
        <f>DATA!AN10</f>
        <v>belum ada keterangan</v>
      </c>
      <c r="AM18" s="20" t="str">
        <f>DATA!AO10</f>
        <v>belum ada keterangan</v>
      </c>
      <c r="AN18" s="20" t="str">
        <f>DATA!AP10</f>
        <v>belum ada proses tender/lelang</v>
      </c>
      <c r="AO18" s="20" t="str">
        <f>DATA!AY10</f>
        <v>- Konfirmasi melalui surat Sekjen nomor KU.01.12-Sj/636 tgl 23 Oktober 2015
- Telah ada pengalaman sebelumnya dengan Loan Spanyol</v>
      </c>
      <c r="AP18" s="20" t="e">
        <f>DATA!#REF!</f>
        <v>#REF!</v>
      </c>
      <c r="AQ18" s="20">
        <f>DATA!AZ10</f>
        <v>0</v>
      </c>
      <c r="AR18" s="152" t="e">
        <f>DATA!#REF!</f>
        <v>#REF!</v>
      </c>
      <c r="AS18" s="199" t="str">
        <f>DATA!BA10</f>
        <v>Pengadaan material rangka jembatan untuk pekerjaan konstruksi dan rehabilitasi sekitar 55.000 m jembatan yang ada di Indonesia</v>
      </c>
      <c r="AT18" s="245">
        <f>DATA!AT10</f>
        <v>450000000</v>
      </c>
      <c r="AU18" s="109" t="str">
        <f>DATA!AU10</f>
        <v>Spanyol/RRT</v>
      </c>
      <c r="AV18" s="246" t="str">
        <f>DATA!AW10</f>
        <v>- Spanyol berminat mendanai sebagian (USD 50-100 juta), tetapi setelah permasalahan proyek LIPI selesai.
- RRT belum ada keputusan.</v>
      </c>
    </row>
    <row r="19" spans="1:48" ht="38.25">
      <c r="A19" s="10">
        <f>DATA!A11</f>
        <v>9</v>
      </c>
      <c r="B19" s="10">
        <f>DATA!B11</f>
        <v>0</v>
      </c>
      <c r="C19" s="10" t="str">
        <f>DATA!D11</f>
        <v>INFRASTRUKTUR</v>
      </c>
      <c r="D19" s="10">
        <f>DATA!E11</f>
        <v>1</v>
      </c>
      <c r="E19" s="10" t="str">
        <f>DATA!F11</f>
        <v>Kementerian Pekerjaan Umum dan Perumahan Rakyat</v>
      </c>
      <c r="F19" s="10" t="str">
        <f>DATA!H11</f>
        <v>Development and Improvement of National Bridges Program</v>
      </c>
      <c r="G19" s="10" t="str">
        <f>DATA!I11</f>
        <v>B</v>
      </c>
      <c r="H19" s="10" t="str">
        <f>DATA!J11</f>
        <v xml:space="preserve">Program Pembangunan / Peningkatan Jembatan </v>
      </c>
      <c r="I19" s="10">
        <f>DATA!K11</f>
        <v>2</v>
      </c>
      <c r="J19" s="181"/>
      <c r="K19" s="34"/>
      <c r="L19" s="34"/>
      <c r="M19" s="52">
        <v>7</v>
      </c>
      <c r="N19" s="37" t="str">
        <f>DATA!L11</f>
        <v>Development of Fly Over/ Under Pass for Railways Crossing</v>
      </c>
      <c r="O19" s="20">
        <f>DATA!Q11</f>
        <v>1</v>
      </c>
      <c r="P19" s="20">
        <f>DATA!R11</f>
        <v>1</v>
      </c>
      <c r="Q19" s="186">
        <f>DATA!S11</f>
        <v>7</v>
      </c>
      <c r="R19" s="187">
        <f>DATA!T11</f>
        <v>250000000</v>
      </c>
      <c r="S19" s="188">
        <f>DATA!U11</f>
        <v>250000000</v>
      </c>
      <c r="T19" s="77">
        <f>DATA!V11</f>
        <v>50000000</v>
      </c>
      <c r="U19" s="77">
        <f>DATA!W11</f>
        <v>0</v>
      </c>
      <c r="V19" s="77">
        <f>DATA!X11</f>
        <v>300000000</v>
      </c>
      <c r="W19" s="78" t="str">
        <f>DATA!Y11</f>
        <v>JICA</v>
      </c>
      <c r="X19" s="20" t="str">
        <f>DATA!Z11</f>
        <v>Bilateral</v>
      </c>
      <c r="Y19" s="77">
        <f>DATA!AA11</f>
        <v>250000000</v>
      </c>
      <c r="Z19" s="77">
        <v>0</v>
      </c>
      <c r="AA19" s="216" t="str">
        <f>DATA!Y11</f>
        <v>JICA</v>
      </c>
      <c r="AB19" s="188">
        <f>DATA!AG11</f>
        <v>0</v>
      </c>
      <c r="AC19" s="20">
        <f>DATA!AH11</f>
        <v>2017</v>
      </c>
      <c r="AD19" s="37" t="str">
        <f>DATA!AI11</f>
        <v>-</v>
      </c>
      <c r="AE19" s="152" t="str">
        <f>DATA!AR11</f>
        <v>belum ada dokumen R/C</v>
      </c>
      <c r="AF19" s="152" t="str">
        <f>DATA!AN11</f>
        <v>dalam proses
(penyusunan FS)</v>
      </c>
      <c r="AG19" s="152" t="str">
        <f>DATA!AO11</f>
        <v>belum ada keterangan</v>
      </c>
      <c r="AH19" s="37" t="str">
        <f>DATA!AJ11</f>
        <v>Penyusunan FS dan BD</v>
      </c>
      <c r="AI19" s="37" t="str">
        <f>DATA!AK11</f>
        <v>-</v>
      </c>
      <c r="AJ19" s="230" t="str">
        <f>DATA!AL11</f>
        <v>-</v>
      </c>
      <c r="AK19" s="231" t="str">
        <f>DATA!AR11</f>
        <v>belum ada dokumen R/C</v>
      </c>
      <c r="AL19" s="20" t="str">
        <f>DATA!AN11</f>
        <v>dalam proses
(penyusunan FS)</v>
      </c>
      <c r="AM19" s="20" t="str">
        <f>DATA!AO11</f>
        <v>belum ada keterangan</v>
      </c>
      <c r="AN19" s="20" t="str">
        <f>DATA!AP11</f>
        <v>belum ada proses tender/lelang</v>
      </c>
      <c r="AO19" s="20" t="str">
        <f>DATA!AY11</f>
        <v>- Konfirmasi melalui surat Sekjen nomor KU.01.12-Sj/636 tgl 23 Oktober 2015</v>
      </c>
      <c r="AP19" s="20" t="e">
        <f>DATA!#REF!</f>
        <v>#REF!</v>
      </c>
      <c r="AQ19" s="20">
        <f>DATA!AZ11</f>
        <v>0</v>
      </c>
      <c r="AR19" s="152" t="e">
        <f>DATA!#REF!</f>
        <v>#REF!</v>
      </c>
      <c r="AS19" s="199" t="str">
        <f>DATA!BA11</f>
        <v>Pembangunan fly over/ under pass untuk persimpangan jalan dengan jalan kereta sepanjang 7 km di Jawa dan Sumatera</v>
      </c>
      <c r="AT19" s="245">
        <f>DATA!AT11</f>
        <v>250000000</v>
      </c>
      <c r="AU19" s="109" t="str">
        <f>DATA!AU11</f>
        <v>JICA</v>
      </c>
      <c r="AV19" s="246" t="str">
        <f>DATA!AW11</f>
        <v>-</v>
      </c>
    </row>
    <row r="20" spans="1:48" ht="38.25">
      <c r="A20" s="10">
        <f>DATA!A12</f>
        <v>10</v>
      </c>
      <c r="B20" s="10">
        <f>DATA!B12</f>
        <v>0</v>
      </c>
      <c r="C20" s="10" t="str">
        <f>DATA!D12</f>
        <v>INFRASTRUKTUR</v>
      </c>
      <c r="D20" s="10">
        <f>DATA!E12</f>
        <v>1</v>
      </c>
      <c r="E20" s="10" t="str">
        <f>DATA!F12</f>
        <v>Kementerian Pekerjaan Umum dan Perumahan Rakyat</v>
      </c>
      <c r="F20" s="10" t="str">
        <f>DATA!H12</f>
        <v>Development and Improvement of National Bridges Program</v>
      </c>
      <c r="G20" s="10" t="str">
        <f>DATA!I12</f>
        <v>B</v>
      </c>
      <c r="H20" s="10" t="str">
        <f>DATA!J12</f>
        <v xml:space="preserve">Program Pembangunan / Peningkatan Jembatan </v>
      </c>
      <c r="I20" s="10">
        <f>DATA!K12</f>
        <v>3</v>
      </c>
      <c r="J20" s="181"/>
      <c r="K20" s="34"/>
      <c r="L20" s="34"/>
      <c r="M20" s="52">
        <v>8</v>
      </c>
      <c r="N20" s="37" t="str">
        <f>DATA!L12</f>
        <v>Development of Fly Over/ Under Pass in Major Cities</v>
      </c>
      <c r="O20" s="20">
        <f>DATA!Q12</f>
        <v>1</v>
      </c>
      <c r="P20" s="20">
        <f>DATA!R12</f>
        <v>1</v>
      </c>
      <c r="Q20" s="186">
        <f>DATA!S12</f>
        <v>8</v>
      </c>
      <c r="R20" s="187">
        <f>DATA!T12</f>
        <v>270000000</v>
      </c>
      <c r="S20" s="188">
        <f>DATA!U12</f>
        <v>270000000</v>
      </c>
      <c r="T20" s="77">
        <f>DATA!V12</f>
        <v>50000000</v>
      </c>
      <c r="U20" s="77">
        <f>DATA!W12</f>
        <v>0</v>
      </c>
      <c r="V20" s="77">
        <f>DATA!X12</f>
        <v>320000000</v>
      </c>
      <c r="W20" s="78" t="str">
        <f>DATA!Y12</f>
        <v>JICA</v>
      </c>
      <c r="X20" s="20" t="str">
        <f>DATA!Z12</f>
        <v>Bilateral</v>
      </c>
      <c r="Y20" s="77">
        <f>DATA!AA12</f>
        <v>270000000</v>
      </c>
      <c r="Z20" s="77">
        <v>0</v>
      </c>
      <c r="AA20" s="216" t="str">
        <f>DATA!Y12</f>
        <v>JICA</v>
      </c>
      <c r="AB20" s="188">
        <f>DATA!AG12</f>
        <v>0</v>
      </c>
      <c r="AC20" s="20">
        <f>DATA!AH12</f>
        <v>2017</v>
      </c>
      <c r="AD20" s="37" t="str">
        <f>DATA!AI12</f>
        <v>-</v>
      </c>
      <c r="AE20" s="152" t="str">
        <f>DATA!AR12</f>
        <v>belum ada dokumen R/C</v>
      </c>
      <c r="AF20" s="152" t="str">
        <f>DATA!AN12</f>
        <v>dalam proses
 (penyusunan FS)</v>
      </c>
      <c r="AG20" s="152" t="str">
        <f>DATA!AO12</f>
        <v>belum ada keterangan</v>
      </c>
      <c r="AH20" s="37" t="str">
        <f>DATA!AJ12</f>
        <v>Penyusunan FS dan BD</v>
      </c>
      <c r="AI20" s="37" t="str">
        <f>DATA!AK12</f>
        <v>-</v>
      </c>
      <c r="AJ20" s="230" t="str">
        <f>DATA!AL12</f>
        <v>-</v>
      </c>
      <c r="AK20" s="231" t="str">
        <f>DATA!AR12</f>
        <v>belum ada dokumen R/C</v>
      </c>
      <c r="AL20" s="20" t="str">
        <f>DATA!AN12</f>
        <v>dalam proses
 (penyusunan FS)</v>
      </c>
      <c r="AM20" s="20" t="str">
        <f>DATA!AO12</f>
        <v>belum ada keterangan</v>
      </c>
      <c r="AN20" s="20" t="str">
        <f>DATA!AP12</f>
        <v>belum ada proses tender/lelang</v>
      </c>
      <c r="AO20" s="20" t="str">
        <f>DATA!AY12</f>
        <v>Konfirmasi melalui surat Sekjen nomor KU.01.12-Sj/636 tgl 23 Oktober 2015</v>
      </c>
      <c r="AP20" s="20" t="e">
        <f>DATA!#REF!</f>
        <v>#REF!</v>
      </c>
      <c r="AQ20" s="20">
        <f>DATA!AZ12</f>
        <v>0</v>
      </c>
      <c r="AR20" s="152" t="e">
        <f>DATA!#REF!</f>
        <v>#REF!</v>
      </c>
      <c r="AS20" s="199" t="str">
        <f>DATA!BA12</f>
        <v>Pembangunan fly over/ under pass sepanjang kurang lebih 8 km untuk 9 kota besar yang ada di Jawa dan Sumatera</v>
      </c>
      <c r="AT20" s="245">
        <f>DATA!AT12</f>
        <v>270000000</v>
      </c>
      <c r="AU20" s="109" t="str">
        <f>DATA!AU12</f>
        <v>JICA</v>
      </c>
      <c r="AV20" s="246" t="str">
        <f>DATA!AW12</f>
        <v>-</v>
      </c>
    </row>
    <row r="21" spans="1:48" ht="35.25" customHeight="1">
      <c r="A21" s="10">
        <f>DATA!A13</f>
        <v>11</v>
      </c>
      <c r="B21" s="10">
        <f>DATA!B13</f>
        <v>0</v>
      </c>
      <c r="C21" s="10" t="str">
        <f>DATA!D13</f>
        <v>INFRASTRUKTUR</v>
      </c>
      <c r="D21" s="10">
        <f>DATA!E13</f>
        <v>1</v>
      </c>
      <c r="E21" s="10" t="str">
        <f>DATA!F13</f>
        <v>Kementerian Pekerjaan Umum dan Perumahan Rakyat</v>
      </c>
      <c r="F21" s="10" t="str">
        <f>DATA!H13</f>
        <v>Development and Improvement of National Bridges Program</v>
      </c>
      <c r="G21" s="10" t="str">
        <f>DATA!I13</f>
        <v>B</v>
      </c>
      <c r="H21" s="10" t="str">
        <f>DATA!J13</f>
        <v xml:space="preserve">Program Pembangunan / Peningkatan Jembatan </v>
      </c>
      <c r="I21" s="10">
        <f>DATA!K13</f>
        <v>4</v>
      </c>
      <c r="J21" s="181"/>
      <c r="K21" s="34"/>
      <c r="L21" s="34"/>
      <c r="M21" s="52">
        <v>9</v>
      </c>
      <c r="N21" s="37" t="str">
        <f>DATA!L13</f>
        <v>Balinka - Matur - Ngarai Sianok Tunnel Construction</v>
      </c>
      <c r="O21" s="20">
        <f>DATA!Q13</f>
        <v>1</v>
      </c>
      <c r="P21" s="20">
        <f>DATA!R13</f>
        <v>1</v>
      </c>
      <c r="Q21" s="186">
        <f>DATA!S13</f>
        <v>9</v>
      </c>
      <c r="R21" s="187">
        <f>DATA!T13</f>
        <v>175000000</v>
      </c>
      <c r="S21" s="188">
        <f>DATA!U13</f>
        <v>175000000</v>
      </c>
      <c r="T21" s="77">
        <f>DATA!V13</f>
        <v>8750000</v>
      </c>
      <c r="U21" s="77">
        <f>DATA!W13</f>
        <v>0</v>
      </c>
      <c r="V21" s="77">
        <f>DATA!X13</f>
        <v>183750000</v>
      </c>
      <c r="W21" s="78" t="str">
        <f>DATA!Y13</f>
        <v>Korea/RRT</v>
      </c>
      <c r="X21" s="20" t="str">
        <f>DATA!Z13</f>
        <v>Multi Lender</v>
      </c>
      <c r="Y21" s="77">
        <f>DATA!AA13</f>
        <v>175000000</v>
      </c>
      <c r="Z21" s="77">
        <v>0</v>
      </c>
      <c r="AA21" s="216" t="str">
        <f>DATA!Y13</f>
        <v>Korea/RRT</v>
      </c>
      <c r="AB21" s="188">
        <f>DATA!AG13</f>
        <v>0</v>
      </c>
      <c r="AC21" s="20">
        <f>DATA!AH13</f>
        <v>2017</v>
      </c>
      <c r="AD21" s="37" t="str">
        <f>DATA!AI13</f>
        <v>-</v>
      </c>
      <c r="AE21" s="152" t="str">
        <f>DATA!AR13</f>
        <v>belum ada dokumen R/C</v>
      </c>
      <c r="AF21" s="152" t="str">
        <f>DATA!AN13</f>
        <v>dalam proses
(memiliki FS dan DED)</v>
      </c>
      <c r="AG21" s="152" t="str">
        <f>DATA!AO13</f>
        <v>belum ada keterangan</v>
      </c>
      <c r="AH21" s="37" t="str">
        <f>DATA!AJ13</f>
        <v>FS, DED, SP2LP</v>
      </c>
      <c r="AI21" s="37" t="str">
        <f>DATA!AK13</f>
        <v>-</v>
      </c>
      <c r="AJ21" s="230" t="str">
        <f>DATA!AL13</f>
        <v>-</v>
      </c>
      <c r="AK21" s="231" t="str">
        <f>DATA!AR13</f>
        <v>belum ada dokumen R/C</v>
      </c>
      <c r="AL21" s="20" t="str">
        <f>DATA!AN13</f>
        <v>dalam proses
(memiliki FS dan DED)</v>
      </c>
      <c r="AM21" s="20" t="str">
        <f>DATA!AO13</f>
        <v>belum ada keterangan</v>
      </c>
      <c r="AN21" s="20" t="str">
        <f>DATA!AP13</f>
        <v>belum ada proses tender/lelang</v>
      </c>
      <c r="AO21" s="20" t="str">
        <f>DATA!AY13</f>
        <v>Konfirmasi melalui surat Sekjen nomor KU.01.12-Sj/636 tgl 23 Oktober 2015</v>
      </c>
      <c r="AP21" s="20" t="e">
        <f>DATA!#REF!</f>
        <v>#REF!</v>
      </c>
      <c r="AQ21" s="20">
        <f>DATA!AZ13</f>
        <v>0</v>
      </c>
      <c r="AR21" s="152" t="e">
        <f>DATA!#REF!</f>
        <v>#REF!</v>
      </c>
      <c r="AS21" s="199" t="str">
        <f>DATA!BA13</f>
        <v xml:space="preserve">Pembangunan terowongan, jembatan dan jalan sepanjang 5 km di daerah Balinka-Ngarai Sianok, Sumatera Barat </v>
      </c>
      <c r="AT21" s="245">
        <f>DATA!AT13</f>
        <v>175000000</v>
      </c>
      <c r="AU21" s="109" t="str">
        <f>DATA!AU13</f>
        <v>Korea/RRT</v>
      </c>
      <c r="AV21" s="246" t="str">
        <f>DATA!AW13</f>
        <v>- RRT dan Korea belum ada keputusan</v>
      </c>
    </row>
    <row r="22" spans="1:48" ht="30.75" customHeight="1">
      <c r="A22" s="10">
        <f>DATA!A14</f>
        <v>12</v>
      </c>
      <c r="B22" s="10">
        <f>DATA!B14</f>
        <v>0</v>
      </c>
      <c r="C22" s="10" t="str">
        <f>DATA!D14</f>
        <v>INFRASTRUKTUR</v>
      </c>
      <c r="D22" s="10">
        <f>DATA!E14</f>
        <v>1</v>
      </c>
      <c r="E22" s="10" t="str">
        <f>DATA!F14</f>
        <v>Kementerian Pekerjaan Umum dan Perumahan Rakyat</v>
      </c>
      <c r="F22" s="10" t="str">
        <f>DATA!H14</f>
        <v>Development and Improvement of National Bridges Program</v>
      </c>
      <c r="G22" s="10" t="str">
        <f>DATA!I14</f>
        <v>B</v>
      </c>
      <c r="H22" s="10" t="str">
        <f>DATA!J14</f>
        <v xml:space="preserve">Program Pembangunan / Peningkatan Jembatan </v>
      </c>
      <c r="I22" s="10">
        <f>DATA!K14</f>
        <v>5</v>
      </c>
      <c r="J22" s="181"/>
      <c r="K22" s="34"/>
      <c r="L22" s="54"/>
      <c r="M22" s="52">
        <v>10</v>
      </c>
      <c r="N22" s="37" t="str">
        <f>DATA!L14</f>
        <v>Long Span Bridge Development for Selected Area</v>
      </c>
      <c r="O22" s="20">
        <f>DATA!Q14</f>
        <v>1</v>
      </c>
      <c r="P22" s="20">
        <f>DATA!R14</f>
        <v>1</v>
      </c>
      <c r="Q22" s="186">
        <f>DATA!S14</f>
        <v>10</v>
      </c>
      <c r="R22" s="187">
        <f>DATA!T14</f>
        <v>355000000</v>
      </c>
      <c r="S22" s="188">
        <f>DATA!U14</f>
        <v>355000000</v>
      </c>
      <c r="T22" s="77">
        <f>DATA!V14</f>
        <v>17750000</v>
      </c>
      <c r="U22" s="77">
        <f>DATA!W14</f>
        <v>0</v>
      </c>
      <c r="V22" s="77">
        <f>DATA!X14</f>
        <v>372750000</v>
      </c>
      <c r="W22" s="78" t="str">
        <f>DATA!Y14</f>
        <v>Korea/RRT</v>
      </c>
      <c r="X22" s="20" t="str">
        <f>DATA!Z14</f>
        <v>Multi Lender</v>
      </c>
      <c r="Y22" s="77">
        <f>DATA!AA14</f>
        <v>355000000</v>
      </c>
      <c r="Z22" s="77">
        <v>0</v>
      </c>
      <c r="AA22" s="216" t="str">
        <f>DATA!Y14</f>
        <v>Korea/RRT</v>
      </c>
      <c r="AB22" s="188">
        <f>DATA!AG14</f>
        <v>0</v>
      </c>
      <c r="AC22" s="20" t="str">
        <f>DATA!AH14</f>
        <v>Tanpa keterangan</v>
      </c>
      <c r="AD22" s="37" t="str">
        <f>DATA!AI14</f>
        <v>-</v>
      </c>
      <c r="AE22" s="152" t="str">
        <f>DATA!AR14</f>
        <v>belum ada dokumen R/C</v>
      </c>
      <c r="AF22" s="152" t="str">
        <f>DATA!AN14</f>
        <v>belum ada keterangan</v>
      </c>
      <c r="AG22" s="152" t="str">
        <f>DATA!AO14</f>
        <v>belum ada keterangan</v>
      </c>
      <c r="AH22" s="37" t="str">
        <f>DATA!AJ14</f>
        <v>-</v>
      </c>
      <c r="AI22" s="37" t="str">
        <f>DATA!AK14</f>
        <v>-</v>
      </c>
      <c r="AJ22" s="230" t="str">
        <f>DATA!AL14</f>
        <v>-</v>
      </c>
      <c r="AK22" s="231" t="str">
        <f>DATA!AR14</f>
        <v>belum ada dokumen R/C</v>
      </c>
      <c r="AL22" s="20" t="str">
        <f>DATA!AN14</f>
        <v>belum ada keterangan</v>
      </c>
      <c r="AM22" s="20" t="str">
        <f>DATA!AO14</f>
        <v>belum ada keterangan</v>
      </c>
      <c r="AN22" s="20" t="str">
        <f>DATA!AP14</f>
        <v>belum ada proses tender/lelang</v>
      </c>
      <c r="AO22" s="20" t="str">
        <f>DATA!AY14</f>
        <v>Konfirmasi melalui surat Sekjen nomor KU.01.12-Sj/636 tgl 23 Oktober 2015</v>
      </c>
      <c r="AP22" s="20" t="e">
        <f>DATA!#REF!</f>
        <v>#REF!</v>
      </c>
      <c r="AQ22" s="20">
        <f>DATA!AZ14</f>
        <v>0</v>
      </c>
      <c r="AR22" s="152" t="e">
        <f>DATA!#REF!</f>
        <v>#REF!</v>
      </c>
      <c r="AS22" s="199" t="str">
        <f>DATA!BA14</f>
        <v>Pembangunan jembatan bentang panjang 5.000 m (pada area tertentu) di wilayah Pulau Jawa dan Sumatera yang dipisahkan oleh oleh sungai, rawa, danau, selat, saluran besar.</v>
      </c>
      <c r="AT22" s="245">
        <f>DATA!AT14</f>
        <v>355000000</v>
      </c>
      <c r="AU22" s="109" t="str">
        <f>DATA!AU14</f>
        <v>Korea/RRT</v>
      </c>
      <c r="AV22" s="246" t="str">
        <f>DATA!AW14</f>
        <v>- RRT dan Korea belum ada keputusan</v>
      </c>
    </row>
    <row r="23" spans="1:48" s="5" customFormat="1" ht="33.75" customHeight="1">
      <c r="J23" s="180"/>
      <c r="K23" s="50"/>
      <c r="L23" s="30" t="str">
        <f>DATA!I15</f>
        <v>C</v>
      </c>
      <c r="M23" s="31" t="str">
        <f>DATA!J16</f>
        <v>Program Pembangunan / Peningkatan Jalan</v>
      </c>
      <c r="N23" s="51"/>
      <c r="O23" s="31"/>
      <c r="P23" s="31"/>
      <c r="Q23" s="196"/>
      <c r="R23" s="197">
        <f>SUM(R24:R32)</f>
        <v>2000000000</v>
      </c>
      <c r="S23" s="198">
        <f t="shared" ref="S23:AV23" si="3">SUM(S24:S32)</f>
        <v>2000000000</v>
      </c>
      <c r="T23" s="81">
        <f t="shared" si="3"/>
        <v>400000000</v>
      </c>
      <c r="U23" s="81">
        <f t="shared" si="3"/>
        <v>0</v>
      </c>
      <c r="V23" s="81">
        <f t="shared" si="3"/>
        <v>2400000000</v>
      </c>
      <c r="W23" s="81">
        <f t="shared" si="3"/>
        <v>0</v>
      </c>
      <c r="X23" s="81">
        <f t="shared" si="3"/>
        <v>0</v>
      </c>
      <c r="Y23" s="81">
        <f t="shared" si="3"/>
        <v>2000000000</v>
      </c>
      <c r="Z23" s="81">
        <f t="shared" si="3"/>
        <v>0</v>
      </c>
      <c r="AA23" s="214">
        <f t="shared" si="3"/>
        <v>0</v>
      </c>
      <c r="AB23" s="198">
        <f t="shared" si="3"/>
        <v>0</v>
      </c>
      <c r="AC23" s="81">
        <f t="shared" si="3"/>
        <v>12097</v>
      </c>
      <c r="AD23" s="81">
        <f t="shared" si="3"/>
        <v>0</v>
      </c>
      <c r="AE23" s="81">
        <f t="shared" si="3"/>
        <v>0</v>
      </c>
      <c r="AF23" s="81">
        <f t="shared" si="3"/>
        <v>0</v>
      </c>
      <c r="AG23" s="81">
        <f t="shared" si="3"/>
        <v>0</v>
      </c>
      <c r="AH23" s="81">
        <f t="shared" si="3"/>
        <v>0</v>
      </c>
      <c r="AI23" s="81">
        <f t="shared" si="3"/>
        <v>0</v>
      </c>
      <c r="AJ23" s="229">
        <f t="shared" si="3"/>
        <v>0</v>
      </c>
      <c r="AK23" s="198">
        <f t="shared" si="3"/>
        <v>0</v>
      </c>
      <c r="AL23" s="81">
        <f t="shared" si="3"/>
        <v>0</v>
      </c>
      <c r="AM23" s="81">
        <f t="shared" si="3"/>
        <v>0</v>
      </c>
      <c r="AN23" s="81">
        <f t="shared" si="3"/>
        <v>0</v>
      </c>
      <c r="AO23" s="81">
        <f t="shared" si="3"/>
        <v>0</v>
      </c>
      <c r="AP23" s="81" t="e">
        <f t="shared" si="3"/>
        <v>#REF!</v>
      </c>
      <c r="AQ23" s="81">
        <f t="shared" si="3"/>
        <v>0</v>
      </c>
      <c r="AR23" s="81" t="e">
        <f t="shared" si="3"/>
        <v>#REF!</v>
      </c>
      <c r="AS23" s="243">
        <f t="shared" si="3"/>
        <v>0</v>
      </c>
      <c r="AT23" s="244">
        <f t="shared" si="3"/>
        <v>2000000000</v>
      </c>
      <c r="AU23" s="81">
        <f t="shared" si="3"/>
        <v>0</v>
      </c>
      <c r="AV23" s="229">
        <f t="shared" si="3"/>
        <v>0</v>
      </c>
    </row>
    <row r="24" spans="1:48" s="5" customFormat="1" ht="30" customHeight="1">
      <c r="J24" s="180"/>
      <c r="K24" s="50"/>
      <c r="L24" s="55"/>
      <c r="M24" s="36">
        <v>11</v>
      </c>
      <c r="N24" s="37" t="str">
        <f>DATA!L15</f>
        <v>Urban Arterial Road Improvement Project</v>
      </c>
      <c r="O24" s="37">
        <f>DATA!Q15</f>
        <v>1</v>
      </c>
      <c r="P24" s="37">
        <f>DATA!R15</f>
        <v>1</v>
      </c>
      <c r="Q24" s="199">
        <f>DATA!S15</f>
        <v>0</v>
      </c>
      <c r="R24" s="200">
        <f>DATA!T15</f>
        <v>250000000</v>
      </c>
      <c r="S24" s="201">
        <f>DATA!U15</f>
        <v>205000000</v>
      </c>
      <c r="T24" s="87">
        <f>DATA!V15</f>
        <v>50000000</v>
      </c>
      <c r="U24" s="87">
        <f>DATA!W15</f>
        <v>0</v>
      </c>
      <c r="V24" s="87">
        <f>DATA!X15</f>
        <v>300000000</v>
      </c>
      <c r="W24" s="78" t="str">
        <f>DATA!Y15</f>
        <v>JICA</v>
      </c>
      <c r="X24" s="37" t="str">
        <f>DATA!Z15</f>
        <v>Multilateral</v>
      </c>
      <c r="Y24" s="87">
        <f>DATA!AA15</f>
        <v>205000000</v>
      </c>
      <c r="Z24" s="87">
        <v>0</v>
      </c>
      <c r="AA24" s="216" t="str">
        <f>DATA!Y15</f>
        <v>JICA</v>
      </c>
      <c r="AB24" s="201">
        <f>DATA!AG15</f>
        <v>0</v>
      </c>
      <c r="AC24" s="37">
        <f>DATA!AH15</f>
        <v>2016</v>
      </c>
      <c r="AD24" s="56" t="str">
        <f>DATA!AI15</f>
        <v>-</v>
      </c>
      <c r="AE24" s="152">
        <f>DATA!AM15</f>
        <v>0</v>
      </c>
      <c r="AF24" s="152" t="str">
        <f>DATA!AN15</f>
        <v>siap</v>
      </c>
      <c r="AG24" s="152" t="str">
        <f>DATA!AO15</f>
        <v>belum ada keterangan</v>
      </c>
      <c r="AH24" s="56" t="str">
        <f>DATA!AJ15</f>
        <v>Sebagian telah ada FS, DED dan AMDAL</v>
      </c>
      <c r="AI24" s="56" t="str">
        <f>DATA!AK15</f>
        <v>-</v>
      </c>
      <c r="AJ24" s="233" t="str">
        <f>DATA!AL15</f>
        <v>-</v>
      </c>
      <c r="AK24" s="234"/>
      <c r="AL24" s="31"/>
      <c r="AM24" s="31"/>
      <c r="AN24" s="31"/>
      <c r="AO24" s="31"/>
      <c r="AP24" s="31"/>
      <c r="AQ24" s="31"/>
      <c r="AR24" s="152" t="e">
        <f>DATA!#REF!</f>
        <v>#REF!</v>
      </c>
      <c r="AS24" s="247"/>
      <c r="AT24" s="245">
        <f>DATA!AT15</f>
        <v>205000000</v>
      </c>
      <c r="AU24" s="109" t="str">
        <f>DATA!AU15</f>
        <v>JICA</v>
      </c>
      <c r="AV24" s="246" t="str">
        <f>DATA!AW15</f>
        <v>-</v>
      </c>
    </row>
    <row r="25" spans="1:48" ht="33.75" customHeight="1">
      <c r="A25" s="10">
        <f>DATA!A16</f>
        <v>14</v>
      </c>
      <c r="B25" s="10">
        <f>DATA!B16</f>
        <v>0</v>
      </c>
      <c r="C25" s="10" t="str">
        <f>DATA!D16</f>
        <v>INFRASTRUKTUR</v>
      </c>
      <c r="D25" s="10">
        <f>DATA!E16</f>
        <v>1</v>
      </c>
      <c r="E25" s="10" t="str">
        <f>DATA!F16</f>
        <v>Kementerian Pekerjaan Umum dan Perumahan Rakyat</v>
      </c>
      <c r="F25" s="10" t="str">
        <f>DATA!H16</f>
        <v>Development and Improvement of National Roads Program</v>
      </c>
      <c r="G25" s="10" t="str">
        <f>DATA!I16</f>
        <v>C</v>
      </c>
      <c r="H25" s="10" t="str">
        <f>DATA!J16</f>
        <v>Program Pembangunan / Peningkatan Jalan</v>
      </c>
      <c r="I25" s="10">
        <f>DATA!K16</f>
        <v>2</v>
      </c>
      <c r="J25" s="181"/>
      <c r="K25" s="34"/>
      <c r="L25" s="34"/>
      <c r="M25" s="36">
        <v>12</v>
      </c>
      <c r="N25" s="37" t="str">
        <f>DATA!L16</f>
        <v>Construction of Development of Trans South-South, Eastern Java</v>
      </c>
      <c r="O25" s="20">
        <f>DATA!Q16</f>
        <v>1</v>
      </c>
      <c r="P25" s="20">
        <f>DATA!R16</f>
        <v>1</v>
      </c>
      <c r="Q25" s="186">
        <f>DATA!S16</f>
        <v>12</v>
      </c>
      <c r="R25" s="187">
        <f>DATA!T16</f>
        <v>250000000</v>
      </c>
      <c r="S25" s="188">
        <f>DATA!U16</f>
        <v>250000000</v>
      </c>
      <c r="T25" s="77">
        <f>DATA!V16</f>
        <v>50000000</v>
      </c>
      <c r="U25" s="77">
        <f>DATA!W16</f>
        <v>0</v>
      </c>
      <c r="V25" s="77">
        <f>DATA!X16</f>
        <v>300000000</v>
      </c>
      <c r="W25" s="88" t="str">
        <f>DATA!Y16</f>
        <v>IDB</v>
      </c>
      <c r="X25" s="77" t="str">
        <f>DATA!Z16</f>
        <v>Multilateral</v>
      </c>
      <c r="Y25" s="77">
        <f>DATA!AA16</f>
        <v>250000000</v>
      </c>
      <c r="Z25" s="77">
        <v>0</v>
      </c>
      <c r="AA25" s="216" t="str">
        <f>DATA!Y16</f>
        <v>IDB</v>
      </c>
      <c r="AB25" s="188">
        <f>DATA!AG16</f>
        <v>0</v>
      </c>
      <c r="AC25" s="100">
        <f>DATA!AH16</f>
        <v>2016</v>
      </c>
      <c r="AD25" s="101" t="str">
        <f>DATA!AI16</f>
        <v>-</v>
      </c>
      <c r="AE25" s="152" t="str">
        <f>DATA!AM16</f>
        <v>Rev. 2016</v>
      </c>
      <c r="AF25" s="152" t="str">
        <f>DATA!AN16</f>
        <v>siap</v>
      </c>
      <c r="AG25" s="152" t="str">
        <f>DATA!AO16</f>
        <v>belum ada keterangan</v>
      </c>
      <c r="AH25" s="101" t="str">
        <f>DATA!AJ16</f>
        <v>FS ada, DED dan AMDAL sebagian</v>
      </c>
      <c r="AI25" s="101" t="str">
        <f>DATA!AK16</f>
        <v>-</v>
      </c>
      <c r="AJ25" s="233" t="str">
        <f>DATA!AL16</f>
        <v>-</v>
      </c>
      <c r="AK25" s="231" t="str">
        <f>DATA!AM16</f>
        <v>Rev. 2016</v>
      </c>
      <c r="AL25" s="20" t="str">
        <f>DATA!AN16</f>
        <v>siap</v>
      </c>
      <c r="AM25" s="20" t="str">
        <f>DATA!AO16</f>
        <v>belum ada keterangan</v>
      </c>
      <c r="AN25" s="20" t="str">
        <f>DATA!AP16</f>
        <v>belum ada proses tender/lelang</v>
      </c>
      <c r="AO25" s="20" t="str">
        <f>DATA!AY16</f>
        <v>Konfirmasi melalui surat Sekjen nomor KU.01.12-Sj/636 tgl 23 Oktober 2015</v>
      </c>
      <c r="AP25" s="20" t="e">
        <f>DATA!#REF!</f>
        <v>#REF!</v>
      </c>
      <c r="AQ25" s="20">
        <f>DATA!AZ16</f>
        <v>0</v>
      </c>
      <c r="AR25" s="152" t="e">
        <f>DATA!#REF!</f>
        <v>#REF!</v>
      </c>
      <c r="AS25" s="199" t="str">
        <f>DATA!BA16</f>
        <v>Pembangunan dan peningkatan 200 km jalan Trans Selatan Selatan Pulau Jawa</v>
      </c>
      <c r="AT25" s="245">
        <f>DATA!AT16</f>
        <v>250000000</v>
      </c>
      <c r="AU25" s="109" t="str">
        <f>DATA!AU16</f>
        <v>IDB</v>
      </c>
      <c r="AV25" s="246" t="str">
        <f>DATA!AW16</f>
        <v>-</v>
      </c>
    </row>
    <row r="26" spans="1:48" ht="39.75" customHeight="1">
      <c r="A26" s="10">
        <f>DATA!A17</f>
        <v>15</v>
      </c>
      <c r="B26" s="10">
        <f>DATA!B17</f>
        <v>0</v>
      </c>
      <c r="C26" s="10" t="str">
        <f>DATA!D17</f>
        <v>INFRASTRUKTUR</v>
      </c>
      <c r="D26" s="10">
        <f>DATA!E17</f>
        <v>1</v>
      </c>
      <c r="E26" s="10" t="str">
        <f>DATA!F17</f>
        <v>Kementerian Pekerjaan Umum dan Perumahan Rakyat</v>
      </c>
      <c r="F26" s="10" t="str">
        <f>DATA!H17</f>
        <v>Development and Improvement of National Roads Program</v>
      </c>
      <c r="G26" s="10" t="str">
        <f>DATA!I17</f>
        <v>C</v>
      </c>
      <c r="H26" s="10" t="str">
        <f>DATA!J17</f>
        <v>Program Pembangunan / Peningkatan Jalan</v>
      </c>
      <c r="I26" s="10">
        <f>DATA!K17</f>
        <v>3</v>
      </c>
      <c r="J26" s="181"/>
      <c r="K26" s="34"/>
      <c r="L26" s="34"/>
      <c r="M26" s="36">
        <v>13</v>
      </c>
      <c r="N26" s="37" t="str">
        <f>DATA!L17</f>
        <v>Road Improvement Project to Support Integrated Land and Sea Toll Way - Northern Area</v>
      </c>
      <c r="O26" s="20">
        <f>DATA!Q17</f>
        <v>1</v>
      </c>
      <c r="P26" s="20">
        <f>DATA!R17</f>
        <v>1</v>
      </c>
      <c r="Q26" s="186">
        <f>DATA!S17</f>
        <v>13</v>
      </c>
      <c r="R26" s="187">
        <f>DATA!T17</f>
        <v>250000000</v>
      </c>
      <c r="S26" s="188">
        <f>DATA!U16</f>
        <v>250000000</v>
      </c>
      <c r="T26" s="77">
        <f>DATA!V17</f>
        <v>50000000</v>
      </c>
      <c r="U26" s="77">
        <f>DATA!W17</f>
        <v>0</v>
      </c>
      <c r="V26" s="77">
        <f>DATA!X17</f>
        <v>300000000</v>
      </c>
      <c r="W26" s="78" t="str">
        <f>DATA!Y17</f>
        <v>Bank Dunia</v>
      </c>
      <c r="X26" s="20" t="str">
        <f>DATA!Z17</f>
        <v>Multilateral</v>
      </c>
      <c r="Y26" s="77">
        <f>DATA!AA17</f>
        <v>250000000</v>
      </c>
      <c r="Z26" s="77">
        <v>0</v>
      </c>
      <c r="AA26" s="216" t="str">
        <f>DATA!Y17</f>
        <v>Bank Dunia</v>
      </c>
      <c r="AB26" s="188">
        <f>DATA!AG17</f>
        <v>0</v>
      </c>
      <c r="AC26" s="20" t="str">
        <f>DATA!AH17</f>
        <v>Tanpa keterangan</v>
      </c>
      <c r="AD26" s="56" t="str">
        <f>DATA!AI17</f>
        <v>-</v>
      </c>
      <c r="AE26" s="152">
        <f>DATA!AM17</f>
        <v>0</v>
      </c>
      <c r="AF26" s="152" t="str">
        <f>DATA!AN17</f>
        <v>belum ada keterangan</v>
      </c>
      <c r="AG26" s="152" t="str">
        <f>DATA!AO17</f>
        <v>belum ada keterangan</v>
      </c>
      <c r="AH26" s="56" t="str">
        <f>DATA!AJ17</f>
        <v>-</v>
      </c>
      <c r="AI26" s="56" t="str">
        <f>DATA!AK17</f>
        <v>-</v>
      </c>
      <c r="AJ26" s="233" t="str">
        <f>DATA!AL17</f>
        <v>-</v>
      </c>
      <c r="AK26" s="231">
        <f>DATA!AM17</f>
        <v>0</v>
      </c>
      <c r="AL26" s="20" t="str">
        <f>DATA!AN17</f>
        <v>belum ada keterangan</v>
      </c>
      <c r="AM26" s="20" t="str">
        <f>DATA!AO17</f>
        <v>belum ada keterangan</v>
      </c>
      <c r="AN26" s="20" t="str">
        <f>DATA!AP17</f>
        <v>belum ada proses tender/lelang</v>
      </c>
      <c r="AO26" s="20" t="str">
        <f>DATA!AY17</f>
        <v>Konfirmasi melalui surat Sekjen nomor KU.01.12-Sj/636 tgl 23 Oktober 2015</v>
      </c>
      <c r="AP26" s="20" t="e">
        <f>DATA!#REF!</f>
        <v>#REF!</v>
      </c>
      <c r="AQ26" s="20" t="str">
        <f>DATA!AZ17</f>
        <v>termasuk ES (akan dipecah?) -&gt; konfirmasi tgl 15 Okt' 15</v>
      </c>
      <c r="AR26" s="152" t="e">
        <f>DATA!#REF!</f>
        <v>#REF!</v>
      </c>
      <c r="AS26" s="199" t="str">
        <f>DATA!BA17</f>
        <v>Pembangunan/peningkatan 200 km jalan untuk mendukung tol laut bagian utara termasuk (i) koridor Aceh - Medan - Riau dan (ii) Medan - Sibolga</v>
      </c>
      <c r="AT26" s="245">
        <f>DATA!AT17</f>
        <v>250000000</v>
      </c>
      <c r="AU26" s="109" t="str">
        <f>DATA!AU17</f>
        <v>Bank Dunia</v>
      </c>
      <c r="AV26" s="246" t="str">
        <f>DATA!AW17</f>
        <v>-</v>
      </c>
    </row>
    <row r="27" spans="1:48" ht="38.25" customHeight="1">
      <c r="A27" s="10">
        <f>DATA!A18</f>
        <v>16</v>
      </c>
      <c r="B27" s="10">
        <f>DATA!B18</f>
        <v>0</v>
      </c>
      <c r="C27" s="10" t="str">
        <f>DATA!D18</f>
        <v>INFRASTRUKTUR</v>
      </c>
      <c r="D27" s="10">
        <f>DATA!E18</f>
        <v>1</v>
      </c>
      <c r="E27" s="10" t="str">
        <f>DATA!F18</f>
        <v>Kementerian Pekerjaan Umum dan Perumahan Rakyat</v>
      </c>
      <c r="F27" s="10" t="str">
        <f>DATA!H18</f>
        <v>Development and Improvement of National Roads Program</v>
      </c>
      <c r="G27" s="10" t="str">
        <f>DATA!I18</f>
        <v>C</v>
      </c>
      <c r="H27" s="10" t="str">
        <f>DATA!J18</f>
        <v>Program Pembangunan / Peningkatan Jalan</v>
      </c>
      <c r="I27" s="10">
        <f>DATA!K18</f>
        <v>4</v>
      </c>
      <c r="J27" s="181"/>
      <c r="K27" s="34"/>
      <c r="L27" s="34"/>
      <c r="M27" s="36">
        <v>14</v>
      </c>
      <c r="N27" s="37" t="str">
        <f>DATA!L18</f>
        <v>Road Improvement Project to Support Integrated Land and Sea Toll Way - Southern Area</v>
      </c>
      <c r="O27" s="20">
        <f>DATA!Q18</f>
        <v>1</v>
      </c>
      <c r="P27" s="20">
        <f>DATA!R18</f>
        <v>1</v>
      </c>
      <c r="Q27" s="186">
        <f>DATA!S18</f>
        <v>14</v>
      </c>
      <c r="R27" s="187">
        <f>DATA!T18</f>
        <v>250000000</v>
      </c>
      <c r="S27" s="188">
        <f>DATA!U17</f>
        <v>250000000</v>
      </c>
      <c r="T27" s="77">
        <f>DATA!V18</f>
        <v>50000000</v>
      </c>
      <c r="U27" s="77">
        <f>DATA!W18</f>
        <v>0</v>
      </c>
      <c r="V27" s="77">
        <f>DATA!X18</f>
        <v>300000000</v>
      </c>
      <c r="W27" s="78" t="str">
        <f>DATA!Y18</f>
        <v>Bank Dunia/ADB</v>
      </c>
      <c r="X27" s="20" t="str">
        <f>DATA!Z18</f>
        <v>Multi Lender</v>
      </c>
      <c r="Y27" s="77">
        <f>DATA!AA18</f>
        <v>250000000</v>
      </c>
      <c r="Z27" s="77">
        <v>0</v>
      </c>
      <c r="AA27" s="216" t="str">
        <f>DATA!Y18</f>
        <v>Bank Dunia/ADB</v>
      </c>
      <c r="AB27" s="188">
        <f>DATA!AG18</f>
        <v>0</v>
      </c>
      <c r="AC27" s="20" t="str">
        <f>DATA!AH18</f>
        <v>Tanpa keterangan</v>
      </c>
      <c r="AD27" s="56" t="str">
        <f>DATA!AI18</f>
        <v>-</v>
      </c>
      <c r="AE27" s="152" t="str">
        <f>DATA!AR18</f>
        <v>belum ada dokumen R/C</v>
      </c>
      <c r="AF27" s="152" t="str">
        <f>DATA!AN18</f>
        <v>belum ada keterangan</v>
      </c>
      <c r="AG27" s="152" t="str">
        <f>DATA!AO18</f>
        <v>belum ada keterangan</v>
      </c>
      <c r="AH27" s="56" t="str">
        <f>DATA!AJ18</f>
        <v>-</v>
      </c>
      <c r="AI27" s="56" t="str">
        <f>DATA!AK18</f>
        <v>-</v>
      </c>
      <c r="AJ27" s="233" t="str">
        <f>DATA!AL18</f>
        <v>-</v>
      </c>
      <c r="AK27" s="231" t="str">
        <f>DATA!AR18</f>
        <v>belum ada dokumen R/C</v>
      </c>
      <c r="AL27" s="20" t="str">
        <f>DATA!AN18</f>
        <v>belum ada keterangan</v>
      </c>
      <c r="AM27" s="20" t="str">
        <f>DATA!AO18</f>
        <v>belum ada keterangan</v>
      </c>
      <c r="AN27" s="20" t="str">
        <f>DATA!AP18</f>
        <v>belum ada proses tender/lelang</v>
      </c>
      <c r="AO27" s="20" t="str">
        <f>DATA!AY18</f>
        <v>Konfirmasi melalui surat Sekjen nomor KU.01.12-Sj/636 tgl 23 Oktober 2015</v>
      </c>
      <c r="AP27" s="20" t="e">
        <f>DATA!#REF!</f>
        <v>#REF!</v>
      </c>
      <c r="AQ27" s="20">
        <f>DATA!AZ18</f>
        <v>0</v>
      </c>
      <c r="AR27" s="152" t="e">
        <f>DATA!#REF!</f>
        <v>#REF!</v>
      </c>
      <c r="AS27" s="199"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c r="AT27" s="245">
        <f>DATA!AT18</f>
        <v>250000000</v>
      </c>
      <c r="AU27" s="109" t="str">
        <f>DATA!AU18</f>
        <v>Bank Dunia</v>
      </c>
      <c r="AV27" s="246" t="str">
        <f>DATA!AW18</f>
        <v>- usulan K/L lender: Bank Dunia/ADB. 
- Hanya Bank Dunia saja yang berminat.</v>
      </c>
    </row>
    <row r="28" spans="1:48" ht="46.5" customHeight="1">
      <c r="A28" s="10">
        <f>DATA!A19</f>
        <v>17</v>
      </c>
      <c r="B28" s="10">
        <f>DATA!B19</f>
        <v>0</v>
      </c>
      <c r="C28" s="10" t="str">
        <f>DATA!D19</f>
        <v>INFRASTRUKTUR</v>
      </c>
      <c r="D28" s="10">
        <f>DATA!E19</f>
        <v>1</v>
      </c>
      <c r="E28" s="10" t="str">
        <f>DATA!F19</f>
        <v>Kementerian Pekerjaan Umum dan Perumahan Rakyat</v>
      </c>
      <c r="F28" s="10" t="str">
        <f>DATA!H19</f>
        <v>Development and Improvement of National Roads Program</v>
      </c>
      <c r="G28" s="10" t="str">
        <f>DATA!I19</f>
        <v>C</v>
      </c>
      <c r="H28" s="10" t="str">
        <f>DATA!J19</f>
        <v>Program Pembangunan / Peningkatan Jalan</v>
      </c>
      <c r="I28" s="10">
        <f>DATA!K19</f>
        <v>5</v>
      </c>
      <c r="J28" s="181"/>
      <c r="K28" s="34"/>
      <c r="L28" s="34"/>
      <c r="M28" s="36">
        <v>15</v>
      </c>
      <c r="N28" s="37" t="str">
        <f>DATA!L19</f>
        <v>National Road Improvement in West and South Kalimantan</v>
      </c>
      <c r="O28" s="20">
        <f>DATA!Q19</f>
        <v>1</v>
      </c>
      <c r="P28" s="20">
        <f>DATA!R19</f>
        <v>1</v>
      </c>
      <c r="Q28" s="186">
        <f>DATA!S19</f>
        <v>15</v>
      </c>
      <c r="R28" s="187">
        <f>DATA!T19</f>
        <v>250000000</v>
      </c>
      <c r="S28" s="188">
        <f>DATA!U18</f>
        <v>250000000</v>
      </c>
      <c r="T28" s="77">
        <f>DATA!V19</f>
        <v>50000000</v>
      </c>
      <c r="U28" s="77">
        <f>DATA!W19</f>
        <v>0</v>
      </c>
      <c r="V28" s="77">
        <f>DATA!X19</f>
        <v>300000000</v>
      </c>
      <c r="W28" s="78" t="str">
        <f>DATA!Y19</f>
        <v>IDB</v>
      </c>
      <c r="X28" s="20" t="str">
        <f>DATA!Z19</f>
        <v>Multilateral</v>
      </c>
      <c r="Y28" s="77">
        <f>DATA!AA19</f>
        <v>250000000</v>
      </c>
      <c r="Z28" s="77">
        <v>0</v>
      </c>
      <c r="AA28" s="216" t="str">
        <f>DATA!Y19</f>
        <v>IDB</v>
      </c>
      <c r="AB28" s="188">
        <f>DATA!AG19</f>
        <v>0</v>
      </c>
      <c r="AC28" s="20">
        <f>DATA!AH19</f>
        <v>2017</v>
      </c>
      <c r="AD28" s="56" t="str">
        <f>DATA!AI19</f>
        <v>-</v>
      </c>
      <c r="AE28" s="152" t="str">
        <f>DATA!AR19</f>
        <v>belum ada dokumen R/C</v>
      </c>
      <c r="AF28" s="152" t="str">
        <f>DATA!AN19</f>
        <v>belum ada keterangan</v>
      </c>
      <c r="AG28" s="152" t="str">
        <f>DATA!AO19</f>
        <v>belum ada keterangan</v>
      </c>
      <c r="AH28" s="56" t="str">
        <f>DATA!AJ19</f>
        <v>-</v>
      </c>
      <c r="AI28" s="56" t="str">
        <f>DATA!AK19</f>
        <v>-</v>
      </c>
      <c r="AJ28" s="233" t="str">
        <f>DATA!AL19</f>
        <v>-</v>
      </c>
      <c r="AK28" s="231" t="str">
        <f>DATA!AR19</f>
        <v>belum ada dokumen R/C</v>
      </c>
      <c r="AL28" s="20" t="str">
        <f>DATA!AN19</f>
        <v>belum ada keterangan</v>
      </c>
      <c r="AM28" s="20" t="str">
        <f>DATA!AO19</f>
        <v>belum ada keterangan</v>
      </c>
      <c r="AN28" s="20" t="str">
        <f>DATA!AP19</f>
        <v>belum ada proses tender/lelang</v>
      </c>
      <c r="AO28" s="20" t="str">
        <f>DATA!AY19</f>
        <v>Konfirmasi melalui surat Sekjen nomor KU.01.12-Sj/636 tgl 23 Oktober 2015</v>
      </c>
      <c r="AP28" s="20" t="e">
        <f>DATA!#REF!</f>
        <v>#REF!</v>
      </c>
      <c r="AQ28" s="20">
        <f>DATA!AZ19</f>
        <v>0</v>
      </c>
      <c r="AR28" s="152" t="e">
        <f>DATA!#REF!</f>
        <v>#REF!</v>
      </c>
      <c r="AS28" s="199" t="str">
        <f>DATA!BA19</f>
        <v>Pembangunan/peningkatan 200 km jalan di daerah koridor perbatasan di Kalimantan Barat dan jalan internasional di Kalimantan Selatan</v>
      </c>
      <c r="AT28" s="245">
        <f>DATA!AT19</f>
        <v>250000000</v>
      </c>
      <c r="AU28" s="109" t="str">
        <f>DATA!AU19</f>
        <v>IDB</v>
      </c>
      <c r="AV28" s="246" t="str">
        <f>DATA!AW19</f>
        <v>-</v>
      </c>
    </row>
    <row r="29" spans="1:48" ht="40.5" customHeight="1">
      <c r="A29" s="10">
        <f>DATA!A20</f>
        <v>18</v>
      </c>
      <c r="B29" s="10">
        <f>DATA!B20</f>
        <v>0</v>
      </c>
      <c r="C29" s="10" t="str">
        <f>DATA!D20</f>
        <v>INFRASTRUKTUR</v>
      </c>
      <c r="D29" s="10">
        <f>DATA!E20</f>
        <v>1</v>
      </c>
      <c r="E29" s="10" t="str">
        <f>DATA!F20</f>
        <v>Kementerian Pekerjaan Umum dan Perumahan Rakyat</v>
      </c>
      <c r="F29" s="10" t="str">
        <f>DATA!H20</f>
        <v>Development and Improvement of National Roads Program</v>
      </c>
      <c r="G29" s="10" t="str">
        <f>DATA!I20</f>
        <v>C</v>
      </c>
      <c r="H29" s="10" t="str">
        <f>DATA!J20</f>
        <v>Program Pembangunan / Peningkatan Jalan</v>
      </c>
      <c r="I29" s="10">
        <f>DATA!K20</f>
        <v>6</v>
      </c>
      <c r="J29" s="181"/>
      <c r="K29" s="34"/>
      <c r="L29" s="34"/>
      <c r="M29" s="36">
        <v>16</v>
      </c>
      <c r="N29" s="37" t="str">
        <f>DATA!L20</f>
        <v>National Road Improvement in Central Kalimantan</v>
      </c>
      <c r="O29" s="20">
        <f>DATA!Q20</f>
        <v>1</v>
      </c>
      <c r="P29" s="20">
        <f>DATA!R20</f>
        <v>1</v>
      </c>
      <c r="Q29" s="186">
        <f>DATA!S20</f>
        <v>16</v>
      </c>
      <c r="R29" s="187">
        <f>DATA!T20</f>
        <v>250000000</v>
      </c>
      <c r="S29" s="188">
        <f>DATA!U19</f>
        <v>250000000</v>
      </c>
      <c r="T29" s="77">
        <f>DATA!V20</f>
        <v>50000000</v>
      </c>
      <c r="U29" s="77">
        <f>DATA!W20</f>
        <v>0</v>
      </c>
      <c r="V29" s="77">
        <f>DATA!X20</f>
        <v>300000000</v>
      </c>
      <c r="W29" s="78" t="str">
        <f>DATA!Y20</f>
        <v>Bank Dunia/ADB</v>
      </c>
      <c r="X29" s="20" t="str">
        <f>DATA!Z20</f>
        <v>Multi Lender</v>
      </c>
      <c r="Y29" s="77">
        <f>DATA!AA20</f>
        <v>250000000</v>
      </c>
      <c r="Z29" s="77">
        <v>0</v>
      </c>
      <c r="AA29" s="216" t="str">
        <f>DATA!Y20</f>
        <v>Bank Dunia/ADB</v>
      </c>
      <c r="AB29" s="188">
        <f>DATA!AG20</f>
        <v>0</v>
      </c>
      <c r="AC29" s="20" t="str">
        <f>DATA!AH20</f>
        <v>Tanpa keterangan</v>
      </c>
      <c r="AD29" s="56" t="str">
        <f>DATA!AI20</f>
        <v>-</v>
      </c>
      <c r="AE29" s="152" t="str">
        <f>DATA!AR20</f>
        <v>belum ada dokumen R/C</v>
      </c>
      <c r="AF29" s="152" t="str">
        <f>DATA!AN20</f>
        <v>siap</v>
      </c>
      <c r="AG29" s="152" t="str">
        <f>DATA!AO20</f>
        <v>belum ada keterangan</v>
      </c>
      <c r="AH29" s="56" t="str">
        <f>DATA!AJ20</f>
        <v xml:space="preserve">FS, BD, AMDAL, Penyusunan DED, SP2LP </v>
      </c>
      <c r="AI29" s="56" t="str">
        <f>DATA!AK20</f>
        <v>-</v>
      </c>
      <c r="AJ29" s="233" t="str">
        <f>DATA!AL20</f>
        <v>-</v>
      </c>
      <c r="AK29" s="231" t="str">
        <f>DATA!AR20</f>
        <v>belum ada dokumen R/C</v>
      </c>
      <c r="AL29" s="20" t="str">
        <f>DATA!AN20</f>
        <v>siap</v>
      </c>
      <c r="AM29" s="20" t="str">
        <f>DATA!AO20</f>
        <v>belum ada keterangan</v>
      </c>
      <c r="AN29" s="20" t="str">
        <f>DATA!AP20</f>
        <v>belum ada proses tender/lelang</v>
      </c>
      <c r="AO29" s="20" t="str">
        <f>DATA!AY20</f>
        <v>Konfirmasi melalui surat Sekjen nomor KU.01.12-Sj/636 tgl 23 Oktober 2015</v>
      </c>
      <c r="AP29" s="20" t="e">
        <f>DATA!#REF!</f>
        <v>#REF!</v>
      </c>
      <c r="AQ29" s="20">
        <f>DATA!AZ20</f>
        <v>0</v>
      </c>
      <c r="AR29" s="152" t="e">
        <f>DATA!#REF!</f>
        <v>#REF!</v>
      </c>
      <c r="AS29" s="199" t="str">
        <f>DATA!BA20</f>
        <v>Pembangunan 200 km jalan di wilayah Kalimantan Tengah</v>
      </c>
      <c r="AT29" s="245">
        <f>DATA!AT20</f>
        <v>250000000</v>
      </c>
      <c r="AU29" s="109" t="str">
        <f>DATA!AU20</f>
        <v>Belum Ada Indikasi</v>
      </c>
      <c r="AV29" s="246" t="str">
        <f>DATA!AW20</f>
        <v>usulan K/L lender: Bank Dunia/ADB. Kedua calon lender tidak berminat mendanai proyek ini.</v>
      </c>
    </row>
    <row r="30" spans="1:48" ht="48" customHeight="1">
      <c r="A30" s="10">
        <f>DATA!A21</f>
        <v>19</v>
      </c>
      <c r="B30" s="10">
        <f>DATA!B21</f>
        <v>0</v>
      </c>
      <c r="C30" s="10" t="str">
        <f>DATA!D21</f>
        <v>INFRASTRUKTUR</v>
      </c>
      <c r="D30" s="10">
        <f>DATA!E21</f>
        <v>1</v>
      </c>
      <c r="E30" s="10" t="str">
        <f>DATA!F21</f>
        <v>Kementerian Pekerjaan Umum dan Perumahan Rakyat</v>
      </c>
      <c r="F30" s="10" t="str">
        <f>DATA!H21</f>
        <v>Development and Improvement of National Roads Program</v>
      </c>
      <c r="G30" s="10" t="str">
        <f>DATA!I21</f>
        <v>C</v>
      </c>
      <c r="H30" s="10" t="str">
        <f>DATA!J21</f>
        <v>Program Pembangunan / Peningkatan Jalan</v>
      </c>
      <c r="I30" s="10">
        <f>DATA!K21</f>
        <v>7</v>
      </c>
      <c r="J30" s="181"/>
      <c r="K30" s="34"/>
      <c r="L30" s="34"/>
      <c r="M30" s="36">
        <v>17</v>
      </c>
      <c r="N30" s="37" t="str">
        <f>DATA!L21</f>
        <v>National Road Improvement in North and East Kalimantan</v>
      </c>
      <c r="O30" s="20">
        <f>DATA!Q21</f>
        <v>1</v>
      </c>
      <c r="P30" s="20">
        <f>DATA!R21</f>
        <v>1</v>
      </c>
      <c r="Q30" s="186">
        <f>DATA!S21</f>
        <v>17</v>
      </c>
      <c r="R30" s="187">
        <f>DATA!T21</f>
        <v>250000000</v>
      </c>
      <c r="S30" s="188">
        <f>DATA!U20</f>
        <v>250000000</v>
      </c>
      <c r="T30" s="77">
        <f>DATA!V21</f>
        <v>50000000</v>
      </c>
      <c r="U30" s="77">
        <f>DATA!W21</f>
        <v>0</v>
      </c>
      <c r="V30" s="77">
        <f>DATA!X21</f>
        <v>300000000</v>
      </c>
      <c r="W30" s="78" t="str">
        <f>DATA!Y21</f>
        <v>IDB</v>
      </c>
      <c r="X30" s="20" t="str">
        <f>DATA!Z21</f>
        <v>Multilateral</v>
      </c>
      <c r="Y30" s="77">
        <f>DATA!AA21</f>
        <v>250000000</v>
      </c>
      <c r="Z30" s="77">
        <v>0</v>
      </c>
      <c r="AA30" s="216" t="str">
        <f>DATA!Y21</f>
        <v>IDB</v>
      </c>
      <c r="AB30" s="188">
        <f>DATA!AG21</f>
        <v>0</v>
      </c>
      <c r="AC30" s="20">
        <f>DATA!AH21</f>
        <v>2016</v>
      </c>
      <c r="AD30" s="56" t="str">
        <f>DATA!AI21</f>
        <v>-</v>
      </c>
      <c r="AE30" s="152" t="str">
        <f>DATA!AR21</f>
        <v>belum ada dokumen R/C</v>
      </c>
      <c r="AF30" s="152" t="str">
        <f>DATA!AN21</f>
        <v>siap</v>
      </c>
      <c r="AG30" s="152" t="str">
        <f>DATA!AO21</f>
        <v>belum ada keterangan</v>
      </c>
      <c r="AH30" s="56" t="str">
        <f>DATA!AJ21</f>
        <v>FS dan BD ada, DED dan AMDAL sebagian</v>
      </c>
      <c r="AI30" s="56" t="str">
        <f>DATA!AK21</f>
        <v>-</v>
      </c>
      <c r="AJ30" s="233" t="str">
        <f>DATA!AL21</f>
        <v>-</v>
      </c>
      <c r="AK30" s="231" t="str">
        <f>DATA!AR21</f>
        <v>belum ada dokumen R/C</v>
      </c>
      <c r="AL30" s="20" t="str">
        <f>DATA!AN21</f>
        <v>siap</v>
      </c>
      <c r="AM30" s="20" t="str">
        <f>DATA!AO21</f>
        <v>belum ada keterangan</v>
      </c>
      <c r="AN30" s="20" t="str">
        <f>DATA!AP21</f>
        <v>belum ada proses tender/lelang</v>
      </c>
      <c r="AO30" s="20" t="str">
        <f>DATA!AY21</f>
        <v>Konfirmasi melalui surat Sekjen nomor KU.01.12-Sj/636 tgl 23 Oktober 201515</v>
      </c>
      <c r="AP30" s="20" t="e">
        <f>DATA!#REF!</f>
        <v>#REF!</v>
      </c>
      <c r="AQ30" s="20">
        <f>DATA!AZ21</f>
        <v>0</v>
      </c>
      <c r="AR30" s="152" t="e">
        <f>DATA!#REF!</f>
        <v>#REF!</v>
      </c>
      <c r="AS30" s="199" t="str">
        <f>DATA!BA21</f>
        <v>Pembangunan 200 km jalan di wilayah Kalimantan Utara dan Kalimantan Timur</v>
      </c>
      <c r="AT30" s="245">
        <f>DATA!AT21</f>
        <v>250000000</v>
      </c>
      <c r="AU30" s="109" t="str">
        <f>DATA!AU21</f>
        <v>AIIB</v>
      </c>
      <c r="AV30" s="246" t="str">
        <f>DATA!AW21</f>
        <v>- usulan K/L semula lender: IDB. 
- Pihak IDB tidak berminat mendanai kegiatan ini, diusulkan kepada AIIB.</v>
      </c>
    </row>
    <row r="31" spans="1:48" ht="36" customHeight="1">
      <c r="A31" s="10">
        <f>DATA!A22</f>
        <v>20</v>
      </c>
      <c r="B31" s="10">
        <f>DATA!B22</f>
        <v>0</v>
      </c>
      <c r="C31" s="10" t="str">
        <f>DATA!D22</f>
        <v>INFRASTRUKTUR</v>
      </c>
      <c r="D31" s="10">
        <f>DATA!E22</f>
        <v>1</v>
      </c>
      <c r="E31" s="10" t="str">
        <f>DATA!F22</f>
        <v>Kementerian Pekerjaan Umum dan Perumahan Rakyat</v>
      </c>
      <c r="F31" s="10" t="str">
        <f>DATA!H22</f>
        <v>Development and Improvement of National Roads Program</v>
      </c>
      <c r="G31" s="10" t="str">
        <f>DATA!I22</f>
        <v>C</v>
      </c>
      <c r="H31" s="10" t="str">
        <f>DATA!J22</f>
        <v>Program Pembangunan / Peningkatan Jalan</v>
      </c>
      <c r="I31" s="10">
        <f>DATA!K22</f>
        <v>8</v>
      </c>
      <c r="J31" s="181"/>
      <c r="K31" s="34"/>
      <c r="L31" s="54"/>
      <c r="M31" s="36">
        <v>18</v>
      </c>
      <c r="N31" s="37" t="str">
        <f>DATA!L22</f>
        <v>Road Improvement Project in Sulawesi Island and Major Cities</v>
      </c>
      <c r="O31" s="20">
        <f>DATA!Q22</f>
        <v>1</v>
      </c>
      <c r="P31" s="20">
        <f>DATA!R22</f>
        <v>1</v>
      </c>
      <c r="Q31" s="186">
        <f>DATA!S22</f>
        <v>18</v>
      </c>
      <c r="R31" s="187">
        <f>DATA!T22</f>
        <v>250000000</v>
      </c>
      <c r="S31" s="188">
        <f>DATA!U21</f>
        <v>250000000</v>
      </c>
      <c r="T31" s="77">
        <f>DATA!V22</f>
        <v>50000000</v>
      </c>
      <c r="U31" s="77">
        <f>DATA!W22</f>
        <v>0</v>
      </c>
      <c r="V31" s="77">
        <f>DATA!X22</f>
        <v>300000000</v>
      </c>
      <c r="W31" s="78" t="str">
        <f>DATA!Y22</f>
        <v>IDB</v>
      </c>
      <c r="X31" s="20" t="str">
        <f>DATA!Z22</f>
        <v>Multilateral</v>
      </c>
      <c r="Y31" s="77">
        <f>DATA!AA22</f>
        <v>250000000</v>
      </c>
      <c r="Z31" s="77">
        <v>0</v>
      </c>
      <c r="AA31" s="216" t="str">
        <f>DATA!Y22</f>
        <v>IDB</v>
      </c>
      <c r="AB31" s="188">
        <f>DATA!AG22</f>
        <v>0</v>
      </c>
      <c r="AC31" s="20">
        <f>DATA!AH22</f>
        <v>2016</v>
      </c>
      <c r="AD31" s="56" t="str">
        <f>DATA!AI22</f>
        <v>-</v>
      </c>
      <c r="AE31" s="152" t="str">
        <f>DATA!AR22</f>
        <v>belum ada dokumen R/C</v>
      </c>
      <c r="AF31" s="152" t="str">
        <f>DATA!AN22</f>
        <v>siap</v>
      </c>
      <c r="AG31" s="152" t="str">
        <f>DATA!AO22</f>
        <v>belum ada keterangan</v>
      </c>
      <c r="AH31" s="56" t="str">
        <f>DATA!AJ22</f>
        <v>FS, AMDAL</v>
      </c>
      <c r="AI31" s="56" t="str">
        <f>DATA!AK22</f>
        <v>-</v>
      </c>
      <c r="AJ31" s="233" t="str">
        <f>DATA!AL22</f>
        <v>-</v>
      </c>
      <c r="AK31" s="231" t="str">
        <f>DATA!AR22</f>
        <v>belum ada dokumen R/C</v>
      </c>
      <c r="AL31" s="20" t="str">
        <f>DATA!AN22</f>
        <v>siap</v>
      </c>
      <c r="AM31" s="20" t="str">
        <f>DATA!AO22</f>
        <v>belum ada keterangan</v>
      </c>
      <c r="AN31" s="20" t="str">
        <f>DATA!AP22</f>
        <v>belum ada proses tender/lelang</v>
      </c>
      <c r="AO31" s="20" t="str">
        <f>DATA!AY22</f>
        <v xml:space="preserve">Konfirmasi melalui surat Sekjen nomor KU.01.12-Sj/636 tgl 23 Oktober 2015
</v>
      </c>
      <c r="AP31" s="20" t="e">
        <f>DATA!#REF!</f>
        <v>#REF!</v>
      </c>
      <c r="AQ31" s="20" t="str">
        <f>DATA!AZ22</f>
        <v xml:space="preserve">Lender kembali IDB berdasarkan hasil konfirmasi rapat dgn Dit,Multilateral tgl 15 Okt'15 </v>
      </c>
      <c r="AR31" s="152" t="e">
        <f>DATA!#REF!</f>
        <v>#REF!</v>
      </c>
      <c r="AS31" s="199" t="str">
        <f>DATA!BA22</f>
        <v xml:space="preserve">Pembangunan jalan (ringroad dan bypass) sepanjang sekitar 200 km di wilayah metropolitan Mamminasata dan Gorontalo Outer Ring Road </v>
      </c>
      <c r="AT31" s="245">
        <f>DATA!AT22</f>
        <v>250000000</v>
      </c>
      <c r="AU31" s="109" t="str">
        <f>DATA!AU22</f>
        <v>IDB</v>
      </c>
      <c r="AV31" s="246" t="str">
        <f>DATA!AW22</f>
        <v>-</v>
      </c>
    </row>
    <row r="32" spans="1:48" ht="25.5">
      <c r="J32" s="181"/>
      <c r="K32" s="34"/>
      <c r="L32" s="54"/>
      <c r="M32" s="36">
        <v>19</v>
      </c>
      <c r="N32" s="56" t="str">
        <f>DATA!L23</f>
        <v>Engineering Service for National Roads Development Project</v>
      </c>
      <c r="O32" s="36">
        <f>DATA!Q23</f>
        <v>0</v>
      </c>
      <c r="P32" s="36">
        <f>DATA!R23</f>
        <v>1</v>
      </c>
      <c r="Q32" s="17">
        <f>DATA!S23</f>
        <v>0</v>
      </c>
      <c r="R32" s="202">
        <f>DATA!T23</f>
        <v>0</v>
      </c>
      <c r="S32" s="203">
        <f>DATA!U23</f>
        <v>45000000</v>
      </c>
      <c r="T32" s="88">
        <f>DATA!V23</f>
        <v>0</v>
      </c>
      <c r="U32" s="88">
        <f>DATA!W23</f>
        <v>0</v>
      </c>
      <c r="V32" s="88">
        <f>DATA!X23</f>
        <v>0</v>
      </c>
      <c r="W32" s="88" t="str">
        <f>DATA!Y23</f>
        <v>ADB</v>
      </c>
      <c r="X32" s="88" t="str">
        <f>DATA!Z23</f>
        <v>Multilateral</v>
      </c>
      <c r="Y32" s="88">
        <f>DATA!AA23</f>
        <v>45000000</v>
      </c>
      <c r="Z32" s="88">
        <v>0</v>
      </c>
      <c r="AA32" s="216" t="str">
        <f>DATA!Y23</f>
        <v>ADB</v>
      </c>
      <c r="AB32" s="203">
        <f>DATA!AG23</f>
        <v>0</v>
      </c>
      <c r="AC32" s="102">
        <f>DATA!AH23</f>
        <v>2016</v>
      </c>
      <c r="AD32" s="56" t="str">
        <f>DATA!AI23</f>
        <v>- Sudah ada R/C
- Green Book 2015</v>
      </c>
      <c r="AE32" s="152" t="str">
        <f>DATA!AM23</f>
        <v>2016; 2015</v>
      </c>
      <c r="AF32" s="152" t="str">
        <f>DATA!AN23</f>
        <v>siap</v>
      </c>
      <c r="AG32" s="152" t="str">
        <f>DATA!AO23</f>
        <v>tidak butuh lahan</v>
      </c>
      <c r="AH32" s="56" t="str">
        <f>DATA!AJ23</f>
        <v>-</v>
      </c>
      <c r="AI32" s="56" t="str">
        <f>DATA!AK23</f>
        <v>-</v>
      </c>
      <c r="AJ32" s="233" t="str">
        <f>DATA!AL23</f>
        <v>-</v>
      </c>
      <c r="AK32" s="231"/>
      <c r="AL32" s="20"/>
      <c r="AM32" s="20"/>
      <c r="AN32" s="20"/>
      <c r="AO32" s="20"/>
      <c r="AP32" s="20"/>
      <c r="AQ32" s="20"/>
      <c r="AR32" s="152" t="e">
        <f>DATA!#REF!</f>
        <v>#REF!</v>
      </c>
      <c r="AS32" s="199"/>
      <c r="AT32" s="245">
        <f>DATA!AT23</f>
        <v>45000000</v>
      </c>
      <c r="AU32" s="109" t="str">
        <f>DATA!AU23</f>
        <v>ADB</v>
      </c>
      <c r="AV32" s="246" t="str">
        <f>DATA!AW23</f>
        <v>-</v>
      </c>
    </row>
    <row r="33" spans="1:48" s="5" customFormat="1" ht="33.75" customHeight="1">
      <c r="J33" s="180"/>
      <c r="K33" s="50"/>
      <c r="L33" s="30" t="str">
        <f>DATA!I24</f>
        <v>D</v>
      </c>
      <c r="M33" s="31" t="str">
        <f>DATA!J24</f>
        <v>Program Pembangunan Air Minum</v>
      </c>
      <c r="N33" s="51"/>
      <c r="O33" s="31"/>
      <c r="P33" s="31"/>
      <c r="Q33" s="196"/>
      <c r="R33" s="197">
        <f>+R34+R35+R36+R37+R38+R39+R40+R41+R42+R43+R44+R45+R47</f>
        <v>1197680000</v>
      </c>
      <c r="S33" s="198">
        <f t="shared" ref="S33:AS33" si="4">+S34+S35+S36+S37+S38+S39+S40+S41+S42+S43+S44+S45+S47</f>
        <v>1197680000</v>
      </c>
      <c r="T33" s="81">
        <f t="shared" si="4"/>
        <v>54434000</v>
      </c>
      <c r="U33" s="81">
        <f t="shared" si="4"/>
        <v>0</v>
      </c>
      <c r="V33" s="81">
        <f t="shared" si="4"/>
        <v>1152114000</v>
      </c>
      <c r="W33" s="81" t="e">
        <f t="shared" si="4"/>
        <v>#VALUE!</v>
      </c>
      <c r="X33" s="81" t="e">
        <f t="shared" si="4"/>
        <v>#VALUE!</v>
      </c>
      <c r="Y33" s="81">
        <f>+Y34+Y35+Y36+Y37+Y38+Y39+Y40+Y41+Y42+Y43+Y44+Y45+Y46+Y47</f>
        <v>1197680000</v>
      </c>
      <c r="Z33" s="81">
        <f t="shared" si="4"/>
        <v>0</v>
      </c>
      <c r="AA33" s="214"/>
      <c r="AB33" s="198">
        <f t="shared" si="4"/>
        <v>0</v>
      </c>
      <c r="AC33" s="81">
        <f t="shared" si="4"/>
        <v>26216</v>
      </c>
      <c r="AD33" s="81"/>
      <c r="AE33" s="81"/>
      <c r="AF33" s="81"/>
      <c r="AG33" s="81"/>
      <c r="AH33" s="81"/>
      <c r="AI33" s="81"/>
      <c r="AJ33" s="229"/>
      <c r="AK33" s="198" t="e">
        <f t="shared" si="4"/>
        <v>#VALUE!</v>
      </c>
      <c r="AL33" s="81" t="e">
        <f t="shared" si="4"/>
        <v>#VALUE!</v>
      </c>
      <c r="AM33" s="81" t="e">
        <f t="shared" si="4"/>
        <v>#VALUE!</v>
      </c>
      <c r="AN33" s="81" t="e">
        <f t="shared" si="4"/>
        <v>#VALUE!</v>
      </c>
      <c r="AO33" s="81" t="e">
        <f t="shared" si="4"/>
        <v>#VALUE!</v>
      </c>
      <c r="AP33" s="81" t="e">
        <f t="shared" si="4"/>
        <v>#REF!</v>
      </c>
      <c r="AQ33" s="81" t="e">
        <f t="shared" si="4"/>
        <v>#VALUE!</v>
      </c>
      <c r="AR33" s="81" t="e">
        <f t="shared" si="4"/>
        <v>#REF!</v>
      </c>
      <c r="AS33" s="243" t="e">
        <f t="shared" si="4"/>
        <v>#VALUE!</v>
      </c>
      <c r="AT33" s="244">
        <f>+AT34+AT35+AT36+AT37+AT38+AT39+AT40+AT41+AT42+AT43+AT44+AT45+AT46+AT47</f>
        <v>1197680000</v>
      </c>
      <c r="AU33" s="81"/>
      <c r="AV33" s="229"/>
    </row>
    <row r="34" spans="1:48" ht="42" customHeight="1">
      <c r="A34" s="10">
        <f>DATA!A24</f>
        <v>21</v>
      </c>
      <c r="B34" s="10">
        <f>DATA!B24</f>
        <v>0</v>
      </c>
      <c r="C34" s="10" t="str">
        <f>DATA!D24</f>
        <v>INFRASTRUKTUR</v>
      </c>
      <c r="D34" s="10">
        <f>DATA!E24</f>
        <v>1</v>
      </c>
      <c r="E34" s="10" t="str">
        <f>DATA!F24</f>
        <v>Kementerian Pekerjaan Umum dan Perumahan Rakyat</v>
      </c>
      <c r="F34" s="10" t="str">
        <f>DATA!H24</f>
        <v>Drinking Water Development Program</v>
      </c>
      <c r="G34" s="10" t="str">
        <f>DATA!I24</f>
        <v>D</v>
      </c>
      <c r="H34" s="10" t="str">
        <f>DATA!J24</f>
        <v>Program Pembangunan Air Minum</v>
      </c>
      <c r="I34" s="10">
        <f>DATA!K24</f>
        <v>1</v>
      </c>
      <c r="J34" s="181"/>
      <c r="K34" s="34"/>
      <c r="L34" s="35"/>
      <c r="M34" s="36">
        <v>20</v>
      </c>
      <c r="N34" s="37" t="str">
        <f>DATA!L24</f>
        <v>Community Based Water and Sanitation Program  (PAMSIMAS)</v>
      </c>
      <c r="O34" s="20">
        <f>DATA!Q24</f>
        <v>1</v>
      </c>
      <c r="P34" s="20">
        <f>DATA!R24</f>
        <v>1</v>
      </c>
      <c r="Q34" s="186">
        <f>DATA!S24</f>
        <v>19</v>
      </c>
      <c r="R34" s="187">
        <f>DATA!T24</f>
        <v>300000000</v>
      </c>
      <c r="S34" s="203">
        <f>DATA!U24</f>
        <v>300000000</v>
      </c>
      <c r="T34" s="77">
        <f>DATA!V24</f>
        <v>15000000</v>
      </c>
      <c r="U34" s="77">
        <f>DATA!W24</f>
        <v>0</v>
      </c>
      <c r="V34" s="77">
        <f>DATA!X24</f>
        <v>315000000</v>
      </c>
      <c r="W34" s="78" t="str">
        <f>DATA!Y24</f>
        <v>Bank Dunia</v>
      </c>
      <c r="X34" s="20" t="str">
        <f>DATA!Z24</f>
        <v>Multilateral</v>
      </c>
      <c r="Y34" s="77">
        <f>DATA!AA24</f>
        <v>300000000</v>
      </c>
      <c r="Z34" s="77">
        <v>0</v>
      </c>
      <c r="AA34" s="216" t="str">
        <f>DATA!Y24</f>
        <v>Bank Dunia</v>
      </c>
      <c r="AB34" s="188">
        <f>DATA!AG24</f>
        <v>0</v>
      </c>
      <c r="AC34" s="20">
        <f>DATA!AH24</f>
        <v>2016</v>
      </c>
      <c r="AD34" s="37" t="str">
        <f>DATA!AI24</f>
        <v xml:space="preserve">- Green Book 2015
- Sudah negosiasi
- Tender konsultan </v>
      </c>
      <c r="AE34" s="152" t="str">
        <f>DATA!AR24</f>
        <v>-</v>
      </c>
      <c r="AF34" s="152" t="str">
        <f>DATA!AN24</f>
        <v>dalam proses
(memiliki FS dan DED)</v>
      </c>
      <c r="AG34" s="152" t="str">
        <f>DATA!AO24</f>
        <v>belum ada keterangan</v>
      </c>
      <c r="AH34" s="37" t="str">
        <f>DATA!AJ24</f>
        <v xml:space="preserve">FS, DED
</v>
      </c>
      <c r="AI34" s="37" t="str">
        <f>DATA!AK24</f>
        <v>-</v>
      </c>
      <c r="AJ34" s="230" t="str">
        <f>DATA!AL24</f>
        <v>-</v>
      </c>
      <c r="AK34" s="231" t="str">
        <f>DATA!AR24</f>
        <v>-</v>
      </c>
      <c r="AL34" s="20" t="str">
        <f>DATA!AN24</f>
        <v>dalam proses
(memiliki FS dan DED)</v>
      </c>
      <c r="AM34" s="20" t="str">
        <f>DATA!AO24</f>
        <v>belum ada keterangan</v>
      </c>
      <c r="AN34" s="20" t="str">
        <f>DATA!AP24</f>
        <v>belum ada proses tender/lelang</v>
      </c>
      <c r="AO34"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P34" s="20" t="e">
        <f>DATA!#REF!</f>
        <v>#REF!</v>
      </c>
      <c r="AQ34" s="20">
        <f>DATA!AZ24</f>
        <v>0</v>
      </c>
      <c r="AR34" s="152" t="e">
        <f>DATA!#REF!</f>
        <v>#REF!</v>
      </c>
      <c r="AS34" s="199" t="str">
        <f>DATA!BA24</f>
        <v>Peningkatan kualitas pemukiman dan penyediaan air bersih berkelanjutan yang melayani 719.500 Sambungan Rumah (SR).</v>
      </c>
      <c r="AT34" s="245">
        <f>DATA!AT24</f>
        <v>300000000</v>
      </c>
      <c r="AU34" s="109" t="str">
        <f>DATA!AU24</f>
        <v>Bank Dunia</v>
      </c>
      <c r="AV34" s="246" t="str">
        <f>DATA!AW24</f>
        <v>-</v>
      </c>
    </row>
    <row r="35" spans="1:48" ht="31.5" customHeight="1">
      <c r="A35" s="10">
        <f>DATA!A25</f>
        <v>22</v>
      </c>
      <c r="B35" s="10">
        <f>DATA!B25</f>
        <v>0</v>
      </c>
      <c r="C35" s="10" t="str">
        <f>DATA!D25</f>
        <v>INFRASTRUKTUR</v>
      </c>
      <c r="D35" s="10">
        <f>DATA!E25</f>
        <v>1</v>
      </c>
      <c r="E35" s="10" t="str">
        <f>DATA!F25</f>
        <v>Kementerian Pekerjaan Umum dan Perumahan Rakyat</v>
      </c>
      <c r="F35" s="10" t="str">
        <f>DATA!H25</f>
        <v>Drinking Water Development Program</v>
      </c>
      <c r="G35" s="10" t="str">
        <f>DATA!I25</f>
        <v>D</v>
      </c>
      <c r="H35" s="10" t="str">
        <f>DATA!J25</f>
        <v>Program Pembangunan Air Minum</v>
      </c>
      <c r="I35" s="10">
        <f>DATA!K25</f>
        <v>2</v>
      </c>
      <c r="J35" s="181"/>
      <c r="K35" s="34"/>
      <c r="L35" s="34"/>
      <c r="M35" s="36">
        <v>21</v>
      </c>
      <c r="N35" s="37" t="str">
        <f>DATA!L25</f>
        <v>National Urban Water Supply</v>
      </c>
      <c r="O35" s="20">
        <f>DATA!Q25</f>
        <v>1</v>
      </c>
      <c r="P35" s="20">
        <f>DATA!R25</f>
        <v>1</v>
      </c>
      <c r="Q35" s="186">
        <f>DATA!S25</f>
        <v>20</v>
      </c>
      <c r="R35" s="187">
        <f>DATA!T25</f>
        <v>100000000</v>
      </c>
      <c r="S35" s="203">
        <f>DATA!U25</f>
        <v>100000000</v>
      </c>
      <c r="T35" s="77">
        <f>DATA!V25</f>
        <v>5000000</v>
      </c>
      <c r="U35" s="77">
        <f>DATA!W25</f>
        <v>0</v>
      </c>
      <c r="V35" s="77">
        <f>DATA!X25</f>
        <v>105000000</v>
      </c>
      <c r="W35" s="78" t="str">
        <f>DATA!Y25</f>
        <v>Bank Dunia</v>
      </c>
      <c r="X35" s="20" t="str">
        <f>DATA!Z25</f>
        <v>Multilateral</v>
      </c>
      <c r="Y35" s="77">
        <f>DATA!AA25</f>
        <v>100000000</v>
      </c>
      <c r="Z35" s="77">
        <v>0</v>
      </c>
      <c r="AA35" s="216" t="str">
        <f>DATA!Y25</f>
        <v>Bank Dunia</v>
      </c>
      <c r="AB35" s="188">
        <f>DATA!AG25</f>
        <v>0</v>
      </c>
      <c r="AC35" s="20">
        <f>DATA!AH25</f>
        <v>2017</v>
      </c>
      <c r="AD35" s="37">
        <f>DATA!AI25</f>
        <v>0</v>
      </c>
      <c r="AE35" s="152" t="str">
        <f>DATA!AR25</f>
        <v>belum ada dokumen R/C</v>
      </c>
      <c r="AF35" s="152" t="str">
        <f>DATA!AN25</f>
        <v>belum ada keterangan</v>
      </c>
      <c r="AG35" s="152" t="str">
        <f>DATA!AO25</f>
        <v>belum ada keterangan</v>
      </c>
      <c r="AH35" s="37" t="str">
        <f>DATA!AJ25</f>
        <v>-</v>
      </c>
      <c r="AI35" s="37" t="str">
        <f>DATA!AK25</f>
        <v>-</v>
      </c>
      <c r="AJ35" s="230" t="str">
        <f>DATA!AL25</f>
        <v>-</v>
      </c>
      <c r="AK35" s="231" t="str">
        <f>DATA!AR25</f>
        <v>belum ada dokumen R/C</v>
      </c>
      <c r="AL35" s="20" t="str">
        <f>DATA!AN25</f>
        <v>belum ada keterangan</v>
      </c>
      <c r="AM35" s="20" t="str">
        <f>DATA!AO25</f>
        <v>belum ada keterangan</v>
      </c>
      <c r="AN35" s="20" t="str">
        <f>DATA!AP25</f>
        <v>belum ada proses tender/lelang</v>
      </c>
      <c r="AO35" s="20" t="str">
        <f>DATA!AY25</f>
        <v>Konfirmasi melalui surat Sekjen nomor KU.01.12-Sj/636 tgl 23 Oktober 2015</v>
      </c>
      <c r="AP35" s="20" t="e">
        <f>DATA!#REF!</f>
        <v>#REF!</v>
      </c>
      <c r="AQ35" s="20">
        <f>DATA!AZ25</f>
        <v>0</v>
      </c>
      <c r="AR35" s="152" t="e">
        <f>DATA!#REF!</f>
        <v>#REF!</v>
      </c>
      <c r="AS35" s="199" t="str">
        <f>DATA!BA25</f>
        <v>Pembangunan Sistem Pengelolaan Air Mimum (SPAM) perkotaan sebesar 239,808 Sambungan Rumah (SR) untuk perluasan akses pelayanan air minum, termasuk kegiatan penguatan kapasitas pendanaan dan kelembagaan.</v>
      </c>
      <c r="AT35" s="245">
        <f>DATA!AT25</f>
        <v>100000000</v>
      </c>
      <c r="AU35" s="109" t="str">
        <f>DATA!AU25</f>
        <v>Bank Dunia</v>
      </c>
      <c r="AV35" s="246" t="str">
        <f>DATA!AW25</f>
        <v>-</v>
      </c>
    </row>
    <row r="36" spans="1:48" ht="33.75" customHeight="1">
      <c r="A36" s="10">
        <f>DATA!A27</f>
        <v>24</v>
      </c>
      <c r="B36" s="10">
        <f>DATA!B27</f>
        <v>0</v>
      </c>
      <c r="C36" s="10" t="str">
        <f>DATA!D27</f>
        <v>INFRASTRUKTUR</v>
      </c>
      <c r="D36" s="10">
        <f>DATA!E27</f>
        <v>1</v>
      </c>
      <c r="E36" s="10" t="str">
        <f>DATA!F27</f>
        <v>Kementerian Pekerjaan Umum dan Perumahan Rakyat</v>
      </c>
      <c r="F36" s="10" t="str">
        <f>DATA!H27</f>
        <v>Drinking Water Development Program</v>
      </c>
      <c r="G36" s="10" t="str">
        <f>DATA!I27</f>
        <v>D</v>
      </c>
      <c r="H36" s="10" t="str">
        <f>DATA!J27</f>
        <v>Program Pembangunan Air Minum</v>
      </c>
      <c r="I36" s="10">
        <f>DATA!K27</f>
        <v>3</v>
      </c>
      <c r="J36" s="181"/>
      <c r="K36" s="34"/>
      <c r="L36" s="34"/>
      <c r="M36" s="36">
        <v>22</v>
      </c>
      <c r="N36" s="37" t="str">
        <f>DATA!L27</f>
        <v xml:space="preserve">Mamminasata Water Supply Development Project </v>
      </c>
      <c r="O36" s="20">
        <f>DATA!Q27</f>
        <v>1</v>
      </c>
      <c r="P36" s="20">
        <f>DATA!R27</f>
        <v>1</v>
      </c>
      <c r="Q36" s="186">
        <f>DATA!S27</f>
        <v>21</v>
      </c>
      <c r="R36" s="187">
        <f>DATA!T27</f>
        <v>100000000</v>
      </c>
      <c r="S36" s="203">
        <f>DATA!U27</f>
        <v>100000000</v>
      </c>
      <c r="T36" s="77">
        <f>DATA!V27</f>
        <v>5000000</v>
      </c>
      <c r="U36" s="77">
        <f>DATA!W27</f>
        <v>0</v>
      </c>
      <c r="V36" s="77">
        <f>DATA!X27</f>
        <v>105000000</v>
      </c>
      <c r="W36" s="78" t="str">
        <f>DATA!Y27</f>
        <v>JICA</v>
      </c>
      <c r="X36" s="20" t="str">
        <f>DATA!Z27</f>
        <v>Bilateral</v>
      </c>
      <c r="Y36" s="77">
        <f>DATA!AA27</f>
        <v>100000000</v>
      </c>
      <c r="Z36" s="77">
        <v>0</v>
      </c>
      <c r="AA36" s="216" t="str">
        <f>DATA!Y27</f>
        <v>JICA</v>
      </c>
      <c r="AB36" s="188">
        <f>DATA!AG27</f>
        <v>0</v>
      </c>
      <c r="AC36" s="20">
        <f>DATA!AH27</f>
        <v>2016</v>
      </c>
      <c r="AD36" s="37" t="str">
        <f>DATA!AI27</f>
        <v>-</v>
      </c>
      <c r="AE36" s="152">
        <f>DATA!AM27</f>
        <v>0</v>
      </c>
      <c r="AF36" s="152" t="str">
        <f>DATA!AN27</f>
        <v>siap</v>
      </c>
      <c r="AG36" s="152" t="str">
        <f>DATA!AO27</f>
        <v>dalam proses
(persiapan)</v>
      </c>
      <c r="AH36" s="37" t="str">
        <f>DATA!AJ27</f>
        <v>FS , AMDAL, DED</v>
      </c>
      <c r="AI36" s="37" t="str">
        <f>DATA!AK27</f>
        <v>Proses pembebasan lahan oleh Pemda</v>
      </c>
      <c r="AJ36" s="230" t="str">
        <f>DATA!AL27</f>
        <v>-</v>
      </c>
      <c r="AK36" s="231">
        <f>DATA!AM27</f>
        <v>0</v>
      </c>
      <c r="AL36" s="20" t="str">
        <f>DATA!AN27</f>
        <v>siap</v>
      </c>
      <c r="AM36" s="20" t="str">
        <f>DATA!AO27</f>
        <v>dalam proses
(persiapan)</v>
      </c>
      <c r="AN36" s="20" t="str">
        <f>DATA!AP27</f>
        <v>belum ada proses tender/lelang</v>
      </c>
      <c r="AO36" s="20" t="str">
        <f>DATA!AY27</f>
        <v>Konfirmasi melalui surat Sekjen nomor KU.01.12-Sj/636 tgl 23 Oktober 2015</v>
      </c>
      <c r="AP36" s="20" t="e">
        <f>DATA!#REF!</f>
        <v>#REF!</v>
      </c>
      <c r="AQ36" s="20">
        <f>DATA!AZ27</f>
        <v>0</v>
      </c>
      <c r="AR36" s="152" t="e">
        <f>DATA!#REF!</f>
        <v>#REF!</v>
      </c>
      <c r="AS36" s="199" t="str">
        <f>DATA!BA27</f>
        <v>Pembangunan IPA Somba Opu Tahap II, kap. 1.000 lt/dt dan pembangunan jaringan pipa transmisi air minum untuk melayani 149.925 SR di wilayah Makassar, Maros, Gowa dan Takalar.</v>
      </c>
      <c r="AT36" s="245">
        <f>DATA!AT27</f>
        <v>100000000</v>
      </c>
      <c r="AU36" s="109" t="str">
        <f>DATA!AU27</f>
        <v>JICA</v>
      </c>
      <c r="AV36" s="246" t="str">
        <f>DATA!AW27</f>
        <v>-</v>
      </c>
    </row>
    <row r="37" spans="1:48" ht="46.5" customHeight="1">
      <c r="A37" s="10">
        <f>DATA!A28</f>
        <v>25</v>
      </c>
      <c r="B37" s="10">
        <f>DATA!B28</f>
        <v>0</v>
      </c>
      <c r="C37" s="10" t="str">
        <f>DATA!D28</f>
        <v>INFRASTRUKTUR</v>
      </c>
      <c r="D37" s="10">
        <f>DATA!E28</f>
        <v>1</v>
      </c>
      <c r="E37" s="10" t="str">
        <f>DATA!F28</f>
        <v>Kementerian Pekerjaan Umum dan Perumahan Rakyat</v>
      </c>
      <c r="F37" s="10" t="str">
        <f>DATA!H28</f>
        <v>Drinking Water Development Program</v>
      </c>
      <c r="G37" s="10" t="str">
        <f>DATA!I28</f>
        <v>D</v>
      </c>
      <c r="H37" s="10" t="str">
        <f>DATA!J28</f>
        <v>Program Pembangunan Air Minum</v>
      </c>
      <c r="I37" s="10">
        <f>DATA!K28</f>
        <v>3</v>
      </c>
      <c r="J37" s="181"/>
      <c r="K37" s="34"/>
      <c r="L37" s="34"/>
      <c r="M37" s="52">
        <v>23</v>
      </c>
      <c r="N37" s="37" t="str">
        <f>DATA!L28</f>
        <v xml:space="preserve">The Development of Regional Water Supply System in Benteng Kobema </v>
      </c>
      <c r="O37" s="20">
        <f>DATA!Q28</f>
        <v>1</v>
      </c>
      <c r="P37" s="20">
        <f>DATA!R28</f>
        <v>1</v>
      </c>
      <c r="Q37" s="186">
        <f>DATA!S28</f>
        <v>22</v>
      </c>
      <c r="R37" s="187">
        <f>DATA!T28</f>
        <v>74300000</v>
      </c>
      <c r="S37" s="203">
        <f>DATA!U28</f>
        <v>74300000</v>
      </c>
      <c r="T37" s="77">
        <f>DATA!V28</f>
        <v>3715000</v>
      </c>
      <c r="U37" s="77">
        <f>DATA!W28</f>
        <v>0</v>
      </c>
      <c r="V37" s="77">
        <f>DATA!X28</f>
        <v>78015000</v>
      </c>
      <c r="W37" s="78" t="str">
        <f>DATA!Y28</f>
        <v>Bank Dunia/JICA/ADB</v>
      </c>
      <c r="X37" s="20" t="str">
        <f>DATA!Z28</f>
        <v>Multi Lender</v>
      </c>
      <c r="Y37" s="77">
        <f>DATA!AA28</f>
        <v>74300000</v>
      </c>
      <c r="Z37" s="77">
        <v>0</v>
      </c>
      <c r="AA37" s="216" t="str">
        <f>DATA!Y28</f>
        <v>Bank Dunia/JICA/ADB</v>
      </c>
      <c r="AB37" s="188">
        <f>DATA!AG28</f>
        <v>0</v>
      </c>
      <c r="AC37" s="20">
        <f>DATA!AH28</f>
        <v>2017</v>
      </c>
      <c r="AD37" s="37" t="str">
        <f>DATA!AI28</f>
        <v>-</v>
      </c>
      <c r="AE37" s="152">
        <f>DATA!AM28</f>
        <v>0</v>
      </c>
      <c r="AF37" s="152" t="str">
        <f>DATA!AN28</f>
        <v>dalam proses
(penyusunan FS)</v>
      </c>
      <c r="AG37" s="152" t="str">
        <f>DATA!AO28</f>
        <v>dalam proses
(persiapan)</v>
      </c>
      <c r="AH37" s="37" t="str">
        <f>DATA!AJ28</f>
        <v>RISPAM, DED, SIPA, Organisasi Pelaksana, DDUB</v>
      </c>
      <c r="AI37" s="37" t="str">
        <f>DATA!AK28</f>
        <v>Proses pembebasan lahan oleh Pemda</v>
      </c>
      <c r="AJ37" s="230" t="str">
        <f>DATA!AL28</f>
        <v>-</v>
      </c>
      <c r="AK37" s="231">
        <f>DATA!AM28</f>
        <v>0</v>
      </c>
      <c r="AL37" s="20" t="str">
        <f>DATA!AN28</f>
        <v>dalam proses
(penyusunan FS)</v>
      </c>
      <c r="AM37" s="20" t="str">
        <f>DATA!AO28</f>
        <v>dalam proses
(persiapan)</v>
      </c>
      <c r="AN37" s="20" t="str">
        <f>DATA!AP28</f>
        <v>belum ada proses tender/lelang</v>
      </c>
      <c r="AO37" s="20" t="str">
        <f>DATA!AY28</f>
        <v>Konfirmasi melalui surat Sekjen nomor KU.01.12-Sj/636 tgl 23 Oktober 2015</v>
      </c>
      <c r="AP37" s="20" t="e">
        <f>DATA!#REF!</f>
        <v>#REF!</v>
      </c>
      <c r="AQ37" s="20" t="str">
        <f>DATA!AZ28</f>
        <v>JICA &amp; ADB juga diindikasikan akan mendanai kegiatan ini meskipun belum ada pembicaraan</v>
      </c>
      <c r="AR37" s="152" t="e">
        <f>DATA!#REF!</f>
        <v>#REF!</v>
      </c>
      <c r="AS37" s="199"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c r="AT37" s="245">
        <f>DATA!AT28</f>
        <v>74300000</v>
      </c>
      <c r="AU37" s="109" t="str">
        <f>DATA!AU28</f>
        <v>Bank Dunia</v>
      </c>
      <c r="AV37" s="246" t="str">
        <f>DATA!AW28</f>
        <v>- usulan K/L lender: Bank Dunia/JICA/ADB. 
- Pihak Bank Dunia berminat, ADB dan JICA tidak minat.</v>
      </c>
    </row>
    <row r="38" spans="1:48" ht="40.5" customHeight="1">
      <c r="A38" s="10">
        <f>DATA!A29</f>
        <v>26</v>
      </c>
      <c r="B38" s="10">
        <f>DATA!B29</f>
        <v>0</v>
      </c>
      <c r="C38" s="10" t="str">
        <f>DATA!D29</f>
        <v>INFRASTRUKTUR</v>
      </c>
      <c r="D38" s="10">
        <f>DATA!E29</f>
        <v>1</v>
      </c>
      <c r="E38" s="10" t="str">
        <f>DATA!F29</f>
        <v>Kementerian Pekerjaan Umum dan Perumahan Rakyat</v>
      </c>
      <c r="F38" s="10" t="str">
        <f>DATA!H29</f>
        <v>Drinking Water Development Program</v>
      </c>
      <c r="G38" s="10" t="str">
        <f>DATA!I29</f>
        <v>D</v>
      </c>
      <c r="H38" s="10" t="str">
        <f>DATA!J29</f>
        <v>Program Pembangunan Air Minum</v>
      </c>
      <c r="I38" s="10">
        <f>DATA!K29</f>
        <v>3</v>
      </c>
      <c r="J38" s="181"/>
      <c r="K38" s="34"/>
      <c r="L38" s="34"/>
      <c r="M38" s="36">
        <v>24</v>
      </c>
      <c r="N38" s="37" t="str">
        <f>DATA!L29</f>
        <v xml:space="preserve">The Development of Regional Water Supply System in Wosusokas </v>
      </c>
      <c r="O38" s="20">
        <f>DATA!Q29</f>
        <v>1</v>
      </c>
      <c r="P38" s="20">
        <f>DATA!R29</f>
        <v>1</v>
      </c>
      <c r="Q38" s="186">
        <f>DATA!S29</f>
        <v>23</v>
      </c>
      <c r="R38" s="187">
        <f>DATA!T29</f>
        <v>106200000</v>
      </c>
      <c r="S38" s="203">
        <f>DATA!U29</f>
        <v>106200000</v>
      </c>
      <c r="T38" s="77">
        <f>DATA!V29</f>
        <v>5310000</v>
      </c>
      <c r="U38" s="77">
        <f>DATA!W29</f>
        <v>0</v>
      </c>
      <c r="V38" s="77">
        <f>DATA!X29</f>
        <v>111510000</v>
      </c>
      <c r="W38" s="78" t="str">
        <f>DATA!Y29</f>
        <v>Jerman (KfW)</v>
      </c>
      <c r="X38" s="20" t="str">
        <f>DATA!Z29</f>
        <v>Bilateral</v>
      </c>
      <c r="Y38" s="77">
        <f>DATA!AA29</f>
        <v>106200000</v>
      </c>
      <c r="Z38" s="77">
        <v>0</v>
      </c>
      <c r="AA38" s="216" t="str">
        <f>DATA!Y29</f>
        <v>Jerman (KfW)</v>
      </c>
      <c r="AB38" s="188">
        <f>DATA!AG29</f>
        <v>0</v>
      </c>
      <c r="AC38" s="20">
        <f>DATA!AH29</f>
        <v>2017</v>
      </c>
      <c r="AD38" s="37" t="str">
        <f>DATA!AI29</f>
        <v>-</v>
      </c>
      <c r="AE38" s="152">
        <f>DATA!AM29</f>
        <v>0</v>
      </c>
      <c r="AF38" s="152" t="str">
        <f>DATA!AN29</f>
        <v>dalam proses
(penyusunan FS)</v>
      </c>
      <c r="AG38" s="152" t="str">
        <f>DATA!AO29</f>
        <v>dalam proses
(persiapan)</v>
      </c>
      <c r="AH38" s="37" t="str">
        <f>DATA!AJ29</f>
        <v>RISPAM, DED, SIPA, Organisasi Pelaksana, DDUB</v>
      </c>
      <c r="AI38" s="37" t="str">
        <f>DATA!AK29</f>
        <v>Proses pembebasan lahan oleh Pemda</v>
      </c>
      <c r="AJ38" s="230" t="str">
        <f>DATA!AL29</f>
        <v>-</v>
      </c>
      <c r="AK38" s="231">
        <f>DATA!AM29</f>
        <v>0</v>
      </c>
      <c r="AL38" s="20" t="str">
        <f>DATA!AN29</f>
        <v>dalam proses
(penyusunan FS)</v>
      </c>
      <c r="AM38" s="20" t="str">
        <f>DATA!AO29</f>
        <v>dalam proses
(persiapan)</v>
      </c>
      <c r="AN38" s="20" t="str">
        <f>DATA!AP29</f>
        <v>belum ada proses tender/lelang</v>
      </c>
      <c r="AO38" s="20" t="str">
        <f>DATA!AY29</f>
        <v>Konfirmasi melalui surat Sekjen nomor KU.01.12-Sj/636 tgl 23 Oktober 2015</v>
      </c>
      <c r="AP38" s="20" t="e">
        <f>DATA!#REF!</f>
        <v>#REF!</v>
      </c>
      <c r="AQ38" s="20">
        <f>DATA!AZ29</f>
        <v>0</v>
      </c>
      <c r="AR38" s="152" t="e">
        <f>DATA!#REF!</f>
        <v>#REF!</v>
      </c>
      <c r="AS38" s="199"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c r="AT38" s="245">
        <f>DATA!AT29</f>
        <v>106200000</v>
      </c>
      <c r="AU38" s="109" t="str">
        <f>DATA!AU29</f>
        <v>Jerman (KfW)</v>
      </c>
      <c r="AV38" s="246" t="str">
        <f>DATA!AW29</f>
        <v>-</v>
      </c>
    </row>
    <row r="39" spans="1:48" ht="79.5" customHeight="1">
      <c r="A39" s="10">
        <f>DATA!A30</f>
        <v>27</v>
      </c>
      <c r="B39" s="10">
        <f>DATA!B30</f>
        <v>0</v>
      </c>
      <c r="C39" s="10" t="str">
        <f>DATA!D30</f>
        <v>INFRASTRUKTUR</v>
      </c>
      <c r="D39" s="10">
        <f>DATA!E30</f>
        <v>1</v>
      </c>
      <c r="E39" s="10" t="str">
        <f>DATA!F30</f>
        <v>Kementerian Pekerjaan Umum dan Perumahan Rakyat</v>
      </c>
      <c r="F39" s="10" t="str">
        <f>DATA!H30</f>
        <v>Drinking Water Development Program</v>
      </c>
      <c r="G39" s="10" t="str">
        <f>DATA!I30</f>
        <v>D</v>
      </c>
      <c r="H39" s="10" t="str">
        <f>DATA!J30</f>
        <v>Program Pembangunan Air Minum</v>
      </c>
      <c r="I39" s="10">
        <f>DATA!K30</f>
        <v>3</v>
      </c>
      <c r="J39" s="181"/>
      <c r="K39" s="34"/>
      <c r="L39" s="34"/>
      <c r="M39" s="36">
        <v>25</v>
      </c>
      <c r="N39" s="37" t="str">
        <f>DATA!L30</f>
        <v xml:space="preserve">The Development of Regional Water Supply System of Jatigede </v>
      </c>
      <c r="O39" s="20">
        <f>DATA!Q30</f>
        <v>1</v>
      </c>
      <c r="P39" s="20">
        <f>DATA!R30</f>
        <v>1</v>
      </c>
      <c r="Q39" s="186">
        <f>DATA!S30</f>
        <v>24</v>
      </c>
      <c r="R39" s="187">
        <f>DATA!T30</f>
        <v>167000000</v>
      </c>
      <c r="S39" s="203">
        <f>DATA!U30</f>
        <v>140620000</v>
      </c>
      <c r="T39" s="77">
        <f>DATA!V30</f>
        <v>8350000</v>
      </c>
      <c r="U39" s="77">
        <f>DATA!W30</f>
        <v>0</v>
      </c>
      <c r="V39" s="77">
        <f>DATA!X30</f>
        <v>175350000</v>
      </c>
      <c r="W39" s="78" t="str">
        <f>DATA!Y30</f>
        <v>Bank Dunia/JICA/ADB</v>
      </c>
      <c r="X39" s="20" t="str">
        <f>DATA!Z30</f>
        <v>Multi Lender</v>
      </c>
      <c r="Y39" s="77">
        <f>DATA!AA30</f>
        <v>140620000</v>
      </c>
      <c r="Z39" s="77">
        <v>0</v>
      </c>
      <c r="AA39" s="216" t="str">
        <f>DATA!Y30</f>
        <v>Bank Dunia/JICA/ADB</v>
      </c>
      <c r="AB39" s="188">
        <f>DATA!AG30</f>
        <v>0</v>
      </c>
      <c r="AC39" s="20">
        <f>DATA!AH30</f>
        <v>2017</v>
      </c>
      <c r="AD39" s="37" t="str">
        <f>DATA!AI30</f>
        <v>-</v>
      </c>
      <c r="AE39" s="152">
        <f>DATA!AM30</f>
        <v>0</v>
      </c>
      <c r="AF39" s="152" t="str">
        <f>DATA!AN30</f>
        <v>belum ada keterangan</v>
      </c>
      <c r="AG39" s="152" t="str">
        <f>DATA!AO30</f>
        <v>belum ada keterangan</v>
      </c>
      <c r="AH39" s="37" t="str">
        <f>DATA!AJ30</f>
        <v>-</v>
      </c>
      <c r="AI39" s="37" t="str">
        <f>DATA!AK30</f>
        <v>-</v>
      </c>
      <c r="AJ39" s="230" t="str">
        <f>DATA!AL30</f>
        <v>-</v>
      </c>
      <c r="AK39" s="231">
        <f>DATA!AM30</f>
        <v>0</v>
      </c>
      <c r="AL39" s="20" t="str">
        <f>DATA!AN30</f>
        <v>belum ada keterangan</v>
      </c>
      <c r="AM39" s="20" t="str">
        <f>DATA!AO30</f>
        <v>belum ada keterangan</v>
      </c>
      <c r="AN39" s="20" t="str">
        <f>DATA!AP30</f>
        <v>belum ada proses tender/lelang</v>
      </c>
      <c r="AO39" s="20" t="str">
        <f>DATA!AY30</f>
        <v>Konfirmasi melalui surat Sekjen nomor KU.01.12-Sj/636 tgl 23 Oktober 2015</v>
      </c>
      <c r="AP39" s="20" t="e">
        <f>DATA!#REF!</f>
        <v>#REF!</v>
      </c>
      <c r="AQ39" s="20">
        <f>DATA!AZ30</f>
        <v>0</v>
      </c>
      <c r="AR39" s="152" t="e">
        <f>DATA!#REF!</f>
        <v>#REF!</v>
      </c>
      <c r="AS39" s="199"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c r="AT39" s="245">
        <f>DATA!AT30</f>
        <v>140620000</v>
      </c>
      <c r="AU39" s="109" t="str">
        <f>DATA!AU30</f>
        <v>Belum Ada Indikasi</v>
      </c>
      <c r="AV39" s="246" t="str">
        <f>DATA!AW30</f>
        <v xml:space="preserve">- terdapat pengurangan nilai pinjaman sebesar USD 26,38 juta yang dialihkan untuk membiayai kegiatan ES.
- usulan K/L lender: Bank Dunia/JICA/ADB. 
- Pihak Bank Dunia, ADB, dan JICA tidak berminat. </v>
      </c>
    </row>
    <row r="40" spans="1:48" ht="51" customHeight="1">
      <c r="A40" s="10">
        <f>DATA!A31</f>
        <v>28</v>
      </c>
      <c r="B40" s="10">
        <f>DATA!B31</f>
        <v>0</v>
      </c>
      <c r="C40" s="10" t="str">
        <f>DATA!D31</f>
        <v>INFRASTRUKTUR</v>
      </c>
      <c r="D40" s="10">
        <f>DATA!E31</f>
        <v>1</v>
      </c>
      <c r="E40" s="10" t="str">
        <f>DATA!F31</f>
        <v>Kementerian Pekerjaan Umum dan Perumahan Rakyat</v>
      </c>
      <c r="F40" s="10" t="str">
        <f>DATA!H31</f>
        <v>Drinking Water Development Program</v>
      </c>
      <c r="G40" s="10" t="str">
        <f>DATA!I31</f>
        <v>D</v>
      </c>
      <c r="H40" s="10" t="str">
        <f>DATA!J31</f>
        <v>Program Pembangunan Air Minum</v>
      </c>
      <c r="I40" s="10">
        <f>DATA!K31</f>
        <v>3</v>
      </c>
      <c r="J40" s="181"/>
      <c r="K40" s="34"/>
      <c r="L40" s="34"/>
      <c r="M40" s="36">
        <v>26</v>
      </c>
      <c r="N40" s="37" t="str">
        <f>DATA!L31</f>
        <v>The Development of Regional Water Supply System of Petanglong</v>
      </c>
      <c r="O40" s="20">
        <f>DATA!Q31</f>
        <v>1</v>
      </c>
      <c r="P40" s="20">
        <f>DATA!R31</f>
        <v>1</v>
      </c>
      <c r="Q40" s="186">
        <f>DATA!S31</f>
        <v>25</v>
      </c>
      <c r="R40" s="187">
        <f>DATA!T31</f>
        <v>95380000</v>
      </c>
      <c r="S40" s="203">
        <f>DATA!U31</f>
        <v>95380000</v>
      </c>
      <c r="T40" s="77">
        <f>DATA!V31</f>
        <v>4769000</v>
      </c>
      <c r="U40" s="77">
        <f>DATA!W31</f>
        <v>0</v>
      </c>
      <c r="V40" s="77">
        <f>DATA!X31</f>
        <v>100149000</v>
      </c>
      <c r="W40" s="78" t="str">
        <f>DATA!Y31</f>
        <v>Bank Dunia/JICA/ADB</v>
      </c>
      <c r="X40" s="20" t="str">
        <f>DATA!Z31</f>
        <v>Multi Lender</v>
      </c>
      <c r="Y40" s="77">
        <f>DATA!AA31</f>
        <v>95380000</v>
      </c>
      <c r="Z40" s="77">
        <v>0</v>
      </c>
      <c r="AA40" s="216" t="str">
        <f>DATA!Y31</f>
        <v>Bank Dunia/JICA/ADB</v>
      </c>
      <c r="AB40" s="188">
        <f>DATA!AG31</f>
        <v>0</v>
      </c>
      <c r="AC40" s="20">
        <f>DATA!AH31</f>
        <v>2017</v>
      </c>
      <c r="AD40" s="37" t="str">
        <f>DATA!AI31</f>
        <v>Tahap persiapan project</v>
      </c>
      <c r="AE40" s="152">
        <f>DATA!AM31</f>
        <v>0</v>
      </c>
      <c r="AF40" s="152" t="str">
        <f>DATA!AN31</f>
        <v>belum ada keterangan</v>
      </c>
      <c r="AG40" s="152" t="str">
        <f>DATA!AO31</f>
        <v>belum ada keterangan</v>
      </c>
      <c r="AH40" s="37" t="str">
        <f>DATA!AJ31</f>
        <v>-</v>
      </c>
      <c r="AI40" s="37" t="str">
        <f>DATA!AK31</f>
        <v>-</v>
      </c>
      <c r="AJ40" s="230" t="str">
        <f>DATA!AL31</f>
        <v>-</v>
      </c>
      <c r="AK40" s="231">
        <f>DATA!AM31</f>
        <v>0</v>
      </c>
      <c r="AL40" s="20" t="str">
        <f>DATA!AN31</f>
        <v>belum ada keterangan</v>
      </c>
      <c r="AM40" s="20" t="str">
        <f>DATA!AO31</f>
        <v>belum ada keterangan</v>
      </c>
      <c r="AN40" s="20" t="str">
        <f>DATA!AP31</f>
        <v>belum ada proses tender/lelang</v>
      </c>
      <c r="AO40" s="20" t="str">
        <f>DATA!AY31</f>
        <v>Konfirmasi melalui surat Sekjen nomor KU.01.12-Sj/636 tgl 23 Oktober 2015</v>
      </c>
      <c r="AP40" s="20" t="e">
        <f>DATA!#REF!</f>
        <v>#REF!</v>
      </c>
      <c r="AQ40" s="20">
        <f>DATA!AZ31</f>
        <v>0</v>
      </c>
      <c r="AR40" s="152" t="e">
        <f>DATA!#REF!</f>
        <v>#REF!</v>
      </c>
      <c r="AS40" s="199" t="str">
        <f>DATA!BA31</f>
        <v>Pembangunan intake dan transmisi air baku, pembangunan IPA dengan kapasitas 1.100 lt/dt untuk sistem pengelolaan air minum yang berkapasitas 1.100 lt/dt, dan untuk penyediaan SPAM yang melayani 142.999 SR  di wilayah Kab. Batang, Kota Pekalongan, Kab. Pekalongan</v>
      </c>
      <c r="AT40" s="245">
        <f>DATA!AT31</f>
        <v>95380000</v>
      </c>
      <c r="AU40" s="109" t="str">
        <f>DATA!AU31</f>
        <v>Belum Ada Indikasi</v>
      </c>
      <c r="AV40" s="246" t="str">
        <f>DATA!AW31</f>
        <v xml:space="preserve">- usulan K/L lender: Bank Dunia/JICA/ADB. 
- Pihak Bank Dunia, ADB, dan JICA tidak berminat. </v>
      </c>
    </row>
    <row r="41" spans="1:48" ht="51" customHeight="1">
      <c r="A41" s="10">
        <f>DATA!A32</f>
        <v>29</v>
      </c>
      <c r="B41" s="10">
        <f>DATA!B32</f>
        <v>0</v>
      </c>
      <c r="C41" s="10" t="str">
        <f>DATA!D32</f>
        <v>INFRASTRUKTUR</v>
      </c>
      <c r="D41" s="10">
        <f>DATA!E32</f>
        <v>1</v>
      </c>
      <c r="E41" s="10" t="str">
        <f>DATA!F32</f>
        <v>Kementerian Pekerjaan Umum dan Perumahan Rakyat</v>
      </c>
      <c r="F41" s="10" t="str">
        <f>DATA!H32</f>
        <v>Drinking Water Development Program</v>
      </c>
      <c r="G41" s="10" t="str">
        <f>DATA!I32</f>
        <v>D</v>
      </c>
      <c r="H41" s="10" t="str">
        <f>DATA!J32</f>
        <v>Program Pembangunan Air Minum</v>
      </c>
      <c r="I41" s="10">
        <f>DATA!K32</f>
        <v>3</v>
      </c>
      <c r="J41" s="181"/>
      <c r="K41" s="34"/>
      <c r="L41" s="34"/>
      <c r="M41" s="36">
        <v>27</v>
      </c>
      <c r="N41" s="37" t="str">
        <f>DATA!L32</f>
        <v xml:space="preserve">The Development of Regional Water Supply System of Durolis </v>
      </c>
      <c r="O41" s="20">
        <f>DATA!Q32</f>
        <v>1</v>
      </c>
      <c r="P41" s="20">
        <f>DATA!R32</f>
        <v>1</v>
      </c>
      <c r="Q41" s="186">
        <f>DATA!S32</f>
        <v>26</v>
      </c>
      <c r="R41" s="187">
        <f>DATA!T32</f>
        <v>33400000</v>
      </c>
      <c r="S41" s="203">
        <f>DATA!U32</f>
        <v>33400000</v>
      </c>
      <c r="T41" s="77">
        <f>DATA!V32</f>
        <v>1670000</v>
      </c>
      <c r="U41" s="77">
        <f>DATA!W32</f>
        <v>0</v>
      </c>
      <c r="V41" s="77">
        <f>DATA!X32</f>
        <v>35070000</v>
      </c>
      <c r="W41" s="78" t="str">
        <f>DATA!Y32</f>
        <v>Bank Dunia/JICA/ADB</v>
      </c>
      <c r="X41" s="20" t="str">
        <f>DATA!Z32</f>
        <v>Multi Lender</v>
      </c>
      <c r="Y41" s="77">
        <f>DATA!AA32</f>
        <v>33400000</v>
      </c>
      <c r="Z41" s="77">
        <v>0</v>
      </c>
      <c r="AA41" s="216" t="str">
        <f>DATA!Y32</f>
        <v>Bank Dunia/JICA/ADB</v>
      </c>
      <c r="AB41" s="188">
        <f>DATA!AG32</f>
        <v>0</v>
      </c>
      <c r="AC41" s="20">
        <f>DATA!AH32</f>
        <v>2017</v>
      </c>
      <c r="AD41" s="37" t="str">
        <f>DATA!AI32</f>
        <v>-</v>
      </c>
      <c r="AE41" s="152">
        <f>DATA!AM32</f>
        <v>0</v>
      </c>
      <c r="AF41" s="152" t="str">
        <f>DATA!AN32</f>
        <v>siap</v>
      </c>
      <c r="AG41" s="152" t="str">
        <f>DATA!AO32</f>
        <v>siap</v>
      </c>
      <c r="AH41" s="37" t="str">
        <f>DATA!AJ32</f>
        <v>FS, DED, AMDAL</v>
      </c>
      <c r="AI41" s="37" t="str">
        <f>DATA!AK32</f>
        <v xml:space="preserve"> Lahan sudah tersedia </v>
      </c>
      <c r="AJ41" s="230" t="str">
        <f>DATA!AL32</f>
        <v>-</v>
      </c>
      <c r="AK41" s="231">
        <f>DATA!AM32</f>
        <v>0</v>
      </c>
      <c r="AL41" s="20" t="str">
        <f>DATA!AN32</f>
        <v>siap</v>
      </c>
      <c r="AM41" s="20" t="str">
        <f>DATA!AO32</f>
        <v>siap</v>
      </c>
      <c r="AN41" s="20" t="str">
        <f>DATA!AP32</f>
        <v>belum ada proses tender/lelang</v>
      </c>
      <c r="AO41" s="20" t="str">
        <f>DATA!AY32</f>
        <v>Konfirmasi melalui surat Sekjen nomor KU.01.12-Sj/636 tgl 23 Oktober 2015</v>
      </c>
      <c r="AP41" s="20" t="e">
        <f>DATA!#REF!</f>
        <v>#REF!</v>
      </c>
      <c r="AQ41" s="20" t="str">
        <f>DATA!AZ32</f>
        <v>ADB juga diindikasikan akan mendanai kegiatan ini</v>
      </c>
      <c r="AR41" s="152" t="e">
        <f>DATA!#REF!</f>
        <v>#REF!</v>
      </c>
      <c r="AS41" s="199" t="str">
        <f>DATA!BA32</f>
        <v>Pembangunan unit air baku, unit produksi dan distribusi utama, unit pelayanan dan unit pengelolaan untuk sistem pengelolaan air minum yang berkapasitas 500 lt/dt dan untuk melayani masyarakat sebesar 24.000 SR di wilayah Dumai, Rokan Hilir dan Bengkalis</v>
      </c>
      <c r="AT41" s="245">
        <f>DATA!AT32</f>
        <v>33400000</v>
      </c>
      <c r="AU41" s="109" t="str">
        <f>DATA!AU32</f>
        <v>Belum Ada Indikasi</v>
      </c>
      <c r="AV41" s="246" t="str">
        <f>DATA!AW32</f>
        <v xml:space="preserve">- usulan K/L lender: Bank Dunia/JICA/ADB.
- Pihak Bank Dunia, ADB, dan JICA tidak berminat. </v>
      </c>
    </row>
    <row r="42" spans="1:48" ht="38.25" customHeight="1">
      <c r="A42" s="10">
        <f>DATA!A33</f>
        <v>30</v>
      </c>
      <c r="B42" s="10">
        <f>DATA!B33</f>
        <v>0</v>
      </c>
      <c r="C42" s="10" t="str">
        <f>DATA!D33</f>
        <v>INFRASTRUKTUR</v>
      </c>
      <c r="D42" s="10">
        <f>DATA!E33</f>
        <v>1</v>
      </c>
      <c r="E42" s="10" t="str">
        <f>DATA!F33</f>
        <v>Kementerian Pekerjaan Umum dan Perumahan Rakyat</v>
      </c>
      <c r="F42" s="10" t="str">
        <f>DATA!H33</f>
        <v>Drinking Water Development Program</v>
      </c>
      <c r="G42" s="10" t="str">
        <f>DATA!I33</f>
        <v>D</v>
      </c>
      <c r="H42" s="10" t="str">
        <f>DATA!J33</f>
        <v>Program Pembangunan Air Minum</v>
      </c>
      <c r="I42" s="10">
        <f>DATA!K33</f>
        <v>3</v>
      </c>
      <c r="J42" s="181"/>
      <c r="K42" s="34"/>
      <c r="L42" s="34"/>
      <c r="M42" s="36">
        <v>28</v>
      </c>
      <c r="N42" s="37" t="str">
        <f>DATA!L33</f>
        <v xml:space="preserve">The Development of Regional Water Supply System of  Banten - Jakarta from Karian Dam </v>
      </c>
      <c r="O42" s="20">
        <f>DATA!Q33</f>
        <v>1</v>
      </c>
      <c r="P42" s="20">
        <f>DATA!R33</f>
        <v>1</v>
      </c>
      <c r="Q42" s="186">
        <f>DATA!S33</f>
        <v>27</v>
      </c>
      <c r="R42" s="187">
        <f>DATA!T33</f>
        <v>40000000</v>
      </c>
      <c r="S42" s="203">
        <f>DATA!U33</f>
        <v>40000000</v>
      </c>
      <c r="T42" s="77">
        <f>DATA!V33</f>
        <v>2000000</v>
      </c>
      <c r="U42" s="77">
        <f>DATA!W33</f>
        <v>0</v>
      </c>
      <c r="V42" s="77">
        <f>DATA!X33</f>
        <v>42000000</v>
      </c>
      <c r="W42" s="78" t="str">
        <f>DATA!Y33</f>
        <v>Korea</v>
      </c>
      <c r="X42" s="20" t="str">
        <f>DATA!Z33</f>
        <v>Bilateral</v>
      </c>
      <c r="Y42" s="77">
        <f>DATA!AA33</f>
        <v>40000000</v>
      </c>
      <c r="Z42" s="77">
        <v>0</v>
      </c>
      <c r="AA42" s="216" t="str">
        <f>DATA!Y33</f>
        <v>Korea</v>
      </c>
      <c r="AB42" s="188">
        <f>DATA!AG33</f>
        <v>0</v>
      </c>
      <c r="AC42" s="20">
        <f>DATA!AH33</f>
        <v>2017</v>
      </c>
      <c r="AD42" s="37" t="str">
        <f>DATA!AI33</f>
        <v>-</v>
      </c>
      <c r="AE42" s="152">
        <f>DATA!AM33</f>
        <v>0</v>
      </c>
      <c r="AF42" s="152" t="str">
        <f>DATA!AN33</f>
        <v>dalam proses
(memiliki FS)</v>
      </c>
      <c r="AG42" s="152" t="str">
        <f>DATA!AO33</f>
        <v>dalam proses
(persiapan)</v>
      </c>
      <c r="AH42" s="37" t="str">
        <f>DATA!AJ33</f>
        <v>FS</v>
      </c>
      <c r="AI42" s="37" t="str">
        <f>DATA!AK33</f>
        <v>Proses pembebasan lahan oleh Pemda</v>
      </c>
      <c r="AJ42" s="230" t="str">
        <f>DATA!AL33</f>
        <v>-</v>
      </c>
      <c r="AK42" s="231">
        <f>DATA!AM33</f>
        <v>0</v>
      </c>
      <c r="AL42" s="20" t="str">
        <f>DATA!AN33</f>
        <v>dalam proses
(memiliki FS)</v>
      </c>
      <c r="AM42" s="20" t="str">
        <f>DATA!AO33</f>
        <v>dalam proses
(persiapan)</v>
      </c>
      <c r="AN42" s="20" t="str">
        <f>DATA!AP33</f>
        <v>belum ada proses tender/lelang</v>
      </c>
      <c r="AO42" s="20" t="str">
        <f>DATA!AY33</f>
        <v>Konfirmasi melalui surat Sekjen nomor KU.01.12-Sj/636 tgl 23 Oktober 2015</v>
      </c>
      <c r="AP42" s="20" t="e">
        <f>DATA!#REF!</f>
        <v>#REF!</v>
      </c>
      <c r="AQ42" s="20">
        <f>DATA!AZ33</f>
        <v>0</v>
      </c>
      <c r="AR42" s="152" t="e">
        <f>DATA!#REF!</f>
        <v>#REF!</v>
      </c>
      <c r="AS42" s="199"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c r="AT42" s="245">
        <f>DATA!AT33</f>
        <v>40000000</v>
      </c>
      <c r="AU42" s="109" t="str">
        <f>DATA!AU33</f>
        <v>Korea</v>
      </c>
      <c r="AV42" s="246" t="str">
        <f>DATA!AW33</f>
        <v>belum masuk rolling plan EDCF (Korea)</v>
      </c>
    </row>
    <row r="43" spans="1:48" ht="41.25" customHeight="1">
      <c r="A43" s="10">
        <f>DATA!A34</f>
        <v>31</v>
      </c>
      <c r="B43" s="10">
        <f>DATA!B34</f>
        <v>0</v>
      </c>
      <c r="C43" s="10" t="str">
        <f>DATA!D34</f>
        <v>INFRASTRUKTUR</v>
      </c>
      <c r="D43" s="10">
        <f>DATA!E34</f>
        <v>1</v>
      </c>
      <c r="E43" s="10" t="str">
        <f>DATA!F34</f>
        <v>Kementerian Pekerjaan Umum dan Perumahan Rakyat</v>
      </c>
      <c r="F43" s="10" t="str">
        <f>DATA!H34</f>
        <v>Drinking Water Development Program</v>
      </c>
      <c r="G43" s="10" t="str">
        <f>DATA!I34</f>
        <v>D</v>
      </c>
      <c r="H43" s="10" t="str">
        <f>DATA!J34</f>
        <v>Program Pembangunan Air Minum</v>
      </c>
      <c r="I43" s="10">
        <f>DATA!K34</f>
        <v>3</v>
      </c>
      <c r="J43" s="181"/>
      <c r="K43" s="34"/>
      <c r="L43" s="34"/>
      <c r="M43" s="36">
        <v>29</v>
      </c>
      <c r="N43" s="37" t="str">
        <f>DATA!L34</f>
        <v xml:space="preserve">The Development of Regional Water Supply System of Mebidang </v>
      </c>
      <c r="O43" s="20">
        <f>DATA!Q34</f>
        <v>1</v>
      </c>
      <c r="P43" s="20">
        <f>DATA!R34</f>
        <v>1</v>
      </c>
      <c r="Q43" s="186">
        <f>DATA!S34</f>
        <v>28</v>
      </c>
      <c r="R43" s="187">
        <f>DATA!T34</f>
        <v>56400000</v>
      </c>
      <c r="S43" s="203">
        <f>DATA!U34</f>
        <v>56400000</v>
      </c>
      <c r="T43" s="77">
        <f>DATA!V34</f>
        <v>2820000</v>
      </c>
      <c r="U43" s="77">
        <f>DATA!W34</f>
        <v>0</v>
      </c>
      <c r="V43" s="77">
        <f>DATA!X34</f>
        <v>59220000</v>
      </c>
      <c r="W43" s="78" t="str">
        <f>DATA!Y34</f>
        <v>Jerman (KfW)</v>
      </c>
      <c r="X43" s="20" t="str">
        <f>DATA!Z34</f>
        <v>Bilateral</v>
      </c>
      <c r="Y43" s="77">
        <f>DATA!AA34</f>
        <v>56400000</v>
      </c>
      <c r="Z43" s="77">
        <v>0</v>
      </c>
      <c r="AA43" s="216" t="str">
        <f>DATA!Y34</f>
        <v>Jerman (KfW)</v>
      </c>
      <c r="AB43" s="188">
        <f>DATA!AG34</f>
        <v>0</v>
      </c>
      <c r="AC43" s="20">
        <f>DATA!AH34</f>
        <v>2017</v>
      </c>
      <c r="AD43" s="37" t="str">
        <f>DATA!AI34</f>
        <v>-</v>
      </c>
      <c r="AE43" s="152">
        <f>DATA!AM34</f>
        <v>0</v>
      </c>
      <c r="AF43" s="152" t="str">
        <f>DATA!AN34</f>
        <v>dalam proses
(memiliki FS dan DED)</v>
      </c>
      <c r="AG43" s="152" t="str">
        <f>DATA!AO34</f>
        <v>dalam proses
(persiapan)</v>
      </c>
      <c r="AH43" s="37" t="str">
        <f>DATA!AJ34</f>
        <v>FS, DED</v>
      </c>
      <c r="AI43" s="37" t="str">
        <f>DATA!AK34</f>
        <v>Proses pembebasan lahan oleh Pemda</v>
      </c>
      <c r="AJ43" s="230" t="str">
        <f>DATA!AL34</f>
        <v>-</v>
      </c>
      <c r="AK43" s="231">
        <f>DATA!AM34</f>
        <v>0</v>
      </c>
      <c r="AL43" s="20" t="str">
        <f>DATA!AN34</f>
        <v>dalam proses
(memiliki FS dan DED)</v>
      </c>
      <c r="AM43" s="20" t="str">
        <f>DATA!AO34</f>
        <v>dalam proses
(persiapan)</v>
      </c>
      <c r="AN43" s="20" t="str">
        <f>DATA!AP34</f>
        <v>belum ada proses tender/lelang</v>
      </c>
      <c r="AO43" s="20" t="str">
        <f>DATA!AY34</f>
        <v>Konfirmasi melalui surat Sekjen nomor KU.01.12-Sj/636 tgl 23 Oktober 2015</v>
      </c>
      <c r="AP43" s="20" t="e">
        <f>DATA!#REF!</f>
        <v>#REF!</v>
      </c>
      <c r="AQ43" s="20">
        <f>DATA!AZ34</f>
        <v>0</v>
      </c>
      <c r="AR43" s="152" t="e">
        <f>DATA!#REF!</f>
        <v>#REF!</v>
      </c>
      <c r="AS43" s="199" t="str">
        <f>DATA!BA34</f>
        <v>Pembangunan IPA dengan kapasitas 1.250 lt/dt, pembangunan jaringan pipa transmisi untuk penyediaan air minum yang melayani 84.558 SR di wilayah Medan, Binjai, dan Deli Serdang.</v>
      </c>
      <c r="AT43" s="245">
        <f>DATA!AT34</f>
        <v>56400000</v>
      </c>
      <c r="AU43" s="109" t="str">
        <f>DATA!AU34</f>
        <v>Jerman (KfW)</v>
      </c>
      <c r="AV43" s="246" t="str">
        <f>DATA!AW34</f>
        <v>-</v>
      </c>
    </row>
    <row r="44" spans="1:48" ht="75" customHeight="1">
      <c r="A44" s="10">
        <f>DATA!A36</f>
        <v>33</v>
      </c>
      <c r="B44" s="10">
        <f>DATA!B36</f>
        <v>0</v>
      </c>
      <c r="C44" s="10" t="str">
        <f>DATA!D36</f>
        <v>INFRASTRUKTUR</v>
      </c>
      <c r="D44" s="10">
        <f>DATA!E36</f>
        <v>1</v>
      </c>
      <c r="E44" s="10" t="str">
        <f>DATA!F36</f>
        <v>Kementerian Pekerjaan Umum dan Perumahan Rakyat</v>
      </c>
      <c r="F44" s="10" t="str">
        <f>DATA!H36</f>
        <v>Drinking Water Development Program</v>
      </c>
      <c r="G44" s="10" t="str">
        <f>DATA!I36</f>
        <v>D</v>
      </c>
      <c r="H44" s="10" t="str">
        <f>DATA!J36</f>
        <v>Program Pembangunan Air Minum</v>
      </c>
      <c r="I44" s="10">
        <f>DATA!K36</f>
        <v>4</v>
      </c>
      <c r="J44" s="181"/>
      <c r="K44" s="34"/>
      <c r="L44" s="34"/>
      <c r="M44" s="36">
        <v>30</v>
      </c>
      <c r="N44" s="37" t="str">
        <f>DATA!L36</f>
        <v xml:space="preserve">Small Scale Water Treatment Plants for Emergency Relief </v>
      </c>
      <c r="O44" s="20">
        <f>DATA!Q36</f>
        <v>1</v>
      </c>
      <c r="P44" s="20">
        <f>DATA!R36</f>
        <v>1</v>
      </c>
      <c r="Q44" s="186">
        <f>DATA!S36</f>
        <v>29</v>
      </c>
      <c r="R44" s="187">
        <f>DATA!T36</f>
        <v>25000000</v>
      </c>
      <c r="S44" s="203">
        <f>DATA!U36</f>
        <v>25000000</v>
      </c>
      <c r="T44" s="77">
        <f>DATA!V36</f>
        <v>800000</v>
      </c>
      <c r="U44" s="77">
        <f>DATA!W36</f>
        <v>0</v>
      </c>
      <c r="V44" s="77">
        <f>DATA!X36</f>
        <v>25800000</v>
      </c>
      <c r="W44" s="78" t="str">
        <f>DATA!Y36</f>
        <v>Spanyol</v>
      </c>
      <c r="X44" s="20" t="str">
        <f>DATA!Z36</f>
        <v>Bilateral</v>
      </c>
      <c r="Y44" s="77">
        <f>DATA!AA36</f>
        <v>25000000</v>
      </c>
      <c r="Z44" s="77">
        <v>0</v>
      </c>
      <c r="AA44" s="216" t="str">
        <f>DATA!Y36</f>
        <v>Spanyol</v>
      </c>
      <c r="AB44" s="188">
        <f>DATA!AG36</f>
        <v>0</v>
      </c>
      <c r="AC44" s="20">
        <f>DATA!AH36</f>
        <v>2016</v>
      </c>
      <c r="AD44" s="37" t="str">
        <f>DATA!AI36</f>
        <v>- Sudah ada R/C
- Green Book 2015
 - Proses Loan Agreement</v>
      </c>
      <c r="AE44" s="152" t="str">
        <f>DATA!AM36</f>
        <v>2016; 2015</v>
      </c>
      <c r="AF44" s="152" t="str">
        <f>DATA!AN36</f>
        <v>siap</v>
      </c>
      <c r="AG44" s="152" t="str">
        <f>DATA!AO36</f>
        <v>dalam proses
(persiapan)</v>
      </c>
      <c r="AH44" s="37" t="str">
        <f>DATA!AJ36</f>
        <v>FS</v>
      </c>
      <c r="AI44" s="37" t="str">
        <f>DATA!AK36</f>
        <v>-</v>
      </c>
      <c r="AJ44" s="230" t="str">
        <f>DATA!AL36</f>
        <v>-</v>
      </c>
      <c r="AK44" s="231" t="str">
        <f>DATA!AM36</f>
        <v>2016; 2015</v>
      </c>
      <c r="AL44" s="20" t="str">
        <f>DATA!AN36</f>
        <v>siap</v>
      </c>
      <c r="AM44" s="20" t="str">
        <f>DATA!AO36</f>
        <v>dalam proses
(persiapan)</v>
      </c>
      <c r="AN44" s="20" t="str">
        <f>DATA!AP36</f>
        <v>belum ada proses tender/lelang</v>
      </c>
      <c r="AO44" s="20" t="str">
        <f>DATA!AY36</f>
        <v>Konfirmasi melalui surat Sekjen nomor KU.01.12-Sj/636 tgl 23 Oktober 2015</v>
      </c>
      <c r="AP44" s="20" t="e">
        <f>DATA!#REF!</f>
        <v>#REF!</v>
      </c>
      <c r="AQ44" s="20">
        <f>DATA!AZ36</f>
        <v>0</v>
      </c>
      <c r="AR44" s="152" t="e">
        <f>DATA!#REF!</f>
        <v>#REF!</v>
      </c>
      <c r="AS44" s="199" t="str">
        <f>DATA!BA36</f>
        <v>Pengadaan Instalasi Pengolahan Air (IPA) yang dapat dipindahkan (mobile) untuk penanganan keadaan darurat,  yang dilengkapi dengan alat pendukung, truk, dan sistem komunikasi di 4 lokasi (kota Medan, Bekasi, Makassar, dan Surabaya)</v>
      </c>
      <c r="AT44" s="245">
        <f>DATA!AT36</f>
        <v>25000000</v>
      </c>
      <c r="AU44" s="109" t="str">
        <f>DATA!AU36</f>
        <v>Spanyol</v>
      </c>
      <c r="AV44" s="246" t="str">
        <f>DATA!AW36</f>
        <v>-</v>
      </c>
    </row>
    <row r="45" spans="1:48" ht="68.25" customHeight="1">
      <c r="A45" s="10">
        <f>DATA!A38</f>
        <v>34</v>
      </c>
      <c r="B45" s="10">
        <f>DATA!B38</f>
        <v>0</v>
      </c>
      <c r="C45" s="10" t="str">
        <f>DATA!D38</f>
        <v>INFRASTRUKTUR</v>
      </c>
      <c r="D45" s="10">
        <f>DATA!E38</f>
        <v>1</v>
      </c>
      <c r="E45" s="10" t="str">
        <f>DATA!F38</f>
        <v>Kementerian Pekerjaan Umum dan Perumahan Rakyat</v>
      </c>
      <c r="F45" s="10" t="str">
        <f>DATA!H38</f>
        <v>Drinking Water Development Program</v>
      </c>
      <c r="G45" s="10" t="str">
        <f>DATA!I38</f>
        <v>D</v>
      </c>
      <c r="H45" s="10" t="str">
        <f>DATA!J38</f>
        <v>Program Pembangunan Air Minum</v>
      </c>
      <c r="I45" s="10">
        <f>DATA!K38</f>
        <v>4</v>
      </c>
      <c r="J45" s="181"/>
      <c r="K45" s="34"/>
      <c r="L45" s="34"/>
      <c r="M45" s="3398">
        <v>31</v>
      </c>
      <c r="N45" s="3393" t="str">
        <f>DATA!L38</f>
        <v>IKK Water Supply Program and Small Water Treatment Plant for Water Scarcity Area</v>
      </c>
      <c r="O45" s="20">
        <f>DATA!Q38</f>
        <v>0.5</v>
      </c>
      <c r="P45" s="20">
        <f>DATA!R38</f>
        <v>0</v>
      </c>
      <c r="Q45" s="186">
        <f>DATA!S38</f>
        <v>0</v>
      </c>
      <c r="R45" s="3403">
        <f>DATA!T37</f>
        <v>100000000</v>
      </c>
      <c r="S45" s="203">
        <f>DATA!U38</f>
        <v>100000000</v>
      </c>
      <c r="T45" s="77">
        <f>DATA!V38</f>
        <v>0</v>
      </c>
      <c r="U45" s="77">
        <f>DATA!W38</f>
        <v>0</v>
      </c>
      <c r="V45" s="77">
        <f>DATA!X38</f>
        <v>0</v>
      </c>
      <c r="W45" s="78" t="str">
        <f>DATA!Y38</f>
        <v>Hungaria</v>
      </c>
      <c r="X45" s="20" t="str">
        <f>DATA!Z38</f>
        <v>Bilateral</v>
      </c>
      <c r="Y45" s="77">
        <f>DATA!AA38</f>
        <v>50000000</v>
      </c>
      <c r="Z45" s="77">
        <v>0</v>
      </c>
      <c r="AA45" s="216" t="str">
        <f>DATA!Y38</f>
        <v>Hungaria</v>
      </c>
      <c r="AB45" s="188">
        <f>DATA!AG38</f>
        <v>0</v>
      </c>
      <c r="AC45" s="20">
        <f>DATA!AH38</f>
        <v>2016</v>
      </c>
      <c r="AD45" s="37" t="str">
        <f>DATA!AI38</f>
        <v>- Sudah ada R/C
- Green Book 2015
- Proses LA</v>
      </c>
      <c r="AE45" s="152" t="str">
        <f>DATA!AM38</f>
        <v>2016; 2015</v>
      </c>
      <c r="AF45" s="152" t="str">
        <f>DATA!AN38</f>
        <v>siap</v>
      </c>
      <c r="AG45" s="152" t="str">
        <f>DATA!AO38</f>
        <v>dalam proses
(pelaksanaan &lt;50%)</v>
      </c>
      <c r="AH45" s="37" t="str">
        <f>DATA!AJ38</f>
        <v>Surat minat, RISPAM, DED, SIPA, Organisasi Pelaksana, DDUB</v>
      </c>
      <c r="AI45" s="37" t="str">
        <f>DATA!AK38</f>
        <v>Sebagian lokasi dalam proses pembebasan lahan oleh Pemda</v>
      </c>
      <c r="AJ45" s="230" t="str">
        <f>DATA!AL38</f>
        <v>Dalam proses pengadaan</v>
      </c>
      <c r="AK45" s="231" t="str">
        <f>DATA!AM38</f>
        <v>2016; 2015</v>
      </c>
      <c r="AL45" s="20" t="str">
        <f>DATA!AN38</f>
        <v>siap</v>
      </c>
      <c r="AM45" s="20" t="str">
        <f>DATA!AO38</f>
        <v>dalam proses
(pelaksanaan &lt;50%)</v>
      </c>
      <c r="AN45" s="20" t="str">
        <f>DATA!AP38</f>
        <v>dalam proses tender/lelang</v>
      </c>
      <c r="AO45" s="20" t="str">
        <f>DATA!AY38</f>
        <v>Konfirmasi melalui surat Sekjen nomor KU.01.12-Sj/636 tgl 23 Oktober 2015</v>
      </c>
      <c r="AP45" s="20" t="e">
        <f>DATA!#REF!</f>
        <v>#REF!</v>
      </c>
      <c r="AQ45" s="20"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R45" s="152" t="e">
        <f>DATA!#REF!</f>
        <v>#REF!</v>
      </c>
      <c r="AS45" s="199"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c r="AT45" s="245">
        <f>DATA!AT38</f>
        <v>50000000</v>
      </c>
      <c r="AU45" s="109" t="str">
        <f>DATA!AU38</f>
        <v>Hungaria</v>
      </c>
      <c r="AV45" s="246" t="str">
        <f>DATA!AW38</f>
        <v>-</v>
      </c>
    </row>
    <row r="46" spans="1:48" ht="45.75" customHeight="1">
      <c r="J46" s="181"/>
      <c r="K46" s="34"/>
      <c r="L46" s="54"/>
      <c r="M46" s="3398"/>
      <c r="N46" s="3394"/>
      <c r="O46" s="20">
        <f>DATA!Q39</f>
        <v>0.5</v>
      </c>
      <c r="P46" s="20">
        <f>DATA!R39</f>
        <v>0</v>
      </c>
      <c r="Q46" s="186">
        <f>DATA!S39</f>
        <v>0</v>
      </c>
      <c r="R46" s="3404"/>
      <c r="S46" s="203">
        <f>DATA!U39</f>
        <v>100000000</v>
      </c>
      <c r="T46" s="77">
        <f>DATA!V39</f>
        <v>0</v>
      </c>
      <c r="U46" s="77">
        <f>DATA!W39</f>
        <v>0</v>
      </c>
      <c r="V46" s="77">
        <f>DATA!X39</f>
        <v>0</v>
      </c>
      <c r="W46" s="78" t="str">
        <f>DATA!Y39</f>
        <v>IDB</v>
      </c>
      <c r="X46" s="20" t="str">
        <f>DATA!Z39</f>
        <v>Multilateral</v>
      </c>
      <c r="Y46" s="77">
        <f>DATA!AA39</f>
        <v>50000000</v>
      </c>
      <c r="Z46" s="77">
        <v>0</v>
      </c>
      <c r="AA46" s="216" t="str">
        <f>DATA!Y39</f>
        <v>IDB</v>
      </c>
      <c r="AB46" s="188">
        <f>DATA!AG39</f>
        <v>0</v>
      </c>
      <c r="AC46" s="20">
        <f>DATA!AH39</f>
        <v>2017</v>
      </c>
      <c r="AD46" s="37" t="str">
        <f>DATA!AI39</f>
        <v>-</v>
      </c>
      <c r="AE46" s="152">
        <f>DATA!AM39</f>
        <v>0</v>
      </c>
      <c r="AF46" s="152" t="str">
        <f>DATA!AN39</f>
        <v>siap</v>
      </c>
      <c r="AG46" s="152" t="str">
        <f>DATA!AO39</f>
        <v>dalam proses
(pelaksanaan &lt;50%)</v>
      </c>
      <c r="AH46" s="37" t="str">
        <f>DATA!AJ39</f>
        <v>-</v>
      </c>
      <c r="AI46" s="37" t="str">
        <f>DATA!AK39</f>
        <v>-</v>
      </c>
      <c r="AJ46" s="230" t="str">
        <f>DATA!AL39</f>
        <v>-</v>
      </c>
      <c r="AK46" s="231">
        <f>DATA!AM39</f>
        <v>0</v>
      </c>
      <c r="AL46" s="20" t="str">
        <f>DATA!AN39</f>
        <v>siap</v>
      </c>
      <c r="AM46" s="20" t="str">
        <f>DATA!AO39</f>
        <v>dalam proses
(pelaksanaan &lt;50%)</v>
      </c>
      <c r="AN46" s="20" t="str">
        <f>DATA!AP39</f>
        <v>belum ada proses tender/lelang</v>
      </c>
      <c r="AO46" s="20" t="str">
        <f>DATA!AY39</f>
        <v>Konfirmasi melalui surat Sekjen nomor KU.01.12-Sj/636 tgl 23 Oktober 2015</v>
      </c>
      <c r="AP46" s="20" t="e">
        <f>DATA!#REF!</f>
        <v>#REF!</v>
      </c>
      <c r="AQ46" s="20">
        <f>DATA!AZ39</f>
        <v>0</v>
      </c>
      <c r="AR46" s="152" t="e">
        <f>DATA!#REF!</f>
        <v>#REF!</v>
      </c>
      <c r="AS46" s="199">
        <f>DATA!BA39</f>
        <v>0</v>
      </c>
      <c r="AT46" s="245">
        <f>DATA!AT39</f>
        <v>50000000</v>
      </c>
      <c r="AU46" s="109" t="str">
        <f>DATA!AU39</f>
        <v>Belum Ada Indikasi</v>
      </c>
      <c r="AV46" s="246" t="str">
        <f>DATA!AW39</f>
        <v>- usulan K/L lender:IDB.
- pihak IDB tidak berminat mendanai kegiatan ini, diusulkan kepada AIIB.
- Indikasi Lender AIIB menjadi belum ada indikasi (konfirmasi tgl 29 Jan'16)</v>
      </c>
    </row>
    <row r="47" spans="1:48" ht="39.75" customHeight="1">
      <c r="J47" s="181"/>
      <c r="K47" s="34"/>
      <c r="L47" s="54"/>
      <c r="M47" s="36">
        <v>32</v>
      </c>
      <c r="N47" s="37" t="str">
        <f>DATA!L40</f>
        <v>Engineering Service for Water Supply Development Project</v>
      </c>
      <c r="O47" s="20">
        <f>DATA!Q40</f>
        <v>0</v>
      </c>
      <c r="P47" s="20">
        <f>DATA!R40</f>
        <v>1</v>
      </c>
      <c r="Q47" s="186">
        <f>DATA!S40</f>
        <v>0</v>
      </c>
      <c r="R47" s="187">
        <f>DATA!T40</f>
        <v>0</v>
      </c>
      <c r="S47" s="203">
        <f>DATA!U40</f>
        <v>26380000</v>
      </c>
      <c r="T47" s="77">
        <f>DATA!V40</f>
        <v>0</v>
      </c>
      <c r="U47" s="77">
        <f>DATA!W40</f>
        <v>0</v>
      </c>
      <c r="V47" s="77">
        <f>DATA!X40</f>
        <v>0</v>
      </c>
      <c r="W47" s="78" t="str">
        <f>DATA!Y40</f>
        <v>ADB</v>
      </c>
      <c r="X47" s="20" t="str">
        <f>DATA!Z40</f>
        <v>Multilateral</v>
      </c>
      <c r="Y47" s="77">
        <f>DATA!AA40</f>
        <v>26380000</v>
      </c>
      <c r="Z47" s="77">
        <v>0</v>
      </c>
      <c r="AA47" s="216" t="str">
        <f>DATA!Y40</f>
        <v>ADB</v>
      </c>
      <c r="AB47" s="188">
        <f>DATA!AG40</f>
        <v>0</v>
      </c>
      <c r="AC47" s="20">
        <f>DATA!AH40</f>
        <v>2016</v>
      </c>
      <c r="AD47" s="37" t="str">
        <f>DATA!AI40</f>
        <v>- Green Book 2015</v>
      </c>
      <c r="AE47" s="152" t="str">
        <f>DATA!AM40</f>
        <v>2015; 2016</v>
      </c>
      <c r="AF47" s="152" t="str">
        <f>DATA!AN40</f>
        <v>siap</v>
      </c>
      <c r="AG47" s="152" t="str">
        <f>DATA!AO40</f>
        <v>tidak butuh lahan</v>
      </c>
      <c r="AH47" s="37" t="str">
        <f>DATA!AJ40</f>
        <v>-</v>
      </c>
      <c r="AI47" s="37" t="str">
        <f>DATA!AK40</f>
        <v>-</v>
      </c>
      <c r="AJ47" s="230" t="str">
        <f>DATA!AL40</f>
        <v>-</v>
      </c>
      <c r="AK47" s="231"/>
      <c r="AL47" s="20"/>
      <c r="AM47" s="20"/>
      <c r="AN47" s="20"/>
      <c r="AO47" s="20"/>
      <c r="AP47" s="20"/>
      <c r="AQ47" s="20"/>
      <c r="AR47" s="152" t="e">
        <f>DATA!#REF!</f>
        <v>#REF!</v>
      </c>
      <c r="AS47" s="199"/>
      <c r="AT47" s="245">
        <f>DATA!AT40</f>
        <v>26380000</v>
      </c>
      <c r="AU47" s="109" t="str">
        <f>DATA!AU40</f>
        <v>ADB</v>
      </c>
      <c r="AV47" s="246" t="str">
        <f>DATA!AW40</f>
        <v>-</v>
      </c>
    </row>
    <row r="48" spans="1:48" s="5" customFormat="1" ht="33.75" customHeight="1">
      <c r="J48" s="180"/>
      <c r="K48" s="50"/>
      <c r="L48" s="30" t="str">
        <f>DATA!I41</f>
        <v>E</v>
      </c>
      <c r="M48" s="31" t="str">
        <f>DATA!J41</f>
        <v xml:space="preserve">Program Pembangunan Sistem Pengelolaan Air Limbah </v>
      </c>
      <c r="N48" s="51"/>
      <c r="O48" s="31"/>
      <c r="P48" s="31"/>
      <c r="Q48" s="196"/>
      <c r="R48" s="197">
        <f>R49+R51+R52+R53+R57+R58+R59</f>
        <v>3583000000</v>
      </c>
      <c r="S48" s="198">
        <f t="shared" ref="S48:X48" si="5">S49+S51+S52+S53+S57+S58+S59</f>
        <v>2383200000</v>
      </c>
      <c r="T48" s="81">
        <f t="shared" si="5"/>
        <v>117900000</v>
      </c>
      <c r="U48" s="81">
        <f t="shared" si="5"/>
        <v>0</v>
      </c>
      <c r="V48" s="81">
        <f t="shared" si="5"/>
        <v>2501100000</v>
      </c>
      <c r="W48" s="81" t="e">
        <f t="shared" si="5"/>
        <v>#VALUE!</v>
      </c>
      <c r="X48" s="81" t="e">
        <f t="shared" si="5"/>
        <v>#VALUE!</v>
      </c>
      <c r="Y48" s="81">
        <f>SUM(Y49:Y59)</f>
        <v>3583000000</v>
      </c>
      <c r="Z48" s="81">
        <f t="shared" ref="Z48:AV48" si="6">SUM(Z49:Z59)</f>
        <v>0</v>
      </c>
      <c r="AA48" s="214">
        <f t="shared" si="6"/>
        <v>0</v>
      </c>
      <c r="AB48" s="198">
        <f t="shared" si="6"/>
        <v>0</v>
      </c>
      <c r="AC48" s="81">
        <f t="shared" si="6"/>
        <v>20170</v>
      </c>
      <c r="AD48" s="81">
        <f t="shared" si="6"/>
        <v>0</v>
      </c>
      <c r="AE48" s="81">
        <f t="shared" si="6"/>
        <v>0</v>
      </c>
      <c r="AF48" s="81">
        <f t="shared" si="6"/>
        <v>0</v>
      </c>
      <c r="AG48" s="81">
        <f t="shared" si="6"/>
        <v>0</v>
      </c>
      <c r="AH48" s="81">
        <f t="shared" si="6"/>
        <v>0</v>
      </c>
      <c r="AI48" s="81">
        <f t="shared" si="6"/>
        <v>0</v>
      </c>
      <c r="AJ48" s="229">
        <f t="shared" si="6"/>
        <v>0</v>
      </c>
      <c r="AK48" s="198">
        <f t="shared" si="6"/>
        <v>0</v>
      </c>
      <c r="AL48" s="81">
        <f t="shared" si="6"/>
        <v>0</v>
      </c>
      <c r="AM48" s="81">
        <f t="shared" si="6"/>
        <v>0</v>
      </c>
      <c r="AN48" s="81">
        <f t="shared" si="6"/>
        <v>0</v>
      </c>
      <c r="AO48" s="81">
        <f t="shared" si="6"/>
        <v>0</v>
      </c>
      <c r="AP48" s="81" t="e">
        <f t="shared" si="6"/>
        <v>#REF!</v>
      </c>
      <c r="AQ48" s="81">
        <f t="shared" si="6"/>
        <v>0</v>
      </c>
      <c r="AR48" s="81" t="e">
        <f t="shared" si="6"/>
        <v>#REF!</v>
      </c>
      <c r="AS48" s="243">
        <f t="shared" si="6"/>
        <v>0</v>
      </c>
      <c r="AT48" s="244">
        <f t="shared" si="6"/>
        <v>3583000000</v>
      </c>
      <c r="AU48" s="81">
        <f t="shared" si="6"/>
        <v>0</v>
      </c>
      <c r="AV48" s="229">
        <f t="shared" si="6"/>
        <v>0</v>
      </c>
    </row>
    <row r="49" spans="1:48" ht="74.25" customHeight="1">
      <c r="J49" s="181"/>
      <c r="K49" s="34"/>
      <c r="L49" s="34"/>
      <c r="M49" s="3399">
        <v>33</v>
      </c>
      <c r="N49" s="3395" t="str">
        <f>DATA!L42</f>
        <v>Community Based Sanitation Program (SANIMAS)</v>
      </c>
      <c r="O49" s="183">
        <f>DATA!Q42</f>
        <v>0.5</v>
      </c>
      <c r="P49" s="183">
        <f>DATA!R42</f>
        <v>1</v>
      </c>
      <c r="Q49" s="206">
        <f>DATA!S42</f>
        <v>31</v>
      </c>
      <c r="R49" s="3410">
        <f>DATA!T41</f>
        <v>250000000</v>
      </c>
      <c r="S49" s="203">
        <f>DATA!U42</f>
        <v>0</v>
      </c>
      <c r="T49" s="87">
        <f>DATA!V42</f>
        <v>0</v>
      </c>
      <c r="U49" s="87">
        <f>DATA!W42</f>
        <v>0</v>
      </c>
      <c r="V49" s="87">
        <f>DATA!X42</f>
        <v>0</v>
      </c>
      <c r="W49" s="78" t="str">
        <f>DATA!Y42</f>
        <v>ADB</v>
      </c>
      <c r="X49" s="37" t="str">
        <f>DATA!Z42</f>
        <v>Multilateral</v>
      </c>
      <c r="Y49" s="37">
        <f>DATA!AA42</f>
        <v>125000000</v>
      </c>
      <c r="Z49" s="77">
        <v>0</v>
      </c>
      <c r="AA49" s="216" t="str">
        <f>DATA!Y42</f>
        <v>ADB</v>
      </c>
      <c r="AB49" s="201">
        <f>DATA!AG42</f>
        <v>0</v>
      </c>
      <c r="AC49" s="37">
        <f>DATA!AH42</f>
        <v>2016</v>
      </c>
      <c r="AD49" s="37" t="str">
        <f>DATA!AI42</f>
        <v>-</v>
      </c>
      <c r="AE49" s="152">
        <f>DATA!AM42</f>
        <v>0</v>
      </c>
      <c r="AF49" s="152" t="str">
        <f>DATA!AN42</f>
        <v>belum ada keterangan</v>
      </c>
      <c r="AG49" s="152" t="str">
        <f>DATA!AO42</f>
        <v>tidak butuh lahan</v>
      </c>
      <c r="AH49" s="37" t="str">
        <f>DATA!AJ42</f>
        <v>-</v>
      </c>
      <c r="AI49" s="37" t="str">
        <f>DATA!AK42</f>
        <v>Tidak ada kegiatan pengadaan lahan, lahan akan diperoleh dari masyarakat</v>
      </c>
      <c r="AJ49" s="230" t="str">
        <f>DATA!AL42</f>
        <v>-</v>
      </c>
      <c r="AK49" s="19">
        <f>DATA!AM42</f>
        <v>0</v>
      </c>
      <c r="AL49" s="37" t="str">
        <f>DATA!AN42</f>
        <v>belum ada keterangan</v>
      </c>
      <c r="AM49" s="37" t="str">
        <f>DATA!AO42</f>
        <v>tidak butuh lahan</v>
      </c>
      <c r="AN49" s="37" t="str">
        <f>DATA!AP42</f>
        <v>belum ada proses tender/lelang</v>
      </c>
      <c r="AO49" s="37" t="str">
        <f>DATA!AY42</f>
        <v>- Merupakan kelanjutan dari kegiatan Urban Sanitation and Rural Infrastructure Support to PNPM Mandiri Projrct (USRI) yang telah berakhir pada tanggal 30 Juni 2015
- Konfirmasi melalui e-mail tanggal 17, 18, dan 21 Sept 2015</v>
      </c>
      <c r="AP49" s="37" t="e">
        <f>DATA!#REF!</f>
        <v>#REF!</v>
      </c>
      <c r="AQ49" s="3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R49" s="152" t="e">
        <f>DATA!#REF!</f>
        <v>#REF!</v>
      </c>
      <c r="AS49" s="199" t="str">
        <f>DATA!BA42</f>
        <v>Bantuan langsung masyarakat, penguatan institusi pengelola, dan jasa konsultasi.</v>
      </c>
      <c r="AT49" s="245">
        <f>DATA!AT42</f>
        <v>125000000</v>
      </c>
      <c r="AU49" s="109" t="str">
        <f>DATA!AU42</f>
        <v>ADB</v>
      </c>
      <c r="AV49" s="246" t="str">
        <f>DATA!AW42</f>
        <v>-</v>
      </c>
    </row>
    <row r="50" spans="1:48" ht="59.25" customHeight="1">
      <c r="J50" s="181"/>
      <c r="K50" s="34"/>
      <c r="L50" s="34"/>
      <c r="M50" s="3400"/>
      <c r="N50" s="3396"/>
      <c r="O50" s="183"/>
      <c r="P50" s="183"/>
      <c r="Q50" s="206"/>
      <c r="R50" s="3409"/>
      <c r="S50" s="203">
        <f>DATA!U43</f>
        <v>0</v>
      </c>
      <c r="T50" s="87">
        <f>DATA!V43</f>
        <v>0</v>
      </c>
      <c r="U50" s="87">
        <f>DATA!W43</f>
        <v>0</v>
      </c>
      <c r="V50" s="87">
        <f>DATA!X43</f>
        <v>0</v>
      </c>
      <c r="W50" s="78" t="str">
        <f>DATA!Y43</f>
        <v>IDB</v>
      </c>
      <c r="X50" s="37" t="str">
        <f>DATA!Z43</f>
        <v>Multilateral</v>
      </c>
      <c r="Y50" s="37">
        <f>DATA!AA43</f>
        <v>125000000</v>
      </c>
      <c r="Z50" s="77">
        <v>0</v>
      </c>
      <c r="AA50" s="216" t="str">
        <f>DATA!Y43</f>
        <v>IDB</v>
      </c>
      <c r="AB50" s="201">
        <f>DATA!AG43</f>
        <v>0</v>
      </c>
      <c r="AC50" s="37">
        <f>DATA!AH43</f>
        <v>2017</v>
      </c>
      <c r="AD50" s="37" t="str">
        <f>DATA!AI43</f>
        <v>-</v>
      </c>
      <c r="AE50" s="152">
        <f>DATA!AM43</f>
        <v>0</v>
      </c>
      <c r="AF50" s="152" t="str">
        <f>DATA!AN43</f>
        <v>belum ada keterangan</v>
      </c>
      <c r="AG50" s="152" t="str">
        <f>DATA!AO43</f>
        <v>tidak butuh lahan</v>
      </c>
      <c r="AH50" s="37" t="str">
        <f>DATA!AJ43</f>
        <v>-</v>
      </c>
      <c r="AI50" s="37" t="str">
        <f>DATA!AK43</f>
        <v>Tidak ada kegiatan pengadaan lahan, lahan akan diperoleh dari masyarakat</v>
      </c>
      <c r="AJ50" s="230" t="str">
        <f>DATA!AL43</f>
        <v>-</v>
      </c>
      <c r="AK50" s="19">
        <f>DATA!AM43</f>
        <v>0</v>
      </c>
      <c r="AL50" s="37" t="str">
        <f>DATA!AN43</f>
        <v>belum ada keterangan</v>
      </c>
      <c r="AM50" s="37" t="str">
        <f>DATA!AO43</f>
        <v>tidak butuh lahan</v>
      </c>
      <c r="AN50" s="37" t="str">
        <f>DATA!AP43</f>
        <v>belum ada proses tender/lelang</v>
      </c>
      <c r="AO50" s="37" t="str">
        <f>DATA!AY43</f>
        <v>- Merupakan kelanjutan dari kegiatan Urban Sanitation and Rural Infrastructure Support to PNPM Mandiri Projrct (USRI) yang telah berakhir pada tanggal 30 Juni 2015
- Konfirmasi melalui surat Sekjen nomor KU.01.12-Sj/636 tgl 23 Oktober 2015</v>
      </c>
      <c r="AP50" s="37" t="e">
        <f>DATA!#REF!</f>
        <v>#REF!</v>
      </c>
      <c r="AQ50" s="3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R50" s="152" t="e">
        <f>DATA!#REF!</f>
        <v>#REF!</v>
      </c>
      <c r="AS50" s="199" t="str">
        <f>DATA!BA43</f>
        <v>Bantuan langsung masyarakat, penguatan institusi pengelola, dan jasa konsultasi.</v>
      </c>
      <c r="AT50" s="245">
        <f>DATA!AT43</f>
        <v>125000000</v>
      </c>
      <c r="AU50" s="109" t="str">
        <f>DATA!AU43</f>
        <v>IDB</v>
      </c>
      <c r="AV50" s="246" t="str">
        <f>DATA!AW43</f>
        <v>-</v>
      </c>
    </row>
    <row r="51" spans="1:48" ht="41.25" customHeight="1">
      <c r="A51" s="10">
        <f>DATA!A44</f>
        <v>36</v>
      </c>
      <c r="B51" s="10">
        <f>DATA!B44</f>
        <v>0</v>
      </c>
      <c r="C51" s="10" t="str">
        <f>DATA!D44</f>
        <v>INFRASTRUKTUR</v>
      </c>
      <c r="D51" s="10">
        <f>DATA!E44</f>
        <v>1</v>
      </c>
      <c r="E51" s="10" t="str">
        <f>DATA!F44</f>
        <v>Kementerian Pekerjaan Umum dan Perumahan Rakyat</v>
      </c>
      <c r="F51" s="10" t="str">
        <f>DATA!H44</f>
        <v>Development of Waste Water Management Program</v>
      </c>
      <c r="G51" s="10" t="str">
        <f>DATA!I44</f>
        <v>E</v>
      </c>
      <c r="H51" s="10" t="str">
        <f>DATA!J44</f>
        <v xml:space="preserve">Program Pembangunan Sistem Pengelolaan Air Limbah </v>
      </c>
      <c r="I51" s="10">
        <f>DATA!K44</f>
        <v>2</v>
      </c>
      <c r="J51" s="181"/>
      <c r="K51" s="34"/>
      <c r="L51" s="34"/>
      <c r="M51" s="36">
        <v>34</v>
      </c>
      <c r="N51" s="37" t="str">
        <f>DATA!L44</f>
        <v>Jakarta Sewerage Development Project - Zone 1 and Zone 6</v>
      </c>
      <c r="O51" s="20">
        <f>DATA!Q44</f>
        <v>1</v>
      </c>
      <c r="P51" s="20">
        <f>DATA!R44</f>
        <v>1</v>
      </c>
      <c r="Q51" s="186">
        <f>DATA!S44</f>
        <v>32</v>
      </c>
      <c r="R51" s="187">
        <f>DATA!T44</f>
        <v>1950000000</v>
      </c>
      <c r="S51" s="203">
        <f>DATA!U44</f>
        <v>1950000000</v>
      </c>
      <c r="T51" s="77">
        <f>DATA!V44</f>
        <v>97500000</v>
      </c>
      <c r="U51" s="77">
        <f>DATA!W44</f>
        <v>0</v>
      </c>
      <c r="V51" s="77">
        <f>DATA!X44</f>
        <v>2047500000</v>
      </c>
      <c r="W51" s="78" t="str">
        <f>DATA!Y44</f>
        <v>JICA</v>
      </c>
      <c r="X51" s="20" t="str">
        <f>DATA!Z44</f>
        <v>Bilateral</v>
      </c>
      <c r="Y51" s="77">
        <f>DATA!AA44</f>
        <v>1950000000</v>
      </c>
      <c r="Z51" s="77">
        <v>0</v>
      </c>
      <c r="AA51" s="216" t="str">
        <f>DATA!Y44</f>
        <v>JICA</v>
      </c>
      <c r="AB51" s="188">
        <f>DATA!AG44</f>
        <v>0</v>
      </c>
      <c r="AC51" s="20">
        <f>DATA!AH44</f>
        <v>2017</v>
      </c>
      <c r="AD51" s="37" t="str">
        <f>DATA!AI44</f>
        <v>-</v>
      </c>
      <c r="AE51" s="152">
        <f>DATA!AM44</f>
        <v>0</v>
      </c>
      <c r="AF51" s="152" t="str">
        <f>DATA!AN44</f>
        <v>dalam proses
(memiliki FS)</v>
      </c>
      <c r="AG51" s="152" t="str">
        <f>DATA!AO44</f>
        <v>dalam proses</v>
      </c>
      <c r="AH51" s="37" t="str">
        <f>DATA!AJ44</f>
        <v>- FS
- Penyusunan DED</v>
      </c>
      <c r="AI51" s="37" t="str">
        <f>DATA!AK44</f>
        <v>Lahan untuk IPAL sudah dibebaskan</v>
      </c>
      <c r="AJ51" s="230" t="str">
        <f>DATA!AL44</f>
        <v>-</v>
      </c>
      <c r="AK51" s="231">
        <f>DATA!AM44</f>
        <v>0</v>
      </c>
      <c r="AL51" s="20" t="str">
        <f>DATA!AN44</f>
        <v>dalam proses
(memiliki FS)</v>
      </c>
      <c r="AM51" s="20" t="str">
        <f>DATA!AO44</f>
        <v>dalam proses</v>
      </c>
      <c r="AN51" s="20" t="str">
        <f>DATA!AP44</f>
        <v>belum ada proses tender/lelang</v>
      </c>
      <c r="AO51" s="20" t="str">
        <f>DATA!AY44</f>
        <v>Konfirmasi melalui surat Sekjen nomor KU.01.12-Sj/636 tgl 23 Oktober 2015</v>
      </c>
      <c r="AP51" s="20" t="e">
        <f>DATA!#REF!</f>
        <v>#REF!</v>
      </c>
      <c r="AQ51" s="20">
        <f>DATA!AZ44</f>
        <v>0</v>
      </c>
      <c r="AR51" s="152" t="e">
        <f>DATA!#REF!</f>
        <v>#REF!</v>
      </c>
      <c r="AS51" s="199" t="str">
        <f>DATA!BA44</f>
        <v>Pembangunan jaringan perpipaan dan Instalasi Pengolahan Air Limbah (IPAL) terpusat di Zona-1 dan Zona-6, pembangunan unit stasiun pompa, serta penyusunan Detail Engineering Design (DED) untuk IPAL Terpusat Zona 6</v>
      </c>
      <c r="AT51" s="245">
        <f>DATA!AT44</f>
        <v>1950000000</v>
      </c>
      <c r="AU51" s="109" t="str">
        <f>DATA!AU44</f>
        <v>JICA</v>
      </c>
      <c r="AV51" s="246" t="str">
        <f>DATA!AW44</f>
        <v>-</v>
      </c>
    </row>
    <row r="52" spans="1:48" ht="90.75" customHeight="1">
      <c r="A52" s="10">
        <f>DATA!A45</f>
        <v>37</v>
      </c>
      <c r="B52" s="10">
        <f>DATA!B45</f>
        <v>0</v>
      </c>
      <c r="C52" s="10" t="str">
        <f>DATA!D45</f>
        <v>INFRASTRUKTUR</v>
      </c>
      <c r="D52" s="10">
        <f>DATA!E45</f>
        <v>1</v>
      </c>
      <c r="E52" s="10" t="str">
        <f>DATA!F45</f>
        <v>Kementerian Pekerjaan Umum dan Perumahan Rakyat</v>
      </c>
      <c r="F52" s="10" t="str">
        <f>DATA!H45</f>
        <v>Development of Waste Water Management Program</v>
      </c>
      <c r="G52" s="10" t="str">
        <f>DATA!I45</f>
        <v>E</v>
      </c>
      <c r="H52" s="10" t="str">
        <f>DATA!J45</f>
        <v xml:space="preserve">Program Pembangunan Sistem Pengelolaan Air Limbah </v>
      </c>
      <c r="I52" s="10">
        <f>DATA!K45</f>
        <v>3</v>
      </c>
      <c r="J52" s="181"/>
      <c r="K52" s="34"/>
      <c r="L52" s="34"/>
      <c r="M52" s="36">
        <v>35</v>
      </c>
      <c r="N52" s="37" t="str">
        <f>DATA!L45</f>
        <v>The Development of Sewage Treatment Plant Facility in Priority Area</v>
      </c>
      <c r="O52" s="20">
        <f>DATA!Q45</f>
        <v>1</v>
      </c>
      <c r="P52" s="20">
        <f>DATA!R45</f>
        <v>1</v>
      </c>
      <c r="Q52" s="186">
        <f>DATA!S45</f>
        <v>33</v>
      </c>
      <c r="R52" s="187">
        <f>DATA!T45</f>
        <v>75000000</v>
      </c>
      <c r="S52" s="203">
        <f>DATA!U45</f>
        <v>75000000</v>
      </c>
      <c r="T52" s="77">
        <f>DATA!V45</f>
        <v>3750000</v>
      </c>
      <c r="U52" s="77">
        <f>DATA!W45</f>
        <v>0</v>
      </c>
      <c r="V52" s="77">
        <f>DATA!X45</f>
        <v>78750000</v>
      </c>
      <c r="W52" s="78" t="str">
        <f>DATA!Y45</f>
        <v>Bank Dunia/JICA</v>
      </c>
      <c r="X52" s="20" t="str">
        <f>DATA!Z45</f>
        <v>Multi Lender</v>
      </c>
      <c r="Y52" s="77">
        <f>DATA!AA45</f>
        <v>75000000</v>
      </c>
      <c r="Z52" s="77">
        <v>0</v>
      </c>
      <c r="AA52" s="216" t="str">
        <f>DATA!Y45</f>
        <v>Bank Dunia/JICA</v>
      </c>
      <c r="AB52" s="188">
        <f>DATA!AG45</f>
        <v>0</v>
      </c>
      <c r="AC52" s="20">
        <f>DATA!AH45</f>
        <v>2018</v>
      </c>
      <c r="AD52" s="37" t="str">
        <f>DATA!AI45</f>
        <v>-</v>
      </c>
      <c r="AE52" s="152">
        <f>DATA!AM45</f>
        <v>0</v>
      </c>
      <c r="AF52" s="152" t="str">
        <f>DATA!AN45</f>
        <v>dalam proses
(memiliki FS)</v>
      </c>
      <c r="AG52" s="152" t="str">
        <f>DATA!AO45</f>
        <v>belum ada keterangan</v>
      </c>
      <c r="AH52" s="37" t="str">
        <f>DATA!AJ45</f>
        <v>FS disiapkan melalui APBN TA 2015</v>
      </c>
      <c r="AI52" s="37" t="str">
        <f>DATA!AK45</f>
        <v>-</v>
      </c>
      <c r="AJ52" s="230" t="str">
        <f>DATA!AL45</f>
        <v>-</v>
      </c>
      <c r="AK52" s="231">
        <f>DATA!AM45</f>
        <v>0</v>
      </c>
      <c r="AL52" s="20" t="str">
        <f>DATA!AN45</f>
        <v>dalam proses
(memiliki FS)</v>
      </c>
      <c r="AM52" s="20" t="str">
        <f>DATA!AO45</f>
        <v>belum ada keterangan</v>
      </c>
      <c r="AN52" s="20" t="str">
        <f>DATA!AP45</f>
        <v>belum ada proses tender/lelang</v>
      </c>
      <c r="AO52" s="20" t="str">
        <f>DATA!AY45</f>
        <v>- Sedang dalam konsep desain bentuk kegiatan
- 'Konfirmasi melalui surat Sekjen nomor KU.01.12-Sj/636 tgl 23 Oktober 2015</v>
      </c>
      <c r="AP52" s="20" t="e">
        <f>DATA!#REF!</f>
        <v>#REF!</v>
      </c>
      <c r="AQ52" s="20" t="str">
        <f>DATA!AZ45</f>
        <v>JICA diindikasikan juga akan mendanai kegaiatan ini</v>
      </c>
      <c r="AR52" s="152" t="e">
        <f>DATA!#REF!</f>
        <v>#REF!</v>
      </c>
      <c r="AS52" s="199" t="str">
        <f>DATA!BA45</f>
        <v>Penyediaan sarana prasarana Instalasi Pengolahan Lumpur Tinja (IPLT), seperti mobil tinja, pompa penyedot dan unit IPLT.</v>
      </c>
      <c r="AT52" s="245">
        <f>DATA!AT45</f>
        <v>75000000</v>
      </c>
      <c r="AU52" s="109" t="str">
        <f>DATA!AU45</f>
        <v>Bank Dunia</v>
      </c>
      <c r="AV52" s="246" t="str">
        <f>DATA!AW45</f>
        <v xml:space="preserve">- usulan K/L lender: Bank Dunia/JICA/ADB. 
- pihak Bank Dunia berminat, ADB dan JICA tidak berminat
- dalam rencana pembiayaan Bank Dunia, kegiatan ini dijadikan satu paket dengan kegiatan "Sewerage System Development in Indonesia" </v>
      </c>
    </row>
    <row r="53" spans="1:48" ht="57" customHeight="1">
      <c r="A53" s="10">
        <f>DATA!A47</f>
        <v>38</v>
      </c>
      <c r="B53" s="10">
        <f>DATA!B47</f>
        <v>0</v>
      </c>
      <c r="C53" s="10" t="str">
        <f>DATA!D47</f>
        <v>INFRASTRUKTUR</v>
      </c>
      <c r="D53" s="10">
        <f>DATA!E47</f>
        <v>1</v>
      </c>
      <c r="E53" s="10" t="str">
        <f>DATA!F47</f>
        <v>Kementerian Pekerjaan Umum dan Perumahan Rakyat</v>
      </c>
      <c r="F53" s="10" t="str">
        <f>DATA!H47</f>
        <v>Development of Waste Water Management Program</v>
      </c>
      <c r="G53" s="10" t="str">
        <f>DATA!I47</f>
        <v>E</v>
      </c>
      <c r="H53" s="10" t="str">
        <f>DATA!J47</f>
        <v xml:space="preserve">Program Pembangunan Sistem Pengelolaan Air Limbah </v>
      </c>
      <c r="I53" s="10">
        <f>DATA!K47</f>
        <v>4</v>
      </c>
      <c r="J53" s="181"/>
      <c r="K53" s="34"/>
      <c r="L53" s="34"/>
      <c r="M53" s="3390">
        <v>36</v>
      </c>
      <c r="N53" s="3393" t="str">
        <f>DATA!L47</f>
        <v>Sewerage System Development in Indonesia</v>
      </c>
      <c r="O53" s="20">
        <f>DATA!Q47</f>
        <v>0.25</v>
      </c>
      <c r="P53" s="20">
        <f>DATA!R47</f>
        <v>0</v>
      </c>
      <c r="Q53" s="186">
        <f>DATA!S47</f>
        <v>0</v>
      </c>
      <c r="R53" s="3403">
        <f>DATA!T46</f>
        <v>975000000</v>
      </c>
      <c r="S53" s="203">
        <f>DATA!U47</f>
        <v>0</v>
      </c>
      <c r="T53" s="77">
        <f>DATA!V47</f>
        <v>0</v>
      </c>
      <c r="U53" s="77">
        <f>DATA!W47</f>
        <v>0</v>
      </c>
      <c r="V53" s="77">
        <f>DATA!X47</f>
        <v>0</v>
      </c>
      <c r="W53" s="78" t="str">
        <f>DATA!Y47</f>
        <v>ADB</v>
      </c>
      <c r="X53" s="20" t="str">
        <f>DATA!Z47</f>
        <v>Multilateral</v>
      </c>
      <c r="Y53" s="3414">
        <f>DATA!AA47</f>
        <v>424800000</v>
      </c>
      <c r="Z53" s="3414">
        <v>0</v>
      </c>
      <c r="AA53" s="3416" t="str">
        <f>DATA!Y47</f>
        <v>ADB</v>
      </c>
      <c r="AB53" s="188">
        <f>DATA!AG47</f>
        <v>0</v>
      </c>
      <c r="AC53" s="20">
        <f>DATA!AH47</f>
        <v>2017</v>
      </c>
      <c r="AD53" s="37" t="str">
        <f>DATA!AI47</f>
        <v>-</v>
      </c>
      <c r="AE53" s="152">
        <f>DATA!AM47</f>
        <v>0</v>
      </c>
      <c r="AF53" s="152" t="str">
        <f>DATA!AN47</f>
        <v>belum ada keterangan</v>
      </c>
      <c r="AG53" s="152" t="str">
        <f>DATA!AO47</f>
        <v>belum ada keterangan</v>
      </c>
      <c r="AH53" s="37" t="str">
        <f>DATA!AJ47</f>
        <v>-</v>
      </c>
      <c r="AI53" s="37" t="str">
        <f>DATA!AK47</f>
        <v>-</v>
      </c>
      <c r="AJ53" s="230" t="str">
        <f>DATA!AL47</f>
        <v>-</v>
      </c>
      <c r="AK53" s="231">
        <f>DATA!AM47</f>
        <v>0</v>
      </c>
      <c r="AL53" s="20" t="str">
        <f>DATA!AN47</f>
        <v>belum ada keterangan</v>
      </c>
      <c r="AM53" s="20" t="str">
        <f>DATA!AO47</f>
        <v>belum ada keterangan</v>
      </c>
      <c r="AN53" s="20" t="str">
        <f>DATA!AP47</f>
        <v>belum ada proses tender/lelang</v>
      </c>
      <c r="AO53" s="20" t="str">
        <f>DATA!AY47</f>
        <v>- termasuk ESP senilai USD 26,38 juta, indikasi Lender ADB
- belum ada proses penyiapan
- Konfirmasi melalui surat Sekjen nomor KU.01.12-Sj/636 tgl 23 Oktober 2015</v>
      </c>
      <c r="AP53" s="20" t="e">
        <f>DATA!#REF!</f>
        <v>#REF!</v>
      </c>
      <c r="AQ53" s="20" t="str">
        <f>DATA!AZ47</f>
        <v>Sudah ada pembicaraan awal</v>
      </c>
      <c r="AR53" s="152" t="e">
        <f>DATA!#REF!</f>
        <v>#REF!</v>
      </c>
      <c r="AS53" s="199" t="str">
        <f>DATA!BA47</f>
        <v>Pembangunan fisik sarana dan prasarana sanitasi serta Instalasi Pengolahan Air Limbah (IPAL) dan penguatan kapasitas lembaga pengelola</v>
      </c>
      <c r="AT53" s="245">
        <f>DATA!AT47</f>
        <v>400000000</v>
      </c>
      <c r="AU53" s="109" t="str">
        <f>DATA!AU47</f>
        <v>ADB</v>
      </c>
      <c r="AV53" s="246" t="str">
        <f>DATA!AW47</f>
        <v>- nilai kegiatan yang tercantum dalam COBP ADB sebesar USD 400 juta.
- nilai kegiatan berkurang sebesar USD 25,2 yang dialihkan untuk membiayai kegiatan ES</v>
      </c>
    </row>
    <row r="54" spans="1:48" ht="29.25" customHeight="1">
      <c r="J54" s="181"/>
      <c r="K54" s="34"/>
      <c r="L54" s="34"/>
      <c r="M54" s="3392"/>
      <c r="N54" s="3397"/>
      <c r="O54" s="20"/>
      <c r="P54" s="20"/>
      <c r="Q54" s="186"/>
      <c r="R54" s="3405"/>
      <c r="S54" s="203"/>
      <c r="T54" s="77"/>
      <c r="U54" s="77"/>
      <c r="V54" s="77"/>
      <c r="W54" s="78"/>
      <c r="X54" s="20"/>
      <c r="Y54" s="3415"/>
      <c r="Z54" s="3415"/>
      <c r="AA54" s="3417"/>
      <c r="AB54" s="188"/>
      <c r="AC54" s="20"/>
      <c r="AD54" s="37"/>
      <c r="AE54" s="152"/>
      <c r="AF54" s="152"/>
      <c r="AG54" s="152"/>
      <c r="AH54" s="37"/>
      <c r="AI54" s="37"/>
      <c r="AJ54" s="230"/>
      <c r="AK54" s="231"/>
      <c r="AL54" s="20"/>
      <c r="AM54" s="20"/>
      <c r="AN54" s="20"/>
      <c r="AO54" s="20"/>
      <c r="AP54" s="20"/>
      <c r="AQ54" s="20"/>
      <c r="AR54" s="152"/>
      <c r="AS54" s="199"/>
      <c r="AT54" s="245">
        <f>DATA!AT50</f>
        <v>24800000</v>
      </c>
      <c r="AU54" s="109" t="str">
        <f>DATA!AU50</f>
        <v>Belum Ada Indikasi</v>
      </c>
      <c r="AV54" s="248" t="str">
        <f>DATA!AW50</f>
        <v>co-financing dengan ADB (USD 400 juta), IDB (USD 325 juta) &amp; Bank Dunia (USD 200 juta)</v>
      </c>
    </row>
    <row r="55" spans="1:48" ht="39" customHeight="1">
      <c r="A55" s="10">
        <f>DATA!A48</f>
        <v>39</v>
      </c>
      <c r="B55" s="10">
        <f>DATA!B48</f>
        <v>0</v>
      </c>
      <c r="C55" s="10" t="str">
        <f>DATA!D48</f>
        <v>INFRASTRUKTUR</v>
      </c>
      <c r="D55" s="10">
        <f>DATA!E48</f>
        <v>1</v>
      </c>
      <c r="E55" s="10" t="str">
        <f>DATA!F48</f>
        <v>Kementerian Pekerjaan Umum dan Perumahan Rakyat</v>
      </c>
      <c r="F55" s="10" t="str">
        <f>DATA!H48</f>
        <v>Development of Waste Water Management Program</v>
      </c>
      <c r="G55" s="10" t="str">
        <f>DATA!I48</f>
        <v>E</v>
      </c>
      <c r="H55" s="10" t="str">
        <f>DATA!J48</f>
        <v xml:space="preserve">Program Pembangunan Sistem Pengelolaan Air Limbah </v>
      </c>
      <c r="I55" s="10">
        <f>DATA!K48</f>
        <v>4</v>
      </c>
      <c r="J55" s="181"/>
      <c r="K55" s="34"/>
      <c r="L55" s="34"/>
      <c r="M55" s="3392"/>
      <c r="N55" s="3397"/>
      <c r="O55" s="20"/>
      <c r="P55" s="20"/>
      <c r="Q55" s="186"/>
      <c r="R55" s="3405"/>
      <c r="S55" s="203">
        <f>DATA!U48</f>
        <v>0</v>
      </c>
      <c r="T55" s="77">
        <f>DATA!V48</f>
        <v>0</v>
      </c>
      <c r="U55" s="77">
        <f>DATA!W48</f>
        <v>0</v>
      </c>
      <c r="V55" s="77">
        <f>DATA!X48</f>
        <v>0</v>
      </c>
      <c r="W55" s="78" t="str">
        <f>DATA!Y48</f>
        <v>IDB</v>
      </c>
      <c r="X55" s="20" t="str">
        <f>DATA!Z48</f>
        <v>Multilateral</v>
      </c>
      <c r="Y55" s="77">
        <f>DATA!AA48</f>
        <v>325000000</v>
      </c>
      <c r="Z55" s="77">
        <v>0</v>
      </c>
      <c r="AA55" s="216" t="str">
        <f>DATA!Y48</f>
        <v>IDB</v>
      </c>
      <c r="AB55" s="188">
        <f>DATA!AG48</f>
        <v>0</v>
      </c>
      <c r="AC55" s="20">
        <f>DATA!AH48</f>
        <v>2017</v>
      </c>
      <c r="AD55" s="37" t="str">
        <f>DATA!AI48</f>
        <v>-</v>
      </c>
      <c r="AE55" s="152">
        <f>DATA!AM48</f>
        <v>0</v>
      </c>
      <c r="AF55" s="152" t="str">
        <f>DATA!AN48</f>
        <v>belum ada keterangan</v>
      </c>
      <c r="AG55" s="152" t="str">
        <f>DATA!AO48</f>
        <v>belum ada keterangan</v>
      </c>
      <c r="AH55" s="37" t="str">
        <f>DATA!AJ48</f>
        <v>-</v>
      </c>
      <c r="AI55" s="37" t="str">
        <f>DATA!AK48</f>
        <v>-</v>
      </c>
      <c r="AJ55" s="230" t="str">
        <f>DATA!AL48</f>
        <v>-</v>
      </c>
      <c r="AK55" s="231">
        <f>DATA!AM48</f>
        <v>0</v>
      </c>
      <c r="AL55" s="20" t="str">
        <f>DATA!AN48</f>
        <v>belum ada keterangan</v>
      </c>
      <c r="AM55" s="20" t="str">
        <f>DATA!AO48</f>
        <v>belum ada keterangan</v>
      </c>
      <c r="AN55" s="20" t="str">
        <f>DATA!AP48</f>
        <v>belum ada proses tender/lelang</v>
      </c>
      <c r="AO55" s="20" t="str">
        <f>DATA!AY48</f>
        <v>- belum ada proses penyiapan
- Konfirmasi melalui surat Sekjen nomor KU.01.12-Sj/636 tgl 23 Oktober 2015</v>
      </c>
      <c r="AP55" s="20" t="e">
        <f>DATA!#REF!</f>
        <v>#REF!</v>
      </c>
      <c r="AQ55" s="20" t="str">
        <f>DATA!AZ48</f>
        <v>Sudah ada pembicaraan awal</v>
      </c>
      <c r="AR55" s="152" t="e">
        <f>DATA!#REF!</f>
        <v>#REF!</v>
      </c>
      <c r="AS55" s="199" t="str">
        <f>DATA!BA48</f>
        <v>Pembangunan fisik sarana dan prasarana sanitasi serta Instalasi Pengolahan Air Limbah (IPAL) dan penguatan kapasitas lembaga pengelola</v>
      </c>
      <c r="AT55" s="245">
        <f>DATA!AT48</f>
        <v>325000000</v>
      </c>
      <c r="AU55" s="109" t="str">
        <f>DATA!AU48</f>
        <v>IDB</v>
      </c>
      <c r="AV55" s="246" t="str">
        <f>DATA!AW48</f>
        <v>-</v>
      </c>
    </row>
    <row r="56" spans="1:48" ht="39.75" customHeight="1">
      <c r="A56" s="10">
        <f>DATA!A49</f>
        <v>40</v>
      </c>
      <c r="B56" s="10">
        <f>DATA!B49</f>
        <v>0</v>
      </c>
      <c r="C56" s="10" t="str">
        <f>DATA!D49</f>
        <v>INFRASTRUKTUR</v>
      </c>
      <c r="D56" s="10">
        <f>DATA!E49</f>
        <v>1</v>
      </c>
      <c r="E56" s="10" t="str">
        <f>DATA!F49</f>
        <v>Kementerian Pekerjaan Umum dan Perumahan Rakyat</v>
      </c>
      <c r="F56" s="10" t="str">
        <f>DATA!H49</f>
        <v>Development of Waste Water Management Program</v>
      </c>
      <c r="G56" s="10" t="str">
        <f>DATA!I49</f>
        <v>E</v>
      </c>
      <c r="H56" s="10" t="str">
        <f>DATA!J49</f>
        <v xml:space="preserve">Program Pembangunan Sistem Pengelolaan Air Limbah </v>
      </c>
      <c r="I56" s="10">
        <f>DATA!K49</f>
        <v>4</v>
      </c>
      <c r="J56" s="181"/>
      <c r="K56" s="34"/>
      <c r="L56" s="34"/>
      <c r="M56" s="3391"/>
      <c r="N56" s="3394"/>
      <c r="O56" s="20"/>
      <c r="P56" s="20"/>
      <c r="Q56" s="186"/>
      <c r="R56" s="3404"/>
      <c r="S56" s="203">
        <f>DATA!U49</f>
        <v>0</v>
      </c>
      <c r="T56" s="77">
        <f>DATA!V49</f>
        <v>0</v>
      </c>
      <c r="U56" s="77">
        <f>DATA!W49</f>
        <v>0</v>
      </c>
      <c r="V56" s="77">
        <f>DATA!X49</f>
        <v>0</v>
      </c>
      <c r="W56" s="78" t="str">
        <f>DATA!Y49</f>
        <v>Bank Dunia</v>
      </c>
      <c r="X56" s="20" t="str">
        <f>DATA!Z49</f>
        <v>Multilateral</v>
      </c>
      <c r="Y56" s="77">
        <f>DATA!AA49</f>
        <v>200000000</v>
      </c>
      <c r="Z56" s="77">
        <v>0</v>
      </c>
      <c r="AA56" s="216" t="str">
        <f>DATA!Y49</f>
        <v>Bank Dunia</v>
      </c>
      <c r="AB56" s="188">
        <f>DATA!AG49</f>
        <v>0</v>
      </c>
      <c r="AC56" s="20">
        <f>DATA!AH49</f>
        <v>2017</v>
      </c>
      <c r="AD56" s="37" t="str">
        <f>DATA!AI49</f>
        <v>-</v>
      </c>
      <c r="AE56" s="152">
        <f>DATA!AM49</f>
        <v>0</v>
      </c>
      <c r="AF56" s="152" t="str">
        <f>DATA!AN49</f>
        <v>belum ada keterangan</v>
      </c>
      <c r="AG56" s="152" t="str">
        <f>DATA!AO49</f>
        <v>belum ada keterangan</v>
      </c>
      <c r="AH56" s="37" t="str">
        <f>DATA!AJ49</f>
        <v>-</v>
      </c>
      <c r="AI56" s="37" t="str">
        <f>DATA!AK49</f>
        <v>-</v>
      </c>
      <c r="AJ56" s="230" t="str">
        <f>DATA!AL49</f>
        <v>-</v>
      </c>
      <c r="AK56" s="231">
        <f>DATA!AM49</f>
        <v>0</v>
      </c>
      <c r="AL56" s="20" t="str">
        <f>DATA!AN49</f>
        <v>belum ada keterangan</v>
      </c>
      <c r="AM56" s="20" t="str">
        <f>DATA!AO49</f>
        <v>belum ada keterangan</v>
      </c>
      <c r="AN56" s="20" t="str">
        <f>DATA!AP49</f>
        <v>belum ada proses tender/lelang</v>
      </c>
      <c r="AO56" s="20" t="str">
        <f>DATA!AY49</f>
        <v>- belum ada proses penyiapan
- Konfirmasi melalui surat Sekjen nomor KU.01.12-Sj/636 tgl 23 Oktober 2015</v>
      </c>
      <c r="AP56" s="20" t="e">
        <f>DATA!#REF!</f>
        <v>#REF!</v>
      </c>
      <c r="AQ56" s="20" t="str">
        <f>DATA!AZ49</f>
        <v>Sudah ada pembicaraan awal</v>
      </c>
      <c r="AR56" s="152" t="e">
        <f>DATA!#REF!</f>
        <v>#REF!</v>
      </c>
      <c r="AS56" s="199" t="str">
        <f>DATA!BA49</f>
        <v>Pembangunan fisik sarana dan prasarana sanitasi serta Instalasi Pengolahan Air Limbah (IPAL) dan penguatan kapasitas lembaga pengelola</v>
      </c>
      <c r="AT56" s="245">
        <f>DATA!AT49</f>
        <v>200000000</v>
      </c>
      <c r="AU56" s="109" t="str">
        <f>DATA!AU49</f>
        <v>Bank Dunia</v>
      </c>
      <c r="AV56" s="246" t="str">
        <f>DATA!AW49</f>
        <v>-</v>
      </c>
    </row>
    <row r="57" spans="1:48" ht="43.5" customHeight="1">
      <c r="A57" s="10">
        <f>DATA!A51</f>
        <v>41</v>
      </c>
      <c r="B57" s="10">
        <f>DATA!B51</f>
        <v>0</v>
      </c>
      <c r="C57" s="10" t="str">
        <f>DATA!D51</f>
        <v>INFRASTRUKTUR</v>
      </c>
      <c r="D57" s="10">
        <f>DATA!E51</f>
        <v>1</v>
      </c>
      <c r="E57" s="10" t="str">
        <f>DATA!F51</f>
        <v>Kementerian Pekerjaan Umum dan Perumahan Rakyat</v>
      </c>
      <c r="F57" s="10" t="str">
        <f>DATA!H51</f>
        <v>Development of Waste Water Management Program</v>
      </c>
      <c r="G57" s="10" t="str">
        <f>DATA!I51</f>
        <v>E</v>
      </c>
      <c r="H57" s="10" t="str">
        <f>DATA!J51</f>
        <v xml:space="preserve">Program Pembangunan Sistem Pengelolaan Air Limbah </v>
      </c>
      <c r="I57" s="10">
        <f>DATA!K51</f>
        <v>5</v>
      </c>
      <c r="J57" s="181"/>
      <c r="K57" s="34"/>
      <c r="L57" s="34"/>
      <c r="M57" s="36">
        <v>37</v>
      </c>
      <c r="N57" s="37" t="str">
        <f>DATA!L51</f>
        <v>Denpasar Sewerage Development Project - Phase III</v>
      </c>
      <c r="O57" s="20">
        <f>DATA!Q51</f>
        <v>1</v>
      </c>
      <c r="P57" s="20">
        <f>DATA!R51</f>
        <v>1</v>
      </c>
      <c r="Q57" s="186">
        <f>DATA!S51</f>
        <v>35</v>
      </c>
      <c r="R57" s="187">
        <f>DATA!T51</f>
        <v>233000000</v>
      </c>
      <c r="S57" s="203">
        <f>DATA!U51</f>
        <v>233000000</v>
      </c>
      <c r="T57" s="77">
        <f>DATA!V51</f>
        <v>11650000</v>
      </c>
      <c r="U57" s="77">
        <f>DATA!W51</f>
        <v>0</v>
      </c>
      <c r="V57" s="77">
        <f>DATA!X51</f>
        <v>244650000</v>
      </c>
      <c r="W57" s="78" t="str">
        <f>DATA!Y51</f>
        <v>JICA</v>
      </c>
      <c r="X57" s="20" t="str">
        <f>DATA!Z51</f>
        <v>Bilateral</v>
      </c>
      <c r="Y57" s="77">
        <f>DATA!AA51</f>
        <v>233000000</v>
      </c>
      <c r="Z57" s="77">
        <v>0</v>
      </c>
      <c r="AA57" s="216" t="str">
        <f>DATA!Y51</f>
        <v>JICA</v>
      </c>
      <c r="AB57" s="188">
        <f>DATA!AG51</f>
        <v>0</v>
      </c>
      <c r="AC57" s="20">
        <f>DATA!AH51</f>
        <v>2018</v>
      </c>
      <c r="AD57" s="37" t="str">
        <f>DATA!AI51</f>
        <v>-</v>
      </c>
      <c r="AE57" s="152">
        <f>DATA!AM51</f>
        <v>0</v>
      </c>
      <c r="AF57" s="152" t="str">
        <f>DATA!AN51</f>
        <v>dalam proses
(memiliki FS)</v>
      </c>
      <c r="AG57" s="152" t="str">
        <f>DATA!AO51</f>
        <v>belum ada keterangan</v>
      </c>
      <c r="AH57" s="37" t="str">
        <f>DATA!AJ51</f>
        <v>Penyusunan DED</v>
      </c>
      <c r="AI57" s="37" t="str">
        <f>DATA!AK51</f>
        <v>-</v>
      </c>
      <c r="AJ57" s="230" t="str">
        <f>DATA!AL51</f>
        <v>-</v>
      </c>
      <c r="AK57" s="231">
        <f>DATA!AM51</f>
        <v>0</v>
      </c>
      <c r="AL57" s="20" t="str">
        <f>DATA!AN51</f>
        <v>dalam proses
(memiliki FS)</v>
      </c>
      <c r="AM57" s="20" t="str">
        <f>DATA!AO51</f>
        <v>belum ada keterangan</v>
      </c>
      <c r="AN57" s="20" t="str">
        <f>DATA!AP51</f>
        <v>belum ada proses tender/lelang</v>
      </c>
      <c r="AO57" s="20" t="str">
        <f>DATA!AY51</f>
        <v>Konfirmasi melalui surat Sekjen nomor KU.01.12-Sj/636 tgl 23 Oktober 2015</v>
      </c>
      <c r="AP57" s="20" t="e">
        <f>DATA!#REF!</f>
        <v>#REF!</v>
      </c>
      <c r="AQ57" s="20">
        <f>DATA!AZ51</f>
        <v>0</v>
      </c>
      <c r="AR57" s="152" t="e">
        <f>DATA!#REF!</f>
        <v>#REF!</v>
      </c>
      <c r="AS57" s="199" t="str">
        <f>DATA!BA51</f>
        <v>Pembangunan jaringan perpipaan dengan area pelayanan 2.200 Ha, stasiun pompa sejumlah 2 unit, dan instalasi pengolahan air limbah.</v>
      </c>
      <c r="AT57" s="245">
        <f>DATA!AT51</f>
        <v>233000000</v>
      </c>
      <c r="AU57" s="109" t="str">
        <f>DATA!AU51</f>
        <v>JICA</v>
      </c>
      <c r="AV57" s="246" t="str">
        <f>DATA!AW51</f>
        <v>-</v>
      </c>
    </row>
    <row r="58" spans="1:48" ht="44.25" customHeight="1">
      <c r="A58" s="10">
        <f>DATA!A52</f>
        <v>42</v>
      </c>
      <c r="B58" s="10">
        <f>DATA!B52</f>
        <v>0</v>
      </c>
      <c r="C58" s="10" t="str">
        <f>DATA!D52</f>
        <v>INFRASTRUKTUR</v>
      </c>
      <c r="D58" s="10">
        <f>DATA!E52</f>
        <v>1</v>
      </c>
      <c r="E58" s="10" t="str">
        <f>DATA!F52</f>
        <v>Kementerian Pekerjaan Umum dan Perumahan Rakyat</v>
      </c>
      <c r="F58" s="10" t="str">
        <f>DATA!H52</f>
        <v>Development of Waste Water Management Program</v>
      </c>
      <c r="G58" s="10" t="str">
        <f>DATA!I52</f>
        <v>E</v>
      </c>
      <c r="H58" s="10" t="str">
        <f>DATA!J52</f>
        <v xml:space="preserve">Program Pembangunan Sistem Pengelolaan Air Limbah </v>
      </c>
      <c r="I58" s="10">
        <f>DATA!K52</f>
        <v>6</v>
      </c>
      <c r="J58" s="181"/>
      <c r="K58" s="34"/>
      <c r="L58" s="54"/>
      <c r="M58" s="36">
        <v>38</v>
      </c>
      <c r="N58" s="37" t="str">
        <f>DATA!L52</f>
        <v>The Development and Optimization of Wastewater Treatment in Greater Bandung</v>
      </c>
      <c r="O58" s="20">
        <f>DATA!Q52</f>
        <v>1</v>
      </c>
      <c r="P58" s="20">
        <f>DATA!R52</f>
        <v>1</v>
      </c>
      <c r="Q58" s="186">
        <f>DATA!S52</f>
        <v>36</v>
      </c>
      <c r="R58" s="187">
        <f>DATA!T52</f>
        <v>100000000</v>
      </c>
      <c r="S58" s="203">
        <f>DATA!U52</f>
        <v>100000000</v>
      </c>
      <c r="T58" s="77">
        <f>DATA!V52</f>
        <v>5000000</v>
      </c>
      <c r="U58" s="77">
        <f>DATA!W52</f>
        <v>0</v>
      </c>
      <c r="V58" s="77">
        <f>DATA!X52</f>
        <v>105000000</v>
      </c>
      <c r="W58" s="78" t="str">
        <f>DATA!Y52</f>
        <v>Jerman (KfW)</v>
      </c>
      <c r="X58" s="20" t="str">
        <f>DATA!Z52</f>
        <v>Bilateral</v>
      </c>
      <c r="Y58" s="77">
        <f>DATA!AA52</f>
        <v>100000000</v>
      </c>
      <c r="Z58" s="77">
        <v>0</v>
      </c>
      <c r="AA58" s="216" t="str">
        <f>DATA!Y52</f>
        <v>Jerman (KfW)</v>
      </c>
      <c r="AB58" s="188">
        <f>DATA!AG52</f>
        <v>0</v>
      </c>
      <c r="AC58" s="20">
        <f>DATA!AH52</f>
        <v>2017</v>
      </c>
      <c r="AD58" s="37" t="str">
        <f>DATA!AI52</f>
        <v>Master Plan</v>
      </c>
      <c r="AE58" s="152">
        <f>DATA!AM52</f>
        <v>0</v>
      </c>
      <c r="AF58" s="152" t="str">
        <f>DATA!AN52</f>
        <v>dalam proses
(penyusunan FS)</v>
      </c>
      <c r="AG58" s="152" t="str">
        <f>DATA!AO52</f>
        <v>belum ada keterangan</v>
      </c>
      <c r="AH58" s="37" t="str">
        <f>DATA!AJ52</f>
        <v>Pra FS</v>
      </c>
      <c r="AI58" s="37" t="str">
        <f>DATA!AK52</f>
        <v>-</v>
      </c>
      <c r="AJ58" s="230" t="str">
        <f>DATA!AL52</f>
        <v>-</v>
      </c>
      <c r="AK58" s="231">
        <f>DATA!AM52</f>
        <v>0</v>
      </c>
      <c r="AL58" s="20" t="str">
        <f>DATA!AN52</f>
        <v>dalam proses
(penyusunan FS)</v>
      </c>
      <c r="AM58" s="20" t="str">
        <f>DATA!AO52</f>
        <v>belum ada keterangan</v>
      </c>
      <c r="AN58" s="20" t="str">
        <f>DATA!AP52</f>
        <v>belum ada proses tender/lelang</v>
      </c>
      <c r="AO58" s="20" t="str">
        <f>DATA!AY52</f>
        <v>Konfirmasi melalui surat Sekjen nomor KU.01.12-Sj/636 tgl 23 Oktober 2015</v>
      </c>
      <c r="AP58" s="20" t="e">
        <f>DATA!#REF!</f>
        <v>#REF!</v>
      </c>
      <c r="AQ58" s="20">
        <f>DATA!AZ52</f>
        <v>0</v>
      </c>
      <c r="AR58" s="152" t="e">
        <f>DATA!#REF!</f>
        <v>#REF!</v>
      </c>
      <c r="AS58" s="199" t="str">
        <f>DATA!BA52</f>
        <v>Review master plan air limbah dan optimalisasi Instalasi Pengolahan Air Limbah (IPAL) Bojongsoang.</v>
      </c>
      <c r="AT58" s="245">
        <f>DATA!AT52</f>
        <v>100000000</v>
      </c>
      <c r="AU58" s="109" t="str">
        <f>DATA!AU52</f>
        <v>Jerman (KfW)</v>
      </c>
      <c r="AV58" s="246" t="str">
        <f>DATA!AW52</f>
        <v>-</v>
      </c>
    </row>
    <row r="59" spans="1:48" ht="42" customHeight="1">
      <c r="J59" s="181"/>
      <c r="K59" s="34"/>
      <c r="L59" s="54"/>
      <c r="M59" s="36">
        <v>39</v>
      </c>
      <c r="N59" s="56" t="str">
        <f>DATA!L53</f>
        <v>Engineering Service for Sanitation Improvement Project</v>
      </c>
      <c r="O59" s="36">
        <f>DATA!Q53</f>
        <v>0</v>
      </c>
      <c r="P59" s="36">
        <f>DATA!R53</f>
        <v>0</v>
      </c>
      <c r="Q59" s="17">
        <f>DATA!S53</f>
        <v>0</v>
      </c>
      <c r="R59" s="202">
        <f>DATA!T53</f>
        <v>0</v>
      </c>
      <c r="S59" s="203">
        <f>DATA!U53</f>
        <v>25200000</v>
      </c>
      <c r="T59" s="88">
        <f>DATA!V53</f>
        <v>0</v>
      </c>
      <c r="U59" s="88">
        <f>DATA!W53</f>
        <v>0</v>
      </c>
      <c r="V59" s="88">
        <f>DATA!X53</f>
        <v>25200000</v>
      </c>
      <c r="W59" s="88" t="str">
        <f>DATA!Y53</f>
        <v>ADB</v>
      </c>
      <c r="X59" s="88" t="str">
        <f>DATA!Z53</f>
        <v>Multilateral</v>
      </c>
      <c r="Y59" s="88">
        <f>DATA!AA53</f>
        <v>25200000</v>
      </c>
      <c r="Z59" s="88">
        <v>0</v>
      </c>
      <c r="AA59" s="216" t="str">
        <f>DATA!Y53</f>
        <v>ADB</v>
      </c>
      <c r="AB59" s="203">
        <f>DATA!AG53</f>
        <v>0</v>
      </c>
      <c r="AC59" s="102">
        <f>DATA!AH53</f>
        <v>2016</v>
      </c>
      <c r="AD59" s="110" t="str">
        <f>DATA!AI53</f>
        <v>- Green Book 2015</v>
      </c>
      <c r="AE59" s="152" t="str">
        <f>DATA!AM53</f>
        <v>2015; 2016</v>
      </c>
      <c r="AF59" s="152" t="str">
        <f>DATA!AN53</f>
        <v>siap</v>
      </c>
      <c r="AG59" s="152" t="str">
        <f>DATA!AO53</f>
        <v>tidak butuh lahan</v>
      </c>
      <c r="AH59" s="110" t="str">
        <f>DATA!AJ53</f>
        <v>-</v>
      </c>
      <c r="AI59" s="110" t="str">
        <f>DATA!AK53</f>
        <v>-</v>
      </c>
      <c r="AJ59" s="235" t="str">
        <f>DATA!AL53</f>
        <v>-</v>
      </c>
      <c r="AK59" s="231"/>
      <c r="AL59" s="20"/>
      <c r="AM59" s="20"/>
      <c r="AN59" s="20"/>
      <c r="AO59" s="20"/>
      <c r="AP59" s="20"/>
      <c r="AQ59" s="20"/>
      <c r="AR59" s="152" t="e">
        <f>DATA!#REF!</f>
        <v>#REF!</v>
      </c>
      <c r="AS59" s="199"/>
      <c r="AT59" s="245">
        <f>DATA!AT53</f>
        <v>25200000</v>
      </c>
      <c r="AU59" s="109" t="str">
        <f>DATA!AU53</f>
        <v>ADB</v>
      </c>
      <c r="AV59" s="246" t="str">
        <f>DATA!AW53</f>
        <v xml:space="preserve">pada konfirmasi K/L nilai ES sebesar USD 26,38 juta, seharusnya USD 25,2 juta. </v>
      </c>
    </row>
    <row r="60" spans="1:48" s="5" customFormat="1" ht="33.75" customHeight="1">
      <c r="J60" s="180"/>
      <c r="K60" s="50"/>
      <c r="L60" s="30" t="str">
        <f>DATA!I54</f>
        <v>F</v>
      </c>
      <c r="M60" s="31" t="str">
        <f>DATA!J54</f>
        <v xml:space="preserve">Program Pembangunan Sistem Pengelolaan Persampahan </v>
      </c>
      <c r="N60" s="51"/>
      <c r="O60" s="31"/>
      <c r="P60" s="31"/>
      <c r="Q60" s="196"/>
      <c r="R60" s="197">
        <f>+R61+R62</f>
        <v>250000000</v>
      </c>
      <c r="S60" s="198">
        <f t="shared" ref="S60:AT60" si="7">+S61+S62</f>
        <v>250000000</v>
      </c>
      <c r="T60" s="81">
        <f t="shared" si="7"/>
        <v>12500000</v>
      </c>
      <c r="U60" s="81">
        <f t="shared" si="7"/>
        <v>0</v>
      </c>
      <c r="V60" s="81">
        <f t="shared" si="7"/>
        <v>262500000</v>
      </c>
      <c r="W60" s="81" t="e">
        <f t="shared" si="7"/>
        <v>#VALUE!</v>
      </c>
      <c r="X60" s="81" t="e">
        <f t="shared" si="7"/>
        <v>#VALUE!</v>
      </c>
      <c r="Y60" s="81">
        <f t="shared" si="7"/>
        <v>250000000</v>
      </c>
      <c r="Z60" s="81">
        <f t="shared" si="7"/>
        <v>0</v>
      </c>
      <c r="AA60" s="214"/>
      <c r="AB60" s="198">
        <f t="shared" si="7"/>
        <v>0</v>
      </c>
      <c r="AC60" s="81">
        <f t="shared" si="7"/>
        <v>4033</v>
      </c>
      <c r="AD60" s="81"/>
      <c r="AE60" s="81"/>
      <c r="AF60" s="81"/>
      <c r="AG60" s="81"/>
      <c r="AH60" s="81"/>
      <c r="AI60" s="81"/>
      <c r="AJ60" s="229"/>
      <c r="AK60" s="198">
        <f t="shared" si="7"/>
        <v>0</v>
      </c>
      <c r="AL60" s="81" t="e">
        <f t="shared" si="7"/>
        <v>#VALUE!</v>
      </c>
      <c r="AM60" s="81" t="e">
        <f t="shared" si="7"/>
        <v>#VALUE!</v>
      </c>
      <c r="AN60" s="81" t="e">
        <f t="shared" si="7"/>
        <v>#VALUE!</v>
      </c>
      <c r="AO60" s="81" t="e">
        <f t="shared" si="7"/>
        <v>#VALUE!</v>
      </c>
      <c r="AP60" s="81" t="e">
        <f t="shared" si="7"/>
        <v>#REF!</v>
      </c>
      <c r="AQ60" s="81" t="e">
        <f t="shared" si="7"/>
        <v>#VALUE!</v>
      </c>
      <c r="AR60" s="81" t="e">
        <f t="shared" si="7"/>
        <v>#REF!</v>
      </c>
      <c r="AS60" s="243" t="e">
        <f t="shared" si="7"/>
        <v>#VALUE!</v>
      </c>
      <c r="AT60" s="244">
        <f t="shared" si="7"/>
        <v>250000000</v>
      </c>
      <c r="AU60" s="81"/>
      <c r="AV60" s="229"/>
    </row>
    <row r="61" spans="1:48" ht="67.5" customHeight="1">
      <c r="A61" s="10">
        <f>DATA!A54</f>
        <v>43</v>
      </c>
      <c r="B61" s="10">
        <f>DATA!B54</f>
        <v>0</v>
      </c>
      <c r="C61" s="10" t="str">
        <f>DATA!D54</f>
        <v>INFRASTRUKTUR</v>
      </c>
      <c r="D61" s="10">
        <f>DATA!E54</f>
        <v>1</v>
      </c>
      <c r="E61" s="10" t="str">
        <f>DATA!F54</f>
        <v>Kementerian Pekerjaan Umum dan Perumahan Rakyat</v>
      </c>
      <c r="F61" s="10" t="str">
        <f>DATA!H54</f>
        <v>Development of Solid Waste Management Program</v>
      </c>
      <c r="G61" s="10" t="str">
        <f>DATA!I54</f>
        <v>F</v>
      </c>
      <c r="H61" s="10" t="str">
        <f>DATA!J54</f>
        <v xml:space="preserve">Program Pembangunan Sistem Pengelolaan Persampahan </v>
      </c>
      <c r="I61" s="10">
        <f>DATA!K54</f>
        <v>1</v>
      </c>
      <c r="J61" s="181"/>
      <c r="K61" s="34"/>
      <c r="L61" s="35"/>
      <c r="M61" s="36">
        <v>40</v>
      </c>
      <c r="N61" s="37" t="str">
        <f>DATA!L54</f>
        <v xml:space="preserve">Advanced Solid Waste Management for Sustainable Urban Development (Advance SWM-SUD) </v>
      </c>
      <c r="O61" s="20">
        <f>DATA!Q54</f>
        <v>1</v>
      </c>
      <c r="P61" s="20">
        <f>DATA!R54</f>
        <v>1</v>
      </c>
      <c r="Q61" s="186">
        <f>DATA!S54</f>
        <v>37</v>
      </c>
      <c r="R61" s="187">
        <f>DATA!T54</f>
        <v>150000000</v>
      </c>
      <c r="S61" s="203">
        <f>DATA!U54</f>
        <v>150000000</v>
      </c>
      <c r="T61" s="77">
        <f>DATA!V54</f>
        <v>7500000</v>
      </c>
      <c r="U61" s="77">
        <f>DATA!W54</f>
        <v>0</v>
      </c>
      <c r="V61" s="77">
        <f>DATA!X54</f>
        <v>157500000</v>
      </c>
      <c r="W61" s="78" t="str">
        <f>DATA!Y54</f>
        <v>Jerman (KfW)</v>
      </c>
      <c r="X61" s="20" t="str">
        <f>DATA!Z54</f>
        <v>Bilateral</v>
      </c>
      <c r="Y61" s="77">
        <f>DATA!AA54</f>
        <v>150000000</v>
      </c>
      <c r="Z61" s="77">
        <v>0</v>
      </c>
      <c r="AA61" s="216" t="str">
        <f>DATA!Y54</f>
        <v>Jerman (KfW)</v>
      </c>
      <c r="AB61" s="188">
        <f>DATA!AG54</f>
        <v>0</v>
      </c>
      <c r="AC61" s="20">
        <f>DATA!AH54</f>
        <v>2017</v>
      </c>
      <c r="AD61" s="37" t="str">
        <f>DATA!AI54</f>
        <v>-</v>
      </c>
      <c r="AE61" s="152">
        <f>DATA!AM54</f>
        <v>0</v>
      </c>
      <c r="AF61" s="152" t="str">
        <f>DATA!AN54</f>
        <v>dalam proses
(penyusunan FS)</v>
      </c>
      <c r="AG61" s="152" t="str">
        <f>DATA!AO54</f>
        <v>belum ada keterangan</v>
      </c>
      <c r="AH61" s="37" t="str">
        <f>DATA!AJ54</f>
        <v>Telah dilakukan kajian awal oleh tim FFM KfW</v>
      </c>
      <c r="AI61" s="37" t="str">
        <f>DATA!AK54</f>
        <v>-</v>
      </c>
      <c r="AJ61" s="230" t="str">
        <f>DATA!AL54</f>
        <v>-</v>
      </c>
      <c r="AK61" s="231">
        <f>DATA!AM54</f>
        <v>0</v>
      </c>
      <c r="AL61" s="20" t="str">
        <f>DATA!AN54</f>
        <v>dalam proses
(penyusunan FS)</v>
      </c>
      <c r="AM61" s="20" t="str">
        <f>DATA!AO54</f>
        <v>belum ada keterangan</v>
      </c>
      <c r="AN61" s="20" t="str">
        <f>DATA!AP54</f>
        <v>belum ada proses tender/lelang</v>
      </c>
      <c r="AO61" s="20" t="str">
        <f>DATA!AY54</f>
        <v>- belum ada proses penyiapan
- Konfirmasi melalui surat Sekjen nomor KU.01.12-Sj/636 tgl 23 Oktober 2015</v>
      </c>
      <c r="AP61" s="20" t="e">
        <f>DATA!#REF!</f>
        <v>#REF!</v>
      </c>
      <c r="AQ61" s="20">
        <f>DATA!AZ54</f>
        <v>0</v>
      </c>
      <c r="AR61" s="152" t="e">
        <f>DATA!#REF!</f>
        <v>#REF!</v>
      </c>
      <c r="AS61" s="199" t="str">
        <f>DATA!BA54</f>
        <v>Pembangunan TPA baru, pembangunan unit sistem teknologi pengolahan sampah, pembangunan Intermediete Treatment Facility (ITF), infrastruktur penunjang, buffer zone, dan supervisi kegiatan konstruksi.</v>
      </c>
      <c r="AT61" s="245">
        <f>DATA!AT54</f>
        <v>150000000</v>
      </c>
      <c r="AU61" s="109" t="str">
        <f>DATA!AU54</f>
        <v>Jerman (KfW)</v>
      </c>
      <c r="AV61" s="246" t="str">
        <f>DATA!AW54</f>
        <v>-</v>
      </c>
    </row>
    <row r="62" spans="1:48" ht="55.5" customHeight="1">
      <c r="A62" s="10">
        <f>DATA!A55</f>
        <v>44</v>
      </c>
      <c r="B62" s="10">
        <f>DATA!B55</f>
        <v>0</v>
      </c>
      <c r="C62" s="10" t="str">
        <f>DATA!D55</f>
        <v>INFRASTRUKTUR</v>
      </c>
      <c r="D62" s="10">
        <f>DATA!E55</f>
        <v>1</v>
      </c>
      <c r="E62" s="10" t="str">
        <f>DATA!F55</f>
        <v>Kementerian Pekerjaan Umum dan Perumahan Rakyat</v>
      </c>
      <c r="F62" s="10" t="str">
        <f>DATA!H55</f>
        <v>Development of Solid Waste Management Program</v>
      </c>
      <c r="G62" s="10" t="str">
        <f>DATA!I55</f>
        <v>F</v>
      </c>
      <c r="H62" s="10" t="str">
        <f>DATA!J55</f>
        <v xml:space="preserve">Program Pembangunan Sistem Pengelolaan Persampahan </v>
      </c>
      <c r="I62" s="10">
        <f>DATA!K55</f>
        <v>2</v>
      </c>
      <c r="J62" s="181"/>
      <c r="K62" s="34"/>
      <c r="L62" s="54"/>
      <c r="M62" s="36">
        <v>41</v>
      </c>
      <c r="N62" s="37" t="str">
        <f>DATA!L55</f>
        <v>The Improvement of Solid Waste Management to Support Regional Area and Metropolitan Cities</v>
      </c>
      <c r="O62" s="20">
        <f>DATA!Q55</f>
        <v>1</v>
      </c>
      <c r="P62" s="20">
        <f>DATA!R55</f>
        <v>1</v>
      </c>
      <c r="Q62" s="186">
        <f>DATA!S55</f>
        <v>38</v>
      </c>
      <c r="R62" s="187">
        <f>DATA!T55</f>
        <v>100000000</v>
      </c>
      <c r="S62" s="203">
        <f>DATA!U55</f>
        <v>100000000</v>
      </c>
      <c r="T62" s="77">
        <f>DATA!V55</f>
        <v>5000000</v>
      </c>
      <c r="U62" s="77">
        <f>DATA!W55</f>
        <v>0</v>
      </c>
      <c r="V62" s="77">
        <f>DATA!X55</f>
        <v>105000000</v>
      </c>
      <c r="W62" s="78" t="str">
        <f>DATA!Y55</f>
        <v>Bank Dunia</v>
      </c>
      <c r="X62" s="20" t="str">
        <f>DATA!Z55</f>
        <v>Multilateral</v>
      </c>
      <c r="Y62" s="77">
        <f>DATA!AA55</f>
        <v>100000000</v>
      </c>
      <c r="Z62" s="77">
        <v>0</v>
      </c>
      <c r="AA62" s="216" t="str">
        <f>DATA!Y55</f>
        <v>Bank Dunia</v>
      </c>
      <c r="AB62" s="188">
        <f>DATA!AG55</f>
        <v>0</v>
      </c>
      <c r="AC62" s="20">
        <f>DATA!AH55</f>
        <v>2016</v>
      </c>
      <c r="AD62" s="37" t="str">
        <f>DATA!AI55</f>
        <v>-</v>
      </c>
      <c r="AE62" s="152">
        <f>DATA!AM55</f>
        <v>0</v>
      </c>
      <c r="AF62" s="152" t="str">
        <f>DATA!AN55</f>
        <v>dalam proses
(memiliki FS)</v>
      </c>
      <c r="AG62" s="152" t="str">
        <f>DATA!AO55</f>
        <v>dalam proses
(persiapan)</v>
      </c>
      <c r="AH62" s="37" t="str">
        <f>DATA!AJ55</f>
        <v>DED dalam proses finalisasi</v>
      </c>
      <c r="AI62" s="37" t="str">
        <f>DATA!AK55</f>
        <v>Dalam proses kepemilikan lahan</v>
      </c>
      <c r="AJ62" s="230" t="str">
        <f>DATA!AL55</f>
        <v>Belum ada tindak lanjut</v>
      </c>
      <c r="AK62" s="231">
        <f>DATA!AM55</f>
        <v>0</v>
      </c>
      <c r="AL62" s="20" t="str">
        <f>DATA!AN55</f>
        <v>dalam proses
(memiliki FS)</v>
      </c>
      <c r="AM62" s="20" t="str">
        <f>DATA!AO55</f>
        <v>dalam proses
(persiapan)</v>
      </c>
      <c r="AN62" s="20" t="str">
        <f>DATA!AP55</f>
        <v>belum ada proses tender/lelang</v>
      </c>
      <c r="AO62" s="20" t="str">
        <f>DATA!AY55</f>
        <v xml:space="preserve">- Konfirmasi melalui surat Sekjen nomor KU.01.12-Sj/636 tgl 23 Oktober 2015
- Bank Dunia membantu proses studi, DED, FS (CDIA, INDII Facility) </v>
      </c>
      <c r="AP62" s="20" t="e">
        <f>DATA!#REF!</f>
        <v>#REF!</v>
      </c>
      <c r="AQ62" s="20" t="str">
        <f>DATA!AZ55</f>
        <v>- FS
- Diusulkan untuk masuk Green Book 2016</v>
      </c>
      <c r="AR62" s="152" t="e">
        <f>DATA!#REF!</f>
        <v>#REF!</v>
      </c>
      <c r="AS62" s="199" t="str">
        <f>DATA!BA55</f>
        <v>Pembangunan TPA Sanitary Landfill  baru, pembangunan Intermediete Treatment Facility (ITF), dan pengembangan konsep Reuse, Reduce, and Recycle (3R).</v>
      </c>
      <c r="AT62" s="245">
        <f>DATA!AT55</f>
        <v>100000000</v>
      </c>
      <c r="AU62" s="109" t="str">
        <f>DATA!AU55</f>
        <v>Bank Dunia</v>
      </c>
      <c r="AV62" s="246" t="str">
        <f>DATA!AW55</f>
        <v>-</v>
      </c>
    </row>
    <row r="63" spans="1:48" s="5" customFormat="1" ht="33.75" customHeight="1">
      <c r="J63" s="180"/>
      <c r="K63" s="50"/>
      <c r="L63" s="30" t="str">
        <f>DATA!I56</f>
        <v>G</v>
      </c>
      <c r="M63" s="31" t="str">
        <f>DATA!J56</f>
        <v>Program Penanganan Kumuh</v>
      </c>
      <c r="N63" s="51"/>
      <c r="O63" s="31"/>
      <c r="P63" s="31"/>
      <c r="Q63" s="196"/>
      <c r="R63" s="197">
        <f>R64+R65+R68+R69</f>
        <v>3614740000</v>
      </c>
      <c r="S63" s="198">
        <f t="shared" ref="S63:AS63" si="8">S64+S65+S68+S69</f>
        <v>2562100000</v>
      </c>
      <c r="T63" s="81">
        <f t="shared" si="8"/>
        <v>128105000</v>
      </c>
      <c r="U63" s="81">
        <f t="shared" si="8"/>
        <v>0</v>
      </c>
      <c r="V63" s="81">
        <f t="shared" si="8"/>
        <v>2690205000</v>
      </c>
      <c r="W63" s="81" t="e">
        <f t="shared" si="8"/>
        <v>#VALUE!</v>
      </c>
      <c r="X63" s="81" t="e">
        <f t="shared" si="8"/>
        <v>#VALUE!</v>
      </c>
      <c r="Y63" s="81">
        <f>Y64+Y65+Y66+Y68+Y69</f>
        <v>3108360000</v>
      </c>
      <c r="Z63" s="81">
        <f t="shared" si="8"/>
        <v>0</v>
      </c>
      <c r="AA63" s="214"/>
      <c r="AB63" s="198">
        <f t="shared" si="8"/>
        <v>0</v>
      </c>
      <c r="AC63" s="81">
        <f t="shared" si="8"/>
        <v>8065</v>
      </c>
      <c r="AD63" s="81"/>
      <c r="AE63" s="81"/>
      <c r="AF63" s="81"/>
      <c r="AG63" s="81"/>
      <c r="AH63" s="81"/>
      <c r="AI63" s="81"/>
      <c r="AJ63" s="229"/>
      <c r="AK63" s="198">
        <f t="shared" si="8"/>
        <v>2016</v>
      </c>
      <c r="AL63" s="81" t="e">
        <f t="shared" si="8"/>
        <v>#VALUE!</v>
      </c>
      <c r="AM63" s="81" t="e">
        <f t="shared" si="8"/>
        <v>#VALUE!</v>
      </c>
      <c r="AN63" s="81" t="e">
        <f t="shared" si="8"/>
        <v>#VALUE!</v>
      </c>
      <c r="AO63" s="81" t="e">
        <f t="shared" si="8"/>
        <v>#VALUE!</v>
      </c>
      <c r="AP63" s="81" t="e">
        <f t="shared" si="8"/>
        <v>#REF!</v>
      </c>
      <c r="AQ63" s="81" t="e">
        <f t="shared" si="8"/>
        <v>#VALUE!</v>
      </c>
      <c r="AR63" s="81" t="e">
        <f t="shared" si="8"/>
        <v>#REF!</v>
      </c>
      <c r="AS63" s="243" t="e">
        <f t="shared" si="8"/>
        <v>#VALUE!</v>
      </c>
      <c r="AT63" s="244">
        <f>AT64+AT65+AT66+AT67+AT68+AT69</f>
        <v>3398240000</v>
      </c>
      <c r="AU63" s="81"/>
      <c r="AV63" s="229"/>
    </row>
    <row r="64" spans="1:48" ht="122.25" customHeight="1">
      <c r="A64" s="10">
        <f>DATA!A56</f>
        <v>45</v>
      </c>
      <c r="B64" s="10">
        <f>DATA!B56</f>
        <v>0</v>
      </c>
      <c r="C64" s="10" t="str">
        <f>DATA!D56</f>
        <v>INFRASTRUKTUR</v>
      </c>
      <c r="D64" s="10">
        <f>DATA!E56</f>
        <v>1</v>
      </c>
      <c r="E64" s="10" t="str">
        <f>DATA!F56</f>
        <v>Kementerian Pekerjaan Umum dan Perumahan Rakyat</v>
      </c>
      <c r="F64" s="10" t="str">
        <f>DATA!H56</f>
        <v>Slum Alleviation Program</v>
      </c>
      <c r="G64" s="10" t="str">
        <f>DATA!I56</f>
        <v>G</v>
      </c>
      <c r="H64" s="10" t="str">
        <f>DATA!J56</f>
        <v>Program Penanganan Kumuh</v>
      </c>
      <c r="I64" s="10">
        <f>DATA!K56</f>
        <v>1</v>
      </c>
      <c r="J64" s="181"/>
      <c r="K64" s="34"/>
      <c r="L64" s="35"/>
      <c r="M64" s="36">
        <v>42</v>
      </c>
      <c r="N64" s="37" t="str">
        <f>DATA!L56</f>
        <v>Slum Improvement in Strategic Human Settlements Area (SISHA)</v>
      </c>
      <c r="O64" s="20">
        <f>DATA!Q56</f>
        <v>1</v>
      </c>
      <c r="P64" s="20">
        <f>DATA!R56</f>
        <v>1</v>
      </c>
      <c r="Q64" s="186">
        <f>DATA!S56</f>
        <v>39</v>
      </c>
      <c r="R64" s="187">
        <f>DATA!T56</f>
        <v>2100000000</v>
      </c>
      <c r="S64" s="203">
        <f>DATA!U56</f>
        <v>2100000000</v>
      </c>
      <c r="T64" s="77">
        <f>DATA!V56</f>
        <v>105000000</v>
      </c>
      <c r="U64" s="77">
        <f>DATA!W56</f>
        <v>0</v>
      </c>
      <c r="V64" s="77">
        <f>DATA!X56</f>
        <v>2205000000</v>
      </c>
      <c r="W64" s="109" t="str">
        <f>DATA!Y56</f>
        <v>Bank Dunia/JICA/ADB</v>
      </c>
      <c r="X64" s="20" t="str">
        <f>DATA!Z56</f>
        <v>Multi Lender</v>
      </c>
      <c r="Y64" s="77">
        <f>DATA!AA56</f>
        <v>2100000000</v>
      </c>
      <c r="Z64" s="77">
        <v>0</v>
      </c>
      <c r="AA64" s="216" t="str">
        <f>DATA!Y56</f>
        <v>Bank Dunia/JICA/ADB</v>
      </c>
      <c r="AB64" s="188">
        <f>DATA!AG56</f>
        <v>0</v>
      </c>
      <c r="AC64" s="20">
        <f>DATA!AH56</f>
        <v>2017</v>
      </c>
      <c r="AD64" s="37" t="str">
        <f>DATA!AI56</f>
        <v>-</v>
      </c>
      <c r="AE64" s="152">
        <f>DATA!AM56</f>
        <v>0</v>
      </c>
      <c r="AF64" s="152" t="str">
        <f>DATA!AN56</f>
        <v>dalam proses
(penyusunan FS)</v>
      </c>
      <c r="AG64" s="152" t="str">
        <f>DATA!AO56</f>
        <v>dalam proses
(perencanaan)</v>
      </c>
      <c r="AH64" s="37" t="str">
        <f>DATA!AJ56</f>
        <v>117 kab/kota telah terfasilitasi pendampingan penyusunan rencana kawasan permukiman kumuh perkotaan (RKPKP) tahun 2015 sebagai rencana pencegahan dan peningkatan kualitas permukiman dan perumahan kumuh perkotaan.</v>
      </c>
      <c r="AI64" s="37" t="str">
        <f>DATA!AK56</f>
        <v xml:space="preserve">Pemerintah Daerah sudah menetapkan SK Bupati / Walikota untuk Penetapan Lokasi Perumahan Kumuh dan Permukiman Kumuh. </v>
      </c>
      <c r="AJ64" s="230" t="str">
        <f>DATA!AL56</f>
        <v>-</v>
      </c>
      <c r="AK64" s="231">
        <f>DATA!AM56</f>
        <v>0</v>
      </c>
      <c r="AL64" s="20" t="str">
        <f>DATA!AN56</f>
        <v>dalam proses
(penyusunan FS)</v>
      </c>
      <c r="AM64" s="20" t="str">
        <f>DATA!AO56</f>
        <v>dalam proses
(perencanaan)</v>
      </c>
      <c r="AN64" s="20" t="str">
        <f>DATA!AP56</f>
        <v>belum ada proses tender/lelang</v>
      </c>
      <c r="AO64" s="20" t="str">
        <f>DATA!AY56</f>
        <v>- Konsep kegiatan belum siap
- Konfirmasi melalui surat Sekjen nomor KU.01.12-Sj/636 tgl 23 Oktober 2015</v>
      </c>
      <c r="AP64" s="20" t="e">
        <f>DATA!#REF!</f>
        <v>#REF!</v>
      </c>
      <c r="AQ64" s="20">
        <f>DATA!AZ56</f>
        <v>0</v>
      </c>
      <c r="AR64" s="152" t="e">
        <f>DATA!#REF!</f>
        <v>#REF!</v>
      </c>
      <c r="AS64" s="199" t="str">
        <f>DATA!BA56</f>
        <v>Penanganan kawasan kumuh sebesar 4.400 ha</v>
      </c>
      <c r="AT64" s="245">
        <f>DATA!AT56</f>
        <v>2100000000</v>
      </c>
      <c r="AU64" s="109" t="str">
        <f>DATA!AU56</f>
        <v>Belum Ada Indikasi</v>
      </c>
      <c r="AV64" s="246" t="str">
        <f>DATA!AW56</f>
        <v xml:space="preserve">- usulan K/L lender: Bank Dunia/JICA/ADB.
- Pihak Bank Dunia, ADB dan JICA tidak berminat. </v>
      </c>
    </row>
    <row r="65" spans="1:48" ht="161.25" customHeight="1">
      <c r="A65" s="10">
        <f>DATA!A58</f>
        <v>46</v>
      </c>
      <c r="B65" s="10">
        <f>DATA!B58</f>
        <v>0</v>
      </c>
      <c r="C65" s="10" t="str">
        <f>DATA!D58</f>
        <v>INFRASTRUKTUR</v>
      </c>
      <c r="D65" s="10">
        <f>DATA!E58</f>
        <v>1</v>
      </c>
      <c r="E65" s="10" t="str">
        <f>DATA!F58</f>
        <v>Kementerian Pekerjaan Umum dan Perumahan Rakyat</v>
      </c>
      <c r="F65" s="10" t="str">
        <f>DATA!H58</f>
        <v>Slum Alleviation Program</v>
      </c>
      <c r="G65" s="10" t="str">
        <f>DATA!I58</f>
        <v>G</v>
      </c>
      <c r="H65" s="10" t="str">
        <f>DATA!J58</f>
        <v>Program Penanganan Kumuh</v>
      </c>
      <c r="I65" s="10">
        <f>DATA!K58</f>
        <v>2</v>
      </c>
      <c r="J65" s="181"/>
      <c r="K65" s="34"/>
      <c r="L65" s="34"/>
      <c r="M65" s="3399">
        <v>43</v>
      </c>
      <c r="N65" s="3393" t="str">
        <f>DATA!L58</f>
        <v>National Slum Upgrading</v>
      </c>
      <c r="O65" s="20">
        <f>DATA!Q58</f>
        <v>0.25</v>
      </c>
      <c r="P65" s="20">
        <f>DATA!R58</f>
        <v>0</v>
      </c>
      <c r="Q65" s="186">
        <f>DATA!S58</f>
        <v>0</v>
      </c>
      <c r="R65" s="3411">
        <f>DATA!T57</f>
        <v>1052640000</v>
      </c>
      <c r="S65" s="203">
        <f>DATA!U58</f>
        <v>0</v>
      </c>
      <c r="T65" s="77">
        <f>DATA!V58</f>
        <v>0</v>
      </c>
      <c r="U65" s="77">
        <f>DATA!W58</f>
        <v>0</v>
      </c>
      <c r="V65" s="77">
        <f>DATA!X58</f>
        <v>0</v>
      </c>
      <c r="W65" s="78" t="str">
        <f>DATA!Y58</f>
        <v>IDB</v>
      </c>
      <c r="X65" s="20" t="str">
        <f>DATA!Z58</f>
        <v>Multilateral</v>
      </c>
      <c r="Y65" s="77">
        <f>DATA!AA58</f>
        <v>329760000</v>
      </c>
      <c r="Z65" s="77">
        <v>0</v>
      </c>
      <c r="AA65" s="216" t="str">
        <f>DATA!Y58</f>
        <v>IDB</v>
      </c>
      <c r="AB65" s="188">
        <f>DATA!AG58</f>
        <v>0</v>
      </c>
      <c r="AC65" s="20">
        <f>DATA!AH58</f>
        <v>2016</v>
      </c>
      <c r="AD65" s="37" t="str">
        <f>DATA!AI58</f>
        <v>Green Book 2016</v>
      </c>
      <c r="AE65" s="152">
        <f>DATA!AM58</f>
        <v>2016</v>
      </c>
      <c r="AF65" s="152" t="str">
        <f>DATA!AN58</f>
        <v>dalam proses
(penyusunan FS)</v>
      </c>
      <c r="AG65" s="152" t="str">
        <f>DATA!AO58</f>
        <v>tidak butuh lahan</v>
      </c>
      <c r="AH65" s="37" t="str">
        <f>DATA!AJ58</f>
        <v>- Concept Paper, Baseline Survey, Draft Guidelines.
- Surat Komitmen Pemda untuk penanganan kumuh.</v>
      </c>
      <c r="AI65" s="37"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J65" s="230" t="str">
        <f>DATA!AL58</f>
        <v>-</v>
      </c>
      <c r="AK65" s="231">
        <f>DATA!AM58</f>
        <v>2016</v>
      </c>
      <c r="AL65" s="20" t="str">
        <f>DATA!AN58</f>
        <v>dalam proses
(penyusunan FS)</v>
      </c>
      <c r="AM65" s="20" t="str">
        <f>DATA!AO58</f>
        <v>tidak butuh lahan</v>
      </c>
      <c r="AN65" s="20" t="str">
        <f>DATA!AP58</f>
        <v>belum ada proses tender/lelang</v>
      </c>
      <c r="AO65" s="20"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P65" s="20" t="e">
        <f>DATA!#REF!</f>
        <v>#REF!</v>
      </c>
      <c r="AQ65" s="20" t="str">
        <f>DATA!AZ58</f>
        <v>Sudah ada R/C</v>
      </c>
      <c r="AR65" s="152" t="e">
        <f>DATA!#REF!</f>
        <v>#REF!</v>
      </c>
      <c r="AS65" s="199" t="str">
        <f>DATA!BA58</f>
        <v>Peningkatan kualitas permukiman di 21 provinsi, 257 kabupaten/kota,  6.626 kelurahan</v>
      </c>
      <c r="AT65" s="245">
        <f>DATA!AT58</f>
        <v>329760000</v>
      </c>
      <c r="AU65" s="109" t="str">
        <f>DATA!AU58</f>
        <v>IDB</v>
      </c>
      <c r="AV65" s="246" t="str">
        <f>DATA!AW58</f>
        <v>-</v>
      </c>
    </row>
    <row r="66" spans="1:48" ht="105.75" customHeight="1">
      <c r="A66" s="10">
        <f>DATA!A59</f>
        <v>47</v>
      </c>
      <c r="B66" s="10">
        <f>DATA!B59</f>
        <v>0</v>
      </c>
      <c r="C66" s="10" t="str">
        <f>DATA!D59</f>
        <v>INFRASTRUKTUR</v>
      </c>
      <c r="D66" s="10">
        <f>DATA!E59</f>
        <v>1</v>
      </c>
      <c r="E66" s="10" t="str">
        <f>DATA!F59</f>
        <v>Kementerian Pekerjaan Umum dan Perumahan Rakyat</v>
      </c>
      <c r="F66" s="10" t="str">
        <f>DATA!H59</f>
        <v>Slum Alleviation Program</v>
      </c>
      <c r="G66" s="10" t="str">
        <f>DATA!I59</f>
        <v>G</v>
      </c>
      <c r="H66" s="10" t="str">
        <f>DATA!J59</f>
        <v>Program Penanganan Kumuh</v>
      </c>
      <c r="I66" s="10">
        <f>DATA!K59</f>
        <v>2</v>
      </c>
      <c r="J66" s="181"/>
      <c r="K66" s="34"/>
      <c r="L66" s="34"/>
      <c r="M66" s="3401"/>
      <c r="N66" s="3397"/>
      <c r="O66" s="20"/>
      <c r="P66" s="20"/>
      <c r="Q66" s="186"/>
      <c r="R66" s="3412"/>
      <c r="S66" s="203">
        <f>DATA!U59</f>
        <v>0</v>
      </c>
      <c r="T66" s="77">
        <f>DATA!V59</f>
        <v>0</v>
      </c>
      <c r="U66" s="77">
        <f>DATA!W59</f>
        <v>0</v>
      </c>
      <c r="V66" s="77">
        <f>DATA!X59</f>
        <v>0</v>
      </c>
      <c r="W66" s="78" t="str">
        <f>DATA!Y59</f>
        <v>Bank Dunia</v>
      </c>
      <c r="X66" s="20" t="str">
        <f>DATA!Z59</f>
        <v>Multilateral</v>
      </c>
      <c r="Y66" s="3414">
        <f>DATA!AA59</f>
        <v>216500000</v>
      </c>
      <c r="Z66" s="3414">
        <v>0</v>
      </c>
      <c r="AA66" s="3416" t="str">
        <f>DATA!Y59</f>
        <v>Bank Dunia</v>
      </c>
      <c r="AB66" s="188">
        <f>DATA!AG59</f>
        <v>0</v>
      </c>
      <c r="AC66" s="20">
        <f>DATA!AH59</f>
        <v>2016</v>
      </c>
      <c r="AD66" s="37" t="str">
        <f>DATA!AI59</f>
        <v>Green Book 2016</v>
      </c>
      <c r="AE66" s="152">
        <f>DATA!AM59</f>
        <v>2016</v>
      </c>
      <c r="AF66" s="152" t="str">
        <f>DATA!AN59</f>
        <v>dalam proses
(penyusunan FS)</v>
      </c>
      <c r="AG66" s="152" t="str">
        <f>DATA!AO59</f>
        <v>tidak butuh lahan</v>
      </c>
      <c r="AH66" s="37" t="str">
        <f>DATA!AJ59</f>
        <v>- Concept Paper, Baseline Survey, Draft Guidelines.
- Surat Komitmen Pemda untuk penanganan kumuh.</v>
      </c>
      <c r="AI66" s="37"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J66" s="230" t="str">
        <f>DATA!AL59</f>
        <v>-</v>
      </c>
      <c r="AK66" s="231">
        <f>DATA!AM59</f>
        <v>2016</v>
      </c>
      <c r="AL66" s="20" t="str">
        <f>DATA!AN59</f>
        <v>dalam proses
(penyusunan FS)</v>
      </c>
      <c r="AM66" s="20" t="str">
        <f>DATA!AO59</f>
        <v>tidak butuh lahan</v>
      </c>
      <c r="AN66" s="20" t="str">
        <f>DATA!AP59</f>
        <v>belum ada proses tender/lelang</v>
      </c>
      <c r="AO66" s="20"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P66" s="20" t="e">
        <f>DATA!#REF!</f>
        <v>#REF!</v>
      </c>
      <c r="AQ66" s="20" t="str">
        <f>DATA!AZ59</f>
        <v>Sudah ada R/C</v>
      </c>
      <c r="AR66" s="152" t="e">
        <f>DATA!#REF!</f>
        <v>#REF!</v>
      </c>
      <c r="AS66" s="199" t="str">
        <f>DATA!BA59</f>
        <v>Peningkatan kualitas permukiman di 21 provinsi, 257 kabupaten/kota,  6.626 kelurahan</v>
      </c>
      <c r="AT66" s="245">
        <f>DATA!AT59</f>
        <v>216500000</v>
      </c>
      <c r="AU66" s="109" t="str">
        <f>DATA!AU59</f>
        <v>Bank Dunia</v>
      </c>
      <c r="AV66" s="246" t="str">
        <f>DATA!AW59</f>
        <v>- Berdasarkan surat Menteri Keuangan no. S-409/MK.08/2016 tgl 25 Mei '16
'- Bank Dunia berminat sebesar USD 433 juta.
- Ada informasi dari hasil rapat dengan K/L, bahwa nilai proyek turun menjadi USD 700 juta-an (pendanaan IDB dan Bank Dunia).</v>
      </c>
    </row>
    <row r="67" spans="1:48" ht="41.25" customHeight="1">
      <c r="J67" s="181"/>
      <c r="K67" s="34"/>
      <c r="L67" s="34"/>
      <c r="M67" s="3402"/>
      <c r="N67" s="3394"/>
      <c r="O67" s="20"/>
      <c r="P67" s="20"/>
      <c r="Q67" s="186"/>
      <c r="R67" s="3413"/>
      <c r="S67" s="203"/>
      <c r="T67" s="77"/>
      <c r="U67" s="77"/>
      <c r="V67" s="77"/>
      <c r="W67" s="78"/>
      <c r="X67" s="20"/>
      <c r="Y67" s="3415"/>
      <c r="Z67" s="3415"/>
      <c r="AA67" s="3417"/>
      <c r="AB67" s="188"/>
      <c r="AC67" s="20"/>
      <c r="AD67" s="37"/>
      <c r="AE67" s="152"/>
      <c r="AF67" s="152"/>
      <c r="AG67" s="152"/>
      <c r="AH67" s="37"/>
      <c r="AI67" s="37"/>
      <c r="AJ67" s="230"/>
      <c r="AK67" s="231"/>
      <c r="AL67" s="20"/>
      <c r="AM67" s="20"/>
      <c r="AN67" s="20"/>
      <c r="AO67" s="20"/>
      <c r="AP67" s="20"/>
      <c r="AQ67" s="20"/>
      <c r="AR67" s="152"/>
      <c r="AS67" s="199"/>
      <c r="AT67" s="245">
        <f>DATA!AT61</f>
        <v>289880000</v>
      </c>
      <c r="AU67" s="109" t="str">
        <f>DATA!AU61</f>
        <v>Belum Ada Indikasi</v>
      </c>
      <c r="AV67" s="252" t="str">
        <f>DATA!AW61</f>
        <v>co-financing dengan IDB (USD 329,7 juta), Bank Dunia (USD 216,5 juta) &amp; AIIB (USD 216,5 juta)</v>
      </c>
    </row>
    <row r="68" spans="1:48" ht="62.25" customHeight="1">
      <c r="A68" s="10">
        <f>DATA!A62</f>
        <v>48</v>
      </c>
      <c r="B68" s="10">
        <f>DATA!B62</f>
        <v>0</v>
      </c>
      <c r="C68" s="10" t="str">
        <f>DATA!D62</f>
        <v>INFRASTRUKTUR</v>
      </c>
      <c r="D68" s="10">
        <f>DATA!E62</f>
        <v>1</v>
      </c>
      <c r="E68" s="10" t="str">
        <f>DATA!F62</f>
        <v>Kementerian Pekerjaan Umum dan Perumahan Rakyat</v>
      </c>
      <c r="F68" s="10" t="str">
        <f>DATA!H62</f>
        <v>Slum Alleviation Program</v>
      </c>
      <c r="G68" s="10" t="str">
        <f>DATA!I62</f>
        <v>G</v>
      </c>
      <c r="H68" s="10" t="str">
        <f>DATA!J62</f>
        <v>Program Penanganan Kumuh</v>
      </c>
      <c r="I68" s="10">
        <f>DATA!K62</f>
        <v>3</v>
      </c>
      <c r="J68" s="181"/>
      <c r="K68" s="34"/>
      <c r="L68" s="34"/>
      <c r="M68" s="36">
        <v>44</v>
      </c>
      <c r="N68" s="37" t="str">
        <f>DATA!L62</f>
        <v>Rural Settlement Infrastructure Development (RSID)</v>
      </c>
      <c r="O68" s="20">
        <f>DATA!Q62</f>
        <v>1</v>
      </c>
      <c r="P68" s="20">
        <f>DATA!R62</f>
        <v>1</v>
      </c>
      <c r="Q68" s="186">
        <f>DATA!S62</f>
        <v>41</v>
      </c>
      <c r="R68" s="187">
        <f>DATA!T62</f>
        <v>201000000</v>
      </c>
      <c r="S68" s="203">
        <f>DATA!U62</f>
        <v>201000000</v>
      </c>
      <c r="T68" s="77">
        <f>DATA!V62</f>
        <v>10050000</v>
      </c>
      <c r="U68" s="77">
        <f>DATA!W62</f>
        <v>0</v>
      </c>
      <c r="V68" s="77">
        <f>DATA!X62</f>
        <v>211050000</v>
      </c>
      <c r="W68" s="78" t="str">
        <f>DATA!Y62</f>
        <v>JICA</v>
      </c>
      <c r="X68" s="20" t="str">
        <f>DATA!Z62</f>
        <v>Bilateral</v>
      </c>
      <c r="Y68" s="77">
        <f>DATA!AA62</f>
        <v>201000000</v>
      </c>
      <c r="Z68" s="77">
        <v>0</v>
      </c>
      <c r="AA68" s="216" t="str">
        <f>DATA!Y62</f>
        <v>JICA</v>
      </c>
      <c r="AB68" s="188">
        <f>DATA!AG62</f>
        <v>0</v>
      </c>
      <c r="AC68" s="20">
        <f>DATA!AH62</f>
        <v>2016</v>
      </c>
      <c r="AD68" s="37" t="str">
        <f>DATA!AI62</f>
        <v>-</v>
      </c>
      <c r="AE68" s="152">
        <f>DATA!AM62</f>
        <v>0</v>
      </c>
      <c r="AF68" s="152" t="str">
        <f>DATA!AN62</f>
        <v>dalam proses
(penyusunan FS)</v>
      </c>
      <c r="AG68" s="152" t="str">
        <f>DATA!AO62</f>
        <v>dalam proses
(perencanaan)</v>
      </c>
      <c r="AH68" s="37" t="str">
        <f>DATA!AJ62</f>
        <v>30 (tiga puluh) kabupaten yang sudah mempunyai Perda RTRW dan mempunyai Perda Kawasan Strategis Kabupaten (KSK)</v>
      </c>
      <c r="AI68" s="37" t="str">
        <f>DATA!AK62</f>
        <v>belum ada pedoman teknis untuk pemenuhan lahan.</v>
      </c>
      <c r="AJ68" s="230" t="str">
        <f>DATA!AL62</f>
        <v>belum ada</v>
      </c>
      <c r="AK68" s="231">
        <f>DATA!AM62</f>
        <v>0</v>
      </c>
      <c r="AL68" s="20" t="str">
        <f>DATA!AN62</f>
        <v>dalam proses
(penyusunan FS)</v>
      </c>
      <c r="AM68" s="20" t="str">
        <f>DATA!AO62</f>
        <v>dalam proses
(perencanaan)</v>
      </c>
      <c r="AN68" s="20" t="str">
        <f>DATA!AP62</f>
        <v>belum ada proses tender/lelang</v>
      </c>
      <c r="AO68" s="20" t="str">
        <f>DATA!AY62</f>
        <v>- semula Lender adalah IDB, namun berdasarkan hasil konfirmasi Kem. PUPR, Lender keg ini adalah JICA
- konsep kegiatan belum siap
- Konfirmasi melalui surat Sekjen nomor KU.01.12-Sj/636 tgl 23 Oktober 2015</v>
      </c>
      <c r="AP68" s="20" t="e">
        <f>DATA!#REF!</f>
        <v>#REF!</v>
      </c>
      <c r="AQ68" s="20">
        <f>DATA!AZ62</f>
        <v>0</v>
      </c>
      <c r="AR68" s="152" t="e">
        <f>DATA!#REF!</f>
        <v>#REF!</v>
      </c>
      <c r="AS68" s="199" t="str">
        <f>DATA!BA62</f>
        <v xml:space="preserve">Pembangunan infrastruktur perdesaan seluas 18.589 ha </v>
      </c>
      <c r="AT68" s="245">
        <f>DATA!AT62</f>
        <v>201000000</v>
      </c>
      <c r="AU68" s="109" t="str">
        <f>DATA!AU62</f>
        <v>JICA</v>
      </c>
      <c r="AV68" s="246" t="str">
        <f>DATA!AW62</f>
        <v>-</v>
      </c>
    </row>
    <row r="69" spans="1:48" ht="61.5" customHeight="1">
      <c r="A69" s="10">
        <f>DATA!A63</f>
        <v>49</v>
      </c>
      <c r="B69" s="10">
        <f>DATA!B63</f>
        <v>0</v>
      </c>
      <c r="C69" s="10" t="str">
        <f>DATA!D63</f>
        <v>INFRASTRUKTUR</v>
      </c>
      <c r="D69" s="10">
        <f>DATA!E63</f>
        <v>1</v>
      </c>
      <c r="E69" s="10" t="str">
        <f>DATA!F63</f>
        <v>Kementerian Pekerjaan Umum dan Perumahan Rakyat</v>
      </c>
      <c r="F69" s="10" t="str">
        <f>DATA!H63</f>
        <v>Slum Alleviation Program</v>
      </c>
      <c r="G69" s="10" t="str">
        <f>DATA!I63</f>
        <v>G</v>
      </c>
      <c r="H69" s="10" t="str">
        <f>DATA!J63</f>
        <v>Program Penanganan Kumuh</v>
      </c>
      <c r="I69" s="10">
        <f>DATA!K63</f>
        <v>4</v>
      </c>
      <c r="J69" s="181"/>
      <c r="K69" s="34"/>
      <c r="L69" s="54"/>
      <c r="M69" s="36">
        <v>45</v>
      </c>
      <c r="N69" s="37" t="str">
        <f>DATA!L63</f>
        <v>Building Administration and Capacity Enforcement Development for Seismic Resilience</v>
      </c>
      <c r="O69" s="20">
        <f>DATA!Q63</f>
        <v>1</v>
      </c>
      <c r="P69" s="20">
        <f>DATA!R63</f>
        <v>1</v>
      </c>
      <c r="Q69" s="186">
        <f>DATA!S63</f>
        <v>42</v>
      </c>
      <c r="R69" s="187">
        <f>DATA!T63</f>
        <v>261100000</v>
      </c>
      <c r="S69" s="203">
        <f>DATA!U63</f>
        <v>261100000</v>
      </c>
      <c r="T69" s="77">
        <f>DATA!V63</f>
        <v>13055000</v>
      </c>
      <c r="U69" s="77">
        <f>DATA!W63</f>
        <v>0</v>
      </c>
      <c r="V69" s="77">
        <f>DATA!X63</f>
        <v>274155000</v>
      </c>
      <c r="W69" s="78" t="str">
        <f>DATA!Y63</f>
        <v>JICA</v>
      </c>
      <c r="X69" s="20" t="str">
        <f>DATA!Z63</f>
        <v>Bilateral</v>
      </c>
      <c r="Y69" s="77">
        <f>DATA!AA63</f>
        <v>261100000</v>
      </c>
      <c r="Z69" s="77">
        <v>0</v>
      </c>
      <c r="AA69" s="216" t="str">
        <f>DATA!Y63</f>
        <v>JICA</v>
      </c>
      <c r="AB69" s="188">
        <f>DATA!AG63</f>
        <v>0</v>
      </c>
      <c r="AC69" s="20">
        <f>DATA!AH63</f>
        <v>2016</v>
      </c>
      <c r="AD69" s="37" t="str">
        <f>DATA!AI63</f>
        <v>-</v>
      </c>
      <c r="AE69" s="152">
        <f>DATA!AM63</f>
        <v>0</v>
      </c>
      <c r="AF69" s="152" t="str">
        <f>DATA!AN63</f>
        <v>dalam proses
(penyusunan FS)</v>
      </c>
      <c r="AG69" s="152" t="str">
        <f>DATA!AO63</f>
        <v>tidak butuh lahan</v>
      </c>
      <c r="AH69" s="37" t="str">
        <f>DATA!AJ63</f>
        <v>246 dari total 514 kota / kabupaten telah mengeluarkan Peraturan Daerah Bangunan Gedung).</v>
      </c>
      <c r="AI69" s="37" t="str">
        <f>DATA!AK63</f>
        <v>tidak ada kegiatan pengadaan lahan.</v>
      </c>
      <c r="AJ69" s="230" t="str">
        <f>DATA!AL63</f>
        <v>belum ada</v>
      </c>
      <c r="AK69" s="231">
        <f>DATA!AM63</f>
        <v>0</v>
      </c>
      <c r="AL69" s="20" t="str">
        <f>DATA!AN63</f>
        <v>dalam proses
(penyusunan FS)</v>
      </c>
      <c r="AM69" s="20" t="str">
        <f>DATA!AO63</f>
        <v>tidak butuh lahan</v>
      </c>
      <c r="AN69" s="20" t="str">
        <f>DATA!AP63</f>
        <v>belum ada proses tender/lelang</v>
      </c>
      <c r="AO69" s="20" t="str">
        <f>DATA!AY63</f>
        <v>- konsep kegiatan belum siap
- Konfirmasi melalui surat Sekjen nomor KU.01.12-Sj/636 tgl 23 Oktober 2015</v>
      </c>
      <c r="AP69" s="20" t="e">
        <f>DATA!#REF!</f>
        <v>#REF!</v>
      </c>
      <c r="AQ69" s="20" t="str">
        <f>DATA!AZ63</f>
        <v>- JICA diindikasikan akan mendanai kegiatan ini dan sudah ada kajian dengan pihak JICA</v>
      </c>
      <c r="AR69" s="152" t="e">
        <f>DATA!#REF!</f>
        <v>#REF!</v>
      </c>
      <c r="AS69" s="199" t="str">
        <f>DATA!BA63</f>
        <v>Pengembangan panduan/guidelines untuk 455 kota/kabupaten mengenai bangunan tahan gempa dan sosialisasi metode perkuatan/retrofitting untuk bangunan tahan gempa.</v>
      </c>
      <c r="AT69" s="245">
        <f>DATA!AT63</f>
        <v>261100000</v>
      </c>
      <c r="AU69" s="109" t="str">
        <f>DATA!AU63</f>
        <v>JICA</v>
      </c>
      <c r="AV69" s="246" t="str">
        <f>DATA!AW63</f>
        <v>-</v>
      </c>
    </row>
    <row r="70" spans="1:48" s="5" customFormat="1" ht="33.75" customHeight="1">
      <c r="J70" s="180"/>
      <c r="K70" s="50"/>
      <c r="L70" s="30" t="str">
        <f>DATA!I67</f>
        <v>I</v>
      </c>
      <c r="M70" s="31" t="str">
        <f>DATA!J67</f>
        <v>Program Pengembangan dan Pengelolaan Irigasi</v>
      </c>
      <c r="N70" s="51"/>
      <c r="O70" s="31"/>
      <c r="P70" s="31"/>
      <c r="Q70" s="196"/>
      <c r="R70" s="197">
        <f>SUM(R71:R83)</f>
        <v>2557531000</v>
      </c>
      <c r="S70" s="198">
        <f t="shared" ref="S70:AV70" si="9">SUM(S71:S83)</f>
        <v>2557531000</v>
      </c>
      <c r="T70" s="81">
        <f t="shared" si="9"/>
        <v>275159500</v>
      </c>
      <c r="U70" s="81">
        <f t="shared" si="9"/>
        <v>0</v>
      </c>
      <c r="V70" s="81">
        <f t="shared" si="9"/>
        <v>2832690500</v>
      </c>
      <c r="W70" s="81">
        <f t="shared" si="9"/>
        <v>0</v>
      </c>
      <c r="X70" s="81">
        <f t="shared" si="9"/>
        <v>0</v>
      </c>
      <c r="Y70" s="81">
        <f t="shared" si="9"/>
        <v>3257531000</v>
      </c>
      <c r="Z70" s="81">
        <f t="shared" si="9"/>
        <v>0</v>
      </c>
      <c r="AA70" s="214">
        <f t="shared" si="9"/>
        <v>0</v>
      </c>
      <c r="AB70" s="198">
        <f t="shared" si="9"/>
        <v>0</v>
      </c>
      <c r="AC70" s="81">
        <f t="shared" si="9"/>
        <v>16131</v>
      </c>
      <c r="AD70" s="81">
        <f t="shared" si="9"/>
        <v>0</v>
      </c>
      <c r="AE70" s="81">
        <f t="shared" si="9"/>
        <v>0</v>
      </c>
      <c r="AF70" s="81">
        <f t="shared" si="9"/>
        <v>0</v>
      </c>
      <c r="AG70" s="81">
        <f t="shared" si="9"/>
        <v>0</v>
      </c>
      <c r="AH70" s="81">
        <f t="shared" si="9"/>
        <v>0</v>
      </c>
      <c r="AI70" s="81">
        <f t="shared" si="9"/>
        <v>0</v>
      </c>
      <c r="AJ70" s="229">
        <f t="shared" si="9"/>
        <v>0</v>
      </c>
      <c r="AK70" s="198">
        <f t="shared" si="9"/>
        <v>0</v>
      </c>
      <c r="AL70" s="81">
        <f t="shared" si="9"/>
        <v>0</v>
      </c>
      <c r="AM70" s="81">
        <f t="shared" si="9"/>
        <v>0</v>
      </c>
      <c r="AN70" s="81">
        <f t="shared" si="9"/>
        <v>0</v>
      </c>
      <c r="AO70" s="81">
        <f t="shared" si="9"/>
        <v>0</v>
      </c>
      <c r="AP70" s="81" t="e">
        <f t="shared" si="9"/>
        <v>#REF!</v>
      </c>
      <c r="AQ70" s="81">
        <f t="shared" si="9"/>
        <v>0</v>
      </c>
      <c r="AR70" s="81" t="e">
        <f t="shared" si="9"/>
        <v>#REF!</v>
      </c>
      <c r="AS70" s="243">
        <f t="shared" si="9"/>
        <v>0</v>
      </c>
      <c r="AT70" s="244">
        <f t="shared" si="9"/>
        <v>3257531000</v>
      </c>
      <c r="AU70" s="81">
        <f t="shared" si="9"/>
        <v>0</v>
      </c>
      <c r="AV70" s="229">
        <f t="shared" si="9"/>
        <v>0</v>
      </c>
    </row>
    <row r="71" spans="1:48" ht="76.5">
      <c r="A71" s="10">
        <f>DATA!A67</f>
        <v>51</v>
      </c>
      <c r="B71" s="10">
        <f>DATA!B67</f>
        <v>0</v>
      </c>
      <c r="C71" s="10" t="str">
        <f>DATA!D67</f>
        <v>INFRASTRUKTUR</v>
      </c>
      <c r="D71" s="10">
        <f>DATA!E67</f>
        <v>1</v>
      </c>
      <c r="E71" s="10" t="str">
        <f>DATA!F67</f>
        <v>Kementerian Pekerjaan Umum dan Perumahan Rakyat</v>
      </c>
      <c r="F71" s="10" t="str">
        <f>DATA!H67</f>
        <v xml:space="preserve">Development and Management of Irrigation Program </v>
      </c>
      <c r="G71" s="10" t="str">
        <f>DATA!I67</f>
        <v>I</v>
      </c>
      <c r="H71" s="10" t="str">
        <f>DATA!J67</f>
        <v>Program Pengembangan dan Pengelolaan Irigasi</v>
      </c>
      <c r="I71" s="10">
        <f>DATA!K67</f>
        <v>1</v>
      </c>
      <c r="J71" s="181"/>
      <c r="K71" s="34"/>
      <c r="L71" s="34"/>
      <c r="M71" s="3390">
        <v>46</v>
      </c>
      <c r="N71" s="3393" t="str">
        <f>DATA!L67</f>
        <v>Integrated Participatory Development and Management of Irrigation Project - Phase I</v>
      </c>
      <c r="O71" s="20">
        <f>DATA!Q67</f>
        <v>0.5</v>
      </c>
      <c r="P71" s="20">
        <f>DATA!R67</f>
        <v>0</v>
      </c>
      <c r="Q71" s="186">
        <f>DATA!S67</f>
        <v>43</v>
      </c>
      <c r="R71" s="3403">
        <f>DATA!T67</f>
        <v>0</v>
      </c>
      <c r="S71" s="203">
        <f>DATA!U67</f>
        <v>0</v>
      </c>
      <c r="T71" s="77">
        <f>DATA!V67</f>
        <v>0</v>
      </c>
      <c r="U71" s="77">
        <f>DATA!W67</f>
        <v>0</v>
      </c>
      <c r="V71" s="77">
        <f>DATA!X67</f>
        <v>0</v>
      </c>
      <c r="W71" s="78" t="str">
        <f>DATA!Y67</f>
        <v>ADB</v>
      </c>
      <c r="X71" s="20" t="str">
        <f>DATA!Z67</f>
        <v>Multilateral</v>
      </c>
      <c r="Y71" s="77">
        <f>DATA!AA67</f>
        <v>600000000</v>
      </c>
      <c r="Z71" s="77">
        <v>0</v>
      </c>
      <c r="AA71" s="216" t="str">
        <f>DATA!Y67</f>
        <v>ADB</v>
      </c>
      <c r="AB71" s="188">
        <f>DATA!AG67</f>
        <v>0</v>
      </c>
      <c r="AC71" s="20">
        <f>DATA!AH67</f>
        <v>2016</v>
      </c>
      <c r="AD71" s="37" t="str">
        <f>DATA!AI67</f>
        <v>- Sudah ada RC
- Green Book 2015
- Dalam proses pembahasan skema pinjaman</v>
      </c>
      <c r="AE71" s="152" t="str">
        <f>DATA!AM67</f>
        <v>2016; 2015</v>
      </c>
      <c r="AF71" s="152" t="str">
        <f>DATA!AN67</f>
        <v>siap</v>
      </c>
      <c r="AG71" s="152" t="str">
        <f>DATA!AO67</f>
        <v>belum ada keterangan</v>
      </c>
      <c r="AH71" s="37" t="str">
        <f>DATA!AJ67</f>
        <v>FS, DED, AMDAL, LARAP</v>
      </c>
      <c r="AI71" s="37" t="str">
        <f>DATA!AK67</f>
        <v>-</v>
      </c>
      <c r="AJ71" s="230" t="str">
        <f>DATA!AL67</f>
        <v>Belum ada tender/lelang</v>
      </c>
      <c r="AK71" s="231" t="str">
        <f>DATA!AM67</f>
        <v>2016; 2015</v>
      </c>
      <c r="AL71" s="20" t="str">
        <f>DATA!AN67</f>
        <v>siap</v>
      </c>
      <c r="AM71" s="20" t="str">
        <f>DATA!AO67</f>
        <v>belum ada keterangan</v>
      </c>
      <c r="AN71" s="20" t="str">
        <f>DATA!AP67</f>
        <v>belum ada proses tender/lelang</v>
      </c>
      <c r="AO71" s="20" t="str">
        <f>DATA!AY67</f>
        <v>- Cofinancing ADB USD 600 juta dan IFAD USD 100 juta
- Konfirmasi melalui surat Sekjen nomor KU.01.12-Sj/636 tgl 23 Oktober 2015</v>
      </c>
      <c r="AP71" s="20" t="e">
        <f>DATA!#REF!</f>
        <v>#REF!</v>
      </c>
      <c r="AQ71" s="20" t="str">
        <f>DATA!AZ67</f>
        <v>termasuk RBL</v>
      </c>
      <c r="AR71" s="152" t="e">
        <f>DATA!#REF!</f>
        <v>#REF!</v>
      </c>
      <c r="AS71" s="199"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c r="AT71" s="245">
        <f>DATA!AT67</f>
        <v>600000000</v>
      </c>
      <c r="AU71" s="109" t="str">
        <f>DATA!AU67</f>
        <v>ADB</v>
      </c>
      <c r="AV71" s="246" t="str">
        <f>DATA!AW67</f>
        <v>-</v>
      </c>
    </row>
    <row r="72" spans="1:48" ht="76.5">
      <c r="A72" s="10">
        <f>DATA!A68</f>
        <v>52</v>
      </c>
      <c r="B72" s="10">
        <f>DATA!B68</f>
        <v>0</v>
      </c>
      <c r="C72" s="10" t="str">
        <f>DATA!D68</f>
        <v>INFRASTRUKTUR</v>
      </c>
      <c r="D72" s="10">
        <f>DATA!E68</f>
        <v>1</v>
      </c>
      <c r="E72" s="10" t="str">
        <f>DATA!F68</f>
        <v>Kementerian Pekerjaan Umum dan Perumahan Rakyat</v>
      </c>
      <c r="F72" s="10" t="str">
        <f>DATA!H68</f>
        <v xml:space="preserve">Development and Management of Irrigation Program </v>
      </c>
      <c r="G72" s="10" t="str">
        <f>DATA!I68</f>
        <v>I</v>
      </c>
      <c r="H72" s="10" t="str">
        <f>DATA!J68</f>
        <v>Program Pengembangan dan Pengelolaan Irigasi</v>
      </c>
      <c r="I72" s="10">
        <f>DATA!K68</f>
        <v>1</v>
      </c>
      <c r="J72" s="181"/>
      <c r="K72" s="34"/>
      <c r="L72" s="34"/>
      <c r="M72" s="3391"/>
      <c r="N72" s="3394"/>
      <c r="O72" s="20"/>
      <c r="P72" s="20"/>
      <c r="Q72" s="186"/>
      <c r="R72" s="3404"/>
      <c r="S72" s="203">
        <f>DATA!U68</f>
        <v>0</v>
      </c>
      <c r="T72" s="77">
        <f>DATA!V68</f>
        <v>0</v>
      </c>
      <c r="U72" s="77">
        <f>DATA!W68</f>
        <v>0</v>
      </c>
      <c r="V72" s="77">
        <f>DATA!X68</f>
        <v>0</v>
      </c>
      <c r="W72" s="78" t="str">
        <f>DATA!Y68</f>
        <v>IFAD</v>
      </c>
      <c r="X72" s="20" t="str">
        <f>DATA!Z68</f>
        <v>Multilateral</v>
      </c>
      <c r="Y72" s="77">
        <f>DATA!AA68</f>
        <v>100000000</v>
      </c>
      <c r="Z72" s="77">
        <v>0</v>
      </c>
      <c r="AA72" s="216" t="str">
        <f>DATA!Y68</f>
        <v>IFAD</v>
      </c>
      <c r="AB72" s="188">
        <f>DATA!AG68</f>
        <v>0</v>
      </c>
      <c r="AC72" s="20">
        <f>DATA!AH68</f>
        <v>2015</v>
      </c>
      <c r="AD72" s="37" t="str">
        <f>DATA!AI68</f>
        <v>- Sudah ada RC
- Green Book 2015
- Dalam proses pembahasan skema pinjaman</v>
      </c>
      <c r="AE72" s="152" t="str">
        <f>DATA!AM68</f>
        <v>2016; 2015</v>
      </c>
      <c r="AF72" s="152" t="str">
        <f>DATA!AN68</f>
        <v>siap</v>
      </c>
      <c r="AG72" s="152" t="str">
        <f>DATA!AO68</f>
        <v>belum ada keterangan</v>
      </c>
      <c r="AH72" s="37" t="str">
        <f>DATA!AJ68</f>
        <v>FS, DED, AMDAL, LARAP</v>
      </c>
      <c r="AI72" s="37" t="str">
        <f>DATA!AK68</f>
        <v>-</v>
      </c>
      <c r="AJ72" s="230" t="str">
        <f>DATA!AL68</f>
        <v>Belum ada tender/lelang</v>
      </c>
      <c r="AK72" s="231" t="str">
        <f>DATA!AM68</f>
        <v>2016; 2015</v>
      </c>
      <c r="AL72" s="20" t="str">
        <f>DATA!AN68</f>
        <v>siap</v>
      </c>
      <c r="AM72" s="20" t="str">
        <f>DATA!AO68</f>
        <v>belum ada keterangan</v>
      </c>
      <c r="AN72" s="20" t="str">
        <f>DATA!AP68</f>
        <v>belum ada proses tender/lelang</v>
      </c>
      <c r="AO72" s="20" t="str">
        <f>DATA!AY68</f>
        <v>- Cofinancing ADB USD 600 juta dan IFAD USD 100 juta
- Konfirmasi melalui surat Sekjen nomor KU.01.12-Sj/636 tgl 23 Oktober 2015</v>
      </c>
      <c r="AP72" s="20" t="e">
        <f>DATA!#REF!</f>
        <v>#REF!</v>
      </c>
      <c r="AQ72" s="20">
        <f>DATA!AZ68</f>
        <v>0</v>
      </c>
      <c r="AR72" s="152" t="e">
        <f>DATA!#REF!</f>
        <v>#REF!</v>
      </c>
      <c r="AS72" s="199"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c r="AT72" s="245">
        <f>DATA!AT68</f>
        <v>100000000</v>
      </c>
      <c r="AU72" s="109" t="str">
        <f>DATA!AU68</f>
        <v>IFAD</v>
      </c>
      <c r="AV72" s="246" t="str">
        <f>DATA!AW68</f>
        <v>-</v>
      </c>
    </row>
    <row r="73" spans="1:48" ht="32.25" customHeight="1">
      <c r="A73" s="10">
        <f>DATA!A70</f>
        <v>53</v>
      </c>
      <c r="B73" s="10">
        <f>DATA!B70</f>
        <v>0</v>
      </c>
      <c r="C73" s="10" t="str">
        <f>DATA!D70</f>
        <v>INFRASTRUKTUR</v>
      </c>
      <c r="D73" s="10">
        <f>DATA!E70</f>
        <v>1</v>
      </c>
      <c r="E73" s="10" t="str">
        <f>DATA!F70</f>
        <v>Kementerian Pekerjaan Umum dan Perumahan Rakyat</v>
      </c>
      <c r="F73" s="10" t="str">
        <f>DATA!H70</f>
        <v xml:space="preserve">Development and Management of Irrigation Program </v>
      </c>
      <c r="G73" s="10" t="str">
        <f>DATA!I70</f>
        <v>I</v>
      </c>
      <c r="H73" s="10" t="str">
        <f>DATA!J70</f>
        <v>Program Pengembangan dan Pengelolaan Irigasi</v>
      </c>
      <c r="I73" s="10">
        <f>DATA!K70</f>
        <v>1</v>
      </c>
      <c r="J73" s="181"/>
      <c r="K73" s="34"/>
      <c r="L73" s="34"/>
      <c r="M73" s="3392">
        <v>47</v>
      </c>
      <c r="N73" s="3393" t="str">
        <f>DATA!L70</f>
        <v>Integrated Participatory Development and Management of Irrigation Project - Phase II</v>
      </c>
      <c r="O73" s="20">
        <f>DATA!Q70</f>
        <v>1</v>
      </c>
      <c r="P73" s="20">
        <f>DATA!R70</f>
        <v>0</v>
      </c>
      <c r="Q73" s="186">
        <f>DATA!S70</f>
        <v>44</v>
      </c>
      <c r="R73" s="3403">
        <f>DATA!T70</f>
        <v>500000000</v>
      </c>
      <c r="S73" s="203">
        <f>DATA!U70</f>
        <v>500000000</v>
      </c>
      <c r="T73" s="77">
        <f>DATA!V70</f>
        <v>50000000</v>
      </c>
      <c r="U73" s="77">
        <f>DATA!W70</f>
        <v>0</v>
      </c>
      <c r="V73" s="77">
        <f>DATA!X70</f>
        <v>550000000</v>
      </c>
      <c r="W73" s="78" t="str">
        <f>DATA!Y70</f>
        <v>ADB</v>
      </c>
      <c r="X73" s="20" t="str">
        <f>DATA!Z70</f>
        <v>Multilateral</v>
      </c>
      <c r="Y73" s="3414">
        <f>DATA!AA70</f>
        <v>500000000</v>
      </c>
      <c r="Z73" s="3414">
        <v>0</v>
      </c>
      <c r="AA73" s="3416" t="str">
        <f>DATA!Y70</f>
        <v>ADB</v>
      </c>
      <c r="AB73" s="188">
        <f>DATA!AG70</f>
        <v>0</v>
      </c>
      <c r="AC73" s="20" t="str">
        <f>DATA!AH70</f>
        <v>Tanpa keterangan</v>
      </c>
      <c r="AD73" s="37" t="str">
        <f>DATA!AI70</f>
        <v>-</v>
      </c>
      <c r="AE73" s="152" t="str">
        <f>DATA!AR70</f>
        <v>- untuk yang Phase II: belum ada penyiapan
- belum ada dokumen R/C</v>
      </c>
      <c r="AF73" s="152" t="str">
        <f>DATA!AN70</f>
        <v>belum ada keterangan</v>
      </c>
      <c r="AG73" s="152" t="str">
        <f>DATA!AO70</f>
        <v>belum ada keterangan</v>
      </c>
      <c r="AH73" s="37" t="str">
        <f>DATA!AJ70</f>
        <v>-</v>
      </c>
      <c r="AI73" s="37" t="str">
        <f>DATA!AK70</f>
        <v>-</v>
      </c>
      <c r="AJ73" s="230" t="str">
        <f>DATA!AL70</f>
        <v>-</v>
      </c>
      <c r="AK73" s="231" t="str">
        <f>DATA!AR70</f>
        <v>- untuk yang Phase II: belum ada penyiapan
- belum ada dokumen R/C</v>
      </c>
      <c r="AL73" s="20" t="str">
        <f>DATA!AN70</f>
        <v>belum ada keterangan</v>
      </c>
      <c r="AM73" s="20" t="str">
        <f>DATA!AO70</f>
        <v>belum ada keterangan</v>
      </c>
      <c r="AN73" s="20" t="str">
        <f>DATA!AP70</f>
        <v>belum ada proses tender/lelang</v>
      </c>
      <c r="AO73" s="20" t="str">
        <f>DATA!AY70</f>
        <v>Konfirmasi melalui surat Sekjen nomor KU.01.12-Sj/636 tgl 23 Oktober 2015</v>
      </c>
      <c r="AP73" s="20" t="e">
        <f>DATA!#REF!</f>
        <v>#REF!</v>
      </c>
      <c r="AQ73" s="20">
        <f>DATA!AZ70</f>
        <v>0</v>
      </c>
      <c r="AR73" s="152" t="e">
        <f>DATA!#REF!</f>
        <v>#REF!</v>
      </c>
      <c r="AS73" s="199" t="str">
        <f>DATA!BA70</f>
        <v xml:space="preserve">Pembangunan irigasi baru dengan luas lebih dari 10.000 Ha, perbaikan sistem irigasi seluas 172.880 Ha yang tersebar di seluruh Indonesia. </v>
      </c>
      <c r="AT73" s="245">
        <f>DATA!AT70</f>
        <v>400000000</v>
      </c>
      <c r="AU73" s="109" t="str">
        <f>DATA!AU70</f>
        <v>ADB</v>
      </c>
      <c r="AV73" s="246" t="str">
        <f>DATA!AW70</f>
        <v>nilai kegiatan yang tercantum dalam COBP ADB sebesar USD 400 juta.</v>
      </c>
    </row>
    <row r="74" spans="1:48" ht="44.25" customHeight="1">
      <c r="J74" s="181"/>
      <c r="K74" s="34"/>
      <c r="L74" s="34"/>
      <c r="M74" s="3391"/>
      <c r="N74" s="3394"/>
      <c r="O74" s="20"/>
      <c r="P74" s="20"/>
      <c r="Q74" s="186"/>
      <c r="R74" s="3404"/>
      <c r="S74" s="203"/>
      <c r="T74" s="77"/>
      <c r="U74" s="77"/>
      <c r="V74" s="77"/>
      <c r="W74" s="78"/>
      <c r="X74" s="20"/>
      <c r="Y74" s="3415"/>
      <c r="Z74" s="3415"/>
      <c r="AA74" s="3417"/>
      <c r="AB74" s="188"/>
      <c r="AC74" s="20"/>
      <c r="AD74" s="37"/>
      <c r="AE74" s="152"/>
      <c r="AF74" s="152"/>
      <c r="AG74" s="152"/>
      <c r="AH74" s="37"/>
      <c r="AI74" s="37"/>
      <c r="AJ74" s="230"/>
      <c r="AK74" s="231"/>
      <c r="AL74" s="20"/>
      <c r="AM74" s="20"/>
      <c r="AN74" s="20"/>
      <c r="AO74" s="20"/>
      <c r="AP74" s="20"/>
      <c r="AQ74" s="20"/>
      <c r="AR74" s="152"/>
      <c r="AS74" s="199"/>
      <c r="AT74" s="245">
        <f>DATA!AT71</f>
        <v>100000000</v>
      </c>
      <c r="AU74" s="109" t="str">
        <f>DATA!AU71</f>
        <v>Belum Ada Indikasi</v>
      </c>
      <c r="AV74" s="252" t="str">
        <f>DATA!AW71</f>
        <v>-</v>
      </c>
    </row>
    <row r="75" spans="1:48" ht="37.5" customHeight="1">
      <c r="A75" s="10">
        <f>DATA!A72</f>
        <v>54</v>
      </c>
      <c r="B75" s="10">
        <f>DATA!B72</f>
        <v>0</v>
      </c>
      <c r="C75" s="10" t="str">
        <f>DATA!D72</f>
        <v>INFRASTRUKTUR</v>
      </c>
      <c r="D75" s="10">
        <f>DATA!E72</f>
        <v>1</v>
      </c>
      <c r="E75" s="10" t="str">
        <f>DATA!F72</f>
        <v>Kementerian Pekerjaan Umum dan Perumahan Rakyat</v>
      </c>
      <c r="F75" s="10" t="str">
        <f>DATA!H72</f>
        <v xml:space="preserve">Development and Management of Irrigation Program </v>
      </c>
      <c r="G75" s="10" t="str">
        <f>DATA!I72</f>
        <v>I</v>
      </c>
      <c r="H75" s="10" t="str">
        <f>DATA!J72</f>
        <v>Program Pengembangan dan Pengelolaan Irigasi</v>
      </c>
      <c r="I75" s="10">
        <f>DATA!K72</f>
        <v>2</v>
      </c>
      <c r="J75" s="181"/>
      <c r="K75" s="34"/>
      <c r="L75" s="34"/>
      <c r="M75" s="36">
        <v>48</v>
      </c>
      <c r="N75" s="37" t="str">
        <f>DATA!L72</f>
        <v>The Urgent Rehabilitation of Strategic Irrigation for Western Region of Indonesia</v>
      </c>
      <c r="O75" s="20">
        <f>DATA!Q72</f>
        <v>1</v>
      </c>
      <c r="P75" s="20">
        <f>DATA!R72</f>
        <v>1</v>
      </c>
      <c r="Q75" s="186">
        <f>DATA!S72</f>
        <v>45</v>
      </c>
      <c r="R75" s="187">
        <f>DATA!T72</f>
        <v>195778000</v>
      </c>
      <c r="S75" s="203">
        <f>DATA!U72</f>
        <v>195778000</v>
      </c>
      <c r="T75" s="77">
        <f>DATA!V72</f>
        <v>27149500</v>
      </c>
      <c r="U75" s="77">
        <f>DATA!W72</f>
        <v>0</v>
      </c>
      <c r="V75" s="77">
        <f>DATA!X72</f>
        <v>222927500</v>
      </c>
      <c r="W75" s="78" t="str">
        <f>DATA!Y72</f>
        <v>Korea</v>
      </c>
      <c r="X75" s="20" t="str">
        <f>DATA!Z72</f>
        <v>Bilateral</v>
      </c>
      <c r="Y75" s="77">
        <f>DATA!AA72</f>
        <v>195778000</v>
      </c>
      <c r="Z75" s="77">
        <v>0</v>
      </c>
      <c r="AA75" s="216" t="str">
        <f>DATA!Y72</f>
        <v>Korea</v>
      </c>
      <c r="AB75" s="188">
        <f>DATA!AG72</f>
        <v>0</v>
      </c>
      <c r="AC75" s="20">
        <f>DATA!AH72</f>
        <v>2016</v>
      </c>
      <c r="AD75" s="37" t="str">
        <f>DATA!AI72</f>
        <v>- Sudah ada R/C
- Green Book 2015</v>
      </c>
      <c r="AE75" s="152" t="str">
        <f>DATA!AR72</f>
        <v>-</v>
      </c>
      <c r="AF75" s="152" t="str">
        <f>DATA!AN72</f>
        <v>belum ada keterangan</v>
      </c>
      <c r="AG75" s="152" t="str">
        <f>DATA!AO72</f>
        <v>belum ada keterangan</v>
      </c>
      <c r="AH75" s="37" t="str">
        <f>DATA!AJ72</f>
        <v>FS, DED, AMDAL, LARAP</v>
      </c>
      <c r="AI75" s="37" t="str">
        <f>DATA!AK72</f>
        <v>Tidak dibutuhkan lahan</v>
      </c>
      <c r="AJ75" s="230" t="str">
        <f>DATA!AL72</f>
        <v>Belum ada tender/lelang</v>
      </c>
      <c r="AK75" s="231" t="str">
        <f>DATA!AR72</f>
        <v>-</v>
      </c>
      <c r="AL75" s="20" t="str">
        <f>DATA!AN72</f>
        <v>belum ada keterangan</v>
      </c>
      <c r="AM75" s="20" t="str">
        <f>DATA!AO72</f>
        <v>belum ada keterangan</v>
      </c>
      <c r="AN75" s="20" t="str">
        <f>DATA!AP72</f>
        <v>belum ada proses tender/lelang</v>
      </c>
      <c r="AO75" s="20" t="str">
        <f>DATA!AY72</f>
        <v>Konfirmasi melalui surat Sekjen nomor KU.01.12-Sj/636 tgl 23 Oktober 2015</v>
      </c>
      <c r="AP75" s="20" t="e">
        <f>DATA!#REF!</f>
        <v>#REF!</v>
      </c>
      <c r="AQ75" s="20">
        <f>DATA!AZ72</f>
        <v>0</v>
      </c>
      <c r="AR75" s="152" t="e">
        <f>DATA!#REF!</f>
        <v>#REF!</v>
      </c>
      <c r="AS75" s="199" t="str">
        <f>DATA!BA72</f>
        <v xml:space="preserve">Melakukan rehabilitasi fasilitas irigasi, meningkatkan sistem irigasi dan drainase dan peningkatan kapasitas O&amp;P seluas 38,523 Ha </v>
      </c>
      <c r="AT75" s="245">
        <f>DATA!AT72</f>
        <v>195778000</v>
      </c>
      <c r="AU75" s="109" t="str">
        <f>DATA!AU72</f>
        <v>Korea</v>
      </c>
      <c r="AV75" s="246" t="str">
        <f>DATA!AW72</f>
        <v>masuk rolling plan EDCF (Korea)</v>
      </c>
    </row>
    <row r="76" spans="1:48" ht="39" customHeight="1">
      <c r="A76" s="10">
        <f>DATA!A73</f>
        <v>55</v>
      </c>
      <c r="B76" s="10">
        <f>DATA!B73</f>
        <v>0</v>
      </c>
      <c r="C76" s="10" t="str">
        <f>DATA!D73</f>
        <v>INFRASTRUKTUR</v>
      </c>
      <c r="D76" s="10">
        <f>DATA!E73</f>
        <v>1</v>
      </c>
      <c r="E76" s="10" t="str">
        <f>DATA!F73</f>
        <v>Kementerian Pekerjaan Umum dan Perumahan Rakyat</v>
      </c>
      <c r="F76" s="10" t="str">
        <f>DATA!H73</f>
        <v xml:space="preserve">Development and Management of Irrigation Program </v>
      </c>
      <c r="G76" s="10" t="str">
        <f>DATA!I73</f>
        <v>I</v>
      </c>
      <c r="H76" s="10" t="str">
        <f>DATA!J73</f>
        <v>Program Pengembangan dan Pengelolaan Irigasi</v>
      </c>
      <c r="I76" s="10">
        <f>DATA!K73</f>
        <v>3</v>
      </c>
      <c r="J76" s="181"/>
      <c r="K76" s="34"/>
      <c r="L76" s="34"/>
      <c r="M76" s="36">
        <v>49</v>
      </c>
      <c r="N76" s="37" t="str">
        <f>DATA!L73</f>
        <v>Rentang Modernization Strategic Irrigation (RIMP)</v>
      </c>
      <c r="O76" s="20">
        <f>DATA!Q73</f>
        <v>1</v>
      </c>
      <c r="P76" s="20">
        <f>DATA!R73</f>
        <v>1</v>
      </c>
      <c r="Q76" s="186">
        <f>DATA!S73</f>
        <v>46</v>
      </c>
      <c r="R76" s="187">
        <f>DATA!T73</f>
        <v>480000000</v>
      </c>
      <c r="S76" s="203">
        <f>DATA!U73</f>
        <v>480000000</v>
      </c>
      <c r="T76" s="77">
        <f>DATA!V73</f>
        <v>48000000</v>
      </c>
      <c r="U76" s="77">
        <f>DATA!W73</f>
        <v>0</v>
      </c>
      <c r="V76" s="77">
        <f>DATA!X73</f>
        <v>528000000</v>
      </c>
      <c r="W76" s="78" t="str">
        <f>DATA!Y73</f>
        <v>JICA</v>
      </c>
      <c r="X76" s="20" t="str">
        <f>DATA!Z73</f>
        <v>Bilateral</v>
      </c>
      <c r="Y76" s="77">
        <f>DATA!AA73</f>
        <v>480000000</v>
      </c>
      <c r="Z76" s="77">
        <v>0</v>
      </c>
      <c r="AA76" s="216" t="str">
        <f>DATA!Y73</f>
        <v>JICA</v>
      </c>
      <c r="AB76" s="188">
        <f>DATA!AG73</f>
        <v>0</v>
      </c>
      <c r="AC76" s="20">
        <f>DATA!AH73</f>
        <v>2017</v>
      </c>
      <c r="AD76" s="37" t="str">
        <f>DATA!AI73</f>
        <v>Sudah ada R/C</v>
      </c>
      <c r="AE76" s="152" t="str">
        <f>DATA!AR73</f>
        <v>-</v>
      </c>
      <c r="AF76" s="152" t="str">
        <f>DATA!AN73</f>
        <v>siap</v>
      </c>
      <c r="AG76" s="152" t="str">
        <f>DATA!AO73</f>
        <v>tidak butuh lahan</v>
      </c>
      <c r="AH76" s="37" t="str">
        <f>DATA!AJ73</f>
        <v>FS, DED, AMDAL</v>
      </c>
      <c r="AI76" s="37" t="str">
        <f>DATA!AK73</f>
        <v>Tidak dibutuhkan lahan</v>
      </c>
      <c r="AJ76" s="230" t="str">
        <f>DATA!AL73</f>
        <v>-</v>
      </c>
      <c r="AK76" s="231" t="str">
        <f>DATA!AR73</f>
        <v>-</v>
      </c>
      <c r="AL76" s="20" t="str">
        <f>DATA!AN73</f>
        <v>siap</v>
      </c>
      <c r="AM76" s="20" t="str">
        <f>DATA!AO73</f>
        <v>tidak butuh lahan</v>
      </c>
      <c r="AN76" s="20" t="str">
        <f>DATA!AP73</f>
        <v>belum ada proses tender/lelang</v>
      </c>
      <c r="AO76" s="20" t="str">
        <f>DATA!AY73</f>
        <v>Konfirmasi melalui surat Sekjen nomor KU.01.12-Sj/636 tgl 23 Oktober 2015</v>
      </c>
      <c r="AP76" s="20" t="e">
        <f>DATA!#REF!</f>
        <v>#REF!</v>
      </c>
      <c r="AQ76" s="20">
        <f>DATA!AZ73</f>
        <v>0</v>
      </c>
      <c r="AR76" s="152" t="e">
        <f>DATA!#REF!</f>
        <v>#REF!</v>
      </c>
      <c r="AS76" s="199"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c r="AT76" s="245">
        <f>DATA!AT73</f>
        <v>480000000</v>
      </c>
      <c r="AU76" s="109" t="str">
        <f>DATA!AU73</f>
        <v>JICA</v>
      </c>
      <c r="AV76" s="246" t="str">
        <f>DATA!AW73</f>
        <v>-</v>
      </c>
    </row>
    <row r="77" spans="1:48" ht="32.25" customHeight="1">
      <c r="A77" s="10">
        <f>DATA!A74</f>
        <v>56</v>
      </c>
      <c r="B77" s="10">
        <f>DATA!B74</f>
        <v>0</v>
      </c>
      <c r="C77" s="10" t="str">
        <f>DATA!D74</f>
        <v>INFRASTRUKTUR</v>
      </c>
      <c r="D77" s="10">
        <f>DATA!E74</f>
        <v>1</v>
      </c>
      <c r="E77" s="10" t="str">
        <f>DATA!F74</f>
        <v>Kementerian Pekerjaan Umum dan Perumahan Rakyat</v>
      </c>
      <c r="F77" s="10" t="str">
        <f>DATA!H74</f>
        <v xml:space="preserve">Development and Management of Irrigation Program </v>
      </c>
      <c r="G77" s="10" t="str">
        <f>DATA!I74</f>
        <v>I</v>
      </c>
      <c r="H77" s="10" t="str">
        <f>DATA!J74</f>
        <v>Program Pengembangan dan Pengelolaan Irigasi</v>
      </c>
      <c r="I77" s="10">
        <f>DATA!K74</f>
        <v>4</v>
      </c>
      <c r="J77" s="181"/>
      <c r="K77" s="34"/>
      <c r="L77" s="34"/>
      <c r="M77" s="36">
        <v>50</v>
      </c>
      <c r="N77" s="37" t="str">
        <f>DATA!L74</f>
        <v>Komering Irrigation Project Stage III</v>
      </c>
      <c r="O77" s="20">
        <f>DATA!Q74</f>
        <v>1</v>
      </c>
      <c r="P77" s="20">
        <f>DATA!R74</f>
        <v>1</v>
      </c>
      <c r="Q77" s="186">
        <f>DATA!S74</f>
        <v>47</v>
      </c>
      <c r="R77" s="187">
        <f>DATA!T74</f>
        <v>120000000</v>
      </c>
      <c r="S77" s="203">
        <f>DATA!U74</f>
        <v>120000000</v>
      </c>
      <c r="T77" s="77">
        <f>DATA!V74</f>
        <v>12000000</v>
      </c>
      <c r="U77" s="77">
        <f>DATA!W74</f>
        <v>0</v>
      </c>
      <c r="V77" s="77">
        <f>DATA!X74</f>
        <v>132000000</v>
      </c>
      <c r="W77" s="78" t="str">
        <f>DATA!Y74</f>
        <v>JICA</v>
      </c>
      <c r="X77" s="20" t="str">
        <f>DATA!Z74</f>
        <v>Bilateral</v>
      </c>
      <c r="Y77" s="77">
        <f>DATA!AA74</f>
        <v>120000000</v>
      </c>
      <c r="Z77" s="77">
        <v>0</v>
      </c>
      <c r="AA77" s="216" t="str">
        <f>DATA!Y74</f>
        <v>JICA</v>
      </c>
      <c r="AB77" s="188">
        <f>DATA!AG74</f>
        <v>0</v>
      </c>
      <c r="AC77" s="20">
        <f>DATA!AH74</f>
        <v>2017</v>
      </c>
      <c r="AD77" s="37" t="str">
        <f>DATA!AI74</f>
        <v xml:space="preserve">Sudah ada R/C
</v>
      </c>
      <c r="AE77" s="152" t="str">
        <f>DATA!AR74</f>
        <v>Nilai pinjaman di:
- Rev. GB 16 USD 145.568 ribu
- GB 16 USD 120.000 ribu</v>
      </c>
      <c r="AF77" s="152" t="str">
        <f>DATA!AN74</f>
        <v>siap</v>
      </c>
      <c r="AG77" s="152" t="str">
        <f>DATA!AO74</f>
        <v>belum ada keterangan</v>
      </c>
      <c r="AH77" s="37" t="str">
        <f>DATA!AJ74</f>
        <v>FS, DED, AMDAL, LARAP</v>
      </c>
      <c r="AI77" s="37" t="str">
        <f>DATA!AK74</f>
        <v>-</v>
      </c>
      <c r="AJ77" s="230" t="str">
        <f>DATA!AL74</f>
        <v>-</v>
      </c>
      <c r="AK77" s="231" t="str">
        <f>DATA!AR74</f>
        <v>Nilai pinjaman di:
- Rev. GB 16 USD 145.568 ribu
- GB 16 USD 120.000 ribu</v>
      </c>
      <c r="AL77" s="20" t="str">
        <f>DATA!AN74</f>
        <v>siap</v>
      </c>
      <c r="AM77" s="20" t="str">
        <f>DATA!AO74</f>
        <v>belum ada keterangan</v>
      </c>
      <c r="AN77" s="20" t="str">
        <f>DATA!AP74</f>
        <v>belum ada proses tender/lelang</v>
      </c>
      <c r="AO77" s="20" t="str">
        <f>DATA!AY74</f>
        <v>Konfirmasi melalui surat Sekjen nomor KU.01.12-Sj/636 tgl 23 Oktober 2015</v>
      </c>
      <c r="AP77" s="20" t="e">
        <f>DATA!#REF!</f>
        <v>#REF!</v>
      </c>
      <c r="AQ77" s="20">
        <f>DATA!AZ74</f>
        <v>0</v>
      </c>
      <c r="AR77" s="152" t="e">
        <f>DATA!#REF!</f>
        <v>#REF!</v>
      </c>
      <c r="AS77" s="199"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c r="AT77" s="245">
        <f>DATA!AT74</f>
        <v>120000000</v>
      </c>
      <c r="AU77" s="109" t="str">
        <f>DATA!AU74</f>
        <v>JICA</v>
      </c>
      <c r="AV77" s="246" t="str">
        <f>DATA!AW74</f>
        <v>-</v>
      </c>
    </row>
    <row r="78" spans="1:48" ht="30.75" customHeight="1">
      <c r="A78" s="10">
        <f>DATA!A75</f>
        <v>57</v>
      </c>
      <c r="B78" s="10">
        <f>DATA!B75</f>
        <v>0</v>
      </c>
      <c r="C78" s="10" t="str">
        <f>DATA!D75</f>
        <v>INFRASTRUKTUR</v>
      </c>
      <c r="D78" s="10">
        <f>DATA!E75</f>
        <v>1</v>
      </c>
      <c r="E78" s="10" t="str">
        <f>DATA!F75</f>
        <v>Kementerian Pekerjaan Umum dan Perumahan Rakyat</v>
      </c>
      <c r="F78" s="10" t="str">
        <f>DATA!H75</f>
        <v xml:space="preserve">Development and Management of Irrigation Program </v>
      </c>
      <c r="G78" s="10" t="str">
        <f>DATA!I75</f>
        <v>I</v>
      </c>
      <c r="H78" s="10" t="str">
        <f>DATA!J75</f>
        <v>Program Pengembangan dan Pengelolaan Irigasi</v>
      </c>
      <c r="I78" s="10">
        <f>DATA!K75</f>
        <v>5</v>
      </c>
      <c r="J78" s="181"/>
      <c r="K78" s="34"/>
      <c r="L78" s="34"/>
      <c r="M78" s="36">
        <v>51</v>
      </c>
      <c r="N78" s="37" t="str">
        <f>DATA!L75</f>
        <v>Irrigation Development in North Sumatera</v>
      </c>
      <c r="O78" s="20">
        <f>DATA!Q75</f>
        <v>1</v>
      </c>
      <c r="P78" s="20">
        <f>DATA!R75</f>
        <v>1</v>
      </c>
      <c r="Q78" s="186">
        <f>DATA!S75</f>
        <v>48</v>
      </c>
      <c r="R78" s="187">
        <f>DATA!T75</f>
        <v>350000000</v>
      </c>
      <c r="S78" s="203">
        <f>DATA!U75</f>
        <v>350000000</v>
      </c>
      <c r="T78" s="77">
        <f>DATA!V75</f>
        <v>35000000</v>
      </c>
      <c r="U78" s="77">
        <f>DATA!W75</f>
        <v>0</v>
      </c>
      <c r="V78" s="77">
        <f>DATA!X75</f>
        <v>385000000</v>
      </c>
      <c r="W78" s="78" t="str">
        <f>DATA!Y75</f>
        <v>ADB</v>
      </c>
      <c r="X78" s="20" t="str">
        <f>DATA!Z75</f>
        <v>Multilateral</v>
      </c>
      <c r="Y78" s="77">
        <f>DATA!AA75</f>
        <v>350000000</v>
      </c>
      <c r="Z78" s="77">
        <v>0</v>
      </c>
      <c r="AA78" s="216" t="str">
        <f>DATA!Y75</f>
        <v>ADB</v>
      </c>
      <c r="AB78" s="188">
        <f>DATA!AG75</f>
        <v>0</v>
      </c>
      <c r="AC78" s="20" t="str">
        <f>DATA!AH75</f>
        <v>Tanpa keterangan</v>
      </c>
      <c r="AD78" s="37" t="str">
        <f>DATA!AI75</f>
        <v>-</v>
      </c>
      <c r="AE78" s="152" t="str">
        <f>DATA!AR75</f>
        <v>belum ada dokumen R/C</v>
      </c>
      <c r="AF78" s="152" t="str">
        <f>DATA!AN75</f>
        <v>dalam proses
(memiliki FS dan DED)</v>
      </c>
      <c r="AG78" s="152" t="str">
        <f>DATA!AO75</f>
        <v>belum ada keterangan</v>
      </c>
      <c r="AH78" s="37" t="str">
        <f>DATA!AJ75</f>
        <v>FS, DED, LARAP</v>
      </c>
      <c r="AI78" s="37" t="str">
        <f>DATA!AK75</f>
        <v>-</v>
      </c>
      <c r="AJ78" s="230" t="str">
        <f>DATA!AL75</f>
        <v>-</v>
      </c>
      <c r="AK78" s="231" t="str">
        <f>DATA!AR75</f>
        <v>belum ada dokumen R/C</v>
      </c>
      <c r="AL78" s="20" t="str">
        <f>DATA!AN75</f>
        <v>dalam proses
(memiliki FS dan DED)</v>
      </c>
      <c r="AM78" s="20" t="str">
        <f>DATA!AO75</f>
        <v>belum ada keterangan</v>
      </c>
      <c r="AN78" s="20" t="str">
        <f>DATA!AP75</f>
        <v>belum ada proses tender/lelang</v>
      </c>
      <c r="AO78" s="20" t="str">
        <f>DATA!AY75</f>
        <v>- dengan skema RBL
- Konfirmasi melalui surat Sekjen nomor KU.01.12-Sj/636 tgl 23 Oktober 2015</v>
      </c>
      <c r="AP78" s="20" t="e">
        <f>DATA!#REF!</f>
        <v>#REF!</v>
      </c>
      <c r="AQ78" s="20" t="str">
        <f>DATA!AZ75</f>
        <v>JICA&amp;IDB diindikasikan akan mendanai kegiatan ini namun belum ada keputusan</v>
      </c>
      <c r="AR78" s="152" t="e">
        <f>DATA!#REF!</f>
        <v>#REF!</v>
      </c>
      <c r="AS78" s="199" t="str">
        <f>DATA!BA75</f>
        <v>Pembahasan lahan dan relokasi, pengadaan, pembangunan bangunan utama, pembangunan jaringan irigasi seluas ±100.000 Ha, pencetakan lahan sawah, dan penyusunan O&amp;P</v>
      </c>
      <c r="AT78" s="245">
        <f>DATA!AT75</f>
        <v>350000000</v>
      </c>
      <c r="AU78" s="109" t="str">
        <f>DATA!AU75</f>
        <v>Belum Ada Indikasi</v>
      </c>
      <c r="AV78" s="246" t="str">
        <f>DATA!AW75</f>
        <v>- usulan K/L lender: ADB
- tidak masuk COBP ADB</v>
      </c>
    </row>
    <row r="79" spans="1:48" ht="49.5" customHeight="1">
      <c r="A79" s="10">
        <f>DATA!A76</f>
        <v>58</v>
      </c>
      <c r="B79" s="10">
        <f>DATA!B76</f>
        <v>0</v>
      </c>
      <c r="C79" s="10" t="str">
        <f>DATA!D76</f>
        <v>INFRASTRUKTUR</v>
      </c>
      <c r="D79" s="10">
        <f>DATA!E76</f>
        <v>1</v>
      </c>
      <c r="E79" s="10" t="str">
        <f>DATA!F76</f>
        <v>Kementerian Pekerjaan Umum dan Perumahan Rakyat</v>
      </c>
      <c r="F79" s="10" t="str">
        <f>DATA!H76</f>
        <v xml:space="preserve">Development and Management of Irrigation Program </v>
      </c>
      <c r="G79" s="10" t="str">
        <f>DATA!I76</f>
        <v>I</v>
      </c>
      <c r="H79" s="10" t="str">
        <f>DATA!J76</f>
        <v>Program Pengembangan dan Pengelolaan Irigasi</v>
      </c>
      <c r="I79" s="10">
        <f>DATA!K76</f>
        <v>6</v>
      </c>
      <c r="J79" s="181"/>
      <c r="K79" s="34"/>
      <c r="L79" s="34"/>
      <c r="M79" s="36">
        <v>52</v>
      </c>
      <c r="N79" s="37" t="str">
        <f>DATA!L76</f>
        <v>Integrated Participatory Development and Management of Lhok Guci and Peureulak Irrigation Project</v>
      </c>
      <c r="O79" s="20">
        <f>DATA!Q76</f>
        <v>1</v>
      </c>
      <c r="P79" s="20">
        <f>DATA!R76</f>
        <v>1</v>
      </c>
      <c r="Q79" s="186">
        <f>DATA!S76</f>
        <v>49</v>
      </c>
      <c r="R79" s="187">
        <f>DATA!T76</f>
        <v>161298000</v>
      </c>
      <c r="S79" s="203">
        <f>DATA!U76</f>
        <v>161298000</v>
      </c>
      <c r="T79" s="77">
        <f>DATA!V76</f>
        <v>24195000</v>
      </c>
      <c r="U79" s="77">
        <f>DATA!W76</f>
        <v>0</v>
      </c>
      <c r="V79" s="77">
        <f>DATA!X76</f>
        <v>185493000</v>
      </c>
      <c r="W79" s="78" t="str">
        <f>DATA!Y76</f>
        <v>ADB</v>
      </c>
      <c r="X79" s="20" t="str">
        <f>DATA!Z76</f>
        <v>Multilateral</v>
      </c>
      <c r="Y79" s="77">
        <f>DATA!AA76</f>
        <v>161298000</v>
      </c>
      <c r="Z79" s="77">
        <v>0</v>
      </c>
      <c r="AA79" s="216" t="str">
        <f>DATA!Y76</f>
        <v>ADB</v>
      </c>
      <c r="AB79" s="188">
        <f>DATA!AG76</f>
        <v>0</v>
      </c>
      <c r="AC79" s="20" t="str">
        <f>DATA!AH76</f>
        <v>Tanpa keterangan</v>
      </c>
      <c r="AD79" s="37" t="str">
        <f>DATA!AI76</f>
        <v>-</v>
      </c>
      <c r="AE79" s="152" t="str">
        <f>DATA!AR76</f>
        <v>belum ada dokumen R/C</v>
      </c>
      <c r="AF79" s="152" t="str">
        <f>DATA!AN76</f>
        <v>dalam proses
(memiliki FS dan DED)</v>
      </c>
      <c r="AG79" s="152" t="str">
        <f>DATA!AO76</f>
        <v>belum ada keterangan</v>
      </c>
      <c r="AH79" s="37" t="str">
        <f>DATA!AJ76</f>
        <v>FS, DED, LARAP</v>
      </c>
      <c r="AI79" s="37" t="str">
        <f>DATA!AK76</f>
        <v>-</v>
      </c>
      <c r="AJ79" s="230" t="str">
        <f>DATA!AL76</f>
        <v>-</v>
      </c>
      <c r="AK79" s="231" t="str">
        <f>DATA!AR76</f>
        <v>belum ada dokumen R/C</v>
      </c>
      <c r="AL79" s="20" t="str">
        <f>DATA!AN76</f>
        <v>dalam proses
(memiliki FS dan DED)</v>
      </c>
      <c r="AM79" s="20" t="str">
        <f>DATA!AO76</f>
        <v>belum ada keterangan</v>
      </c>
      <c r="AN79" s="20" t="str">
        <f>DATA!AP76</f>
        <v>belum ada proses tender/lelang</v>
      </c>
      <c r="AO79" s="20" t="str">
        <f>DATA!AY76</f>
        <v>- dengan skema RBL
- Konfirmasi melalui surat Sekjen nomor KU.01.12-Sj/636 tgl 23 Oktober 2015</v>
      </c>
      <c r="AP79" s="20" t="e">
        <f>DATA!#REF!</f>
        <v>#REF!</v>
      </c>
      <c r="AQ79" s="20" t="str">
        <f>DATA!AZ76</f>
        <v>JICA&amp;IDB diindikasikan akan mendanai kegiatan ini namun belum ada keputusan</v>
      </c>
      <c r="AR79" s="152" t="e">
        <f>DATA!#REF!</f>
        <v>#REF!</v>
      </c>
      <c r="AS79" s="199" t="str">
        <f>DATA!BA76</f>
        <v>Mendukung pengembangan terpadu fasilitas irigasi 18.542 Ha (lhok guci)  dan 5.000 Ha (peureulak) dengan SID partisipatif, konstruksi, dan operasi pemeliharaan.</v>
      </c>
      <c r="AT79" s="245">
        <f>DATA!AT76</f>
        <v>161298000</v>
      </c>
      <c r="AU79" s="109" t="str">
        <f>DATA!AU76</f>
        <v>Belum Ada Indikasi</v>
      </c>
      <c r="AV79" s="246" t="str">
        <f>DATA!AW76</f>
        <v>- usulan K/L lender: ADB
- tidak masuk COBP ADB</v>
      </c>
    </row>
    <row r="80" spans="1:48" ht="30" customHeight="1">
      <c r="A80" s="10">
        <f>DATA!A77</f>
        <v>59</v>
      </c>
      <c r="B80" s="10">
        <f>DATA!B77</f>
        <v>0</v>
      </c>
      <c r="C80" s="10" t="str">
        <f>DATA!D77</f>
        <v>INFRASTRUKTUR</v>
      </c>
      <c r="D80" s="10">
        <f>DATA!E77</f>
        <v>1</v>
      </c>
      <c r="E80" s="10" t="str">
        <f>DATA!F77</f>
        <v>Kementerian Pekerjaan Umum dan Perumahan Rakyat</v>
      </c>
      <c r="F80" s="10" t="str">
        <f>DATA!H77</f>
        <v xml:space="preserve">Development and Management of Irrigation Program </v>
      </c>
      <c r="G80" s="10" t="str">
        <f>DATA!I77</f>
        <v>I</v>
      </c>
      <c r="H80" s="10" t="str">
        <f>DATA!J77</f>
        <v>Program Pengembangan dan Pengelolaan Irigasi</v>
      </c>
      <c r="I80" s="10">
        <f>DATA!K77</f>
        <v>7</v>
      </c>
      <c r="J80" s="181"/>
      <c r="K80" s="34"/>
      <c r="L80" s="34"/>
      <c r="M80" s="36">
        <v>53</v>
      </c>
      <c r="N80" s="37" t="str">
        <f>DATA!L77</f>
        <v>Modernization Strategic Irrigation Project (MSIP)</v>
      </c>
      <c r="O80" s="20">
        <f>DATA!Q77</f>
        <v>1</v>
      </c>
      <c r="P80" s="20">
        <f>DATA!R77</f>
        <v>1</v>
      </c>
      <c r="Q80" s="186">
        <f>DATA!S77</f>
        <v>50</v>
      </c>
      <c r="R80" s="187">
        <f>DATA!T77</f>
        <v>278355000</v>
      </c>
      <c r="S80" s="203">
        <f>DATA!U77</f>
        <v>278355000</v>
      </c>
      <c r="T80" s="77">
        <f>DATA!V77</f>
        <v>28000000</v>
      </c>
      <c r="U80" s="77">
        <f>DATA!W77</f>
        <v>0</v>
      </c>
      <c r="V80" s="77">
        <f>DATA!X77</f>
        <v>306355000</v>
      </c>
      <c r="W80" s="78" t="str">
        <f>DATA!Y77</f>
        <v>JICA</v>
      </c>
      <c r="X80" s="20" t="str">
        <f>DATA!Z77</f>
        <v>Bilateral</v>
      </c>
      <c r="Y80" s="77">
        <f>DATA!AA77</f>
        <v>278355000</v>
      </c>
      <c r="Z80" s="77">
        <v>0</v>
      </c>
      <c r="AA80" s="216" t="str">
        <f>DATA!Y77</f>
        <v>JICA</v>
      </c>
      <c r="AB80" s="188">
        <f>DATA!AG77</f>
        <v>0</v>
      </c>
      <c r="AC80" s="20">
        <f>DATA!AH77</f>
        <v>2017</v>
      </c>
      <c r="AD80" s="37" t="str">
        <f>DATA!AI77</f>
        <v>-</v>
      </c>
      <c r="AE80" s="152" t="str">
        <f>DATA!AR77</f>
        <v>belum ada dokumen R/C</v>
      </c>
      <c r="AF80" s="152" t="str">
        <f>DATA!AN77</f>
        <v>belum ada keterangan</v>
      </c>
      <c r="AG80" s="152" t="str">
        <f>DATA!AO77</f>
        <v>belum ada keterangan</v>
      </c>
      <c r="AH80" s="37" t="str">
        <f>DATA!AJ77</f>
        <v>-</v>
      </c>
      <c r="AI80" s="37" t="str">
        <f>DATA!AK77</f>
        <v>-</v>
      </c>
      <c r="AJ80" s="230" t="str">
        <f>DATA!AL77</f>
        <v>-</v>
      </c>
      <c r="AK80" s="231" t="str">
        <f>DATA!AR77</f>
        <v>belum ada dokumen R/C</v>
      </c>
      <c r="AL80" s="20" t="str">
        <f>DATA!AN77</f>
        <v>belum ada keterangan</v>
      </c>
      <c r="AM80" s="20" t="str">
        <f>DATA!AO77</f>
        <v>belum ada keterangan</v>
      </c>
      <c r="AN80" s="20" t="str">
        <f>DATA!AP77</f>
        <v>belum ada proses tender/lelang</v>
      </c>
      <c r="AO80" s="20" t="str">
        <f>DATA!AY77</f>
        <v>Konfirmasi melalui surat Sekjen nomor KU.01.12-Sj/636 tgl 23 Oktober 2015</v>
      </c>
      <c r="AP80" s="20" t="e">
        <f>DATA!#REF!</f>
        <v>#REF!</v>
      </c>
      <c r="AQ80" s="20">
        <f>DATA!AZ77</f>
        <v>0</v>
      </c>
      <c r="AR80" s="152" t="e">
        <f>DATA!#REF!</f>
        <v>#REF!</v>
      </c>
      <c r="AS80" s="199"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c r="AT80" s="245">
        <f>DATA!AT77</f>
        <v>278355000</v>
      </c>
      <c r="AU80" s="109" t="str">
        <f>DATA!AU77</f>
        <v>JICA</v>
      </c>
      <c r="AV80" s="246" t="str">
        <f>DATA!AW77</f>
        <v>-</v>
      </c>
    </row>
    <row r="81" spans="1:51" ht="36" customHeight="1">
      <c r="A81" s="10">
        <f>DATA!A78</f>
        <v>60</v>
      </c>
      <c r="B81" s="10">
        <f>DATA!B78</f>
        <v>0</v>
      </c>
      <c r="C81" s="10" t="str">
        <f>DATA!D78</f>
        <v>INFRASTRUKTUR</v>
      </c>
      <c r="D81" s="10">
        <f>DATA!E78</f>
        <v>1</v>
      </c>
      <c r="E81" s="10" t="str">
        <f>DATA!F78</f>
        <v>Kementerian Pekerjaan Umum dan Perumahan Rakyat</v>
      </c>
      <c r="F81" s="10" t="str">
        <f>DATA!H78</f>
        <v xml:space="preserve">Development and Management of Irrigation Program </v>
      </c>
      <c r="G81" s="10" t="str">
        <f>DATA!I78</f>
        <v>I</v>
      </c>
      <c r="H81" s="10" t="str">
        <f>DATA!J78</f>
        <v>Program Pengembangan dan Pengelolaan Irigasi</v>
      </c>
      <c r="I81" s="10">
        <f>DATA!K78</f>
        <v>8</v>
      </c>
      <c r="J81" s="181"/>
      <c r="K81" s="34"/>
      <c r="L81" s="34"/>
      <c r="M81" s="36">
        <v>54</v>
      </c>
      <c r="N81" s="37" t="str">
        <f>DATA!L78</f>
        <v>Urgent Rehabilitation of  Irrigation Project in Indonesia (URIP)</v>
      </c>
      <c r="O81" s="20">
        <f>DATA!Q78</f>
        <v>1</v>
      </c>
      <c r="P81" s="20">
        <f>DATA!R78</f>
        <v>1</v>
      </c>
      <c r="Q81" s="186">
        <f>DATA!S78</f>
        <v>51</v>
      </c>
      <c r="R81" s="187">
        <f>DATA!T78</f>
        <v>272100000</v>
      </c>
      <c r="S81" s="203">
        <f>DATA!U78</f>
        <v>272100000</v>
      </c>
      <c r="T81" s="77">
        <f>DATA!V78</f>
        <v>40815000</v>
      </c>
      <c r="U81" s="77">
        <f>DATA!W78</f>
        <v>0</v>
      </c>
      <c r="V81" s="77">
        <f>DATA!X78</f>
        <v>312915000</v>
      </c>
      <c r="W81" s="78" t="str">
        <f>DATA!Y78</f>
        <v>Bank Dunia</v>
      </c>
      <c r="X81" s="20" t="str">
        <f>DATA!Z78</f>
        <v>Multilateral</v>
      </c>
      <c r="Y81" s="77">
        <f>DATA!AA78</f>
        <v>272100000</v>
      </c>
      <c r="Z81" s="77">
        <v>0</v>
      </c>
      <c r="AA81" s="216" t="str">
        <f>DATA!Y78</f>
        <v>Bank Dunia</v>
      </c>
      <c r="AB81" s="188">
        <f>DATA!AG78</f>
        <v>0</v>
      </c>
      <c r="AC81" s="20" t="str">
        <f>DATA!AH78</f>
        <v>Tanpa keterangan</v>
      </c>
      <c r="AD81" s="37" t="str">
        <f>DATA!AI78</f>
        <v>-</v>
      </c>
      <c r="AE81" s="152" t="str">
        <f>DATA!AR78</f>
        <v>belum ada dokumen R/C</v>
      </c>
      <c r="AF81" s="152" t="str">
        <f>DATA!AN78</f>
        <v>belum ada keterangan</v>
      </c>
      <c r="AG81" s="152" t="str">
        <f>DATA!AO78</f>
        <v>belum ada keterangan</v>
      </c>
      <c r="AH81" s="37" t="str">
        <f>DATA!AJ78</f>
        <v>-</v>
      </c>
      <c r="AI81" s="37" t="str">
        <f>DATA!AK78</f>
        <v>-</v>
      </c>
      <c r="AJ81" s="230" t="str">
        <f>DATA!AL78</f>
        <v>-</v>
      </c>
      <c r="AK81" s="231" t="str">
        <f>DATA!AR78</f>
        <v>belum ada dokumen R/C</v>
      </c>
      <c r="AL81" s="20" t="str">
        <f>DATA!AN78</f>
        <v>belum ada keterangan</v>
      </c>
      <c r="AM81" s="20" t="str">
        <f>DATA!AO78</f>
        <v>belum ada keterangan</v>
      </c>
      <c r="AN81" s="20" t="str">
        <f>DATA!AP78</f>
        <v>belum ada proses tender/lelang</v>
      </c>
      <c r="AO81" s="20" t="str">
        <f>DATA!AY78</f>
        <v>Konfirmasi melalui surat Sekjen nomor KU.01.12-Sj/636 tgl 23 Oktober 2015</v>
      </c>
      <c r="AP81" s="20" t="e">
        <f>DATA!#REF!</f>
        <v>#REF!</v>
      </c>
      <c r="AQ81" s="20" t="str">
        <f>DATA!AZ78</f>
        <v xml:space="preserve">Belum ada pembicaraan dgn Bank Dunia </v>
      </c>
      <c r="AR81" s="152" t="e">
        <f>DATA!#REF!</f>
        <v>#REF!</v>
      </c>
      <c r="AS81" s="199"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c r="AT81" s="245">
        <f>DATA!AT78</f>
        <v>272100000</v>
      </c>
      <c r="AU81" s="109" t="str">
        <f>DATA!AU78</f>
        <v>Bank Dunia</v>
      </c>
      <c r="AV81" s="246" t="str">
        <f>DATA!AW78</f>
        <v>-</v>
      </c>
    </row>
    <row r="82" spans="1:51" ht="27" customHeight="1">
      <c r="A82" s="10">
        <f>DATA!A79</f>
        <v>61</v>
      </c>
      <c r="B82" s="10">
        <f>DATA!B79</f>
        <v>0</v>
      </c>
      <c r="C82" s="10" t="str">
        <f>DATA!D79</f>
        <v>INFRASTRUKTUR</v>
      </c>
      <c r="D82" s="10">
        <f>DATA!E79</f>
        <v>1</v>
      </c>
      <c r="E82" s="10" t="str">
        <f>DATA!F79</f>
        <v>Kementerian Pekerjaan Umum dan Perumahan Rakyat</v>
      </c>
      <c r="F82" s="10" t="str">
        <f>DATA!H79</f>
        <v xml:space="preserve">Development and Management of Irrigation Program </v>
      </c>
      <c r="G82" s="10" t="str">
        <f>DATA!I79</f>
        <v>I</v>
      </c>
      <c r="H82" s="10" t="str">
        <f>DATA!J79</f>
        <v>Program Pengembangan dan Pengelolaan Irigasi</v>
      </c>
      <c r="I82" s="10">
        <f>DATA!K79</f>
        <v>9</v>
      </c>
      <c r="J82" s="181"/>
      <c r="K82" s="34"/>
      <c r="L82" s="34"/>
      <c r="M82" s="36">
        <v>55</v>
      </c>
      <c r="N82" s="37" t="str">
        <f>DATA!L79</f>
        <v>Revitalization Groundwater Irrigation in Indonesia</v>
      </c>
      <c r="O82" s="20">
        <f>DATA!Q79</f>
        <v>1</v>
      </c>
      <c r="P82" s="20">
        <f>DATA!R79</f>
        <v>1</v>
      </c>
      <c r="Q82" s="186">
        <f>DATA!S79</f>
        <v>52</v>
      </c>
      <c r="R82" s="187">
        <f>DATA!T79</f>
        <v>100000000</v>
      </c>
      <c r="S82" s="203">
        <f>DATA!U79</f>
        <v>100000000</v>
      </c>
      <c r="T82" s="77">
        <f>DATA!V79</f>
        <v>10000000</v>
      </c>
      <c r="U82" s="77">
        <f>DATA!W79</f>
        <v>0</v>
      </c>
      <c r="V82" s="77">
        <f>DATA!X79</f>
        <v>110000000</v>
      </c>
      <c r="W82" s="78" t="str">
        <f>DATA!Y79</f>
        <v>JICA</v>
      </c>
      <c r="X82" s="20" t="str">
        <f>DATA!Z79</f>
        <v>Bilateral</v>
      </c>
      <c r="Y82" s="77">
        <f>DATA!AA79</f>
        <v>100000000</v>
      </c>
      <c r="Z82" s="77">
        <v>0</v>
      </c>
      <c r="AA82" s="216" t="str">
        <f>DATA!Y79</f>
        <v>JICA</v>
      </c>
      <c r="AB82" s="188">
        <f>DATA!AG79</f>
        <v>0</v>
      </c>
      <c r="AC82" s="20">
        <f>DATA!AH79</f>
        <v>2017</v>
      </c>
      <c r="AD82" s="37" t="str">
        <f>DATA!AI79</f>
        <v>-</v>
      </c>
      <c r="AE82" s="152" t="str">
        <f>DATA!AR79</f>
        <v>belum ada dokumen R/C</v>
      </c>
      <c r="AF82" s="152" t="str">
        <f>DATA!AN79</f>
        <v>belum ada keterangan</v>
      </c>
      <c r="AG82" s="152" t="str">
        <f>DATA!AO79</f>
        <v>belum ada keterangan</v>
      </c>
      <c r="AH82" s="37" t="str">
        <f>DATA!AJ79</f>
        <v>-</v>
      </c>
      <c r="AI82" s="37" t="str">
        <f>DATA!AK79</f>
        <v>-</v>
      </c>
      <c r="AJ82" s="230" t="str">
        <f>DATA!AL79</f>
        <v>-</v>
      </c>
      <c r="AK82" s="231" t="str">
        <f>DATA!AR79</f>
        <v>belum ada dokumen R/C</v>
      </c>
      <c r="AL82" s="20" t="str">
        <f>DATA!AN79</f>
        <v>belum ada keterangan</v>
      </c>
      <c r="AM82" s="20" t="str">
        <f>DATA!AO79</f>
        <v>belum ada keterangan</v>
      </c>
      <c r="AN82" s="20" t="str">
        <f>DATA!AP79</f>
        <v>belum ada proses tender/lelang</v>
      </c>
      <c r="AO82" s="20" t="str">
        <f>DATA!AY79</f>
        <v>Konfirmasi melalui surat Sekjen nomor KU.01.12-Sj/636 tgl 23 Oktober 2015</v>
      </c>
      <c r="AP82" s="20" t="e">
        <f>DATA!#REF!</f>
        <v>#REF!</v>
      </c>
      <c r="AQ82" s="20">
        <f>DATA!AZ79</f>
        <v>0</v>
      </c>
      <c r="AR82" s="152" t="e">
        <f>DATA!#REF!</f>
        <v>#REF!</v>
      </c>
      <c r="AS82" s="199" t="str">
        <f>DATA!BA79</f>
        <v>Kegiatan review desain dan kegiatan konstruksi  meliputi: rehabilitasi 772 sumur, perbaikan pipa distribusi air tanah 1.618 km, perbaikan bangunan rumah pompa, penggantian mesin pompa dan atau penggerak</v>
      </c>
      <c r="AT82" s="245">
        <f>DATA!AT79</f>
        <v>100000000</v>
      </c>
      <c r="AU82" s="109" t="str">
        <f>DATA!AU79</f>
        <v>JICA</v>
      </c>
      <c r="AV82" s="246" t="str">
        <f>DATA!AW79</f>
        <v>-</v>
      </c>
    </row>
    <row r="83" spans="1:51" ht="38.25" customHeight="1">
      <c r="A83" s="10">
        <f>DATA!A80</f>
        <v>62</v>
      </c>
      <c r="B83" s="10">
        <f>DATA!B80</f>
        <v>0</v>
      </c>
      <c r="C83" s="10" t="str">
        <f>DATA!D80</f>
        <v>INFRASTRUKTUR</v>
      </c>
      <c r="D83" s="10">
        <f>DATA!E80</f>
        <v>1</v>
      </c>
      <c r="E83" s="10" t="str">
        <f>DATA!F80</f>
        <v>Kementerian Pekerjaan Umum dan Perumahan Rakyat</v>
      </c>
      <c r="F83" s="10" t="str">
        <f>DATA!H80</f>
        <v xml:space="preserve">Development and Management of Irrigation Program </v>
      </c>
      <c r="G83" s="10" t="str">
        <f>DATA!I80</f>
        <v>I</v>
      </c>
      <c r="H83" s="10" t="str">
        <f>DATA!J80</f>
        <v>Program Pengembangan dan Pengelolaan Irigasi</v>
      </c>
      <c r="I83" s="10">
        <f>DATA!K80</f>
        <v>10</v>
      </c>
      <c r="J83" s="181"/>
      <c r="K83" s="34"/>
      <c r="L83" s="54"/>
      <c r="M83" s="36">
        <v>56</v>
      </c>
      <c r="N83" s="37" t="str">
        <f>DATA!L80</f>
        <v>Engineering Service for Irrigation and Low Land Development Project</v>
      </c>
      <c r="O83" s="20">
        <f>DATA!Q80</f>
        <v>1</v>
      </c>
      <c r="P83" s="20">
        <f>DATA!R80</f>
        <v>1</v>
      </c>
      <c r="Q83" s="186">
        <f>DATA!S80</f>
        <v>53</v>
      </c>
      <c r="R83" s="187">
        <f>DATA!T80</f>
        <v>100000000</v>
      </c>
      <c r="S83" s="203">
        <f>DATA!U80</f>
        <v>100000000</v>
      </c>
      <c r="T83" s="77">
        <f>DATA!V80</f>
        <v>0</v>
      </c>
      <c r="U83" s="77">
        <f>DATA!W80</f>
        <v>0</v>
      </c>
      <c r="V83" s="77">
        <f>DATA!X80</f>
        <v>100000000</v>
      </c>
      <c r="W83" s="78" t="str">
        <f>DATA!Y80</f>
        <v>ADB</v>
      </c>
      <c r="X83" s="20" t="str">
        <f>DATA!Z80</f>
        <v>Multilateral</v>
      </c>
      <c r="Y83" s="77">
        <f>DATA!AA80</f>
        <v>100000000</v>
      </c>
      <c r="Z83" s="77">
        <v>0</v>
      </c>
      <c r="AA83" s="216" t="str">
        <f>DATA!Y80</f>
        <v>ADB</v>
      </c>
      <c r="AB83" s="188">
        <f>DATA!AG80</f>
        <v>0</v>
      </c>
      <c r="AC83" s="20">
        <f>DATA!AH80</f>
        <v>2016</v>
      </c>
      <c r="AD83" s="37" t="str">
        <f>DATA!AI80</f>
        <v>- Sudah ada RC- Green Book 2015</v>
      </c>
      <c r="AE83" s="152" t="str">
        <f>DATA!AR80</f>
        <v>- sudah GB 2016  
- Nilai pinjaman di GB 38.100 ribu</v>
      </c>
      <c r="AF83" s="152" t="str">
        <f>DATA!AN80</f>
        <v>siap</v>
      </c>
      <c r="AG83" s="152" t="str">
        <f>DATA!AO80</f>
        <v>tidak butuh lahan</v>
      </c>
      <c r="AH83" s="37" t="str">
        <f>DATA!AJ80</f>
        <v>FS, DED</v>
      </c>
      <c r="AI83" s="37" t="str">
        <f>DATA!AK80</f>
        <v>Tidak membutuhkan lahan</v>
      </c>
      <c r="AJ83" s="230" t="str">
        <f>DATA!AL80</f>
        <v>Belum ada tender/lelang</v>
      </c>
      <c r="AK83" s="231" t="str">
        <f>DATA!AR80</f>
        <v>- sudah GB 2016  
- Nilai pinjaman di GB 38.100 ribu</v>
      </c>
      <c r="AL83" s="20" t="str">
        <f>DATA!AN80</f>
        <v>siap</v>
      </c>
      <c r="AM83" s="20" t="str">
        <f>DATA!AO80</f>
        <v>tidak butuh lahan</v>
      </c>
      <c r="AN83" s="20" t="str">
        <f>DATA!AP80</f>
        <v>belum ada proses tender/lelang</v>
      </c>
      <c r="AO83"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P83" s="20" t="e">
        <f>DATA!#REF!</f>
        <v>#REF!</v>
      </c>
      <c r="AQ83" s="20">
        <f>DATA!AZ80</f>
        <v>0</v>
      </c>
      <c r="AR83" s="152" t="e">
        <f>DATA!#REF!</f>
        <v>#REF!</v>
      </c>
      <c r="AS83" s="199"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c r="AT83" s="245">
        <f>DATA!AT80</f>
        <v>100000000</v>
      </c>
      <c r="AU83" s="109" t="str">
        <f>DATA!AU80</f>
        <v>ADB</v>
      </c>
      <c r="AV83" s="246" t="str">
        <f>DATA!AW80</f>
        <v>-</v>
      </c>
    </row>
    <row r="84" spans="1:51" s="5" customFormat="1" ht="33.75" customHeight="1">
      <c r="J84" s="180"/>
      <c r="K84" s="50"/>
      <c r="L84" s="30" t="str">
        <f>DATA!I81</f>
        <v>J</v>
      </c>
      <c r="M84" s="31" t="str">
        <f>DATA!J81</f>
        <v xml:space="preserve">Program Penyediaan dan Pengelolaan Air Baku </v>
      </c>
      <c r="N84" s="51"/>
      <c r="O84" s="31"/>
      <c r="P84" s="31"/>
      <c r="Q84" s="196"/>
      <c r="R84" s="197">
        <f>SUM(R85:R87)</f>
        <v>623862000</v>
      </c>
      <c r="S84" s="198">
        <f t="shared" ref="S84:AU84" si="10">SUM(S85:S87)</f>
        <v>623862000</v>
      </c>
      <c r="T84" s="81">
        <f t="shared" si="10"/>
        <v>201074000</v>
      </c>
      <c r="U84" s="81">
        <f t="shared" si="10"/>
        <v>0</v>
      </c>
      <c r="V84" s="81">
        <f t="shared" si="10"/>
        <v>824936000</v>
      </c>
      <c r="W84" s="81">
        <f t="shared" si="10"/>
        <v>0</v>
      </c>
      <c r="X84" s="81">
        <f t="shared" si="10"/>
        <v>0</v>
      </c>
      <c r="Y84" s="81">
        <f t="shared" si="10"/>
        <v>623862000</v>
      </c>
      <c r="Z84" s="81">
        <f t="shared" si="10"/>
        <v>0</v>
      </c>
      <c r="AA84" s="214">
        <f t="shared" si="10"/>
        <v>0</v>
      </c>
      <c r="AB84" s="198">
        <f t="shared" si="10"/>
        <v>0</v>
      </c>
      <c r="AC84" s="81">
        <f t="shared" si="10"/>
        <v>2016</v>
      </c>
      <c r="AD84" s="81">
        <f t="shared" si="10"/>
        <v>0</v>
      </c>
      <c r="AE84" s="81">
        <f t="shared" si="10"/>
        <v>0</v>
      </c>
      <c r="AF84" s="81">
        <f t="shared" si="10"/>
        <v>0</v>
      </c>
      <c r="AG84" s="81">
        <f t="shared" si="10"/>
        <v>0</v>
      </c>
      <c r="AH84" s="81">
        <f t="shared" si="10"/>
        <v>0</v>
      </c>
      <c r="AI84" s="81">
        <f t="shared" si="10"/>
        <v>0</v>
      </c>
      <c r="AJ84" s="229">
        <f t="shared" si="10"/>
        <v>0</v>
      </c>
      <c r="AK84" s="198">
        <f t="shared" si="10"/>
        <v>0</v>
      </c>
      <c r="AL84" s="81">
        <f t="shared" si="10"/>
        <v>0</v>
      </c>
      <c r="AM84" s="81">
        <f t="shared" si="10"/>
        <v>0</v>
      </c>
      <c r="AN84" s="81">
        <f t="shared" si="10"/>
        <v>0</v>
      </c>
      <c r="AO84" s="81">
        <f t="shared" si="10"/>
        <v>0</v>
      </c>
      <c r="AP84" s="81" t="e">
        <f t="shared" si="10"/>
        <v>#REF!</v>
      </c>
      <c r="AQ84" s="81">
        <f t="shared" si="10"/>
        <v>0</v>
      </c>
      <c r="AR84" s="81" t="e">
        <f t="shared" si="10"/>
        <v>#REF!</v>
      </c>
      <c r="AS84" s="243">
        <f t="shared" si="10"/>
        <v>0</v>
      </c>
      <c r="AT84" s="244">
        <f t="shared" si="10"/>
        <v>623862000</v>
      </c>
      <c r="AU84" s="81">
        <f t="shared" si="10"/>
        <v>0</v>
      </c>
      <c r="AV84" s="229"/>
    </row>
    <row r="85" spans="1:51" ht="38.25" customHeight="1">
      <c r="A85" s="10">
        <f>DATA!A81</f>
        <v>63</v>
      </c>
      <c r="B85" s="10">
        <f>DATA!B81</f>
        <v>0</v>
      </c>
      <c r="C85" s="10" t="str">
        <f>DATA!D81</f>
        <v>INFRASTRUKTUR</v>
      </c>
      <c r="D85" s="10">
        <f>DATA!E81</f>
        <v>1</v>
      </c>
      <c r="E85" s="10" t="str">
        <f>DATA!F81</f>
        <v>Kementerian Pekerjaan Umum dan Perumahan Rakyat</v>
      </c>
      <c r="F85" s="10" t="str">
        <f>DATA!H81</f>
        <v>Provision and Management of Bulk Water Supply Program</v>
      </c>
      <c r="G85" s="10" t="str">
        <f>DATA!I81</f>
        <v>J</v>
      </c>
      <c r="H85" s="10" t="str">
        <f>DATA!J81</f>
        <v xml:space="preserve">Program Penyediaan dan Pengelolaan Air Baku </v>
      </c>
      <c r="I85" s="10">
        <f>DATA!K81</f>
        <v>1</v>
      </c>
      <c r="J85" s="181"/>
      <c r="K85" s="34"/>
      <c r="L85" s="35"/>
      <c r="M85" s="36">
        <v>57</v>
      </c>
      <c r="N85" s="37" t="str">
        <f>DATA!L81</f>
        <v>Integrated Citarum Water Resources Management Investment Program II</v>
      </c>
      <c r="O85" s="20">
        <f>DATA!Q81</f>
        <v>1</v>
      </c>
      <c r="P85" s="20">
        <f>DATA!R81</f>
        <v>1</v>
      </c>
      <c r="Q85" s="186">
        <f>DATA!S81</f>
        <v>54</v>
      </c>
      <c r="R85" s="187">
        <f>DATA!T81</f>
        <v>200000000</v>
      </c>
      <c r="S85" s="203">
        <f>DATA!U81</f>
        <v>200000000</v>
      </c>
      <c r="T85" s="77">
        <f>DATA!V81</f>
        <v>20000000</v>
      </c>
      <c r="U85" s="77">
        <f>DATA!W81</f>
        <v>0</v>
      </c>
      <c r="V85" s="77">
        <f>DATA!X81</f>
        <v>220000000</v>
      </c>
      <c r="W85" s="78" t="str">
        <f>DATA!Y81</f>
        <v>ADB</v>
      </c>
      <c r="X85" s="20" t="str">
        <f>DATA!Z81</f>
        <v>Multilateral</v>
      </c>
      <c r="Y85" s="77">
        <f>DATA!AA81</f>
        <v>200000000</v>
      </c>
      <c r="Z85" s="77">
        <v>0</v>
      </c>
      <c r="AA85" s="216" t="str">
        <f>DATA!Y81</f>
        <v>ADB</v>
      </c>
      <c r="AB85" s="188">
        <f>DATA!AG81</f>
        <v>0</v>
      </c>
      <c r="AC85" s="20" t="str">
        <f>DATA!AH81</f>
        <v>Tanpa keterangan</v>
      </c>
      <c r="AD85" s="37" t="str">
        <f>DATA!AI81</f>
        <v>-</v>
      </c>
      <c r="AE85" s="152" t="str">
        <f>DATA!AR81</f>
        <v>belum ada dokumen R/C</v>
      </c>
      <c r="AF85" s="152" t="str">
        <f>DATA!AN81</f>
        <v>dalam proses
(memiliki FS dan DED)</v>
      </c>
      <c r="AG85" s="152" t="str">
        <f>DATA!AO81</f>
        <v>dalam proses
(perencanaan)</v>
      </c>
      <c r="AH85" s="37" t="str">
        <f>DATA!AJ81</f>
        <v>FS, DED</v>
      </c>
      <c r="AI85" s="37" t="str">
        <f>DATA!AK81</f>
        <v>Penyusunan dokumen LARAP</v>
      </c>
      <c r="AJ85" s="230" t="str">
        <f>DATA!AL81</f>
        <v>-</v>
      </c>
      <c r="AK85" s="231" t="str">
        <f>DATA!AR81</f>
        <v>belum ada dokumen R/C</v>
      </c>
      <c r="AL85" s="20" t="str">
        <f>DATA!AN81</f>
        <v>dalam proses
(memiliki FS dan DED)</v>
      </c>
      <c r="AM85" s="20" t="str">
        <f>DATA!AO81</f>
        <v>dalam proses
(perencanaan)</v>
      </c>
      <c r="AN85" s="20" t="str">
        <f>DATA!AP81</f>
        <v>belum ada proses tender/lelang</v>
      </c>
      <c r="AO85" s="20" t="str">
        <f>DATA!AY81</f>
        <v>Konfirmasi melalui surat Sekjen nomor KU.01.12-Sj/636 tgl 23 Oktober 2015</v>
      </c>
      <c r="AP85" s="20" t="e">
        <f>DATA!#REF!</f>
        <v>#REF!</v>
      </c>
      <c r="AQ85" s="20" t="str">
        <f>DATA!AZ81</f>
        <v>ada penolakan dari ADB untuk membiayai kegiatan ini (info P'Dewo)</v>
      </c>
      <c r="AR85" s="152" t="e">
        <f>DATA!#REF!</f>
        <v>#REF!</v>
      </c>
      <c r="AS85" s="199" t="str">
        <f>DATA!BA81</f>
        <v>Pengembangan air baku di sungai citarum dan sekeliling bandung untuk memenuhi kebutuhan air baku lebih kurang 1,5 m3/det di Bandung serta menghindari erosi sungai Citarum</v>
      </c>
      <c r="AT85" s="245">
        <f>DATA!AT81</f>
        <v>200000000</v>
      </c>
      <c r="AU85" s="109" t="str">
        <f>DATA!AU81</f>
        <v>ADB</v>
      </c>
      <c r="AV85" s="246" t="str">
        <f>DATA!AW81</f>
        <v>-</v>
      </c>
    </row>
    <row r="86" spans="1:51" ht="46.5" customHeight="1">
      <c r="A86" s="10">
        <f>DATA!A82</f>
        <v>64</v>
      </c>
      <c r="B86" s="10">
        <f>DATA!B82</f>
        <v>0</v>
      </c>
      <c r="C86" s="10" t="str">
        <f>DATA!D82</f>
        <v>INFRASTRUKTUR</v>
      </c>
      <c r="D86" s="10">
        <f>DATA!E82</f>
        <v>1</v>
      </c>
      <c r="E86" s="10" t="str">
        <f>DATA!F82</f>
        <v>Kementerian Pekerjaan Umum dan Perumahan Rakyat</v>
      </c>
      <c r="F86" s="10" t="str">
        <f>DATA!H82</f>
        <v>Provision and Management of Bulk Water Supply Program</v>
      </c>
      <c r="G86" s="10" t="str">
        <f>DATA!I82</f>
        <v>I</v>
      </c>
      <c r="H86" s="10" t="str">
        <f>DATA!J82</f>
        <v xml:space="preserve">Program Penyediaan dan Pengelolaan Air Baku </v>
      </c>
      <c r="I86" s="10">
        <f>DATA!K82</f>
        <v>2</v>
      </c>
      <c r="J86" s="181"/>
      <c r="K86" s="34"/>
      <c r="L86" s="34"/>
      <c r="M86" s="36">
        <v>58</v>
      </c>
      <c r="N86" s="37" t="str">
        <f>DATA!L82</f>
        <v>Karian Dam-Serpong Water Conveyance and Supply System Project</v>
      </c>
      <c r="O86" s="20">
        <f>DATA!Q82</f>
        <v>1</v>
      </c>
      <c r="P86" s="20">
        <f>DATA!R82</f>
        <v>1</v>
      </c>
      <c r="Q86" s="186">
        <f>DATA!S82</f>
        <v>55</v>
      </c>
      <c r="R86" s="187">
        <f>DATA!T82</f>
        <v>373862000</v>
      </c>
      <c r="S86" s="203">
        <f>DATA!U82</f>
        <v>373862000</v>
      </c>
      <c r="T86" s="77">
        <f>DATA!V82</f>
        <v>181074000</v>
      </c>
      <c r="U86" s="77">
        <f>DATA!W82</f>
        <v>0</v>
      </c>
      <c r="V86" s="77">
        <f>DATA!X82</f>
        <v>554936000</v>
      </c>
      <c r="W86" s="78" t="str">
        <f>DATA!Y82</f>
        <v>Korea</v>
      </c>
      <c r="X86" s="20" t="str">
        <f>DATA!Z82</f>
        <v>Bilateral</v>
      </c>
      <c r="Y86" s="77">
        <f>DATA!AA82</f>
        <v>373862000</v>
      </c>
      <c r="Z86" s="77">
        <v>0</v>
      </c>
      <c r="AA86" s="216" t="str">
        <f>DATA!Y82</f>
        <v>Korea</v>
      </c>
      <c r="AB86" s="188">
        <f>DATA!AG82</f>
        <v>0</v>
      </c>
      <c r="AC86" s="20" t="str">
        <f>DATA!AH82</f>
        <v>Tanpa keterangan</v>
      </c>
      <c r="AD86" s="37" t="str">
        <f>DATA!AI82</f>
        <v>-</v>
      </c>
      <c r="AE86" s="152" t="str">
        <f>DATA!AR82</f>
        <v>belum ada dokumen R/C</v>
      </c>
      <c r="AF86" s="152" t="str">
        <f>DATA!AN82</f>
        <v>dalam proses
(memiliki FS)</v>
      </c>
      <c r="AG86" s="152" t="str">
        <f>DATA!AO82</f>
        <v>dalam proses
(perencanaan)</v>
      </c>
      <c r="AH86" s="37" t="str">
        <f>DATA!AJ82</f>
        <v>FS</v>
      </c>
      <c r="AI86" s="37" t="str">
        <f>DATA!AK82</f>
        <v>Persiapan penyusunan dokumen LARAP</v>
      </c>
      <c r="AJ86" s="230" t="str">
        <f>DATA!AL82</f>
        <v>-</v>
      </c>
      <c r="AK86" s="231" t="str">
        <f>DATA!AR82</f>
        <v>belum ada dokumen R/C</v>
      </c>
      <c r="AL86" s="20" t="str">
        <f>DATA!AN82</f>
        <v>dalam proses
(memiliki FS)</v>
      </c>
      <c r="AM86" s="20" t="str">
        <f>DATA!AO82</f>
        <v>dalam proses
(perencanaan)</v>
      </c>
      <c r="AN86" s="20" t="str">
        <f>DATA!AP82</f>
        <v>belum ada proses tender/lelang</v>
      </c>
      <c r="AO86" s="20" t="str">
        <f>DATA!AY82</f>
        <v>Konfirmasi melalui surat Sekjen nomor KU.01.12-Sj/636 tgl 23 Oktober 2015</v>
      </c>
      <c r="AP86" s="20" t="e">
        <f>DATA!#REF!</f>
        <v>#REF!</v>
      </c>
      <c r="AQ86" s="20">
        <f>DATA!AZ82</f>
        <v>0</v>
      </c>
      <c r="AR86" s="152" t="e">
        <f>DATA!#REF!</f>
        <v>#REF!</v>
      </c>
      <c r="AS86" s="199" t="str">
        <f>DATA!BA82</f>
        <v>Pembangunan sistem air baku sepanjang 47,9 km dari Bendungan Karian ke Serpong untuk meningkatkan pasokan air di Banten dan Jakarta</v>
      </c>
      <c r="AT86" s="245">
        <f>DATA!AT82</f>
        <v>373862000</v>
      </c>
      <c r="AU86" s="109" t="str">
        <f>DATA!AU82</f>
        <v>Korea</v>
      </c>
      <c r="AV86" s="246" t="str">
        <f>DATA!AW82</f>
        <v>masuk rolling plan EDCF (Korea)</v>
      </c>
    </row>
    <row r="87" spans="1:51" ht="48" customHeight="1">
      <c r="A87" s="10">
        <f>DATA!A83</f>
        <v>65</v>
      </c>
      <c r="B87" s="10">
        <f>DATA!B83</f>
        <v>0</v>
      </c>
      <c r="C87" s="10" t="str">
        <f>DATA!D83</f>
        <v>INFRASTRUKTUR</v>
      </c>
      <c r="D87" s="10">
        <f>DATA!E83</f>
        <v>1</v>
      </c>
      <c r="E87" s="10" t="str">
        <f>DATA!F83</f>
        <v>Kementerian Pekerjaan Umum dan Perumahan Rakyat</v>
      </c>
      <c r="F87" s="10" t="str">
        <f>DATA!H83</f>
        <v>Provision and Management of Bulk Water Supply Program</v>
      </c>
      <c r="G87" s="10" t="str">
        <f>DATA!I83</f>
        <v>I</v>
      </c>
      <c r="H87" s="10" t="str">
        <f>DATA!J83</f>
        <v xml:space="preserve">Program Penyediaan dan Pengelolaan Air Baku </v>
      </c>
      <c r="I87" s="10">
        <f>DATA!K83</f>
        <v>3</v>
      </c>
      <c r="J87" s="181"/>
      <c r="K87" s="34"/>
      <c r="L87" s="54"/>
      <c r="M87" s="36">
        <v>59</v>
      </c>
      <c r="N87" s="37" t="str">
        <f>DATA!L83</f>
        <v>Engineering Service for Bulk Water and Water Supply Development Project</v>
      </c>
      <c r="O87" s="20">
        <f>DATA!Q83</f>
        <v>1</v>
      </c>
      <c r="P87" s="20">
        <f>DATA!R83</f>
        <v>1</v>
      </c>
      <c r="Q87" s="186">
        <f>DATA!S83</f>
        <v>56</v>
      </c>
      <c r="R87" s="187">
        <f>DATA!T83</f>
        <v>50000000</v>
      </c>
      <c r="S87" s="203">
        <f>DATA!U83</f>
        <v>50000000</v>
      </c>
      <c r="T87" s="77">
        <f>DATA!V83</f>
        <v>0</v>
      </c>
      <c r="U87" s="77">
        <f>DATA!W83</f>
        <v>0</v>
      </c>
      <c r="V87" s="77">
        <f>DATA!X83</f>
        <v>50000000</v>
      </c>
      <c r="W87" s="78" t="str">
        <f>DATA!Y83</f>
        <v>ADB</v>
      </c>
      <c r="X87" s="20" t="str">
        <f>DATA!Z83</f>
        <v>Multilateral</v>
      </c>
      <c r="Y87" s="77">
        <f>DATA!AA83</f>
        <v>50000000</v>
      </c>
      <c r="Z87" s="77">
        <v>0</v>
      </c>
      <c r="AA87" s="216" t="str">
        <f>DATA!Y83</f>
        <v>ADB</v>
      </c>
      <c r="AB87" s="188">
        <f>DATA!AG83</f>
        <v>0</v>
      </c>
      <c r="AC87" s="20">
        <f>DATA!AH83</f>
        <v>2016</v>
      </c>
      <c r="AD87" s="37" t="str">
        <f>DATA!AI83</f>
        <v>- Sudah ada RC
- Green Book 2015</v>
      </c>
      <c r="AE87" s="152" t="str">
        <f>DATA!AR83</f>
        <v>- sudah GB 2016  
- Nilai pinjaman di GB USD 2.000 ribu</v>
      </c>
      <c r="AF87" s="152" t="str">
        <f>DATA!AN83</f>
        <v>siap</v>
      </c>
      <c r="AG87" s="152" t="str">
        <f>DATA!AO83</f>
        <v>tidak butuh lahan</v>
      </c>
      <c r="AH87" s="37" t="str">
        <f>DATA!AJ83</f>
        <v>FS, DED</v>
      </c>
      <c r="AI87" s="37" t="str">
        <f>DATA!AK83</f>
        <v>Tidak membutuhkan lahan</v>
      </c>
      <c r="AJ87" s="230" t="str">
        <f>DATA!AL83</f>
        <v>Belum ada tender/lelang</v>
      </c>
      <c r="AK87" s="231" t="str">
        <f>DATA!AR83</f>
        <v>- sudah GB 2016  
- Nilai pinjaman di GB USD 2.000 ribu</v>
      </c>
      <c r="AL87" s="20" t="str">
        <f>DATA!AN83</f>
        <v>siap</v>
      </c>
      <c r="AM87" s="20" t="str">
        <f>DATA!AO83</f>
        <v>tidak butuh lahan</v>
      </c>
      <c r="AN87" s="20" t="str">
        <f>DATA!AP83</f>
        <v>belum ada proses tender/lelang</v>
      </c>
      <c r="AO87"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P87" s="20" t="e">
        <f>DATA!#REF!</f>
        <v>#REF!</v>
      </c>
      <c r="AQ87" s="20">
        <f>DATA!AZ83</f>
        <v>0</v>
      </c>
      <c r="AR87" s="152" t="e">
        <f>DATA!#REF!</f>
        <v>#REF!</v>
      </c>
      <c r="AS87" s="199" t="str">
        <f>DATA!BA83</f>
        <v>Membuat perencanaan dan analisis untuk mendukung pembangunan sistem air baku dan menyediakan fasilitas pendukung pengembangan air baku masyarakat</v>
      </c>
      <c r="AT87" s="245">
        <f>DATA!AT83</f>
        <v>50000000</v>
      </c>
      <c r="AU87" s="109" t="str">
        <f>DATA!AU83</f>
        <v>ADB</v>
      </c>
      <c r="AV87" s="246" t="str">
        <f>DATA!AW83</f>
        <v>-</v>
      </c>
    </row>
    <row r="88" spans="1:51" s="5" customFormat="1" ht="33.75" customHeight="1">
      <c r="J88" s="180"/>
      <c r="K88" s="50"/>
      <c r="L88" s="30" t="str">
        <f>DATA!I84</f>
        <v>J</v>
      </c>
      <c r="M88" s="31" t="str">
        <f>DATA!J84</f>
        <v xml:space="preserve">Program Pembangunan Waduk </v>
      </c>
      <c r="N88" s="51"/>
      <c r="O88" s="31"/>
      <c r="P88" s="31"/>
      <c r="Q88" s="196"/>
      <c r="R88" s="197">
        <f t="shared" ref="R88:AU88" si="11">SUM(R89:R101)</f>
        <v>2133750000</v>
      </c>
      <c r="S88" s="198">
        <f t="shared" si="11"/>
        <v>2033750000</v>
      </c>
      <c r="T88" s="81">
        <f t="shared" si="11"/>
        <v>963200000</v>
      </c>
      <c r="U88" s="81">
        <f t="shared" si="11"/>
        <v>0</v>
      </c>
      <c r="V88" s="81">
        <f t="shared" si="11"/>
        <v>2996950000</v>
      </c>
      <c r="W88" s="81">
        <f t="shared" si="11"/>
        <v>0</v>
      </c>
      <c r="X88" s="81">
        <f t="shared" si="11"/>
        <v>0</v>
      </c>
      <c r="Y88" s="81">
        <f t="shared" si="11"/>
        <v>2057358596</v>
      </c>
      <c r="Z88" s="81">
        <f t="shared" si="11"/>
        <v>76391404</v>
      </c>
      <c r="AA88" s="214">
        <f t="shared" si="11"/>
        <v>0</v>
      </c>
      <c r="AB88" s="198">
        <f t="shared" si="11"/>
        <v>-76391404</v>
      </c>
      <c r="AC88" s="81">
        <f t="shared" si="11"/>
        <v>22187</v>
      </c>
      <c r="AD88" s="81">
        <f t="shared" si="11"/>
        <v>0</v>
      </c>
      <c r="AE88" s="81">
        <f t="shared" si="11"/>
        <v>2016</v>
      </c>
      <c r="AF88" s="81">
        <f t="shared" si="11"/>
        <v>0</v>
      </c>
      <c r="AG88" s="81">
        <f t="shared" si="11"/>
        <v>0</v>
      </c>
      <c r="AH88" s="81">
        <f t="shared" si="11"/>
        <v>0</v>
      </c>
      <c r="AI88" s="81">
        <f t="shared" si="11"/>
        <v>0</v>
      </c>
      <c r="AJ88" s="229">
        <f t="shared" si="11"/>
        <v>0</v>
      </c>
      <c r="AK88" s="198">
        <f t="shared" si="11"/>
        <v>2016</v>
      </c>
      <c r="AL88" s="81">
        <f t="shared" si="11"/>
        <v>0</v>
      </c>
      <c r="AM88" s="81">
        <f t="shared" si="11"/>
        <v>0</v>
      </c>
      <c r="AN88" s="81">
        <f t="shared" si="11"/>
        <v>0</v>
      </c>
      <c r="AO88" s="81">
        <f t="shared" si="11"/>
        <v>0</v>
      </c>
      <c r="AP88" s="81" t="e">
        <f t="shared" si="11"/>
        <v>#REF!</v>
      </c>
      <c r="AQ88" s="81">
        <f t="shared" si="11"/>
        <v>0</v>
      </c>
      <c r="AR88" s="81" t="e">
        <f t="shared" si="11"/>
        <v>#REF!</v>
      </c>
      <c r="AS88" s="243">
        <f t="shared" si="11"/>
        <v>0</v>
      </c>
      <c r="AT88" s="244">
        <f t="shared" si="11"/>
        <v>2133750000</v>
      </c>
      <c r="AU88" s="81">
        <f t="shared" si="11"/>
        <v>0</v>
      </c>
      <c r="AV88" s="229"/>
      <c r="AY88" s="253"/>
    </row>
    <row r="89" spans="1:51" ht="30" customHeight="1">
      <c r="A89" s="10">
        <f>DATA!A84</f>
        <v>66</v>
      </c>
      <c r="B89" s="10">
        <f>DATA!B84</f>
        <v>0</v>
      </c>
      <c r="C89" s="10" t="str">
        <f>DATA!D84</f>
        <v>INFRASTRUKTUR</v>
      </c>
      <c r="D89" s="10">
        <f>DATA!E84</f>
        <v>1</v>
      </c>
      <c r="E89" s="10" t="str">
        <f>DATA!F84</f>
        <v>Kementerian Pekerjaan Umum dan Perumahan Rakyat</v>
      </c>
      <c r="F89" s="10" t="str">
        <f>DATA!H84</f>
        <v>Dam Development Program</v>
      </c>
      <c r="G89" s="10" t="str">
        <f>DATA!I84</f>
        <v>J</v>
      </c>
      <c r="H89" s="10" t="str">
        <f>DATA!J84</f>
        <v xml:space="preserve">Program Pembangunan Waduk </v>
      </c>
      <c r="I89" s="10">
        <f>DATA!K84</f>
        <v>1</v>
      </c>
      <c r="J89" s="181"/>
      <c r="K89" s="34"/>
      <c r="L89" s="35"/>
      <c r="M89" s="36">
        <v>60</v>
      </c>
      <c r="N89" s="37" t="str">
        <f>DATA!L84</f>
        <v>Jambo Aye Multipurpose Dam Project</v>
      </c>
      <c r="O89" s="20">
        <f>DATA!Q84</f>
        <v>1</v>
      </c>
      <c r="P89" s="20">
        <f>DATA!R84</f>
        <v>1</v>
      </c>
      <c r="Q89" s="186">
        <f>DATA!S84</f>
        <v>57</v>
      </c>
      <c r="R89" s="187">
        <f>DATA!T84</f>
        <v>662200000</v>
      </c>
      <c r="S89" s="203">
        <f>DATA!U84</f>
        <v>662200000</v>
      </c>
      <c r="T89" s="77">
        <f>DATA!V84</f>
        <v>460700000</v>
      </c>
      <c r="U89" s="77">
        <f>DATA!W84</f>
        <v>0</v>
      </c>
      <c r="V89" s="77">
        <f>DATA!X84</f>
        <v>1122900000</v>
      </c>
      <c r="W89" s="78" t="str">
        <f>DATA!Y84</f>
        <v>Rupiah Murni</v>
      </c>
      <c r="X89" s="20" t="str">
        <f>DATA!Z84</f>
        <v>Pendanaan Dengan Rupiah Murni</v>
      </c>
      <c r="Y89" s="77">
        <f>DATA!AA84</f>
        <v>662200000</v>
      </c>
      <c r="Z89" s="77">
        <v>0</v>
      </c>
      <c r="AA89" s="216" t="str">
        <f>DATA!Y84</f>
        <v>Rupiah Murni</v>
      </c>
      <c r="AB89" s="188">
        <f>DATA!AG84</f>
        <v>0</v>
      </c>
      <c r="AC89" s="20">
        <f>DATA!AH84</f>
        <v>2018</v>
      </c>
      <c r="AD89" s="37" t="str">
        <f>DATA!AI84</f>
        <v>-</v>
      </c>
      <c r="AE89" s="152" t="str">
        <f>DATA!AR84</f>
        <v>belum ada dokumen R/C</v>
      </c>
      <c r="AF89" s="152" t="str">
        <f>DATA!AN84</f>
        <v>belum ada keterangan</v>
      </c>
      <c r="AG89" s="152" t="str">
        <f>DATA!AO84</f>
        <v>dalam proses
(perencanaan)</v>
      </c>
      <c r="AH89" s="37" t="str">
        <f>DATA!AJ84</f>
        <v xml:space="preserve">AMDAL siap dan penyiapan Review DED </v>
      </c>
      <c r="AI89" s="37" t="str">
        <f>DATA!AK84</f>
        <v>LARAP</v>
      </c>
      <c r="AJ89" s="230" t="str">
        <f>DATA!AL84</f>
        <v>-</v>
      </c>
      <c r="AK89" s="231" t="str">
        <f>DATA!AR84</f>
        <v>belum ada dokumen R/C</v>
      </c>
      <c r="AL89" s="20" t="str">
        <f>DATA!AN84</f>
        <v>belum ada keterangan</v>
      </c>
      <c r="AM89" s="20" t="str">
        <f>DATA!AO84</f>
        <v>dalam proses
(perencanaan)</v>
      </c>
      <c r="AN89" s="20" t="str">
        <f>DATA!AP84</f>
        <v>belum ada proses tender/lelang</v>
      </c>
      <c r="AO89" s="20" t="str">
        <f>DATA!AY84</f>
        <v>- Konfirmasi melalui surat Sekjen nomor KU.01.12-Sj/636 tgl 23 Oktober 2015
- Kegiatan akan dilaksanakan oleh pendanaan rupiah murni APBN</v>
      </c>
      <c r="AP89" s="20" t="e">
        <f>DATA!#REF!</f>
        <v>#REF!</v>
      </c>
      <c r="AQ89" s="20">
        <f>DATA!AZ84</f>
        <v>0</v>
      </c>
      <c r="AR89" s="152" t="e">
        <f>DATA!#REF!</f>
        <v>#REF!</v>
      </c>
      <c r="AS89" s="199" t="str">
        <f>DATA!BA84</f>
        <v>Meningkatkan luas areal irigasi sebesar ± 10.000 Ha dengan perbaikan akses jalan, relokasi penduduk, pembebasan lahan, pekerajaan pengelakan sungai jambo aye dan reubek, pembangunan bendungan dan pendukung lainnya, pembangunan fasilitas PLTA 106 MW</v>
      </c>
      <c r="AT89" s="245">
        <f>DATA!AT84</f>
        <v>662200000</v>
      </c>
      <c r="AU89" s="109" t="str">
        <f>DATA!AU84</f>
        <v>Belum Ada Indikasi</v>
      </c>
      <c r="AV89" s="246" t="str">
        <f>DATA!AW84</f>
        <v>-</v>
      </c>
      <c r="AY89" s="174">
        <f>Y88+Z88-AT88</f>
        <v>0</v>
      </c>
    </row>
    <row r="90" spans="1:51" ht="30" customHeight="1">
      <c r="A90" s="10">
        <f>DATA!A85</f>
        <v>67</v>
      </c>
      <c r="B90" s="10">
        <f>DATA!B85</f>
        <v>0</v>
      </c>
      <c r="C90" s="10" t="str">
        <f>DATA!D85</f>
        <v>INFRASTRUKTUR</v>
      </c>
      <c r="D90" s="10">
        <f>DATA!E85</f>
        <v>1</v>
      </c>
      <c r="E90" s="10" t="str">
        <f>DATA!F85</f>
        <v>Kementerian Pekerjaan Umum dan Perumahan Rakyat</v>
      </c>
      <c r="F90" s="10" t="str">
        <f>DATA!H85</f>
        <v>Dam Development Program</v>
      </c>
      <c r="G90" s="10" t="str">
        <f>DATA!I85</f>
        <v>J</v>
      </c>
      <c r="H90" s="10" t="str">
        <f>DATA!J85</f>
        <v xml:space="preserve">Program Pembangunan Waduk </v>
      </c>
      <c r="I90" s="10">
        <f>DATA!K85</f>
        <v>2</v>
      </c>
      <c r="J90" s="181"/>
      <c r="K90" s="34"/>
      <c r="L90" s="34"/>
      <c r="M90" s="36">
        <v>61</v>
      </c>
      <c r="N90" s="37" t="str">
        <f>DATA!L85</f>
        <v>Komering Multipurpose Dam Project - Phase II</v>
      </c>
      <c r="O90" s="20">
        <f>DATA!Q85</f>
        <v>1</v>
      </c>
      <c r="P90" s="20">
        <f>DATA!R85</f>
        <v>1</v>
      </c>
      <c r="Q90" s="186">
        <f>DATA!S85</f>
        <v>58</v>
      </c>
      <c r="R90" s="187">
        <f>DATA!T85</f>
        <v>200000000</v>
      </c>
      <c r="S90" s="203">
        <f>DATA!U85</f>
        <v>200000000</v>
      </c>
      <c r="T90" s="77">
        <f>DATA!V85</f>
        <v>20000000</v>
      </c>
      <c r="U90" s="77">
        <f>DATA!W85</f>
        <v>0</v>
      </c>
      <c r="V90" s="77">
        <f>DATA!X85</f>
        <v>220000000</v>
      </c>
      <c r="W90" s="78" t="str">
        <f>DATA!Y85</f>
        <v>Rupiah Murni</v>
      </c>
      <c r="X90" s="20" t="str">
        <f>DATA!Z85</f>
        <v>Pendanaan Dengan Rupiah Murni</v>
      </c>
      <c r="Y90" s="77">
        <f>DATA!AA85</f>
        <v>200000000</v>
      </c>
      <c r="Z90" s="77">
        <v>0</v>
      </c>
      <c r="AA90" s="216" t="str">
        <f>DATA!Y85</f>
        <v>Rupiah Murni</v>
      </c>
      <c r="AB90" s="188">
        <f>DATA!AG85</f>
        <v>0</v>
      </c>
      <c r="AC90" s="20">
        <f>DATA!AH85</f>
        <v>2016</v>
      </c>
      <c r="AD90" s="37" t="str">
        <f>DATA!AI85</f>
        <v>-</v>
      </c>
      <c r="AE90" s="152" t="str">
        <f>DATA!AR85</f>
        <v>belum ada dokumen R/C</v>
      </c>
      <c r="AF90" s="152" t="str">
        <f>DATA!AN85</f>
        <v>dalam proses
(penyusunan FS)</v>
      </c>
      <c r="AG90" s="152" t="str">
        <f>DATA!AO85</f>
        <v>dalam proses
(perencanaan)</v>
      </c>
      <c r="AH90" s="37" t="str">
        <f>DATA!AJ85</f>
        <v>FS, DED, AMDAL</v>
      </c>
      <c r="AI90" s="37" t="str">
        <f>DATA!AK85</f>
        <v>Revisi RTRW Kabupaten, LARAP</v>
      </c>
      <c r="AJ90" s="230" t="str">
        <f>DATA!AL85</f>
        <v>-</v>
      </c>
      <c r="AK90" s="231" t="str">
        <f>DATA!AR85</f>
        <v>belum ada dokumen R/C</v>
      </c>
      <c r="AL90" s="20" t="str">
        <f>DATA!AN85</f>
        <v>dalam proses
(penyusunan FS)</v>
      </c>
      <c r="AM90" s="20" t="str">
        <f>DATA!AO85</f>
        <v>dalam proses
(perencanaan)</v>
      </c>
      <c r="AN90" s="20" t="str">
        <f>DATA!AP85</f>
        <v>belum ada proses tender/lelang</v>
      </c>
      <c r="AO90" s="20" t="str">
        <f>DATA!AY85</f>
        <v>- Konfirmasi melalui surat Sekjen nomor KU.01.12-Sj/636 tgl 23 Oktober 2015
- Kegiatan akan dilaksanakan oleh pendanaan rupiah murni APBN</v>
      </c>
      <c r="AP90" s="20" t="e">
        <f>DATA!#REF!</f>
        <v>#REF!</v>
      </c>
      <c r="AQ90" s="20">
        <f>DATA!AZ85</f>
        <v>0</v>
      </c>
      <c r="AR90" s="152" t="e">
        <f>DATA!#REF!</f>
        <v>#REF!</v>
      </c>
      <c r="AS90" s="199" t="str">
        <f>DATA!BA85</f>
        <v>Pembangunan bendungan komering 110 juta cm3, pembangunan fasilitas tenaga hidrolik, komponen lunak untuk memperkuat O&amp;P, Hydropower 20,80 MW, pembangunan sistem irigasi utama dan tersier skema Lempuing untuk 8.500 Ha, dan perbaikan fasilitas irigasi yang ada</v>
      </c>
      <c r="AT90" s="245">
        <f>DATA!AT85</f>
        <v>200000000</v>
      </c>
      <c r="AU90" s="109" t="str">
        <f>DATA!AU85</f>
        <v>Belum Ada Indikasi</v>
      </c>
      <c r="AV90" s="246" t="str">
        <f>DATA!AW85</f>
        <v>-</v>
      </c>
    </row>
    <row r="91" spans="1:51" ht="30.75" customHeight="1">
      <c r="A91" s="10">
        <f>DATA!A86</f>
        <v>68</v>
      </c>
      <c r="B91" s="10">
        <f>DATA!B86</f>
        <v>0</v>
      </c>
      <c r="C91" s="10" t="str">
        <f>DATA!D86</f>
        <v>INFRASTRUKTUR</v>
      </c>
      <c r="D91" s="10">
        <f>DATA!E86</f>
        <v>1</v>
      </c>
      <c r="E91" s="10" t="str">
        <f>DATA!F86</f>
        <v>Kementerian Pekerjaan Umum dan Perumahan Rakyat</v>
      </c>
      <c r="F91" s="10" t="str">
        <f>DATA!H86</f>
        <v>Dam Development Program</v>
      </c>
      <c r="G91" s="10" t="str">
        <f>DATA!I86</f>
        <v>J</v>
      </c>
      <c r="H91" s="10" t="str">
        <f>DATA!J86</f>
        <v xml:space="preserve">Program Pembangunan Waduk </v>
      </c>
      <c r="I91" s="10">
        <f>DATA!K86</f>
        <v>3</v>
      </c>
      <c r="J91" s="181"/>
      <c r="K91" s="34"/>
      <c r="L91" s="34"/>
      <c r="M91" s="36">
        <v>62</v>
      </c>
      <c r="N91" s="37" t="str">
        <f>DATA!L86</f>
        <v>Pelosika Multipurpose Dam Construction Project</v>
      </c>
      <c r="O91" s="20">
        <f>DATA!Q86</f>
        <v>1</v>
      </c>
      <c r="P91" s="20">
        <f>DATA!R86</f>
        <v>1</v>
      </c>
      <c r="Q91" s="186">
        <f>DATA!S86</f>
        <v>59</v>
      </c>
      <c r="R91" s="187">
        <f>DATA!T86</f>
        <v>200000000</v>
      </c>
      <c r="S91" s="203">
        <f>DATA!U86</f>
        <v>200000000</v>
      </c>
      <c r="T91" s="77">
        <f>DATA!V86</f>
        <v>170000000</v>
      </c>
      <c r="U91" s="77">
        <f>DATA!W86</f>
        <v>0</v>
      </c>
      <c r="V91" s="77">
        <f>DATA!X86</f>
        <v>370000000</v>
      </c>
      <c r="W91" s="78" t="str">
        <f>DATA!Y86</f>
        <v>Rupiah Murni</v>
      </c>
      <c r="X91" s="20" t="str">
        <f>DATA!Z86</f>
        <v>Pendanaan Dengan Rupiah Murni</v>
      </c>
      <c r="Y91" s="77">
        <f>DATA!AA86</f>
        <v>200000000</v>
      </c>
      <c r="Z91" s="77">
        <v>0</v>
      </c>
      <c r="AA91" s="216" t="str">
        <f>DATA!Y86</f>
        <v>Rupiah Murni</v>
      </c>
      <c r="AB91" s="188">
        <f>DATA!AG86</f>
        <v>0</v>
      </c>
      <c r="AC91" s="20">
        <f>DATA!AH86</f>
        <v>2017</v>
      </c>
      <c r="AD91" s="37" t="str">
        <f>DATA!AI86</f>
        <v>-</v>
      </c>
      <c r="AE91" s="152" t="str">
        <f>DATA!AR86</f>
        <v>belum ada dokumen R/C</v>
      </c>
      <c r="AF91" s="152" t="str">
        <f>DATA!AN86</f>
        <v>dalam proses
(penyusunan FS)</v>
      </c>
      <c r="AG91" s="152" t="str">
        <f>DATA!AO86</f>
        <v>dalam proses
(perencanaan)</v>
      </c>
      <c r="AH91" s="37" t="str">
        <f>DATA!AJ86</f>
        <v>AMDAL, geologi detail 2015 dan Penyiapan Review DED</v>
      </c>
      <c r="AI91" s="37" t="str">
        <f>DATA!AK86</f>
        <v>LARAP</v>
      </c>
      <c r="AJ91" s="230" t="str">
        <f>DATA!AL86</f>
        <v>-</v>
      </c>
      <c r="AK91" s="231" t="str">
        <f>DATA!AR86</f>
        <v>belum ada dokumen R/C</v>
      </c>
      <c r="AL91" s="20" t="str">
        <f>DATA!AN86</f>
        <v>dalam proses
(penyusunan FS)</v>
      </c>
      <c r="AM91" s="20" t="str">
        <f>DATA!AO86</f>
        <v>dalam proses
(perencanaan)</v>
      </c>
      <c r="AN91" s="20" t="str">
        <f>DATA!AP86</f>
        <v>belum ada proses tender/lelang</v>
      </c>
      <c r="AO91" s="20" t="str">
        <f>DATA!AY86</f>
        <v>- Konfirmasi melalui surat Sekjen nomor KU.01.12-Sj/636 tgl 23 Oktober 2015
- Kegiatan akan dilaksanakan oleh pendanaan rupiah murni APBN</v>
      </c>
      <c r="AP91" s="20" t="e">
        <f>DATA!#REF!</f>
        <v>#REF!</v>
      </c>
      <c r="AQ91" s="20">
        <f>DATA!AZ86</f>
        <v>0</v>
      </c>
      <c r="AR91" s="152" t="e">
        <f>DATA!#REF!</f>
        <v>#REF!</v>
      </c>
      <c r="AS91" s="199"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c r="AT91" s="245">
        <f>DATA!AT86</f>
        <v>200000000</v>
      </c>
      <c r="AU91" s="109" t="str">
        <f>DATA!AU86</f>
        <v>RRT</v>
      </c>
      <c r="AV91" s="246" t="str">
        <f>DATA!AW86</f>
        <v>-</v>
      </c>
    </row>
    <row r="92" spans="1:51" ht="34.5" customHeight="1">
      <c r="A92" s="10">
        <f>DATA!A87</f>
        <v>69</v>
      </c>
      <c r="B92" s="10">
        <f>DATA!B87</f>
        <v>0</v>
      </c>
      <c r="C92" s="10" t="str">
        <f>DATA!D87</f>
        <v>INFRASTRUKTUR</v>
      </c>
      <c r="D92" s="10">
        <f>DATA!E87</f>
        <v>1</v>
      </c>
      <c r="E92" s="10" t="str">
        <f>DATA!F87</f>
        <v>Kementerian Pekerjaan Umum dan Perumahan Rakyat</v>
      </c>
      <c r="F92" s="10" t="str">
        <f>DATA!H87</f>
        <v>Dam Development Program</v>
      </c>
      <c r="G92" s="10" t="str">
        <f>DATA!I87</f>
        <v>J</v>
      </c>
      <c r="H92" s="10" t="str">
        <f>DATA!J87</f>
        <v xml:space="preserve">Program Pembangunan Waduk </v>
      </c>
      <c r="I92" s="10">
        <f>DATA!K87</f>
        <v>4</v>
      </c>
      <c r="J92" s="181"/>
      <c r="K92" s="34"/>
      <c r="L92" s="34"/>
      <c r="M92" s="36">
        <v>63</v>
      </c>
      <c r="N92" s="37" t="str">
        <f>DATA!L87</f>
        <v>Lambakan  Dam Project</v>
      </c>
      <c r="O92" s="20">
        <f>DATA!Q87</f>
        <v>1</v>
      </c>
      <c r="P92" s="20">
        <f>DATA!R87</f>
        <v>1</v>
      </c>
      <c r="Q92" s="186">
        <f>DATA!S87</f>
        <v>60</v>
      </c>
      <c r="R92" s="187">
        <f>DATA!T87</f>
        <v>258000000</v>
      </c>
      <c r="S92" s="203">
        <f>DATA!U87</f>
        <v>258000000</v>
      </c>
      <c r="T92" s="77">
        <f>DATA!V87</f>
        <v>227000000</v>
      </c>
      <c r="U92" s="77">
        <f>DATA!W87</f>
        <v>0</v>
      </c>
      <c r="V92" s="77">
        <f>DATA!X87</f>
        <v>485000000</v>
      </c>
      <c r="W92" s="78" t="str">
        <f>DATA!Y87</f>
        <v>IDB</v>
      </c>
      <c r="X92" s="20" t="str">
        <f>DATA!Z87</f>
        <v>Multilateral</v>
      </c>
      <c r="Y92" s="77">
        <f>DATA!AA87</f>
        <v>258000000</v>
      </c>
      <c r="Z92" s="77">
        <v>0</v>
      </c>
      <c r="AA92" s="216" t="str">
        <f>DATA!Y87</f>
        <v>IDB</v>
      </c>
      <c r="AB92" s="188">
        <f>DATA!AG87</f>
        <v>0</v>
      </c>
      <c r="AC92" s="20" t="str">
        <f>DATA!AH87</f>
        <v>Tanpa keterangan</v>
      </c>
      <c r="AD92" s="37" t="str">
        <f>DATA!AI87</f>
        <v>-</v>
      </c>
      <c r="AE92" s="152" t="str">
        <f>DATA!AR87</f>
        <v>belum ada dokumen R/C</v>
      </c>
      <c r="AF92" s="152" t="str">
        <f>DATA!AN87</f>
        <v>dalam proses
(penyusunan FS)</v>
      </c>
      <c r="AG92" s="152" t="str">
        <f>DATA!AO87</f>
        <v>dalam proses
(perencanaan)</v>
      </c>
      <c r="AH92" s="37" t="str">
        <f>DATA!AJ87</f>
        <v>AMDAL (2017), geologi detail 2015 dan Penyiapan Review DED</v>
      </c>
      <c r="AI92" s="37" t="str">
        <f>DATA!AK87</f>
        <v>LARAP (2016)</v>
      </c>
      <c r="AJ92" s="230" t="str">
        <f>DATA!AL87</f>
        <v>-</v>
      </c>
      <c r="AK92" s="231" t="str">
        <f>DATA!AR87</f>
        <v>belum ada dokumen R/C</v>
      </c>
      <c r="AL92" s="20" t="str">
        <f>DATA!AN87</f>
        <v>dalam proses
(penyusunan FS)</v>
      </c>
      <c r="AM92" s="20" t="str">
        <f>DATA!AO87</f>
        <v>dalam proses
(perencanaan)</v>
      </c>
      <c r="AN92" s="20" t="str">
        <f>DATA!AP87</f>
        <v>belum ada proses tender/lelang</v>
      </c>
      <c r="AO92" s="20" t="str">
        <f>DATA!AY87</f>
        <v>Konfirmasi melalui surat Sekjen nomor KU.01.12-Sj/636 tgl 23 Oktober 2015</v>
      </c>
      <c r="AP92" s="20" t="e">
        <f>DATA!#REF!</f>
        <v>#REF!</v>
      </c>
      <c r="AQ92" s="20">
        <f>DATA!AZ87</f>
        <v>0</v>
      </c>
      <c r="AR92" s="152" t="e">
        <f>DATA!#REF!</f>
        <v>#REF!</v>
      </c>
      <c r="AS92" s="199" t="str">
        <f>DATA!BA87</f>
        <v>Pembangunan PLTA sebesar 15 MW, pembangunan sistem irigasi untuk mengairi 18.000 Ha, menyediakan air baku 12 m3/det untuk Kabupaten pasir, Kabupaten  Penajam Pasir Utara dan Kota Balikpapan, 4. Pembangunan tanggul penahan banjir di DAS Telake sampai 30%</v>
      </c>
      <c r="AT92" s="245">
        <f>DATA!AT87</f>
        <v>258000000</v>
      </c>
      <c r="AU92" s="109" t="str">
        <f>DATA!AU87</f>
        <v>IDB</v>
      </c>
      <c r="AV92" s="246" t="str">
        <f>DATA!AW87</f>
        <v>-</v>
      </c>
    </row>
    <row r="93" spans="1:51" ht="33.75" customHeight="1">
      <c r="A93" s="10">
        <f>DATA!A88</f>
        <v>70</v>
      </c>
      <c r="B93" s="10">
        <f>DATA!B88</f>
        <v>0</v>
      </c>
      <c r="C93" s="10" t="str">
        <f>DATA!D88</f>
        <v>INFRASTRUKTUR</v>
      </c>
      <c r="D93" s="10">
        <f>DATA!E88</f>
        <v>1</v>
      </c>
      <c r="E93" s="10" t="str">
        <f>DATA!F88</f>
        <v>Kementerian Pekerjaan Umum dan Perumahan Rakyat</v>
      </c>
      <c r="F93" s="10" t="str">
        <f>DATA!H88</f>
        <v>Dam Development Program</v>
      </c>
      <c r="G93" s="10" t="str">
        <f>DATA!I88</f>
        <v>J</v>
      </c>
      <c r="H93" s="10" t="str">
        <f>DATA!J88</f>
        <v xml:space="preserve">Program Pembangunan Waduk </v>
      </c>
      <c r="I93" s="10">
        <f>DATA!K88</f>
        <v>5</v>
      </c>
      <c r="J93" s="181"/>
      <c r="K93" s="34"/>
      <c r="L93" s="34"/>
      <c r="M93" s="36">
        <v>64</v>
      </c>
      <c r="N93" s="37" t="str">
        <f>DATA!L88</f>
        <v>Jenelata Dam Construction Project</v>
      </c>
      <c r="O93" s="20">
        <f>DATA!Q88</f>
        <v>1</v>
      </c>
      <c r="P93" s="20">
        <f>DATA!R88</f>
        <v>1</v>
      </c>
      <c r="Q93" s="186">
        <f>DATA!S88</f>
        <v>61</v>
      </c>
      <c r="R93" s="187">
        <f>DATA!T88</f>
        <v>200000000</v>
      </c>
      <c r="S93" s="203">
        <f>DATA!U88</f>
        <v>200000000</v>
      </c>
      <c r="T93" s="77">
        <f>DATA!V88</f>
        <v>20000000</v>
      </c>
      <c r="U93" s="77">
        <f>DATA!W88</f>
        <v>0</v>
      </c>
      <c r="V93" s="77">
        <f>DATA!X88</f>
        <v>220000000</v>
      </c>
      <c r="W93" s="78" t="str">
        <f>DATA!Y88</f>
        <v>RRT</v>
      </c>
      <c r="X93" s="20" t="str">
        <f>DATA!Z88</f>
        <v>Bilateral</v>
      </c>
      <c r="Y93" s="77">
        <f>DATA!AA88</f>
        <v>200000000</v>
      </c>
      <c r="Z93" s="77">
        <v>0</v>
      </c>
      <c r="AA93" s="216" t="str">
        <f>DATA!Y88</f>
        <v>RRT</v>
      </c>
      <c r="AB93" s="188">
        <f>DATA!AG88</f>
        <v>0</v>
      </c>
      <c r="AC93" s="20">
        <f>DATA!AH88</f>
        <v>2018</v>
      </c>
      <c r="AD93" s="37" t="str">
        <f>DATA!AI88</f>
        <v>-</v>
      </c>
      <c r="AE93" s="152" t="str">
        <f>DATA!AR88</f>
        <v>belum ada dokumen R/C</v>
      </c>
      <c r="AF93" s="152" t="str">
        <f>DATA!AN88</f>
        <v>siap</v>
      </c>
      <c r="AG93" s="152" t="str">
        <f>DATA!AO88</f>
        <v>dalam proses
(perencanaan)</v>
      </c>
      <c r="AH93" s="37" t="str">
        <f>DATA!AJ88</f>
        <v>model test, penyelidikan geologi 2015, AMDAL (2015)</v>
      </c>
      <c r="AI93" s="37" t="str">
        <f>DATA!AK88</f>
        <v>LARAP (2016)</v>
      </c>
      <c r="AJ93" s="230" t="str">
        <f>DATA!AL88</f>
        <v>-</v>
      </c>
      <c r="AK93" s="231" t="str">
        <f>DATA!AR88</f>
        <v>belum ada dokumen R/C</v>
      </c>
      <c r="AL93" s="20" t="str">
        <f>DATA!AN88</f>
        <v>siap</v>
      </c>
      <c r="AM93" s="20" t="str">
        <f>DATA!AO88</f>
        <v>dalam proses
(perencanaan)</v>
      </c>
      <c r="AN93" s="20" t="str">
        <f>DATA!AP88</f>
        <v>belum ada proses tender/lelang</v>
      </c>
      <c r="AO93" s="20" t="str">
        <f>DATA!AY88</f>
        <v>Konfirmasi melalui surat Sekjen nomor KU.01.12-Sj/636 tgl 23 Oktober 2015</v>
      </c>
      <c r="AP93" s="20" t="e">
        <f>DATA!#REF!</f>
        <v>#REF!</v>
      </c>
      <c r="AQ93" s="20">
        <f>DATA!AZ88</f>
        <v>0</v>
      </c>
      <c r="AR93" s="152" t="e">
        <f>DATA!#REF!</f>
        <v>#REF!</v>
      </c>
      <c r="AS93" s="199" t="str">
        <f>DATA!BA88</f>
        <v>Membangun bendungan 223 juta m3, melakukan rehabilitasi jalan, membangun fasilitas PLTA ± 10,9 MW untuk kebutuhan energi listrik Kab.Gowa, perbaikan dan peningkatan jaringan irigasi 24.400 ha</v>
      </c>
      <c r="AT93" s="245">
        <f>DATA!AT88</f>
        <v>200000000</v>
      </c>
      <c r="AU93" s="109" t="str">
        <f>DATA!AU88</f>
        <v>RRT</v>
      </c>
      <c r="AV93" s="246" t="str">
        <f>DATA!AW88</f>
        <v>-</v>
      </c>
    </row>
    <row r="94" spans="1:51" ht="31.5" customHeight="1">
      <c r="A94" s="10">
        <f>DATA!A89</f>
        <v>71</v>
      </c>
      <c r="B94" s="10">
        <f>DATA!B89</f>
        <v>0</v>
      </c>
      <c r="C94" s="10" t="str">
        <f>DATA!D89</f>
        <v>INFRASTRUKTUR</v>
      </c>
      <c r="D94" s="10">
        <f>DATA!E89</f>
        <v>1</v>
      </c>
      <c r="E94" s="10" t="str">
        <f>DATA!F89</f>
        <v>Kementerian Pekerjaan Umum dan Perumahan Rakyat</v>
      </c>
      <c r="F94" s="10" t="str">
        <f>DATA!H89</f>
        <v>Dam Development Program</v>
      </c>
      <c r="G94" s="10" t="str">
        <f>DATA!I89</f>
        <v>J</v>
      </c>
      <c r="H94" s="10" t="str">
        <f>DATA!J89</f>
        <v xml:space="preserve">Program Pembangunan Waduk </v>
      </c>
      <c r="I94" s="10">
        <f>DATA!K89</f>
        <v>6</v>
      </c>
      <c r="J94" s="181"/>
      <c r="K94" s="34"/>
      <c r="L94" s="34"/>
      <c r="M94" s="36">
        <v>65</v>
      </c>
      <c r="N94" s="37" t="str">
        <f>DATA!L89</f>
        <v>Bonehulu Dam Construction Project</v>
      </c>
      <c r="O94" s="20">
        <f>DATA!Q89</f>
        <v>1</v>
      </c>
      <c r="P94" s="20">
        <f>DATA!R89</f>
        <v>1</v>
      </c>
      <c r="Q94" s="186">
        <f>DATA!S89</f>
        <v>62</v>
      </c>
      <c r="R94" s="187">
        <f>DATA!T89</f>
        <v>128250000</v>
      </c>
      <c r="S94" s="203">
        <f>DATA!U89</f>
        <v>128250000</v>
      </c>
      <c r="T94" s="77">
        <f>DATA!V89</f>
        <v>21000000</v>
      </c>
      <c r="U94" s="77">
        <f>DATA!W89</f>
        <v>0</v>
      </c>
      <c r="V94" s="77">
        <f>DATA!X89</f>
        <v>149250000</v>
      </c>
      <c r="W94" s="78" t="str">
        <f>DATA!Y89</f>
        <v>RRT</v>
      </c>
      <c r="X94" s="20" t="str">
        <f>DATA!Z89</f>
        <v>Bilateral</v>
      </c>
      <c r="Y94" s="77">
        <f>DATA!AA89</f>
        <v>128250000</v>
      </c>
      <c r="Z94" s="77">
        <v>0</v>
      </c>
      <c r="AA94" s="216" t="str">
        <f>DATA!Y89</f>
        <v>RRT</v>
      </c>
      <c r="AB94" s="188">
        <f>DATA!AG89</f>
        <v>0</v>
      </c>
      <c r="AC94" s="20">
        <f>DATA!AH89</f>
        <v>2019</v>
      </c>
      <c r="AD94" s="37" t="str">
        <f>DATA!AI89</f>
        <v>-</v>
      </c>
      <c r="AE94" s="152" t="str">
        <f>DATA!AR89</f>
        <v>belum ada dokumen R/C</v>
      </c>
      <c r="AF94" s="152" t="str">
        <f>DATA!AN89</f>
        <v>dalam proses
(penyusunan FS)</v>
      </c>
      <c r="AG94" s="152" t="str">
        <f>DATA!AO89</f>
        <v>dalam proses
(perencanaan)</v>
      </c>
      <c r="AH94" s="37" t="str">
        <f>DATA!AJ89</f>
        <v>DD, model test, penyelidikan geologi 2015, AMDAL (2017)</v>
      </c>
      <c r="AI94" s="37" t="str">
        <f>DATA!AK89</f>
        <v>LARAP (2015)</v>
      </c>
      <c r="AJ94" s="230" t="str">
        <f>DATA!AL89</f>
        <v>-</v>
      </c>
      <c r="AK94" s="231" t="str">
        <f>DATA!AR89</f>
        <v>belum ada dokumen R/C</v>
      </c>
      <c r="AL94" s="20" t="str">
        <f>DATA!AN89</f>
        <v>dalam proses
(penyusunan FS)</v>
      </c>
      <c r="AM94" s="20" t="str">
        <f>DATA!AO89</f>
        <v>dalam proses
(perencanaan)</v>
      </c>
      <c r="AN94" s="20" t="str">
        <f>DATA!AP89</f>
        <v>belum ada proses tender/lelang</v>
      </c>
      <c r="AO94" s="20" t="str">
        <f>DATA!AY89</f>
        <v>Konfirmasi melalui surat Sekjen nomor KU.01.12-Sj/636 tgl 23 Oktober 2015</v>
      </c>
      <c r="AP94" s="20" t="e">
        <f>DATA!#REF!</f>
        <v>#REF!</v>
      </c>
      <c r="AQ94" s="20">
        <f>DATA!AZ89</f>
        <v>0</v>
      </c>
      <c r="AR94" s="152" t="e">
        <f>DATA!#REF!</f>
        <v>#REF!</v>
      </c>
      <c r="AS94" s="199" t="str">
        <f>DATA!BA89</f>
        <v>Pembangunan PLTA sebesar 9,99 MW, Pembangunan sistem irigasi mengairi 6.800 Ha</v>
      </c>
      <c r="AT94" s="245">
        <f>DATA!AT89</f>
        <v>128250000</v>
      </c>
      <c r="AU94" s="109" t="str">
        <f>DATA!AU89</f>
        <v>RRT</v>
      </c>
      <c r="AV94" s="246" t="str">
        <f>DATA!AW89</f>
        <v>-</v>
      </c>
    </row>
    <row r="95" spans="1:51" ht="33" customHeight="1">
      <c r="A95" s="10">
        <f>DATA!A90</f>
        <v>72</v>
      </c>
      <c r="B95" s="10">
        <f>DATA!B90</f>
        <v>0</v>
      </c>
      <c r="C95" s="10" t="str">
        <f>DATA!D90</f>
        <v>INFRASTRUKTUR</v>
      </c>
      <c r="D95" s="10">
        <f>DATA!E90</f>
        <v>1</v>
      </c>
      <c r="E95" s="10" t="str">
        <f>DATA!F90</f>
        <v>Kementerian Pekerjaan Umum dan Perumahan Rakyat</v>
      </c>
      <c r="F95" s="10" t="str">
        <f>DATA!H90</f>
        <v>Dam Development Program</v>
      </c>
      <c r="G95" s="10" t="str">
        <f>DATA!I90</f>
        <v>J</v>
      </c>
      <c r="H95" s="10" t="str">
        <f>DATA!J90</f>
        <v xml:space="preserve">Program Pembangunan Waduk </v>
      </c>
      <c r="I95" s="10">
        <f>DATA!K90</f>
        <v>7</v>
      </c>
      <c r="J95" s="181"/>
      <c r="K95" s="34"/>
      <c r="L95" s="34"/>
      <c r="M95" s="36">
        <v>66</v>
      </c>
      <c r="N95" s="37" t="str">
        <f>DATA!L90</f>
        <v>Ladongi Dam Construction Project</v>
      </c>
      <c r="O95" s="20">
        <f>DATA!Q90</f>
        <v>1</v>
      </c>
      <c r="P95" s="20">
        <f>DATA!R90</f>
        <v>1</v>
      </c>
      <c r="Q95" s="186">
        <f>DATA!S90</f>
        <v>63</v>
      </c>
      <c r="R95" s="187">
        <f>DATA!T90</f>
        <v>70000000</v>
      </c>
      <c r="S95" s="203">
        <f>DATA!U90</f>
        <v>70000000</v>
      </c>
      <c r="T95" s="77">
        <f>DATA!V90</f>
        <v>7000000</v>
      </c>
      <c r="U95" s="77">
        <f>DATA!W90</f>
        <v>0</v>
      </c>
      <c r="V95" s="77">
        <f>DATA!X90</f>
        <v>77000000</v>
      </c>
      <c r="W95" s="78" t="str">
        <f>DATA!Y90</f>
        <v>RRT</v>
      </c>
      <c r="X95" s="20" t="str">
        <f>DATA!Z90</f>
        <v>Bilateral</v>
      </c>
      <c r="Y95" s="77">
        <f>DATA!AA90</f>
        <v>70000000</v>
      </c>
      <c r="Z95" s="77">
        <v>0</v>
      </c>
      <c r="AA95" s="216" t="str">
        <f>DATA!Y90</f>
        <v>RRT</v>
      </c>
      <c r="AB95" s="188">
        <f>DATA!AG90</f>
        <v>0</v>
      </c>
      <c r="AC95" s="20">
        <f>DATA!AH90</f>
        <v>2017</v>
      </c>
      <c r="AD95" s="37" t="str">
        <f>DATA!AI90</f>
        <v>-</v>
      </c>
      <c r="AE95" s="152" t="str">
        <f>DATA!AR90</f>
        <v>belum ada dokumen R/C</v>
      </c>
      <c r="AF95" s="152" t="str">
        <f>DATA!AN90</f>
        <v>siap</v>
      </c>
      <c r="AG95" s="152" t="str">
        <f>DATA!AO90</f>
        <v>dalam proses
(perencanaan)</v>
      </c>
      <c r="AH95" s="37" t="str">
        <f>DATA!AJ90</f>
        <v>SID, AMDAL (2015), penyelidikan geologi, DD, model test 2015</v>
      </c>
      <c r="AI95" s="37" t="str">
        <f>DATA!AK90</f>
        <v>LARAP (2015)</v>
      </c>
      <c r="AJ95" s="230" t="str">
        <f>DATA!AL90</f>
        <v>-</v>
      </c>
      <c r="AK95" s="231" t="str">
        <f>DATA!AR90</f>
        <v>belum ada dokumen R/C</v>
      </c>
      <c r="AL95" s="20" t="str">
        <f>DATA!AN90</f>
        <v>siap</v>
      </c>
      <c r="AM95" s="20" t="str">
        <f>DATA!AO90</f>
        <v>dalam proses
(perencanaan)</v>
      </c>
      <c r="AN95" s="20" t="str">
        <f>DATA!AP90</f>
        <v>belum ada proses tender/lelang</v>
      </c>
      <c r="AO95" s="20" t="str">
        <f>DATA!AY90</f>
        <v>Konfirmasi melalui surat Sekjen nomor KU.01.12-Sj/636 tgl 23 Oktober 2015</v>
      </c>
      <c r="AP95" s="20" t="e">
        <f>DATA!#REF!</f>
        <v>#REF!</v>
      </c>
      <c r="AQ95" s="20">
        <f>DATA!AZ90</f>
        <v>0</v>
      </c>
      <c r="AR95" s="152" t="e">
        <f>DATA!#REF!</f>
        <v>#REF!</v>
      </c>
      <c r="AS95" s="199" t="str">
        <f>DATA!BA90</f>
        <v>Membangun bendungan 25,57 juta m3  dan fasilitas pendukungnya, Melakukan rehabilitasi jalan akses, Membangun PLTA 1,15 MW untuk  Kab.Kolaka Timur dan Perbaikan jaringan irigasi</v>
      </c>
      <c r="AT95" s="245">
        <f>DATA!AT90</f>
        <v>70000000</v>
      </c>
      <c r="AU95" s="109" t="str">
        <f>DATA!AU90</f>
        <v>RRT</v>
      </c>
      <c r="AV95" s="246" t="str">
        <f>DATA!AW90</f>
        <v>-</v>
      </c>
    </row>
    <row r="96" spans="1:51" ht="30.75" customHeight="1">
      <c r="A96" s="10">
        <f>DATA!A91</f>
        <v>73</v>
      </c>
      <c r="B96" s="10">
        <f>DATA!B91</f>
        <v>0</v>
      </c>
      <c r="C96" s="10" t="str">
        <f>DATA!D91</f>
        <v>INFRASTRUKTUR</v>
      </c>
      <c r="D96" s="10">
        <f>DATA!E91</f>
        <v>1</v>
      </c>
      <c r="E96" s="10" t="str">
        <f>DATA!F91</f>
        <v>Kementerian Pekerjaan Umum dan Perumahan Rakyat</v>
      </c>
      <c r="F96" s="10" t="str">
        <f>DATA!H91</f>
        <v>Dam Development Program</v>
      </c>
      <c r="G96" s="10" t="str">
        <f>DATA!I91</f>
        <v>J</v>
      </c>
      <c r="H96" s="10" t="str">
        <f>DATA!J91</f>
        <v xml:space="preserve">Program Pembangunan Waduk </v>
      </c>
      <c r="I96" s="10">
        <f>DATA!K91</f>
        <v>8</v>
      </c>
      <c r="J96" s="181"/>
      <c r="K96" s="34"/>
      <c r="L96" s="34"/>
      <c r="M96" s="36">
        <v>67</v>
      </c>
      <c r="N96" s="37" t="str">
        <f>DATA!L91</f>
        <v>Kuwil Kawangkoan Dam Construction Project</v>
      </c>
      <c r="O96" s="20">
        <f>DATA!Q91</f>
        <v>1</v>
      </c>
      <c r="P96" s="20">
        <f>DATA!R91</f>
        <v>1</v>
      </c>
      <c r="Q96" s="186">
        <f>DATA!S91</f>
        <v>64</v>
      </c>
      <c r="R96" s="187">
        <f>DATA!T91</f>
        <v>110000000</v>
      </c>
      <c r="S96" s="203">
        <f>DATA!U91</f>
        <v>110000000</v>
      </c>
      <c r="T96" s="77">
        <f>DATA!V91</f>
        <v>11000000</v>
      </c>
      <c r="U96" s="77">
        <f>DATA!W91</f>
        <v>0</v>
      </c>
      <c r="V96" s="77">
        <f>DATA!X91</f>
        <v>121000000</v>
      </c>
      <c r="W96" s="78" t="str">
        <f>DATA!Y91</f>
        <v>Rupiah Murni</v>
      </c>
      <c r="X96" s="20" t="str">
        <f>DATA!Z91</f>
        <v>Pendanaan Dengan Rupiah Murni</v>
      </c>
      <c r="Y96" s="77">
        <f>DATA!AA91</f>
        <v>110000000</v>
      </c>
      <c r="Z96" s="77">
        <v>0</v>
      </c>
      <c r="AA96" s="216" t="str">
        <f>DATA!Y91</f>
        <v>Rupiah Murni</v>
      </c>
      <c r="AB96" s="188">
        <f>DATA!AG91</f>
        <v>0</v>
      </c>
      <c r="AC96" s="20">
        <f>DATA!AH91</f>
        <v>2016</v>
      </c>
      <c r="AD96" s="37" t="str">
        <f>DATA!AI91</f>
        <v>-</v>
      </c>
      <c r="AE96" s="152" t="str">
        <f>DATA!AR91</f>
        <v>belum ada dokumen R/C</v>
      </c>
      <c r="AF96" s="152" t="str">
        <f>DATA!AN91</f>
        <v>dalam proses
(penyusunan FS)</v>
      </c>
      <c r="AG96" s="152" t="str">
        <f>DATA!AO91</f>
        <v>dalam proses
(perencanaan)</v>
      </c>
      <c r="AH96" s="37" t="str">
        <f>DATA!AJ91</f>
        <v>Sertifikasi desain, penyelidikan geologi, AMDAL</v>
      </c>
      <c r="AI96" s="37" t="str">
        <f>DATA!AK91</f>
        <v>LARAP</v>
      </c>
      <c r="AJ96" s="230" t="str">
        <f>DATA!AL91</f>
        <v>Dalam proses tender</v>
      </c>
      <c r="AK96" s="231" t="str">
        <f>DATA!AR91</f>
        <v>belum ada dokumen R/C</v>
      </c>
      <c r="AL96" s="20" t="str">
        <f>DATA!AN91</f>
        <v>dalam proses
(penyusunan FS)</v>
      </c>
      <c r="AM96" s="20" t="str">
        <f>DATA!AO91</f>
        <v>dalam proses
(perencanaan)</v>
      </c>
      <c r="AN96" s="20" t="str">
        <f>DATA!AP91</f>
        <v>belum ada proses tender/lelang</v>
      </c>
      <c r="AO96" s="20" t="str">
        <f>DATA!AY91</f>
        <v>- Konfirmasi melalui surat Sekjen nomor KU.01.12-Sj/636 tgl 23 Oktober 2015
- Kegiatan akan dilaksanakan oleh pendanaan rupiah murni APBN</v>
      </c>
      <c r="AP96" s="20" t="e">
        <f>DATA!#REF!</f>
        <v>#REF!</v>
      </c>
      <c r="AQ96" s="20">
        <f>DATA!AZ91</f>
        <v>0</v>
      </c>
      <c r="AR96" s="152" t="e">
        <f>DATA!#REF!</f>
        <v>#REF!</v>
      </c>
      <c r="AS96" s="199" t="str">
        <f>DATA!BA91</f>
        <v>Melakukan konservasi sumber daya air, pelestarian lingkungan, dan pengendalian banjir, Membangun bendungan dan fasilitas pendukungnya, Melakukan rehabilitasi jalan akses , Membangun fasilitas PLTA ± 1.3 MW untuk provinsi Sulawesi Utara</v>
      </c>
      <c r="AT96" s="245">
        <f>DATA!AT91</f>
        <v>110000000</v>
      </c>
      <c r="AU96" s="109" t="str">
        <f>DATA!AU91</f>
        <v>Belum Ada Indikasi</v>
      </c>
      <c r="AV96" s="246" t="str">
        <f>DATA!AW91</f>
        <v>-</v>
      </c>
    </row>
    <row r="97" spans="1:51" ht="42.75" customHeight="1">
      <c r="A97" s="10">
        <f>DATA!A92</f>
        <v>74</v>
      </c>
      <c r="B97" s="10">
        <f>DATA!B92</f>
        <v>0</v>
      </c>
      <c r="C97" s="10" t="str">
        <f>DATA!D92</f>
        <v>INFRASTRUKTUR</v>
      </c>
      <c r="D97" s="10">
        <f>DATA!E92</f>
        <v>1</v>
      </c>
      <c r="E97" s="10" t="str">
        <f>DATA!F92</f>
        <v>Kementerian Pekerjaan Umum dan Perumahan Rakyat</v>
      </c>
      <c r="F97" s="10" t="str">
        <f>DATA!H92</f>
        <v>Dam Development Program</v>
      </c>
      <c r="G97" s="10" t="str">
        <f>DATA!I92</f>
        <v>J</v>
      </c>
      <c r="H97" s="10" t="str">
        <f>DATA!J92</f>
        <v xml:space="preserve">Program Pembangunan Waduk </v>
      </c>
      <c r="I97" s="10">
        <f>DATA!K92</f>
        <v>9</v>
      </c>
      <c r="J97" s="181"/>
      <c r="K97" s="34"/>
      <c r="L97" s="34"/>
      <c r="M97" s="36">
        <v>68</v>
      </c>
      <c r="N97" s="37" t="str">
        <f>DATA!L92</f>
        <v>Lompatan Harimau Dam Construction Project (Rokan Kiri Dam Construction Project)</v>
      </c>
      <c r="O97" s="20">
        <f>DATA!Q92</f>
        <v>1</v>
      </c>
      <c r="P97" s="20">
        <f>DATA!R92</f>
        <v>1</v>
      </c>
      <c r="Q97" s="186">
        <f>DATA!S92</f>
        <v>65</v>
      </c>
      <c r="R97" s="187">
        <f>DATA!T92</f>
        <v>152100000</v>
      </c>
      <c r="S97" s="203">
        <f>DATA!U92</f>
        <v>152100000</v>
      </c>
      <c r="T97" s="77">
        <f>DATA!V92</f>
        <v>26500000</v>
      </c>
      <c r="U97" s="77">
        <f>DATA!W92</f>
        <v>0</v>
      </c>
      <c r="V97" s="77">
        <f>DATA!X92</f>
        <v>178600000</v>
      </c>
      <c r="W97" s="78" t="str">
        <f>DATA!Y92</f>
        <v>RRT</v>
      </c>
      <c r="X97" s="20" t="str">
        <f>DATA!Z92</f>
        <v>Bilateral</v>
      </c>
      <c r="Y97" s="77">
        <f>DATA!AA92</f>
        <v>152100000</v>
      </c>
      <c r="Z97" s="77">
        <v>0</v>
      </c>
      <c r="AA97" s="216" t="str">
        <f>DATA!Y92</f>
        <v>RRT</v>
      </c>
      <c r="AB97" s="188">
        <f>DATA!AG92</f>
        <v>0</v>
      </c>
      <c r="AC97" s="20">
        <f>DATA!AH92</f>
        <v>2018</v>
      </c>
      <c r="AD97" s="37" t="str">
        <f>DATA!AI92</f>
        <v>-</v>
      </c>
      <c r="AE97" s="152" t="str">
        <f>DATA!AR92</f>
        <v>belum ada dokumen R/C</v>
      </c>
      <c r="AF97" s="152" t="str">
        <f>DATA!AN92</f>
        <v>dalam proses
(memiliki FS)</v>
      </c>
      <c r="AG97" s="152" t="str">
        <f>DATA!AO92</f>
        <v>dalam proses
(perencanaan)</v>
      </c>
      <c r="AH97" s="37" t="str">
        <f>DATA!AJ92</f>
        <v>FS (2015), DED (2016), AMDAL (2016)</v>
      </c>
      <c r="AI97" s="37" t="str">
        <f>DATA!AK92</f>
        <v>LARAP (2015)</v>
      </c>
      <c r="AJ97" s="230" t="str">
        <f>DATA!AL92</f>
        <v>-</v>
      </c>
      <c r="AK97" s="231" t="str">
        <f>DATA!AR92</f>
        <v>belum ada dokumen R/C</v>
      </c>
      <c r="AL97" s="20" t="str">
        <f>DATA!AN92</f>
        <v>dalam proses
(memiliki FS)</v>
      </c>
      <c r="AM97" s="20" t="str">
        <f>DATA!AO92</f>
        <v>dalam proses
(perencanaan)</v>
      </c>
      <c r="AN97" s="20" t="str">
        <f>DATA!AP92</f>
        <v>belum ada proses tender/lelang</v>
      </c>
      <c r="AO97" s="20" t="str">
        <f>DATA!AY92</f>
        <v>- Konfirmasi melalui surat Sekjen nomor KU.01.12-Sj/636 tgl 23 Oktober 2015
- Nama kegiatan diusulkan untuk diubah menjadi Rokan Kiri Dam Construction Project</v>
      </c>
      <c r="AP97" s="20" t="e">
        <f>DATA!#REF!</f>
        <v>#REF!</v>
      </c>
      <c r="AQ97" s="20">
        <f>DATA!AZ92</f>
        <v>0</v>
      </c>
      <c r="AR97" s="152" t="e">
        <f>DATA!#REF!</f>
        <v>#REF!</v>
      </c>
      <c r="AS97" s="199" t="str">
        <f>DATA!BA92</f>
        <v>Membangun bendungan dan fasilitas pendukungnya untuk kebutuhan irigasi seluas 4000 Ha, Melakukan konservasi SDA, pelestarian lingkungan, dan pengendalian banjir dan Membangun fasilitas PLTA ± 74,40 MW untuk Kab.Rokan</v>
      </c>
      <c r="AT97" s="245">
        <f>DATA!AT92</f>
        <v>152100000</v>
      </c>
      <c r="AU97" s="109" t="str">
        <f>DATA!AU92</f>
        <v>RRT</v>
      </c>
      <c r="AV97" s="246" t="str">
        <f>DATA!AW92</f>
        <v>-</v>
      </c>
    </row>
    <row r="98" spans="1:51" ht="36" customHeight="1">
      <c r="J98" s="181"/>
      <c r="K98" s="34"/>
      <c r="L98" s="34"/>
      <c r="M98" s="3390">
        <v>69</v>
      </c>
      <c r="N98" s="3393" t="str">
        <f>DATA!L94</f>
        <v>Engineering Service for Dam Multipurpose Development Project</v>
      </c>
      <c r="O98" s="20">
        <f>DATA!Q94</f>
        <v>0.33333333333333298</v>
      </c>
      <c r="P98" s="20">
        <f>DATA!R94</f>
        <v>0</v>
      </c>
      <c r="Q98" s="186">
        <f>DATA!S94</f>
        <v>66</v>
      </c>
      <c r="R98" s="3403">
        <f>DATA!T93</f>
        <v>100000000</v>
      </c>
      <c r="S98" s="203">
        <f>DATA!U94</f>
        <v>0</v>
      </c>
      <c r="T98" s="77">
        <f>DATA!V94</f>
        <v>0</v>
      </c>
      <c r="U98" s="77">
        <f>DATA!W94</f>
        <v>0</v>
      </c>
      <c r="V98" s="77">
        <f>DATA!X94</f>
        <v>0</v>
      </c>
      <c r="W98" s="78" t="str">
        <f>DATA!Y94</f>
        <v>ADB</v>
      </c>
      <c r="X98" s="20" t="str">
        <f>DATA!Z94</f>
        <v>Multilateral</v>
      </c>
      <c r="Y98" s="77">
        <f>DATA!AA94</f>
        <v>1930000</v>
      </c>
      <c r="Z98" s="77">
        <v>0</v>
      </c>
      <c r="AA98" s="216" t="str">
        <f>DATA!Y94</f>
        <v>ADB</v>
      </c>
      <c r="AB98" s="188">
        <f>DATA!AG94</f>
        <v>0</v>
      </c>
      <c r="AC98" s="20">
        <f>DATA!AH94</f>
        <v>2016</v>
      </c>
      <c r="AD98" s="37" t="str">
        <f>DATA!AI94</f>
        <v>- Sudah ada RC
- Green Book 2015</v>
      </c>
      <c r="AE98" s="152" t="str">
        <f>DATA!AM94</f>
        <v>2016; 2015</v>
      </c>
      <c r="AF98" s="152" t="str">
        <f>DATA!AN94</f>
        <v>siap</v>
      </c>
      <c r="AG98" s="152" t="str">
        <f>DATA!AO94</f>
        <v>tidak butuh lahan</v>
      </c>
      <c r="AH98" s="37" t="str">
        <f>DATA!AJ94</f>
        <v>FS, DED</v>
      </c>
      <c r="AI98" s="37" t="str">
        <f>DATA!AK94</f>
        <v>Tidak membutuhkan lahan</v>
      </c>
      <c r="AJ98" s="230" t="str">
        <f>DATA!AL94</f>
        <v>Belum ada tender/lelang</v>
      </c>
      <c r="AK98" s="231" t="str">
        <f>DATA!AM94</f>
        <v>2016; 2015</v>
      </c>
      <c r="AL98" s="20" t="str">
        <f>DATA!AN94</f>
        <v>siap</v>
      </c>
      <c r="AM98" s="20" t="str">
        <f>DATA!AO94</f>
        <v>tidak butuh lahan</v>
      </c>
      <c r="AN98" s="20" t="str">
        <f>DATA!AP94</f>
        <v>belum ada proses tender/lelang</v>
      </c>
      <c r="AO98" s="20"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P98" s="20" t="e">
        <f>DATA!#REF!</f>
        <v>#REF!</v>
      </c>
      <c r="AQ98" s="20">
        <f>DATA!AZ94</f>
        <v>0</v>
      </c>
      <c r="AR98" s="152" t="e">
        <f>DATA!#REF!</f>
        <v>#REF!</v>
      </c>
      <c r="AS98" s="199"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c r="AT98" s="245">
        <f>DATA!AT94</f>
        <v>1930000</v>
      </c>
      <c r="AU98" s="109" t="str">
        <f>DATA!AU94</f>
        <v>ADB</v>
      </c>
      <c r="AV98" s="246" t="str">
        <f>DATA!AW94</f>
        <v>co-financing dengan Korea (USD 21,7 juta) dan belum ada indikasi (USD 76,4 juta)</v>
      </c>
    </row>
    <row r="99" spans="1:51" ht="30" customHeight="1">
      <c r="J99" s="181"/>
      <c r="K99" s="34"/>
      <c r="L99" s="34"/>
      <c r="M99" s="3392"/>
      <c r="N99" s="3397"/>
      <c r="O99" s="20"/>
      <c r="P99" s="20"/>
      <c r="Q99" s="186"/>
      <c r="R99" s="3405"/>
      <c r="S99" s="203">
        <f>DATA!U95</f>
        <v>0</v>
      </c>
      <c r="T99" s="77">
        <f>DATA!V95</f>
        <v>0</v>
      </c>
      <c r="U99" s="77">
        <f>DATA!W95</f>
        <v>0</v>
      </c>
      <c r="V99" s="77">
        <f>DATA!X95</f>
        <v>0</v>
      </c>
      <c r="W99" s="78" t="str">
        <f>DATA!Y95</f>
        <v>Korea</v>
      </c>
      <c r="X99" s="20" t="str">
        <f>DATA!Z95</f>
        <v>Bilateral</v>
      </c>
      <c r="Y99" s="77">
        <f>DATA!AA95</f>
        <v>21678596</v>
      </c>
      <c r="Z99" s="77">
        <v>0</v>
      </c>
      <c r="AA99" s="216" t="str">
        <f>DATA!Y95</f>
        <v>Korea</v>
      </c>
      <c r="AB99" s="188">
        <f>DATA!AG95</f>
        <v>0</v>
      </c>
      <c r="AC99" s="20">
        <f>DATA!AH95</f>
        <v>2016</v>
      </c>
      <c r="AD99" s="37" t="str">
        <f>DATA!AI95</f>
        <v>- Sudah ada RC
- Diusulkan GB 2016</v>
      </c>
      <c r="AE99" s="152">
        <f>DATA!AM95</f>
        <v>2016</v>
      </c>
      <c r="AF99" s="152" t="str">
        <f>DATA!AN95</f>
        <v>siap</v>
      </c>
      <c r="AG99" s="152" t="str">
        <f>DATA!AO95</f>
        <v>tidak butuh lahan</v>
      </c>
      <c r="AH99" s="37" t="str">
        <f>DATA!AJ95</f>
        <v>FS, DED</v>
      </c>
      <c r="AI99" s="37" t="str">
        <f>DATA!AK95</f>
        <v>Tidak membutuhkan lahan</v>
      </c>
      <c r="AJ99" s="230" t="str">
        <f>DATA!AL95</f>
        <v>Belum ada tender/lelang</v>
      </c>
      <c r="AK99" s="231">
        <f>DATA!AM95</f>
        <v>2016</v>
      </c>
      <c r="AL99" s="20" t="str">
        <f>DATA!AN95</f>
        <v>siap</v>
      </c>
      <c r="AM99" s="20" t="str">
        <f>DATA!AO95</f>
        <v>tidak butuh lahan</v>
      </c>
      <c r="AN99" s="20" t="str">
        <f>DATA!AP95</f>
        <v>belum ada proses tender/lelang</v>
      </c>
      <c r="AO99" s="20"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P99" s="20" t="e">
        <f>DATA!#REF!</f>
        <v>#REF!</v>
      </c>
      <c r="AQ99" s="20">
        <f>DATA!AZ95</f>
        <v>0</v>
      </c>
      <c r="AR99" s="152" t="e">
        <f>DATA!#REF!</f>
        <v>#REF!</v>
      </c>
      <c r="AS99" s="199"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c r="AT99" s="245">
        <f>DATA!AT95</f>
        <v>21678596</v>
      </c>
      <c r="AU99" s="109" t="str">
        <f>DATA!AU95</f>
        <v>Korea</v>
      </c>
      <c r="AV99" s="246" t="str">
        <f>DATA!AW95</f>
        <v>- co-financing dengan ADB (USD 1,9 juta) dan belum ada indikasi (USD 76,4 juta)
- masuk rolling plan EDCF (Korea)</v>
      </c>
    </row>
    <row r="100" spans="1:51" ht="25.5" customHeight="1">
      <c r="J100" s="181"/>
      <c r="K100" s="34"/>
      <c r="L100" s="34"/>
      <c r="M100" s="3391"/>
      <c r="N100" s="3394"/>
      <c r="O100" s="20"/>
      <c r="P100" s="20"/>
      <c r="Q100" s="186"/>
      <c r="R100" s="3404"/>
      <c r="S100" s="203">
        <f>DATA!U96</f>
        <v>0</v>
      </c>
      <c r="T100" s="77">
        <f>DATA!V96</f>
        <v>0</v>
      </c>
      <c r="U100" s="77">
        <f>DATA!W96</f>
        <v>0</v>
      </c>
      <c r="V100" s="77">
        <f>DATA!X96</f>
        <v>0</v>
      </c>
      <c r="W100" s="78" t="str">
        <f>DATA!Y96</f>
        <v>Belum Ada Indikasi</v>
      </c>
      <c r="X100" s="20" t="str">
        <f>DATA!Z96</f>
        <v>Belum Ada Indikasi</v>
      </c>
      <c r="Y100" s="77">
        <v>0</v>
      </c>
      <c r="Z100" s="77">
        <f>DATA!AA96</f>
        <v>76391404</v>
      </c>
      <c r="AA100" s="216" t="str">
        <f>DATA!Y96</f>
        <v>Belum Ada Indikasi</v>
      </c>
      <c r="AB100" s="188">
        <f>DATA!AG96</f>
        <v>-76391404</v>
      </c>
      <c r="AC100" s="20" t="str">
        <f>DATA!AH96</f>
        <v>Tanpa keterangan</v>
      </c>
      <c r="AD100" s="37" t="str">
        <f>DATA!AI96</f>
        <v>-</v>
      </c>
      <c r="AE100" s="152">
        <f>DATA!AM96</f>
        <v>0</v>
      </c>
      <c r="AF100" s="152" t="str">
        <f>DATA!AN96</f>
        <v>belum ada keterangan</v>
      </c>
      <c r="AG100" s="152" t="str">
        <f>DATA!AO96</f>
        <v>belum ada keterangan</v>
      </c>
      <c r="AH100" s="37" t="str">
        <f>DATA!AJ96</f>
        <v>-</v>
      </c>
      <c r="AI100" s="37" t="str">
        <f>DATA!AK96</f>
        <v>-</v>
      </c>
      <c r="AJ100" s="230" t="str">
        <f>DATA!AL96</f>
        <v>-</v>
      </c>
      <c r="AK100" s="231"/>
      <c r="AL100" s="20"/>
      <c r="AM100" s="20"/>
      <c r="AN100" s="20"/>
      <c r="AO100" s="20"/>
      <c r="AP100" s="20"/>
      <c r="AQ100" s="20"/>
      <c r="AR100" s="152" t="e">
        <f>DATA!#REF!</f>
        <v>#REF!</v>
      </c>
      <c r="AS100" s="199"/>
      <c r="AT100" s="245">
        <f>DATA!AT96</f>
        <v>76391404</v>
      </c>
      <c r="AU100" s="109" t="str">
        <f>DATA!AU96</f>
        <v>Belum Ada Indikasi</v>
      </c>
      <c r="AV100" s="246" t="str">
        <f>DATA!AW96</f>
        <v>co-financing dengan Korea (USD 21,7 juta) dan ADB (USD 1,9 juta)</v>
      </c>
    </row>
    <row r="101" spans="1:51" ht="80.25" customHeight="1">
      <c r="A101" s="10">
        <f>DATA!A97</f>
        <v>76</v>
      </c>
      <c r="B101" s="10">
        <f>DATA!B97</f>
        <v>0</v>
      </c>
      <c r="C101" s="10" t="str">
        <f>DATA!D97</f>
        <v>INFRASTRUKTUR</v>
      </c>
      <c r="D101" s="10">
        <f>DATA!E97</f>
        <v>1</v>
      </c>
      <c r="E101" s="10" t="str">
        <f>DATA!F97</f>
        <v>Kementerian Pekerjaan Umum dan Perumahan Rakyat</v>
      </c>
      <c r="F101" s="10" t="str">
        <f>DATA!H97</f>
        <v>Dam Development Program</v>
      </c>
      <c r="G101" s="10" t="str">
        <f>DATA!I97</f>
        <v>J</v>
      </c>
      <c r="H101" s="10" t="str">
        <f>DATA!J97</f>
        <v xml:space="preserve">Program Pembangunan Waduk </v>
      </c>
      <c r="I101" s="10">
        <f>DATA!K97</f>
        <v>11</v>
      </c>
      <c r="J101" s="181"/>
      <c r="K101" s="34"/>
      <c r="L101" s="54"/>
      <c r="M101" s="36">
        <v>70</v>
      </c>
      <c r="N101" s="37" t="str">
        <f>DATA!L97</f>
        <v>Additional Loan for Jatigede Dam Project 2</v>
      </c>
      <c r="O101" s="20">
        <f>DATA!Q97</f>
        <v>1</v>
      </c>
      <c r="P101" s="20">
        <f>DATA!R97</f>
        <v>1</v>
      </c>
      <c r="Q101" s="186">
        <f>DATA!S97</f>
        <v>67</v>
      </c>
      <c r="R101" s="187">
        <f>DATA!T97</f>
        <v>53200000</v>
      </c>
      <c r="S101" s="203">
        <f>DATA!U97</f>
        <v>53200000</v>
      </c>
      <c r="T101" s="77">
        <f>DATA!V97</f>
        <v>0</v>
      </c>
      <c r="U101" s="77">
        <f>DATA!W97</f>
        <v>0</v>
      </c>
      <c r="V101" s="77">
        <f>DATA!X97</f>
        <v>53200000</v>
      </c>
      <c r="W101" s="78" t="str">
        <f>DATA!Y97</f>
        <v>RRT</v>
      </c>
      <c r="X101" s="20" t="str">
        <f>DATA!Z97</f>
        <v>Bilateral</v>
      </c>
      <c r="Y101" s="77">
        <f>DATA!AA97</f>
        <v>53200000</v>
      </c>
      <c r="Z101" s="77">
        <v>0</v>
      </c>
      <c r="AA101" s="216" t="str">
        <f>DATA!Y97</f>
        <v>RRT</v>
      </c>
      <c r="AB101" s="188">
        <f>DATA!AG97</f>
        <v>0</v>
      </c>
      <c r="AC101" s="20">
        <f>DATA!AH97</f>
        <v>2016</v>
      </c>
      <c r="AD101" s="37" t="str">
        <f>DATA!AI97</f>
        <v>- Sudah ada RC
- Green Book 2015</v>
      </c>
      <c r="AE101" s="152" t="str">
        <f>DATA!AR97</f>
        <v>-</v>
      </c>
      <c r="AF101" s="152" t="str">
        <f>DATA!AN97</f>
        <v>dalam proses
(memiliki FS dan DED)</v>
      </c>
      <c r="AG101" s="152" t="str">
        <f>DATA!AO97</f>
        <v>dalam proses
(persiapan)</v>
      </c>
      <c r="AH101" s="37" t="str">
        <f>DATA!AJ97</f>
        <v>FS, DED, persiapan impounding 2015</v>
      </c>
      <c r="AI101" s="37" t="str">
        <f>DATA!AK97</f>
        <v>- Proses perijinan penggunaan lahan dari Bupati dan Kemenhut
- Proses administrasi kependudukan</v>
      </c>
      <c r="AJ101" s="230" t="str">
        <f>DATA!AL97</f>
        <v>Belum ada tender/lelang</v>
      </c>
      <c r="AK101" s="231" t="str">
        <f>DATA!AR97</f>
        <v>-</v>
      </c>
      <c r="AL101" s="20" t="str">
        <f>DATA!AN97</f>
        <v>dalam proses
(memiliki FS dan DED)</v>
      </c>
      <c r="AM101" s="20" t="str">
        <f>DATA!AO97</f>
        <v>dalam proses
(persiapan)</v>
      </c>
      <c r="AN101" s="20" t="str">
        <f>DATA!AP97</f>
        <v>belum ada proses tender/lelang</v>
      </c>
      <c r="AO101" s="20" t="str">
        <f>DATA!AY97</f>
        <v>Konfirmasi melalui surat Sekjen nomor KU.01.12-Sj/636 tgl 23 Oktober 2015</v>
      </c>
      <c r="AP101" s="20" t="e">
        <f>DATA!#REF!</f>
        <v>#REF!</v>
      </c>
      <c r="AQ101" s="20">
        <f>DATA!AZ97</f>
        <v>0</v>
      </c>
      <c r="AR101" s="152" t="e">
        <f>DATA!#REF!</f>
        <v>#REF!</v>
      </c>
      <c r="AS101" s="199" t="str">
        <f>DATA!BA97</f>
        <v>Menyediakan air untuk keperluan irigasi sebesar 59,63 m3/dt dan membangun infrastruktur untuk PLTA 110 MW.</v>
      </c>
      <c r="AT101" s="245">
        <f>DATA!AT97</f>
        <v>53200000</v>
      </c>
      <c r="AU101" s="109" t="str">
        <f>DATA!AU97</f>
        <v>RRT</v>
      </c>
      <c r="AV101" s="246" t="str">
        <f>DATA!AW97</f>
        <v>-</v>
      </c>
    </row>
    <row r="102" spans="1:51" s="5" customFormat="1" ht="33.75" customHeight="1">
      <c r="J102" s="180"/>
      <c r="K102" s="50"/>
      <c r="L102" s="30" t="str">
        <f>DATA!I98</f>
        <v>K</v>
      </c>
      <c r="M102" s="31" t="str">
        <f>DATA!J98</f>
        <v>Program Mitigasi Terhadap Daya Rusak Air</v>
      </c>
      <c r="N102" s="51"/>
      <c r="O102" s="31"/>
      <c r="P102" s="31"/>
      <c r="Q102" s="196"/>
      <c r="R102" s="197">
        <f>+R103+R104+R105+R106+R107+R108+R109+R110</f>
        <v>1152636000</v>
      </c>
      <c r="S102" s="198">
        <f t="shared" ref="S102:AT102" si="12">+S103+S104+S105+S106+S107+S108+S109+S110</f>
        <v>1152636000</v>
      </c>
      <c r="T102" s="81">
        <f t="shared" si="12"/>
        <v>149840000</v>
      </c>
      <c r="U102" s="81">
        <f t="shared" si="12"/>
        <v>0</v>
      </c>
      <c r="V102" s="81">
        <f t="shared" si="12"/>
        <v>1302476000</v>
      </c>
      <c r="W102" s="81" t="e">
        <f t="shared" si="12"/>
        <v>#VALUE!</v>
      </c>
      <c r="X102" s="81" t="e">
        <f t="shared" si="12"/>
        <v>#VALUE!</v>
      </c>
      <c r="Y102" s="81">
        <f t="shared" si="12"/>
        <v>912256000</v>
      </c>
      <c r="Z102" s="81">
        <f t="shared" si="12"/>
        <v>200000000</v>
      </c>
      <c r="AA102" s="214"/>
      <c r="AB102" s="198">
        <f t="shared" si="12"/>
        <v>0</v>
      </c>
      <c r="AC102" s="81" t="e">
        <f t="shared" si="12"/>
        <v>#VALUE!</v>
      </c>
      <c r="AD102" s="81"/>
      <c r="AE102" s="81"/>
      <c r="AF102" s="81"/>
      <c r="AG102" s="81"/>
      <c r="AH102" s="81"/>
      <c r="AI102" s="81"/>
      <c r="AJ102" s="229"/>
      <c r="AK102" s="198" t="e">
        <f t="shared" si="12"/>
        <v>#VALUE!</v>
      </c>
      <c r="AL102" s="81" t="e">
        <f t="shared" si="12"/>
        <v>#VALUE!</v>
      </c>
      <c r="AM102" s="81" t="e">
        <f t="shared" si="12"/>
        <v>#VALUE!</v>
      </c>
      <c r="AN102" s="81" t="e">
        <f t="shared" si="12"/>
        <v>#VALUE!</v>
      </c>
      <c r="AO102" s="81" t="e">
        <f t="shared" si="12"/>
        <v>#VALUE!</v>
      </c>
      <c r="AP102" s="81" t="e">
        <f t="shared" si="12"/>
        <v>#REF!</v>
      </c>
      <c r="AQ102" s="81" t="e">
        <f t="shared" si="12"/>
        <v>#VALUE!</v>
      </c>
      <c r="AR102" s="81" t="e">
        <f t="shared" si="12"/>
        <v>#REF!</v>
      </c>
      <c r="AS102" s="243" t="e">
        <f t="shared" si="12"/>
        <v>#VALUE!</v>
      </c>
      <c r="AT102" s="244">
        <f t="shared" si="12"/>
        <v>1112256000</v>
      </c>
      <c r="AU102" s="81"/>
      <c r="AV102" s="229"/>
      <c r="AY102" s="253"/>
    </row>
    <row r="103" spans="1:51" ht="32.25" customHeight="1">
      <c r="A103" s="10">
        <f>DATA!A98</f>
        <v>77</v>
      </c>
      <c r="B103" s="10">
        <f>DATA!B98</f>
        <v>0</v>
      </c>
      <c r="C103" s="10" t="str">
        <f>DATA!D98</f>
        <v>INFRASTRUKTUR</v>
      </c>
      <c r="D103" s="10">
        <f>DATA!E98</f>
        <v>1</v>
      </c>
      <c r="E103" s="10" t="str">
        <f>DATA!F98</f>
        <v>Kementerian Pekerjaan Umum dan Perumahan Rakyat</v>
      </c>
      <c r="F103" s="10" t="str">
        <f>DATA!H98</f>
        <v>Mitigation of Water Hazards Program</v>
      </c>
      <c r="G103" s="10" t="str">
        <f>DATA!I98</f>
        <v>K</v>
      </c>
      <c r="H103" s="10" t="str">
        <f>DATA!J98</f>
        <v>Program Mitigasi Terhadap Daya Rusak Air</v>
      </c>
      <c r="I103" s="10">
        <f>DATA!K98</f>
        <v>1</v>
      </c>
      <c r="J103" s="181"/>
      <c r="K103" s="34"/>
      <c r="L103" s="35"/>
      <c r="M103" s="36">
        <v>71</v>
      </c>
      <c r="N103" s="37" t="str">
        <f>DATA!L98</f>
        <v>Lower Solo River Improvement Project - Phase II</v>
      </c>
      <c r="O103" s="20">
        <f>DATA!Q98</f>
        <v>1</v>
      </c>
      <c r="P103" s="20">
        <f>DATA!R98</f>
        <v>1</v>
      </c>
      <c r="Q103" s="186">
        <f>DATA!S98</f>
        <v>68</v>
      </c>
      <c r="R103" s="187">
        <f>DATA!T98</f>
        <v>155836000</v>
      </c>
      <c r="S103" s="203">
        <f>DATA!U98</f>
        <v>155836000</v>
      </c>
      <c r="T103" s="77">
        <f>DATA!V98</f>
        <v>22500000</v>
      </c>
      <c r="U103" s="77">
        <f>DATA!W98</f>
        <v>0</v>
      </c>
      <c r="V103" s="77">
        <f>DATA!X98</f>
        <v>178336000</v>
      </c>
      <c r="W103" s="78" t="str">
        <f>DATA!Y98</f>
        <v>JICA</v>
      </c>
      <c r="X103" s="20" t="str">
        <f>DATA!Z98</f>
        <v>Bilateral</v>
      </c>
      <c r="Y103" s="77">
        <f>DATA!AA98</f>
        <v>155836000</v>
      </c>
      <c r="Z103" s="77">
        <v>0</v>
      </c>
      <c r="AA103" s="216" t="str">
        <f>DATA!Y98</f>
        <v>JICA</v>
      </c>
      <c r="AB103" s="188">
        <f>DATA!AG98</f>
        <v>0</v>
      </c>
      <c r="AC103" s="20">
        <f>DATA!AH98</f>
        <v>2018</v>
      </c>
      <c r="AD103" s="37" t="str">
        <f>DATA!AI98</f>
        <v>-</v>
      </c>
      <c r="AE103" s="152" t="str">
        <f>DATA!AR98</f>
        <v>belum ada dokumen R/C</v>
      </c>
      <c r="AF103" s="152" t="str">
        <f>DATA!AN98</f>
        <v>siap</v>
      </c>
      <c r="AG103" s="152" t="str">
        <f>DATA!AO98</f>
        <v>dalam proses
(perencanaan)</v>
      </c>
      <c r="AH103" s="37" t="str">
        <f>DATA!AJ98</f>
        <v>FS, DED, AMDAL</v>
      </c>
      <c r="AI103" s="37" t="str">
        <f>DATA!AK98</f>
        <v>LARAP</v>
      </c>
      <c r="AJ103" s="230" t="str">
        <f>DATA!AL98</f>
        <v>-</v>
      </c>
      <c r="AK103" s="231" t="str">
        <f>DATA!AR98</f>
        <v>belum ada dokumen R/C</v>
      </c>
      <c r="AL103" s="20" t="str">
        <f>DATA!AN98</f>
        <v>siap</v>
      </c>
      <c r="AM103" s="20" t="str">
        <f>DATA!AO98</f>
        <v>dalam proses
(perencanaan)</v>
      </c>
      <c r="AN103" s="20" t="str">
        <f>DATA!AP98</f>
        <v>belum ada proses tender/lelang</v>
      </c>
      <c r="AO103" s="20" t="str">
        <f>DATA!AY98</f>
        <v>Konfirmasi melalui surat Sekjen nomor KU.01.12-Sj/636 tgl 23 Oktober 2015</v>
      </c>
      <c r="AP103" s="20" t="e">
        <f>DATA!#REF!</f>
        <v>#REF!</v>
      </c>
      <c r="AQ103" s="20">
        <f>DATA!AZ98</f>
        <v>0</v>
      </c>
      <c r="AR103" s="152" t="e">
        <f>DATA!#REF!</f>
        <v>#REF!</v>
      </c>
      <c r="AS103" s="199" t="str">
        <f>DATA!BA98</f>
        <v>Pekerjaan konstruksi dan supervisi pelaksanaan tanggul, parapet wall, pelindung tebing, sluiceway, jembatan, alur sudetan dan bangunan sungai lainnya</v>
      </c>
      <c r="AT103" s="245">
        <f>DATA!AT98</f>
        <v>155836000</v>
      </c>
      <c r="AU103" s="109" t="str">
        <f>DATA!AU98</f>
        <v>JICA</v>
      </c>
      <c r="AV103" s="246" t="str">
        <f>DATA!AW98</f>
        <v>-</v>
      </c>
    </row>
    <row r="104" spans="1:51" ht="42" customHeight="1">
      <c r="A104" s="10">
        <f>DATA!A99</f>
        <v>78</v>
      </c>
      <c r="B104" s="10">
        <f>DATA!B99</f>
        <v>0</v>
      </c>
      <c r="C104" s="10" t="str">
        <f>DATA!D99</f>
        <v>INFRASTRUKTUR</v>
      </c>
      <c r="D104" s="10">
        <f>DATA!E99</f>
        <v>1</v>
      </c>
      <c r="E104" s="10" t="str">
        <f>DATA!F99</f>
        <v>Kementerian Pekerjaan Umum dan Perumahan Rakyat</v>
      </c>
      <c r="F104" s="10" t="str">
        <f>DATA!H99</f>
        <v>Mitigation of Water Hazards Program</v>
      </c>
      <c r="G104" s="10" t="str">
        <f>DATA!I99</f>
        <v>K</v>
      </c>
      <c r="H104" s="10" t="str">
        <f>DATA!J99</f>
        <v>Program Mitigasi Terhadap Daya Rusak Air</v>
      </c>
      <c r="I104" s="10">
        <f>DATA!K99</f>
        <v>2</v>
      </c>
      <c r="J104" s="181"/>
      <c r="K104" s="34"/>
      <c r="L104" s="34"/>
      <c r="M104" s="36">
        <v>72</v>
      </c>
      <c r="N104" s="37" t="str">
        <f>DATA!L99</f>
        <v>Comprehensive Countermeasure for Sediment &amp; Flood Problems in South Sulawesi Province</v>
      </c>
      <c r="O104" s="20">
        <f>DATA!Q99</f>
        <v>1</v>
      </c>
      <c r="P104" s="20">
        <f>DATA!R99</f>
        <v>1</v>
      </c>
      <c r="Q104" s="186">
        <f>DATA!S99</f>
        <v>69</v>
      </c>
      <c r="R104" s="187">
        <f>DATA!T99</f>
        <v>108100000</v>
      </c>
      <c r="S104" s="203">
        <f>DATA!U99</f>
        <v>108100000</v>
      </c>
      <c r="T104" s="77">
        <f>DATA!V99</f>
        <v>3900000</v>
      </c>
      <c r="U104" s="77">
        <f>DATA!W99</f>
        <v>0</v>
      </c>
      <c r="V104" s="77">
        <f>DATA!X99</f>
        <v>112000000</v>
      </c>
      <c r="W104" s="78" t="str">
        <f>DATA!Y99</f>
        <v>JICA</v>
      </c>
      <c r="X104" s="20" t="str">
        <f>DATA!Z99</f>
        <v>Bilateral</v>
      </c>
      <c r="Y104" s="77">
        <f>DATA!AA99</f>
        <v>108100000</v>
      </c>
      <c r="Z104" s="77">
        <v>0</v>
      </c>
      <c r="AA104" s="216" t="str">
        <f>DATA!Y99</f>
        <v>JICA</v>
      </c>
      <c r="AB104" s="188">
        <f>DATA!AG99</f>
        <v>0</v>
      </c>
      <c r="AC104" s="20">
        <f>DATA!AH99</f>
        <v>2018</v>
      </c>
      <c r="AD104" s="37" t="str">
        <f>DATA!AI99</f>
        <v>-</v>
      </c>
      <c r="AE104" s="152" t="str">
        <f>DATA!AR99</f>
        <v>belum ada dokumen R/C</v>
      </c>
      <c r="AF104" s="152" t="str">
        <f>DATA!AN99</f>
        <v>dalam proses
(memiliki FS dan DED)</v>
      </c>
      <c r="AG104" s="152" t="str">
        <f>DATA!AO99</f>
        <v>belum ada keterangan</v>
      </c>
      <c r="AH104" s="37" t="str">
        <f>DATA!AJ99</f>
        <v>FS, DED</v>
      </c>
      <c r="AI104" s="37" t="str">
        <f>DATA!AK99</f>
        <v>-</v>
      </c>
      <c r="AJ104" s="230" t="str">
        <f>DATA!AL99</f>
        <v>-</v>
      </c>
      <c r="AK104" s="231" t="str">
        <f>DATA!AR99</f>
        <v>belum ada dokumen R/C</v>
      </c>
      <c r="AL104" s="20" t="str">
        <f>DATA!AN99</f>
        <v>dalam proses
(memiliki FS dan DED)</v>
      </c>
      <c r="AM104" s="20" t="str">
        <f>DATA!AO99</f>
        <v>belum ada keterangan</v>
      </c>
      <c r="AN104" s="20" t="str">
        <f>DATA!AP99</f>
        <v>belum ada proses tender/lelang</v>
      </c>
      <c r="AO104" s="20" t="str">
        <f>DATA!AY99</f>
        <v>Konfirmasi melalui surat Sekjen nomor KU.01.12-Sj/636 tgl 23 Oktober 2015</v>
      </c>
      <c r="AP104" s="20" t="e">
        <f>DATA!#REF!</f>
        <v>#REF!</v>
      </c>
      <c r="AQ104" s="20">
        <f>DATA!AZ99</f>
        <v>0</v>
      </c>
      <c r="AR104" s="152" t="e">
        <f>DATA!#REF!</f>
        <v>#REF!</v>
      </c>
      <c r="AS104" s="199" t="str">
        <f>DATA!BA99</f>
        <v>Rehabilitasi intake waduk bili-bili (1 buah), konstruksi giant sand trap facility (1 buah) di ujung waduk bili-bili dan konstruksi bangunan pengendali sedimen di luar kaldera untuk antisipasi potensi runtuhan lanjutan Bawakaraeng</v>
      </c>
      <c r="AT104" s="245">
        <f>DATA!AT99</f>
        <v>108100000</v>
      </c>
      <c r="AU104" s="109" t="str">
        <f>DATA!AU99</f>
        <v>JICA</v>
      </c>
      <c r="AV104" s="246" t="str">
        <f>DATA!AW99</f>
        <v>-</v>
      </c>
    </row>
    <row r="105" spans="1:51" ht="35.25" customHeight="1">
      <c r="A105" s="10">
        <f>DATA!A100</f>
        <v>79</v>
      </c>
      <c r="B105" s="10">
        <f>DATA!B100</f>
        <v>0</v>
      </c>
      <c r="C105" s="10" t="str">
        <f>DATA!D100</f>
        <v>INFRASTRUKTUR</v>
      </c>
      <c r="D105" s="10">
        <f>DATA!E100</f>
        <v>1</v>
      </c>
      <c r="E105" s="10" t="str">
        <f>DATA!F100</f>
        <v>Kementerian Pekerjaan Umum dan Perumahan Rakyat</v>
      </c>
      <c r="F105" s="10" t="str">
        <f>DATA!H100</f>
        <v>Mitigation of Water Hazards Program</v>
      </c>
      <c r="G105" s="10" t="str">
        <f>DATA!I100</f>
        <v>K</v>
      </c>
      <c r="H105" s="10" t="str">
        <f>DATA!J100</f>
        <v>Program Mitigasi Terhadap Daya Rusak Air</v>
      </c>
      <c r="I105" s="10">
        <f>DATA!K100</f>
        <v>3</v>
      </c>
      <c r="J105" s="181"/>
      <c r="K105" s="34"/>
      <c r="L105" s="34"/>
      <c r="M105" s="36">
        <v>73</v>
      </c>
      <c r="N105" s="37" t="str">
        <f>DATA!L100</f>
        <v>Bali Beach Conservation Project - Phase II</v>
      </c>
      <c r="O105" s="20">
        <f>DATA!Q100</f>
        <v>1</v>
      </c>
      <c r="P105" s="20">
        <f>DATA!R100</f>
        <v>1</v>
      </c>
      <c r="Q105" s="186">
        <f>DATA!S100</f>
        <v>70</v>
      </c>
      <c r="R105" s="187">
        <f>DATA!T100</f>
        <v>150000000</v>
      </c>
      <c r="S105" s="203">
        <f>DATA!U100</f>
        <v>150000000</v>
      </c>
      <c r="T105" s="77">
        <f>DATA!V100</f>
        <v>15000000</v>
      </c>
      <c r="U105" s="77">
        <f>DATA!W100</f>
        <v>0</v>
      </c>
      <c r="V105" s="77">
        <f>DATA!X100</f>
        <v>165000000</v>
      </c>
      <c r="W105" s="78" t="str">
        <f>DATA!Y100</f>
        <v>JICA</v>
      </c>
      <c r="X105" s="20" t="str">
        <f>DATA!Z100</f>
        <v>Bilateral</v>
      </c>
      <c r="Y105" s="77">
        <f>DATA!AA100</f>
        <v>150000000</v>
      </c>
      <c r="Z105" s="77">
        <v>0</v>
      </c>
      <c r="AA105" s="216" t="str">
        <f>DATA!Y100</f>
        <v>JICA</v>
      </c>
      <c r="AB105" s="188">
        <f>DATA!AG100</f>
        <v>0</v>
      </c>
      <c r="AC105" s="20">
        <f>DATA!AH100</f>
        <v>2017</v>
      </c>
      <c r="AD105" s="37" t="str">
        <f>DATA!AI100</f>
        <v>-</v>
      </c>
      <c r="AE105" s="152" t="str">
        <f>DATA!AR100</f>
        <v>Nilai pinjaman di GB USD 90.247 ribu</v>
      </c>
      <c r="AF105" s="152" t="str">
        <f>DATA!AN100</f>
        <v>dalam proses
(memiliki FS)</v>
      </c>
      <c r="AG105" s="152" t="str">
        <f>DATA!AO100</f>
        <v>belum ada keterangan</v>
      </c>
      <c r="AH105" s="37" t="str">
        <f>DATA!AJ100</f>
        <v>FS</v>
      </c>
      <c r="AI105" s="37" t="str">
        <f>DATA!AK100</f>
        <v>-</v>
      </c>
      <c r="AJ105" s="230" t="str">
        <f>DATA!AL100</f>
        <v>-</v>
      </c>
      <c r="AK105" s="231" t="str">
        <f>DATA!AR100</f>
        <v>Nilai pinjaman di GB USD 90.247 ribu</v>
      </c>
      <c r="AL105" s="20" t="str">
        <f>DATA!AN100</f>
        <v>dalam proses
(memiliki FS)</v>
      </c>
      <c r="AM105" s="20" t="str">
        <f>DATA!AO100</f>
        <v>belum ada keterangan</v>
      </c>
      <c r="AN105" s="20" t="str">
        <f>DATA!AP100</f>
        <v>belum ada proses tender/lelang</v>
      </c>
      <c r="AO105" s="20" t="str">
        <f>DATA!AY100</f>
        <v>- Konfirmasi melalui surat Sekjen nomor KU.01.12-Sj/636 tgl 23 Oktober 2015
- MoD Fact Finding belum dapat ditandatangani dan ditentukan kemudian</v>
      </c>
      <c r="AP105" s="20" t="e">
        <f>DATA!#REF!</f>
        <v>#REF!</v>
      </c>
      <c r="AQ105" s="20">
        <f>DATA!AZ100</f>
        <v>0</v>
      </c>
      <c r="AR105" s="152" t="e">
        <f>DATA!#REF!</f>
        <v>#REF!</v>
      </c>
      <c r="AS105" s="199" t="str">
        <f>DATA!BA100</f>
        <v>Pengamanan dan konservasi pantai timur bali (sanur utara ~ candidasa) dan Pantai Kuta Utara – Legian – Seminyak dan Canggu</v>
      </c>
      <c r="AT105" s="245">
        <f>DATA!AT100</f>
        <v>150000000</v>
      </c>
      <c r="AU105" s="109" t="str">
        <f>DATA!AU100</f>
        <v>JICA</v>
      </c>
      <c r="AV105" s="246" t="str">
        <f>DATA!AW100</f>
        <v>-</v>
      </c>
    </row>
    <row r="106" spans="1:51" ht="40.5" customHeight="1">
      <c r="A106" s="10">
        <f>DATA!A101</f>
        <v>80</v>
      </c>
      <c r="B106" s="10">
        <f>DATA!B101</f>
        <v>0</v>
      </c>
      <c r="C106" s="10" t="str">
        <f>DATA!D101</f>
        <v>INFRASTRUKTUR</v>
      </c>
      <c r="D106" s="10">
        <f>DATA!E101</f>
        <v>1</v>
      </c>
      <c r="E106" s="10" t="str">
        <f>DATA!F101</f>
        <v>Kementerian Pekerjaan Umum dan Perumahan Rakyat</v>
      </c>
      <c r="F106" s="10" t="str">
        <f>DATA!H101</f>
        <v>Mitigation of Water Hazards Program</v>
      </c>
      <c r="G106" s="10" t="str">
        <f>DATA!I101</f>
        <v>K</v>
      </c>
      <c r="H106" s="10" t="str">
        <f>DATA!J101</f>
        <v>Program Mitigasi Terhadap Daya Rusak Air</v>
      </c>
      <c r="I106" s="10">
        <f>DATA!K101</f>
        <v>4</v>
      </c>
      <c r="J106" s="181"/>
      <c r="K106" s="34"/>
      <c r="L106" s="34"/>
      <c r="M106" s="36">
        <v>74</v>
      </c>
      <c r="N106" s="37" t="str">
        <f>DATA!L101</f>
        <v xml:space="preserve">Urgent Disaster Reduction of Mt. Sinabung, Mt. Semeru, Mt. Kelud Mt. Lokon, and Mt. Gamalama </v>
      </c>
      <c r="O106" s="20">
        <f>DATA!Q101</f>
        <v>1</v>
      </c>
      <c r="P106" s="20">
        <f>DATA!R101</f>
        <v>1</v>
      </c>
      <c r="Q106" s="186">
        <f>DATA!S101</f>
        <v>71</v>
      </c>
      <c r="R106" s="187">
        <f>DATA!T101</f>
        <v>260000000</v>
      </c>
      <c r="S106" s="203">
        <f>DATA!U101</f>
        <v>260000000</v>
      </c>
      <c r="T106" s="77">
        <f>DATA!V101</f>
        <v>26000000</v>
      </c>
      <c r="U106" s="77">
        <f>DATA!W101</f>
        <v>0</v>
      </c>
      <c r="V106" s="77">
        <f>DATA!X101</f>
        <v>286000000</v>
      </c>
      <c r="W106" s="78" t="str">
        <f>DATA!Y101</f>
        <v>JICA</v>
      </c>
      <c r="X106" s="20" t="str">
        <f>DATA!Z101</f>
        <v>Bilateral</v>
      </c>
      <c r="Y106" s="77">
        <f>DATA!AA101</f>
        <v>260000000</v>
      </c>
      <c r="Z106" s="77">
        <v>0</v>
      </c>
      <c r="AA106" s="216" t="str">
        <f>DATA!Y101</f>
        <v>JICA</v>
      </c>
      <c r="AB106" s="188">
        <f>DATA!AG101</f>
        <v>0</v>
      </c>
      <c r="AC106" s="20">
        <f>DATA!AH101</f>
        <v>2017</v>
      </c>
      <c r="AD106" s="37" t="str">
        <f>DATA!AI101</f>
        <v>-</v>
      </c>
      <c r="AE106" s="152" t="str">
        <f>DATA!AR101</f>
        <v>belum ada dokumen R/C</v>
      </c>
      <c r="AF106" s="152" t="str">
        <f>DATA!AN101</f>
        <v>siap</v>
      </c>
      <c r="AG106" s="152" t="str">
        <f>DATA!AO101</f>
        <v>dalam proses
(persiapan)</v>
      </c>
      <c r="AH106" s="37" t="str">
        <f>DATA!AJ101</f>
        <v>FS, DED, AMDAL</v>
      </c>
      <c r="AI106" s="37" t="str">
        <f>DATA!AK101</f>
        <v>LARAP</v>
      </c>
      <c r="AJ106" s="230" t="str">
        <f>DATA!AL101</f>
        <v>-</v>
      </c>
      <c r="AK106" s="231" t="str">
        <f>DATA!AR101</f>
        <v>belum ada dokumen R/C</v>
      </c>
      <c r="AL106" s="20" t="str">
        <f>DATA!AN101</f>
        <v>siap</v>
      </c>
      <c r="AM106" s="20" t="str">
        <f>DATA!AO101</f>
        <v>dalam proses
(persiapan)</v>
      </c>
      <c r="AN106" s="20" t="str">
        <f>DATA!AP101</f>
        <v>belum ada proses tender/lelang</v>
      </c>
      <c r="AO106" s="20" t="str">
        <f>DATA!AY101</f>
        <v>Konfirmasi melalui surat Sekjen nomor KU.01.12-Sj/636 tgl 23 Oktober 2015</v>
      </c>
      <c r="AP106" s="20" t="e">
        <f>DATA!#REF!</f>
        <v>#REF!</v>
      </c>
      <c r="AQ106" s="20">
        <f>DATA!AZ101</f>
        <v>0</v>
      </c>
      <c r="AR106" s="152" t="e">
        <f>DATA!#REF!</f>
        <v>#REF!</v>
      </c>
      <c r="AS106" s="199" t="str">
        <f>DATA!BA101</f>
        <v>Tersedianya fasilitas Sabo dan bangunan pengontrol sedimen lainnya.</v>
      </c>
      <c r="AT106" s="245">
        <f>DATA!AT101</f>
        <v>260000000</v>
      </c>
      <c r="AU106" s="109" t="str">
        <f>DATA!AU101</f>
        <v>JICA</v>
      </c>
      <c r="AV106" s="246" t="str">
        <f>DATA!AW101</f>
        <v>-</v>
      </c>
    </row>
    <row r="107" spans="1:51" ht="42.75" customHeight="1">
      <c r="A107" s="10">
        <f>DATA!A102</f>
        <v>81</v>
      </c>
      <c r="B107" s="10">
        <f>DATA!B102</f>
        <v>0</v>
      </c>
      <c r="C107" s="10" t="str">
        <f>DATA!D102</f>
        <v>INFRASTRUKTUR</v>
      </c>
      <c r="D107" s="10">
        <f>DATA!E102</f>
        <v>1</v>
      </c>
      <c r="E107" s="10" t="str">
        <f>DATA!F102</f>
        <v>Kementerian Pekerjaan Umum dan Perumahan Rakyat</v>
      </c>
      <c r="F107" s="10" t="str">
        <f>DATA!H102</f>
        <v>Mitigation of Water Hazards Program</v>
      </c>
      <c r="G107" s="10" t="str">
        <f>DATA!I102</f>
        <v>K</v>
      </c>
      <c r="H107" s="10" t="str">
        <f>DATA!J102</f>
        <v>Program Mitigasi Terhadap Daya Rusak Air</v>
      </c>
      <c r="I107" s="10">
        <f>DATA!K102</f>
        <v>5</v>
      </c>
      <c r="J107" s="181"/>
      <c r="K107" s="34"/>
      <c r="L107" s="34"/>
      <c r="M107" s="36">
        <v>75</v>
      </c>
      <c r="N107" s="37" t="str">
        <f>DATA!L102</f>
        <v xml:space="preserve">Urban Flood Control System Improvement in Selected Cities -Phase II  </v>
      </c>
      <c r="O107" s="20">
        <f>DATA!Q102</f>
        <v>1</v>
      </c>
      <c r="P107" s="20">
        <f>DATA!R102</f>
        <v>1</v>
      </c>
      <c r="Q107" s="186">
        <f>DATA!S102</f>
        <v>72</v>
      </c>
      <c r="R107" s="187">
        <f>DATA!T102</f>
        <v>120000000</v>
      </c>
      <c r="S107" s="203">
        <f>DATA!U102</f>
        <v>120000000</v>
      </c>
      <c r="T107" s="77">
        <f>DATA!V102</f>
        <v>12000000</v>
      </c>
      <c r="U107" s="77">
        <f>DATA!W102</f>
        <v>0</v>
      </c>
      <c r="V107" s="77">
        <f>DATA!X102</f>
        <v>132000000</v>
      </c>
      <c r="W107" s="78" t="str">
        <f>DATA!Y102</f>
        <v>JICA</v>
      </c>
      <c r="X107" s="20" t="str">
        <f>DATA!Z102</f>
        <v>Bilateral</v>
      </c>
      <c r="Y107" s="77">
        <f>DATA!AA102</f>
        <v>120000000</v>
      </c>
      <c r="Z107" s="77">
        <v>0</v>
      </c>
      <c r="AA107" s="216" t="str">
        <f>DATA!Y102</f>
        <v>JICA</v>
      </c>
      <c r="AB107" s="188">
        <f>DATA!AG102</f>
        <v>0</v>
      </c>
      <c r="AC107" s="20">
        <f>DATA!AH102</f>
        <v>2018</v>
      </c>
      <c r="AD107" s="37" t="str">
        <f>DATA!AI102</f>
        <v>-</v>
      </c>
      <c r="AE107" s="152" t="str">
        <f>DATA!AR102</f>
        <v>belum ada dokumen R/C</v>
      </c>
      <c r="AF107" s="152" t="str">
        <f>DATA!AN102</f>
        <v>siap</v>
      </c>
      <c r="AG107" s="152" t="str">
        <f>DATA!AO102</f>
        <v>dalam proses
(perencanaan)</v>
      </c>
      <c r="AH107" s="37" t="str">
        <f>DATA!AJ102</f>
        <v>FS, DED, AMDAL</v>
      </c>
      <c r="AI107" s="37" t="str">
        <f>DATA!AK102</f>
        <v>LARAP</v>
      </c>
      <c r="AJ107" s="230" t="str">
        <f>DATA!AL102</f>
        <v>-</v>
      </c>
      <c r="AK107" s="231" t="str">
        <f>DATA!AR102</f>
        <v>belum ada dokumen R/C</v>
      </c>
      <c r="AL107" s="20" t="str">
        <f>DATA!AN102</f>
        <v>siap</v>
      </c>
      <c r="AM107" s="20" t="str">
        <f>DATA!AO102</f>
        <v>dalam proses
(perencanaan)</v>
      </c>
      <c r="AN107" s="20" t="str">
        <f>DATA!AP102</f>
        <v>belum ada proses tender/lelang</v>
      </c>
      <c r="AO107" s="20" t="str">
        <f>DATA!AY102</f>
        <v>Konfirmasi melalui surat Sekjen nomor KU.01.12-Sj/636 tgl 23 Oktober 2015</v>
      </c>
      <c r="AP107" s="20" t="e">
        <f>DATA!#REF!</f>
        <v>#REF!</v>
      </c>
      <c r="AQ107" s="20">
        <f>DATA!AZ102</f>
        <v>0</v>
      </c>
      <c r="AR107" s="152" t="e">
        <f>DATA!#REF!</f>
        <v>#REF!</v>
      </c>
      <c r="AS107" s="199" t="str">
        <f>DATA!BA102</f>
        <v>Meningkatkan kapasitas sistem sungai dengan total panjang 4.35 km dan drainase di kota-kota untuk mengalirkan air hujan dengan pembangunan tanggul 6,5 Km</v>
      </c>
      <c r="AT107" s="245">
        <f>DATA!AT102</f>
        <v>120000000</v>
      </c>
      <c r="AU107" s="109" t="str">
        <f>DATA!AU102</f>
        <v>JICA</v>
      </c>
      <c r="AV107" s="246" t="str">
        <f>DATA!AW102</f>
        <v>-</v>
      </c>
    </row>
    <row r="108" spans="1:51" ht="46.5" customHeight="1">
      <c r="A108" s="10">
        <f>DATA!A104</f>
        <v>0</v>
      </c>
      <c r="B108" s="10">
        <f>DATA!B104</f>
        <v>0</v>
      </c>
      <c r="C108" s="10" t="str">
        <f>DATA!D104</f>
        <v>INFRASTRUKTUR</v>
      </c>
      <c r="D108" s="10">
        <f>DATA!E104</f>
        <v>1</v>
      </c>
      <c r="E108" s="10" t="str">
        <f>DATA!F104</f>
        <v>Kementerian Pekerjaan Umum dan Perumahan Rakyat</v>
      </c>
      <c r="F108" s="10" t="str">
        <f>DATA!H104</f>
        <v>Mitigation of Water Hazards Program</v>
      </c>
      <c r="G108" s="10" t="str">
        <f>DATA!I104</f>
        <v>K</v>
      </c>
      <c r="H108" s="10" t="str">
        <f>DATA!J104</f>
        <v>Program Mitigasi Terhadap Daya Rusak Air</v>
      </c>
      <c r="I108" s="10">
        <f>DATA!K104</f>
        <v>6</v>
      </c>
      <c r="J108" s="181"/>
      <c r="K108" s="34"/>
      <c r="L108" s="34"/>
      <c r="M108" s="36">
        <v>76</v>
      </c>
      <c r="N108" s="37" t="str">
        <f>DATA!L104</f>
        <v>Engineering Service for Coastal and River Development Project</v>
      </c>
      <c r="O108" s="20">
        <f>DATA!Q104</f>
        <v>1</v>
      </c>
      <c r="P108" s="20">
        <f>DATA!R104</f>
        <v>1</v>
      </c>
      <c r="Q108" s="186">
        <f>DATA!S104</f>
        <v>73</v>
      </c>
      <c r="R108" s="187">
        <f>DATA!T104</f>
        <v>50000000</v>
      </c>
      <c r="S108" s="203">
        <f>DATA!U104</f>
        <v>50000000</v>
      </c>
      <c r="T108" s="77">
        <f>DATA!V104</f>
        <v>0</v>
      </c>
      <c r="U108" s="77">
        <f>DATA!W104</f>
        <v>0</v>
      </c>
      <c r="V108" s="77">
        <f>DATA!X104</f>
        <v>50000000</v>
      </c>
      <c r="W108" s="78" t="str">
        <f>DATA!Y104</f>
        <v>ADB</v>
      </c>
      <c r="X108" s="20" t="str">
        <f>DATA!Z104</f>
        <v>Multilateral</v>
      </c>
      <c r="Y108" s="77">
        <f>DATA!AA104</f>
        <v>9620000</v>
      </c>
      <c r="Z108" s="77">
        <v>0</v>
      </c>
      <c r="AA108" s="216" t="str">
        <f>DATA!Y104</f>
        <v>ADB</v>
      </c>
      <c r="AB108" s="188">
        <f>DATA!AG104</f>
        <v>0</v>
      </c>
      <c r="AC108" s="20">
        <f>DATA!AH104</f>
        <v>2016</v>
      </c>
      <c r="AD108" s="37" t="str">
        <f>DATA!AI104</f>
        <v>- Sudah ada RC
- Green Book 2016</v>
      </c>
      <c r="AE108" s="152" t="str">
        <f>DATA!AM104</f>
        <v>2016; 2015</v>
      </c>
      <c r="AF108" s="152" t="str">
        <f>DATA!AN104</f>
        <v>siap</v>
      </c>
      <c r="AG108" s="152" t="str">
        <f>DATA!AO104</f>
        <v>tidak butuh lahan</v>
      </c>
      <c r="AH108" s="37" t="str">
        <f>DATA!AJ104</f>
        <v>FS, DED</v>
      </c>
      <c r="AI108" s="37" t="str">
        <f>DATA!AK104</f>
        <v>Tidak membutuhkan lahan</v>
      </c>
      <c r="AJ108" s="230" t="str">
        <f>DATA!AL104</f>
        <v>Belum ada tender/lelang</v>
      </c>
      <c r="AK108" s="231" t="str">
        <f>DATA!AM104</f>
        <v>2016; 2015</v>
      </c>
      <c r="AL108" s="20" t="str">
        <f>DATA!AN104</f>
        <v>siap</v>
      </c>
      <c r="AM108" s="20" t="str">
        <f>DATA!AO104</f>
        <v>tidak butuh lahan</v>
      </c>
      <c r="AN108" s="20" t="str">
        <f>DATA!AP104</f>
        <v>belum ada proses tender/lelang</v>
      </c>
      <c r="AO108"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P108" s="20" t="e">
        <f>DATA!#REF!</f>
        <v>#REF!</v>
      </c>
      <c r="AQ108" s="20">
        <f>DATA!AZ104</f>
        <v>0</v>
      </c>
      <c r="AR108" s="152" t="e">
        <f>DATA!#REF!</f>
        <v>#REF!</v>
      </c>
      <c r="AS108" s="199" t="str">
        <f>DATA!BA104</f>
        <v>Analisis rencana teknis pembangunan infrastruktur sungai di 33 balai wilayah sungai  dan pantai beserta fasilitasnya, O&amp;P dan pengadaan barang dan jasa</v>
      </c>
      <c r="AT108" s="245">
        <f>DATA!AT104</f>
        <v>9620000</v>
      </c>
      <c r="AU108" s="109" t="str">
        <f>DATA!AU104</f>
        <v>ADB</v>
      </c>
      <c r="AV108" s="246" t="str">
        <f>DATA!AW104</f>
        <v>co-financing dengan Korea (USD 10,5 juta) dan belum ada indikasi (USD 29,9 juta)</v>
      </c>
    </row>
    <row r="109" spans="1:51" ht="42.75" customHeight="1">
      <c r="A109" s="10">
        <f>DATA!A108</f>
        <v>83</v>
      </c>
      <c r="B109" s="10">
        <f>DATA!B108</f>
        <v>0</v>
      </c>
      <c r="C109" s="10" t="str">
        <f>DATA!D108</f>
        <v>INFRASTRUKTUR</v>
      </c>
      <c r="D109" s="10">
        <f>DATA!E108</f>
        <v>1</v>
      </c>
      <c r="E109" s="10" t="str">
        <f>DATA!F108</f>
        <v>Kementerian Pekerjaan Umum dan Perumahan Rakyat</v>
      </c>
      <c r="F109" s="10" t="str">
        <f>DATA!H108</f>
        <v>Mitigation of Water Hazards Program</v>
      </c>
      <c r="G109" s="10" t="str">
        <f>DATA!I108</f>
        <v>K</v>
      </c>
      <c r="H109" s="10" t="str">
        <f>DATA!J108</f>
        <v>Program Mitigasi Terhadap Daya Rusak Air</v>
      </c>
      <c r="I109" s="10">
        <f>DATA!K108</f>
        <v>7</v>
      </c>
      <c r="J109" s="181"/>
      <c r="K109" s="34"/>
      <c r="L109" s="34"/>
      <c r="M109" s="36">
        <v>77</v>
      </c>
      <c r="N109" s="37" t="str">
        <f>DATA!L108</f>
        <v>Flood Management in Selected River Basins Sector Project (Additional Financing)</v>
      </c>
      <c r="O109" s="20">
        <f>DATA!Q108</f>
        <v>1</v>
      </c>
      <c r="P109" s="20">
        <f>DATA!R108</f>
        <v>1</v>
      </c>
      <c r="Q109" s="186">
        <f>DATA!S108</f>
        <v>74</v>
      </c>
      <c r="R109" s="187">
        <f>DATA!T108</f>
        <v>200000000</v>
      </c>
      <c r="S109" s="203">
        <f>DATA!U108</f>
        <v>200000000</v>
      </c>
      <c r="T109" s="77">
        <f>DATA!V108</f>
        <v>20000000</v>
      </c>
      <c r="U109" s="77">
        <f>DATA!W108</f>
        <v>0</v>
      </c>
      <c r="V109" s="77">
        <f>DATA!X108</f>
        <v>220000000</v>
      </c>
      <c r="W109" s="78" t="str">
        <f>DATA!Y108</f>
        <v>Belum Ada Indikasi</v>
      </c>
      <c r="X109" s="20" t="str">
        <f>DATA!Z108</f>
        <v>Multilateral</v>
      </c>
      <c r="Y109" s="77">
        <v>0</v>
      </c>
      <c r="Z109" s="77">
        <f>DATA!AA108</f>
        <v>200000000</v>
      </c>
      <c r="AA109" s="216" t="str">
        <f>DATA!Y108</f>
        <v>Belum Ada Indikasi</v>
      </c>
      <c r="AB109" s="188">
        <f>DATA!AG108</f>
        <v>0</v>
      </c>
      <c r="AC109" s="20" t="str">
        <f>DATA!AH108</f>
        <v>Tanpa keterangan</v>
      </c>
      <c r="AD109" s="37" t="str">
        <f>DATA!AI108</f>
        <v>-</v>
      </c>
      <c r="AE109" s="152" t="str">
        <f>DATA!AR108</f>
        <v>belum ada dokumen R/C</v>
      </c>
      <c r="AF109" s="152" t="str">
        <f>DATA!AN108</f>
        <v>belum ada keterangan</v>
      </c>
      <c r="AG109" s="152" t="str">
        <f>DATA!AO108</f>
        <v>belum ada keterangan</v>
      </c>
      <c r="AH109" s="37" t="str">
        <f>DATA!AJ108</f>
        <v>-</v>
      </c>
      <c r="AI109" s="37" t="str">
        <f>DATA!AK108</f>
        <v>-</v>
      </c>
      <c r="AJ109" s="230" t="str">
        <f>DATA!AL108</f>
        <v>-</v>
      </c>
      <c r="AK109" s="231" t="str">
        <f>DATA!AR108</f>
        <v>belum ada dokumen R/C</v>
      </c>
      <c r="AL109" s="20" t="str">
        <f>DATA!AN108</f>
        <v>belum ada keterangan</v>
      </c>
      <c r="AM109" s="20" t="str">
        <f>DATA!AO108</f>
        <v>belum ada keterangan</v>
      </c>
      <c r="AN109" s="20" t="str">
        <f>DATA!AP108</f>
        <v>belum ada proses tender/lelang</v>
      </c>
      <c r="AO109" s="20" t="str">
        <f>DATA!AY108</f>
        <v>Konfirmasi melalui surat Sekjen nomor KU.01.12-Sj/636 tgl 23 Oktober 2015</v>
      </c>
      <c r="AP109" s="20" t="e">
        <f>DATA!#REF!</f>
        <v>#REF!</v>
      </c>
      <c r="AQ109" s="20" t="str">
        <f>DATA!AZ108</f>
        <v>untuk wilayah Banten</v>
      </c>
      <c r="AR109" s="152" t="e">
        <f>DATA!#REF!</f>
        <v>#REF!</v>
      </c>
      <c r="AS109" s="199" t="str">
        <f>DATA!BA108</f>
        <v>Meningkatkan kesiapan untuk mengelola dan memitigasi banjir melalui pendekatan pengelolaan banjir terpadu di DAS terpilih</v>
      </c>
      <c r="AT109" s="245">
        <f>DATA!AT108</f>
        <v>200000000</v>
      </c>
      <c r="AU109" s="109" t="str">
        <f>DATA!AU108</f>
        <v>ADB</v>
      </c>
      <c r="AV109" s="246" t="str">
        <f>DATA!AW108</f>
        <v>sudah masuk COBP ADB</v>
      </c>
    </row>
    <row r="110" spans="1:51" ht="78.75" customHeight="1">
      <c r="A110" s="10">
        <f>DATA!A109</f>
        <v>84</v>
      </c>
      <c r="B110" s="10">
        <f>DATA!B109</f>
        <v>0</v>
      </c>
      <c r="C110" s="10" t="str">
        <f>DATA!D109</f>
        <v>INFRASTRUKTUR</v>
      </c>
      <c r="D110" s="10">
        <f>DATA!E109</f>
        <v>1</v>
      </c>
      <c r="E110" s="10" t="str">
        <f>DATA!F109</f>
        <v>Kementerian Pekerjaan Umum dan Perumahan Rakyat</v>
      </c>
      <c r="F110" s="10" t="str">
        <f>DATA!H109</f>
        <v>Mitigation of Water Hazards Program</v>
      </c>
      <c r="G110" s="10" t="str">
        <f>DATA!I109</f>
        <v>K</v>
      </c>
      <c r="H110" s="10" t="str">
        <f>DATA!J109</f>
        <v>Program Mitigasi Terhadap Daya Rusak Air</v>
      </c>
      <c r="I110" s="10">
        <f>DATA!K109</f>
        <v>7</v>
      </c>
      <c r="J110" s="181"/>
      <c r="K110" s="34"/>
      <c r="L110" s="54"/>
      <c r="M110" s="36">
        <v>78</v>
      </c>
      <c r="N110" s="37" t="str">
        <f>DATA!L109</f>
        <v>Flood Management in Selected River Basins</v>
      </c>
      <c r="O110" s="20">
        <f>DATA!Q109</f>
        <v>1</v>
      </c>
      <c r="P110" s="20">
        <f>DATA!R109</f>
        <v>1</v>
      </c>
      <c r="Q110" s="186">
        <f>DATA!S109</f>
        <v>75</v>
      </c>
      <c r="R110" s="187">
        <f>DATA!T109</f>
        <v>108700000</v>
      </c>
      <c r="S110" s="203">
        <f>DATA!U109</f>
        <v>108700000</v>
      </c>
      <c r="T110" s="77">
        <f>DATA!V109</f>
        <v>50440000</v>
      </c>
      <c r="U110" s="77">
        <f>DATA!W109</f>
        <v>0</v>
      </c>
      <c r="V110" s="77">
        <f>DATA!X109</f>
        <v>159140000</v>
      </c>
      <c r="W110" s="78" t="str">
        <f>DATA!Y109</f>
        <v>ADB</v>
      </c>
      <c r="X110" s="20" t="str">
        <f>DATA!Z109</f>
        <v>Multilateral</v>
      </c>
      <c r="Y110" s="77">
        <f>DATA!AA109</f>
        <v>108700000</v>
      </c>
      <c r="Z110" s="77">
        <v>0</v>
      </c>
      <c r="AA110" s="216" t="str">
        <f>DATA!Y109</f>
        <v>ADB</v>
      </c>
      <c r="AB110" s="188">
        <f>DATA!AG109</f>
        <v>0</v>
      </c>
      <c r="AC110" s="20" t="str">
        <f>DATA!AH109</f>
        <v>Tanpa keterangan</v>
      </c>
      <c r="AD110" s="37" t="str">
        <f>DATA!AI109</f>
        <v>- Sudah ada RC
- Green Book 2015</v>
      </c>
      <c r="AE110" s="152" t="str">
        <f>DATA!AR109</f>
        <v>-</v>
      </c>
      <c r="AF110" s="152" t="str">
        <f>DATA!AN109</f>
        <v>dalam proses
(memiliki FS dan DED)</v>
      </c>
      <c r="AG110" s="152" t="str">
        <f>DATA!AO109</f>
        <v>dalam proses
(persiapan)</v>
      </c>
      <c r="AH110" s="37" t="str">
        <f>DATA!AJ109</f>
        <v>FS, DED</v>
      </c>
      <c r="AI110" s="37" t="str">
        <f>DATA!AK109</f>
        <v>- Penetapan lokasi dengan SK Gubernur Banten dan Gubernur Maluku
- Izin AMDAL dengan SK Walikota Ambon</v>
      </c>
      <c r="AJ110" s="230" t="str">
        <f>DATA!AL109</f>
        <v>Belum ada tender/lelang</v>
      </c>
      <c r="AK110" s="231" t="str">
        <f>DATA!AR109</f>
        <v>-</v>
      </c>
      <c r="AL110" s="20" t="str">
        <f>DATA!AN109</f>
        <v>dalam proses
(memiliki FS dan DED)</v>
      </c>
      <c r="AM110" s="20" t="str">
        <f>DATA!AO109</f>
        <v>dalam proses
(persiapan)</v>
      </c>
      <c r="AN110" s="20" t="str">
        <f>DATA!AP109</f>
        <v>belum ada proses tender/lelang</v>
      </c>
      <c r="AO110" s="20" t="str">
        <f>DATA!AY109</f>
        <v>Konfirmasi melalui surat Sekjen nomor KU.01.12-Sj/636 tgl 23 Oktober 2015</v>
      </c>
      <c r="AP110" s="20" t="e">
        <f>DATA!#REF!</f>
        <v>#REF!</v>
      </c>
      <c r="AQ110" s="20" t="str">
        <f>DATA!AZ109</f>
        <v>Ambon appraisal MoU 2015</v>
      </c>
      <c r="AR110" s="152" t="e">
        <f>DATA!#REF!</f>
        <v>#REF!</v>
      </c>
      <c r="AS110" s="199" t="str">
        <f>DATA!BA109</f>
        <v>Meningkatkan kesiapan untuk mengelola dan memitigasi banjir melalui pendekatan pengelolaan banjir terpadu di DAS Ciujung, DAS Batu Merah, dan DAS Way Ruhu</v>
      </c>
      <c r="AT110" s="245">
        <f>DATA!AT109</f>
        <v>108700000</v>
      </c>
      <c r="AU110" s="109" t="str">
        <f>DATA!AU109</f>
        <v>ADB</v>
      </c>
      <c r="AV110" s="246" t="str">
        <f>DATA!AW109</f>
        <v>-</v>
      </c>
    </row>
    <row r="111" spans="1:51" s="5" customFormat="1" ht="33.75" customHeight="1">
      <c r="J111" s="180"/>
      <c r="K111" s="50"/>
      <c r="L111" s="30" t="str">
        <f>DATA!I110</f>
        <v>L</v>
      </c>
      <c r="M111" s="31" t="str">
        <f>DATA!J110</f>
        <v xml:space="preserve">Program Pengelolaan Infrastruktur Sumber Daya Air </v>
      </c>
      <c r="N111" s="51"/>
      <c r="O111" s="31"/>
      <c r="P111" s="31"/>
      <c r="Q111" s="196"/>
      <c r="R111" s="197">
        <f>+R112+R113+R114</f>
        <v>650000000</v>
      </c>
      <c r="S111" s="198">
        <f t="shared" ref="S111:AT111" si="13">+S112+S113+S114</f>
        <v>650000000</v>
      </c>
      <c r="T111" s="81">
        <f t="shared" si="13"/>
        <v>130000000</v>
      </c>
      <c r="U111" s="81">
        <f t="shared" si="13"/>
        <v>0</v>
      </c>
      <c r="V111" s="81">
        <f t="shared" si="13"/>
        <v>780000000</v>
      </c>
      <c r="W111" s="81" t="e">
        <f t="shared" si="13"/>
        <v>#VALUE!</v>
      </c>
      <c r="X111" s="81" t="e">
        <f t="shared" si="13"/>
        <v>#VALUE!</v>
      </c>
      <c r="Y111" s="81">
        <f t="shared" si="13"/>
        <v>600000000</v>
      </c>
      <c r="Z111" s="81">
        <f t="shared" si="13"/>
        <v>50000000</v>
      </c>
      <c r="AA111" s="214"/>
      <c r="AB111" s="198">
        <f t="shared" si="13"/>
        <v>-50000000</v>
      </c>
      <c r="AC111" s="81" t="e">
        <f t="shared" si="13"/>
        <v>#VALUE!</v>
      </c>
      <c r="AD111" s="81"/>
      <c r="AE111" s="81"/>
      <c r="AF111" s="81"/>
      <c r="AG111" s="81"/>
      <c r="AH111" s="81"/>
      <c r="AI111" s="81"/>
      <c r="AJ111" s="229"/>
      <c r="AK111" s="198" t="e">
        <f t="shared" si="13"/>
        <v>#VALUE!</v>
      </c>
      <c r="AL111" s="81" t="e">
        <f t="shared" si="13"/>
        <v>#VALUE!</v>
      </c>
      <c r="AM111" s="81" t="e">
        <f t="shared" si="13"/>
        <v>#VALUE!</v>
      </c>
      <c r="AN111" s="81" t="e">
        <f t="shared" si="13"/>
        <v>#VALUE!</v>
      </c>
      <c r="AO111" s="81" t="e">
        <f t="shared" si="13"/>
        <v>#VALUE!</v>
      </c>
      <c r="AP111" s="81" t="e">
        <f t="shared" si="13"/>
        <v>#REF!</v>
      </c>
      <c r="AQ111" s="81" t="e">
        <f t="shared" si="13"/>
        <v>#VALUE!</v>
      </c>
      <c r="AR111" s="81" t="e">
        <f t="shared" si="13"/>
        <v>#REF!</v>
      </c>
      <c r="AS111" s="243" t="e">
        <f t="shared" si="13"/>
        <v>#VALUE!</v>
      </c>
      <c r="AT111" s="244">
        <f t="shared" si="13"/>
        <v>650000000</v>
      </c>
      <c r="AU111" s="81"/>
      <c r="AV111" s="229"/>
    </row>
    <row r="112" spans="1:51" ht="45.75" customHeight="1">
      <c r="A112" s="10">
        <f>DATA!A110</f>
        <v>85</v>
      </c>
      <c r="B112" s="10">
        <f>DATA!B110</f>
        <v>0</v>
      </c>
      <c r="C112" s="10" t="str">
        <f>DATA!D110</f>
        <v>INFRASTRUKTUR</v>
      </c>
      <c r="D112" s="10">
        <f>DATA!E110</f>
        <v>1</v>
      </c>
      <c r="E112" s="10" t="str">
        <f>DATA!F110</f>
        <v>Kementerian Pekerjaan Umum dan Perumahan Rakyat</v>
      </c>
      <c r="F112" s="10" t="str">
        <f>DATA!H110</f>
        <v>Management of Water Resources Infrastructure Program</v>
      </c>
      <c r="G112" s="10" t="str">
        <f>DATA!I110</f>
        <v>L</v>
      </c>
      <c r="H112" s="10" t="str">
        <f>DATA!J110</f>
        <v xml:space="preserve">Program Pengelolaan Infrastruktur Sumber Daya Air </v>
      </c>
      <c r="I112" s="10">
        <f>DATA!K110</f>
        <v>1</v>
      </c>
      <c r="J112" s="181"/>
      <c r="K112" s="34"/>
      <c r="L112" s="35"/>
      <c r="M112" s="36">
        <v>79</v>
      </c>
      <c r="N112" s="37" t="str">
        <f>DATA!L110</f>
        <v xml:space="preserve">Dam Operational Improvement and Safety Project (DOISP) - Phase II </v>
      </c>
      <c r="O112" s="20">
        <f>DATA!Q110</f>
        <v>1</v>
      </c>
      <c r="P112" s="20">
        <f>DATA!R110</f>
        <v>1</v>
      </c>
      <c r="Q112" s="186">
        <f>DATA!S110</f>
        <v>76</v>
      </c>
      <c r="R112" s="187">
        <f>DATA!T110</f>
        <v>250000000</v>
      </c>
      <c r="S112" s="203">
        <f>DATA!U110</f>
        <v>250000000</v>
      </c>
      <c r="T112" s="77">
        <f>DATA!V110</f>
        <v>50000000</v>
      </c>
      <c r="U112" s="77">
        <f>DATA!W110</f>
        <v>0</v>
      </c>
      <c r="V112" s="77">
        <f>DATA!X110</f>
        <v>300000000</v>
      </c>
      <c r="W112" s="78" t="str">
        <f>DATA!Y110</f>
        <v>Bank Dunia</v>
      </c>
      <c r="X112" s="20" t="str">
        <f>DATA!Z110</f>
        <v>Multilateral</v>
      </c>
      <c r="Y112" s="77">
        <f>DATA!AA110</f>
        <v>250000000</v>
      </c>
      <c r="Z112" s="77">
        <v>0</v>
      </c>
      <c r="AA112" s="216" t="str">
        <f>DATA!Y110</f>
        <v>Bank Dunia</v>
      </c>
      <c r="AB112" s="188">
        <f>DATA!AG110</f>
        <v>0</v>
      </c>
      <c r="AC112" s="20" t="str">
        <f>DATA!AH110</f>
        <v>Tanpa keterangan</v>
      </c>
      <c r="AD112" s="37" t="str">
        <f>DATA!AI110</f>
        <v>-</v>
      </c>
      <c r="AE112" s="152" t="str">
        <f>DATA!AR110</f>
        <v>-</v>
      </c>
      <c r="AF112" s="152" t="str">
        <f>DATA!AN110</f>
        <v>dalam proses
(memiliki FS)</v>
      </c>
      <c r="AG112" s="152" t="str">
        <f>DATA!AO110</f>
        <v>belum ada keterangan</v>
      </c>
      <c r="AH112" s="37" t="str">
        <f>DATA!AJ110</f>
        <v>FS</v>
      </c>
      <c r="AI112" s="37" t="str">
        <f>DATA!AK110</f>
        <v>-</v>
      </c>
      <c r="AJ112" s="230" t="str">
        <f>DATA!AL110</f>
        <v>-</v>
      </c>
      <c r="AK112" s="231" t="str">
        <f>DATA!AR110</f>
        <v>-</v>
      </c>
      <c r="AL112" s="20" t="str">
        <f>DATA!AN110</f>
        <v>dalam proses
(memiliki FS)</v>
      </c>
      <c r="AM112" s="20" t="str">
        <f>DATA!AO110</f>
        <v>belum ada keterangan</v>
      </c>
      <c r="AN112" s="20" t="str">
        <f>DATA!AP110</f>
        <v>belum ada proses tender/lelang</v>
      </c>
      <c r="AO112" s="20" t="str">
        <f>DATA!AY110</f>
        <v>Konfirmasi melalui surat Sekjen nomor KU.01.12-Sj/636 tgl 23 Oktober 2015</v>
      </c>
      <c r="AP112" s="20" t="e">
        <f>DATA!#REF!</f>
        <v>#REF!</v>
      </c>
      <c r="AQ112" s="20">
        <f>DATA!AZ110</f>
        <v>0</v>
      </c>
      <c r="AR112" s="152" t="e">
        <f>DATA!#REF!</f>
        <v>#REF!</v>
      </c>
      <c r="AS112" s="199" t="str">
        <f>DATA!BA110</f>
        <v>Peningkatan operasi dan keamanan 63 bendungan, peningkatan OP dan kapasitas SDM, mitigasi sedimentasi waduk, peningkatan institusi keamanan bendungan dan manajemen proyek</v>
      </c>
      <c r="AT112" s="245">
        <f>DATA!AT110</f>
        <v>250000000</v>
      </c>
      <c r="AU112" s="109" t="str">
        <f>DATA!AU110</f>
        <v>Bank Dunia</v>
      </c>
      <c r="AV112" s="246" t="str">
        <f>DATA!AW110</f>
        <v>-</v>
      </c>
    </row>
    <row r="113" spans="1:51" ht="39.75" customHeight="1">
      <c r="A113" s="10">
        <f>DATA!A113</f>
        <v>86</v>
      </c>
      <c r="B113" s="10">
        <f>DATA!B113</f>
        <v>0</v>
      </c>
      <c r="C113" s="10" t="str">
        <f>DATA!D113</f>
        <v>INFRASTRUKTUR</v>
      </c>
      <c r="D113" s="10">
        <f>DATA!E113</f>
        <v>1</v>
      </c>
      <c r="E113" s="10" t="str">
        <f>DATA!F113</f>
        <v>Kementerian Pekerjaan Umum dan Perumahan Rakyat</v>
      </c>
      <c r="F113" s="10" t="str">
        <f>DATA!H113</f>
        <v>Management of Water Resources Infrastructure Program</v>
      </c>
      <c r="G113" s="10" t="str">
        <f>DATA!I113</f>
        <v>L</v>
      </c>
      <c r="H113" s="10" t="str">
        <f>DATA!J113</f>
        <v xml:space="preserve">Program Pengelolaan Infrastruktur Sumber Daya Air </v>
      </c>
      <c r="I113" s="10">
        <f>DATA!K113</f>
        <v>2</v>
      </c>
      <c r="J113" s="181"/>
      <c r="K113" s="34"/>
      <c r="L113" s="34"/>
      <c r="M113" s="36">
        <v>80</v>
      </c>
      <c r="N113" s="37" t="str">
        <f>DATA!L113</f>
        <v xml:space="preserve">Enhanced Water Security Investment Program    </v>
      </c>
      <c r="O113" s="20">
        <f>DATA!Q113</f>
        <v>1</v>
      </c>
      <c r="P113" s="20">
        <f>DATA!R113</f>
        <v>1</v>
      </c>
      <c r="Q113" s="186">
        <f>DATA!S113</f>
        <v>77</v>
      </c>
      <c r="R113" s="187">
        <f>DATA!T113</f>
        <v>350000000</v>
      </c>
      <c r="S113" s="203">
        <f>DATA!U113</f>
        <v>350000000</v>
      </c>
      <c r="T113" s="77">
        <f>DATA!V113</f>
        <v>70000000</v>
      </c>
      <c r="U113" s="77">
        <f>DATA!W113</f>
        <v>0</v>
      </c>
      <c r="V113" s="77">
        <f>DATA!X113</f>
        <v>420000000</v>
      </c>
      <c r="W113" s="78" t="str">
        <f>DATA!Y113</f>
        <v>ADB</v>
      </c>
      <c r="X113" s="20" t="str">
        <f>DATA!Z113</f>
        <v>Multilateral</v>
      </c>
      <c r="Y113" s="77">
        <f>DATA!AA113</f>
        <v>350000000</v>
      </c>
      <c r="Z113" s="77">
        <v>0</v>
      </c>
      <c r="AA113" s="216" t="str">
        <f>DATA!Y113</f>
        <v>ADB</v>
      </c>
      <c r="AB113" s="188">
        <f>DATA!AG113</f>
        <v>0</v>
      </c>
      <c r="AC113" s="20" t="str">
        <f>DATA!AH113</f>
        <v>Tanpa keterangan</v>
      </c>
      <c r="AD113" s="37" t="str">
        <f>DATA!AI113</f>
        <v>-</v>
      </c>
      <c r="AE113" s="152" t="str">
        <f>DATA!AR113</f>
        <v>belum ada dokumen R/C</v>
      </c>
      <c r="AF113" s="152" t="str">
        <f>DATA!AN113</f>
        <v>belum ada keterangan</v>
      </c>
      <c r="AG113" s="152" t="str">
        <f>DATA!AO113</f>
        <v>belum ada keterangan</v>
      </c>
      <c r="AH113" s="37" t="str">
        <f>DATA!AJ113</f>
        <v>-</v>
      </c>
      <c r="AI113" s="37" t="str">
        <f>DATA!AK113</f>
        <v>-</v>
      </c>
      <c r="AJ113" s="230" t="str">
        <f>DATA!AL113</f>
        <v>-</v>
      </c>
      <c r="AK113" s="231" t="str">
        <f>DATA!AR113</f>
        <v>belum ada dokumen R/C</v>
      </c>
      <c r="AL113" s="20" t="str">
        <f>DATA!AN113</f>
        <v>belum ada keterangan</v>
      </c>
      <c r="AM113" s="20" t="str">
        <f>DATA!AO113</f>
        <v>belum ada keterangan</v>
      </c>
      <c r="AN113" s="20" t="str">
        <f>DATA!AP113</f>
        <v>belum ada proses tender/lelang</v>
      </c>
      <c r="AO113" s="20" t="str">
        <f>DATA!AY113</f>
        <v>Konfirmasi melalui surat Sekjen nomor KU.01.12-Sj/636 tgl 23 Oktober 2015</v>
      </c>
      <c r="AP113" s="20" t="e">
        <f>DATA!#REF!</f>
        <v>#REF!</v>
      </c>
      <c r="AQ113" s="20" t="str">
        <f>DATA!AZ113</f>
        <v>Belum ada pembicaraan dgn ADB</v>
      </c>
      <c r="AR113" s="152" t="e">
        <f>DATA!#REF!</f>
        <v>#REF!</v>
      </c>
      <c r="AS113" s="199" t="str">
        <f>DATA!BA113</f>
        <v>Peningkatan kapasitas waduk, pemanfaatan potensi bendungan untuk pembangkit listrik dan manajemen proyek</v>
      </c>
      <c r="AT113" s="245">
        <f>DATA!AT113</f>
        <v>350000000</v>
      </c>
      <c r="AU113" s="109" t="str">
        <f>DATA!AU113</f>
        <v>ADB</v>
      </c>
      <c r="AV113" s="246" t="str">
        <f>DATA!AW113</f>
        <v>-</v>
      </c>
    </row>
    <row r="114" spans="1:51" ht="44.25" customHeight="1">
      <c r="A114" s="10">
        <f>DATA!A114</f>
        <v>87</v>
      </c>
      <c r="B114" s="10">
        <f>DATA!B114</f>
        <v>0</v>
      </c>
      <c r="C114" s="10" t="str">
        <f>DATA!D114</f>
        <v>INFRASTRUKTUR</v>
      </c>
      <c r="D114" s="10">
        <f>DATA!E114</f>
        <v>1</v>
      </c>
      <c r="E114" s="10" t="str">
        <f>DATA!F114</f>
        <v>Kementerian Pekerjaan Umum dan Perumahan Rakyat</v>
      </c>
      <c r="F114" s="10" t="str">
        <f>DATA!H114</f>
        <v>Management of Water Resources Infrastructure Program</v>
      </c>
      <c r="G114" s="10" t="str">
        <f>DATA!I114</f>
        <v>L</v>
      </c>
      <c r="H114" s="10" t="str">
        <f>DATA!J114</f>
        <v xml:space="preserve">Program Pengelolaan Infrastruktur Sumber Daya Air </v>
      </c>
      <c r="I114" s="10">
        <f>DATA!K114</f>
        <v>3</v>
      </c>
      <c r="J114" s="181"/>
      <c r="K114" s="34"/>
      <c r="L114" s="54"/>
      <c r="M114" s="36">
        <v>81</v>
      </c>
      <c r="N114" s="37" t="str">
        <f>DATA!L114</f>
        <v>Engineering Service for Water Resources Infrastructure Management</v>
      </c>
      <c r="O114" s="20">
        <f>DATA!Q114</f>
        <v>1</v>
      </c>
      <c r="P114" s="20">
        <f>DATA!R114</f>
        <v>1</v>
      </c>
      <c r="Q114" s="186">
        <f>DATA!S114</f>
        <v>78</v>
      </c>
      <c r="R114" s="187">
        <f>DATA!T114</f>
        <v>50000000</v>
      </c>
      <c r="S114" s="203">
        <f>DATA!U114</f>
        <v>50000000</v>
      </c>
      <c r="T114" s="77">
        <f>DATA!V114</f>
        <v>10000000</v>
      </c>
      <c r="U114" s="77">
        <f>DATA!W114</f>
        <v>0</v>
      </c>
      <c r="V114" s="77">
        <f>DATA!X114</f>
        <v>60000000</v>
      </c>
      <c r="W114" s="78" t="str">
        <f>DATA!Y114</f>
        <v>Belum Ada Indikasi</v>
      </c>
      <c r="X114" s="20" t="str">
        <f>DATA!Z114</f>
        <v>Multilateral</v>
      </c>
      <c r="Y114" s="77">
        <v>0</v>
      </c>
      <c r="Z114" s="77">
        <f>DATA!AA114</f>
        <v>50000000</v>
      </c>
      <c r="AA114" s="216" t="str">
        <f>DATA!Y114</f>
        <v>Belum Ada Indikasi</v>
      </c>
      <c r="AB114" s="188">
        <f>DATA!AG114</f>
        <v>-50000000</v>
      </c>
      <c r="AC114" s="20" t="str">
        <f>DATA!AH114</f>
        <v>Tanpa keterangan</v>
      </c>
      <c r="AD114" s="37" t="str">
        <f>DATA!AI114</f>
        <v>-</v>
      </c>
      <c r="AE114" s="152" t="str">
        <f>DATA!AR114</f>
        <v>belum ada dokumen R/C</v>
      </c>
      <c r="AF114" s="152" t="str">
        <f>DATA!AN114</f>
        <v>siap</v>
      </c>
      <c r="AG114" s="152" t="str">
        <f>DATA!AO114</f>
        <v>tidak butuh lahan</v>
      </c>
      <c r="AH114" s="37" t="str">
        <f>DATA!AJ114</f>
        <v>-</v>
      </c>
      <c r="AI114" s="37" t="str">
        <f>DATA!AK114</f>
        <v>-</v>
      </c>
      <c r="AJ114" s="230" t="str">
        <f>DATA!AL114</f>
        <v>-</v>
      </c>
      <c r="AK114" s="231" t="str">
        <f>DATA!AR114</f>
        <v>belum ada dokumen R/C</v>
      </c>
      <c r="AL114" s="20" t="str">
        <f>DATA!AN114</f>
        <v>siap</v>
      </c>
      <c r="AM114" s="20" t="str">
        <f>DATA!AO114</f>
        <v>tidak butuh lahan</v>
      </c>
      <c r="AN114" s="20" t="str">
        <f>DATA!AP114</f>
        <v>belum ada proses tender/lelang</v>
      </c>
      <c r="AO114" s="20" t="str">
        <f>DATA!AY114</f>
        <v>Konfirmasi melalui surat Sekjen nomor KU.01.12-Sj/636 tgl 23 Oktober 2015</v>
      </c>
      <c r="AP114" s="20" t="e">
        <f>DATA!#REF!</f>
        <v>#REF!</v>
      </c>
      <c r="AQ114" s="20" t="str">
        <f>DATA!AZ114</f>
        <v>Belum ada pembicaraan dgn ADB</v>
      </c>
      <c r="AR114" s="152" t="e">
        <f>DATA!#REF!</f>
        <v>#REF!</v>
      </c>
      <c r="AS114" s="199" t="str">
        <f>DATA!BA114</f>
        <v>Engineering services dan management project untuk pengelolaan infrastruktur sumber daya air</v>
      </c>
      <c r="AT114" s="245">
        <f>DATA!AT114</f>
        <v>50000000</v>
      </c>
      <c r="AU114" s="109" t="str">
        <f>DATA!AU114</f>
        <v>ADB</v>
      </c>
      <c r="AV114" s="246" t="str">
        <f>DATA!AW114</f>
        <v>sudah masuk COBP ADB</v>
      </c>
    </row>
    <row r="115" spans="1:51" s="5" customFormat="1" ht="33.75" customHeight="1">
      <c r="J115" s="180"/>
      <c r="K115" s="50"/>
      <c r="L115" s="30" t="str">
        <f>DATA!I117</f>
        <v>M</v>
      </c>
      <c r="M115" s="31" t="str">
        <f>DATA!J117</f>
        <v>Program Penyediaaan Perumahan Bagi MBR</v>
      </c>
      <c r="N115" s="51"/>
      <c r="O115" s="31"/>
      <c r="P115" s="31"/>
      <c r="Q115" s="196"/>
      <c r="R115" s="197">
        <f>+R116</f>
        <v>300000000</v>
      </c>
      <c r="S115" s="198">
        <f t="shared" ref="S115:AV115" si="14">+S116</f>
        <v>300000000</v>
      </c>
      <c r="T115" s="81">
        <f t="shared" si="14"/>
        <v>15000000</v>
      </c>
      <c r="U115" s="81">
        <f t="shared" si="14"/>
        <v>7000000</v>
      </c>
      <c r="V115" s="81">
        <f t="shared" si="14"/>
        <v>322000000</v>
      </c>
      <c r="W115" s="81" t="str">
        <f t="shared" si="14"/>
        <v>Bank Dunia</v>
      </c>
      <c r="X115" s="81" t="str">
        <f t="shared" si="14"/>
        <v>Multilateral</v>
      </c>
      <c r="Y115" s="81">
        <f t="shared" si="14"/>
        <v>300000000</v>
      </c>
      <c r="Z115" s="81">
        <f t="shared" si="14"/>
        <v>0</v>
      </c>
      <c r="AA115" s="214"/>
      <c r="AB115" s="198">
        <f t="shared" si="14"/>
        <v>0</v>
      </c>
      <c r="AC115" s="81">
        <f t="shared" si="14"/>
        <v>2017</v>
      </c>
      <c r="AD115" s="81"/>
      <c r="AE115" s="81"/>
      <c r="AF115" s="81"/>
      <c r="AG115" s="81"/>
      <c r="AH115" s="81"/>
      <c r="AI115" s="81"/>
      <c r="AJ115" s="229"/>
      <c r="AK115" s="198" t="str">
        <f t="shared" si="14"/>
        <v>belum ada dokumen R/C</v>
      </c>
      <c r="AL115" s="81" t="str">
        <f t="shared" si="14"/>
        <v>belum ada keterangan</v>
      </c>
      <c r="AM115" s="81" t="str">
        <f t="shared" si="14"/>
        <v>belum ada keterangan</v>
      </c>
      <c r="AN115" s="81" t="str">
        <f t="shared" si="14"/>
        <v>belum ada proses tender/lelang</v>
      </c>
      <c r="AO115" s="81" t="str">
        <f t="shared" si="14"/>
        <v>Konfirmasi melalui surat Sekjen nomor KU.01.12-Sj/636 tgl 23 Oktober 2015</v>
      </c>
      <c r="AP115" s="81" t="e">
        <f t="shared" si="14"/>
        <v>#REF!</v>
      </c>
      <c r="AQ115" s="81" t="str">
        <f t="shared" si="14"/>
        <v>Tujuan kegiatan ini adalah untuk membantu uang muka pembangunan rumah</v>
      </c>
      <c r="AR115" s="81" t="e">
        <f t="shared" si="14"/>
        <v>#REF!</v>
      </c>
      <c r="AS115" s="243" t="str">
        <f t="shared" si="14"/>
        <v>Peningkatan kapasitas lembaga pembiayaan, pengembangan sistem pembiayaan perumahan mikro, dan pengembangan  sistem pembiayaan perumahan</v>
      </c>
      <c r="AT115" s="244">
        <f t="shared" si="14"/>
        <v>0</v>
      </c>
      <c r="AU115" s="81"/>
      <c r="AV115" s="229" t="str">
        <f t="shared" si="14"/>
        <v>-</v>
      </c>
    </row>
    <row r="116" spans="1:51" ht="45.75" customHeight="1">
      <c r="A116" s="10">
        <f>DATA!A117</f>
        <v>88</v>
      </c>
      <c r="B116" s="10">
        <f>DATA!B117</f>
        <v>0</v>
      </c>
      <c r="C116" s="10" t="str">
        <f>DATA!D117</f>
        <v>INFRASTRUKTUR</v>
      </c>
      <c r="D116" s="10">
        <f>DATA!E117</f>
        <v>1</v>
      </c>
      <c r="E116" s="10" t="str">
        <f>DATA!F117</f>
        <v>Kementerian Pekerjaan Umum dan Perumahan Rakyat</v>
      </c>
      <c r="F116" s="10" t="str">
        <f>DATA!H117</f>
        <v>Program for Provision of Housing For Low-Income Households</v>
      </c>
      <c r="G116" s="10" t="str">
        <f>DATA!I117</f>
        <v>M</v>
      </c>
      <c r="H116" s="10" t="str">
        <f>DATA!J117</f>
        <v>Program Penyediaaan Perumahan Bagi MBR</v>
      </c>
      <c r="I116" s="10">
        <f>DATA!K117</f>
        <v>1</v>
      </c>
      <c r="J116" s="2649"/>
      <c r="K116" s="2650"/>
      <c r="L116" s="2651"/>
      <c r="M116" s="2652">
        <v>82</v>
      </c>
      <c r="N116" s="2653" t="str">
        <f>DATA!L117</f>
        <v xml:space="preserve">Financial Support for Low Income Households </v>
      </c>
      <c r="O116" s="2651">
        <f>DATA!Q117</f>
        <v>0</v>
      </c>
      <c r="P116" s="2651">
        <f>DATA!R117</f>
        <v>0</v>
      </c>
      <c r="Q116" s="2654">
        <f>DATA!S117</f>
        <v>79</v>
      </c>
      <c r="R116" s="2655">
        <f>DATA!T117</f>
        <v>300000000</v>
      </c>
      <c r="S116" s="2656">
        <f>DATA!U117</f>
        <v>300000000</v>
      </c>
      <c r="T116" s="2657">
        <f>DATA!V117</f>
        <v>15000000</v>
      </c>
      <c r="U116" s="2657">
        <f>DATA!W117</f>
        <v>7000000</v>
      </c>
      <c r="V116" s="2657">
        <f>DATA!X117</f>
        <v>322000000</v>
      </c>
      <c r="W116" s="2658" t="str">
        <f>DATA!Y117</f>
        <v>Bank Dunia</v>
      </c>
      <c r="X116" s="2651" t="str">
        <f>DATA!Z117</f>
        <v>Multilateral</v>
      </c>
      <c r="Y116" s="2657">
        <f>DATA!AA117</f>
        <v>300000000</v>
      </c>
      <c r="Z116" s="2657">
        <v>0</v>
      </c>
      <c r="AA116" s="2659" t="str">
        <f>DATA!Y117</f>
        <v>Bank Dunia</v>
      </c>
      <c r="AB116" s="2660">
        <f>DATA!AG117</f>
        <v>0</v>
      </c>
      <c r="AC116" s="2651">
        <f>DATA!AH117</f>
        <v>2017</v>
      </c>
      <c r="AD116" s="2653" t="str">
        <f>DATA!AI117</f>
        <v>Penyusunan R/C</v>
      </c>
      <c r="AE116" s="2661" t="str">
        <f>DATA!AR117</f>
        <v>belum ada dokumen R/C</v>
      </c>
      <c r="AF116" s="2661" t="str">
        <f>DATA!AN117</f>
        <v>belum ada keterangan</v>
      </c>
      <c r="AG116" s="2661" t="str">
        <f>DATA!AO117</f>
        <v>belum ada keterangan</v>
      </c>
      <c r="AH116" s="2653" t="str">
        <f>DATA!AJ117</f>
        <v>-</v>
      </c>
      <c r="AI116" s="2653" t="str">
        <f>DATA!AK117</f>
        <v>-</v>
      </c>
      <c r="AJ116" s="2662" t="str">
        <f>DATA!AL117</f>
        <v>-</v>
      </c>
      <c r="AK116" s="231" t="str">
        <f>DATA!AR117</f>
        <v>belum ada dokumen R/C</v>
      </c>
      <c r="AL116" s="20" t="str">
        <f>DATA!AN117</f>
        <v>belum ada keterangan</v>
      </c>
      <c r="AM116" s="20" t="str">
        <f>DATA!AO117</f>
        <v>belum ada keterangan</v>
      </c>
      <c r="AN116" s="20" t="str">
        <f>DATA!AP117</f>
        <v>belum ada proses tender/lelang</v>
      </c>
      <c r="AO116" s="20" t="str">
        <f>DATA!AY117</f>
        <v>Konfirmasi melalui surat Sekjen nomor KU.01.12-Sj/636 tgl 23 Oktober 2015</v>
      </c>
      <c r="AP116" s="20" t="e">
        <f>DATA!#REF!</f>
        <v>#REF!</v>
      </c>
      <c r="AQ116" s="20" t="str">
        <f>DATA!AZ117</f>
        <v>Tujuan kegiatan ini adalah untuk membantu uang muka pembangunan rumah</v>
      </c>
      <c r="AR116" s="152" t="e">
        <f>DATA!#REF!</f>
        <v>#REF!</v>
      </c>
      <c r="AS116" s="199" t="str">
        <f>DATA!BA117</f>
        <v>Peningkatan kapasitas lembaga pembiayaan, pengembangan sistem pembiayaan perumahan mikro, dan pengembangan  sistem pembiayaan perumahan</v>
      </c>
      <c r="AT116" s="245">
        <f>DATA!AT117</f>
        <v>0</v>
      </c>
      <c r="AU116" s="109">
        <f>DATA!AU117</f>
        <v>0</v>
      </c>
      <c r="AV116" s="246" t="str">
        <f>DATA!AW117</f>
        <v>-</v>
      </c>
    </row>
    <row r="117" spans="1:51" s="12" customFormat="1">
      <c r="A117" s="10"/>
      <c r="B117" s="10"/>
      <c r="C117" s="10"/>
      <c r="D117" s="10"/>
      <c r="E117" s="10"/>
      <c r="F117" s="10"/>
      <c r="G117" s="10"/>
      <c r="H117" s="10"/>
      <c r="I117" s="10"/>
      <c r="J117" s="11"/>
      <c r="K117" s="10"/>
      <c r="L117" s="10"/>
      <c r="M117" s="10"/>
      <c r="O117" s="10"/>
      <c r="P117" s="10"/>
      <c r="Q117" s="10"/>
      <c r="R117" s="13"/>
      <c r="S117" s="13"/>
      <c r="T117" s="13"/>
      <c r="U117" s="13"/>
      <c r="V117" s="13"/>
      <c r="W117" s="14"/>
      <c r="X117" s="10"/>
      <c r="Y117" s="13"/>
      <c r="Z117" s="13"/>
      <c r="AA117" s="13"/>
      <c r="AB117" s="13"/>
      <c r="AC117" s="10"/>
      <c r="AK117" s="10"/>
      <c r="AL117" s="10"/>
      <c r="AM117" s="10"/>
      <c r="AN117" s="10"/>
      <c r="AO117" s="10"/>
      <c r="AP117" s="10"/>
      <c r="AQ117" s="10"/>
      <c r="AW117" s="10"/>
      <c r="AX117" s="10"/>
      <c r="AY117" s="10"/>
    </row>
    <row r="118" spans="1:51" s="12" customFormat="1">
      <c r="A118" s="10"/>
      <c r="B118" s="10"/>
      <c r="C118" s="10"/>
      <c r="D118" s="10"/>
      <c r="E118" s="10"/>
      <c r="F118" s="10"/>
      <c r="G118" s="10"/>
      <c r="H118" s="10"/>
      <c r="I118" s="10"/>
      <c r="J118" s="11"/>
      <c r="K118" s="10"/>
      <c r="L118" s="10"/>
      <c r="M118" s="10"/>
      <c r="O118" s="10"/>
      <c r="P118" s="10"/>
      <c r="Q118" s="10"/>
      <c r="R118" s="13"/>
      <c r="S118" s="13"/>
      <c r="T118" s="13"/>
      <c r="U118" s="13"/>
      <c r="V118" s="13"/>
      <c r="W118" s="14"/>
      <c r="X118" s="10"/>
      <c r="Y118" s="13"/>
      <c r="Z118" s="13"/>
      <c r="AA118" s="13"/>
      <c r="AB118" s="13"/>
      <c r="AC118" s="10"/>
      <c r="AK118" s="10"/>
      <c r="AL118" s="10"/>
      <c r="AM118" s="10"/>
      <c r="AN118" s="10"/>
      <c r="AO118" s="10"/>
      <c r="AP118" s="10"/>
      <c r="AQ118" s="10"/>
      <c r="AW118" s="10"/>
      <c r="AX118" s="10"/>
      <c r="AY118" s="10"/>
    </row>
    <row r="119" spans="1:51" s="12" customFormat="1">
      <c r="A119" s="10"/>
      <c r="B119" s="10"/>
      <c r="C119" s="10"/>
      <c r="D119" s="10"/>
      <c r="E119" s="10"/>
      <c r="F119" s="10"/>
      <c r="G119" s="10"/>
      <c r="H119" s="10"/>
      <c r="I119" s="10"/>
      <c r="J119" s="11"/>
      <c r="K119" s="10"/>
      <c r="L119" s="10"/>
      <c r="M119" s="10"/>
      <c r="O119" s="10"/>
      <c r="P119" s="10"/>
      <c r="Q119" s="10"/>
      <c r="R119" s="13"/>
      <c r="S119" s="13"/>
      <c r="T119" s="13"/>
      <c r="U119" s="13"/>
      <c r="V119" s="13"/>
      <c r="W119" s="14"/>
      <c r="X119" s="10"/>
      <c r="Y119" s="13"/>
      <c r="Z119" s="13"/>
      <c r="AA119" s="13"/>
      <c r="AB119" s="13"/>
      <c r="AC119" s="10"/>
      <c r="AK119" s="10"/>
      <c r="AL119" s="10"/>
      <c r="AM119" s="10"/>
      <c r="AN119" s="10"/>
      <c r="AO119" s="10"/>
      <c r="AP119" s="10"/>
      <c r="AQ119" s="10"/>
      <c r="AW119" s="10"/>
      <c r="AX119" s="10"/>
      <c r="AY119" s="10"/>
    </row>
    <row r="120" spans="1:51" s="12" customFormat="1">
      <c r="A120" s="10"/>
      <c r="B120" s="10"/>
      <c r="C120" s="10"/>
      <c r="D120" s="10"/>
      <c r="E120" s="10"/>
      <c r="F120" s="10"/>
      <c r="G120" s="10"/>
      <c r="H120" s="10"/>
      <c r="I120" s="10"/>
      <c r="J120" s="11"/>
      <c r="K120" s="10"/>
      <c r="L120" s="10"/>
      <c r="M120" s="10"/>
      <c r="O120" s="10"/>
      <c r="P120" s="10"/>
      <c r="Q120" s="10"/>
      <c r="R120" s="13"/>
      <c r="S120" s="13"/>
      <c r="T120" s="13"/>
      <c r="U120" s="13"/>
      <c r="V120" s="13"/>
      <c r="W120" s="14"/>
      <c r="X120" s="10"/>
      <c r="Y120" s="13"/>
      <c r="Z120" s="13"/>
      <c r="AA120" s="13"/>
      <c r="AB120" s="13"/>
      <c r="AC120" s="10"/>
      <c r="AK120" s="10"/>
      <c r="AL120" s="10"/>
      <c r="AM120" s="10"/>
      <c r="AN120" s="10"/>
      <c r="AO120" s="10"/>
      <c r="AP120" s="10"/>
      <c r="AQ120" s="10"/>
      <c r="AW120" s="10"/>
      <c r="AX120" s="10"/>
      <c r="AY120" s="10"/>
    </row>
    <row r="125" spans="1:51" s="12" customFormat="1">
      <c r="A125" s="10"/>
      <c r="B125" s="10"/>
      <c r="C125" s="10"/>
      <c r="D125" s="10"/>
      <c r="E125" s="10"/>
      <c r="F125" s="10"/>
      <c r="G125" s="10"/>
      <c r="H125" s="10"/>
      <c r="I125" s="10"/>
      <c r="J125" s="11"/>
      <c r="K125" s="10"/>
      <c r="L125" s="10"/>
      <c r="M125" s="10"/>
      <c r="O125" s="10"/>
      <c r="P125" s="10"/>
      <c r="Q125" s="10"/>
      <c r="R125" s="13"/>
      <c r="S125" s="13"/>
      <c r="T125" s="13"/>
      <c r="U125" s="13"/>
      <c r="V125" s="13"/>
      <c r="W125" s="14"/>
      <c r="X125" s="10"/>
      <c r="Y125" s="13"/>
      <c r="Z125" s="13"/>
      <c r="AA125" s="13"/>
      <c r="AB125" s="13"/>
      <c r="AC125" s="10"/>
      <c r="AK125" s="10"/>
      <c r="AL125" s="10"/>
      <c r="AM125" s="10"/>
      <c r="AN125" s="10"/>
      <c r="AO125" s="10"/>
      <c r="AP125" s="10"/>
      <c r="AQ125" s="10"/>
      <c r="AU125" s="289" t="e">
        <f>#REF!-#REF!</f>
        <v>#REF!</v>
      </c>
      <c r="AW125" s="10"/>
      <c r="AX125" s="10"/>
      <c r="AY125" s="10"/>
    </row>
    <row r="126" spans="1:51" s="12" customFormat="1">
      <c r="A126" s="10"/>
      <c r="B126" s="10"/>
      <c r="C126" s="10"/>
      <c r="D126" s="10"/>
      <c r="E126" s="10"/>
      <c r="F126" s="10"/>
      <c r="G126" s="10"/>
      <c r="H126" s="10"/>
      <c r="I126" s="10"/>
      <c r="J126" s="11"/>
      <c r="K126" s="10"/>
      <c r="L126" s="10"/>
      <c r="M126" s="10"/>
      <c r="O126" s="10"/>
      <c r="P126" s="10"/>
      <c r="Q126" s="10"/>
      <c r="R126" s="13"/>
      <c r="S126" s="13"/>
      <c r="T126" s="13"/>
      <c r="U126" s="13"/>
      <c r="V126" s="13"/>
      <c r="W126" s="14"/>
      <c r="X126" s="10"/>
      <c r="Y126" s="13" t="e">
        <f>#REF!+#REF!</f>
        <v>#REF!</v>
      </c>
      <c r="Z126" s="13"/>
      <c r="AA126" s="13"/>
      <c r="AB126" s="13"/>
      <c r="AC126" s="10"/>
      <c r="AK126" s="10"/>
      <c r="AL126" s="10"/>
      <c r="AM126" s="10"/>
      <c r="AN126" s="10"/>
      <c r="AO126" s="10"/>
      <c r="AP126" s="10"/>
      <c r="AQ126" s="10"/>
      <c r="AW126" s="10"/>
      <c r="AX126" s="10"/>
      <c r="AY126" s="10"/>
    </row>
    <row r="127" spans="1:51" s="12" customFormat="1">
      <c r="A127" s="10"/>
      <c r="B127" s="10"/>
      <c r="C127" s="10"/>
      <c r="D127" s="10"/>
      <c r="E127" s="10"/>
      <c r="F127" s="10"/>
      <c r="G127" s="10"/>
      <c r="H127" s="10"/>
      <c r="I127" s="10"/>
      <c r="J127" s="11"/>
      <c r="K127" s="10"/>
      <c r="L127" s="10"/>
      <c r="M127" s="10"/>
      <c r="O127" s="10"/>
      <c r="P127" s="10"/>
      <c r="Q127" s="10"/>
      <c r="R127" s="13"/>
      <c r="S127" s="13"/>
      <c r="T127" s="13"/>
      <c r="U127" s="13"/>
      <c r="V127" s="13"/>
      <c r="W127" s="14"/>
      <c r="X127" s="10"/>
      <c r="Y127" s="13" t="e">
        <f>Y126+#REF!</f>
        <v>#REF!</v>
      </c>
      <c r="Z127" s="13"/>
      <c r="AA127" s="13"/>
      <c r="AB127" s="13"/>
      <c r="AC127" s="10"/>
      <c r="AK127" s="10"/>
      <c r="AL127" s="10"/>
      <c r="AM127" s="10"/>
      <c r="AN127" s="10"/>
      <c r="AO127" s="10"/>
      <c r="AP127" s="10"/>
      <c r="AQ127" s="10"/>
      <c r="AW127" s="10"/>
      <c r="AX127" s="10"/>
      <c r="AY127" s="10"/>
    </row>
  </sheetData>
  <autoFilter ref="A8:AV116"/>
  <mergeCells count="50">
    <mergeCell ref="AA53:AA54"/>
    <mergeCell ref="AA66:AA67"/>
    <mergeCell ref="AA73:AA74"/>
    <mergeCell ref="AB6:AB7"/>
    <mergeCell ref="AC6:AC7"/>
    <mergeCell ref="Y11:Y12"/>
    <mergeCell ref="Y53:Y54"/>
    <mergeCell ref="Y66:Y67"/>
    <mergeCell ref="Y73:Y74"/>
    <mergeCell ref="Z53:Z54"/>
    <mergeCell ref="Z66:Z67"/>
    <mergeCell ref="Z73:Z74"/>
    <mergeCell ref="R71:R72"/>
    <mergeCell ref="R73:R74"/>
    <mergeCell ref="R98:R100"/>
    <mergeCell ref="S6:S7"/>
    <mergeCell ref="T6:T7"/>
    <mergeCell ref="R11:R12"/>
    <mergeCell ref="R45:R46"/>
    <mergeCell ref="R49:R50"/>
    <mergeCell ref="R53:R56"/>
    <mergeCell ref="R65:R67"/>
    <mergeCell ref="M71:M72"/>
    <mergeCell ref="M73:M74"/>
    <mergeCell ref="M98:M100"/>
    <mergeCell ref="N11:N12"/>
    <mergeCell ref="N45:N46"/>
    <mergeCell ref="N49:N50"/>
    <mergeCell ref="N53:N56"/>
    <mergeCell ref="N65:N67"/>
    <mergeCell ref="N71:N72"/>
    <mergeCell ref="N73:N74"/>
    <mergeCell ref="N98:N100"/>
    <mergeCell ref="M11:M12"/>
    <mergeCell ref="M45:M46"/>
    <mergeCell ref="M49:M50"/>
    <mergeCell ref="M53:M56"/>
    <mergeCell ref="M65:M67"/>
    <mergeCell ref="J1:AV1"/>
    <mergeCell ref="K2:AJ2"/>
    <mergeCell ref="J3:AV3"/>
    <mergeCell ref="W6:AA6"/>
    <mergeCell ref="AD6:AJ6"/>
    <mergeCell ref="AT6:AV6"/>
    <mergeCell ref="R6:R7"/>
    <mergeCell ref="U6:U7"/>
    <mergeCell ref="V6:V7"/>
    <mergeCell ref="AR6:AR7"/>
    <mergeCell ref="AS6:AS7"/>
    <mergeCell ref="J6:N7"/>
  </mergeCells>
  <printOptions horizontalCentered="1"/>
  <pageMargins left="0.39305555555555599" right="0.39305555555555599" top="0.39305555555555599" bottom="0.39305555555555599" header="0.31458333333333299" footer="0.196527777777778"/>
  <pageSetup paperSize="9" scale="56" fitToHeight="0" orientation="landscape"/>
  <headerFooter>
    <oddFooter>&amp;R&amp;"Cambria,Italic"&amp;9&amp;P/&amp;N</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pageSetUpPr fitToPage="1"/>
  </sheetPr>
  <dimension ref="A1:BF240"/>
  <sheetViews>
    <sheetView topLeftCell="H153" zoomScale="86" zoomScaleNormal="86" workbookViewId="0">
      <selection activeCell="J109" sqref="J109"/>
    </sheetView>
  </sheetViews>
  <sheetFormatPr defaultColWidth="9.140625" defaultRowHeight="20.100000000000001" customHeight="1"/>
  <cols>
    <col min="1" max="1" width="5.7109375" style="2528" customWidth="1"/>
    <col min="2" max="2" width="8.7109375" style="2528" customWidth="1"/>
    <col min="3" max="3" width="12.140625" style="2528" customWidth="1"/>
    <col min="4" max="4" width="21.28515625" style="2529" customWidth="1"/>
    <col min="5" max="5" width="10.5703125" style="2528" customWidth="1"/>
    <col min="6" max="6" width="30.5703125" style="2529" customWidth="1"/>
    <col min="7" max="7" width="19.5703125" style="2529" customWidth="1"/>
    <col min="8" max="8" width="29.42578125" style="2529" customWidth="1"/>
    <col min="9" max="9" width="10.5703125" style="2528" customWidth="1"/>
    <col min="10" max="10" width="42" style="2529" customWidth="1"/>
    <col min="11" max="11" width="9.7109375" style="2529" customWidth="1"/>
    <col min="12" max="12" width="74.42578125" style="2528" customWidth="1"/>
    <col min="13" max="13" width="14.28515625" style="2528" customWidth="1"/>
    <col min="14" max="14" width="13.5703125" style="2528" customWidth="1"/>
    <col min="15" max="15" width="13.85546875" style="2528" customWidth="1"/>
    <col min="16" max="16" width="13.5703125" style="2530" customWidth="1"/>
    <col min="17" max="17" width="11.28515625" style="2528" customWidth="1"/>
    <col min="18" max="19" width="8.7109375" style="2528" customWidth="1"/>
    <col min="20" max="21" width="19.140625" style="1752" customWidth="1"/>
    <col min="22" max="23" width="18.7109375" style="1753" customWidth="1"/>
    <col min="24" max="24" width="21" style="1753" customWidth="1"/>
    <col min="25" max="25" width="36.7109375" style="1754" customWidth="1"/>
    <col min="26" max="26" width="34" style="1755" customWidth="1"/>
    <col min="27" max="27" width="17.5703125" style="1755" customWidth="1"/>
    <col min="28" max="28" width="16.140625" style="1756" customWidth="1"/>
    <col min="29" max="29" width="17.85546875" style="1753" customWidth="1"/>
    <col min="30" max="30" width="24.85546875" style="1753" customWidth="1"/>
    <col min="31" max="32" width="18" style="1753" customWidth="1"/>
    <col min="33" max="33" width="18" style="1757" customWidth="1"/>
    <col min="34" max="34" width="18.5703125" style="1754" customWidth="1"/>
    <col min="35" max="35" width="15.42578125" customWidth="1"/>
    <col min="36" max="36" width="17.42578125" style="1756" customWidth="1"/>
    <col min="37" max="38" width="22.140625" style="1754" customWidth="1"/>
    <col min="39" max="39" width="18.7109375" style="1754" customWidth="1"/>
    <col min="40" max="41" width="16.7109375" style="1754" customWidth="1"/>
    <col min="42" max="42" width="34.42578125" style="1758" customWidth="1"/>
    <col min="43" max="43" width="15.28515625" style="1758" customWidth="1"/>
    <col min="44" max="45" width="28.85546875" style="1758" customWidth="1"/>
    <col min="46" max="46" width="20.28515625" style="1760" customWidth="1"/>
    <col min="47" max="47" width="16" style="1760" customWidth="1"/>
    <col min="48" max="48" width="24.42578125" style="1760" customWidth="1"/>
    <col min="49" max="49" width="17" style="1760" customWidth="1"/>
    <col min="50" max="52" width="16.7109375" style="1760" customWidth="1"/>
    <col min="53" max="53" width="19.42578125" style="2531" customWidth="1"/>
    <col min="54" max="54" width="61.140625" style="2532" customWidth="1"/>
    <col min="55" max="55" width="31.42578125" style="2533" customWidth="1"/>
    <col min="56" max="56" width="21.140625" style="2364" customWidth="1"/>
    <col min="57" max="57" width="18.7109375" style="2531" customWidth="1"/>
    <col min="58" max="58" width="8.7109375" style="2531" customWidth="1"/>
    <col min="59" max="59" width="15.7109375" style="2531" customWidth="1"/>
    <col min="60" max="60" width="17.85546875" style="2531" customWidth="1"/>
    <col min="61" max="16384" width="9.140625" style="2531"/>
  </cols>
  <sheetData>
    <row r="1" spans="1:58" s="2503" customFormat="1" ht="60.75" customHeight="1">
      <c r="A1" s="2534" t="s">
        <v>512</v>
      </c>
      <c r="B1" s="2535" t="s">
        <v>513</v>
      </c>
      <c r="C1" s="2535" t="s">
        <v>514</v>
      </c>
      <c r="D1" s="2535" t="s">
        <v>515</v>
      </c>
      <c r="E1" s="2535" t="s">
        <v>516</v>
      </c>
      <c r="F1" s="2535" t="s">
        <v>517</v>
      </c>
      <c r="G1" s="2535" t="s">
        <v>518</v>
      </c>
      <c r="H1" s="2535" t="s">
        <v>519</v>
      </c>
      <c r="I1" s="2535" t="s">
        <v>520</v>
      </c>
      <c r="J1" s="2535" t="s">
        <v>521</v>
      </c>
      <c r="K1" s="2535" t="s">
        <v>522</v>
      </c>
      <c r="L1" s="2535" t="s">
        <v>523</v>
      </c>
      <c r="M1" s="2535" t="s">
        <v>524</v>
      </c>
      <c r="N1" s="2535" t="s">
        <v>525</v>
      </c>
      <c r="O1" s="2535" t="s">
        <v>526</v>
      </c>
      <c r="P1" s="2564" t="s">
        <v>527</v>
      </c>
      <c r="Q1" s="2535" t="s">
        <v>528</v>
      </c>
      <c r="R1" s="2535" t="s">
        <v>529</v>
      </c>
      <c r="S1" s="2535" t="s">
        <v>530</v>
      </c>
      <c r="T1" s="1847" t="s">
        <v>531</v>
      </c>
      <c r="U1" s="1847" t="s">
        <v>532</v>
      </c>
      <c r="V1" s="1847" t="s">
        <v>533</v>
      </c>
      <c r="W1" s="1847" t="s">
        <v>534</v>
      </c>
      <c r="X1" s="1848" t="s">
        <v>535</v>
      </c>
      <c r="Y1" s="1848" t="s">
        <v>536</v>
      </c>
      <c r="Z1" s="1848" t="s">
        <v>537</v>
      </c>
      <c r="AA1" s="1847" t="s">
        <v>538</v>
      </c>
      <c r="AB1" s="1867" t="s">
        <v>539</v>
      </c>
      <c r="AC1" s="1847" t="s">
        <v>540</v>
      </c>
      <c r="AD1" s="1847" t="s">
        <v>541</v>
      </c>
      <c r="AE1" s="1847" t="s">
        <v>542</v>
      </c>
      <c r="AF1" s="1868" t="s">
        <v>543</v>
      </c>
      <c r="AG1" s="1848" t="s">
        <v>544</v>
      </c>
      <c r="AH1" s="1867" t="s">
        <v>545</v>
      </c>
      <c r="AI1" s="1904" t="s">
        <v>546</v>
      </c>
      <c r="AJ1" s="1904" t="s">
        <v>547</v>
      </c>
      <c r="AK1" s="1904" t="s">
        <v>548</v>
      </c>
      <c r="AL1" s="1904" t="s">
        <v>549</v>
      </c>
      <c r="AM1" s="1905" t="s">
        <v>550</v>
      </c>
      <c r="AN1" s="1906" t="s">
        <v>551</v>
      </c>
      <c r="AO1" s="1906" t="s">
        <v>552</v>
      </c>
      <c r="AP1" s="1905" t="s">
        <v>553</v>
      </c>
      <c r="AQ1" s="1905" t="s">
        <v>554</v>
      </c>
      <c r="AR1" s="1905" t="s">
        <v>555</v>
      </c>
      <c r="AS1" s="1905" t="s">
        <v>556</v>
      </c>
      <c r="AT1" s="1905" t="s">
        <v>557</v>
      </c>
      <c r="AU1" s="1905" t="s">
        <v>558</v>
      </c>
      <c r="AV1" s="1905" t="s">
        <v>559</v>
      </c>
      <c r="AW1" s="1905" t="s">
        <v>560</v>
      </c>
      <c r="AX1" s="1905" t="s">
        <v>561</v>
      </c>
      <c r="AY1" s="2535" t="s">
        <v>562</v>
      </c>
      <c r="AZ1" s="2584" t="s">
        <v>502</v>
      </c>
      <c r="BA1" s="1930" t="s">
        <v>492</v>
      </c>
      <c r="BB1" s="1958"/>
    </row>
    <row r="2" spans="1:58" s="2504" customFormat="1" ht="20.100000000000001" hidden="1" customHeight="1">
      <c r="A2" s="2536">
        <v>1</v>
      </c>
      <c r="B2" s="2537" t="s">
        <v>185</v>
      </c>
      <c r="C2" s="2537" t="s">
        <v>563</v>
      </c>
      <c r="D2" s="2538" t="s">
        <v>17</v>
      </c>
      <c r="E2" s="2537">
        <v>1</v>
      </c>
      <c r="F2" s="2538" t="s">
        <v>19</v>
      </c>
      <c r="G2" s="1771"/>
      <c r="H2" s="2538" t="s">
        <v>25</v>
      </c>
      <c r="I2" s="2537" t="s">
        <v>23</v>
      </c>
      <c r="J2" s="2538" t="s">
        <v>24</v>
      </c>
      <c r="K2" s="2537">
        <v>1</v>
      </c>
      <c r="L2" s="2565" t="s">
        <v>26</v>
      </c>
      <c r="M2" s="2537">
        <v>0</v>
      </c>
      <c r="N2" s="2537">
        <v>1</v>
      </c>
      <c r="O2" s="2537">
        <v>1</v>
      </c>
      <c r="P2" s="2566">
        <v>0</v>
      </c>
      <c r="Q2" s="2537">
        <v>0</v>
      </c>
      <c r="R2" s="2537">
        <v>1</v>
      </c>
      <c r="S2" s="2537">
        <v>1</v>
      </c>
      <c r="T2" s="1849">
        <v>1250000000</v>
      </c>
      <c r="U2" s="1849">
        <v>1250000000</v>
      </c>
      <c r="V2" s="1850">
        <v>101250000</v>
      </c>
      <c r="W2" s="1850">
        <v>0</v>
      </c>
      <c r="X2" s="1850">
        <f t="shared" ref="X2:X22" si="0">T2+V2+W2</f>
        <v>1351250000</v>
      </c>
      <c r="Y2" s="1869" t="s">
        <v>21</v>
      </c>
      <c r="Z2" s="1869"/>
      <c r="AA2" s="1850">
        <f>SUM(AA3:AA4)</f>
        <v>1250000000</v>
      </c>
      <c r="AB2" s="1870"/>
      <c r="AC2" s="1850"/>
      <c r="AD2" s="1871"/>
      <c r="AE2" s="1850"/>
      <c r="AF2" s="1871"/>
      <c r="AG2" s="1850">
        <f>SUM(AG3:AG4)</f>
        <v>0</v>
      </c>
      <c r="AH2" s="1870" t="s">
        <v>21</v>
      </c>
      <c r="AI2" s="1850" t="s">
        <v>21</v>
      </c>
      <c r="AJ2" s="1850" t="s">
        <v>21</v>
      </c>
      <c r="AK2" s="1850" t="s">
        <v>21</v>
      </c>
      <c r="AL2" s="1850" t="s">
        <v>21</v>
      </c>
      <c r="AM2" s="1870" t="s">
        <v>21</v>
      </c>
      <c r="AN2" s="1907" t="s">
        <v>21</v>
      </c>
      <c r="AO2" s="1907" t="s">
        <v>21</v>
      </c>
      <c r="AP2" s="1771" t="s">
        <v>21</v>
      </c>
      <c r="AQ2" s="1771"/>
      <c r="AR2" s="1771"/>
      <c r="AS2" s="1771"/>
      <c r="AT2" s="1850">
        <f>SUM(AT3:AT4)</f>
        <v>1250000000</v>
      </c>
      <c r="AU2" s="1869" t="s">
        <v>21</v>
      </c>
      <c r="AV2" s="1850">
        <f>SUM(AV3:AV4)</f>
        <v>1250000000</v>
      </c>
      <c r="AW2" s="1771" t="s">
        <v>21</v>
      </c>
      <c r="AX2" s="1869"/>
      <c r="AY2" s="1849" t="s">
        <v>21</v>
      </c>
      <c r="AZ2" s="1849" t="s">
        <v>21</v>
      </c>
      <c r="BA2" s="1959" t="s">
        <v>21</v>
      </c>
      <c r="BB2" s="1961"/>
    </row>
    <row r="3" spans="1:58" s="2505" customFormat="1" ht="20.100000000000001" customHeight="1">
      <c r="A3" s="2539">
        <v>1</v>
      </c>
      <c r="B3" s="2540"/>
      <c r="C3" s="2540"/>
      <c r="D3" s="2541" t="s">
        <v>17</v>
      </c>
      <c r="E3" s="2540">
        <v>1</v>
      </c>
      <c r="F3" s="2541" t="s">
        <v>19</v>
      </c>
      <c r="G3" s="1771" t="s">
        <v>564</v>
      </c>
      <c r="H3" s="2541" t="s">
        <v>25</v>
      </c>
      <c r="I3" s="2540" t="s">
        <v>23</v>
      </c>
      <c r="J3" s="2541" t="s">
        <v>24</v>
      </c>
      <c r="K3" s="2540">
        <v>1</v>
      </c>
      <c r="L3" s="2567" t="s">
        <v>26</v>
      </c>
      <c r="M3" s="2540">
        <v>0.5</v>
      </c>
      <c r="N3" s="2540">
        <v>0</v>
      </c>
      <c r="O3" s="2540">
        <v>2</v>
      </c>
      <c r="P3" s="2568">
        <v>0.5</v>
      </c>
      <c r="Q3" s="2540">
        <v>0.5</v>
      </c>
      <c r="R3" s="2540">
        <v>0</v>
      </c>
      <c r="S3" s="2540"/>
      <c r="T3" s="1851">
        <v>0</v>
      </c>
      <c r="U3" s="1851">
        <v>0</v>
      </c>
      <c r="V3" s="1852">
        <v>0</v>
      </c>
      <c r="W3" s="1852">
        <v>0</v>
      </c>
      <c r="X3" s="1852">
        <f t="shared" si="0"/>
        <v>0</v>
      </c>
      <c r="Y3" s="1863" t="s">
        <v>27</v>
      </c>
      <c r="Z3" s="1863" t="s">
        <v>565</v>
      </c>
      <c r="AA3" s="1852">
        <v>1000000000</v>
      </c>
      <c r="AB3" s="1872"/>
      <c r="AC3" s="1852"/>
      <c r="AD3" s="1873"/>
      <c r="AE3" s="1852"/>
      <c r="AF3" s="1873"/>
      <c r="AG3" s="1852">
        <v>0</v>
      </c>
      <c r="AH3" s="1872">
        <v>2016</v>
      </c>
      <c r="AI3" s="1852" t="s">
        <v>21</v>
      </c>
      <c r="AJ3" s="1908" t="s">
        <v>566</v>
      </c>
      <c r="AK3" s="1909" t="s">
        <v>567</v>
      </c>
      <c r="AL3" s="1852" t="s">
        <v>21</v>
      </c>
      <c r="AM3" s="1872" t="s">
        <v>21</v>
      </c>
      <c r="AN3" s="1910" t="s">
        <v>568</v>
      </c>
      <c r="AO3" s="1919" t="s">
        <v>569</v>
      </c>
      <c r="AP3" s="1908" t="s">
        <v>570</v>
      </c>
      <c r="AQ3" s="1863" t="s">
        <v>21</v>
      </c>
      <c r="AR3" s="1908" t="s">
        <v>571</v>
      </c>
      <c r="AS3" s="1908"/>
      <c r="AT3" s="1852">
        <v>1000000000</v>
      </c>
      <c r="AU3" s="1863" t="s">
        <v>27</v>
      </c>
      <c r="AV3" s="1852">
        <v>1000000000</v>
      </c>
      <c r="AW3" s="1908" t="s">
        <v>572</v>
      </c>
      <c r="AX3" s="1863" t="s">
        <v>565</v>
      </c>
      <c r="AY3" s="3129" t="s">
        <v>573</v>
      </c>
      <c r="AZ3" s="1851"/>
      <c r="BA3" s="1962" t="s">
        <v>574</v>
      </c>
      <c r="BB3" s="1964"/>
    </row>
    <row r="4" spans="1:58" s="2505" customFormat="1" ht="20.100000000000001" customHeight="1">
      <c r="A4" s="2539">
        <v>2</v>
      </c>
      <c r="B4" s="2540"/>
      <c r="C4" s="2540"/>
      <c r="D4" s="2541" t="s">
        <v>17</v>
      </c>
      <c r="E4" s="2540">
        <v>1</v>
      </c>
      <c r="F4" s="2541" t="s">
        <v>19</v>
      </c>
      <c r="G4" s="1771" t="s">
        <v>564</v>
      </c>
      <c r="H4" s="2541" t="s">
        <v>25</v>
      </c>
      <c r="I4" s="2540" t="s">
        <v>23</v>
      </c>
      <c r="J4" s="2541" t="s">
        <v>24</v>
      </c>
      <c r="K4" s="2540">
        <v>1</v>
      </c>
      <c r="L4" s="2567" t="s">
        <v>26</v>
      </c>
      <c r="M4" s="2540">
        <v>0.5</v>
      </c>
      <c r="N4" s="2540">
        <v>0</v>
      </c>
      <c r="O4" s="2540">
        <v>2</v>
      </c>
      <c r="P4" s="2568">
        <v>0.5</v>
      </c>
      <c r="Q4" s="2540">
        <v>0.5</v>
      </c>
      <c r="R4" s="2540">
        <v>0</v>
      </c>
      <c r="S4" s="2540"/>
      <c r="T4" s="1851">
        <v>0</v>
      </c>
      <c r="U4" s="1851">
        <v>0</v>
      </c>
      <c r="V4" s="1852">
        <v>0</v>
      </c>
      <c r="W4" s="1852">
        <v>0</v>
      </c>
      <c r="X4" s="1852">
        <f t="shared" si="0"/>
        <v>0</v>
      </c>
      <c r="Y4" s="1863" t="s">
        <v>28</v>
      </c>
      <c r="Z4" s="1863" t="s">
        <v>565</v>
      </c>
      <c r="AA4" s="1852">
        <v>250000000</v>
      </c>
      <c r="AB4" s="1872"/>
      <c r="AC4" s="1852"/>
      <c r="AD4" s="1873"/>
      <c r="AE4" s="1852"/>
      <c r="AF4" s="1873"/>
      <c r="AG4" s="1852">
        <v>0</v>
      </c>
      <c r="AH4" s="1872">
        <v>2016</v>
      </c>
      <c r="AI4" s="1852" t="s">
        <v>21</v>
      </c>
      <c r="AJ4" s="1908" t="s">
        <v>566</v>
      </c>
      <c r="AK4" s="1909" t="s">
        <v>567</v>
      </c>
      <c r="AL4" s="1852" t="s">
        <v>21</v>
      </c>
      <c r="AM4" s="1872" t="s">
        <v>21</v>
      </c>
      <c r="AN4" s="1910" t="s">
        <v>568</v>
      </c>
      <c r="AO4" s="1919" t="s">
        <v>569</v>
      </c>
      <c r="AP4" s="1908" t="s">
        <v>570</v>
      </c>
      <c r="AQ4" s="1908"/>
      <c r="AR4" s="3130" t="s">
        <v>575</v>
      </c>
      <c r="AS4" s="1909"/>
      <c r="AT4" s="1852">
        <v>250000000</v>
      </c>
      <c r="AU4" s="1863" t="s">
        <v>28</v>
      </c>
      <c r="AV4" s="1852">
        <v>250000000</v>
      </c>
      <c r="AW4" s="3130" t="s">
        <v>576</v>
      </c>
      <c r="AX4" s="1863" t="s">
        <v>565</v>
      </c>
      <c r="AY4" s="3129" t="s">
        <v>573</v>
      </c>
      <c r="AZ4" s="1851"/>
      <c r="BA4" s="1962" t="s">
        <v>574</v>
      </c>
      <c r="BB4" s="1964"/>
    </row>
    <row r="5" spans="1:58" s="2506" customFormat="1" ht="20.100000000000001" hidden="1" customHeight="1">
      <c r="A5" s="2542">
        <v>3</v>
      </c>
      <c r="B5" s="2543"/>
      <c r="C5" s="2543"/>
      <c r="D5" s="2544" t="s">
        <v>17</v>
      </c>
      <c r="E5" s="2543">
        <v>1</v>
      </c>
      <c r="F5" s="2544" t="s">
        <v>19</v>
      </c>
      <c r="G5" s="1778"/>
      <c r="H5" s="2544" t="s">
        <v>25</v>
      </c>
      <c r="I5" s="2543" t="s">
        <v>23</v>
      </c>
      <c r="J5" s="2544" t="s">
        <v>24</v>
      </c>
      <c r="K5" s="2543">
        <v>2</v>
      </c>
      <c r="L5" s="2569" t="s">
        <v>30</v>
      </c>
      <c r="M5" s="2543">
        <v>0</v>
      </c>
      <c r="N5" s="2543">
        <v>0</v>
      </c>
      <c r="O5" s="2543">
        <v>1</v>
      </c>
      <c r="P5" s="2570">
        <v>0</v>
      </c>
      <c r="Q5" s="2543">
        <v>0</v>
      </c>
      <c r="R5" s="2543">
        <v>0</v>
      </c>
      <c r="S5" s="2543"/>
      <c r="T5" s="1853">
        <f>SUM(T6:T9)</f>
        <v>775000000</v>
      </c>
      <c r="U5" s="1853">
        <f>SUM(U6:U9)</f>
        <v>775000000</v>
      </c>
      <c r="V5" s="1853">
        <f>SUM(V6:V9)</f>
        <v>72400000</v>
      </c>
      <c r="W5" s="1853">
        <f>SUM(W6:W9)</f>
        <v>0</v>
      </c>
      <c r="X5" s="1854">
        <f t="shared" si="0"/>
        <v>847400000</v>
      </c>
      <c r="Y5" s="1862" t="s">
        <v>21</v>
      </c>
      <c r="Z5" s="1862"/>
      <c r="AA5" s="1854">
        <f>SUM(AA6:AA9)</f>
        <v>775000000</v>
      </c>
      <c r="AB5" s="1874"/>
      <c r="AC5" s="1854"/>
      <c r="AD5" s="1875"/>
      <c r="AE5" s="1854"/>
      <c r="AF5" s="1875"/>
      <c r="AG5" s="1854">
        <f>BB[[#This Row],[NILAI PINJAMAN DALAM BB]]-BB[[#This Row],[NILAI PINJAMAN PER LENDER]]</f>
        <v>0</v>
      </c>
      <c r="AH5" s="1874" t="s">
        <v>21</v>
      </c>
      <c r="AI5" s="1854" t="s">
        <v>21</v>
      </c>
      <c r="AJ5" s="1854" t="s">
        <v>21</v>
      </c>
      <c r="AK5" s="1854" t="s">
        <v>21</v>
      </c>
      <c r="AL5" s="1854" t="s">
        <v>21</v>
      </c>
      <c r="AM5" s="1874" t="s">
        <v>21</v>
      </c>
      <c r="AN5" s="1907"/>
      <c r="AO5" s="1907" t="s">
        <v>21</v>
      </c>
      <c r="AP5" s="1778"/>
      <c r="AQ5" s="1778"/>
      <c r="AR5" s="1778"/>
      <c r="AS5" s="1778"/>
      <c r="AT5" s="1854">
        <f>SUM(AT6:AT9)</f>
        <v>775000000</v>
      </c>
      <c r="AU5" s="1862" t="s">
        <v>21</v>
      </c>
      <c r="AV5" s="1854">
        <f>SUM(AV6:AV9)</f>
        <v>0</v>
      </c>
      <c r="AW5" s="1778" t="s">
        <v>21</v>
      </c>
      <c r="AX5" s="1862"/>
      <c r="AY5" s="3131" t="s">
        <v>577</v>
      </c>
      <c r="AZ5" s="1853"/>
      <c r="BA5" s="1965" t="s">
        <v>578</v>
      </c>
      <c r="BB5" s="1967"/>
    </row>
    <row r="6" spans="1:58" s="2507" customFormat="1" ht="20.100000000000001" customHeight="1">
      <c r="A6" s="2545">
        <v>4</v>
      </c>
      <c r="B6" s="2546"/>
      <c r="C6" s="2546"/>
      <c r="D6" s="2547" t="s">
        <v>17</v>
      </c>
      <c r="E6" s="2546">
        <v>1</v>
      </c>
      <c r="F6" s="2547" t="s">
        <v>19</v>
      </c>
      <c r="G6" s="1788" t="s">
        <v>564</v>
      </c>
      <c r="H6" s="2547" t="s">
        <v>25</v>
      </c>
      <c r="I6" s="2546" t="s">
        <v>23</v>
      </c>
      <c r="J6" s="2547" t="s">
        <v>24</v>
      </c>
      <c r="K6" s="2546">
        <v>2</v>
      </c>
      <c r="L6" s="2571" t="s">
        <v>579</v>
      </c>
      <c r="M6" s="2546">
        <v>1</v>
      </c>
      <c r="N6" s="2546">
        <v>1</v>
      </c>
      <c r="O6" s="2546">
        <v>2</v>
      </c>
      <c r="P6" s="2572">
        <v>1</v>
      </c>
      <c r="Q6" s="2546">
        <v>1</v>
      </c>
      <c r="R6" s="2546">
        <v>1</v>
      </c>
      <c r="S6" s="2546">
        <v>2</v>
      </c>
      <c r="T6" s="1855">
        <v>330000000</v>
      </c>
      <c r="U6" s="1855">
        <v>330000000</v>
      </c>
      <c r="V6" s="1855">
        <v>26000000</v>
      </c>
      <c r="W6" s="1855">
        <v>0</v>
      </c>
      <c r="X6" s="1855">
        <f t="shared" si="0"/>
        <v>356000000</v>
      </c>
      <c r="Y6" s="1876" t="s">
        <v>27</v>
      </c>
      <c r="Z6" s="1876" t="s">
        <v>565</v>
      </c>
      <c r="AA6" s="1855">
        <v>330000000</v>
      </c>
      <c r="AB6" s="1877">
        <v>1</v>
      </c>
      <c r="AC6" s="1855">
        <v>235000000</v>
      </c>
      <c r="AD6" s="1878"/>
      <c r="AE6" s="1855"/>
      <c r="AF6" s="1878"/>
      <c r="AG6" s="1855">
        <v>0</v>
      </c>
      <c r="AH6" s="1877">
        <v>2015</v>
      </c>
      <c r="AI6" s="3132" t="s">
        <v>580</v>
      </c>
      <c r="AJ6" s="1912" t="s">
        <v>33</v>
      </c>
      <c r="AK6" s="1913">
        <v>0.80200000000000005</v>
      </c>
      <c r="AL6" s="1912" t="s">
        <v>39</v>
      </c>
      <c r="AM6" s="2583" t="s">
        <v>581</v>
      </c>
      <c r="AN6" s="1910" t="s">
        <v>582</v>
      </c>
      <c r="AO6" s="1919" t="s">
        <v>583</v>
      </c>
      <c r="AP6" s="1912" t="s">
        <v>584</v>
      </c>
      <c r="AQ6" s="1912"/>
      <c r="AR6" s="1911" t="s">
        <v>585</v>
      </c>
      <c r="AS6" s="1911" t="s">
        <v>586</v>
      </c>
      <c r="AT6" s="1855">
        <v>330000000</v>
      </c>
      <c r="AU6" s="1876" t="s">
        <v>27</v>
      </c>
      <c r="AV6" s="1855">
        <v>0</v>
      </c>
      <c r="AW6" s="1912" t="s">
        <v>21</v>
      </c>
      <c r="AX6" s="1876" t="s">
        <v>565</v>
      </c>
      <c r="AY6" s="3133" t="s">
        <v>577</v>
      </c>
      <c r="AZ6" s="1970"/>
      <c r="BA6" s="3134" t="s">
        <v>587</v>
      </c>
      <c r="BB6" s="1971"/>
      <c r="BC6" s="2585"/>
      <c r="BE6" s="2585"/>
      <c r="BF6" s="2585"/>
    </row>
    <row r="7" spans="1:58" s="2507" customFormat="1" ht="20.100000000000001" customHeight="1">
      <c r="A7" s="2545">
        <v>5</v>
      </c>
      <c r="B7" s="2546"/>
      <c r="C7" s="2546"/>
      <c r="D7" s="2547" t="s">
        <v>17</v>
      </c>
      <c r="E7" s="2546">
        <v>1</v>
      </c>
      <c r="F7" s="2547" t="s">
        <v>19</v>
      </c>
      <c r="G7" s="1788" t="s">
        <v>564</v>
      </c>
      <c r="H7" s="2547" t="s">
        <v>25</v>
      </c>
      <c r="I7" s="2546" t="s">
        <v>23</v>
      </c>
      <c r="J7" s="2547" t="s">
        <v>24</v>
      </c>
      <c r="K7" s="2546">
        <v>2</v>
      </c>
      <c r="L7" s="2571" t="s">
        <v>588</v>
      </c>
      <c r="M7" s="2546">
        <v>1</v>
      </c>
      <c r="N7" s="2546">
        <v>1</v>
      </c>
      <c r="O7" s="2546">
        <v>2</v>
      </c>
      <c r="P7" s="2572">
        <v>1</v>
      </c>
      <c r="Q7" s="2546">
        <v>1</v>
      </c>
      <c r="R7" s="2546">
        <v>1</v>
      </c>
      <c r="S7" s="2546">
        <v>3</v>
      </c>
      <c r="T7" s="1855">
        <v>65000000</v>
      </c>
      <c r="U7" s="1855">
        <v>65000000</v>
      </c>
      <c r="V7" s="1855">
        <v>6500000</v>
      </c>
      <c r="W7" s="1855">
        <v>0</v>
      </c>
      <c r="X7" s="1855">
        <f t="shared" si="0"/>
        <v>71500000</v>
      </c>
      <c r="Y7" s="1876" t="s">
        <v>27</v>
      </c>
      <c r="Z7" s="1876" t="s">
        <v>565</v>
      </c>
      <c r="AA7" s="1855">
        <v>65000000</v>
      </c>
      <c r="AB7" s="1877">
        <v>1</v>
      </c>
      <c r="AC7" s="1855">
        <v>65000000</v>
      </c>
      <c r="AD7" s="1878">
        <v>53405755.75</v>
      </c>
      <c r="AE7" s="1855"/>
      <c r="AF7" s="1878">
        <f>BB[[#This Row],[NILAI PINJAMAN DALAM BB]]-BB[[#This Row],[NILAI PINJAMAN DI LOAN AGREEMENT]]</f>
        <v>11594244.25</v>
      </c>
      <c r="AG7" s="1855">
        <v>0</v>
      </c>
      <c r="AH7" s="1877">
        <v>2015</v>
      </c>
      <c r="AI7" s="3132" t="s">
        <v>589</v>
      </c>
      <c r="AJ7" s="1912" t="s">
        <v>33</v>
      </c>
      <c r="AK7" s="1913">
        <v>0.55200000000000005</v>
      </c>
      <c r="AL7" s="1912" t="s">
        <v>39</v>
      </c>
      <c r="AM7" s="2583">
        <v>2015</v>
      </c>
      <c r="AN7" s="1910" t="s">
        <v>582</v>
      </c>
      <c r="AO7" s="1919" t="s">
        <v>590</v>
      </c>
      <c r="AP7" s="1912" t="s">
        <v>584</v>
      </c>
      <c r="AQ7" s="1912"/>
      <c r="AR7" s="1912" t="s">
        <v>591</v>
      </c>
      <c r="AS7" s="1911" t="s">
        <v>586</v>
      </c>
      <c r="AT7" s="1855">
        <v>65000000</v>
      </c>
      <c r="AU7" s="1876" t="s">
        <v>27</v>
      </c>
      <c r="AV7" s="1855">
        <v>0</v>
      </c>
      <c r="AW7" s="1912" t="s">
        <v>21</v>
      </c>
      <c r="AX7" s="1876" t="s">
        <v>565</v>
      </c>
      <c r="AY7" s="3133" t="s">
        <v>577</v>
      </c>
      <c r="AZ7" s="1970"/>
      <c r="BA7" s="1972" t="s">
        <v>592</v>
      </c>
      <c r="BC7" s="2585"/>
      <c r="BE7" s="2585"/>
      <c r="BF7" s="2585"/>
    </row>
    <row r="8" spans="1:58" s="2507" customFormat="1" ht="20.100000000000001" customHeight="1">
      <c r="A8" s="2545">
        <v>6</v>
      </c>
      <c r="B8" s="2546"/>
      <c r="C8" s="2546"/>
      <c r="D8" s="2547" t="s">
        <v>17</v>
      </c>
      <c r="E8" s="2546">
        <v>1</v>
      </c>
      <c r="F8" s="2547" t="s">
        <v>19</v>
      </c>
      <c r="G8" s="1788" t="s">
        <v>564</v>
      </c>
      <c r="H8" s="2547" t="s">
        <v>25</v>
      </c>
      <c r="I8" s="2546" t="s">
        <v>23</v>
      </c>
      <c r="J8" s="2547" t="s">
        <v>24</v>
      </c>
      <c r="K8" s="2546">
        <v>2</v>
      </c>
      <c r="L8" s="2571" t="s">
        <v>593</v>
      </c>
      <c r="M8" s="2546">
        <v>1</v>
      </c>
      <c r="N8" s="2546">
        <v>1</v>
      </c>
      <c r="O8" s="2546">
        <v>2</v>
      </c>
      <c r="P8" s="2572">
        <v>1</v>
      </c>
      <c r="Q8" s="2546">
        <v>1</v>
      </c>
      <c r="R8" s="2546">
        <v>1</v>
      </c>
      <c r="S8" s="2546">
        <v>4</v>
      </c>
      <c r="T8" s="1855">
        <v>80000000</v>
      </c>
      <c r="U8" s="1855">
        <v>80000000</v>
      </c>
      <c r="V8" s="1855">
        <v>8000000</v>
      </c>
      <c r="W8" s="1855">
        <v>0</v>
      </c>
      <c r="X8" s="1855">
        <f t="shared" si="0"/>
        <v>88000000</v>
      </c>
      <c r="Y8" s="1876" t="s">
        <v>27</v>
      </c>
      <c r="Z8" s="1876" t="s">
        <v>565</v>
      </c>
      <c r="AA8" s="1855">
        <v>80000000</v>
      </c>
      <c r="AB8" s="1877">
        <v>1</v>
      </c>
      <c r="AC8" s="1855">
        <v>80000000</v>
      </c>
      <c r="AD8" s="1878"/>
      <c r="AE8" s="1855"/>
      <c r="AF8" s="1878"/>
      <c r="AG8" s="1855">
        <v>0</v>
      </c>
      <c r="AH8" s="1877">
        <v>2015</v>
      </c>
      <c r="AI8" s="3132" t="s">
        <v>580</v>
      </c>
      <c r="AJ8" s="1912" t="s">
        <v>33</v>
      </c>
      <c r="AK8" s="1913">
        <v>0.93840000000000001</v>
      </c>
      <c r="AL8" s="1912" t="s">
        <v>39</v>
      </c>
      <c r="AM8" s="2583" t="s">
        <v>581</v>
      </c>
      <c r="AN8" s="1910" t="s">
        <v>582</v>
      </c>
      <c r="AO8" s="1919" t="s">
        <v>594</v>
      </c>
      <c r="AP8" s="1912" t="s">
        <v>584</v>
      </c>
      <c r="AQ8" s="1912"/>
      <c r="AR8" s="1911" t="s">
        <v>595</v>
      </c>
      <c r="AS8" s="1911" t="s">
        <v>586</v>
      </c>
      <c r="AT8" s="1855">
        <v>80000000</v>
      </c>
      <c r="AU8" s="1876" t="s">
        <v>27</v>
      </c>
      <c r="AV8" s="1855">
        <v>0</v>
      </c>
      <c r="AW8" s="1912" t="s">
        <v>21</v>
      </c>
      <c r="AX8" s="1876" t="s">
        <v>565</v>
      </c>
      <c r="AY8" s="3133" t="s">
        <v>577</v>
      </c>
      <c r="AZ8" s="1970"/>
      <c r="BA8" s="1972" t="s">
        <v>596</v>
      </c>
      <c r="BB8" s="1971"/>
      <c r="BC8" s="2585"/>
      <c r="BE8" s="2585"/>
      <c r="BF8" s="2585"/>
    </row>
    <row r="9" spans="1:58" s="2507" customFormat="1" ht="20.100000000000001" customHeight="1">
      <c r="A9" s="2545">
        <v>7</v>
      </c>
      <c r="B9" s="2546"/>
      <c r="C9" s="2546"/>
      <c r="D9" s="2547" t="s">
        <v>17</v>
      </c>
      <c r="E9" s="2546">
        <v>1</v>
      </c>
      <c r="F9" s="2547" t="s">
        <v>19</v>
      </c>
      <c r="G9" s="1788" t="s">
        <v>564</v>
      </c>
      <c r="H9" s="2547" t="s">
        <v>25</v>
      </c>
      <c r="I9" s="2546" t="s">
        <v>23</v>
      </c>
      <c r="J9" s="2547" t="s">
        <v>24</v>
      </c>
      <c r="K9" s="2546">
        <v>2</v>
      </c>
      <c r="L9" s="2571" t="s">
        <v>597</v>
      </c>
      <c r="M9" s="2546">
        <v>1</v>
      </c>
      <c r="N9" s="2546">
        <v>1</v>
      </c>
      <c r="O9" s="2546">
        <v>2</v>
      </c>
      <c r="P9" s="2572">
        <v>1</v>
      </c>
      <c r="Q9" s="2546">
        <v>1</v>
      </c>
      <c r="R9" s="2546">
        <v>1</v>
      </c>
      <c r="S9" s="2546">
        <v>5</v>
      </c>
      <c r="T9" s="1855">
        <v>300000000</v>
      </c>
      <c r="U9" s="1855">
        <v>300000000</v>
      </c>
      <c r="V9" s="1855">
        <v>31900000</v>
      </c>
      <c r="W9" s="1855">
        <v>0</v>
      </c>
      <c r="X9" s="1855">
        <f t="shared" si="0"/>
        <v>331900000</v>
      </c>
      <c r="Y9" s="1876" t="s">
        <v>27</v>
      </c>
      <c r="Z9" s="1876" t="s">
        <v>565</v>
      </c>
      <c r="AA9" s="1855">
        <v>300000000</v>
      </c>
      <c r="AB9" s="1877">
        <v>1</v>
      </c>
      <c r="AC9" s="1855">
        <v>200000000</v>
      </c>
      <c r="AD9" s="1878">
        <v>198772234.88999999</v>
      </c>
      <c r="AE9" s="1855"/>
      <c r="AF9" s="1878">
        <f>BB[[#This Row],[NILAI PINJAMAN DALAM BB]]-BB[[#This Row],[NILAI PINJAMAN DI LOAN AGREEMENT]]</f>
        <v>101227765.11000001</v>
      </c>
      <c r="AG9" s="1855">
        <v>0</v>
      </c>
      <c r="AH9" s="1877">
        <v>2015</v>
      </c>
      <c r="AI9" s="3132" t="s">
        <v>589</v>
      </c>
      <c r="AJ9" s="1912" t="s">
        <v>33</v>
      </c>
      <c r="AK9" s="1913">
        <v>0.62229999999999996</v>
      </c>
      <c r="AL9" s="1912" t="s">
        <v>39</v>
      </c>
      <c r="AM9" s="2583">
        <v>2015</v>
      </c>
      <c r="AN9" s="1910" t="s">
        <v>582</v>
      </c>
      <c r="AO9" s="1919" t="s">
        <v>598</v>
      </c>
      <c r="AP9" s="1912" t="s">
        <v>584</v>
      </c>
      <c r="AQ9" s="1912"/>
      <c r="AR9" s="1912" t="s">
        <v>599</v>
      </c>
      <c r="AS9" s="1911" t="s">
        <v>586</v>
      </c>
      <c r="AT9" s="1855">
        <v>300000000</v>
      </c>
      <c r="AU9" s="1876" t="s">
        <v>27</v>
      </c>
      <c r="AV9" s="1855">
        <v>0</v>
      </c>
      <c r="AW9" s="1912" t="s">
        <v>21</v>
      </c>
      <c r="AX9" s="1876" t="s">
        <v>565</v>
      </c>
      <c r="AY9" s="3133" t="s">
        <v>577</v>
      </c>
      <c r="AZ9" s="1970"/>
      <c r="BA9" s="1972" t="s">
        <v>600</v>
      </c>
      <c r="BB9" s="1971"/>
      <c r="BC9" s="2585"/>
      <c r="BE9" s="2585"/>
      <c r="BF9" s="2585"/>
    </row>
    <row r="10" spans="1:58" s="645" customFormat="1" ht="20.100000000000001" customHeight="1">
      <c r="A10" s="2548">
        <v>8</v>
      </c>
      <c r="B10" s="2549"/>
      <c r="C10" s="2549"/>
      <c r="D10" s="2550" t="s">
        <v>17</v>
      </c>
      <c r="E10" s="2549">
        <v>1</v>
      </c>
      <c r="F10" s="2550" t="s">
        <v>19</v>
      </c>
      <c r="G10" s="1788" t="s">
        <v>564</v>
      </c>
      <c r="H10" s="2550" t="s">
        <v>42</v>
      </c>
      <c r="I10" s="2549" t="s">
        <v>40</v>
      </c>
      <c r="J10" s="2550" t="s">
        <v>41</v>
      </c>
      <c r="K10" s="2549">
        <v>1</v>
      </c>
      <c r="L10" s="2550" t="s">
        <v>43</v>
      </c>
      <c r="M10" s="2549">
        <v>1</v>
      </c>
      <c r="N10" s="2549">
        <v>1</v>
      </c>
      <c r="O10" s="2549">
        <v>0</v>
      </c>
      <c r="P10" s="2573">
        <v>1</v>
      </c>
      <c r="Q10" s="2549">
        <v>1</v>
      </c>
      <c r="R10" s="2549">
        <v>1</v>
      </c>
      <c r="S10" s="2546">
        <v>6</v>
      </c>
      <c r="T10" s="1856">
        <v>450000000</v>
      </c>
      <c r="U10" s="1856">
        <v>450000000</v>
      </c>
      <c r="V10" s="1856">
        <v>0</v>
      </c>
      <c r="W10" s="1856">
        <v>0</v>
      </c>
      <c r="X10" s="1856">
        <f t="shared" si="0"/>
        <v>450000000</v>
      </c>
      <c r="Y10" s="1879" t="s">
        <v>601</v>
      </c>
      <c r="Z10" s="1879" t="s">
        <v>602</v>
      </c>
      <c r="AA10" s="1856">
        <v>450000000</v>
      </c>
      <c r="AB10" s="1880"/>
      <c r="AC10" s="1856"/>
      <c r="AD10" s="1881"/>
      <c r="AE10" s="1856"/>
      <c r="AF10" s="1881"/>
      <c r="AG10" s="1856">
        <f>AA10-T10</f>
        <v>0</v>
      </c>
      <c r="AH10" s="1880">
        <v>2017</v>
      </c>
      <c r="AI10" s="1856" t="s">
        <v>21</v>
      </c>
      <c r="AJ10" s="1788" t="s">
        <v>21</v>
      </c>
      <c r="AK10" s="1856" t="s">
        <v>21</v>
      </c>
      <c r="AL10" s="1856" t="s">
        <v>21</v>
      </c>
      <c r="AM10" s="2583"/>
      <c r="AN10" s="1907" t="s">
        <v>603</v>
      </c>
      <c r="AO10" s="1907" t="s">
        <v>603</v>
      </c>
      <c r="AP10" s="1788" t="s">
        <v>570</v>
      </c>
      <c r="AQ10" s="1788"/>
      <c r="AR10" s="1788" t="s">
        <v>571</v>
      </c>
      <c r="AS10" s="1788"/>
      <c r="AT10" s="1856">
        <v>450000000</v>
      </c>
      <c r="AU10" s="1879" t="s">
        <v>601</v>
      </c>
      <c r="AV10" s="1879">
        <f>BB[[#This Row],[NILAI PINJAMAN KONFIRMASI BILA-MULTI]]</f>
        <v>450000000</v>
      </c>
      <c r="AW10" s="3135" t="s">
        <v>604</v>
      </c>
      <c r="AX10" s="1879" t="s">
        <v>605</v>
      </c>
      <c r="AY10" s="3136" t="s">
        <v>606</v>
      </c>
      <c r="AZ10" s="91"/>
      <c r="BA10" s="1975" t="s">
        <v>607</v>
      </c>
      <c r="BB10" s="1764"/>
    </row>
    <row r="11" spans="1:58" s="645" customFormat="1" ht="20.100000000000001" customHeight="1">
      <c r="A11" s="2548">
        <v>9</v>
      </c>
      <c r="B11" s="2549"/>
      <c r="C11" s="2549"/>
      <c r="D11" s="2550" t="s">
        <v>17</v>
      </c>
      <c r="E11" s="2549">
        <v>1</v>
      </c>
      <c r="F11" s="2550" t="s">
        <v>19</v>
      </c>
      <c r="G11" s="1788" t="s">
        <v>564</v>
      </c>
      <c r="H11" s="2550" t="s">
        <v>42</v>
      </c>
      <c r="I11" s="2549" t="s">
        <v>40</v>
      </c>
      <c r="J11" s="2550" t="s">
        <v>41</v>
      </c>
      <c r="K11" s="2549">
        <v>2</v>
      </c>
      <c r="L11" s="2550" t="s">
        <v>44</v>
      </c>
      <c r="M11" s="2549">
        <v>1</v>
      </c>
      <c r="N11" s="2549">
        <v>1</v>
      </c>
      <c r="O11" s="2549">
        <v>0</v>
      </c>
      <c r="P11" s="2573">
        <v>1</v>
      </c>
      <c r="Q11" s="2549">
        <v>1</v>
      </c>
      <c r="R11" s="2549">
        <v>1</v>
      </c>
      <c r="S11" s="2546">
        <v>7</v>
      </c>
      <c r="T11" s="1856">
        <v>250000000</v>
      </c>
      <c r="U11" s="1856">
        <v>250000000</v>
      </c>
      <c r="V11" s="1856">
        <v>50000000</v>
      </c>
      <c r="W11" s="1856">
        <v>0</v>
      </c>
      <c r="X11" s="1856">
        <f t="shared" si="0"/>
        <v>300000000</v>
      </c>
      <c r="Y11" s="1879" t="s">
        <v>55</v>
      </c>
      <c r="Z11" s="1879" t="s">
        <v>565</v>
      </c>
      <c r="AA11" s="1856">
        <v>250000000</v>
      </c>
      <c r="AB11" s="2583"/>
      <c r="AC11" s="1856"/>
      <c r="AD11" s="1881"/>
      <c r="AE11" s="1856"/>
      <c r="AF11" s="1881"/>
      <c r="AG11" s="1856">
        <f>AA11-T11</f>
        <v>0</v>
      </c>
      <c r="AH11" s="2583">
        <v>2017</v>
      </c>
      <c r="AI11" s="1856" t="s">
        <v>21</v>
      </c>
      <c r="AJ11" s="3137" t="s">
        <v>45</v>
      </c>
      <c r="AK11" s="1856" t="s">
        <v>21</v>
      </c>
      <c r="AL11" s="1856" t="s">
        <v>21</v>
      </c>
      <c r="AM11" s="2583"/>
      <c r="AN11" s="1914" t="s">
        <v>608</v>
      </c>
      <c r="AO11" s="1907" t="s">
        <v>603</v>
      </c>
      <c r="AP11" s="1788" t="s">
        <v>570</v>
      </c>
      <c r="AQ11" s="1788"/>
      <c r="AR11" s="1788" t="s">
        <v>571</v>
      </c>
      <c r="AS11" s="1788"/>
      <c r="AT11" s="1856">
        <v>250000000</v>
      </c>
      <c r="AU11" s="1879" t="s">
        <v>55</v>
      </c>
      <c r="AV11" s="1879">
        <f>BB[[#This Row],[NILAI PINJAMAN KONFIRMASI BILA-MULTI]]</f>
        <v>250000000</v>
      </c>
      <c r="AW11" s="1788" t="s">
        <v>21</v>
      </c>
      <c r="AX11" s="1879" t="s">
        <v>565</v>
      </c>
      <c r="AY11" s="3138" t="s">
        <v>609</v>
      </c>
      <c r="AZ11" s="91"/>
      <c r="BA11" s="1975" t="s">
        <v>610</v>
      </c>
      <c r="BB11" s="1764"/>
    </row>
    <row r="12" spans="1:58" s="645" customFormat="1" ht="20.100000000000001" customHeight="1">
      <c r="A12" s="2548">
        <v>10</v>
      </c>
      <c r="B12" s="2549"/>
      <c r="C12" s="2549"/>
      <c r="D12" s="2550" t="s">
        <v>17</v>
      </c>
      <c r="E12" s="2549">
        <v>1</v>
      </c>
      <c r="F12" s="2550" t="s">
        <v>19</v>
      </c>
      <c r="G12" s="1788" t="s">
        <v>564</v>
      </c>
      <c r="H12" s="2550" t="s">
        <v>42</v>
      </c>
      <c r="I12" s="2549" t="s">
        <v>40</v>
      </c>
      <c r="J12" s="2550" t="s">
        <v>41</v>
      </c>
      <c r="K12" s="2549">
        <v>3</v>
      </c>
      <c r="L12" s="2550" t="s">
        <v>46</v>
      </c>
      <c r="M12" s="2549">
        <v>1</v>
      </c>
      <c r="N12" s="2549">
        <v>1</v>
      </c>
      <c r="O12" s="2549">
        <v>0</v>
      </c>
      <c r="P12" s="2573">
        <v>1</v>
      </c>
      <c r="Q12" s="2549">
        <v>1</v>
      </c>
      <c r="R12" s="2549">
        <v>1</v>
      </c>
      <c r="S12" s="2546">
        <v>8</v>
      </c>
      <c r="T12" s="1856">
        <v>270000000</v>
      </c>
      <c r="U12" s="1856">
        <v>270000000</v>
      </c>
      <c r="V12" s="1856">
        <v>50000000</v>
      </c>
      <c r="W12" s="1856">
        <v>0</v>
      </c>
      <c r="X12" s="1856">
        <f t="shared" si="0"/>
        <v>320000000</v>
      </c>
      <c r="Y12" s="1879" t="s">
        <v>55</v>
      </c>
      <c r="Z12" s="1879" t="s">
        <v>565</v>
      </c>
      <c r="AA12" s="1856">
        <v>270000000</v>
      </c>
      <c r="AB12" s="1880"/>
      <c r="AC12" s="1856"/>
      <c r="AD12" s="1881"/>
      <c r="AE12" s="1856"/>
      <c r="AF12" s="1881"/>
      <c r="AG12" s="1856">
        <f>AA12-T12</f>
        <v>0</v>
      </c>
      <c r="AH12" s="1880">
        <v>2017</v>
      </c>
      <c r="AI12" s="1856" t="s">
        <v>21</v>
      </c>
      <c r="AJ12" s="3137" t="s">
        <v>45</v>
      </c>
      <c r="AK12" s="1856" t="s">
        <v>21</v>
      </c>
      <c r="AL12" s="1856" t="s">
        <v>21</v>
      </c>
      <c r="AM12" s="2583"/>
      <c r="AN12" s="1914" t="s">
        <v>611</v>
      </c>
      <c r="AO12" s="1907" t="s">
        <v>603</v>
      </c>
      <c r="AP12" s="1788" t="s">
        <v>570</v>
      </c>
      <c r="AQ12" s="1788"/>
      <c r="AR12" s="1788" t="s">
        <v>571</v>
      </c>
      <c r="AS12" s="1788"/>
      <c r="AT12" s="1856">
        <v>270000000</v>
      </c>
      <c r="AU12" s="1879" t="s">
        <v>55</v>
      </c>
      <c r="AV12" s="1879">
        <f>BB[[#This Row],[NILAI PINJAMAN KONFIRMASI BILA-MULTI]]</f>
        <v>270000000</v>
      </c>
      <c r="AW12" s="1788" t="s">
        <v>21</v>
      </c>
      <c r="AX12" s="1879" t="s">
        <v>565</v>
      </c>
      <c r="AY12" s="3138" t="s">
        <v>577</v>
      </c>
      <c r="AZ12" s="91"/>
      <c r="BA12" s="1975" t="s">
        <v>612</v>
      </c>
      <c r="BB12" s="1764"/>
      <c r="BC12" s="2586"/>
      <c r="BE12" s="2586"/>
      <c r="BF12" s="2586"/>
    </row>
    <row r="13" spans="1:58" s="645" customFormat="1" ht="20.100000000000001" customHeight="1">
      <c r="A13" s="2548">
        <v>11</v>
      </c>
      <c r="B13" s="2549"/>
      <c r="C13" s="2549"/>
      <c r="D13" s="2550" t="s">
        <v>17</v>
      </c>
      <c r="E13" s="2549">
        <v>1</v>
      </c>
      <c r="F13" s="2550" t="s">
        <v>19</v>
      </c>
      <c r="G13" s="1788" t="s">
        <v>564</v>
      </c>
      <c r="H13" s="2550" t="s">
        <v>42</v>
      </c>
      <c r="I13" s="2549" t="s">
        <v>40</v>
      </c>
      <c r="J13" s="2550" t="s">
        <v>41</v>
      </c>
      <c r="K13" s="2549">
        <v>4</v>
      </c>
      <c r="L13" s="2550" t="s">
        <v>47</v>
      </c>
      <c r="M13" s="2549">
        <v>1</v>
      </c>
      <c r="N13" s="2549">
        <v>1</v>
      </c>
      <c r="O13" s="2549">
        <v>0</v>
      </c>
      <c r="P13" s="2573">
        <v>1</v>
      </c>
      <c r="Q13" s="2549">
        <v>1</v>
      </c>
      <c r="R13" s="2549">
        <v>1</v>
      </c>
      <c r="S13" s="2546">
        <v>9</v>
      </c>
      <c r="T13" s="1856">
        <v>175000000</v>
      </c>
      <c r="U13" s="1856">
        <v>175000000</v>
      </c>
      <c r="V13" s="1856">
        <f>T13*5%</f>
        <v>8750000</v>
      </c>
      <c r="W13" s="1856">
        <v>0</v>
      </c>
      <c r="X13" s="1856">
        <f t="shared" si="0"/>
        <v>183750000</v>
      </c>
      <c r="Y13" s="1879" t="s">
        <v>613</v>
      </c>
      <c r="Z13" s="1879" t="s">
        <v>602</v>
      </c>
      <c r="AA13" s="1856">
        <v>175000000</v>
      </c>
      <c r="AB13" s="1880"/>
      <c r="AC13" s="1856"/>
      <c r="AD13" s="1881"/>
      <c r="AE13" s="1856"/>
      <c r="AF13" s="1881"/>
      <c r="AG13" s="1856">
        <f>AA13-T13</f>
        <v>0</v>
      </c>
      <c r="AH13" s="1880">
        <v>2017</v>
      </c>
      <c r="AI13" s="1856" t="s">
        <v>21</v>
      </c>
      <c r="AJ13" s="1788" t="s">
        <v>48</v>
      </c>
      <c r="AK13" s="1856" t="s">
        <v>21</v>
      </c>
      <c r="AL13" s="1856" t="s">
        <v>21</v>
      </c>
      <c r="AM13" s="2583"/>
      <c r="AN13" s="1914" t="s">
        <v>614</v>
      </c>
      <c r="AO13" s="1907" t="s">
        <v>603</v>
      </c>
      <c r="AP13" s="1788" t="s">
        <v>570</v>
      </c>
      <c r="AQ13" s="1788"/>
      <c r="AR13" s="1788" t="s">
        <v>571</v>
      </c>
      <c r="AS13" s="1788"/>
      <c r="AT13" s="1856">
        <v>175000000</v>
      </c>
      <c r="AU13" s="1879" t="s">
        <v>613</v>
      </c>
      <c r="AV13" s="1879">
        <f>BB[[#This Row],[NILAI PINJAMAN KONFIRMASI BILA-MULTI]]</f>
        <v>175000000</v>
      </c>
      <c r="AW13" s="3137" t="s">
        <v>615</v>
      </c>
      <c r="AX13" s="1879" t="s">
        <v>605</v>
      </c>
      <c r="AY13" s="3138" t="s">
        <v>577</v>
      </c>
      <c r="AZ13" s="91"/>
      <c r="BA13" s="1975" t="s">
        <v>616</v>
      </c>
      <c r="BC13" s="2586"/>
      <c r="BE13" s="2586"/>
      <c r="BF13" s="2586"/>
    </row>
    <row r="14" spans="1:58" s="645" customFormat="1" ht="19.5" customHeight="1">
      <c r="A14" s="2548">
        <v>12</v>
      </c>
      <c r="B14" s="2549"/>
      <c r="C14" s="2549"/>
      <c r="D14" s="2550" t="s">
        <v>17</v>
      </c>
      <c r="E14" s="2549">
        <v>1</v>
      </c>
      <c r="F14" s="2550" t="s">
        <v>19</v>
      </c>
      <c r="G14" s="1788" t="s">
        <v>564</v>
      </c>
      <c r="H14" s="2550" t="s">
        <v>42</v>
      </c>
      <c r="I14" s="2549" t="s">
        <v>40</v>
      </c>
      <c r="J14" s="2550" t="s">
        <v>41</v>
      </c>
      <c r="K14" s="2549">
        <v>5</v>
      </c>
      <c r="L14" s="2550" t="s">
        <v>50</v>
      </c>
      <c r="M14" s="2549">
        <v>1</v>
      </c>
      <c r="N14" s="2549">
        <v>1</v>
      </c>
      <c r="O14" s="2549">
        <v>0</v>
      </c>
      <c r="P14" s="2573">
        <v>1</v>
      </c>
      <c r="Q14" s="2549">
        <v>1</v>
      </c>
      <c r="R14" s="2549">
        <v>1</v>
      </c>
      <c r="S14" s="2546">
        <v>10</v>
      </c>
      <c r="T14" s="1856">
        <v>355000000</v>
      </c>
      <c r="U14" s="1856">
        <v>355000000</v>
      </c>
      <c r="V14" s="1856">
        <f>T14*5%</f>
        <v>17750000</v>
      </c>
      <c r="W14" s="1856">
        <v>0</v>
      </c>
      <c r="X14" s="1856">
        <f t="shared" si="0"/>
        <v>372750000</v>
      </c>
      <c r="Y14" s="1879" t="s">
        <v>613</v>
      </c>
      <c r="Z14" s="1879" t="s">
        <v>602</v>
      </c>
      <c r="AA14" s="1856">
        <v>355000000</v>
      </c>
      <c r="AB14" s="1880"/>
      <c r="AC14" s="1856"/>
      <c r="AD14" s="1881"/>
      <c r="AE14" s="1856"/>
      <c r="AF14" s="1881"/>
      <c r="AG14" s="1856">
        <f>AA14-T14</f>
        <v>0</v>
      </c>
      <c r="AH14" s="1880" t="s">
        <v>617</v>
      </c>
      <c r="AI14" s="1856" t="s">
        <v>21</v>
      </c>
      <c r="AJ14" s="1788" t="s">
        <v>21</v>
      </c>
      <c r="AK14" s="1856" t="s">
        <v>21</v>
      </c>
      <c r="AL14" s="1856" t="s">
        <v>21</v>
      </c>
      <c r="AM14" s="2583"/>
      <c r="AN14" s="1907" t="s">
        <v>603</v>
      </c>
      <c r="AO14" s="1907" t="s">
        <v>603</v>
      </c>
      <c r="AP14" s="1788" t="s">
        <v>570</v>
      </c>
      <c r="AQ14" s="1788"/>
      <c r="AR14" s="1788" t="s">
        <v>571</v>
      </c>
      <c r="AS14" s="1788"/>
      <c r="AT14" s="1856">
        <v>355000000</v>
      </c>
      <c r="AU14" s="1879" t="s">
        <v>613</v>
      </c>
      <c r="AV14" s="1879">
        <f>BB[[#This Row],[NILAI PINJAMAN KONFIRMASI BILA-MULTI]]</f>
        <v>355000000</v>
      </c>
      <c r="AW14" s="3137" t="s">
        <v>615</v>
      </c>
      <c r="AX14" s="1879" t="s">
        <v>605</v>
      </c>
      <c r="AY14" s="3138" t="s">
        <v>577</v>
      </c>
      <c r="AZ14" s="91"/>
      <c r="BA14" s="1975" t="s">
        <v>618</v>
      </c>
      <c r="BB14" s="1764"/>
      <c r="BC14" s="2586"/>
      <c r="BE14" s="2586"/>
      <c r="BF14" s="2586"/>
    </row>
    <row r="15" spans="1:58" s="2508" customFormat="1" ht="20.100000000000001" customHeight="1">
      <c r="A15" s="2551">
        <v>13</v>
      </c>
      <c r="B15" s="2552"/>
      <c r="C15" s="2552"/>
      <c r="D15" s="2553" t="s">
        <v>17</v>
      </c>
      <c r="E15" s="2552">
        <v>1</v>
      </c>
      <c r="F15" s="2553" t="s">
        <v>19</v>
      </c>
      <c r="G15" s="1796" t="s">
        <v>564</v>
      </c>
      <c r="H15" s="2553" t="s">
        <v>53</v>
      </c>
      <c r="I15" s="2552" t="s">
        <v>51</v>
      </c>
      <c r="J15" s="2553" t="s">
        <v>52</v>
      </c>
      <c r="K15" s="2552">
        <v>1</v>
      </c>
      <c r="L15" s="2574" t="s">
        <v>54</v>
      </c>
      <c r="M15" s="2552">
        <v>1</v>
      </c>
      <c r="N15" s="2552">
        <v>1</v>
      </c>
      <c r="O15" s="2552">
        <v>0</v>
      </c>
      <c r="P15" s="2575">
        <v>1</v>
      </c>
      <c r="Q15" s="2552">
        <v>1</v>
      </c>
      <c r="R15" s="2552">
        <v>1</v>
      </c>
      <c r="S15" s="2552"/>
      <c r="T15" s="1857">
        <v>250000000</v>
      </c>
      <c r="U15" s="1857">
        <v>205000000</v>
      </c>
      <c r="V15" s="1857">
        <v>50000000</v>
      </c>
      <c r="W15" s="1857">
        <v>0</v>
      </c>
      <c r="X15" s="1857">
        <f t="shared" si="0"/>
        <v>300000000</v>
      </c>
      <c r="Y15" s="1883" t="s">
        <v>55</v>
      </c>
      <c r="Z15" s="128" t="s">
        <v>619</v>
      </c>
      <c r="AA15" s="1857">
        <f>BB[[#This Row],[NILAI PINJAMAN DALAM BB]]-U23</f>
        <v>205000000</v>
      </c>
      <c r="AB15" s="1884"/>
      <c r="AC15" s="1857"/>
      <c r="AD15" s="1885"/>
      <c r="AE15" s="1857">
        <f>DATA!AC8</f>
        <v>80000000</v>
      </c>
      <c r="AF15" s="1885"/>
      <c r="AG15" s="1857">
        <f>BB[[#This Row],[NILAI PINJAMAN DALAM BB]]-BB[[#This Row],[NILAI PINJAMAN PER LENDER]]-AA23</f>
        <v>0</v>
      </c>
      <c r="AH15" s="1884">
        <v>2016</v>
      </c>
      <c r="AI15" s="1857" t="s">
        <v>21</v>
      </c>
      <c r="AJ15" s="1915" t="s">
        <v>56</v>
      </c>
      <c r="AK15" s="1857" t="s">
        <v>21</v>
      </c>
      <c r="AL15" s="1857" t="s">
        <v>21</v>
      </c>
      <c r="AM15" s="1884"/>
      <c r="AN15" s="1910" t="s">
        <v>568</v>
      </c>
      <c r="AO15" s="1910" t="s">
        <v>603</v>
      </c>
      <c r="AP15" s="1915" t="s">
        <v>570</v>
      </c>
      <c r="AQ15" s="1915"/>
      <c r="AR15" s="3139" t="s">
        <v>620</v>
      </c>
      <c r="AS15" s="1940"/>
      <c r="AT15" s="1857">
        <v>205000000</v>
      </c>
      <c r="AU15" s="1883" t="s">
        <v>55</v>
      </c>
      <c r="AV15" s="1883">
        <f>BB[[#This Row],[NILAI PINJAMAN KONFIRMASI BILA-MULTI]]</f>
        <v>205000000</v>
      </c>
      <c r="AW15" s="1915" t="s">
        <v>21</v>
      </c>
      <c r="AX15" s="128" t="s">
        <v>565</v>
      </c>
      <c r="AY15" s="3140" t="s">
        <v>577</v>
      </c>
      <c r="AZ15" s="85"/>
      <c r="BA15" s="1942" t="s">
        <v>621</v>
      </c>
      <c r="BB15" s="1978"/>
      <c r="BE15" s="2587"/>
    </row>
    <row r="16" spans="1:58" s="645" customFormat="1" ht="20.100000000000001" customHeight="1">
      <c r="A16" s="2548">
        <v>14</v>
      </c>
      <c r="B16" s="2549"/>
      <c r="C16" s="2549"/>
      <c r="D16" s="2550" t="s">
        <v>17</v>
      </c>
      <c r="E16" s="2549">
        <v>1</v>
      </c>
      <c r="F16" s="2550" t="s">
        <v>19</v>
      </c>
      <c r="G16" s="1788" t="s">
        <v>564</v>
      </c>
      <c r="H16" s="2550" t="s">
        <v>53</v>
      </c>
      <c r="I16" s="2549" t="s">
        <v>51</v>
      </c>
      <c r="J16" s="2550" t="s">
        <v>52</v>
      </c>
      <c r="K16" s="2549">
        <v>2</v>
      </c>
      <c r="L16" s="2576" t="s">
        <v>57</v>
      </c>
      <c r="M16" s="2549">
        <v>1</v>
      </c>
      <c r="N16" s="2549">
        <v>1</v>
      </c>
      <c r="O16" s="2549">
        <v>0</v>
      </c>
      <c r="P16" s="2573">
        <v>1</v>
      </c>
      <c r="Q16" s="2549">
        <v>1</v>
      </c>
      <c r="R16" s="2549">
        <v>1</v>
      </c>
      <c r="S16" s="2546">
        <v>12</v>
      </c>
      <c r="T16" s="1856">
        <v>250000000</v>
      </c>
      <c r="U16" s="1856">
        <v>250000000</v>
      </c>
      <c r="V16" s="1856">
        <v>50000000</v>
      </c>
      <c r="W16" s="1856">
        <v>0</v>
      </c>
      <c r="X16" s="1856">
        <f t="shared" si="0"/>
        <v>300000000</v>
      </c>
      <c r="Y16" s="1879" t="s">
        <v>58</v>
      </c>
      <c r="Z16" s="1879" t="s">
        <v>619</v>
      </c>
      <c r="AA16" s="1856">
        <f>T16</f>
        <v>250000000</v>
      </c>
      <c r="AB16" s="1880"/>
      <c r="AC16" s="1856"/>
      <c r="AD16" s="1881"/>
      <c r="AE16" s="1856"/>
      <c r="AF16" s="1881"/>
      <c r="AG16" s="1856">
        <f t="shared" ref="AG16:AG22" si="1">+T16-AA16</f>
        <v>0</v>
      </c>
      <c r="AH16" s="1880">
        <v>2016</v>
      </c>
      <c r="AI16" s="1856" t="s">
        <v>21</v>
      </c>
      <c r="AJ16" s="3137" t="s">
        <v>59</v>
      </c>
      <c r="AK16" s="1856" t="s">
        <v>21</v>
      </c>
      <c r="AL16" s="1856" t="s">
        <v>21</v>
      </c>
      <c r="AM16" s="1880" t="s">
        <v>622</v>
      </c>
      <c r="AN16" s="1910" t="s">
        <v>568</v>
      </c>
      <c r="AO16" s="1910" t="s">
        <v>603</v>
      </c>
      <c r="AP16" s="1788" t="s">
        <v>570</v>
      </c>
      <c r="AQ16" s="1788"/>
      <c r="AR16" s="1788" t="s">
        <v>21</v>
      </c>
      <c r="AS16" s="1788" t="s">
        <v>623</v>
      </c>
      <c r="AT16" s="1856">
        <v>250000000</v>
      </c>
      <c r="AU16" s="1879" t="s">
        <v>58</v>
      </c>
      <c r="AV16" s="1879">
        <f>BB[[#This Row],[NILAI PINJAMAN KONFIRMASI BILA-MULTI]]</f>
        <v>250000000</v>
      </c>
      <c r="AW16" s="1788" t="s">
        <v>21</v>
      </c>
      <c r="AX16" s="1879" t="s">
        <v>619</v>
      </c>
      <c r="AY16" s="3138" t="s">
        <v>577</v>
      </c>
      <c r="AZ16" s="1970"/>
      <c r="BA16" s="1975" t="s">
        <v>624</v>
      </c>
      <c r="BB16" s="1764"/>
      <c r="BF16" s="2586"/>
    </row>
    <row r="17" spans="1:57" s="2509" customFormat="1" ht="20.100000000000001" customHeight="1">
      <c r="A17" s="2554">
        <v>15</v>
      </c>
      <c r="B17" s="2555"/>
      <c r="C17" s="2555"/>
      <c r="D17" s="2556" t="s">
        <v>17</v>
      </c>
      <c r="E17" s="2555">
        <v>1</v>
      </c>
      <c r="F17" s="2556" t="s">
        <v>19</v>
      </c>
      <c r="G17" s="1800" t="s">
        <v>564</v>
      </c>
      <c r="H17" s="2556" t="s">
        <v>53</v>
      </c>
      <c r="I17" s="2555" t="s">
        <v>51</v>
      </c>
      <c r="J17" s="2556" t="s">
        <v>52</v>
      </c>
      <c r="K17" s="2555">
        <v>3</v>
      </c>
      <c r="L17" s="2577" t="s">
        <v>61</v>
      </c>
      <c r="M17" s="2555">
        <v>1</v>
      </c>
      <c r="N17" s="2555">
        <v>1</v>
      </c>
      <c r="O17" s="2555">
        <v>0</v>
      </c>
      <c r="P17" s="2578">
        <v>1</v>
      </c>
      <c r="Q17" s="2555">
        <v>1</v>
      </c>
      <c r="R17" s="2555">
        <v>1</v>
      </c>
      <c r="S17" s="2581">
        <v>13</v>
      </c>
      <c r="T17" s="1859">
        <v>250000000</v>
      </c>
      <c r="U17" s="1859">
        <v>250000000</v>
      </c>
      <c r="V17" s="1859">
        <v>50000000</v>
      </c>
      <c r="W17" s="1859">
        <v>0</v>
      </c>
      <c r="X17" s="1859">
        <f t="shared" si="0"/>
        <v>300000000</v>
      </c>
      <c r="Y17" s="1886" t="s">
        <v>62</v>
      </c>
      <c r="Z17" s="1886" t="s">
        <v>619</v>
      </c>
      <c r="AA17" s="1859">
        <v>250000000</v>
      </c>
      <c r="AB17" s="1887"/>
      <c r="AC17" s="1859"/>
      <c r="AD17" s="1888"/>
      <c r="AE17" s="1859"/>
      <c r="AF17" s="1888"/>
      <c r="AG17" s="1859">
        <f t="shared" si="1"/>
        <v>0</v>
      </c>
      <c r="AH17" s="1887" t="s">
        <v>617</v>
      </c>
      <c r="AI17" s="1859" t="s">
        <v>21</v>
      </c>
      <c r="AJ17" s="1859" t="s">
        <v>21</v>
      </c>
      <c r="AK17" s="1859" t="s">
        <v>21</v>
      </c>
      <c r="AL17" s="1859" t="s">
        <v>21</v>
      </c>
      <c r="AM17" s="1887"/>
      <c r="AN17" s="1907" t="s">
        <v>603</v>
      </c>
      <c r="AO17" s="1907" t="s">
        <v>603</v>
      </c>
      <c r="AP17" s="1800" t="s">
        <v>570</v>
      </c>
      <c r="AQ17" s="1800"/>
      <c r="AR17" s="1800" t="s">
        <v>571</v>
      </c>
      <c r="AS17" s="1800"/>
      <c r="AT17" s="1859">
        <v>250000000</v>
      </c>
      <c r="AU17" s="1886" t="s">
        <v>62</v>
      </c>
      <c r="AV17" s="1886">
        <f>BB[[#This Row],[NILAI PINJAMAN KONFIRMASI BILA-MULTI]]</f>
        <v>250000000</v>
      </c>
      <c r="AW17" s="1800" t="s">
        <v>21</v>
      </c>
      <c r="AX17" s="1886" t="s">
        <v>619</v>
      </c>
      <c r="AY17" s="3141" t="s">
        <v>577</v>
      </c>
      <c r="AZ17" s="1979" t="s">
        <v>625</v>
      </c>
      <c r="BA17" s="1980" t="s">
        <v>626</v>
      </c>
      <c r="BB17" s="1982"/>
    </row>
    <row r="18" spans="1:57" s="645" customFormat="1" ht="20.100000000000001" customHeight="1">
      <c r="A18" s="2548">
        <v>16</v>
      </c>
      <c r="B18" s="2549"/>
      <c r="C18" s="2549"/>
      <c r="D18" s="2550" t="s">
        <v>17</v>
      </c>
      <c r="E18" s="2549">
        <v>1</v>
      </c>
      <c r="F18" s="2550" t="s">
        <v>19</v>
      </c>
      <c r="G18" s="1788" t="s">
        <v>564</v>
      </c>
      <c r="H18" s="2550" t="s">
        <v>53</v>
      </c>
      <c r="I18" s="2549" t="s">
        <v>51</v>
      </c>
      <c r="J18" s="2550" t="s">
        <v>52</v>
      </c>
      <c r="K18" s="2549">
        <v>4</v>
      </c>
      <c r="L18" s="2576" t="s">
        <v>627</v>
      </c>
      <c r="M18" s="2549">
        <v>1</v>
      </c>
      <c r="N18" s="2549">
        <v>1</v>
      </c>
      <c r="O18" s="2549">
        <v>0</v>
      </c>
      <c r="P18" s="2573">
        <v>1</v>
      </c>
      <c r="Q18" s="2549">
        <v>1</v>
      </c>
      <c r="R18" s="2549">
        <v>1</v>
      </c>
      <c r="S18" s="2546">
        <v>14</v>
      </c>
      <c r="T18" s="1856">
        <v>250000000</v>
      </c>
      <c r="U18" s="1856">
        <v>250000000</v>
      </c>
      <c r="V18" s="1856">
        <v>50000000</v>
      </c>
      <c r="W18" s="1856">
        <v>0</v>
      </c>
      <c r="X18" s="1856">
        <f t="shared" si="0"/>
        <v>300000000</v>
      </c>
      <c r="Y18" s="1879" t="s">
        <v>628</v>
      </c>
      <c r="Z18" s="1879" t="s">
        <v>602</v>
      </c>
      <c r="AA18" s="1856">
        <v>250000000</v>
      </c>
      <c r="AB18" s="1880"/>
      <c r="AC18" s="1856"/>
      <c r="AD18" s="1881"/>
      <c r="AE18" s="1856"/>
      <c r="AF18" s="1881"/>
      <c r="AG18" s="1856">
        <f t="shared" si="1"/>
        <v>0</v>
      </c>
      <c r="AH18" s="1880" t="s">
        <v>617</v>
      </c>
      <c r="AI18" s="1856" t="s">
        <v>21</v>
      </c>
      <c r="AJ18" s="1856" t="s">
        <v>21</v>
      </c>
      <c r="AK18" s="1856" t="s">
        <v>21</v>
      </c>
      <c r="AL18" s="1856" t="s">
        <v>21</v>
      </c>
      <c r="AM18" s="2583"/>
      <c r="AN18" s="1907" t="s">
        <v>603</v>
      </c>
      <c r="AO18" s="1907" t="s">
        <v>603</v>
      </c>
      <c r="AP18" s="1788" t="s">
        <v>570</v>
      </c>
      <c r="AQ18" s="1788"/>
      <c r="AR18" s="1788" t="s">
        <v>571</v>
      </c>
      <c r="AS18" s="1788"/>
      <c r="AT18" s="1856">
        <v>250000000</v>
      </c>
      <c r="AU18" s="1879" t="s">
        <v>62</v>
      </c>
      <c r="AV18" s="1879">
        <f>BB[[#This Row],[NILAI PINJAMAN KONFIRMASI BILA-MULTI]]</f>
        <v>250000000</v>
      </c>
      <c r="AW18" s="3135" t="s">
        <v>629</v>
      </c>
      <c r="AX18" s="1879" t="s">
        <v>619</v>
      </c>
      <c r="AY18" s="3138" t="s">
        <v>577</v>
      </c>
      <c r="AZ18" s="91"/>
      <c r="BA18" s="1983" t="s">
        <v>630</v>
      </c>
      <c r="BB18" s="1764"/>
    </row>
    <row r="19" spans="1:57" s="645" customFormat="1" ht="20.100000000000001" customHeight="1">
      <c r="A19" s="2548">
        <v>17</v>
      </c>
      <c r="B19" s="2549"/>
      <c r="C19" s="2549"/>
      <c r="D19" s="2550" t="s">
        <v>17</v>
      </c>
      <c r="E19" s="2549">
        <v>1</v>
      </c>
      <c r="F19" s="2550" t="s">
        <v>19</v>
      </c>
      <c r="G19" s="1788" t="s">
        <v>564</v>
      </c>
      <c r="H19" s="2550" t="s">
        <v>53</v>
      </c>
      <c r="I19" s="2549" t="s">
        <v>51</v>
      </c>
      <c r="J19" s="2550" t="s">
        <v>52</v>
      </c>
      <c r="K19" s="2549">
        <v>5</v>
      </c>
      <c r="L19" s="2576" t="s">
        <v>64</v>
      </c>
      <c r="M19" s="2549">
        <v>1</v>
      </c>
      <c r="N19" s="2549">
        <v>1</v>
      </c>
      <c r="O19" s="2549">
        <v>0</v>
      </c>
      <c r="P19" s="2573">
        <v>1</v>
      </c>
      <c r="Q19" s="2549">
        <v>1</v>
      </c>
      <c r="R19" s="2549">
        <v>1</v>
      </c>
      <c r="S19" s="2546">
        <v>15</v>
      </c>
      <c r="T19" s="1856">
        <v>250000000</v>
      </c>
      <c r="U19" s="1856">
        <v>250000000</v>
      </c>
      <c r="V19" s="1856">
        <v>50000000</v>
      </c>
      <c r="W19" s="1856">
        <v>0</v>
      </c>
      <c r="X19" s="1856">
        <f t="shared" si="0"/>
        <v>300000000</v>
      </c>
      <c r="Y19" s="1879" t="s">
        <v>58</v>
      </c>
      <c r="Z19" s="1879" t="s">
        <v>619</v>
      </c>
      <c r="AA19" s="1856">
        <v>250000000</v>
      </c>
      <c r="AB19" s="1880"/>
      <c r="AC19" s="1856"/>
      <c r="AD19" s="1881"/>
      <c r="AE19" s="1856"/>
      <c r="AF19" s="1881"/>
      <c r="AG19" s="1856">
        <f t="shared" si="1"/>
        <v>0</v>
      </c>
      <c r="AH19" s="1880">
        <v>2017</v>
      </c>
      <c r="AI19" s="1856" t="s">
        <v>21</v>
      </c>
      <c r="AJ19" s="1856" t="s">
        <v>21</v>
      </c>
      <c r="AK19" s="1856" t="s">
        <v>21</v>
      </c>
      <c r="AL19" s="1856" t="s">
        <v>21</v>
      </c>
      <c r="AM19" s="2583"/>
      <c r="AN19" s="1907" t="s">
        <v>603</v>
      </c>
      <c r="AO19" s="1907" t="s">
        <v>603</v>
      </c>
      <c r="AP19" s="1788" t="s">
        <v>570</v>
      </c>
      <c r="AQ19" s="1788"/>
      <c r="AR19" s="1788" t="s">
        <v>571</v>
      </c>
      <c r="AS19" s="1788"/>
      <c r="AT19" s="1856">
        <v>250000000</v>
      </c>
      <c r="AU19" s="1879" t="s">
        <v>58</v>
      </c>
      <c r="AV19" s="1879">
        <f>BB[[#This Row],[NILAI PINJAMAN KONFIRMASI BILA-MULTI]]</f>
        <v>250000000</v>
      </c>
      <c r="AW19" s="1788" t="s">
        <v>21</v>
      </c>
      <c r="AX19" s="1879" t="s">
        <v>619</v>
      </c>
      <c r="AY19" s="3138" t="s">
        <v>577</v>
      </c>
      <c r="AZ19" s="1970"/>
      <c r="BA19" s="1975" t="s">
        <v>631</v>
      </c>
      <c r="BB19" s="1764"/>
    </row>
    <row r="20" spans="1:57" s="645" customFormat="1" ht="23.25" customHeight="1">
      <c r="A20" s="2548">
        <v>18</v>
      </c>
      <c r="B20" s="2549"/>
      <c r="C20" s="2549"/>
      <c r="D20" s="2550" t="s">
        <v>17</v>
      </c>
      <c r="E20" s="2549">
        <v>1</v>
      </c>
      <c r="F20" s="2550" t="s">
        <v>19</v>
      </c>
      <c r="G20" s="1788" t="s">
        <v>564</v>
      </c>
      <c r="H20" s="2550" t="s">
        <v>53</v>
      </c>
      <c r="I20" s="2549" t="s">
        <v>51</v>
      </c>
      <c r="J20" s="2550" t="s">
        <v>52</v>
      </c>
      <c r="K20" s="2549">
        <v>6</v>
      </c>
      <c r="L20" s="2576" t="s">
        <v>65</v>
      </c>
      <c r="M20" s="2549">
        <v>1</v>
      </c>
      <c r="N20" s="2549">
        <v>1</v>
      </c>
      <c r="O20" s="2549">
        <v>0</v>
      </c>
      <c r="P20" s="2573">
        <v>1</v>
      </c>
      <c r="Q20" s="2549">
        <v>1</v>
      </c>
      <c r="R20" s="2549">
        <v>1</v>
      </c>
      <c r="S20" s="2546">
        <v>16</v>
      </c>
      <c r="T20" s="1856">
        <v>250000000</v>
      </c>
      <c r="U20" s="1856">
        <v>250000000</v>
      </c>
      <c r="V20" s="1856">
        <v>50000000</v>
      </c>
      <c r="W20" s="1856">
        <v>0</v>
      </c>
      <c r="X20" s="1856">
        <f t="shared" si="0"/>
        <v>300000000</v>
      </c>
      <c r="Y20" s="1879" t="s">
        <v>628</v>
      </c>
      <c r="Z20" s="1879" t="s">
        <v>602</v>
      </c>
      <c r="AA20" s="1856">
        <v>250000000</v>
      </c>
      <c r="AB20" s="1880"/>
      <c r="AC20" s="1856"/>
      <c r="AD20" s="1881"/>
      <c r="AE20" s="1856"/>
      <c r="AF20" s="1881"/>
      <c r="AG20" s="1856">
        <f t="shared" si="1"/>
        <v>0</v>
      </c>
      <c r="AH20" s="1880" t="s">
        <v>617</v>
      </c>
      <c r="AI20" s="1788" t="s">
        <v>21</v>
      </c>
      <c r="AJ20" s="1788" t="s">
        <v>632</v>
      </c>
      <c r="AK20" s="1856" t="s">
        <v>21</v>
      </c>
      <c r="AL20" s="1856" t="s">
        <v>21</v>
      </c>
      <c r="AM20" s="2583"/>
      <c r="AN20" s="1907" t="s">
        <v>568</v>
      </c>
      <c r="AO20" s="1907" t="s">
        <v>603</v>
      </c>
      <c r="AP20" s="1788" t="s">
        <v>570</v>
      </c>
      <c r="AQ20" s="1788"/>
      <c r="AR20" s="1788" t="s">
        <v>571</v>
      </c>
      <c r="AS20" s="1788"/>
      <c r="AT20" s="1856">
        <v>250000000</v>
      </c>
      <c r="AU20" s="1879" t="s">
        <v>633</v>
      </c>
      <c r="AV20" s="1879">
        <f>BB[[#This Row],[NILAI PINJAMAN KONFIRMASI BILA-MULTI]]</f>
        <v>250000000</v>
      </c>
      <c r="AW20" s="1788" t="s">
        <v>634</v>
      </c>
      <c r="AX20" s="1879" t="s">
        <v>633</v>
      </c>
      <c r="AY20" s="3138" t="s">
        <v>577</v>
      </c>
      <c r="AZ20" s="91"/>
      <c r="BA20" s="1975" t="s">
        <v>635</v>
      </c>
      <c r="BB20" s="1764"/>
    </row>
    <row r="21" spans="1:57" s="645" customFormat="1" ht="20.100000000000001" customHeight="1">
      <c r="A21" s="2548">
        <v>19</v>
      </c>
      <c r="B21" s="2549"/>
      <c r="C21" s="2549"/>
      <c r="D21" s="2550" t="s">
        <v>17</v>
      </c>
      <c r="E21" s="2549">
        <v>1</v>
      </c>
      <c r="F21" s="2550" t="s">
        <v>19</v>
      </c>
      <c r="G21" s="1788" t="s">
        <v>564</v>
      </c>
      <c r="H21" s="2550" t="s">
        <v>53</v>
      </c>
      <c r="I21" s="2549" t="s">
        <v>51</v>
      </c>
      <c r="J21" s="2550" t="s">
        <v>52</v>
      </c>
      <c r="K21" s="2549">
        <v>7</v>
      </c>
      <c r="L21" s="2576" t="s">
        <v>68</v>
      </c>
      <c r="M21" s="2549">
        <v>1</v>
      </c>
      <c r="N21" s="2549">
        <v>1</v>
      </c>
      <c r="O21" s="2549">
        <v>0</v>
      </c>
      <c r="P21" s="2573">
        <v>1</v>
      </c>
      <c r="Q21" s="2549">
        <v>1</v>
      </c>
      <c r="R21" s="2549">
        <v>1</v>
      </c>
      <c r="S21" s="2546">
        <v>17</v>
      </c>
      <c r="T21" s="1856">
        <v>250000000</v>
      </c>
      <c r="U21" s="1856">
        <v>250000000</v>
      </c>
      <c r="V21" s="1856">
        <v>50000000</v>
      </c>
      <c r="W21" s="1856">
        <v>0</v>
      </c>
      <c r="X21" s="1856">
        <f t="shared" si="0"/>
        <v>300000000</v>
      </c>
      <c r="Y21" s="1879" t="s">
        <v>58</v>
      </c>
      <c r="Z21" s="1879" t="s">
        <v>619</v>
      </c>
      <c r="AA21" s="1856">
        <v>250000000</v>
      </c>
      <c r="AB21" s="1880"/>
      <c r="AC21" s="1856"/>
      <c r="AD21" s="1881"/>
      <c r="AE21" s="1856"/>
      <c r="AF21" s="1881"/>
      <c r="AG21" s="1856">
        <f t="shared" si="1"/>
        <v>0</v>
      </c>
      <c r="AH21" s="1880">
        <v>2016</v>
      </c>
      <c r="AI21" s="1788" t="s">
        <v>21</v>
      </c>
      <c r="AJ21" s="1788" t="s">
        <v>69</v>
      </c>
      <c r="AK21" s="1856" t="s">
        <v>21</v>
      </c>
      <c r="AL21" s="1856" t="s">
        <v>21</v>
      </c>
      <c r="AM21" s="2583"/>
      <c r="AN21" s="1907" t="s">
        <v>568</v>
      </c>
      <c r="AO21" s="1907" t="s">
        <v>603</v>
      </c>
      <c r="AP21" s="1788" t="s">
        <v>570</v>
      </c>
      <c r="AQ21" s="1788"/>
      <c r="AR21" s="1788" t="s">
        <v>571</v>
      </c>
      <c r="AS21" s="1788"/>
      <c r="AT21" s="1856">
        <v>250000000</v>
      </c>
      <c r="AU21" s="1879" t="s">
        <v>636</v>
      </c>
      <c r="AV21" s="1879">
        <f>BB[[#This Row],[NILAI PINJAMAN KONFIRMASI BILA-MULTI]]</f>
        <v>250000000</v>
      </c>
      <c r="AW21" s="3135" t="s">
        <v>637</v>
      </c>
      <c r="AX21" s="1879" t="s">
        <v>565</v>
      </c>
      <c r="AY21" s="3138" t="s">
        <v>638</v>
      </c>
      <c r="AZ21" s="1970"/>
      <c r="BA21" s="1975" t="s">
        <v>639</v>
      </c>
      <c r="BB21" s="1764"/>
    </row>
    <row r="22" spans="1:57" s="645" customFormat="1" ht="20.100000000000001" customHeight="1">
      <c r="A22" s="2548">
        <v>20</v>
      </c>
      <c r="B22" s="2549"/>
      <c r="C22" s="2549"/>
      <c r="D22" s="2550" t="s">
        <v>17</v>
      </c>
      <c r="E22" s="2549">
        <v>1</v>
      </c>
      <c r="F22" s="2550" t="s">
        <v>19</v>
      </c>
      <c r="G22" s="1788" t="s">
        <v>564</v>
      </c>
      <c r="H22" s="2550" t="s">
        <v>53</v>
      </c>
      <c r="I22" s="2549" t="s">
        <v>51</v>
      </c>
      <c r="J22" s="2550" t="s">
        <v>52</v>
      </c>
      <c r="K22" s="2549">
        <v>8</v>
      </c>
      <c r="L22" s="2576" t="s">
        <v>70</v>
      </c>
      <c r="M22" s="2549">
        <v>1</v>
      </c>
      <c r="N22" s="2549">
        <v>1</v>
      </c>
      <c r="O22" s="2549">
        <v>0</v>
      </c>
      <c r="P22" s="2573">
        <v>1</v>
      </c>
      <c r="Q22" s="2549">
        <v>1</v>
      </c>
      <c r="R22" s="2549">
        <v>1</v>
      </c>
      <c r="S22" s="2546">
        <v>18</v>
      </c>
      <c r="T22" s="1856">
        <v>250000000</v>
      </c>
      <c r="U22" s="1856">
        <v>250000000</v>
      </c>
      <c r="V22" s="1856">
        <v>50000000</v>
      </c>
      <c r="W22" s="1856">
        <v>0</v>
      </c>
      <c r="X22" s="1856">
        <f t="shared" si="0"/>
        <v>300000000</v>
      </c>
      <c r="Y22" s="1879" t="s">
        <v>58</v>
      </c>
      <c r="Z22" s="1879" t="s">
        <v>619</v>
      </c>
      <c r="AA22" s="1856">
        <f>T22</f>
        <v>250000000</v>
      </c>
      <c r="AB22" s="1880"/>
      <c r="AC22" s="1856"/>
      <c r="AD22" s="1881"/>
      <c r="AE22" s="1856"/>
      <c r="AF22" s="1881"/>
      <c r="AG22" s="1856">
        <f t="shared" si="1"/>
        <v>0</v>
      </c>
      <c r="AH22" s="1880">
        <v>2016</v>
      </c>
      <c r="AI22" s="1788" t="s">
        <v>21</v>
      </c>
      <c r="AJ22" s="1788" t="s">
        <v>71</v>
      </c>
      <c r="AK22" s="1856" t="s">
        <v>21</v>
      </c>
      <c r="AL22" s="1856" t="s">
        <v>21</v>
      </c>
      <c r="AM22" s="2583"/>
      <c r="AN22" s="1907" t="s">
        <v>568</v>
      </c>
      <c r="AO22" s="1907" t="s">
        <v>603</v>
      </c>
      <c r="AP22" s="1788" t="s">
        <v>570</v>
      </c>
      <c r="AQ22" s="1788"/>
      <c r="AR22" s="1788" t="s">
        <v>571</v>
      </c>
      <c r="AS22" s="1788"/>
      <c r="AT22" s="1856">
        <v>250000000</v>
      </c>
      <c r="AU22" s="1879" t="s">
        <v>58</v>
      </c>
      <c r="AV22" s="1879">
        <f>BB[[#This Row],[NILAI PINJAMAN KONFIRMASI BILA-MULTI]]</f>
        <v>250000000</v>
      </c>
      <c r="AW22" s="1788" t="s">
        <v>21</v>
      </c>
      <c r="AX22" s="1879" t="s">
        <v>619</v>
      </c>
      <c r="AY22" s="3138" t="s">
        <v>640</v>
      </c>
      <c r="AZ22" s="1985" t="s">
        <v>641</v>
      </c>
      <c r="BA22" s="1975" t="s">
        <v>642</v>
      </c>
      <c r="BB22" s="1764"/>
    </row>
    <row r="23" spans="1:57" s="2508" customFormat="1" ht="20.100000000000001" customHeight="1">
      <c r="A23" s="2551"/>
      <c r="B23" s="2552"/>
      <c r="C23" s="2552"/>
      <c r="D23" s="2553" t="s">
        <v>17</v>
      </c>
      <c r="E23" s="2552">
        <v>1</v>
      </c>
      <c r="F23" s="2553" t="s">
        <v>19</v>
      </c>
      <c r="G23" s="1796" t="s">
        <v>564</v>
      </c>
      <c r="H23" s="2553" t="s">
        <v>53</v>
      </c>
      <c r="I23" s="2552" t="s">
        <v>51</v>
      </c>
      <c r="J23" s="2553" t="s">
        <v>52</v>
      </c>
      <c r="K23" s="2552">
        <v>9</v>
      </c>
      <c r="L23" s="2553" t="s">
        <v>643</v>
      </c>
      <c r="M23" s="2552">
        <v>1</v>
      </c>
      <c r="N23" s="2552">
        <v>1</v>
      </c>
      <c r="O23" s="2552">
        <v>0</v>
      </c>
      <c r="P23" s="2575">
        <v>1</v>
      </c>
      <c r="Q23" s="2552">
        <v>0</v>
      </c>
      <c r="R23" s="2552">
        <v>1</v>
      </c>
      <c r="S23" s="2552"/>
      <c r="T23" s="1857">
        <v>0</v>
      </c>
      <c r="U23" s="1857">
        <v>45000000</v>
      </c>
      <c r="V23" s="1857">
        <v>0</v>
      </c>
      <c r="W23" s="1857">
        <v>0</v>
      </c>
      <c r="X23" s="1860">
        <v>0</v>
      </c>
      <c r="Y23" s="1860" t="s">
        <v>117</v>
      </c>
      <c r="Z23" s="1883" t="s">
        <v>619</v>
      </c>
      <c r="AA23" s="1883">
        <v>45000000</v>
      </c>
      <c r="AB23" s="1884">
        <v>1</v>
      </c>
      <c r="AC23" s="1883">
        <v>45000000</v>
      </c>
      <c r="AD23" s="1889"/>
      <c r="AE23" s="1883"/>
      <c r="AF23" s="1889"/>
      <c r="AG23" s="1857">
        <v>0</v>
      </c>
      <c r="AH23" s="1884">
        <v>2016</v>
      </c>
      <c r="AI23" s="3142" t="s">
        <v>644</v>
      </c>
      <c r="AJ23" s="1916" t="s">
        <v>21</v>
      </c>
      <c r="AK23" s="1916" t="s">
        <v>21</v>
      </c>
      <c r="AL23" s="1916" t="s">
        <v>21</v>
      </c>
      <c r="AM23" s="1884" t="s">
        <v>581</v>
      </c>
      <c r="AN23" s="1907" t="s">
        <v>568</v>
      </c>
      <c r="AO23" s="1907" t="s">
        <v>645</v>
      </c>
      <c r="AP23" s="1916" t="s">
        <v>570</v>
      </c>
      <c r="AQ23" s="1916"/>
      <c r="AR23" s="1916" t="s">
        <v>21</v>
      </c>
      <c r="AS23" s="1916" t="s">
        <v>586</v>
      </c>
      <c r="AT23" s="1883">
        <v>45000000</v>
      </c>
      <c r="AU23" s="1860" t="s">
        <v>117</v>
      </c>
      <c r="AV23" s="1860">
        <f>BB[[#This Row],[NILAI PINJAMAN KONFIRMASI BILA-MULTI]]</f>
        <v>45000000</v>
      </c>
      <c r="AW23" s="1916" t="s">
        <v>21</v>
      </c>
      <c r="AX23" s="1883" t="s">
        <v>619</v>
      </c>
      <c r="AY23" s="85"/>
      <c r="AZ23" s="85"/>
      <c r="BA23" s="1942"/>
      <c r="BB23" s="1978"/>
      <c r="BE23" s="2587"/>
    </row>
    <row r="24" spans="1:57" s="645" customFormat="1" ht="20.100000000000001" customHeight="1">
      <c r="A24" s="2548">
        <v>21</v>
      </c>
      <c r="B24" s="2549"/>
      <c r="C24" s="2549"/>
      <c r="D24" s="2550" t="s">
        <v>17</v>
      </c>
      <c r="E24" s="2549">
        <v>1</v>
      </c>
      <c r="F24" s="2550" t="s">
        <v>19</v>
      </c>
      <c r="G24" s="1788" t="s">
        <v>646</v>
      </c>
      <c r="H24" s="2550" t="s">
        <v>74</v>
      </c>
      <c r="I24" s="2549" t="s">
        <v>72</v>
      </c>
      <c r="J24" s="2550" t="s">
        <v>73</v>
      </c>
      <c r="K24" s="2549">
        <v>1</v>
      </c>
      <c r="L24" s="2550" t="s">
        <v>75</v>
      </c>
      <c r="M24" s="2549">
        <v>1</v>
      </c>
      <c r="N24" s="2549">
        <v>1</v>
      </c>
      <c r="O24" s="2549">
        <v>0</v>
      </c>
      <c r="P24" s="2573">
        <v>1</v>
      </c>
      <c r="Q24" s="2549">
        <v>1</v>
      </c>
      <c r="R24" s="2549">
        <v>1</v>
      </c>
      <c r="S24" s="2546">
        <v>19</v>
      </c>
      <c r="T24" s="1856">
        <v>300000000</v>
      </c>
      <c r="U24" s="1856">
        <v>300000000</v>
      </c>
      <c r="V24" s="1856">
        <v>15000000</v>
      </c>
      <c r="W24" s="1856">
        <v>0</v>
      </c>
      <c r="X24" s="1856">
        <f>T24+V24+W24</f>
        <v>315000000</v>
      </c>
      <c r="Y24" s="1879" t="s">
        <v>62</v>
      </c>
      <c r="Z24" s="1879" t="s">
        <v>619</v>
      </c>
      <c r="AA24" s="1856">
        <v>300000000</v>
      </c>
      <c r="AB24" s="1880">
        <v>1</v>
      </c>
      <c r="AC24" s="1856">
        <v>300000000</v>
      </c>
      <c r="AD24" s="1881"/>
      <c r="AE24" s="1856"/>
      <c r="AF24" s="1881"/>
      <c r="AG24" s="1856">
        <v>0</v>
      </c>
      <c r="AH24" s="1880">
        <v>2016</v>
      </c>
      <c r="AI24" s="3135" t="s">
        <v>647</v>
      </c>
      <c r="AJ24" s="3137" t="s">
        <v>77</v>
      </c>
      <c r="AK24" s="1788" t="s">
        <v>21</v>
      </c>
      <c r="AL24" s="1788" t="s">
        <v>21</v>
      </c>
      <c r="AM24" s="2583" t="s">
        <v>581</v>
      </c>
      <c r="AN24" s="1914" t="s">
        <v>614</v>
      </c>
      <c r="AO24" s="1907" t="s">
        <v>603</v>
      </c>
      <c r="AP24" s="1788" t="s">
        <v>570</v>
      </c>
      <c r="AQ24" s="1788"/>
      <c r="AR24" s="2118" t="s">
        <v>21</v>
      </c>
      <c r="AS24" s="2118" t="s">
        <v>586</v>
      </c>
      <c r="AT24" s="1856">
        <v>300000000</v>
      </c>
      <c r="AU24" s="1879" t="s">
        <v>62</v>
      </c>
      <c r="AV24" s="1879" t="s">
        <v>21</v>
      </c>
      <c r="AW24" s="1788" t="s">
        <v>21</v>
      </c>
      <c r="AX24" s="1879" t="s">
        <v>619</v>
      </c>
      <c r="AY24" s="3143" t="s">
        <v>648</v>
      </c>
      <c r="AZ24" s="1788"/>
      <c r="BA24" s="1988" t="s">
        <v>649</v>
      </c>
      <c r="BB24" s="1764"/>
    </row>
    <row r="25" spans="1:57" s="645" customFormat="1" ht="20.100000000000001" customHeight="1">
      <c r="A25" s="2548">
        <v>22</v>
      </c>
      <c r="B25" s="2549"/>
      <c r="C25" s="2549"/>
      <c r="D25" s="2550" t="s">
        <v>17</v>
      </c>
      <c r="E25" s="2549">
        <v>1</v>
      </c>
      <c r="F25" s="2550" t="s">
        <v>19</v>
      </c>
      <c r="G25" s="1788" t="s">
        <v>646</v>
      </c>
      <c r="H25" s="2550" t="s">
        <v>74</v>
      </c>
      <c r="I25" s="2549" t="s">
        <v>72</v>
      </c>
      <c r="J25" s="2550" t="s">
        <v>73</v>
      </c>
      <c r="K25" s="2549">
        <v>2</v>
      </c>
      <c r="L25" s="2550" t="s">
        <v>81</v>
      </c>
      <c r="M25" s="2549">
        <v>1</v>
      </c>
      <c r="N25" s="2549">
        <v>1</v>
      </c>
      <c r="O25" s="2549">
        <v>0</v>
      </c>
      <c r="P25" s="2573">
        <v>1</v>
      </c>
      <c r="Q25" s="2549">
        <v>1</v>
      </c>
      <c r="R25" s="2549">
        <v>1</v>
      </c>
      <c r="S25" s="2546">
        <v>20</v>
      </c>
      <c r="T25" s="1856">
        <v>100000000</v>
      </c>
      <c r="U25" s="1856">
        <v>100000000</v>
      </c>
      <c r="V25" s="1856">
        <v>5000000</v>
      </c>
      <c r="W25" s="1856">
        <v>0</v>
      </c>
      <c r="X25" s="1856">
        <f>T25+V25+W25</f>
        <v>105000000</v>
      </c>
      <c r="Y25" s="1890" t="s">
        <v>62</v>
      </c>
      <c r="Z25" s="1879" t="s">
        <v>619</v>
      </c>
      <c r="AA25" s="1856">
        <v>100000000</v>
      </c>
      <c r="AB25" s="1880"/>
      <c r="AC25" s="1856"/>
      <c r="AD25" s="1881"/>
      <c r="AE25" s="1856"/>
      <c r="AF25" s="1881"/>
      <c r="AG25" s="1856">
        <f>AA25-T25</f>
        <v>0</v>
      </c>
      <c r="AH25" s="1880">
        <v>2017</v>
      </c>
      <c r="AI25" s="1815"/>
      <c r="AJ25" s="1815" t="s">
        <v>21</v>
      </c>
      <c r="AK25" s="1788" t="s">
        <v>21</v>
      </c>
      <c r="AL25" s="1788" t="s">
        <v>21</v>
      </c>
      <c r="AM25" s="2583"/>
      <c r="AN25" s="1907" t="s">
        <v>603</v>
      </c>
      <c r="AO25" s="1907" t="s">
        <v>603</v>
      </c>
      <c r="AP25" s="1788" t="s">
        <v>570</v>
      </c>
      <c r="AQ25" s="1788"/>
      <c r="AR25" s="1788" t="s">
        <v>571</v>
      </c>
      <c r="AS25" s="1788"/>
      <c r="AT25" s="1856">
        <v>100000000</v>
      </c>
      <c r="AU25" s="1890" t="s">
        <v>62</v>
      </c>
      <c r="AV25" s="1890">
        <f>BB[[#This Row],[NILAI PINJAMAN KONFIRMASI BILA-MULTI]]</f>
        <v>100000000</v>
      </c>
      <c r="AW25" s="1788" t="s">
        <v>21</v>
      </c>
      <c r="AX25" s="1879" t="s">
        <v>619</v>
      </c>
      <c r="AY25" s="3138" t="s">
        <v>577</v>
      </c>
      <c r="AZ25" s="91"/>
      <c r="BA25" s="1975" t="s">
        <v>650</v>
      </c>
      <c r="BB25" s="1764"/>
    </row>
    <row r="26" spans="1:57" s="2510" customFormat="1" ht="20.100000000000001" customHeight="1">
      <c r="A26" s="2557">
        <v>23</v>
      </c>
      <c r="B26" s="2558"/>
      <c r="C26" s="2558"/>
      <c r="D26" s="2559" t="s">
        <v>17</v>
      </c>
      <c r="E26" s="2558">
        <v>1</v>
      </c>
      <c r="F26" s="2559" t="s">
        <v>19</v>
      </c>
      <c r="G26" s="1805" t="s">
        <v>646</v>
      </c>
      <c r="H26" s="2559" t="s">
        <v>74</v>
      </c>
      <c r="I26" s="2558" t="s">
        <v>72</v>
      </c>
      <c r="J26" s="2559" t="s">
        <v>73</v>
      </c>
      <c r="K26" s="2558">
        <v>3</v>
      </c>
      <c r="L26" s="2559" t="s">
        <v>84</v>
      </c>
      <c r="M26" s="2558">
        <v>0</v>
      </c>
      <c r="N26" s="2558">
        <v>0</v>
      </c>
      <c r="O26" s="2558">
        <v>1</v>
      </c>
      <c r="P26" s="2579">
        <v>0</v>
      </c>
      <c r="Q26" s="2558">
        <v>0</v>
      </c>
      <c r="R26" s="2558">
        <v>0</v>
      </c>
      <c r="S26" s="2558"/>
      <c r="T26" s="1861">
        <f>SUM(T27:T34)</f>
        <v>672680000</v>
      </c>
      <c r="U26" s="1861">
        <f>SUM(U27:U34)</f>
        <v>646300000</v>
      </c>
      <c r="V26" s="1861">
        <f>SUM(V27:V34)</f>
        <v>33634000</v>
      </c>
      <c r="W26" s="1861">
        <f>SUM(W27:W34)</f>
        <v>0</v>
      </c>
      <c r="X26" s="1861">
        <f>SUM(X27:X34)</f>
        <v>706314000</v>
      </c>
      <c r="Y26" s="1891" t="s">
        <v>21</v>
      </c>
      <c r="Z26" s="1891"/>
      <c r="AA26" s="1861">
        <f>SUM(AA27:AA34)+AA40</f>
        <v>672680000</v>
      </c>
      <c r="AB26" s="1892"/>
      <c r="AC26" s="1861"/>
      <c r="AD26" s="1893"/>
      <c r="AE26" s="1861"/>
      <c r="AF26" s="1893"/>
      <c r="AG26" s="1861">
        <f>BB[[#This Row],[NILAI PINJAMAN PER LENDER]]-BB[[#This Row],[NILAI PINJAMAN DALAM BB]]</f>
        <v>0</v>
      </c>
      <c r="AH26" s="1892" t="s">
        <v>21</v>
      </c>
      <c r="AI26" s="1805" t="s">
        <v>21</v>
      </c>
      <c r="AJ26" s="1805" t="s">
        <v>21</v>
      </c>
      <c r="AK26" s="1796" t="s">
        <v>21</v>
      </c>
      <c r="AL26" s="1796" t="s">
        <v>21</v>
      </c>
      <c r="AM26" s="1892"/>
      <c r="AN26" s="1907" t="s">
        <v>21</v>
      </c>
      <c r="AO26" s="1907" t="s">
        <v>21</v>
      </c>
      <c r="AP26" s="1796"/>
      <c r="AQ26" s="1796"/>
      <c r="AR26" s="1796" t="s">
        <v>21</v>
      </c>
      <c r="AS26" s="1796"/>
      <c r="AT26" s="1861">
        <f>SUM(AT27:AT34)+AT40</f>
        <v>672680000</v>
      </c>
      <c r="AU26" s="1891" t="s">
        <v>21</v>
      </c>
      <c r="AV26" s="1891"/>
      <c r="AW26" s="1796" t="s">
        <v>21</v>
      </c>
      <c r="AX26" s="1891"/>
      <c r="AY26" s="89" t="s">
        <v>577</v>
      </c>
      <c r="AZ26" s="89"/>
      <c r="BA26" s="1989" t="s">
        <v>651</v>
      </c>
      <c r="BB26" s="1991"/>
    </row>
    <row r="27" spans="1:57" s="2505" customFormat="1" ht="20.100000000000001" customHeight="1">
      <c r="A27" s="2539">
        <v>24</v>
      </c>
      <c r="B27" s="2540"/>
      <c r="C27" s="2540"/>
      <c r="D27" s="2541" t="s">
        <v>17</v>
      </c>
      <c r="E27" s="2540">
        <v>1</v>
      </c>
      <c r="F27" s="2541" t="s">
        <v>19</v>
      </c>
      <c r="G27" s="1771" t="s">
        <v>646</v>
      </c>
      <c r="H27" s="2541" t="s">
        <v>74</v>
      </c>
      <c r="I27" s="2540" t="s">
        <v>72</v>
      </c>
      <c r="J27" s="2541" t="s">
        <v>73</v>
      </c>
      <c r="K27" s="2540">
        <v>3</v>
      </c>
      <c r="L27" s="2541" t="s">
        <v>652</v>
      </c>
      <c r="M27" s="2540">
        <v>1</v>
      </c>
      <c r="N27" s="2540">
        <v>1</v>
      </c>
      <c r="O27" s="2540">
        <v>2</v>
      </c>
      <c r="P27" s="2568">
        <v>1</v>
      </c>
      <c r="Q27" s="2540">
        <v>1</v>
      </c>
      <c r="R27" s="2540">
        <v>1</v>
      </c>
      <c r="S27" s="2540">
        <v>21</v>
      </c>
      <c r="T27" s="1852">
        <v>100000000</v>
      </c>
      <c r="U27" s="1852">
        <v>100000000</v>
      </c>
      <c r="V27" s="1852">
        <v>5000000</v>
      </c>
      <c r="W27" s="1852">
        <v>0</v>
      </c>
      <c r="X27" s="1852">
        <f>+BB[[#This Row],[NILAI PINJAMAN DALAM BB]]+BB[[#This Row],[PENDAMPING BB]]+BB[[#This Row],[HIBAH BB]]</f>
        <v>105000000</v>
      </c>
      <c r="Y27" s="1863" t="s">
        <v>55</v>
      </c>
      <c r="Z27" s="1863" t="s">
        <v>565</v>
      </c>
      <c r="AA27" s="1852">
        <v>100000000</v>
      </c>
      <c r="AB27" s="1872"/>
      <c r="AC27" s="1852"/>
      <c r="AD27" s="1873"/>
      <c r="AE27" s="1852"/>
      <c r="AF27" s="1873"/>
      <c r="AG27" s="1852">
        <f>100000000-AA27</f>
        <v>0</v>
      </c>
      <c r="AH27" s="1872">
        <v>2016</v>
      </c>
      <c r="AI27" s="1918" t="s">
        <v>21</v>
      </c>
      <c r="AJ27" s="1908" t="s">
        <v>653</v>
      </c>
      <c r="AK27" s="1908" t="s">
        <v>86</v>
      </c>
      <c r="AL27" s="1908" t="s">
        <v>21</v>
      </c>
      <c r="AM27" s="1872"/>
      <c r="AN27" s="1910" t="s">
        <v>568</v>
      </c>
      <c r="AO27" s="1919" t="s">
        <v>654</v>
      </c>
      <c r="AP27" s="1908" t="s">
        <v>570</v>
      </c>
      <c r="AQ27" s="1908"/>
      <c r="AR27" s="1908" t="s">
        <v>571</v>
      </c>
      <c r="AS27" s="1908"/>
      <c r="AT27" s="1852">
        <v>100000000</v>
      </c>
      <c r="AU27" s="1863" t="s">
        <v>55</v>
      </c>
      <c r="AV27" s="1863">
        <f>BB[[#This Row],[NILAI PINJAMAN KONFIRMASI BILA-MULTI]]</f>
        <v>100000000</v>
      </c>
      <c r="AW27" s="1908" t="s">
        <v>21</v>
      </c>
      <c r="AX27" s="1863" t="s">
        <v>565</v>
      </c>
      <c r="AY27" s="1851" t="s">
        <v>577</v>
      </c>
      <c r="AZ27" s="1851"/>
      <c r="BA27" s="1992" t="s">
        <v>655</v>
      </c>
      <c r="BB27" s="1964"/>
    </row>
    <row r="28" spans="1:57" s="2505" customFormat="1" ht="20.100000000000001" customHeight="1">
      <c r="A28" s="2539">
        <v>25</v>
      </c>
      <c r="B28" s="2540"/>
      <c r="C28" s="2540"/>
      <c r="D28" s="2541" t="s">
        <v>17</v>
      </c>
      <c r="E28" s="2540">
        <v>1</v>
      </c>
      <c r="F28" s="2541" t="s">
        <v>19</v>
      </c>
      <c r="G28" s="1771" t="s">
        <v>646</v>
      </c>
      <c r="H28" s="2541" t="s">
        <v>74</v>
      </c>
      <c r="I28" s="2540" t="s">
        <v>72</v>
      </c>
      <c r="J28" s="2541" t="s">
        <v>73</v>
      </c>
      <c r="K28" s="2540">
        <v>3</v>
      </c>
      <c r="L28" s="2541" t="s">
        <v>656</v>
      </c>
      <c r="M28" s="2540">
        <v>1</v>
      </c>
      <c r="N28" s="2540">
        <v>1</v>
      </c>
      <c r="O28" s="2540">
        <v>2</v>
      </c>
      <c r="P28" s="2568">
        <v>1</v>
      </c>
      <c r="Q28" s="2540">
        <v>1</v>
      </c>
      <c r="R28" s="2540">
        <v>1</v>
      </c>
      <c r="S28" s="2540">
        <v>22</v>
      </c>
      <c r="T28" s="1852">
        <v>74300000</v>
      </c>
      <c r="U28" s="1852">
        <v>74300000</v>
      </c>
      <c r="V28" s="1852">
        <v>3715000</v>
      </c>
      <c r="W28" s="1852">
        <v>0</v>
      </c>
      <c r="X28" s="1852">
        <f>+BB[[#This Row],[NILAI PINJAMAN DALAM BB]]+BB[[#This Row],[PENDAMPING BB]]+BB[[#This Row],[HIBAH BB]]</f>
        <v>78015000</v>
      </c>
      <c r="Y28" s="1863" t="s">
        <v>657</v>
      </c>
      <c r="Z28" s="1863" t="s">
        <v>602</v>
      </c>
      <c r="AA28" s="1852">
        <v>74300000</v>
      </c>
      <c r="AB28" s="1872"/>
      <c r="AC28" s="1852"/>
      <c r="AD28" s="1873"/>
      <c r="AE28" s="1852"/>
      <c r="AF28" s="1873"/>
      <c r="AG28" s="1852">
        <f>74300000-AA28</f>
        <v>0</v>
      </c>
      <c r="AH28" s="1872">
        <v>2017</v>
      </c>
      <c r="AI28" s="1918" t="s">
        <v>21</v>
      </c>
      <c r="AJ28" s="1908" t="s">
        <v>88</v>
      </c>
      <c r="AK28" s="1908" t="s">
        <v>86</v>
      </c>
      <c r="AL28" s="1908" t="s">
        <v>21</v>
      </c>
      <c r="AM28" s="1872"/>
      <c r="AN28" s="1919" t="s">
        <v>608</v>
      </c>
      <c r="AO28" s="1919" t="s">
        <v>654</v>
      </c>
      <c r="AP28" s="1908" t="s">
        <v>570</v>
      </c>
      <c r="AQ28" s="1908"/>
      <c r="AR28" s="1908" t="s">
        <v>571</v>
      </c>
      <c r="AS28" s="1908"/>
      <c r="AT28" s="1852">
        <v>74300000</v>
      </c>
      <c r="AU28" s="1863" t="s">
        <v>62</v>
      </c>
      <c r="AV28" s="1863">
        <f>BB[[#This Row],[NILAI PINJAMAN KONFIRMASI BILA-MULTI]]</f>
        <v>74300000</v>
      </c>
      <c r="AW28" s="3130" t="s">
        <v>658</v>
      </c>
      <c r="AX28" s="1863" t="s">
        <v>619</v>
      </c>
      <c r="AY28" s="3144" t="s">
        <v>577</v>
      </c>
      <c r="AZ28" s="1979" t="s">
        <v>659</v>
      </c>
      <c r="BA28" s="1994" t="s">
        <v>660</v>
      </c>
      <c r="BB28" s="1964"/>
    </row>
    <row r="29" spans="1:57" s="2505" customFormat="1" ht="20.100000000000001" customHeight="1">
      <c r="A29" s="2539">
        <v>26</v>
      </c>
      <c r="B29" s="2540"/>
      <c r="C29" s="2540"/>
      <c r="D29" s="2541" t="s">
        <v>17</v>
      </c>
      <c r="E29" s="2540">
        <v>1</v>
      </c>
      <c r="F29" s="2541" t="s">
        <v>19</v>
      </c>
      <c r="G29" s="1771" t="s">
        <v>646</v>
      </c>
      <c r="H29" s="2541" t="s">
        <v>74</v>
      </c>
      <c r="I29" s="2540" t="s">
        <v>72</v>
      </c>
      <c r="J29" s="2541" t="s">
        <v>73</v>
      </c>
      <c r="K29" s="2540">
        <v>3</v>
      </c>
      <c r="L29" s="2541" t="s">
        <v>661</v>
      </c>
      <c r="M29" s="2540">
        <v>1</v>
      </c>
      <c r="N29" s="2540">
        <v>1</v>
      </c>
      <c r="O29" s="2540">
        <v>2</v>
      </c>
      <c r="P29" s="2568">
        <v>1</v>
      </c>
      <c r="Q29" s="2540">
        <v>1</v>
      </c>
      <c r="R29" s="2540">
        <v>1</v>
      </c>
      <c r="S29" s="2540">
        <v>23</v>
      </c>
      <c r="T29" s="1852">
        <v>106200000</v>
      </c>
      <c r="U29" s="1852">
        <v>106200000</v>
      </c>
      <c r="V29" s="1852">
        <v>5310000</v>
      </c>
      <c r="W29" s="1852">
        <v>0</v>
      </c>
      <c r="X29" s="1852">
        <f>+BB[[#This Row],[NILAI PINJAMAN DALAM BB]]+BB[[#This Row],[PENDAMPING BB]]+BB[[#This Row],[HIBAH BB]]</f>
        <v>111510000</v>
      </c>
      <c r="Y29" s="1863" t="s">
        <v>91</v>
      </c>
      <c r="Z29" s="1863" t="s">
        <v>565</v>
      </c>
      <c r="AA29" s="1852">
        <v>106200000</v>
      </c>
      <c r="AB29" s="1872"/>
      <c r="AC29" s="1852"/>
      <c r="AD29" s="1873"/>
      <c r="AE29" s="1852"/>
      <c r="AF29" s="1873"/>
      <c r="AG29" s="1852">
        <f>106200000-AA29</f>
        <v>0</v>
      </c>
      <c r="AH29" s="1872">
        <v>2017</v>
      </c>
      <c r="AI29" s="1918" t="s">
        <v>21</v>
      </c>
      <c r="AJ29" s="1908" t="s">
        <v>88</v>
      </c>
      <c r="AK29" s="1908" t="s">
        <v>86</v>
      </c>
      <c r="AL29" s="1908" t="s">
        <v>21</v>
      </c>
      <c r="AM29" s="1872"/>
      <c r="AN29" s="1919" t="s">
        <v>608</v>
      </c>
      <c r="AO29" s="1919" t="s">
        <v>654</v>
      </c>
      <c r="AP29" s="1908" t="s">
        <v>570</v>
      </c>
      <c r="AQ29" s="1908"/>
      <c r="AR29" s="1908" t="s">
        <v>571</v>
      </c>
      <c r="AS29" s="1908"/>
      <c r="AT29" s="1852">
        <v>106200000</v>
      </c>
      <c r="AU29" s="1863" t="s">
        <v>91</v>
      </c>
      <c r="AV29" s="1863">
        <f>BB[[#This Row],[NILAI PINJAMAN KONFIRMASI BILA-MULTI]]</f>
        <v>106200000</v>
      </c>
      <c r="AW29" s="1908" t="s">
        <v>21</v>
      </c>
      <c r="AX29" s="1863" t="s">
        <v>565</v>
      </c>
      <c r="AY29" s="3144" t="s">
        <v>577</v>
      </c>
      <c r="AZ29" s="1851"/>
      <c r="BA29" s="3145" t="s">
        <v>662</v>
      </c>
      <c r="BB29" s="1964"/>
    </row>
    <row r="30" spans="1:57" s="2508" customFormat="1" ht="20.100000000000001" customHeight="1">
      <c r="A30" s="2551">
        <v>27</v>
      </c>
      <c r="B30" s="2552"/>
      <c r="C30" s="2552"/>
      <c r="D30" s="2553" t="s">
        <v>17</v>
      </c>
      <c r="E30" s="2552">
        <v>1</v>
      </c>
      <c r="F30" s="2553" t="s">
        <v>19</v>
      </c>
      <c r="G30" s="1805" t="s">
        <v>646</v>
      </c>
      <c r="H30" s="2553" t="s">
        <v>74</v>
      </c>
      <c r="I30" s="2552" t="s">
        <v>72</v>
      </c>
      <c r="J30" s="2553" t="s">
        <v>73</v>
      </c>
      <c r="K30" s="2552">
        <v>3</v>
      </c>
      <c r="L30" s="2553" t="s">
        <v>663</v>
      </c>
      <c r="M30" s="2552">
        <v>1</v>
      </c>
      <c r="N30" s="2552">
        <v>1</v>
      </c>
      <c r="O30" s="2552">
        <v>2</v>
      </c>
      <c r="P30" s="2575">
        <v>1</v>
      </c>
      <c r="Q30" s="2552">
        <v>1</v>
      </c>
      <c r="R30" s="2552">
        <v>1</v>
      </c>
      <c r="S30" s="2552">
        <v>24</v>
      </c>
      <c r="T30" s="1857">
        <v>167000000</v>
      </c>
      <c r="U30" s="1857">
        <v>140620000</v>
      </c>
      <c r="V30" s="1857">
        <v>8350000</v>
      </c>
      <c r="W30" s="1857">
        <v>0</v>
      </c>
      <c r="X30" s="1857">
        <f>+BB[[#This Row],[NILAI PINJAMAN DALAM BB]]+BB[[#This Row],[PENDAMPING BB]]+BB[[#This Row],[HIBAH BB]]</f>
        <v>175350000</v>
      </c>
      <c r="Y30" s="1894" t="s">
        <v>657</v>
      </c>
      <c r="Z30" s="1894" t="s">
        <v>602</v>
      </c>
      <c r="AA30" s="1857">
        <v>140620000</v>
      </c>
      <c r="AB30" s="1884"/>
      <c r="AC30" s="1857"/>
      <c r="AD30" s="1885"/>
      <c r="AE30" s="1857"/>
      <c r="AF30" s="1885"/>
      <c r="AG30" s="1857">
        <v>0</v>
      </c>
      <c r="AH30" s="1884">
        <v>2017</v>
      </c>
      <c r="AI30" s="1920" t="s">
        <v>21</v>
      </c>
      <c r="AJ30" s="1915" t="s">
        <v>21</v>
      </c>
      <c r="AK30" s="1915" t="s">
        <v>21</v>
      </c>
      <c r="AL30" s="1915" t="s">
        <v>21</v>
      </c>
      <c r="AM30" s="1884"/>
      <c r="AN30" s="1907" t="s">
        <v>603</v>
      </c>
      <c r="AO30" s="1907" t="s">
        <v>603</v>
      </c>
      <c r="AP30" s="1915" t="s">
        <v>570</v>
      </c>
      <c r="AQ30" s="1915"/>
      <c r="AR30" s="3139" t="s">
        <v>664</v>
      </c>
      <c r="AS30" s="1940"/>
      <c r="AT30" s="1857">
        <v>140620000</v>
      </c>
      <c r="AU30" s="1945" t="s">
        <v>633</v>
      </c>
      <c r="AV30" s="1945">
        <f>BB[[#This Row],[NILAI PINJAMAN KONFIRMASI BILA-MULTI]]</f>
        <v>140620000</v>
      </c>
      <c r="AW30" s="3139" t="s">
        <v>665</v>
      </c>
      <c r="AX30" s="1894" t="s">
        <v>633</v>
      </c>
      <c r="AY30" s="3140" t="s">
        <v>577</v>
      </c>
      <c r="AZ30" s="85"/>
      <c r="BA30" s="3146" t="s">
        <v>666</v>
      </c>
      <c r="BB30" s="1978"/>
    </row>
    <row r="31" spans="1:57" s="2505" customFormat="1" ht="20.100000000000001" customHeight="1">
      <c r="A31" s="2539">
        <v>28</v>
      </c>
      <c r="B31" s="2540"/>
      <c r="C31" s="2540"/>
      <c r="D31" s="2541" t="s">
        <v>17</v>
      </c>
      <c r="E31" s="2540">
        <v>1</v>
      </c>
      <c r="F31" s="2541" t="s">
        <v>19</v>
      </c>
      <c r="G31" s="1806" t="s">
        <v>646</v>
      </c>
      <c r="H31" s="2541" t="s">
        <v>74</v>
      </c>
      <c r="I31" s="2540" t="s">
        <v>72</v>
      </c>
      <c r="J31" s="2541" t="s">
        <v>73</v>
      </c>
      <c r="K31" s="2540">
        <v>3</v>
      </c>
      <c r="L31" s="2541" t="s">
        <v>667</v>
      </c>
      <c r="M31" s="2540">
        <v>1</v>
      </c>
      <c r="N31" s="2540">
        <v>1</v>
      </c>
      <c r="O31" s="2540">
        <v>2</v>
      </c>
      <c r="P31" s="2568">
        <v>1</v>
      </c>
      <c r="Q31" s="2540">
        <v>1</v>
      </c>
      <c r="R31" s="2540">
        <v>1</v>
      </c>
      <c r="S31" s="2540">
        <v>25</v>
      </c>
      <c r="T31" s="1852">
        <v>95380000</v>
      </c>
      <c r="U31" s="1852">
        <v>95380000</v>
      </c>
      <c r="V31" s="1852">
        <v>4769000</v>
      </c>
      <c r="W31" s="1852">
        <v>0</v>
      </c>
      <c r="X31" s="1852">
        <f>+BB[[#This Row],[NILAI PINJAMAN DALAM BB]]+BB[[#This Row],[PENDAMPING BB]]+BB[[#This Row],[HIBAH BB]]</f>
        <v>100149000</v>
      </c>
      <c r="Y31" s="1895" t="s">
        <v>657</v>
      </c>
      <c r="Z31" s="1895" t="s">
        <v>602</v>
      </c>
      <c r="AA31" s="1852">
        <f>95380000</f>
        <v>95380000</v>
      </c>
      <c r="AB31" s="1872"/>
      <c r="AC31" s="1852"/>
      <c r="AD31" s="1873"/>
      <c r="AE31" s="1852"/>
      <c r="AF31" s="1873"/>
      <c r="AG31" s="1852">
        <f>BB[[#This Row],[NILAI PINJAMAN DALAM BB]]-BB[[#This Row],[NILAI PINJAMAN PER LENDER]]</f>
        <v>0</v>
      </c>
      <c r="AH31" s="1872">
        <v>2017</v>
      </c>
      <c r="AI31" s="1908" t="s">
        <v>95</v>
      </c>
      <c r="AJ31" s="1908" t="s">
        <v>21</v>
      </c>
      <c r="AK31" s="1918" t="s">
        <v>21</v>
      </c>
      <c r="AL31" s="1908" t="s">
        <v>21</v>
      </c>
      <c r="AM31" s="1872"/>
      <c r="AN31" s="1907" t="s">
        <v>603</v>
      </c>
      <c r="AO31" s="1907" t="s">
        <v>603</v>
      </c>
      <c r="AP31" s="1908" t="s">
        <v>570</v>
      </c>
      <c r="AQ31" s="1908"/>
      <c r="AR31" s="1908" t="s">
        <v>571</v>
      </c>
      <c r="AS31" s="1908"/>
      <c r="AT31" s="1852">
        <f>95380000</f>
        <v>95380000</v>
      </c>
      <c r="AU31" s="1899" t="s">
        <v>633</v>
      </c>
      <c r="AV31" s="1899">
        <f>BB[[#This Row],[NILAI PINJAMAN KONFIRMASI BILA-MULTI]]</f>
        <v>95380000</v>
      </c>
      <c r="AW31" s="3130" t="s">
        <v>668</v>
      </c>
      <c r="AX31" s="1895" t="s">
        <v>633</v>
      </c>
      <c r="AY31" s="3144" t="s">
        <v>577</v>
      </c>
      <c r="AZ31" s="1851"/>
      <c r="BA31" s="3145" t="s">
        <v>669</v>
      </c>
      <c r="BB31" s="1964"/>
    </row>
    <row r="32" spans="1:57" s="2505" customFormat="1" ht="20.100000000000001" customHeight="1">
      <c r="A32" s="2539">
        <v>29</v>
      </c>
      <c r="B32" s="2540"/>
      <c r="C32" s="2540"/>
      <c r="D32" s="2541" t="s">
        <v>17</v>
      </c>
      <c r="E32" s="2540">
        <v>1</v>
      </c>
      <c r="F32" s="2541" t="s">
        <v>19</v>
      </c>
      <c r="G32" s="1806" t="s">
        <v>646</v>
      </c>
      <c r="H32" s="2541" t="s">
        <v>74</v>
      </c>
      <c r="I32" s="2540" t="s">
        <v>72</v>
      </c>
      <c r="J32" s="2541" t="s">
        <v>73</v>
      </c>
      <c r="K32" s="2540">
        <v>3</v>
      </c>
      <c r="L32" s="2541" t="s">
        <v>670</v>
      </c>
      <c r="M32" s="2540">
        <v>1</v>
      </c>
      <c r="N32" s="2540">
        <v>1</v>
      </c>
      <c r="O32" s="2540">
        <v>2</v>
      </c>
      <c r="P32" s="2568">
        <v>1</v>
      </c>
      <c r="Q32" s="2540">
        <v>1</v>
      </c>
      <c r="R32" s="2540">
        <v>1</v>
      </c>
      <c r="S32" s="2540">
        <v>26</v>
      </c>
      <c r="T32" s="1852">
        <v>33400000</v>
      </c>
      <c r="U32" s="1852">
        <v>33400000</v>
      </c>
      <c r="V32" s="1852">
        <v>1670000</v>
      </c>
      <c r="W32" s="1852">
        <v>0</v>
      </c>
      <c r="X32" s="1852">
        <f>+BB[[#This Row],[NILAI PINJAMAN DALAM BB]]+BB[[#This Row],[PENDAMPING BB]]+BB[[#This Row],[HIBAH BB]]</f>
        <v>35070000</v>
      </c>
      <c r="Y32" s="1863" t="s">
        <v>657</v>
      </c>
      <c r="Z32" s="1895" t="s">
        <v>602</v>
      </c>
      <c r="AA32" s="1852">
        <v>33400000</v>
      </c>
      <c r="AB32" s="1872"/>
      <c r="AC32" s="1852"/>
      <c r="AD32" s="1873"/>
      <c r="AE32" s="1852"/>
      <c r="AF32" s="1873"/>
      <c r="AG32" s="1852">
        <f>AA32-33400000</f>
        <v>0</v>
      </c>
      <c r="AH32" s="1872">
        <v>2017</v>
      </c>
      <c r="AI32" s="1908" t="s">
        <v>21</v>
      </c>
      <c r="AJ32" s="1908" t="s">
        <v>97</v>
      </c>
      <c r="AK32" s="1908" t="s">
        <v>98</v>
      </c>
      <c r="AL32" s="1908" t="s">
        <v>21</v>
      </c>
      <c r="AM32" s="1872"/>
      <c r="AN32" s="1910" t="s">
        <v>568</v>
      </c>
      <c r="AO32" s="1910" t="s">
        <v>568</v>
      </c>
      <c r="AP32" s="1908" t="s">
        <v>570</v>
      </c>
      <c r="AQ32" s="1908"/>
      <c r="AR32" s="1908" t="s">
        <v>571</v>
      </c>
      <c r="AS32" s="1908"/>
      <c r="AT32" s="1852">
        <v>33400000</v>
      </c>
      <c r="AU32" s="1899" t="s">
        <v>633</v>
      </c>
      <c r="AV32" s="1899">
        <f>BB[[#This Row],[NILAI PINJAMAN KONFIRMASI BILA-MULTI]]</f>
        <v>33400000</v>
      </c>
      <c r="AW32" s="3130" t="s">
        <v>671</v>
      </c>
      <c r="AX32" s="1895" t="s">
        <v>633</v>
      </c>
      <c r="AY32" s="3144" t="s">
        <v>577</v>
      </c>
      <c r="AZ32" s="1979" t="s">
        <v>672</v>
      </c>
      <c r="BA32" s="3147" t="s">
        <v>673</v>
      </c>
      <c r="BB32" s="1964"/>
    </row>
    <row r="33" spans="1:55" s="2505" customFormat="1" ht="20.100000000000001" customHeight="1">
      <c r="A33" s="2539">
        <v>30</v>
      </c>
      <c r="B33" s="2540"/>
      <c r="C33" s="2540"/>
      <c r="D33" s="2541" t="s">
        <v>17</v>
      </c>
      <c r="E33" s="2540">
        <v>1</v>
      </c>
      <c r="F33" s="2541" t="s">
        <v>19</v>
      </c>
      <c r="G33" s="1771" t="s">
        <v>646</v>
      </c>
      <c r="H33" s="2541" t="s">
        <v>74</v>
      </c>
      <c r="I33" s="2540" t="s">
        <v>72</v>
      </c>
      <c r="J33" s="2541" t="s">
        <v>73</v>
      </c>
      <c r="K33" s="2540">
        <v>3</v>
      </c>
      <c r="L33" s="2541" t="s">
        <v>674</v>
      </c>
      <c r="M33" s="2540">
        <v>1</v>
      </c>
      <c r="N33" s="2540">
        <v>1</v>
      </c>
      <c r="O33" s="2540">
        <v>2</v>
      </c>
      <c r="P33" s="2568">
        <v>1</v>
      </c>
      <c r="Q33" s="2540">
        <v>1</v>
      </c>
      <c r="R33" s="2540">
        <v>1</v>
      </c>
      <c r="S33" s="2540">
        <v>27</v>
      </c>
      <c r="T33" s="1852">
        <v>40000000</v>
      </c>
      <c r="U33" s="1852">
        <v>40000000</v>
      </c>
      <c r="V33" s="1852">
        <v>2000000</v>
      </c>
      <c r="W33" s="1852">
        <v>0</v>
      </c>
      <c r="X33" s="1852">
        <f>+BB[[#This Row],[NILAI PINJAMAN DALAM BB]]+BB[[#This Row],[PENDAMPING BB]]+BB[[#This Row],[HIBAH BB]]</f>
        <v>42000000</v>
      </c>
      <c r="Y33" s="1863" t="s">
        <v>28</v>
      </c>
      <c r="Z33" s="1863" t="s">
        <v>565</v>
      </c>
      <c r="AA33" s="1852">
        <v>40000000</v>
      </c>
      <c r="AB33" s="1872"/>
      <c r="AC33" s="1852"/>
      <c r="AD33" s="1873"/>
      <c r="AE33" s="1852"/>
      <c r="AF33" s="1873"/>
      <c r="AG33" s="1852">
        <f>+AA33-40000000</f>
        <v>0</v>
      </c>
      <c r="AH33" s="1872">
        <v>2017</v>
      </c>
      <c r="AI33" s="1908" t="s">
        <v>21</v>
      </c>
      <c r="AJ33" s="1908" t="s">
        <v>60</v>
      </c>
      <c r="AK33" s="1908" t="s">
        <v>86</v>
      </c>
      <c r="AL33" s="1908" t="s">
        <v>21</v>
      </c>
      <c r="AM33" s="1872"/>
      <c r="AN33" s="1919" t="s">
        <v>675</v>
      </c>
      <c r="AO33" s="1919" t="s">
        <v>654</v>
      </c>
      <c r="AP33" s="1908" t="s">
        <v>570</v>
      </c>
      <c r="AQ33" s="1908"/>
      <c r="AR33" s="1908" t="s">
        <v>571</v>
      </c>
      <c r="AS33" s="1908"/>
      <c r="AT33" s="1852">
        <v>40000000</v>
      </c>
      <c r="AU33" s="1863" t="s">
        <v>28</v>
      </c>
      <c r="AV33" s="1863">
        <f>BB[[#This Row],[NILAI PINJAMAN KONFIRMASI BILA-MULTI]]</f>
        <v>40000000</v>
      </c>
      <c r="AW33" s="1908" t="s">
        <v>676</v>
      </c>
      <c r="AX33" s="1863" t="s">
        <v>565</v>
      </c>
      <c r="AY33" s="3144" t="s">
        <v>577</v>
      </c>
      <c r="AZ33" s="1851"/>
      <c r="BA33" s="1994" t="s">
        <v>677</v>
      </c>
      <c r="BB33" s="1964"/>
    </row>
    <row r="34" spans="1:55" s="2505" customFormat="1" ht="20.100000000000001" customHeight="1">
      <c r="A34" s="2539">
        <v>31</v>
      </c>
      <c r="B34" s="2540"/>
      <c r="C34" s="2540"/>
      <c r="D34" s="2541" t="s">
        <v>17</v>
      </c>
      <c r="E34" s="2540">
        <v>1</v>
      </c>
      <c r="F34" s="2541" t="s">
        <v>19</v>
      </c>
      <c r="G34" s="1771" t="s">
        <v>646</v>
      </c>
      <c r="H34" s="2541" t="s">
        <v>74</v>
      </c>
      <c r="I34" s="2540" t="s">
        <v>72</v>
      </c>
      <c r="J34" s="2541" t="s">
        <v>73</v>
      </c>
      <c r="K34" s="2540">
        <v>3</v>
      </c>
      <c r="L34" s="2541" t="s">
        <v>678</v>
      </c>
      <c r="M34" s="2540">
        <v>1</v>
      </c>
      <c r="N34" s="2540">
        <v>1</v>
      </c>
      <c r="O34" s="2540">
        <v>2</v>
      </c>
      <c r="P34" s="2568">
        <v>1</v>
      </c>
      <c r="Q34" s="2540">
        <v>1</v>
      </c>
      <c r="R34" s="2540">
        <v>1</v>
      </c>
      <c r="S34" s="2540">
        <v>28</v>
      </c>
      <c r="T34" s="1852">
        <v>56400000</v>
      </c>
      <c r="U34" s="1852">
        <v>56400000</v>
      </c>
      <c r="V34" s="1852">
        <v>2820000</v>
      </c>
      <c r="W34" s="1852">
        <v>0</v>
      </c>
      <c r="X34" s="1852">
        <f>+BB[[#This Row],[NILAI PINJAMAN DALAM BB]]+BB[[#This Row],[PENDAMPING BB]]+BB[[#This Row],[HIBAH BB]]</f>
        <v>59220000</v>
      </c>
      <c r="Y34" s="1863" t="s">
        <v>91</v>
      </c>
      <c r="Z34" s="1863" t="s">
        <v>565</v>
      </c>
      <c r="AA34" s="1852">
        <v>56400000</v>
      </c>
      <c r="AB34" s="1872"/>
      <c r="AC34" s="1852"/>
      <c r="AD34" s="1873"/>
      <c r="AE34" s="1852"/>
      <c r="AF34" s="1873"/>
      <c r="AG34" s="1852">
        <f>+AA34-56400000</f>
        <v>0</v>
      </c>
      <c r="AH34" s="1872">
        <v>2017</v>
      </c>
      <c r="AI34" s="1908" t="s">
        <v>21</v>
      </c>
      <c r="AJ34" s="1908" t="s">
        <v>33</v>
      </c>
      <c r="AK34" s="1908" t="s">
        <v>86</v>
      </c>
      <c r="AL34" s="1908" t="s">
        <v>21</v>
      </c>
      <c r="AM34" s="1872"/>
      <c r="AN34" s="1919" t="s">
        <v>614</v>
      </c>
      <c r="AO34" s="1919" t="s">
        <v>654</v>
      </c>
      <c r="AP34" s="1908" t="s">
        <v>570</v>
      </c>
      <c r="AQ34" s="1908"/>
      <c r="AR34" s="1908" t="s">
        <v>571</v>
      </c>
      <c r="AS34" s="1908"/>
      <c r="AT34" s="1852">
        <v>56400000</v>
      </c>
      <c r="AU34" s="1863" t="s">
        <v>91</v>
      </c>
      <c r="AV34" s="1863">
        <f>BB[[#This Row],[NILAI PINJAMAN KONFIRMASI BILA-MULTI]]</f>
        <v>56400000</v>
      </c>
      <c r="AW34" s="1908" t="s">
        <v>21</v>
      </c>
      <c r="AX34" s="1863" t="s">
        <v>565</v>
      </c>
      <c r="AY34" s="3144" t="s">
        <v>577</v>
      </c>
      <c r="AZ34" s="1851"/>
      <c r="BA34" s="1992" t="s">
        <v>679</v>
      </c>
      <c r="BB34" s="1964"/>
    </row>
    <row r="35" spans="1:55" s="2506" customFormat="1" ht="20.100000000000001" customHeight="1">
      <c r="A35" s="2542">
        <v>32</v>
      </c>
      <c r="B35" s="2543"/>
      <c r="C35" s="2543"/>
      <c r="D35" s="2544" t="s">
        <v>17</v>
      </c>
      <c r="E35" s="2543">
        <v>1</v>
      </c>
      <c r="F35" s="2544" t="s">
        <v>19</v>
      </c>
      <c r="G35" s="1778" t="s">
        <v>646</v>
      </c>
      <c r="H35" s="2544" t="s">
        <v>74</v>
      </c>
      <c r="I35" s="2543" t="s">
        <v>72</v>
      </c>
      <c r="J35" s="2544" t="s">
        <v>73</v>
      </c>
      <c r="K35" s="2543">
        <v>4</v>
      </c>
      <c r="L35" s="2544" t="s">
        <v>103</v>
      </c>
      <c r="M35" s="2543">
        <v>0</v>
      </c>
      <c r="N35" s="2543">
        <v>0</v>
      </c>
      <c r="O35" s="2543">
        <v>1</v>
      </c>
      <c r="P35" s="2570">
        <v>0</v>
      </c>
      <c r="Q35" s="2543">
        <v>0</v>
      </c>
      <c r="R35" s="2543">
        <v>0</v>
      </c>
      <c r="S35" s="2543"/>
      <c r="T35" s="1854">
        <f>SUM(T36:T37)</f>
        <v>125000000</v>
      </c>
      <c r="U35" s="1854">
        <f>SUM(U36:U37)</f>
        <v>125000000</v>
      </c>
      <c r="V35" s="1854">
        <f>SUM(V36:V37)</f>
        <v>5800000</v>
      </c>
      <c r="W35" s="1854">
        <f>SUM(W36:W37)</f>
        <v>0</v>
      </c>
      <c r="X35" s="1854">
        <f>SUM(X36:X37)</f>
        <v>130800000</v>
      </c>
      <c r="Y35" s="1862" t="s">
        <v>21</v>
      </c>
      <c r="Z35" s="1862"/>
      <c r="AA35" s="1854">
        <f>SUM(AA36:AA37)</f>
        <v>125000000</v>
      </c>
      <c r="AB35" s="1874"/>
      <c r="AC35" s="1854"/>
      <c r="AD35" s="1875"/>
      <c r="AE35" s="1854"/>
      <c r="AF35" s="1875"/>
      <c r="AG35" s="1854">
        <f>SUM(AG36:AG39)</f>
        <v>0</v>
      </c>
      <c r="AH35" s="1874" t="s">
        <v>21</v>
      </c>
      <c r="AI35" s="1778" t="s">
        <v>21</v>
      </c>
      <c r="AJ35" s="1778" t="s">
        <v>21</v>
      </c>
      <c r="AK35" s="1778" t="s">
        <v>21</v>
      </c>
      <c r="AL35" s="1778" t="s">
        <v>21</v>
      </c>
      <c r="AM35" s="1874"/>
      <c r="AN35" s="1907" t="s">
        <v>21</v>
      </c>
      <c r="AO35" s="1907" t="s">
        <v>21</v>
      </c>
      <c r="AP35" s="1778"/>
      <c r="AQ35" s="1778"/>
      <c r="AR35" s="1778" t="s">
        <v>21</v>
      </c>
      <c r="AS35" s="1778"/>
      <c r="AT35" s="1854">
        <f>SUM(AT36:AT37)</f>
        <v>125000000</v>
      </c>
      <c r="AU35" s="1862" t="s">
        <v>21</v>
      </c>
      <c r="AV35" s="1862"/>
      <c r="AW35" s="1778" t="s">
        <v>21</v>
      </c>
      <c r="AX35" s="1862"/>
      <c r="AY35" s="3148" t="s">
        <v>577</v>
      </c>
      <c r="AZ35" s="1853"/>
      <c r="BA35" s="1998" t="s">
        <v>680</v>
      </c>
      <c r="BB35" s="1967"/>
    </row>
    <row r="36" spans="1:55" s="2511" customFormat="1" ht="20.100000000000001" customHeight="1">
      <c r="A36" s="2545">
        <v>33</v>
      </c>
      <c r="B36" s="2546"/>
      <c r="C36" s="2546"/>
      <c r="D36" s="2547" t="s">
        <v>17</v>
      </c>
      <c r="E36" s="2546">
        <v>1</v>
      </c>
      <c r="F36" s="2547" t="s">
        <v>19</v>
      </c>
      <c r="G36" s="1788" t="s">
        <v>646</v>
      </c>
      <c r="H36" s="2547" t="s">
        <v>74</v>
      </c>
      <c r="I36" s="2546" t="s">
        <v>72</v>
      </c>
      <c r="J36" s="2547" t="s">
        <v>73</v>
      </c>
      <c r="K36" s="2546">
        <v>4</v>
      </c>
      <c r="L36" s="2547" t="s">
        <v>681</v>
      </c>
      <c r="M36" s="2546">
        <v>1</v>
      </c>
      <c r="N36" s="2546">
        <v>1</v>
      </c>
      <c r="O36" s="2546">
        <v>2</v>
      </c>
      <c r="P36" s="2572">
        <v>1</v>
      </c>
      <c r="Q36" s="2546">
        <v>1</v>
      </c>
      <c r="R36" s="2546">
        <v>1</v>
      </c>
      <c r="S36" s="2546">
        <v>29</v>
      </c>
      <c r="T36" s="1855">
        <v>25000000</v>
      </c>
      <c r="U36" s="1855">
        <v>25000000</v>
      </c>
      <c r="V36" s="1855">
        <v>800000</v>
      </c>
      <c r="W36" s="1855">
        <v>0</v>
      </c>
      <c r="X36" s="1855">
        <f>+BB[[#This Row],[NILAI PINJAMAN DALAM BB]]+BB[[#This Row],[PENDAMPING BB]]+BB[[#This Row],[HIBAH BB]]</f>
        <v>25800000</v>
      </c>
      <c r="Y36" s="1876" t="s">
        <v>105</v>
      </c>
      <c r="Z36" s="1876" t="s">
        <v>565</v>
      </c>
      <c r="AA36" s="1855">
        <v>25000000</v>
      </c>
      <c r="AB36" s="1877">
        <v>1</v>
      </c>
      <c r="AC36" s="1855">
        <v>25000000</v>
      </c>
      <c r="AD36" s="1878"/>
      <c r="AE36" s="1855"/>
      <c r="AF36" s="1878"/>
      <c r="AG36" s="1855">
        <f>25000000-BB[[#This Row],[NILAI PINJAMAN PER LENDER]]</f>
        <v>0</v>
      </c>
      <c r="AH36" s="1877">
        <v>2016</v>
      </c>
      <c r="AI36" s="3132" t="s">
        <v>682</v>
      </c>
      <c r="AJ36" s="1912" t="s">
        <v>60</v>
      </c>
      <c r="AK36" s="1912" t="s">
        <v>21</v>
      </c>
      <c r="AL36" s="1912" t="s">
        <v>21</v>
      </c>
      <c r="AM36" s="1877" t="s">
        <v>581</v>
      </c>
      <c r="AN36" s="1910" t="s">
        <v>568</v>
      </c>
      <c r="AO36" s="1919" t="s">
        <v>654</v>
      </c>
      <c r="AP36" s="1912" t="s">
        <v>570</v>
      </c>
      <c r="AQ36" s="1912"/>
      <c r="AR36" s="1911" t="s">
        <v>683</v>
      </c>
      <c r="AS36" s="1911" t="s">
        <v>623</v>
      </c>
      <c r="AT36" s="1855">
        <v>25000000</v>
      </c>
      <c r="AU36" s="1876" t="s">
        <v>105</v>
      </c>
      <c r="AV36" s="1876">
        <f>BB[[#This Row],[NILAI PINJAMAN KONFIRMASI BILA-MULTI]]</f>
        <v>25000000</v>
      </c>
      <c r="AW36" s="1912" t="s">
        <v>21</v>
      </c>
      <c r="AX36" s="1876" t="s">
        <v>565</v>
      </c>
      <c r="AY36" s="3133" t="s">
        <v>577</v>
      </c>
      <c r="AZ36" s="1970"/>
      <c r="BA36" s="2000" t="s">
        <v>684</v>
      </c>
      <c r="BB36" s="1971"/>
      <c r="BC36" s="2507"/>
    </row>
    <row r="37" spans="1:55" s="2506" customFormat="1" ht="20.100000000000001" customHeight="1">
      <c r="A37" s="2542"/>
      <c r="B37" s="2543"/>
      <c r="C37" s="2543"/>
      <c r="D37" s="2544" t="s">
        <v>17</v>
      </c>
      <c r="E37" s="2543">
        <v>1</v>
      </c>
      <c r="F37" s="2544" t="s">
        <v>19</v>
      </c>
      <c r="G37" s="1778" t="s">
        <v>646</v>
      </c>
      <c r="H37" s="2544" t="s">
        <v>74</v>
      </c>
      <c r="I37" s="2543" t="s">
        <v>72</v>
      </c>
      <c r="J37" s="2544" t="s">
        <v>73</v>
      </c>
      <c r="K37" s="2543">
        <v>4</v>
      </c>
      <c r="L37" s="2569" t="s">
        <v>685</v>
      </c>
      <c r="M37" s="2543">
        <v>0</v>
      </c>
      <c r="N37" s="2543">
        <v>1</v>
      </c>
      <c r="O37" s="2543">
        <v>1</v>
      </c>
      <c r="P37" s="2570">
        <v>0</v>
      </c>
      <c r="Q37" s="2543">
        <v>0</v>
      </c>
      <c r="R37" s="2543">
        <v>1</v>
      </c>
      <c r="S37" s="2543">
        <v>30</v>
      </c>
      <c r="T37" s="1862">
        <v>100000000</v>
      </c>
      <c r="U37" s="1862">
        <v>100000000</v>
      </c>
      <c r="V37" s="1862">
        <v>5000000</v>
      </c>
      <c r="W37" s="1862">
        <v>0</v>
      </c>
      <c r="X37" s="1854">
        <f>+BB[[#This Row],[NILAI PINJAMAN DALAM BB]]+BB[[#This Row],[PENDAMPING BB]]+BB[[#This Row],[HIBAH BB]]</f>
        <v>105000000</v>
      </c>
      <c r="Y37" s="1862" t="s">
        <v>21</v>
      </c>
      <c r="Z37" s="1862"/>
      <c r="AA37" s="1854">
        <f>SUM(AA38:AA39)</f>
        <v>100000000</v>
      </c>
      <c r="AB37" s="1874"/>
      <c r="AC37" s="1854"/>
      <c r="AD37" s="1875"/>
      <c r="AE37" s="1854"/>
      <c r="AF37" s="1875"/>
      <c r="AG37" s="1854">
        <f>100000000-BB[[#This Row],[NILAI PINJAMAN PER LENDER]]</f>
        <v>0</v>
      </c>
      <c r="AH37" s="1874" t="s">
        <v>21</v>
      </c>
      <c r="AI37" s="1778" t="s">
        <v>21</v>
      </c>
      <c r="AJ37" s="1778" t="s">
        <v>21</v>
      </c>
      <c r="AK37" s="1778" t="s">
        <v>21</v>
      </c>
      <c r="AL37" s="1778" t="s">
        <v>21</v>
      </c>
      <c r="AM37" s="1874" t="s">
        <v>21</v>
      </c>
      <c r="AN37" s="1907" t="s">
        <v>21</v>
      </c>
      <c r="AO37" s="1907" t="s">
        <v>21</v>
      </c>
      <c r="AP37" s="1778" t="s">
        <v>21</v>
      </c>
      <c r="AQ37" s="1778"/>
      <c r="AR37" s="1778" t="s">
        <v>21</v>
      </c>
      <c r="AS37" s="1778"/>
      <c r="AT37" s="1854">
        <f>SUM(AT38:AT39)</f>
        <v>100000000</v>
      </c>
      <c r="AU37" s="1862" t="s">
        <v>21</v>
      </c>
      <c r="AV37" s="1862" t="s">
        <v>21</v>
      </c>
      <c r="AW37" s="1778" t="s">
        <v>21</v>
      </c>
      <c r="AX37" s="1862"/>
      <c r="AY37" s="1778" t="s">
        <v>577</v>
      </c>
      <c r="AZ37" s="3149" t="s">
        <v>21</v>
      </c>
      <c r="BA37" s="3150" t="s">
        <v>21</v>
      </c>
      <c r="BB37" s="1967"/>
    </row>
    <row r="38" spans="1:55" s="2505" customFormat="1" ht="20.100000000000001" customHeight="1">
      <c r="A38" s="2539">
        <v>34</v>
      </c>
      <c r="B38" s="2540"/>
      <c r="C38" s="2540"/>
      <c r="D38" s="2541" t="s">
        <v>17</v>
      </c>
      <c r="E38" s="2540">
        <v>1</v>
      </c>
      <c r="F38" s="2541" t="s">
        <v>19</v>
      </c>
      <c r="G38" s="1771" t="s">
        <v>646</v>
      </c>
      <c r="H38" s="2541" t="s">
        <v>74</v>
      </c>
      <c r="I38" s="2540" t="s">
        <v>72</v>
      </c>
      <c r="J38" s="2541" t="s">
        <v>73</v>
      </c>
      <c r="K38" s="2540">
        <v>4</v>
      </c>
      <c r="L38" s="2567" t="s">
        <v>685</v>
      </c>
      <c r="M38" s="2540">
        <v>0.5</v>
      </c>
      <c r="N38" s="2540">
        <v>0</v>
      </c>
      <c r="O38" s="2540">
        <v>2</v>
      </c>
      <c r="P38" s="2568">
        <v>0.5</v>
      </c>
      <c r="Q38" s="2540">
        <v>0.5</v>
      </c>
      <c r="R38" s="2540">
        <v>0</v>
      </c>
      <c r="S38" s="2540"/>
      <c r="T38" s="1863">
        <v>0</v>
      </c>
      <c r="U38" s="1863">
        <v>100000000</v>
      </c>
      <c r="V38" s="1863"/>
      <c r="W38" s="1863">
        <v>0</v>
      </c>
      <c r="X38" s="1852">
        <f>+BB[[#This Row],[NILAI PINJAMAN DALAM BB]]+BB[[#This Row],[PENDAMPING BB]]+BB[[#This Row],[HIBAH BB]]</f>
        <v>0</v>
      </c>
      <c r="Y38" s="1863" t="s">
        <v>108</v>
      </c>
      <c r="Z38" s="1863" t="s">
        <v>565</v>
      </c>
      <c r="AA38" s="1852">
        <v>50000000</v>
      </c>
      <c r="AB38" s="1872">
        <v>1</v>
      </c>
      <c r="AC38" s="1852">
        <v>50000000</v>
      </c>
      <c r="AD38" s="1873"/>
      <c r="AE38" s="1852"/>
      <c r="AF38" s="1873"/>
      <c r="AG38" s="1852">
        <f>100000000-BB[[#This Row],[NILAI PINJAMAN PER LENDER]]-BB[[#This Row],[NILAI PINJAMAN PER LENDER]]</f>
        <v>0</v>
      </c>
      <c r="AH38" s="1872">
        <v>2016</v>
      </c>
      <c r="AI38" s="3130" t="s">
        <v>580</v>
      </c>
      <c r="AJ38" s="1908" t="s">
        <v>109</v>
      </c>
      <c r="AK38" s="1908" t="s">
        <v>110</v>
      </c>
      <c r="AL38" s="1908" t="s">
        <v>111</v>
      </c>
      <c r="AM38" s="1872" t="s">
        <v>581</v>
      </c>
      <c r="AN38" s="1910" t="s">
        <v>568</v>
      </c>
      <c r="AO38" s="1919" t="s">
        <v>686</v>
      </c>
      <c r="AP38" s="1908" t="s">
        <v>584</v>
      </c>
      <c r="AQ38" s="1908"/>
      <c r="AR38" s="1909" t="s">
        <v>687</v>
      </c>
      <c r="AS38" s="1909" t="s">
        <v>586</v>
      </c>
      <c r="AT38" s="1852">
        <v>50000000</v>
      </c>
      <c r="AU38" s="1863" t="s">
        <v>108</v>
      </c>
      <c r="AV38" s="1863">
        <v>0</v>
      </c>
      <c r="AW38" s="1908" t="s">
        <v>21</v>
      </c>
      <c r="AX38" s="1863" t="s">
        <v>565</v>
      </c>
      <c r="AY38" s="3144" t="s">
        <v>577</v>
      </c>
      <c r="AZ38" s="3151" t="s">
        <v>688</v>
      </c>
      <c r="BA38" s="3145" t="s">
        <v>689</v>
      </c>
      <c r="BB38" s="1964"/>
    </row>
    <row r="39" spans="1:55" s="2505" customFormat="1" ht="20.100000000000001" customHeight="1">
      <c r="A39" s="2539"/>
      <c r="B39" s="2540"/>
      <c r="C39" s="2540"/>
      <c r="D39" s="2541" t="s">
        <v>17</v>
      </c>
      <c r="E39" s="2540">
        <v>1</v>
      </c>
      <c r="F39" s="2541" t="s">
        <v>19</v>
      </c>
      <c r="G39" s="1771" t="s">
        <v>646</v>
      </c>
      <c r="H39" s="2541" t="s">
        <v>74</v>
      </c>
      <c r="I39" s="2540" t="s">
        <v>72</v>
      </c>
      <c r="J39" s="2541" t="s">
        <v>73</v>
      </c>
      <c r="K39" s="2540">
        <v>4</v>
      </c>
      <c r="L39" s="2567" t="s">
        <v>685</v>
      </c>
      <c r="M39" s="2540">
        <v>0.5</v>
      </c>
      <c r="N39" s="2540">
        <v>0</v>
      </c>
      <c r="O39" s="2540">
        <v>2</v>
      </c>
      <c r="P39" s="2568">
        <v>0.5</v>
      </c>
      <c r="Q39" s="2540">
        <v>0.5</v>
      </c>
      <c r="R39" s="2540">
        <v>0</v>
      </c>
      <c r="S39" s="2540"/>
      <c r="T39" s="1863">
        <v>0</v>
      </c>
      <c r="U39" s="1863">
        <v>100000000</v>
      </c>
      <c r="V39" s="1863"/>
      <c r="W39" s="1863">
        <v>0</v>
      </c>
      <c r="X39" s="1852">
        <f>+BB[[#This Row],[NILAI PINJAMAN DALAM BB]]+BB[[#This Row],[PENDAMPING BB]]+BB[[#This Row],[HIBAH BB]]</f>
        <v>0</v>
      </c>
      <c r="Y39" s="1863" t="s">
        <v>58</v>
      </c>
      <c r="Z39" s="1863" t="s">
        <v>619</v>
      </c>
      <c r="AA39" s="1852">
        <v>50000000</v>
      </c>
      <c r="AB39" s="1872"/>
      <c r="AC39" s="1852"/>
      <c r="AD39" s="1873"/>
      <c r="AE39" s="1852"/>
      <c r="AF39" s="1873"/>
      <c r="AG39" s="1852">
        <f>100000000-BB[[#This Row],[NILAI PINJAMAN PER LENDER]]-BB[[#This Row],[NILAI PINJAMAN PER LENDER]]</f>
        <v>0</v>
      </c>
      <c r="AH39" s="1872">
        <v>2017</v>
      </c>
      <c r="AI39" s="3130" t="s">
        <v>21</v>
      </c>
      <c r="AJ39" s="1908" t="s">
        <v>21</v>
      </c>
      <c r="AK39" s="1908" t="s">
        <v>21</v>
      </c>
      <c r="AL39" s="1908" t="s">
        <v>21</v>
      </c>
      <c r="AM39" s="1872"/>
      <c r="AN39" s="1910" t="s">
        <v>568</v>
      </c>
      <c r="AO39" s="1919" t="s">
        <v>686</v>
      </c>
      <c r="AP39" s="1908" t="s">
        <v>570</v>
      </c>
      <c r="AQ39" s="1908"/>
      <c r="AR39" s="1908" t="s">
        <v>571</v>
      </c>
      <c r="AS39" s="1908" t="s">
        <v>690</v>
      </c>
      <c r="AT39" s="1852">
        <v>50000000</v>
      </c>
      <c r="AU39" s="1899" t="s">
        <v>633</v>
      </c>
      <c r="AV39" s="1899">
        <v>50000000</v>
      </c>
      <c r="AW39" s="3130" t="s">
        <v>691</v>
      </c>
      <c r="AX39" s="1899" t="s">
        <v>633</v>
      </c>
      <c r="AY39" s="3144" t="s">
        <v>577</v>
      </c>
      <c r="AZ39" s="2004"/>
      <c r="BA39" s="1994"/>
      <c r="BB39" s="1964"/>
    </row>
    <row r="40" spans="1:55" s="2508" customFormat="1" ht="20.100000000000001" customHeight="1">
      <c r="A40" s="2557"/>
      <c r="B40" s="2558"/>
      <c r="C40" s="2558"/>
      <c r="D40" s="2553" t="s">
        <v>17</v>
      </c>
      <c r="E40" s="2552">
        <v>1</v>
      </c>
      <c r="F40" s="2553" t="s">
        <v>19</v>
      </c>
      <c r="G40" s="1796" t="s">
        <v>646</v>
      </c>
      <c r="H40" s="2553" t="s">
        <v>74</v>
      </c>
      <c r="I40" s="2558" t="s">
        <v>72</v>
      </c>
      <c r="J40" s="2553" t="s">
        <v>73</v>
      </c>
      <c r="K40" s="2552">
        <v>5</v>
      </c>
      <c r="L40" s="2559" t="s">
        <v>692</v>
      </c>
      <c r="M40" s="2558">
        <v>1</v>
      </c>
      <c r="N40" s="2558">
        <v>1</v>
      </c>
      <c r="O40" s="2558">
        <v>0</v>
      </c>
      <c r="P40" s="2579">
        <v>1</v>
      </c>
      <c r="Q40" s="2558">
        <v>0</v>
      </c>
      <c r="R40" s="2558">
        <v>1</v>
      </c>
      <c r="S40" s="2558"/>
      <c r="T40" s="1861">
        <v>0</v>
      </c>
      <c r="U40" s="1861">
        <v>26380000</v>
      </c>
      <c r="V40" s="1861">
        <v>0</v>
      </c>
      <c r="W40" s="1861">
        <v>0</v>
      </c>
      <c r="X40" s="1864">
        <v>0</v>
      </c>
      <c r="Y40" s="1864" t="s">
        <v>117</v>
      </c>
      <c r="Z40" s="128" t="s">
        <v>619</v>
      </c>
      <c r="AA40" s="128">
        <v>26380000</v>
      </c>
      <c r="AB40" s="1884">
        <v>1</v>
      </c>
      <c r="AC40" s="128">
        <v>26380000</v>
      </c>
      <c r="AD40" s="1896"/>
      <c r="AE40" s="128"/>
      <c r="AF40" s="1896"/>
      <c r="AG40" s="1857"/>
      <c r="AH40" s="1884">
        <v>2016</v>
      </c>
      <c r="AI40" s="3152" t="s">
        <v>693</v>
      </c>
      <c r="AJ40" s="1921" t="s">
        <v>21</v>
      </c>
      <c r="AK40" s="1921" t="s">
        <v>21</v>
      </c>
      <c r="AL40" s="1921" t="s">
        <v>21</v>
      </c>
      <c r="AM40" s="1892" t="s">
        <v>694</v>
      </c>
      <c r="AN40" s="1907" t="s">
        <v>568</v>
      </c>
      <c r="AO40" s="1907" t="s">
        <v>645</v>
      </c>
      <c r="AP40" s="1921" t="s">
        <v>570</v>
      </c>
      <c r="AQ40" s="1921"/>
      <c r="AR40" s="1921" t="s">
        <v>21</v>
      </c>
      <c r="AS40" s="1921" t="s">
        <v>586</v>
      </c>
      <c r="AT40" s="128">
        <v>26380000</v>
      </c>
      <c r="AU40" s="1864" t="s">
        <v>117</v>
      </c>
      <c r="AV40" s="1864">
        <f>BB[[#This Row],[NILAI PINJAMAN KONFIRMASI BILA-MULTI]]</f>
        <v>26380000</v>
      </c>
      <c r="AW40" s="1921" t="s">
        <v>21</v>
      </c>
      <c r="AX40" s="128" t="s">
        <v>619</v>
      </c>
      <c r="AY40" s="89"/>
      <c r="AZ40" s="85"/>
      <c r="BA40" s="1949"/>
      <c r="BB40" s="1978"/>
    </row>
    <row r="41" spans="1:55" s="2506" customFormat="1" ht="20.100000000000001" customHeight="1">
      <c r="A41" s="2542">
        <v>35</v>
      </c>
      <c r="B41" s="2543"/>
      <c r="C41" s="2543"/>
      <c r="D41" s="2544" t="s">
        <v>17</v>
      </c>
      <c r="E41" s="2543">
        <v>1</v>
      </c>
      <c r="F41" s="2544" t="s">
        <v>19</v>
      </c>
      <c r="G41" s="1778" t="s">
        <v>646</v>
      </c>
      <c r="H41" s="2544" t="s">
        <v>115</v>
      </c>
      <c r="I41" s="2543" t="s">
        <v>113</v>
      </c>
      <c r="J41" s="2544" t="s">
        <v>114</v>
      </c>
      <c r="K41" s="2543">
        <v>1</v>
      </c>
      <c r="L41" s="2544" t="s">
        <v>116</v>
      </c>
      <c r="M41" s="2543">
        <v>0</v>
      </c>
      <c r="N41" s="2543">
        <v>1</v>
      </c>
      <c r="O41" s="2543">
        <v>1</v>
      </c>
      <c r="P41" s="2570">
        <v>0</v>
      </c>
      <c r="Q41" s="2543">
        <v>0</v>
      </c>
      <c r="R41" s="2543">
        <v>1</v>
      </c>
      <c r="S41" s="2543">
        <v>31</v>
      </c>
      <c r="T41" s="1853">
        <v>250000000</v>
      </c>
      <c r="U41" s="1853">
        <v>250000000</v>
      </c>
      <c r="V41" s="1854">
        <f>T41*5%</f>
        <v>12500000</v>
      </c>
      <c r="W41" s="1854">
        <v>0</v>
      </c>
      <c r="X41" s="1854">
        <f t="shared" ref="X41:X47" si="2">T41+V41+W41</f>
        <v>262500000</v>
      </c>
      <c r="Y41" s="1862" t="s">
        <v>21</v>
      </c>
      <c r="Z41" s="1862"/>
      <c r="AA41" s="1854">
        <f>SUM(AA42:AA43)</f>
        <v>250000000</v>
      </c>
      <c r="AB41" s="1874"/>
      <c r="AC41" s="1854"/>
      <c r="AD41" s="1875"/>
      <c r="AE41" s="1854"/>
      <c r="AF41" s="1875"/>
      <c r="AG41" s="1854">
        <v>0</v>
      </c>
      <c r="AH41" s="1874" t="s">
        <v>21</v>
      </c>
      <c r="AI41" s="1778" t="s">
        <v>21</v>
      </c>
      <c r="AJ41" s="1778" t="s">
        <v>21</v>
      </c>
      <c r="AK41" s="1778" t="s">
        <v>21</v>
      </c>
      <c r="AL41" s="1778" t="s">
        <v>21</v>
      </c>
      <c r="AM41" s="1874" t="s">
        <v>21</v>
      </c>
      <c r="AN41" s="1907" t="s">
        <v>21</v>
      </c>
      <c r="AO41" s="1907" t="s">
        <v>21</v>
      </c>
      <c r="AP41" s="1778" t="s">
        <v>570</v>
      </c>
      <c r="AQ41" s="1778"/>
      <c r="AR41" s="1778" t="s">
        <v>21</v>
      </c>
      <c r="AS41" s="1778"/>
      <c r="AT41" s="1854">
        <f>SUM(AT42:AT43)</f>
        <v>250000000</v>
      </c>
      <c r="AU41" s="1862" t="s">
        <v>21</v>
      </c>
      <c r="AV41" s="1862"/>
      <c r="AW41" s="1778" t="s">
        <v>21</v>
      </c>
      <c r="AX41" s="1862"/>
      <c r="AY41" s="3153" t="s">
        <v>695</v>
      </c>
      <c r="AZ41" s="3154" t="s">
        <v>696</v>
      </c>
      <c r="BA41" s="3155" t="s">
        <v>697</v>
      </c>
      <c r="BB41" s="1967"/>
    </row>
    <row r="42" spans="1:55" s="2505" customFormat="1" ht="20.100000000000001" customHeight="1">
      <c r="A42" s="2539"/>
      <c r="B42" s="2540"/>
      <c r="C42" s="2540"/>
      <c r="D42" s="2541" t="s">
        <v>17</v>
      </c>
      <c r="E42" s="2540">
        <v>1</v>
      </c>
      <c r="F42" s="2541" t="s">
        <v>19</v>
      </c>
      <c r="G42" s="1771" t="s">
        <v>646</v>
      </c>
      <c r="H42" s="2541" t="s">
        <v>115</v>
      </c>
      <c r="I42" s="2540" t="s">
        <v>113</v>
      </c>
      <c r="J42" s="2541" t="s">
        <v>114</v>
      </c>
      <c r="K42" s="2540">
        <v>1</v>
      </c>
      <c r="L42" s="2541" t="s">
        <v>116</v>
      </c>
      <c r="M42" s="2540">
        <v>0.5</v>
      </c>
      <c r="N42" s="2540">
        <v>0</v>
      </c>
      <c r="O42" s="2540">
        <v>2</v>
      </c>
      <c r="P42" s="2568">
        <v>0.5</v>
      </c>
      <c r="Q42" s="2540">
        <v>0.5</v>
      </c>
      <c r="R42" s="2540">
        <v>1</v>
      </c>
      <c r="S42" s="2540">
        <v>31</v>
      </c>
      <c r="T42" s="1851">
        <v>0</v>
      </c>
      <c r="U42" s="1851">
        <v>0</v>
      </c>
      <c r="V42" s="1852">
        <f>T42*5%</f>
        <v>0</v>
      </c>
      <c r="W42" s="1852">
        <v>0</v>
      </c>
      <c r="X42" s="1852">
        <f t="shared" si="2"/>
        <v>0</v>
      </c>
      <c r="Y42" s="1863" t="s">
        <v>117</v>
      </c>
      <c r="Z42" s="1863" t="s">
        <v>619</v>
      </c>
      <c r="AA42" s="1852">
        <v>125000000</v>
      </c>
      <c r="AB42" s="1872"/>
      <c r="AC42" s="1852"/>
      <c r="AD42" s="1873"/>
      <c r="AE42" s="1852"/>
      <c r="AF42" s="1873"/>
      <c r="AG42" s="1852">
        <v>0</v>
      </c>
      <c r="AH42" s="1872">
        <v>2016</v>
      </c>
      <c r="AI42" s="1908" t="s">
        <v>21</v>
      </c>
      <c r="AJ42" s="1908" t="s">
        <v>21</v>
      </c>
      <c r="AK42" s="1908" t="s">
        <v>119</v>
      </c>
      <c r="AL42" s="1908" t="s">
        <v>21</v>
      </c>
      <c r="AM42" s="1872"/>
      <c r="AN42" s="1910" t="s">
        <v>603</v>
      </c>
      <c r="AO42" s="1910" t="s">
        <v>645</v>
      </c>
      <c r="AP42" s="1908" t="s">
        <v>570</v>
      </c>
      <c r="AQ42" s="1908"/>
      <c r="AR42" s="3130" t="s">
        <v>698</v>
      </c>
      <c r="AS42" s="1909"/>
      <c r="AT42" s="1852">
        <v>125000000</v>
      </c>
      <c r="AU42" s="1863" t="s">
        <v>117</v>
      </c>
      <c r="AV42" s="1863">
        <f>BB[[#This Row],[NILAI PINJAMAN KONFIRMASI BILA-MULTI]]</f>
        <v>125000000</v>
      </c>
      <c r="AW42" s="1908" t="s">
        <v>21</v>
      </c>
      <c r="AX42" s="1863" t="s">
        <v>619</v>
      </c>
      <c r="AY42" s="3130" t="s">
        <v>699</v>
      </c>
      <c r="AZ42" s="3156" t="s">
        <v>696</v>
      </c>
      <c r="BA42" s="3157" t="s">
        <v>697</v>
      </c>
      <c r="BB42" s="1964"/>
    </row>
    <row r="43" spans="1:55" s="2505" customFormat="1" ht="20.100000000000001" customHeight="1">
      <c r="A43" s="2539"/>
      <c r="B43" s="2540"/>
      <c r="C43" s="2540"/>
      <c r="D43" s="2541" t="s">
        <v>17</v>
      </c>
      <c r="E43" s="2540">
        <v>1</v>
      </c>
      <c r="F43" s="2541" t="s">
        <v>19</v>
      </c>
      <c r="G43" s="1771" t="s">
        <v>646</v>
      </c>
      <c r="H43" s="2541" t="s">
        <v>115</v>
      </c>
      <c r="I43" s="2540" t="s">
        <v>113</v>
      </c>
      <c r="J43" s="2541" t="s">
        <v>114</v>
      </c>
      <c r="K43" s="2540">
        <v>1</v>
      </c>
      <c r="L43" s="2541" t="s">
        <v>116</v>
      </c>
      <c r="M43" s="2540">
        <v>0.5</v>
      </c>
      <c r="N43" s="2540">
        <v>0</v>
      </c>
      <c r="O43" s="2540">
        <v>2</v>
      </c>
      <c r="P43" s="2568">
        <v>0.5</v>
      </c>
      <c r="Q43" s="2540">
        <v>0.5</v>
      </c>
      <c r="R43" s="2540">
        <v>1</v>
      </c>
      <c r="S43" s="2540">
        <v>31</v>
      </c>
      <c r="T43" s="1851">
        <v>0</v>
      </c>
      <c r="U43" s="1851">
        <v>0</v>
      </c>
      <c r="V43" s="1852">
        <f>T43*5%</f>
        <v>0</v>
      </c>
      <c r="W43" s="1852">
        <v>0</v>
      </c>
      <c r="X43" s="1852">
        <f t="shared" si="2"/>
        <v>0</v>
      </c>
      <c r="Y43" s="1863" t="s">
        <v>58</v>
      </c>
      <c r="Z43" s="1863" t="s">
        <v>619</v>
      </c>
      <c r="AA43" s="1852">
        <v>125000000</v>
      </c>
      <c r="AB43" s="1872"/>
      <c r="AC43" s="1852"/>
      <c r="AD43" s="1873"/>
      <c r="AE43" s="1852"/>
      <c r="AF43" s="1873"/>
      <c r="AG43" s="1852">
        <v>0</v>
      </c>
      <c r="AH43" s="1872">
        <v>2017</v>
      </c>
      <c r="AI43" s="1908" t="s">
        <v>21</v>
      </c>
      <c r="AJ43" s="1908" t="s">
        <v>21</v>
      </c>
      <c r="AK43" s="1908" t="s">
        <v>119</v>
      </c>
      <c r="AL43" s="1908" t="s">
        <v>21</v>
      </c>
      <c r="AM43" s="1872"/>
      <c r="AN43" s="1910" t="s">
        <v>603</v>
      </c>
      <c r="AO43" s="1910" t="s">
        <v>645</v>
      </c>
      <c r="AP43" s="1908" t="s">
        <v>570</v>
      </c>
      <c r="AQ43" s="1908"/>
      <c r="AR43" s="3130" t="s">
        <v>700</v>
      </c>
      <c r="AS43" s="1909"/>
      <c r="AT43" s="1852">
        <v>125000000</v>
      </c>
      <c r="AU43" s="1863" t="s">
        <v>58</v>
      </c>
      <c r="AV43" s="1863">
        <f>BB[[#This Row],[NILAI PINJAMAN KONFIRMASI BILA-MULTI]]</f>
        <v>125000000</v>
      </c>
      <c r="AW43" s="1908" t="s">
        <v>21</v>
      </c>
      <c r="AX43" s="1863" t="s">
        <v>619</v>
      </c>
      <c r="AY43" s="3130" t="s">
        <v>695</v>
      </c>
      <c r="AZ43" s="3156" t="s">
        <v>696</v>
      </c>
      <c r="BA43" s="3157" t="s">
        <v>697</v>
      </c>
      <c r="BB43" s="1964"/>
    </row>
    <row r="44" spans="1:55" s="645" customFormat="1" ht="20.100000000000001" customHeight="1">
      <c r="A44" s="2548">
        <v>36</v>
      </c>
      <c r="B44" s="2549"/>
      <c r="C44" s="2549"/>
      <c r="D44" s="2550" t="s">
        <v>17</v>
      </c>
      <c r="E44" s="2549">
        <v>1</v>
      </c>
      <c r="F44" s="2550" t="s">
        <v>19</v>
      </c>
      <c r="G44" s="1788" t="s">
        <v>646</v>
      </c>
      <c r="H44" s="2550" t="s">
        <v>115</v>
      </c>
      <c r="I44" s="2549" t="s">
        <v>113</v>
      </c>
      <c r="J44" s="2550" t="s">
        <v>114</v>
      </c>
      <c r="K44" s="2549">
        <v>2</v>
      </c>
      <c r="L44" s="2550" t="s">
        <v>120</v>
      </c>
      <c r="M44" s="2549">
        <v>1</v>
      </c>
      <c r="N44" s="2549">
        <v>1</v>
      </c>
      <c r="O44" s="2549">
        <v>1</v>
      </c>
      <c r="P44" s="2573">
        <v>1</v>
      </c>
      <c r="Q44" s="2549">
        <v>1</v>
      </c>
      <c r="R44" s="2549">
        <v>1</v>
      </c>
      <c r="S44" s="2549">
        <v>32</v>
      </c>
      <c r="T44" s="1856">
        <v>1950000000</v>
      </c>
      <c r="U44" s="1856">
        <v>1950000000</v>
      </c>
      <c r="V44" s="1856">
        <f t="shared" ref="V44:V52" si="3">T44*5%</f>
        <v>97500000</v>
      </c>
      <c r="W44" s="1856">
        <v>0</v>
      </c>
      <c r="X44" s="1856">
        <f t="shared" si="2"/>
        <v>2047500000</v>
      </c>
      <c r="Y44" s="1879" t="s">
        <v>55</v>
      </c>
      <c r="Z44" s="1879" t="s">
        <v>565</v>
      </c>
      <c r="AA44" s="1856">
        <f>T44</f>
        <v>1950000000</v>
      </c>
      <c r="AB44" s="1880"/>
      <c r="AC44" s="1856"/>
      <c r="AD44" s="1881"/>
      <c r="AE44" s="1856"/>
      <c r="AF44" s="1881"/>
      <c r="AG44" s="1856">
        <f>AA44-T44</f>
        <v>0</v>
      </c>
      <c r="AH44" s="1880">
        <v>2017</v>
      </c>
      <c r="AI44" s="1788" t="s">
        <v>21</v>
      </c>
      <c r="AJ44" s="3135" t="s">
        <v>701</v>
      </c>
      <c r="AK44" s="1788" t="s">
        <v>121</v>
      </c>
      <c r="AL44" s="1788" t="s">
        <v>21</v>
      </c>
      <c r="AM44" s="1880"/>
      <c r="AN44" s="1914" t="s">
        <v>675</v>
      </c>
      <c r="AO44" s="1907" t="s">
        <v>702</v>
      </c>
      <c r="AP44" s="1788" t="s">
        <v>570</v>
      </c>
      <c r="AQ44" s="1788"/>
      <c r="AR44" s="3135" t="s">
        <v>703</v>
      </c>
      <c r="AS44" s="1917"/>
      <c r="AT44" s="1856">
        <v>1950000000</v>
      </c>
      <c r="AU44" s="1879" t="s">
        <v>55</v>
      </c>
      <c r="AV44" s="1879">
        <f>BB[[#This Row],[NILAI PINJAMAN KONFIRMASI BILA-MULTI]]</f>
        <v>1950000000</v>
      </c>
      <c r="AW44" s="1788" t="s">
        <v>21</v>
      </c>
      <c r="AX44" s="1879" t="s">
        <v>565</v>
      </c>
      <c r="AY44" s="91" t="s">
        <v>577</v>
      </c>
      <c r="AZ44" s="91"/>
      <c r="BA44" s="1975" t="s">
        <v>704</v>
      </c>
    </row>
    <row r="45" spans="1:55" s="645" customFormat="1" ht="20.100000000000001" customHeight="1">
      <c r="A45" s="2548">
        <v>37</v>
      </c>
      <c r="B45" s="2549"/>
      <c r="C45" s="2549"/>
      <c r="D45" s="2550" t="s">
        <v>17</v>
      </c>
      <c r="E45" s="2549">
        <v>1</v>
      </c>
      <c r="F45" s="2550" t="s">
        <v>19</v>
      </c>
      <c r="G45" s="1788" t="s">
        <v>646</v>
      </c>
      <c r="H45" s="2550" t="s">
        <v>115</v>
      </c>
      <c r="I45" s="2549" t="s">
        <v>113</v>
      </c>
      <c r="J45" s="2550" t="s">
        <v>114</v>
      </c>
      <c r="K45" s="2549">
        <v>3</v>
      </c>
      <c r="L45" s="2550" t="s">
        <v>122</v>
      </c>
      <c r="M45" s="2549">
        <v>1</v>
      </c>
      <c r="N45" s="2549">
        <v>1</v>
      </c>
      <c r="O45" s="2549">
        <v>1</v>
      </c>
      <c r="P45" s="2573">
        <v>1</v>
      </c>
      <c r="Q45" s="2549">
        <v>1</v>
      </c>
      <c r="R45" s="2549">
        <v>1</v>
      </c>
      <c r="S45" s="2549">
        <v>33</v>
      </c>
      <c r="T45" s="1856">
        <v>75000000</v>
      </c>
      <c r="U45" s="1856">
        <v>75000000</v>
      </c>
      <c r="V45" s="1856">
        <f t="shared" si="3"/>
        <v>3750000</v>
      </c>
      <c r="W45" s="1856">
        <v>0</v>
      </c>
      <c r="X45" s="1856">
        <f t="shared" si="2"/>
        <v>78750000</v>
      </c>
      <c r="Y45" s="1879" t="s">
        <v>705</v>
      </c>
      <c r="Z45" s="1879" t="s">
        <v>602</v>
      </c>
      <c r="AA45" s="1856">
        <v>75000000</v>
      </c>
      <c r="AB45" s="1880"/>
      <c r="AC45" s="1856"/>
      <c r="AD45" s="1881"/>
      <c r="AE45" s="1856"/>
      <c r="AF45" s="1881"/>
      <c r="AG45" s="1856">
        <f>AA45-T45</f>
        <v>0</v>
      </c>
      <c r="AH45" s="1880">
        <v>2018</v>
      </c>
      <c r="AI45" s="1788" t="s">
        <v>21</v>
      </c>
      <c r="AJ45" s="1788" t="s">
        <v>123</v>
      </c>
      <c r="AK45" s="1788" t="s">
        <v>21</v>
      </c>
      <c r="AL45" s="1788" t="s">
        <v>21</v>
      </c>
      <c r="AM45" s="1880"/>
      <c r="AN45" s="1914" t="s">
        <v>675</v>
      </c>
      <c r="AO45" s="1907" t="s">
        <v>603</v>
      </c>
      <c r="AP45" s="1788" t="s">
        <v>570</v>
      </c>
      <c r="AQ45" s="1788"/>
      <c r="AR45" s="1788" t="s">
        <v>571</v>
      </c>
      <c r="AS45" s="1788"/>
      <c r="AT45" s="1856">
        <v>75000000</v>
      </c>
      <c r="AU45" s="1879" t="s">
        <v>62</v>
      </c>
      <c r="AV45" s="1879">
        <f>BB[[#This Row],[NILAI PINJAMAN KONFIRMASI BILA-MULTI]]</f>
        <v>75000000</v>
      </c>
      <c r="AW45" s="3135" t="s">
        <v>706</v>
      </c>
      <c r="AX45" s="1879" t="s">
        <v>619</v>
      </c>
      <c r="AY45" s="3135" t="s">
        <v>707</v>
      </c>
      <c r="AZ45" s="2006" t="s">
        <v>708</v>
      </c>
      <c r="BA45" s="1975" t="s">
        <v>709</v>
      </c>
      <c r="BB45" s="1764"/>
    </row>
    <row r="46" spans="1:55" s="2504" customFormat="1" ht="20.100000000000001" customHeight="1">
      <c r="A46" s="2536">
        <v>38</v>
      </c>
      <c r="B46" s="2537"/>
      <c r="C46" s="2537"/>
      <c r="D46" s="2538" t="s">
        <v>17</v>
      </c>
      <c r="E46" s="2537">
        <v>1</v>
      </c>
      <c r="F46" s="2538" t="s">
        <v>19</v>
      </c>
      <c r="G46" s="1771" t="s">
        <v>646</v>
      </c>
      <c r="H46" s="2538" t="s">
        <v>115</v>
      </c>
      <c r="I46" s="2537" t="s">
        <v>113</v>
      </c>
      <c r="J46" s="2538" t="s">
        <v>114</v>
      </c>
      <c r="K46" s="2537">
        <v>4</v>
      </c>
      <c r="L46" s="2538" t="s">
        <v>125</v>
      </c>
      <c r="M46" s="2537">
        <v>0</v>
      </c>
      <c r="N46" s="2537">
        <v>1</v>
      </c>
      <c r="O46" s="2537">
        <v>1</v>
      </c>
      <c r="P46" s="2566">
        <v>0</v>
      </c>
      <c r="Q46" s="2537">
        <v>0</v>
      </c>
      <c r="R46" s="2537">
        <v>1</v>
      </c>
      <c r="S46" s="2537">
        <v>34</v>
      </c>
      <c r="T46" s="1849">
        <v>975000000</v>
      </c>
      <c r="U46" s="1849">
        <v>975000000</v>
      </c>
      <c r="V46" s="1850">
        <f t="shared" si="3"/>
        <v>48750000</v>
      </c>
      <c r="W46" s="1850">
        <v>0</v>
      </c>
      <c r="X46" s="1850">
        <f t="shared" si="2"/>
        <v>1023750000</v>
      </c>
      <c r="Y46" s="1869" t="s">
        <v>21</v>
      </c>
      <c r="Z46" s="1869"/>
      <c r="AA46" s="1850">
        <f>AA47+AA48+AA49+AA53</f>
        <v>975000000</v>
      </c>
      <c r="AB46" s="1897">
        <f>BB[[#This Row],[NILAI PINJAMAN PER LENDER]]-AA47</f>
        <v>550200000</v>
      </c>
      <c r="AC46" s="1850"/>
      <c r="AD46" s="1871"/>
      <c r="AE46" s="1850"/>
      <c r="AF46" s="1871"/>
      <c r="AG46" s="1850">
        <f>SUM(AG47:AG49)</f>
        <v>0</v>
      </c>
      <c r="AH46" s="1870" t="s">
        <v>21</v>
      </c>
      <c r="AI46" s="1771" t="s">
        <v>21</v>
      </c>
      <c r="AJ46" s="1771" t="s">
        <v>21</v>
      </c>
      <c r="AK46" s="1771" t="s">
        <v>21</v>
      </c>
      <c r="AL46" s="1771" t="s">
        <v>21</v>
      </c>
      <c r="AM46" s="1870" t="s">
        <v>21</v>
      </c>
      <c r="AN46" s="1907" t="s">
        <v>21</v>
      </c>
      <c r="AO46" s="1907" t="s">
        <v>21</v>
      </c>
      <c r="AP46" s="1771" t="s">
        <v>21</v>
      </c>
      <c r="AQ46" s="1771"/>
      <c r="AR46" s="1771" t="s">
        <v>21</v>
      </c>
      <c r="AS46" s="1771"/>
      <c r="AT46" s="1850">
        <f>AT47+AT48+AT49+AT50</f>
        <v>949800000</v>
      </c>
      <c r="AU46" s="1869" t="s">
        <v>21</v>
      </c>
      <c r="AV46" s="1869"/>
      <c r="AW46" s="1771" t="s">
        <v>21</v>
      </c>
      <c r="AX46" s="1869"/>
      <c r="AY46" s="3158" t="s">
        <v>577</v>
      </c>
      <c r="AZ46" s="1771" t="s">
        <v>21</v>
      </c>
      <c r="BA46" s="1959" t="s">
        <v>21</v>
      </c>
      <c r="BB46" s="1961"/>
    </row>
    <row r="47" spans="1:55" s="2505" customFormat="1" ht="20.100000000000001" customHeight="1">
      <c r="A47" s="2539">
        <v>38</v>
      </c>
      <c r="B47" s="2540"/>
      <c r="C47" s="2540"/>
      <c r="D47" s="2541" t="s">
        <v>17</v>
      </c>
      <c r="E47" s="2540">
        <v>1</v>
      </c>
      <c r="F47" s="2541" t="s">
        <v>19</v>
      </c>
      <c r="G47" s="1771" t="s">
        <v>646</v>
      </c>
      <c r="H47" s="2541" t="s">
        <v>115</v>
      </c>
      <c r="I47" s="2540" t="s">
        <v>113</v>
      </c>
      <c r="J47" s="2541" t="s">
        <v>114</v>
      </c>
      <c r="K47" s="2540">
        <v>4</v>
      </c>
      <c r="L47" s="2541" t="s">
        <v>125</v>
      </c>
      <c r="M47" s="2540">
        <f>1/4</f>
        <v>0.25</v>
      </c>
      <c r="N47" s="2540">
        <v>0</v>
      </c>
      <c r="O47" s="2540">
        <v>2</v>
      </c>
      <c r="P47" s="2540">
        <f>1/4</f>
        <v>0.25</v>
      </c>
      <c r="Q47" s="2540">
        <f>1/4</f>
        <v>0.25</v>
      </c>
      <c r="R47" s="2540">
        <v>0</v>
      </c>
      <c r="S47" s="2540"/>
      <c r="T47" s="1851">
        <v>0</v>
      </c>
      <c r="U47" s="1851">
        <v>0</v>
      </c>
      <c r="V47" s="1852">
        <f t="shared" si="3"/>
        <v>0</v>
      </c>
      <c r="W47" s="1852">
        <v>0</v>
      </c>
      <c r="X47" s="1852">
        <f t="shared" si="2"/>
        <v>0</v>
      </c>
      <c r="Y47" s="1863" t="s">
        <v>117</v>
      </c>
      <c r="Z47" s="1863" t="s">
        <v>619</v>
      </c>
      <c r="AA47" s="1852">
        <v>424800000</v>
      </c>
      <c r="AB47" s="1898">
        <f>AA46-BB[[#This Row],[NILAI PINJAMAN PER LENDER]]-AA48-AA49</f>
        <v>25200000</v>
      </c>
      <c r="AC47" s="1852"/>
      <c r="AD47" s="1873"/>
      <c r="AE47" s="1852"/>
      <c r="AF47" s="1873"/>
      <c r="AG47" s="1852">
        <v>0</v>
      </c>
      <c r="AH47" s="1872">
        <v>2017</v>
      </c>
      <c r="AI47" s="1908" t="s">
        <v>21</v>
      </c>
      <c r="AJ47" s="1908" t="s">
        <v>21</v>
      </c>
      <c r="AK47" s="1908" t="s">
        <v>21</v>
      </c>
      <c r="AL47" s="1908" t="s">
        <v>21</v>
      </c>
      <c r="AM47" s="1872"/>
      <c r="AN47" s="1910" t="s">
        <v>603</v>
      </c>
      <c r="AO47" s="1910" t="s">
        <v>603</v>
      </c>
      <c r="AP47" s="1908" t="s">
        <v>570</v>
      </c>
      <c r="AQ47" s="1908"/>
      <c r="AR47" s="3130" t="s">
        <v>710</v>
      </c>
      <c r="AS47" s="1909"/>
      <c r="AT47" s="1852">
        <v>400000000</v>
      </c>
      <c r="AU47" s="1863" t="s">
        <v>117</v>
      </c>
      <c r="AV47" s="1863">
        <f>BB[[#This Row],[NILAI PINJAMAN KONFIRMASI BILA-MULTI]]</f>
        <v>400000000</v>
      </c>
      <c r="AW47" s="3130" t="s">
        <v>711</v>
      </c>
      <c r="AX47" s="1863" t="s">
        <v>619</v>
      </c>
      <c r="AY47" s="3130" t="s">
        <v>712</v>
      </c>
      <c r="AZ47" s="2007" t="s">
        <v>713</v>
      </c>
      <c r="BA47" s="1962" t="s">
        <v>714</v>
      </c>
      <c r="BB47" s="1964"/>
    </row>
    <row r="48" spans="1:55" s="2505" customFormat="1" ht="20.100000000000001" customHeight="1">
      <c r="A48" s="2539">
        <v>39</v>
      </c>
      <c r="B48" s="2540"/>
      <c r="C48" s="2540"/>
      <c r="D48" s="2541" t="s">
        <v>17</v>
      </c>
      <c r="E48" s="2540">
        <v>1</v>
      </c>
      <c r="F48" s="2541" t="s">
        <v>19</v>
      </c>
      <c r="G48" s="1771" t="s">
        <v>646</v>
      </c>
      <c r="H48" s="2541" t="s">
        <v>115</v>
      </c>
      <c r="I48" s="2537" t="s">
        <v>113</v>
      </c>
      <c r="J48" s="2541" t="s">
        <v>114</v>
      </c>
      <c r="K48" s="2540">
        <v>4</v>
      </c>
      <c r="L48" s="2541" t="s">
        <v>125</v>
      </c>
      <c r="M48" s="2540">
        <f>1/4</f>
        <v>0.25</v>
      </c>
      <c r="N48" s="2540">
        <v>0</v>
      </c>
      <c r="O48" s="2540">
        <v>2</v>
      </c>
      <c r="P48" s="2540">
        <f t="shared" ref="P48:Q50" si="4">1/4</f>
        <v>0.25</v>
      </c>
      <c r="Q48" s="2540">
        <f t="shared" si="4"/>
        <v>0.25</v>
      </c>
      <c r="R48" s="2537">
        <v>0</v>
      </c>
      <c r="S48" s="2537"/>
      <c r="T48" s="1851">
        <v>0</v>
      </c>
      <c r="U48" s="1851">
        <v>0</v>
      </c>
      <c r="V48" s="1852">
        <v>0</v>
      </c>
      <c r="W48" s="1852">
        <v>0</v>
      </c>
      <c r="X48" s="1852">
        <f>+BB[[#This Row],[NILAI PINJAMAN DALAM BB]]+BB[[#This Row],[PENDAMPING BB]]+BB[[#This Row],[HIBAH BB]]</f>
        <v>0</v>
      </c>
      <c r="Y48" s="1863" t="s">
        <v>58</v>
      </c>
      <c r="Z48" s="1869" t="s">
        <v>619</v>
      </c>
      <c r="AA48" s="1852">
        <v>325000000</v>
      </c>
      <c r="AB48" s="1872"/>
      <c r="AC48" s="1852"/>
      <c r="AD48" s="1873"/>
      <c r="AE48" s="1852"/>
      <c r="AF48" s="1873"/>
      <c r="AG48" s="1852">
        <v>0</v>
      </c>
      <c r="AH48" s="1872">
        <v>2017</v>
      </c>
      <c r="AI48" s="1908" t="s">
        <v>21</v>
      </c>
      <c r="AJ48" s="1908" t="s">
        <v>21</v>
      </c>
      <c r="AK48" s="1908" t="s">
        <v>21</v>
      </c>
      <c r="AL48" s="1908" t="s">
        <v>21</v>
      </c>
      <c r="AM48" s="1870"/>
      <c r="AN48" s="1910" t="s">
        <v>603</v>
      </c>
      <c r="AO48" s="1910" t="s">
        <v>603</v>
      </c>
      <c r="AP48" s="1771" t="s">
        <v>570</v>
      </c>
      <c r="AQ48" s="1771"/>
      <c r="AR48" s="3130" t="s">
        <v>710</v>
      </c>
      <c r="AS48" s="1909"/>
      <c r="AT48" s="1852">
        <v>325000000</v>
      </c>
      <c r="AU48" s="1863" t="s">
        <v>58</v>
      </c>
      <c r="AV48" s="1863">
        <f>BB[[#This Row],[NILAI PINJAMAN KONFIRMASI BILA-MULTI]]</f>
        <v>325000000</v>
      </c>
      <c r="AW48" s="1771" t="s">
        <v>21</v>
      </c>
      <c r="AX48" s="1869" t="s">
        <v>619</v>
      </c>
      <c r="AY48" s="3130" t="s">
        <v>715</v>
      </c>
      <c r="AZ48" s="2006" t="s">
        <v>713</v>
      </c>
      <c r="BA48" s="1959" t="s">
        <v>714</v>
      </c>
      <c r="BB48" s="1964"/>
    </row>
    <row r="49" spans="1:54" s="2505" customFormat="1" ht="20.100000000000001" customHeight="1">
      <c r="A49" s="2539">
        <v>40</v>
      </c>
      <c r="B49" s="2540"/>
      <c r="C49" s="2540"/>
      <c r="D49" s="2541" t="s">
        <v>17</v>
      </c>
      <c r="E49" s="2540">
        <v>1</v>
      </c>
      <c r="F49" s="2541" t="s">
        <v>19</v>
      </c>
      <c r="G49" s="1771" t="s">
        <v>646</v>
      </c>
      <c r="H49" s="2541" t="s">
        <v>115</v>
      </c>
      <c r="I49" s="2537" t="s">
        <v>113</v>
      </c>
      <c r="J49" s="2541" t="s">
        <v>114</v>
      </c>
      <c r="K49" s="2540">
        <v>4</v>
      </c>
      <c r="L49" s="2541" t="s">
        <v>125</v>
      </c>
      <c r="M49" s="2540">
        <f>1/4</f>
        <v>0.25</v>
      </c>
      <c r="N49" s="2540">
        <v>0</v>
      </c>
      <c r="O49" s="2540">
        <v>2</v>
      </c>
      <c r="P49" s="2540">
        <f t="shared" si="4"/>
        <v>0.25</v>
      </c>
      <c r="Q49" s="2540">
        <f t="shared" si="4"/>
        <v>0.25</v>
      </c>
      <c r="R49" s="2537">
        <v>0</v>
      </c>
      <c r="S49" s="2537"/>
      <c r="T49" s="1851">
        <v>0</v>
      </c>
      <c r="U49" s="1851">
        <v>0</v>
      </c>
      <c r="V49" s="1852">
        <v>0</v>
      </c>
      <c r="W49" s="1852">
        <v>0</v>
      </c>
      <c r="X49" s="1852">
        <f>+BB[[#This Row],[NILAI PINJAMAN DALAM BB]]+BB[[#This Row],[PENDAMPING BB]]+BB[[#This Row],[HIBAH BB]]</f>
        <v>0</v>
      </c>
      <c r="Y49" s="1863" t="s">
        <v>62</v>
      </c>
      <c r="Z49" s="1869" t="s">
        <v>619</v>
      </c>
      <c r="AA49" s="1852">
        <v>200000000</v>
      </c>
      <c r="AB49" s="1872"/>
      <c r="AC49" s="1852"/>
      <c r="AD49" s="1873"/>
      <c r="AE49" s="1852"/>
      <c r="AF49" s="1873"/>
      <c r="AG49" s="1852">
        <v>0</v>
      </c>
      <c r="AH49" s="1872">
        <v>2017</v>
      </c>
      <c r="AI49" s="1908" t="s">
        <v>21</v>
      </c>
      <c r="AJ49" s="1908" t="s">
        <v>21</v>
      </c>
      <c r="AK49" s="1908" t="s">
        <v>21</v>
      </c>
      <c r="AL49" s="1908" t="s">
        <v>21</v>
      </c>
      <c r="AM49" s="1870"/>
      <c r="AN49" s="1910" t="s">
        <v>603</v>
      </c>
      <c r="AO49" s="1910" t="s">
        <v>603</v>
      </c>
      <c r="AP49" s="1771" t="s">
        <v>570</v>
      </c>
      <c r="AQ49" s="1771"/>
      <c r="AR49" s="3130" t="s">
        <v>710</v>
      </c>
      <c r="AS49" s="1909"/>
      <c r="AT49" s="1852">
        <v>200000000</v>
      </c>
      <c r="AU49" s="1863" t="s">
        <v>62</v>
      </c>
      <c r="AV49" s="1863">
        <f>BB[[#This Row],[NILAI PINJAMAN KONFIRMASI BILA-MULTI]]</f>
        <v>200000000</v>
      </c>
      <c r="AW49" s="1771" t="s">
        <v>21</v>
      </c>
      <c r="AX49" s="1869" t="s">
        <v>619</v>
      </c>
      <c r="AY49" s="3130" t="s">
        <v>715</v>
      </c>
      <c r="AZ49" s="2006" t="s">
        <v>713</v>
      </c>
      <c r="BA49" s="1959" t="s">
        <v>714</v>
      </c>
      <c r="BB49" s="1964"/>
    </row>
    <row r="50" spans="1:54" s="2512" customFormat="1" ht="20.100000000000001" customHeight="1">
      <c r="A50" s="2560">
        <v>40</v>
      </c>
      <c r="B50" s="2561"/>
      <c r="C50" s="2561"/>
      <c r="D50" s="2562" t="s">
        <v>17</v>
      </c>
      <c r="E50" s="2561">
        <v>1</v>
      </c>
      <c r="F50" s="2562" t="s">
        <v>19</v>
      </c>
      <c r="G50" s="1814" t="s">
        <v>646</v>
      </c>
      <c r="H50" s="2562" t="s">
        <v>115</v>
      </c>
      <c r="I50" s="2580" t="s">
        <v>113</v>
      </c>
      <c r="J50" s="2562" t="s">
        <v>114</v>
      </c>
      <c r="K50" s="2561">
        <v>4</v>
      </c>
      <c r="L50" s="2562" t="s">
        <v>125</v>
      </c>
      <c r="M50" s="2561">
        <f>1/4</f>
        <v>0.25</v>
      </c>
      <c r="N50" s="2561">
        <v>0</v>
      </c>
      <c r="O50" s="2561">
        <v>2</v>
      </c>
      <c r="P50" s="2561">
        <f t="shared" si="4"/>
        <v>0.25</v>
      </c>
      <c r="Q50" s="2561">
        <f t="shared" si="4"/>
        <v>0.25</v>
      </c>
      <c r="R50" s="2580">
        <v>0</v>
      </c>
      <c r="S50" s="2580"/>
      <c r="T50" s="1865">
        <v>0</v>
      </c>
      <c r="U50" s="1865">
        <v>0</v>
      </c>
      <c r="V50" s="1866">
        <v>0</v>
      </c>
      <c r="W50" s="1866">
        <v>0</v>
      </c>
      <c r="X50" s="1866">
        <f>+BB[[#This Row],[NILAI PINJAMAN DALAM BB]]+BB[[#This Row],[PENDAMPING BB]]+BB[[#This Row],[HIBAH BB]]</f>
        <v>0</v>
      </c>
      <c r="Y50" s="1899" t="s">
        <v>62</v>
      </c>
      <c r="Z50" s="1900" t="s">
        <v>619</v>
      </c>
      <c r="AA50" s="1866">
        <v>200000000</v>
      </c>
      <c r="AB50" s="1901">
        <f>AA49+AA48</f>
        <v>525000000</v>
      </c>
      <c r="AC50" s="1866"/>
      <c r="AD50" s="1902"/>
      <c r="AE50" s="1866"/>
      <c r="AF50" s="1902"/>
      <c r="AG50" s="1866">
        <v>0</v>
      </c>
      <c r="AH50" s="1922">
        <v>2017</v>
      </c>
      <c r="AI50" s="1923" t="s">
        <v>21</v>
      </c>
      <c r="AJ50" s="1923" t="s">
        <v>21</v>
      </c>
      <c r="AK50" s="1923" t="s">
        <v>21</v>
      </c>
      <c r="AL50" s="1923" t="s">
        <v>21</v>
      </c>
      <c r="AM50" s="1924"/>
      <c r="AN50" s="1910" t="s">
        <v>603</v>
      </c>
      <c r="AO50" s="1910" t="s">
        <v>603</v>
      </c>
      <c r="AP50" s="1814" t="s">
        <v>570</v>
      </c>
      <c r="AQ50" s="1814"/>
      <c r="AR50" s="3159" t="s">
        <v>710</v>
      </c>
      <c r="AS50" s="1952"/>
      <c r="AT50" s="1866">
        <v>24800000</v>
      </c>
      <c r="AU50" s="1899" t="s">
        <v>633</v>
      </c>
      <c r="AV50" s="1899">
        <f>BB[[#This Row],[NILAI PINJAMAN KONFIRMASI BILA-MULTI]]</f>
        <v>24800000</v>
      </c>
      <c r="AW50" s="1814" t="s">
        <v>716</v>
      </c>
      <c r="AX50" s="1900" t="s">
        <v>633</v>
      </c>
      <c r="AY50" s="3159" t="s">
        <v>21</v>
      </c>
      <c r="AZ50" s="1814" t="s">
        <v>21</v>
      </c>
      <c r="BA50" s="2008" t="s">
        <v>714</v>
      </c>
      <c r="BB50" s="2010"/>
    </row>
    <row r="51" spans="1:54" s="645" customFormat="1" ht="20.100000000000001" customHeight="1">
      <c r="A51" s="2548">
        <v>41</v>
      </c>
      <c r="B51" s="2549"/>
      <c r="C51" s="2549"/>
      <c r="D51" s="2550" t="s">
        <v>17</v>
      </c>
      <c r="E51" s="2549">
        <v>1</v>
      </c>
      <c r="F51" s="2550" t="s">
        <v>19</v>
      </c>
      <c r="G51" s="1788" t="s">
        <v>646</v>
      </c>
      <c r="H51" s="2550" t="s">
        <v>115</v>
      </c>
      <c r="I51" s="2549" t="s">
        <v>113</v>
      </c>
      <c r="J51" s="2550" t="s">
        <v>114</v>
      </c>
      <c r="K51" s="2549">
        <v>5</v>
      </c>
      <c r="L51" s="2550" t="s">
        <v>127</v>
      </c>
      <c r="M51" s="2549">
        <v>1</v>
      </c>
      <c r="N51" s="2549">
        <v>1</v>
      </c>
      <c r="O51" s="2549">
        <v>0</v>
      </c>
      <c r="P51" s="2573">
        <v>1</v>
      </c>
      <c r="Q51" s="2549">
        <v>1</v>
      </c>
      <c r="R51" s="2549">
        <v>1</v>
      </c>
      <c r="S51" s="2549">
        <v>35</v>
      </c>
      <c r="T51" s="1856">
        <v>233000000</v>
      </c>
      <c r="U51" s="1856">
        <v>233000000</v>
      </c>
      <c r="V51" s="1856">
        <f t="shared" si="3"/>
        <v>11650000</v>
      </c>
      <c r="W51" s="1856">
        <v>0</v>
      </c>
      <c r="X51" s="1856">
        <f>T51+V51+W51</f>
        <v>244650000</v>
      </c>
      <c r="Y51" s="1879" t="s">
        <v>55</v>
      </c>
      <c r="Z51" s="1879" t="s">
        <v>565</v>
      </c>
      <c r="AA51" s="1856">
        <f>T51</f>
        <v>233000000</v>
      </c>
      <c r="AB51" s="1880"/>
      <c r="AC51" s="1856"/>
      <c r="AD51" s="1881"/>
      <c r="AE51" s="1856"/>
      <c r="AF51" s="1881"/>
      <c r="AG51" s="1856">
        <f>AA51-T51</f>
        <v>0</v>
      </c>
      <c r="AH51" s="1880">
        <v>2018</v>
      </c>
      <c r="AI51" s="1912" t="s">
        <v>21</v>
      </c>
      <c r="AJ51" s="1788" t="s">
        <v>49</v>
      </c>
      <c r="AK51" s="1788" t="s">
        <v>21</v>
      </c>
      <c r="AL51" s="1788" t="s">
        <v>21</v>
      </c>
      <c r="AM51" s="1880"/>
      <c r="AN51" s="1914" t="s">
        <v>675</v>
      </c>
      <c r="AO51" s="1907" t="s">
        <v>603</v>
      </c>
      <c r="AP51" s="1788" t="s">
        <v>570</v>
      </c>
      <c r="AQ51" s="1788"/>
      <c r="AR51" s="1788" t="s">
        <v>717</v>
      </c>
      <c r="AS51" s="1788"/>
      <c r="AT51" s="1856">
        <v>233000000</v>
      </c>
      <c r="AU51" s="1879" t="s">
        <v>55</v>
      </c>
      <c r="AV51" s="1879">
        <f>BB[[#This Row],[NILAI PINJAMAN KONFIRMASI BILA-MULTI]]</f>
        <v>233000000</v>
      </c>
      <c r="AW51" s="3130" t="s">
        <v>21</v>
      </c>
      <c r="AX51" s="1879" t="s">
        <v>565</v>
      </c>
      <c r="AY51" s="1788" t="s">
        <v>577</v>
      </c>
      <c r="AZ51" s="1788"/>
      <c r="BA51" s="1975" t="s">
        <v>718</v>
      </c>
      <c r="BB51" s="1764"/>
    </row>
    <row r="52" spans="1:54" s="645" customFormat="1" ht="20.100000000000001" customHeight="1">
      <c r="A52" s="2548">
        <v>42</v>
      </c>
      <c r="B52" s="2549"/>
      <c r="C52" s="2549"/>
      <c r="D52" s="2550" t="s">
        <v>17</v>
      </c>
      <c r="E52" s="2549">
        <v>1</v>
      </c>
      <c r="F52" s="2550" t="s">
        <v>19</v>
      </c>
      <c r="G52" s="1788" t="s">
        <v>646</v>
      </c>
      <c r="H52" s="2550" t="s">
        <v>115</v>
      </c>
      <c r="I52" s="2549" t="s">
        <v>113</v>
      </c>
      <c r="J52" s="2550" t="s">
        <v>114</v>
      </c>
      <c r="K52" s="2549">
        <v>6</v>
      </c>
      <c r="L52" s="2550" t="s">
        <v>128</v>
      </c>
      <c r="M52" s="2549">
        <v>1</v>
      </c>
      <c r="N52" s="2549">
        <v>1</v>
      </c>
      <c r="O52" s="2549">
        <v>0</v>
      </c>
      <c r="P52" s="2573">
        <v>1</v>
      </c>
      <c r="Q52" s="2549">
        <v>1</v>
      </c>
      <c r="R52" s="2549">
        <v>1</v>
      </c>
      <c r="S52" s="2549">
        <v>36</v>
      </c>
      <c r="T52" s="1856">
        <v>100000000</v>
      </c>
      <c r="U52" s="1856">
        <v>100000000</v>
      </c>
      <c r="V52" s="1856">
        <f t="shared" si="3"/>
        <v>5000000</v>
      </c>
      <c r="W52" s="1856">
        <v>0</v>
      </c>
      <c r="X52" s="1856">
        <f>T52+V52+W52</f>
        <v>105000000</v>
      </c>
      <c r="Y52" s="1879" t="s">
        <v>91</v>
      </c>
      <c r="Z52" s="1879" t="s">
        <v>565</v>
      </c>
      <c r="AA52" s="1856">
        <f>T52</f>
        <v>100000000</v>
      </c>
      <c r="AB52" s="1880"/>
      <c r="AC52" s="1856"/>
      <c r="AD52" s="1881"/>
      <c r="AE52" s="1856"/>
      <c r="AF52" s="1881"/>
      <c r="AG52" s="1856">
        <f>AA52-T52</f>
        <v>0</v>
      </c>
      <c r="AH52" s="1880">
        <v>2017</v>
      </c>
      <c r="AI52" s="1788" t="s">
        <v>129</v>
      </c>
      <c r="AJ52" s="1788" t="s">
        <v>130</v>
      </c>
      <c r="AK52" s="1788" t="s">
        <v>21</v>
      </c>
      <c r="AL52" s="1788" t="s">
        <v>21</v>
      </c>
      <c r="AM52" s="1880"/>
      <c r="AN52" s="1914" t="s">
        <v>608</v>
      </c>
      <c r="AO52" s="1907" t="s">
        <v>603</v>
      </c>
      <c r="AP52" s="1788" t="s">
        <v>570</v>
      </c>
      <c r="AQ52" s="1788"/>
      <c r="AR52" s="1788" t="s">
        <v>719</v>
      </c>
      <c r="AS52" s="1788"/>
      <c r="AT52" s="1856">
        <v>100000000</v>
      </c>
      <c r="AU52" s="1879" t="s">
        <v>91</v>
      </c>
      <c r="AV52" s="1879">
        <f>BB[[#This Row],[NILAI PINJAMAN KONFIRMASI BILA-MULTI]]</f>
        <v>100000000</v>
      </c>
      <c r="AW52" s="1788" t="s">
        <v>21</v>
      </c>
      <c r="AX52" s="1879" t="s">
        <v>565</v>
      </c>
      <c r="AY52" s="1788" t="s">
        <v>577</v>
      </c>
      <c r="AZ52" s="1856"/>
      <c r="BA52" s="1975" t="s">
        <v>720</v>
      </c>
      <c r="BB52" s="1764"/>
    </row>
    <row r="53" spans="1:54" s="2510" customFormat="1" ht="20.100000000000001" customHeight="1">
      <c r="A53" s="2557"/>
      <c r="B53" s="2558"/>
      <c r="C53" s="2558"/>
      <c r="D53" s="2559" t="s">
        <v>17</v>
      </c>
      <c r="E53" s="2558">
        <v>1</v>
      </c>
      <c r="F53" s="2559" t="s">
        <v>19</v>
      </c>
      <c r="G53" s="1796" t="s">
        <v>646</v>
      </c>
      <c r="H53" s="2559" t="s">
        <v>115</v>
      </c>
      <c r="I53" s="2558" t="s">
        <v>113</v>
      </c>
      <c r="J53" s="2559" t="s">
        <v>114</v>
      </c>
      <c r="K53" s="2558">
        <v>7</v>
      </c>
      <c r="L53" s="2559" t="s">
        <v>721</v>
      </c>
      <c r="M53" s="2558">
        <v>1</v>
      </c>
      <c r="N53" s="2558">
        <v>1</v>
      </c>
      <c r="O53" s="2558">
        <v>0</v>
      </c>
      <c r="P53" s="2579">
        <v>1</v>
      </c>
      <c r="Q53" s="2558">
        <v>0</v>
      </c>
      <c r="R53" s="2558">
        <v>0</v>
      </c>
      <c r="S53" s="2558"/>
      <c r="T53" s="1861">
        <v>0</v>
      </c>
      <c r="U53" s="1861">
        <v>25200000</v>
      </c>
      <c r="V53" s="1861">
        <v>0</v>
      </c>
      <c r="W53" s="1861">
        <v>0</v>
      </c>
      <c r="X53" s="1861">
        <f>BB[[#This Row],[HIBAH BB]]+BB[[#This Row],[PENDAMPING BB]]+BB[[#This Row],[NILAI PINJAMAN DALAM BB (PERUBAHAN)]]</f>
        <v>25200000</v>
      </c>
      <c r="Y53" s="1864" t="s">
        <v>117</v>
      </c>
      <c r="Z53" s="128" t="s">
        <v>619</v>
      </c>
      <c r="AA53" s="128">
        <v>25200000</v>
      </c>
      <c r="AB53" s="1892">
        <v>1</v>
      </c>
      <c r="AC53" s="128">
        <v>25200000</v>
      </c>
      <c r="AD53" s="1896"/>
      <c r="AE53" s="128"/>
      <c r="AF53" s="1896"/>
      <c r="AG53" s="1861"/>
      <c r="AH53" s="1892">
        <v>2016</v>
      </c>
      <c r="AI53" s="3152" t="s">
        <v>693</v>
      </c>
      <c r="AJ53" s="1921" t="s">
        <v>21</v>
      </c>
      <c r="AK53" s="1921" t="s">
        <v>21</v>
      </c>
      <c r="AL53" s="1921" t="s">
        <v>21</v>
      </c>
      <c r="AM53" s="1892" t="s">
        <v>694</v>
      </c>
      <c r="AN53" s="1925" t="s">
        <v>568</v>
      </c>
      <c r="AO53" s="1925" t="s">
        <v>645</v>
      </c>
      <c r="AP53" s="1921" t="s">
        <v>570</v>
      </c>
      <c r="AQ53" s="1921"/>
      <c r="AR53" s="1921" t="s">
        <v>21</v>
      </c>
      <c r="AS53" s="1921" t="s">
        <v>586</v>
      </c>
      <c r="AT53" s="128">
        <v>25200000</v>
      </c>
      <c r="AU53" s="1864" t="s">
        <v>117</v>
      </c>
      <c r="AV53" s="1864">
        <f>BB[[#This Row],[NILAI PINJAMAN KONFIRMASI BILA-MULTI]]</f>
        <v>25200000</v>
      </c>
      <c r="AW53" s="1796" t="s">
        <v>722</v>
      </c>
      <c r="AX53" s="128" t="s">
        <v>619</v>
      </c>
      <c r="AY53" s="89"/>
      <c r="AZ53" s="1861"/>
      <c r="BA53" s="1949"/>
      <c r="BB53" s="1991"/>
    </row>
    <row r="54" spans="1:54" s="645" customFormat="1" ht="20.100000000000001" customHeight="1">
      <c r="A54" s="2548">
        <v>43</v>
      </c>
      <c r="B54" s="2549"/>
      <c r="C54" s="2549"/>
      <c r="D54" s="2550" t="s">
        <v>17</v>
      </c>
      <c r="E54" s="2549">
        <v>1</v>
      </c>
      <c r="F54" s="2550" t="s">
        <v>19</v>
      </c>
      <c r="G54" s="1788" t="s">
        <v>646</v>
      </c>
      <c r="H54" s="2550" t="s">
        <v>133</v>
      </c>
      <c r="I54" s="2549" t="s">
        <v>131</v>
      </c>
      <c r="J54" s="2550" t="s">
        <v>132</v>
      </c>
      <c r="K54" s="2549">
        <v>1</v>
      </c>
      <c r="L54" s="2550" t="s">
        <v>134</v>
      </c>
      <c r="M54" s="2549">
        <v>1</v>
      </c>
      <c r="N54" s="2549">
        <v>1</v>
      </c>
      <c r="O54" s="2549">
        <v>0</v>
      </c>
      <c r="P54" s="2573">
        <v>1</v>
      </c>
      <c r="Q54" s="2549">
        <v>1</v>
      </c>
      <c r="R54" s="2549">
        <v>1</v>
      </c>
      <c r="S54" s="2549">
        <v>37</v>
      </c>
      <c r="T54" s="1856">
        <v>150000000</v>
      </c>
      <c r="U54" s="1856">
        <v>150000000</v>
      </c>
      <c r="V54" s="1856">
        <f t="shared" ref="V54:V63" si="5">T54*5%</f>
        <v>7500000</v>
      </c>
      <c r="W54" s="1856">
        <v>0</v>
      </c>
      <c r="X54" s="1856">
        <f t="shared" ref="X54:X63" si="6">T54+V54+W54</f>
        <v>157500000</v>
      </c>
      <c r="Y54" s="1879" t="s">
        <v>91</v>
      </c>
      <c r="Z54" s="1879" t="s">
        <v>565</v>
      </c>
      <c r="AA54" s="1856">
        <f>T54</f>
        <v>150000000</v>
      </c>
      <c r="AB54" s="1880"/>
      <c r="AC54" s="1856"/>
      <c r="AD54" s="1881"/>
      <c r="AE54" s="1856"/>
      <c r="AF54" s="1881"/>
      <c r="AG54" s="1856">
        <f>AA54-T54</f>
        <v>0</v>
      </c>
      <c r="AH54" s="1880">
        <v>2017</v>
      </c>
      <c r="AI54" s="1788" t="s">
        <v>21</v>
      </c>
      <c r="AJ54" s="1788" t="s">
        <v>135</v>
      </c>
      <c r="AK54" s="1788" t="s">
        <v>21</v>
      </c>
      <c r="AL54" s="1788" t="s">
        <v>21</v>
      </c>
      <c r="AM54" s="1880"/>
      <c r="AN54" s="1914" t="s">
        <v>608</v>
      </c>
      <c r="AO54" s="1907" t="s">
        <v>603</v>
      </c>
      <c r="AP54" s="1788" t="s">
        <v>570</v>
      </c>
      <c r="AQ54" s="1788"/>
      <c r="AR54" s="1788" t="s">
        <v>571</v>
      </c>
      <c r="AS54" s="1788"/>
      <c r="AT54" s="1856">
        <v>150000000</v>
      </c>
      <c r="AU54" s="1879" t="s">
        <v>91</v>
      </c>
      <c r="AV54" s="1879">
        <f>BB[[#This Row],[NILAI PINJAMAN KONFIRMASI BILA-MULTI]]</f>
        <v>150000000</v>
      </c>
      <c r="AW54" s="3160" t="s">
        <v>21</v>
      </c>
      <c r="AX54" s="1879" t="s">
        <v>565</v>
      </c>
      <c r="AY54" s="3161" t="s">
        <v>715</v>
      </c>
      <c r="AZ54" s="91"/>
      <c r="BA54" s="1975" t="s">
        <v>723</v>
      </c>
      <c r="BB54" s="1764"/>
    </row>
    <row r="55" spans="1:54" s="645" customFormat="1" ht="20.100000000000001" customHeight="1">
      <c r="A55" s="2548">
        <v>44</v>
      </c>
      <c r="B55" s="2549"/>
      <c r="C55" s="2549"/>
      <c r="D55" s="2550" t="s">
        <v>17</v>
      </c>
      <c r="E55" s="2549">
        <v>1</v>
      </c>
      <c r="F55" s="2550" t="s">
        <v>19</v>
      </c>
      <c r="G55" s="1788" t="s">
        <v>646</v>
      </c>
      <c r="H55" s="2550" t="s">
        <v>133</v>
      </c>
      <c r="I55" s="2549" t="s">
        <v>131</v>
      </c>
      <c r="J55" s="2550" t="s">
        <v>132</v>
      </c>
      <c r="K55" s="2549">
        <v>2</v>
      </c>
      <c r="L55" s="2550" t="s">
        <v>136</v>
      </c>
      <c r="M55" s="2549">
        <v>1</v>
      </c>
      <c r="N55" s="2549">
        <v>1</v>
      </c>
      <c r="O55" s="2549">
        <v>0</v>
      </c>
      <c r="P55" s="2573">
        <v>1</v>
      </c>
      <c r="Q55" s="2549">
        <v>1</v>
      </c>
      <c r="R55" s="2549">
        <v>1</v>
      </c>
      <c r="S55" s="2549">
        <v>38</v>
      </c>
      <c r="T55" s="1856">
        <v>100000000</v>
      </c>
      <c r="U55" s="1856">
        <v>100000000</v>
      </c>
      <c r="V55" s="1856">
        <f t="shared" si="5"/>
        <v>5000000</v>
      </c>
      <c r="W55" s="1856">
        <v>0</v>
      </c>
      <c r="X55" s="1856">
        <f t="shared" si="6"/>
        <v>105000000</v>
      </c>
      <c r="Y55" s="1879" t="s">
        <v>62</v>
      </c>
      <c r="Z55" s="1879" t="s">
        <v>619</v>
      </c>
      <c r="AA55" s="1856">
        <v>100000000</v>
      </c>
      <c r="AB55" s="1880"/>
      <c r="AC55" s="1856"/>
      <c r="AD55" s="1881"/>
      <c r="AE55" s="1856"/>
      <c r="AF55" s="1881"/>
      <c r="AG55" s="1856">
        <f>AA55-T55</f>
        <v>0</v>
      </c>
      <c r="AH55" s="1880">
        <v>2016</v>
      </c>
      <c r="AI55" s="1788" t="s">
        <v>21</v>
      </c>
      <c r="AJ55" s="3137" t="s">
        <v>137</v>
      </c>
      <c r="AK55" s="3137" t="s">
        <v>138</v>
      </c>
      <c r="AL55" s="1788" t="s">
        <v>724</v>
      </c>
      <c r="AM55" s="1880"/>
      <c r="AN55" s="1914" t="s">
        <v>675</v>
      </c>
      <c r="AO55" s="1914" t="s">
        <v>654</v>
      </c>
      <c r="AP55" s="1788" t="s">
        <v>570</v>
      </c>
      <c r="AQ55" s="1788"/>
      <c r="AR55" s="3135" t="s">
        <v>725</v>
      </c>
      <c r="AS55" s="1917"/>
      <c r="AT55" s="1856">
        <v>100000000</v>
      </c>
      <c r="AU55" s="1879" t="s">
        <v>62</v>
      </c>
      <c r="AV55" s="1879">
        <f>BB[[#This Row],[NILAI PINJAMAN KONFIRMASI BILA-MULTI]]</f>
        <v>100000000</v>
      </c>
      <c r="AW55" s="1788" t="s">
        <v>21</v>
      </c>
      <c r="AX55" s="1879" t="s">
        <v>619</v>
      </c>
      <c r="AY55" s="3161" t="s">
        <v>726</v>
      </c>
      <c r="AZ55" s="3162" t="s">
        <v>727</v>
      </c>
      <c r="BA55" s="1975" t="s">
        <v>728</v>
      </c>
      <c r="BB55" s="1764"/>
    </row>
    <row r="56" spans="1:54" s="645" customFormat="1" ht="20.100000000000001" customHeight="1">
      <c r="A56" s="2548">
        <v>45</v>
      </c>
      <c r="B56" s="2549"/>
      <c r="C56" s="2549"/>
      <c r="D56" s="2550" t="s">
        <v>17</v>
      </c>
      <c r="E56" s="2549">
        <v>1</v>
      </c>
      <c r="F56" s="2550" t="s">
        <v>19</v>
      </c>
      <c r="G56" s="1815" t="s">
        <v>646</v>
      </c>
      <c r="H56" s="2550" t="s">
        <v>141</v>
      </c>
      <c r="I56" s="2549" t="s">
        <v>139</v>
      </c>
      <c r="J56" s="2550" t="s">
        <v>140</v>
      </c>
      <c r="K56" s="2549">
        <v>1</v>
      </c>
      <c r="L56" s="2550" t="s">
        <v>142</v>
      </c>
      <c r="M56" s="2549">
        <v>1</v>
      </c>
      <c r="N56" s="2549">
        <v>1</v>
      </c>
      <c r="O56" s="2549">
        <v>0</v>
      </c>
      <c r="P56" s="2573">
        <v>1</v>
      </c>
      <c r="Q56" s="2549">
        <v>1</v>
      </c>
      <c r="R56" s="2549">
        <v>1</v>
      </c>
      <c r="S56" s="2549">
        <v>39</v>
      </c>
      <c r="T56" s="1856">
        <v>2100000000</v>
      </c>
      <c r="U56" s="1856">
        <v>2100000000</v>
      </c>
      <c r="V56" s="1856">
        <f t="shared" si="5"/>
        <v>105000000</v>
      </c>
      <c r="W56" s="1856">
        <v>0</v>
      </c>
      <c r="X56" s="1856">
        <f t="shared" si="6"/>
        <v>2205000000</v>
      </c>
      <c r="Y56" s="1890" t="s">
        <v>657</v>
      </c>
      <c r="Z56" s="1903" t="s">
        <v>602</v>
      </c>
      <c r="AA56" s="1856">
        <v>2100000000</v>
      </c>
      <c r="AB56" s="1880"/>
      <c r="AC56" s="1856"/>
      <c r="AD56" s="1881"/>
      <c r="AE56" s="1856"/>
      <c r="AF56" s="1881"/>
      <c r="AG56" s="1856">
        <f>AA56-T56</f>
        <v>0</v>
      </c>
      <c r="AH56" s="1880">
        <v>2017</v>
      </c>
      <c r="AI56" s="3137" t="s">
        <v>21</v>
      </c>
      <c r="AJ56" s="1788" t="s">
        <v>143</v>
      </c>
      <c r="AK56" s="1788" t="s">
        <v>144</v>
      </c>
      <c r="AL56" s="1788" t="s">
        <v>21</v>
      </c>
      <c r="AM56" s="1880"/>
      <c r="AN56" s="1914" t="s">
        <v>608</v>
      </c>
      <c r="AO56" s="1914" t="s">
        <v>729</v>
      </c>
      <c r="AP56" s="1788" t="s">
        <v>570</v>
      </c>
      <c r="AQ56" s="1788"/>
      <c r="AR56" s="1788" t="s">
        <v>571</v>
      </c>
      <c r="AS56" s="1788"/>
      <c r="AT56" s="1856">
        <v>2100000000</v>
      </c>
      <c r="AU56" s="1890" t="s">
        <v>633</v>
      </c>
      <c r="AV56" s="1879">
        <f>BB[[#This Row],[NILAI PINJAMAN KONFIRMASI BILA-MULTI]]</f>
        <v>2100000000</v>
      </c>
      <c r="AW56" s="3135" t="s">
        <v>730</v>
      </c>
      <c r="AX56" s="1903" t="s">
        <v>731</v>
      </c>
      <c r="AY56" s="3163" t="s">
        <v>732</v>
      </c>
      <c r="AZ56" s="1974"/>
      <c r="BA56" s="1975" t="s">
        <v>733</v>
      </c>
      <c r="BB56" s="1764"/>
    </row>
    <row r="57" spans="1:54" s="2504" customFormat="1" ht="20.100000000000001" customHeight="1">
      <c r="A57" s="2536">
        <v>46</v>
      </c>
      <c r="B57" s="2537"/>
      <c r="C57" s="2537"/>
      <c r="D57" s="2538" t="s">
        <v>17</v>
      </c>
      <c r="E57" s="2537">
        <v>1</v>
      </c>
      <c r="F57" s="2538" t="s">
        <v>19</v>
      </c>
      <c r="G57" s="1771" t="s">
        <v>646</v>
      </c>
      <c r="H57" s="2538" t="s">
        <v>141</v>
      </c>
      <c r="I57" s="2537" t="s">
        <v>139</v>
      </c>
      <c r="J57" s="2538" t="s">
        <v>140</v>
      </c>
      <c r="K57" s="2537">
        <v>2</v>
      </c>
      <c r="L57" s="2538" t="s">
        <v>146</v>
      </c>
      <c r="M57" s="2537">
        <v>0</v>
      </c>
      <c r="N57" s="2537">
        <v>1</v>
      </c>
      <c r="O57" s="2537">
        <v>1</v>
      </c>
      <c r="P57" s="2566">
        <v>0</v>
      </c>
      <c r="Q57" s="2537">
        <v>0</v>
      </c>
      <c r="R57" s="2537">
        <v>1</v>
      </c>
      <c r="S57" s="2537">
        <v>40</v>
      </c>
      <c r="T57" s="1849">
        <v>1052640000</v>
      </c>
      <c r="U57" s="1849">
        <v>1052640000</v>
      </c>
      <c r="V57" s="1850">
        <f t="shared" si="5"/>
        <v>52632000</v>
      </c>
      <c r="W57" s="1850">
        <v>0</v>
      </c>
      <c r="X57" s="1850">
        <f t="shared" si="6"/>
        <v>1105272000</v>
      </c>
      <c r="Y57" s="1869" t="s">
        <v>21</v>
      </c>
      <c r="Z57" s="1869"/>
      <c r="AA57" s="1850">
        <f>SUM(AA58:AA61)</f>
        <v>1052640000</v>
      </c>
      <c r="AB57" s="1870"/>
      <c r="AC57" s="1850"/>
      <c r="AD57" s="1871"/>
      <c r="AE57" s="1850"/>
      <c r="AF57" s="1871"/>
      <c r="AG57" s="1850">
        <f>SUM(AG58:AG59)</f>
        <v>0</v>
      </c>
      <c r="AH57" s="1870" t="s">
        <v>21</v>
      </c>
      <c r="AI57" s="3164" t="s">
        <v>21</v>
      </c>
      <c r="AJ57" s="3165" t="s">
        <v>21</v>
      </c>
      <c r="AK57" s="3166" t="s">
        <v>21</v>
      </c>
      <c r="AL57" s="3165" t="s">
        <v>21</v>
      </c>
      <c r="AM57" s="1870" t="s">
        <v>21</v>
      </c>
      <c r="AN57" s="1907" t="s">
        <v>21</v>
      </c>
      <c r="AO57" s="1907" t="s">
        <v>21</v>
      </c>
      <c r="AP57" s="1771" t="s">
        <v>21</v>
      </c>
      <c r="AQ57" s="1771"/>
      <c r="AR57" s="1771" t="s">
        <v>21</v>
      </c>
      <c r="AS57" s="1771"/>
      <c r="AT57" s="1850">
        <f>SUM(AT58:AT61)</f>
        <v>1052640000</v>
      </c>
      <c r="AU57" s="1869" t="s">
        <v>21</v>
      </c>
      <c r="AV57" s="1869"/>
      <c r="AW57" s="1771" t="s">
        <v>21</v>
      </c>
      <c r="AX57" s="1869"/>
      <c r="AY57" s="3166" t="s">
        <v>577</v>
      </c>
      <c r="AZ57" s="3164" t="s">
        <v>21</v>
      </c>
      <c r="BA57" s="3167" t="s">
        <v>21</v>
      </c>
      <c r="BB57" s="1961"/>
    </row>
    <row r="58" spans="1:54" s="2505" customFormat="1" ht="20.100000000000001" customHeight="1">
      <c r="A58" s="2539">
        <v>46</v>
      </c>
      <c r="B58" s="2540"/>
      <c r="C58" s="2540"/>
      <c r="D58" s="2541" t="s">
        <v>17</v>
      </c>
      <c r="E58" s="2540">
        <v>1</v>
      </c>
      <c r="F58" s="2541" t="s">
        <v>19</v>
      </c>
      <c r="G58" s="1771" t="s">
        <v>646</v>
      </c>
      <c r="H58" s="2541" t="s">
        <v>141</v>
      </c>
      <c r="I58" s="2540" t="s">
        <v>139</v>
      </c>
      <c r="J58" s="2541" t="s">
        <v>140</v>
      </c>
      <c r="K58" s="2540">
        <v>2</v>
      </c>
      <c r="L58" s="2541" t="s">
        <v>146</v>
      </c>
      <c r="M58" s="2540">
        <f>1/4</f>
        <v>0.25</v>
      </c>
      <c r="N58" s="2540">
        <v>0</v>
      </c>
      <c r="O58" s="2540">
        <v>2</v>
      </c>
      <c r="P58" s="2540">
        <f>1/4</f>
        <v>0.25</v>
      </c>
      <c r="Q58" s="2540">
        <f>1/4</f>
        <v>0.25</v>
      </c>
      <c r="R58" s="2540">
        <v>0</v>
      </c>
      <c r="S58" s="2540"/>
      <c r="T58" s="1851">
        <v>0</v>
      </c>
      <c r="U58" s="1851">
        <v>0</v>
      </c>
      <c r="V58" s="1852">
        <f t="shared" si="5"/>
        <v>0</v>
      </c>
      <c r="W58" s="1852">
        <v>0</v>
      </c>
      <c r="X58" s="1852">
        <f t="shared" si="6"/>
        <v>0</v>
      </c>
      <c r="Y58" s="1863" t="s">
        <v>58</v>
      </c>
      <c r="Z58" s="1863" t="s">
        <v>619</v>
      </c>
      <c r="AA58" s="1852">
        <v>329760000</v>
      </c>
      <c r="AB58" s="1872"/>
      <c r="AC58" s="1852"/>
      <c r="AD58" s="1873"/>
      <c r="AE58" s="1852"/>
      <c r="AF58" s="1873"/>
      <c r="AG58" s="1851">
        <v>0</v>
      </c>
      <c r="AH58" s="1872">
        <v>2016</v>
      </c>
      <c r="AI58" s="3168" t="s">
        <v>734</v>
      </c>
      <c r="AJ58" s="3169" t="s">
        <v>735</v>
      </c>
      <c r="AK58" s="3170" t="s">
        <v>736</v>
      </c>
      <c r="AL58" s="3169" t="s">
        <v>21</v>
      </c>
      <c r="AM58" s="1872">
        <v>2016</v>
      </c>
      <c r="AN58" s="1919" t="s">
        <v>608</v>
      </c>
      <c r="AO58" s="1919" t="s">
        <v>645</v>
      </c>
      <c r="AP58" s="1908" t="s">
        <v>570</v>
      </c>
      <c r="AQ58" s="1908"/>
      <c r="AR58" s="3130" t="s">
        <v>21</v>
      </c>
      <c r="AS58" s="3130" t="s">
        <v>586</v>
      </c>
      <c r="AT58" s="1852">
        <v>329760000</v>
      </c>
      <c r="AU58" s="1863" t="s">
        <v>58</v>
      </c>
      <c r="AV58" s="1863">
        <v>0</v>
      </c>
      <c r="AW58" s="3130" t="s">
        <v>21</v>
      </c>
      <c r="AX58" s="1863" t="s">
        <v>619</v>
      </c>
      <c r="AY58" s="3170" t="s">
        <v>737</v>
      </c>
      <c r="AZ58" s="3171" t="s">
        <v>738</v>
      </c>
      <c r="BA58" s="3157" t="s">
        <v>739</v>
      </c>
      <c r="BB58" s="1964"/>
    </row>
    <row r="59" spans="1:54" s="2505" customFormat="1" ht="20.100000000000001" customHeight="1">
      <c r="A59" s="2539">
        <v>47</v>
      </c>
      <c r="B59" s="2540"/>
      <c r="C59" s="2540"/>
      <c r="D59" s="2541" t="s">
        <v>17</v>
      </c>
      <c r="E59" s="2540">
        <v>1</v>
      </c>
      <c r="F59" s="2541" t="s">
        <v>19</v>
      </c>
      <c r="G59" s="1771" t="s">
        <v>646</v>
      </c>
      <c r="H59" s="2541" t="s">
        <v>141</v>
      </c>
      <c r="I59" s="2540" t="s">
        <v>139</v>
      </c>
      <c r="J59" s="2541" t="s">
        <v>140</v>
      </c>
      <c r="K59" s="2540">
        <v>2</v>
      </c>
      <c r="L59" s="2541" t="s">
        <v>146</v>
      </c>
      <c r="M59" s="2540">
        <f>1/4</f>
        <v>0.25</v>
      </c>
      <c r="N59" s="2540">
        <v>0</v>
      </c>
      <c r="O59" s="2540">
        <v>2</v>
      </c>
      <c r="P59" s="2540">
        <f t="shared" ref="P59:Q61" si="7">1/4</f>
        <v>0.25</v>
      </c>
      <c r="Q59" s="2540">
        <f t="shared" si="7"/>
        <v>0.25</v>
      </c>
      <c r="R59" s="2540">
        <v>0</v>
      </c>
      <c r="S59" s="2540"/>
      <c r="T59" s="1851">
        <v>0</v>
      </c>
      <c r="U59" s="1851">
        <v>0</v>
      </c>
      <c r="V59" s="1852">
        <f t="shared" si="5"/>
        <v>0</v>
      </c>
      <c r="W59" s="1852">
        <v>0</v>
      </c>
      <c r="X59" s="1850">
        <f t="shared" si="6"/>
        <v>0</v>
      </c>
      <c r="Y59" s="1863" t="s">
        <v>62</v>
      </c>
      <c r="Z59" s="1863" t="s">
        <v>619</v>
      </c>
      <c r="AA59" s="1852">
        <v>216500000</v>
      </c>
      <c r="AB59" s="1872"/>
      <c r="AC59" s="1852"/>
      <c r="AD59" s="1873"/>
      <c r="AE59" s="1852"/>
      <c r="AF59" s="1873"/>
      <c r="AG59" s="1851">
        <v>0</v>
      </c>
      <c r="AH59" s="1872">
        <v>2016</v>
      </c>
      <c r="AI59" s="3168" t="s">
        <v>734</v>
      </c>
      <c r="AJ59" s="3169" t="s">
        <v>735</v>
      </c>
      <c r="AK59" s="3170" t="s">
        <v>149</v>
      </c>
      <c r="AL59" s="1929" t="s">
        <v>21</v>
      </c>
      <c r="AM59" s="1872">
        <v>2016</v>
      </c>
      <c r="AN59" s="1919" t="s">
        <v>608</v>
      </c>
      <c r="AO59" s="1919" t="s">
        <v>645</v>
      </c>
      <c r="AP59" s="1908" t="s">
        <v>570</v>
      </c>
      <c r="AQ59" s="1908"/>
      <c r="AR59" s="3130" t="s">
        <v>21</v>
      </c>
      <c r="AS59" s="3130" t="s">
        <v>586</v>
      </c>
      <c r="AT59" s="1852">
        <v>216500000</v>
      </c>
      <c r="AU59" s="1863" t="s">
        <v>62</v>
      </c>
      <c r="AV59" s="1863">
        <f>BB[[#This Row],[NILAI PINJAMAN KONFIRMASI BILA-MULTI]]</f>
        <v>216500000</v>
      </c>
      <c r="AW59" s="3130" t="s">
        <v>740</v>
      </c>
      <c r="AX59" s="1863" t="s">
        <v>619</v>
      </c>
      <c r="AY59" s="3170" t="s">
        <v>741</v>
      </c>
      <c r="AZ59" s="3171" t="s">
        <v>738</v>
      </c>
      <c r="BA59" s="3157" t="s">
        <v>739</v>
      </c>
      <c r="BB59" s="1964"/>
    </row>
    <row r="60" spans="1:54" s="2505" customFormat="1" ht="20.100000000000001" customHeight="1">
      <c r="A60" s="2539">
        <v>47</v>
      </c>
      <c r="B60" s="2540"/>
      <c r="C60" s="2540"/>
      <c r="D60" s="2541" t="s">
        <v>17</v>
      </c>
      <c r="E60" s="2540">
        <v>1</v>
      </c>
      <c r="F60" s="2541" t="s">
        <v>19</v>
      </c>
      <c r="G60" s="1771" t="s">
        <v>646</v>
      </c>
      <c r="H60" s="2541" t="s">
        <v>141</v>
      </c>
      <c r="I60" s="2540" t="s">
        <v>139</v>
      </c>
      <c r="J60" s="2541" t="s">
        <v>140</v>
      </c>
      <c r="K60" s="2540">
        <v>2</v>
      </c>
      <c r="L60" s="2541" t="s">
        <v>146</v>
      </c>
      <c r="M60" s="2540">
        <f>1/4</f>
        <v>0.25</v>
      </c>
      <c r="N60" s="2540">
        <v>0</v>
      </c>
      <c r="O60" s="2540">
        <v>2</v>
      </c>
      <c r="P60" s="2540">
        <f t="shared" si="7"/>
        <v>0.25</v>
      </c>
      <c r="Q60" s="2540">
        <f t="shared" si="7"/>
        <v>0.25</v>
      </c>
      <c r="R60" s="2540">
        <v>0</v>
      </c>
      <c r="S60" s="2540"/>
      <c r="T60" s="1851">
        <v>0</v>
      </c>
      <c r="U60" s="1851">
        <v>0</v>
      </c>
      <c r="V60" s="1852">
        <f t="shared" si="5"/>
        <v>0</v>
      </c>
      <c r="W60" s="1852">
        <v>0</v>
      </c>
      <c r="X60" s="1850">
        <f t="shared" si="6"/>
        <v>0</v>
      </c>
      <c r="Y60" s="1863" t="s">
        <v>21</v>
      </c>
      <c r="Z60" s="1863" t="s">
        <v>619</v>
      </c>
      <c r="AA60" s="1852">
        <v>216500000</v>
      </c>
      <c r="AB60" s="1872"/>
      <c r="AC60" s="1852"/>
      <c r="AD60" s="1873"/>
      <c r="AE60" s="1852"/>
      <c r="AF60" s="1873"/>
      <c r="AG60" s="1851">
        <v>0</v>
      </c>
      <c r="AH60" s="1872">
        <v>2016</v>
      </c>
      <c r="AI60" s="3168" t="s">
        <v>21</v>
      </c>
      <c r="AJ60" s="3169" t="s">
        <v>21</v>
      </c>
      <c r="AK60" s="3170" t="s">
        <v>21</v>
      </c>
      <c r="AL60" s="1929" t="s">
        <v>21</v>
      </c>
      <c r="AM60" s="1872" t="s">
        <v>21</v>
      </c>
      <c r="AN60" s="1919" t="s">
        <v>608</v>
      </c>
      <c r="AO60" s="1919" t="s">
        <v>645</v>
      </c>
      <c r="AP60" s="1908" t="s">
        <v>570</v>
      </c>
      <c r="AQ60" s="1908"/>
      <c r="AR60" s="3130" t="s">
        <v>21</v>
      </c>
      <c r="AS60" s="3130" t="s">
        <v>586</v>
      </c>
      <c r="AT60" s="1852">
        <v>216500000</v>
      </c>
      <c r="AU60" s="1863" t="s">
        <v>636</v>
      </c>
      <c r="AV60" s="1863">
        <f>BB[[#This Row],[NILAI PINJAMAN KONFIRMASI BILA-MULTI]]</f>
        <v>216500000</v>
      </c>
      <c r="AW60" s="3130" t="s">
        <v>742</v>
      </c>
      <c r="AX60" s="1863" t="s">
        <v>619</v>
      </c>
      <c r="AY60" s="3170" t="s">
        <v>21</v>
      </c>
      <c r="AZ60" s="3171" t="s">
        <v>21</v>
      </c>
      <c r="BA60" s="3157" t="s">
        <v>739</v>
      </c>
      <c r="BB60" s="1964"/>
    </row>
    <row r="61" spans="1:54" s="2505" customFormat="1" ht="20.100000000000001" customHeight="1">
      <c r="A61" s="2560">
        <v>47</v>
      </c>
      <c r="B61" s="2561"/>
      <c r="C61" s="2561"/>
      <c r="D61" s="2562" t="s">
        <v>17</v>
      </c>
      <c r="E61" s="2561">
        <v>1</v>
      </c>
      <c r="F61" s="2562" t="s">
        <v>19</v>
      </c>
      <c r="G61" s="1814" t="s">
        <v>646</v>
      </c>
      <c r="H61" s="2541" t="s">
        <v>141</v>
      </c>
      <c r="I61" s="2540" t="s">
        <v>139</v>
      </c>
      <c r="J61" s="2541" t="s">
        <v>140</v>
      </c>
      <c r="K61" s="2540">
        <v>2</v>
      </c>
      <c r="L61" s="2562" t="s">
        <v>146</v>
      </c>
      <c r="M61" s="2561">
        <f>1/4</f>
        <v>0.25</v>
      </c>
      <c r="N61" s="2561">
        <v>0</v>
      </c>
      <c r="O61" s="2561">
        <v>2</v>
      </c>
      <c r="P61" s="2561">
        <f t="shared" si="7"/>
        <v>0.25</v>
      </c>
      <c r="Q61" s="2561">
        <f t="shared" si="7"/>
        <v>0.25</v>
      </c>
      <c r="R61" s="2561">
        <v>0</v>
      </c>
      <c r="S61" s="2561"/>
      <c r="T61" s="1865">
        <v>0</v>
      </c>
      <c r="U61" s="1865">
        <v>0</v>
      </c>
      <c r="V61" s="1866">
        <f t="shared" si="5"/>
        <v>0</v>
      </c>
      <c r="W61" s="1866">
        <v>0</v>
      </c>
      <c r="X61" s="2057">
        <f t="shared" si="6"/>
        <v>0</v>
      </c>
      <c r="Y61" s="1899" t="s">
        <v>633</v>
      </c>
      <c r="Z61" s="1899" t="s">
        <v>633</v>
      </c>
      <c r="AA61" s="1866">
        <v>289880000</v>
      </c>
      <c r="AB61" s="1922"/>
      <c r="AC61" s="1866"/>
      <c r="AD61" s="1902"/>
      <c r="AE61" s="1866"/>
      <c r="AF61" s="1902"/>
      <c r="AG61" s="1865">
        <v>0</v>
      </c>
      <c r="AH61" s="1922" t="s">
        <v>21</v>
      </c>
      <c r="AI61" s="3172" t="s">
        <v>21</v>
      </c>
      <c r="AJ61" s="3173" t="s">
        <v>21</v>
      </c>
      <c r="AK61" s="3174" t="s">
        <v>21</v>
      </c>
      <c r="AL61" s="2099" t="s">
        <v>21</v>
      </c>
      <c r="AM61" s="1922" t="s">
        <v>21</v>
      </c>
      <c r="AN61" s="2100" t="s">
        <v>603</v>
      </c>
      <c r="AO61" s="2100" t="s">
        <v>603</v>
      </c>
      <c r="AP61" s="1923" t="s">
        <v>570</v>
      </c>
      <c r="AQ61" s="1923"/>
      <c r="AR61" s="1923" t="s">
        <v>571</v>
      </c>
      <c r="AS61" s="1923"/>
      <c r="AT61" s="1866">
        <v>289880000</v>
      </c>
      <c r="AU61" s="1899" t="s">
        <v>633</v>
      </c>
      <c r="AV61" s="1899">
        <f>BB[[#This Row],[NILAI PINJAMAN KONFIRMASI BILA-MULTI]]</f>
        <v>289880000</v>
      </c>
      <c r="AW61" s="1814" t="s">
        <v>743</v>
      </c>
      <c r="AX61" s="1899" t="s">
        <v>633</v>
      </c>
      <c r="AY61" s="3174" t="s">
        <v>21</v>
      </c>
      <c r="AZ61" s="3172" t="s">
        <v>21</v>
      </c>
      <c r="BA61" s="3175" t="s">
        <v>739</v>
      </c>
      <c r="BB61" s="1964"/>
    </row>
    <row r="62" spans="1:54" s="645" customFormat="1" ht="20.100000000000001" customHeight="1">
      <c r="A62" s="2548">
        <v>48</v>
      </c>
      <c r="B62" s="2549"/>
      <c r="C62" s="2549"/>
      <c r="D62" s="2550" t="s">
        <v>17</v>
      </c>
      <c r="E62" s="2549">
        <v>1</v>
      </c>
      <c r="F62" s="2550" t="s">
        <v>19</v>
      </c>
      <c r="G62" s="1788" t="s">
        <v>646</v>
      </c>
      <c r="H62" s="2550" t="s">
        <v>141</v>
      </c>
      <c r="I62" s="2549" t="s">
        <v>139</v>
      </c>
      <c r="J62" s="2550" t="s">
        <v>140</v>
      </c>
      <c r="K62" s="2549">
        <v>3</v>
      </c>
      <c r="L62" s="2550" t="s">
        <v>152</v>
      </c>
      <c r="M62" s="2549">
        <v>1</v>
      </c>
      <c r="N62" s="2549">
        <v>1</v>
      </c>
      <c r="O62" s="2549">
        <v>0</v>
      </c>
      <c r="P62" s="2573">
        <v>1</v>
      </c>
      <c r="Q62" s="2549">
        <v>1</v>
      </c>
      <c r="R62" s="2549">
        <v>1</v>
      </c>
      <c r="S62" s="2549">
        <v>41</v>
      </c>
      <c r="T62" s="1856">
        <v>201000000</v>
      </c>
      <c r="U62" s="1856">
        <v>201000000</v>
      </c>
      <c r="V62" s="1856">
        <f t="shared" si="5"/>
        <v>10050000</v>
      </c>
      <c r="W62" s="1856">
        <v>0</v>
      </c>
      <c r="X62" s="1856">
        <f t="shared" si="6"/>
        <v>211050000</v>
      </c>
      <c r="Y62" s="1879" t="s">
        <v>55</v>
      </c>
      <c r="Z62" s="1879" t="s">
        <v>565</v>
      </c>
      <c r="AA62" s="1856">
        <f>T62</f>
        <v>201000000</v>
      </c>
      <c r="AB62" s="1880"/>
      <c r="AC62" s="1856"/>
      <c r="AD62" s="1881"/>
      <c r="AE62" s="1856"/>
      <c r="AF62" s="1881"/>
      <c r="AG62" s="1856"/>
      <c r="AH62" s="1880">
        <v>2016</v>
      </c>
      <c r="AI62" s="3137" t="s">
        <v>21</v>
      </c>
      <c r="AJ62" s="2101" t="s">
        <v>153</v>
      </c>
      <c r="AK62" s="1788" t="s">
        <v>154</v>
      </c>
      <c r="AL62" s="1788" t="s">
        <v>155</v>
      </c>
      <c r="AM62" s="1880"/>
      <c r="AN62" s="1919" t="s">
        <v>608</v>
      </c>
      <c r="AO62" s="1919" t="s">
        <v>729</v>
      </c>
      <c r="AP62" s="1788" t="s">
        <v>570</v>
      </c>
      <c r="AQ62" s="1788"/>
      <c r="AR62" s="1788" t="s">
        <v>571</v>
      </c>
      <c r="AS62" s="1788"/>
      <c r="AT62" s="1856">
        <v>201000000</v>
      </c>
      <c r="AU62" s="1879" t="s">
        <v>55</v>
      </c>
      <c r="AV62" s="1879">
        <f>BB[[#This Row],[NILAI PINJAMAN KONFIRMASI BILA-MULTI]]</f>
        <v>201000000</v>
      </c>
      <c r="AW62" s="3132" t="s">
        <v>21</v>
      </c>
      <c r="AX62" s="1879" t="s">
        <v>565</v>
      </c>
      <c r="AY62" s="3135" t="s">
        <v>744</v>
      </c>
      <c r="AZ62" s="1788"/>
      <c r="BA62" s="2149" t="s">
        <v>745</v>
      </c>
      <c r="BB62" s="1764"/>
    </row>
    <row r="63" spans="1:54" s="645" customFormat="1" ht="20.100000000000001" customHeight="1">
      <c r="A63" s="2548">
        <v>49</v>
      </c>
      <c r="B63" s="2549"/>
      <c r="C63" s="2549"/>
      <c r="D63" s="2550" t="s">
        <v>17</v>
      </c>
      <c r="E63" s="2549">
        <v>1</v>
      </c>
      <c r="F63" s="2550" t="s">
        <v>19</v>
      </c>
      <c r="G63" s="1788" t="s">
        <v>646</v>
      </c>
      <c r="H63" s="2550" t="s">
        <v>141</v>
      </c>
      <c r="I63" s="2549" t="s">
        <v>139</v>
      </c>
      <c r="J63" s="2550" t="s">
        <v>140</v>
      </c>
      <c r="K63" s="2549">
        <v>4</v>
      </c>
      <c r="L63" s="2550" t="s">
        <v>157</v>
      </c>
      <c r="M63" s="2549">
        <v>1</v>
      </c>
      <c r="N63" s="2549">
        <v>1</v>
      </c>
      <c r="O63" s="2549">
        <v>0</v>
      </c>
      <c r="P63" s="2573">
        <v>1</v>
      </c>
      <c r="Q63" s="2549">
        <v>1</v>
      </c>
      <c r="R63" s="2549">
        <v>1</v>
      </c>
      <c r="S63" s="2549">
        <v>42</v>
      </c>
      <c r="T63" s="1856">
        <v>261100000</v>
      </c>
      <c r="U63" s="1856">
        <v>261100000</v>
      </c>
      <c r="V63" s="1856">
        <f t="shared" si="5"/>
        <v>13055000</v>
      </c>
      <c r="W63" s="1856">
        <v>0</v>
      </c>
      <c r="X63" s="1856">
        <f t="shared" si="6"/>
        <v>274155000</v>
      </c>
      <c r="Y63" s="1879" t="s">
        <v>55</v>
      </c>
      <c r="Z63" s="1879" t="s">
        <v>565</v>
      </c>
      <c r="AA63" s="1856">
        <f>T63</f>
        <v>261100000</v>
      </c>
      <c r="AB63" s="1880"/>
      <c r="AC63" s="1856"/>
      <c r="AD63" s="1881"/>
      <c r="AE63" s="1856"/>
      <c r="AF63" s="1881"/>
      <c r="AG63" s="1856"/>
      <c r="AH63" s="1880">
        <v>2016</v>
      </c>
      <c r="AI63" s="3137" t="s">
        <v>21</v>
      </c>
      <c r="AJ63" s="1788" t="s">
        <v>158</v>
      </c>
      <c r="AK63" s="1788" t="s">
        <v>159</v>
      </c>
      <c r="AL63" s="1788" t="s">
        <v>155</v>
      </c>
      <c r="AM63" s="1880"/>
      <c r="AN63" s="1914" t="s">
        <v>608</v>
      </c>
      <c r="AO63" s="1907" t="s">
        <v>645</v>
      </c>
      <c r="AP63" s="1788" t="s">
        <v>570</v>
      </c>
      <c r="AQ63" s="1788"/>
      <c r="AR63" s="1788" t="s">
        <v>571</v>
      </c>
      <c r="AS63" s="1788"/>
      <c r="AT63" s="1856">
        <v>261100000</v>
      </c>
      <c r="AU63" s="1879" t="s">
        <v>55</v>
      </c>
      <c r="AV63" s="1879">
        <f>BB[[#This Row],[NILAI PINJAMAN KONFIRMASI BILA-MULTI]]</f>
        <v>261100000</v>
      </c>
      <c r="AW63" s="3132" t="s">
        <v>21</v>
      </c>
      <c r="AX63" s="1879" t="s">
        <v>565</v>
      </c>
      <c r="AY63" s="3135" t="s">
        <v>746</v>
      </c>
      <c r="AZ63" s="3176" t="s">
        <v>747</v>
      </c>
      <c r="BA63" s="3177" t="s">
        <v>748</v>
      </c>
      <c r="BB63" s="1764"/>
    </row>
    <row r="64" spans="1:54" s="645" customFormat="1" ht="20.100000000000001" customHeight="1">
      <c r="A64" s="2563"/>
      <c r="B64" s="2549"/>
      <c r="C64" s="2549"/>
      <c r="D64" s="2550" t="s">
        <v>17</v>
      </c>
      <c r="E64" s="2549">
        <v>1</v>
      </c>
      <c r="F64" s="2550" t="s">
        <v>19</v>
      </c>
      <c r="G64" s="1788" t="s">
        <v>646</v>
      </c>
      <c r="H64" s="2550" t="s">
        <v>749</v>
      </c>
      <c r="I64" s="2549" t="s">
        <v>161</v>
      </c>
      <c r="J64" s="2550" t="s">
        <v>750</v>
      </c>
      <c r="K64" s="2550"/>
      <c r="L64" s="2550" t="s">
        <v>751</v>
      </c>
      <c r="M64" s="2549">
        <v>1</v>
      </c>
      <c r="N64" s="2549"/>
      <c r="O64" s="2549"/>
      <c r="P64" s="2573"/>
      <c r="Q64" s="2549"/>
      <c r="R64" s="2549"/>
      <c r="S64" s="2549"/>
      <c r="T64" s="2582">
        <v>0</v>
      </c>
      <c r="U64" s="1856">
        <v>225000000</v>
      </c>
      <c r="V64" s="2059">
        <v>25000000</v>
      </c>
      <c r="W64" s="1856">
        <v>0</v>
      </c>
      <c r="X64" s="1856">
        <f>BB[[#This Row],[HIBAH BB]]+BB[[#This Row],[PENDAMPING BB]]+BB[[#This Row],[NILAI PINJAMAN DALAM BB (PERUBAHAN)]]</f>
        <v>250000000</v>
      </c>
      <c r="Y64" s="2071" t="s">
        <v>633</v>
      </c>
      <c r="Z64" s="2072" t="s">
        <v>633</v>
      </c>
      <c r="AA64" s="2073">
        <f>BB[[#This Row],[NILAI PINJAMAN DALAM BB (PERUBAHAN)]]</f>
        <v>225000000</v>
      </c>
      <c r="AB64" s="1880"/>
      <c r="AC64" s="1680"/>
      <c r="AD64" s="2074"/>
      <c r="AE64" s="2075"/>
      <c r="AF64" s="2074"/>
      <c r="AG64" s="1856"/>
      <c r="AH64" s="1880"/>
      <c r="AI64" s="2102"/>
      <c r="AJ64" s="2011"/>
      <c r="AK64" s="2011"/>
      <c r="AL64" s="2011"/>
      <c r="AM64" s="1880"/>
      <c r="AN64" s="1925" t="s">
        <v>603</v>
      </c>
      <c r="AO64" s="1925" t="s">
        <v>603</v>
      </c>
      <c r="AP64" s="2011"/>
      <c r="AQ64" s="1788"/>
      <c r="AR64" s="1788" t="s">
        <v>571</v>
      </c>
      <c r="AS64" s="2144"/>
      <c r="AT64" s="2121">
        <v>225000000</v>
      </c>
      <c r="AU64" s="2072" t="s">
        <v>633</v>
      </c>
      <c r="AV64" s="1879">
        <f>BB[[#This Row],[NILAI PINJAMAN KONFIRMASI BILA-MULTI]]</f>
        <v>225000000</v>
      </c>
      <c r="AW64" s="2144"/>
      <c r="AX64" s="2151"/>
      <c r="AY64" s="260"/>
      <c r="AZ64" s="2006"/>
      <c r="BA64" s="2149"/>
      <c r="BB64" s="1764"/>
    </row>
    <row r="65" spans="1:54" s="2506" customFormat="1" ht="20.100000000000001" customHeight="1">
      <c r="A65" s="2542">
        <v>50</v>
      </c>
      <c r="B65" s="2543"/>
      <c r="C65" s="2543"/>
      <c r="D65" s="2544" t="s">
        <v>17</v>
      </c>
      <c r="E65" s="2543">
        <v>1</v>
      </c>
      <c r="F65" s="2544" t="s">
        <v>19</v>
      </c>
      <c r="G65" s="1778" t="s">
        <v>752</v>
      </c>
      <c r="H65" s="2544" t="s">
        <v>141</v>
      </c>
      <c r="I65" s="2543" t="s">
        <v>185</v>
      </c>
      <c r="J65" s="2544" t="s">
        <v>162</v>
      </c>
      <c r="K65" s="2543">
        <v>1</v>
      </c>
      <c r="L65" s="2544" t="s">
        <v>165</v>
      </c>
      <c r="M65" s="2543">
        <v>0</v>
      </c>
      <c r="N65" s="2543">
        <v>0</v>
      </c>
      <c r="O65" s="2543">
        <v>1</v>
      </c>
      <c r="P65" s="2570">
        <v>0</v>
      </c>
      <c r="Q65" s="2543">
        <v>0</v>
      </c>
      <c r="R65" s="2543">
        <v>0</v>
      </c>
      <c r="S65" s="2543"/>
      <c r="T65" s="1854">
        <f>+T66+T69</f>
        <v>1200000000</v>
      </c>
      <c r="U65" s="1854">
        <f>+U66+U69</f>
        <v>1200000000</v>
      </c>
      <c r="V65" s="1854">
        <f>+V66+V69</f>
        <v>120000000</v>
      </c>
      <c r="W65" s="1854">
        <f>+W66+W69</f>
        <v>0</v>
      </c>
      <c r="X65" s="1854">
        <f>+X66+X69</f>
        <v>1320000000</v>
      </c>
      <c r="Y65" s="1862" t="s">
        <v>21</v>
      </c>
      <c r="Z65" s="1862"/>
      <c r="AA65" s="1854">
        <f>+AA66+AA69</f>
        <v>1200000000</v>
      </c>
      <c r="AB65" s="1874"/>
      <c r="AC65" s="1854"/>
      <c r="AD65" s="1875"/>
      <c r="AE65" s="1854"/>
      <c r="AF65" s="1875"/>
      <c r="AG65" s="1854">
        <f>+BB[[#This Row],[NILAI PINJAMAN PER LENDER]]-BB[[#This Row],[NILAI PINJAMAN DALAM BB]]</f>
        <v>0</v>
      </c>
      <c r="AH65" s="1874" t="s">
        <v>21</v>
      </c>
      <c r="AI65" s="3178" t="s">
        <v>21</v>
      </c>
      <c r="AJ65" s="1778" t="s">
        <v>21</v>
      </c>
      <c r="AK65" s="1778" t="s">
        <v>21</v>
      </c>
      <c r="AL65" s="1778" t="s">
        <v>21</v>
      </c>
      <c r="AM65" s="1874" t="s">
        <v>21</v>
      </c>
      <c r="AN65" s="1907" t="s">
        <v>21</v>
      </c>
      <c r="AO65" s="1907" t="s">
        <v>21</v>
      </c>
      <c r="AP65" s="1778" t="s">
        <v>21</v>
      </c>
      <c r="AQ65" s="1778"/>
      <c r="AR65" s="1778" t="s">
        <v>21</v>
      </c>
      <c r="AS65" s="1778"/>
      <c r="AT65" s="1854">
        <f>SUM(AT67:AT71)</f>
        <v>1600000000</v>
      </c>
      <c r="AU65" s="1862" t="s">
        <v>21</v>
      </c>
      <c r="AV65" s="1862"/>
      <c r="AW65" s="2030" t="s">
        <v>21</v>
      </c>
      <c r="AX65" s="1862"/>
      <c r="AY65" s="1778" t="s">
        <v>577</v>
      </c>
      <c r="AZ65" s="1778"/>
      <c r="BA65" s="1965" t="s">
        <v>753</v>
      </c>
      <c r="BB65" s="1967"/>
    </row>
    <row r="66" spans="1:54" s="2513" customFormat="1" ht="20.100000000000001" customHeight="1">
      <c r="A66" s="2588">
        <v>51</v>
      </c>
      <c r="B66" s="2589"/>
      <c r="C66" s="2589"/>
      <c r="D66" s="2590" t="s">
        <v>17</v>
      </c>
      <c r="E66" s="2589">
        <v>1</v>
      </c>
      <c r="F66" s="2590" t="s">
        <v>19</v>
      </c>
      <c r="G66" s="2022" t="s">
        <v>752</v>
      </c>
      <c r="H66" s="2590" t="s">
        <v>163</v>
      </c>
      <c r="I66" s="2589" t="s">
        <v>185</v>
      </c>
      <c r="J66" s="2590" t="s">
        <v>162</v>
      </c>
      <c r="K66" s="2589">
        <v>1</v>
      </c>
      <c r="L66" s="2590" t="s">
        <v>754</v>
      </c>
      <c r="M66" s="2589">
        <v>0</v>
      </c>
      <c r="N66" s="2589"/>
      <c r="O66" s="2589"/>
      <c r="P66" s="2599"/>
      <c r="Q66" s="2599"/>
      <c r="R66" s="2599">
        <v>1</v>
      </c>
      <c r="S66" s="2599">
        <v>43</v>
      </c>
      <c r="T66" s="2060">
        <v>700000000</v>
      </c>
      <c r="U66" s="2060">
        <v>700000000</v>
      </c>
      <c r="V66" s="2061">
        <v>70000000</v>
      </c>
      <c r="W66" s="2061">
        <v>0</v>
      </c>
      <c r="X66" s="2061">
        <f>+BB[[#This Row],[NILAI PINJAMAN DALAM BB]]+BB[[#This Row],[PENDAMPING BB]]+BB[[#This Row],[HIBAH BB]]</f>
        <v>770000000</v>
      </c>
      <c r="Y66" s="2060" t="s">
        <v>21</v>
      </c>
      <c r="Z66" s="2076" t="s">
        <v>21</v>
      </c>
      <c r="AA66" s="2061">
        <v>700000000</v>
      </c>
      <c r="AB66" s="2077">
        <v>1</v>
      </c>
      <c r="AC66" s="2061">
        <v>700000000</v>
      </c>
      <c r="AD66" s="2078"/>
      <c r="AE66" s="2061"/>
      <c r="AF66" s="2078"/>
      <c r="AG66" s="2060">
        <v>0</v>
      </c>
      <c r="AH66" s="2077">
        <v>2016</v>
      </c>
      <c r="AI66" s="3179" t="s">
        <v>755</v>
      </c>
      <c r="AJ66" s="2103" t="s">
        <v>756</v>
      </c>
      <c r="AK66" s="2103" t="s">
        <v>21</v>
      </c>
      <c r="AL66" s="2103" t="s">
        <v>79</v>
      </c>
      <c r="AM66" s="2104">
        <v>2016</v>
      </c>
      <c r="AN66" s="2022" t="s">
        <v>568</v>
      </c>
      <c r="AO66" s="2022" t="s">
        <v>603</v>
      </c>
      <c r="AP66" s="2022" t="s">
        <v>570</v>
      </c>
      <c r="AQ66" s="2022"/>
      <c r="AR66" s="2022" t="s">
        <v>21</v>
      </c>
      <c r="AS66" s="2022"/>
      <c r="AT66" s="2061">
        <v>600000000</v>
      </c>
      <c r="AU66" s="2060" t="s">
        <v>117</v>
      </c>
      <c r="AV66" s="2060"/>
      <c r="AW66" s="2022" t="s">
        <v>21</v>
      </c>
      <c r="AX66" s="2076" t="s">
        <v>619</v>
      </c>
      <c r="AY66" s="3180" t="s">
        <v>757</v>
      </c>
      <c r="AZ66" s="3181" t="s">
        <v>758</v>
      </c>
      <c r="BA66" s="2152" t="s">
        <v>759</v>
      </c>
      <c r="BB66" s="2154"/>
    </row>
    <row r="67" spans="1:54" s="2507" customFormat="1" ht="20.100000000000001" customHeight="1">
      <c r="A67" s="2545">
        <v>51</v>
      </c>
      <c r="B67" s="2546"/>
      <c r="C67" s="2546"/>
      <c r="D67" s="2547" t="s">
        <v>17</v>
      </c>
      <c r="E67" s="2546">
        <v>1</v>
      </c>
      <c r="F67" s="2547" t="s">
        <v>19</v>
      </c>
      <c r="G67" s="1788" t="s">
        <v>752</v>
      </c>
      <c r="H67" s="2547" t="s">
        <v>163</v>
      </c>
      <c r="I67" s="2546" t="s">
        <v>185</v>
      </c>
      <c r="J67" s="2547" t="s">
        <v>162</v>
      </c>
      <c r="K67" s="2546">
        <v>1</v>
      </c>
      <c r="L67" s="2547" t="s">
        <v>754</v>
      </c>
      <c r="M67" s="2546">
        <v>0.5</v>
      </c>
      <c r="N67" s="2546">
        <v>1</v>
      </c>
      <c r="O67" s="2546">
        <v>2</v>
      </c>
      <c r="P67" s="2549">
        <v>0.5</v>
      </c>
      <c r="Q67" s="2549">
        <v>0.5</v>
      </c>
      <c r="R67" s="2549">
        <v>0</v>
      </c>
      <c r="S67" s="2549">
        <v>43</v>
      </c>
      <c r="T67" s="1876">
        <v>0</v>
      </c>
      <c r="U67" s="1876">
        <v>0</v>
      </c>
      <c r="V67" s="1855">
        <v>0</v>
      </c>
      <c r="W67" s="1855">
        <v>0</v>
      </c>
      <c r="X67" s="1855">
        <f>+BB[[#This Row],[NILAI PINJAMAN DALAM BB]]+BB[[#This Row],[PENDAMPING BB]]+BB[[#This Row],[HIBAH BB]]</f>
        <v>0</v>
      </c>
      <c r="Y67" s="1876" t="s">
        <v>117</v>
      </c>
      <c r="Z67" s="1879" t="s">
        <v>619</v>
      </c>
      <c r="AA67" s="1855">
        <v>600000000</v>
      </c>
      <c r="AB67" s="1877">
        <v>1</v>
      </c>
      <c r="AC67" s="1855">
        <v>600000000</v>
      </c>
      <c r="AD67" s="1878"/>
      <c r="AE67" s="1855"/>
      <c r="AF67" s="1878"/>
      <c r="AG67" s="1876">
        <v>0</v>
      </c>
      <c r="AH67" s="1877">
        <v>2016</v>
      </c>
      <c r="AI67" s="3182" t="s">
        <v>755</v>
      </c>
      <c r="AJ67" s="1970" t="s">
        <v>756</v>
      </c>
      <c r="AK67" s="1970" t="s">
        <v>21</v>
      </c>
      <c r="AL67" s="1970" t="s">
        <v>79</v>
      </c>
      <c r="AM67" s="1880" t="s">
        <v>581</v>
      </c>
      <c r="AN67" s="1907" t="s">
        <v>568</v>
      </c>
      <c r="AO67" s="1907" t="s">
        <v>603</v>
      </c>
      <c r="AP67" s="1788" t="s">
        <v>570</v>
      </c>
      <c r="AQ67" s="1788"/>
      <c r="AR67" s="1788" t="s">
        <v>21</v>
      </c>
      <c r="AS67" s="1788" t="s">
        <v>623</v>
      </c>
      <c r="AT67" s="1855">
        <v>600000000</v>
      </c>
      <c r="AU67" s="1876" t="s">
        <v>117</v>
      </c>
      <c r="AV67" s="1876">
        <f>BB[[#This Row],[NILAI PINJAMAN KONFIRMASI BILA-MULTI]]</f>
        <v>600000000</v>
      </c>
      <c r="AW67" s="1788" t="s">
        <v>21</v>
      </c>
      <c r="AX67" s="1879" t="s">
        <v>619</v>
      </c>
      <c r="AY67" s="3161" t="s">
        <v>757</v>
      </c>
      <c r="AZ67" s="3183" t="s">
        <v>758</v>
      </c>
      <c r="BA67" s="2155" t="s">
        <v>759</v>
      </c>
      <c r="BB67" s="1971"/>
    </row>
    <row r="68" spans="1:54" s="2507" customFormat="1" ht="20.100000000000001" customHeight="1">
      <c r="A68" s="2545">
        <v>52</v>
      </c>
      <c r="B68" s="2546"/>
      <c r="C68" s="2546"/>
      <c r="D68" s="2547" t="s">
        <v>17</v>
      </c>
      <c r="E68" s="2546">
        <v>1</v>
      </c>
      <c r="F68" s="2547" t="s">
        <v>19</v>
      </c>
      <c r="G68" s="1788" t="s">
        <v>752</v>
      </c>
      <c r="H68" s="2547" t="s">
        <v>163</v>
      </c>
      <c r="I68" s="2546" t="s">
        <v>185</v>
      </c>
      <c r="J68" s="2547" t="s">
        <v>162</v>
      </c>
      <c r="K68" s="2546">
        <v>1</v>
      </c>
      <c r="L68" s="2547" t="s">
        <v>754</v>
      </c>
      <c r="M68" s="2546">
        <v>0.5</v>
      </c>
      <c r="N68" s="2546">
        <v>0</v>
      </c>
      <c r="O68" s="2546">
        <v>2</v>
      </c>
      <c r="P68" s="2549">
        <v>0.5</v>
      </c>
      <c r="Q68" s="2549">
        <v>0.5</v>
      </c>
      <c r="R68" s="2549">
        <v>0</v>
      </c>
      <c r="S68" s="2549"/>
      <c r="T68" s="1876">
        <v>0</v>
      </c>
      <c r="U68" s="1876">
        <v>0</v>
      </c>
      <c r="V68" s="1855">
        <v>0</v>
      </c>
      <c r="W68" s="1855">
        <v>0</v>
      </c>
      <c r="X68" s="1855">
        <f>+BB[[#This Row],[NILAI PINJAMAN DALAM BB]]+BB[[#This Row],[PENDAMPING BB]]+BB[[#This Row],[HIBAH BB]]</f>
        <v>0</v>
      </c>
      <c r="Y68" s="1876" t="s">
        <v>170</v>
      </c>
      <c r="Z68" s="1879" t="s">
        <v>619</v>
      </c>
      <c r="AA68" s="1855">
        <v>100000000</v>
      </c>
      <c r="AB68" s="1877">
        <v>1</v>
      </c>
      <c r="AC68" s="1855">
        <v>100000000</v>
      </c>
      <c r="AD68" s="1878"/>
      <c r="AE68" s="1855"/>
      <c r="AF68" s="1878"/>
      <c r="AG68" s="1876">
        <v>0</v>
      </c>
      <c r="AH68" s="1877">
        <v>2015</v>
      </c>
      <c r="AI68" s="3182" t="s">
        <v>755</v>
      </c>
      <c r="AJ68" s="1970" t="s">
        <v>756</v>
      </c>
      <c r="AK68" s="1970" t="s">
        <v>21</v>
      </c>
      <c r="AL68" s="1970" t="s">
        <v>79</v>
      </c>
      <c r="AM68" s="1880" t="s">
        <v>581</v>
      </c>
      <c r="AN68" s="1907" t="s">
        <v>568</v>
      </c>
      <c r="AO68" s="1907" t="s">
        <v>603</v>
      </c>
      <c r="AP68" s="1788" t="s">
        <v>570</v>
      </c>
      <c r="AQ68" s="1788"/>
      <c r="AR68" s="1788" t="s">
        <v>21</v>
      </c>
      <c r="AS68" s="1788" t="s">
        <v>623</v>
      </c>
      <c r="AT68" s="1855">
        <v>100000000</v>
      </c>
      <c r="AU68" s="1876" t="s">
        <v>170</v>
      </c>
      <c r="AV68" s="1876">
        <f>BB[[#This Row],[NILAI PINJAMAN KONFIRMASI BILA-MULTI]]</f>
        <v>100000000</v>
      </c>
      <c r="AW68" s="1788" t="s">
        <v>21</v>
      </c>
      <c r="AX68" s="1879" t="s">
        <v>619</v>
      </c>
      <c r="AY68" s="3161" t="s">
        <v>757</v>
      </c>
      <c r="AZ68" s="1970"/>
      <c r="BA68" s="2155" t="s">
        <v>759</v>
      </c>
      <c r="BB68" s="1971"/>
    </row>
    <row r="69" spans="1:54" s="2514" customFormat="1" ht="20.100000000000001" customHeight="1">
      <c r="A69" s="2591">
        <v>53</v>
      </c>
      <c r="B69" s="2592"/>
      <c r="C69" s="2592"/>
      <c r="D69" s="2593" t="s">
        <v>17</v>
      </c>
      <c r="E69" s="2592">
        <v>1</v>
      </c>
      <c r="F69" s="2593" t="s">
        <v>19</v>
      </c>
      <c r="G69" s="2022" t="s">
        <v>752</v>
      </c>
      <c r="H69" s="2593" t="s">
        <v>163</v>
      </c>
      <c r="I69" s="2592" t="s">
        <v>185</v>
      </c>
      <c r="J69" s="2593" t="s">
        <v>162</v>
      </c>
      <c r="K69" s="2592">
        <v>1</v>
      </c>
      <c r="L69" s="2593" t="s">
        <v>760</v>
      </c>
      <c r="M69" s="2592">
        <v>0</v>
      </c>
      <c r="N69" s="2592">
        <v>1</v>
      </c>
      <c r="O69" s="2592">
        <v>2</v>
      </c>
      <c r="P69" s="2600">
        <v>1</v>
      </c>
      <c r="Q69" s="2611">
        <v>1</v>
      </c>
      <c r="R69" s="2611">
        <v>1</v>
      </c>
      <c r="S69" s="2611">
        <v>44</v>
      </c>
      <c r="T69" s="2063">
        <v>500000000</v>
      </c>
      <c r="U69" s="2063">
        <v>500000000</v>
      </c>
      <c r="V69" s="2064">
        <v>50000000</v>
      </c>
      <c r="W69" s="2064">
        <v>0</v>
      </c>
      <c r="X69" s="2064">
        <f>+BB[[#This Row],[NILAI PINJAMAN DALAM BB]]+BB[[#This Row],[PENDAMPING BB]]+BB[[#This Row],[HIBAH BB]]</f>
        <v>550000000</v>
      </c>
      <c r="Y69" s="2060" t="s">
        <v>21</v>
      </c>
      <c r="Z69" s="2060" t="s">
        <v>21</v>
      </c>
      <c r="AA69" s="2064">
        <v>500000000</v>
      </c>
      <c r="AB69" s="2079"/>
      <c r="AC69" s="2064"/>
      <c r="AD69" s="2080"/>
      <c r="AE69" s="2064"/>
      <c r="AF69" s="2080"/>
      <c r="AG69" s="2063">
        <v>0</v>
      </c>
      <c r="AH69" s="2079" t="s">
        <v>617</v>
      </c>
      <c r="AI69" s="2105" t="s">
        <v>21</v>
      </c>
      <c r="AJ69" s="2105" t="s">
        <v>21</v>
      </c>
      <c r="AK69" s="2105" t="s">
        <v>21</v>
      </c>
      <c r="AL69" s="2105" t="s">
        <v>21</v>
      </c>
      <c r="AM69" s="2106"/>
      <c r="AN69" s="2107" t="s">
        <v>603</v>
      </c>
      <c r="AO69" s="2107" t="s">
        <v>603</v>
      </c>
      <c r="AP69" s="2107" t="s">
        <v>570</v>
      </c>
      <c r="AQ69" s="2107"/>
      <c r="AR69" s="2107" t="s">
        <v>21</v>
      </c>
      <c r="AS69" s="2107"/>
      <c r="AT69" s="2064">
        <v>400000000</v>
      </c>
      <c r="AU69" s="2060" t="s">
        <v>21</v>
      </c>
      <c r="AV69" s="2060"/>
      <c r="AW69" s="2107" t="s">
        <v>761</v>
      </c>
      <c r="AX69" s="2060" t="s">
        <v>619</v>
      </c>
      <c r="AY69" s="2157" t="s">
        <v>577</v>
      </c>
      <c r="AZ69" s="2157"/>
      <c r="BA69" s="2158" t="s">
        <v>762</v>
      </c>
      <c r="BB69" s="2160"/>
    </row>
    <row r="70" spans="1:54" s="2507" customFormat="1" ht="20.100000000000001" customHeight="1">
      <c r="A70" s="2545">
        <v>53</v>
      </c>
      <c r="B70" s="2546"/>
      <c r="C70" s="2546"/>
      <c r="D70" s="2547" t="s">
        <v>17</v>
      </c>
      <c r="E70" s="2546">
        <v>1</v>
      </c>
      <c r="F70" s="2547" t="s">
        <v>19</v>
      </c>
      <c r="G70" s="2026" t="s">
        <v>752</v>
      </c>
      <c r="H70" s="2547" t="s">
        <v>163</v>
      </c>
      <c r="I70" s="2546" t="s">
        <v>185</v>
      </c>
      <c r="J70" s="2547" t="s">
        <v>162</v>
      </c>
      <c r="K70" s="2546">
        <v>1</v>
      </c>
      <c r="L70" s="2547" t="s">
        <v>760</v>
      </c>
      <c r="M70" s="2546">
        <v>0.5</v>
      </c>
      <c r="N70" s="2546">
        <v>1</v>
      </c>
      <c r="O70" s="2546">
        <v>2</v>
      </c>
      <c r="P70" s="2572">
        <v>1</v>
      </c>
      <c r="Q70" s="2546">
        <v>1</v>
      </c>
      <c r="R70" s="2546">
        <v>0</v>
      </c>
      <c r="S70" s="2546">
        <v>44</v>
      </c>
      <c r="T70" s="1876">
        <v>500000000</v>
      </c>
      <c r="U70" s="1876">
        <v>500000000</v>
      </c>
      <c r="V70" s="1855">
        <v>50000000</v>
      </c>
      <c r="W70" s="1855">
        <v>0</v>
      </c>
      <c r="X70" s="1855">
        <f>+BB[[#This Row],[NILAI PINJAMAN DALAM BB]]+BB[[#This Row],[PENDAMPING BB]]+BB[[#This Row],[HIBAH BB]]</f>
        <v>550000000</v>
      </c>
      <c r="Y70" s="1903" t="s">
        <v>117</v>
      </c>
      <c r="Z70" s="1903" t="s">
        <v>619</v>
      </c>
      <c r="AA70" s="1855">
        <v>500000000</v>
      </c>
      <c r="AB70" s="1877"/>
      <c r="AC70" s="1855"/>
      <c r="AD70" s="1878"/>
      <c r="AE70" s="1855"/>
      <c r="AF70" s="1878"/>
      <c r="AG70" s="1876">
        <v>0</v>
      </c>
      <c r="AH70" s="1877" t="s">
        <v>617</v>
      </c>
      <c r="AI70" s="1970" t="s">
        <v>21</v>
      </c>
      <c r="AJ70" s="1970" t="s">
        <v>21</v>
      </c>
      <c r="AK70" s="1970" t="s">
        <v>21</v>
      </c>
      <c r="AL70" s="1970" t="s">
        <v>21</v>
      </c>
      <c r="AM70" s="2618"/>
      <c r="AN70" s="1910" t="s">
        <v>603</v>
      </c>
      <c r="AO70" s="1910" t="s">
        <v>603</v>
      </c>
      <c r="AP70" s="1912" t="s">
        <v>570</v>
      </c>
      <c r="AQ70" s="1912"/>
      <c r="AR70" s="3184" t="s">
        <v>763</v>
      </c>
      <c r="AS70" s="2122"/>
      <c r="AT70" s="1855">
        <v>400000000</v>
      </c>
      <c r="AU70" s="1903" t="s">
        <v>117</v>
      </c>
      <c r="AV70" s="1903">
        <f>BB[[#This Row],[NILAI PINJAMAN KONFIRMASI BILA-MULTI]]</f>
        <v>400000000</v>
      </c>
      <c r="AW70" s="1912" t="s">
        <v>761</v>
      </c>
      <c r="AX70" s="1903" t="s">
        <v>619</v>
      </c>
      <c r="AY70" s="1970" t="s">
        <v>577</v>
      </c>
      <c r="AZ70" s="2161"/>
      <c r="BA70" s="2162" t="s">
        <v>762</v>
      </c>
      <c r="BB70" s="1971"/>
    </row>
    <row r="71" spans="1:54" s="2507" customFormat="1" ht="20.100000000000001" customHeight="1">
      <c r="A71" s="2545">
        <v>53</v>
      </c>
      <c r="B71" s="2546"/>
      <c r="C71" s="2546"/>
      <c r="D71" s="2547" t="s">
        <v>17</v>
      </c>
      <c r="E71" s="2546">
        <v>1</v>
      </c>
      <c r="F71" s="2547" t="s">
        <v>19</v>
      </c>
      <c r="G71" s="2026" t="s">
        <v>752</v>
      </c>
      <c r="H71" s="2547" t="s">
        <v>163</v>
      </c>
      <c r="I71" s="2546" t="s">
        <v>185</v>
      </c>
      <c r="J71" s="2547" t="s">
        <v>162</v>
      </c>
      <c r="K71" s="2546">
        <v>1</v>
      </c>
      <c r="L71" s="2547" t="s">
        <v>760</v>
      </c>
      <c r="M71" s="2546">
        <v>0.5</v>
      </c>
      <c r="N71" s="2546">
        <v>1</v>
      </c>
      <c r="O71" s="2546">
        <v>2</v>
      </c>
      <c r="P71" s="2572">
        <v>1</v>
      </c>
      <c r="Q71" s="2546">
        <v>1</v>
      </c>
      <c r="R71" s="2546">
        <v>0</v>
      </c>
      <c r="S71" s="2546">
        <v>44</v>
      </c>
      <c r="T71" s="1876">
        <v>500000000</v>
      </c>
      <c r="U71" s="1876">
        <v>500000000</v>
      </c>
      <c r="V71" s="1855">
        <v>50000000</v>
      </c>
      <c r="W71" s="1855">
        <v>0</v>
      </c>
      <c r="X71" s="1855">
        <f>+BB[[#This Row],[NILAI PINJAMAN DALAM BB]]+BB[[#This Row],[PENDAMPING BB]]+BB[[#This Row],[HIBAH BB]]</f>
        <v>550000000</v>
      </c>
      <c r="Y71" s="1903" t="s">
        <v>117</v>
      </c>
      <c r="Z71" s="1903" t="s">
        <v>619</v>
      </c>
      <c r="AA71" s="1855">
        <v>500000000</v>
      </c>
      <c r="AB71" s="1877"/>
      <c r="AC71" s="1855"/>
      <c r="AD71" s="1878"/>
      <c r="AE71" s="1855"/>
      <c r="AF71" s="1878"/>
      <c r="AG71" s="1876">
        <v>0</v>
      </c>
      <c r="AH71" s="1877" t="s">
        <v>617</v>
      </c>
      <c r="AI71" s="1970" t="s">
        <v>21</v>
      </c>
      <c r="AJ71" s="1970" t="s">
        <v>21</v>
      </c>
      <c r="AK71" s="1970" t="s">
        <v>21</v>
      </c>
      <c r="AL71" s="1970" t="s">
        <v>21</v>
      </c>
      <c r="AM71" s="2618"/>
      <c r="AN71" s="1910" t="s">
        <v>603</v>
      </c>
      <c r="AO71" s="1910" t="s">
        <v>603</v>
      </c>
      <c r="AP71" s="1912" t="s">
        <v>570</v>
      </c>
      <c r="AQ71" s="1912"/>
      <c r="AR71" s="3184" t="s">
        <v>763</v>
      </c>
      <c r="AS71" s="2122"/>
      <c r="AT71" s="1855">
        <v>100000000</v>
      </c>
      <c r="AU71" s="2084" t="s">
        <v>633</v>
      </c>
      <c r="AV71" s="1903">
        <f>BB[[#This Row],[NILAI PINJAMAN KONFIRMASI BILA-MULTI]]</f>
        <v>100000000</v>
      </c>
      <c r="AW71" s="1912" t="s">
        <v>21</v>
      </c>
      <c r="AX71" s="1903" t="s">
        <v>633</v>
      </c>
      <c r="AY71" s="1970" t="s">
        <v>577</v>
      </c>
      <c r="AZ71" s="2161"/>
      <c r="BA71" s="2162" t="s">
        <v>762</v>
      </c>
      <c r="BB71" s="1971"/>
    </row>
    <row r="72" spans="1:54" s="645" customFormat="1" ht="20.100000000000001" customHeight="1">
      <c r="A72" s="2548">
        <v>54</v>
      </c>
      <c r="B72" s="2549"/>
      <c r="C72" s="2549"/>
      <c r="D72" s="2550" t="s">
        <v>17</v>
      </c>
      <c r="E72" s="2549">
        <v>1</v>
      </c>
      <c r="F72" s="2550" t="s">
        <v>19</v>
      </c>
      <c r="G72" s="1788" t="s">
        <v>752</v>
      </c>
      <c r="H72" s="2550" t="s">
        <v>163</v>
      </c>
      <c r="I72" s="2546" t="s">
        <v>185</v>
      </c>
      <c r="J72" s="2550" t="s">
        <v>162</v>
      </c>
      <c r="K72" s="2549">
        <v>2</v>
      </c>
      <c r="L72" s="2550" t="s">
        <v>172</v>
      </c>
      <c r="M72" s="2549">
        <v>1</v>
      </c>
      <c r="N72" s="2549">
        <v>1</v>
      </c>
      <c r="O72" s="2549">
        <v>0</v>
      </c>
      <c r="P72" s="2573">
        <v>1</v>
      </c>
      <c r="Q72" s="2549">
        <v>1</v>
      </c>
      <c r="R72" s="2549">
        <v>1</v>
      </c>
      <c r="S72" s="2549">
        <v>45</v>
      </c>
      <c r="T72" s="1856">
        <v>195778000</v>
      </c>
      <c r="U72" s="1856">
        <v>195778000</v>
      </c>
      <c r="V72" s="1856">
        <v>27149500</v>
      </c>
      <c r="W72" s="1856">
        <v>0</v>
      </c>
      <c r="X72" s="1856">
        <f t="shared" ref="X72:X106" si="8">T72+V72+W72</f>
        <v>222927500</v>
      </c>
      <c r="Y72" s="1879" t="s">
        <v>28</v>
      </c>
      <c r="Z72" s="1879" t="s">
        <v>565</v>
      </c>
      <c r="AA72" s="1856">
        <f t="shared" ref="AA72:AA77" si="9">T72</f>
        <v>195778000</v>
      </c>
      <c r="AB72" s="1880">
        <v>1</v>
      </c>
      <c r="AC72" s="1856">
        <v>195778000</v>
      </c>
      <c r="AD72" s="1881"/>
      <c r="AE72" s="1856"/>
      <c r="AF72" s="1881"/>
      <c r="AG72" s="1856">
        <v>0</v>
      </c>
      <c r="AH72" s="1880">
        <v>2016</v>
      </c>
      <c r="AI72" s="3161" t="s">
        <v>644</v>
      </c>
      <c r="AJ72" s="91" t="s">
        <v>756</v>
      </c>
      <c r="AK72" s="91" t="s">
        <v>411</v>
      </c>
      <c r="AL72" s="91" t="s">
        <v>79</v>
      </c>
      <c r="AM72" s="2583" t="s">
        <v>581</v>
      </c>
      <c r="AN72" s="1907" t="s">
        <v>603</v>
      </c>
      <c r="AO72" s="1907" t="s">
        <v>603</v>
      </c>
      <c r="AP72" s="1788" t="s">
        <v>570</v>
      </c>
      <c r="AQ72" s="1788"/>
      <c r="AR72" s="1974" t="s">
        <v>21</v>
      </c>
      <c r="AS72" s="1974" t="s">
        <v>764</v>
      </c>
      <c r="AT72" s="1856">
        <v>195778000</v>
      </c>
      <c r="AU72" s="1879" t="s">
        <v>28</v>
      </c>
      <c r="AV72" s="1903">
        <f>BB[[#This Row],[NILAI PINJAMAN KONFIRMASI BILA-MULTI]]</f>
        <v>195778000</v>
      </c>
      <c r="AW72" s="1788" t="s">
        <v>765</v>
      </c>
      <c r="AX72" s="1879" t="s">
        <v>565</v>
      </c>
      <c r="AY72" s="91" t="s">
        <v>577</v>
      </c>
      <c r="AZ72" s="91"/>
      <c r="BA72" s="2149" t="s">
        <v>766</v>
      </c>
      <c r="BB72" s="1764"/>
    </row>
    <row r="73" spans="1:54" s="645" customFormat="1" ht="20.100000000000001" customHeight="1">
      <c r="A73" s="2548">
        <v>55</v>
      </c>
      <c r="B73" s="2549"/>
      <c r="C73" s="2549"/>
      <c r="D73" s="2550" t="s">
        <v>17</v>
      </c>
      <c r="E73" s="2549">
        <v>1</v>
      </c>
      <c r="F73" s="2550" t="s">
        <v>19</v>
      </c>
      <c r="G73" s="1788" t="s">
        <v>752</v>
      </c>
      <c r="H73" s="2550" t="s">
        <v>163</v>
      </c>
      <c r="I73" s="2546" t="s">
        <v>185</v>
      </c>
      <c r="J73" s="2550" t="s">
        <v>162</v>
      </c>
      <c r="K73" s="2549">
        <v>3</v>
      </c>
      <c r="L73" s="2550" t="s">
        <v>174</v>
      </c>
      <c r="M73" s="2549">
        <v>1</v>
      </c>
      <c r="N73" s="2549">
        <v>1</v>
      </c>
      <c r="O73" s="2549">
        <v>0</v>
      </c>
      <c r="P73" s="2573">
        <v>1</v>
      </c>
      <c r="Q73" s="2549">
        <v>1</v>
      </c>
      <c r="R73" s="2549">
        <v>1</v>
      </c>
      <c r="S73" s="2549">
        <v>46</v>
      </c>
      <c r="T73" s="1856">
        <v>480000000</v>
      </c>
      <c r="U73" s="1856">
        <v>480000000</v>
      </c>
      <c r="V73" s="1856">
        <v>48000000</v>
      </c>
      <c r="W73" s="1856">
        <v>0</v>
      </c>
      <c r="X73" s="1856">
        <f t="shared" si="8"/>
        <v>528000000</v>
      </c>
      <c r="Y73" s="1879" t="s">
        <v>55</v>
      </c>
      <c r="Z73" s="1879" t="s">
        <v>565</v>
      </c>
      <c r="AA73" s="1856">
        <f t="shared" si="9"/>
        <v>480000000</v>
      </c>
      <c r="AB73" s="1880"/>
      <c r="AC73" s="1856"/>
      <c r="AD73" s="1881"/>
      <c r="AE73" s="1856"/>
      <c r="AF73" s="1881"/>
      <c r="AG73" s="1856">
        <v>0</v>
      </c>
      <c r="AH73" s="1880">
        <v>2017</v>
      </c>
      <c r="AI73" s="2012" t="s">
        <v>738</v>
      </c>
      <c r="AJ73" s="91" t="s">
        <v>97</v>
      </c>
      <c r="AK73" s="91" t="s">
        <v>411</v>
      </c>
      <c r="AL73" s="91" t="s">
        <v>21</v>
      </c>
      <c r="AM73" s="2583">
        <v>2016</v>
      </c>
      <c r="AN73" s="1907" t="s">
        <v>568</v>
      </c>
      <c r="AO73" s="1907" t="s">
        <v>645</v>
      </c>
      <c r="AP73" s="1788" t="s">
        <v>570</v>
      </c>
      <c r="AQ73" s="1788"/>
      <c r="AR73" s="2123" t="s">
        <v>21</v>
      </c>
      <c r="AS73" s="2123" t="s">
        <v>623</v>
      </c>
      <c r="AT73" s="1856">
        <v>480000000</v>
      </c>
      <c r="AU73" s="1879" t="s">
        <v>55</v>
      </c>
      <c r="AV73" s="1903">
        <f>BB[[#This Row],[NILAI PINJAMAN KONFIRMASI BILA-MULTI]]</f>
        <v>480000000</v>
      </c>
      <c r="AW73" s="1788" t="s">
        <v>21</v>
      </c>
      <c r="AX73" s="1879" t="s">
        <v>565</v>
      </c>
      <c r="AY73" s="91" t="s">
        <v>577</v>
      </c>
      <c r="AZ73" s="91"/>
      <c r="BA73" s="3185" t="s">
        <v>767</v>
      </c>
      <c r="BB73" s="1764"/>
    </row>
    <row r="74" spans="1:54" s="645" customFormat="1" ht="20.100000000000001" customHeight="1">
      <c r="A74" s="2548">
        <v>56</v>
      </c>
      <c r="B74" s="2549"/>
      <c r="C74" s="2549"/>
      <c r="D74" s="2550" t="s">
        <v>17</v>
      </c>
      <c r="E74" s="2549">
        <v>1</v>
      </c>
      <c r="F74" s="2550" t="s">
        <v>19</v>
      </c>
      <c r="G74" s="1788" t="s">
        <v>752</v>
      </c>
      <c r="H74" s="2550" t="s">
        <v>163</v>
      </c>
      <c r="I74" s="2546" t="s">
        <v>185</v>
      </c>
      <c r="J74" s="2550" t="s">
        <v>162</v>
      </c>
      <c r="K74" s="2549">
        <v>4</v>
      </c>
      <c r="L74" s="2550" t="s">
        <v>175</v>
      </c>
      <c r="M74" s="2549">
        <v>1</v>
      </c>
      <c r="N74" s="2549">
        <v>1</v>
      </c>
      <c r="O74" s="2549">
        <v>0</v>
      </c>
      <c r="P74" s="2573">
        <v>1</v>
      </c>
      <c r="Q74" s="2549">
        <v>1</v>
      </c>
      <c r="R74" s="2549">
        <v>1</v>
      </c>
      <c r="S74" s="2549">
        <v>47</v>
      </c>
      <c r="T74" s="1856">
        <v>120000000</v>
      </c>
      <c r="U74" s="1856">
        <v>120000000</v>
      </c>
      <c r="V74" s="1856">
        <v>12000000</v>
      </c>
      <c r="W74" s="1856">
        <v>0</v>
      </c>
      <c r="X74" s="1856">
        <f t="shared" si="8"/>
        <v>132000000</v>
      </c>
      <c r="Y74" s="1879" t="s">
        <v>55</v>
      </c>
      <c r="Z74" s="1879" t="s">
        <v>565</v>
      </c>
      <c r="AA74" s="1856">
        <f t="shared" si="9"/>
        <v>120000000</v>
      </c>
      <c r="AB74" s="1880"/>
      <c r="AC74" s="1856"/>
      <c r="AD74" s="1881"/>
      <c r="AE74" s="1856"/>
      <c r="AF74" s="1881"/>
      <c r="AG74" s="1856">
        <v>0</v>
      </c>
      <c r="AH74" s="1880">
        <v>2017</v>
      </c>
      <c r="AI74" s="2012" t="s">
        <v>768</v>
      </c>
      <c r="AJ74" s="91" t="s">
        <v>756</v>
      </c>
      <c r="AK74" s="91" t="s">
        <v>21</v>
      </c>
      <c r="AL74" s="91" t="s">
        <v>21</v>
      </c>
      <c r="AM74" s="2583" t="s">
        <v>769</v>
      </c>
      <c r="AN74" s="1907" t="s">
        <v>568</v>
      </c>
      <c r="AO74" s="1907" t="s">
        <v>603</v>
      </c>
      <c r="AP74" s="1788" t="s">
        <v>570</v>
      </c>
      <c r="AQ74" s="1788"/>
      <c r="AR74" s="1987" t="s">
        <v>770</v>
      </c>
      <c r="AS74" s="1987" t="s">
        <v>623</v>
      </c>
      <c r="AT74" s="1856">
        <v>120000000</v>
      </c>
      <c r="AU74" s="1879" t="s">
        <v>55</v>
      </c>
      <c r="AV74" s="1903">
        <f>BB[[#This Row],[NILAI PINJAMAN KONFIRMASI BILA-MULTI]]</f>
        <v>120000000</v>
      </c>
      <c r="AW74" s="1788" t="s">
        <v>21</v>
      </c>
      <c r="AX74" s="1879" t="s">
        <v>565</v>
      </c>
      <c r="AY74" s="91" t="s">
        <v>577</v>
      </c>
      <c r="AZ74" s="91"/>
      <c r="BA74" s="3185" t="s">
        <v>771</v>
      </c>
      <c r="BB74" s="1764"/>
    </row>
    <row r="75" spans="1:54" s="645" customFormat="1" ht="20.100000000000001" customHeight="1">
      <c r="A75" s="2548">
        <v>57</v>
      </c>
      <c r="B75" s="2549"/>
      <c r="C75" s="2549"/>
      <c r="D75" s="2550" t="s">
        <v>17</v>
      </c>
      <c r="E75" s="2549">
        <v>1</v>
      </c>
      <c r="F75" s="2550" t="s">
        <v>19</v>
      </c>
      <c r="G75" s="1788" t="s">
        <v>752</v>
      </c>
      <c r="H75" s="2550" t="s">
        <v>163</v>
      </c>
      <c r="I75" s="2546" t="s">
        <v>185</v>
      </c>
      <c r="J75" s="2550" t="s">
        <v>162</v>
      </c>
      <c r="K75" s="2549">
        <v>5</v>
      </c>
      <c r="L75" s="2550" t="s">
        <v>176</v>
      </c>
      <c r="M75" s="2549">
        <v>1</v>
      </c>
      <c r="N75" s="2549">
        <v>1</v>
      </c>
      <c r="O75" s="2549">
        <v>0</v>
      </c>
      <c r="P75" s="2573">
        <v>1</v>
      </c>
      <c r="Q75" s="2549">
        <v>1</v>
      </c>
      <c r="R75" s="2549">
        <v>1</v>
      </c>
      <c r="S75" s="2549">
        <v>48</v>
      </c>
      <c r="T75" s="1856">
        <v>350000000</v>
      </c>
      <c r="U75" s="1856">
        <v>350000000</v>
      </c>
      <c r="V75" s="1856">
        <v>35000000</v>
      </c>
      <c r="W75" s="1856">
        <v>0</v>
      </c>
      <c r="X75" s="1856">
        <f t="shared" si="8"/>
        <v>385000000</v>
      </c>
      <c r="Y75" s="1879" t="s">
        <v>117</v>
      </c>
      <c r="Z75" s="1879" t="s">
        <v>619</v>
      </c>
      <c r="AA75" s="1856">
        <f t="shared" si="9"/>
        <v>350000000</v>
      </c>
      <c r="AB75" s="1880"/>
      <c r="AC75" s="1856"/>
      <c r="AD75" s="1881"/>
      <c r="AE75" s="1856"/>
      <c r="AF75" s="1881"/>
      <c r="AG75" s="1856"/>
      <c r="AH75" s="1880" t="s">
        <v>617</v>
      </c>
      <c r="AI75" s="91" t="s">
        <v>21</v>
      </c>
      <c r="AJ75" s="91" t="s">
        <v>772</v>
      </c>
      <c r="AK75" s="91" t="s">
        <v>21</v>
      </c>
      <c r="AL75" s="91" t="s">
        <v>21</v>
      </c>
      <c r="AM75" s="2583"/>
      <c r="AN75" s="1914" t="s">
        <v>614</v>
      </c>
      <c r="AO75" s="1907" t="s">
        <v>603</v>
      </c>
      <c r="AP75" s="1788" t="s">
        <v>570</v>
      </c>
      <c r="AQ75" s="1788"/>
      <c r="AR75" s="2123" t="s">
        <v>571</v>
      </c>
      <c r="AS75" s="2123"/>
      <c r="AT75" s="1856">
        <v>350000000</v>
      </c>
      <c r="AU75" s="2072" t="s">
        <v>633</v>
      </c>
      <c r="AV75" s="1903">
        <f>BB[[#This Row],[NILAI PINJAMAN KONFIRMASI BILA-MULTI]]</f>
        <v>350000000</v>
      </c>
      <c r="AW75" s="3135" t="s">
        <v>773</v>
      </c>
      <c r="AX75" s="1879" t="s">
        <v>633</v>
      </c>
      <c r="AY75" s="3161" t="s">
        <v>774</v>
      </c>
      <c r="AZ75" s="1985" t="s">
        <v>775</v>
      </c>
      <c r="BA75" s="2149" t="s">
        <v>776</v>
      </c>
      <c r="BB75" s="1764"/>
    </row>
    <row r="76" spans="1:54" s="645" customFormat="1" ht="20.100000000000001" customHeight="1">
      <c r="A76" s="2548">
        <v>58</v>
      </c>
      <c r="B76" s="2549"/>
      <c r="C76" s="2549"/>
      <c r="D76" s="2550" t="s">
        <v>17</v>
      </c>
      <c r="E76" s="2549">
        <v>1</v>
      </c>
      <c r="F76" s="2550" t="s">
        <v>19</v>
      </c>
      <c r="G76" s="1788" t="s">
        <v>752</v>
      </c>
      <c r="H76" s="2550" t="s">
        <v>163</v>
      </c>
      <c r="I76" s="2546" t="s">
        <v>185</v>
      </c>
      <c r="J76" s="2550" t="s">
        <v>162</v>
      </c>
      <c r="K76" s="2549">
        <v>6</v>
      </c>
      <c r="L76" s="2550" t="s">
        <v>178</v>
      </c>
      <c r="M76" s="2549">
        <v>1</v>
      </c>
      <c r="N76" s="2549">
        <v>1</v>
      </c>
      <c r="O76" s="2549">
        <v>0</v>
      </c>
      <c r="P76" s="2573">
        <v>1</v>
      </c>
      <c r="Q76" s="2549">
        <v>1</v>
      </c>
      <c r="R76" s="2549">
        <v>1</v>
      </c>
      <c r="S76" s="2549">
        <v>49</v>
      </c>
      <c r="T76" s="1856">
        <v>161298000</v>
      </c>
      <c r="U76" s="1856">
        <v>161298000</v>
      </c>
      <c r="V76" s="1856">
        <v>24195000</v>
      </c>
      <c r="W76" s="1856">
        <v>0</v>
      </c>
      <c r="X76" s="1856">
        <f t="shared" si="8"/>
        <v>185493000</v>
      </c>
      <c r="Y76" s="1879" t="s">
        <v>117</v>
      </c>
      <c r="Z76" s="1879" t="s">
        <v>619</v>
      </c>
      <c r="AA76" s="1856">
        <f t="shared" si="9"/>
        <v>161298000</v>
      </c>
      <c r="AB76" s="1880"/>
      <c r="AC76" s="1856"/>
      <c r="AD76" s="1881"/>
      <c r="AE76" s="1856"/>
      <c r="AF76" s="1881"/>
      <c r="AG76" s="1856"/>
      <c r="AH76" s="1880" t="s">
        <v>617</v>
      </c>
      <c r="AI76" s="91" t="s">
        <v>21</v>
      </c>
      <c r="AJ76" s="91" t="s">
        <v>772</v>
      </c>
      <c r="AK76" s="91" t="s">
        <v>21</v>
      </c>
      <c r="AL76" s="91" t="s">
        <v>21</v>
      </c>
      <c r="AM76" s="2583"/>
      <c r="AN76" s="1914" t="s">
        <v>614</v>
      </c>
      <c r="AO76" s="1907" t="s">
        <v>603</v>
      </c>
      <c r="AP76" s="1788" t="s">
        <v>570</v>
      </c>
      <c r="AQ76" s="1788"/>
      <c r="AR76" s="2123" t="s">
        <v>571</v>
      </c>
      <c r="AS76" s="2123"/>
      <c r="AT76" s="1856">
        <v>161298000</v>
      </c>
      <c r="AU76" s="2072" t="s">
        <v>633</v>
      </c>
      <c r="AV76" s="1903">
        <f>BB[[#This Row],[NILAI PINJAMAN KONFIRMASI BILA-MULTI]]</f>
        <v>161298000</v>
      </c>
      <c r="AW76" s="3135" t="s">
        <v>773</v>
      </c>
      <c r="AX76" s="1879" t="s">
        <v>633</v>
      </c>
      <c r="AY76" s="3161" t="s">
        <v>774</v>
      </c>
      <c r="AZ76" s="1985" t="s">
        <v>775</v>
      </c>
      <c r="BA76" s="2149" t="s">
        <v>777</v>
      </c>
      <c r="BB76" s="1764"/>
    </row>
    <row r="77" spans="1:54" s="645" customFormat="1" ht="20.100000000000001" customHeight="1">
      <c r="A77" s="2548">
        <v>59</v>
      </c>
      <c r="B77" s="2549"/>
      <c r="C77" s="2549"/>
      <c r="D77" s="2550" t="s">
        <v>17</v>
      </c>
      <c r="E77" s="2549">
        <v>1</v>
      </c>
      <c r="F77" s="2550" t="s">
        <v>19</v>
      </c>
      <c r="G77" s="1788" t="s">
        <v>752</v>
      </c>
      <c r="H77" s="2550" t="s">
        <v>163</v>
      </c>
      <c r="I77" s="2546" t="s">
        <v>185</v>
      </c>
      <c r="J77" s="2550" t="s">
        <v>162</v>
      </c>
      <c r="K77" s="2549">
        <v>7</v>
      </c>
      <c r="L77" s="2550" t="s">
        <v>179</v>
      </c>
      <c r="M77" s="2549">
        <v>1</v>
      </c>
      <c r="N77" s="2549">
        <v>1</v>
      </c>
      <c r="O77" s="2549">
        <v>0</v>
      </c>
      <c r="P77" s="2573">
        <v>1</v>
      </c>
      <c r="Q77" s="2549">
        <v>1</v>
      </c>
      <c r="R77" s="2549">
        <v>1</v>
      </c>
      <c r="S77" s="2549">
        <v>50</v>
      </c>
      <c r="T77" s="91">
        <v>278355000</v>
      </c>
      <c r="U77" s="91">
        <v>278355000</v>
      </c>
      <c r="V77" s="1856">
        <v>28000000</v>
      </c>
      <c r="W77" s="1856">
        <v>0</v>
      </c>
      <c r="X77" s="1856">
        <f t="shared" si="8"/>
        <v>306355000</v>
      </c>
      <c r="Y77" s="1879" t="s">
        <v>55</v>
      </c>
      <c r="Z77" s="1879" t="s">
        <v>565</v>
      </c>
      <c r="AA77" s="1856">
        <f t="shared" si="9"/>
        <v>278355000</v>
      </c>
      <c r="AB77" s="1880"/>
      <c r="AC77" s="1856"/>
      <c r="AD77" s="1881"/>
      <c r="AE77" s="1856"/>
      <c r="AF77" s="1881"/>
      <c r="AG77" s="91"/>
      <c r="AH77" s="1880">
        <v>2017</v>
      </c>
      <c r="AI77" s="91" t="s">
        <v>21</v>
      </c>
      <c r="AJ77" s="91" t="s">
        <v>21</v>
      </c>
      <c r="AK77" s="91" t="s">
        <v>21</v>
      </c>
      <c r="AL77" s="91" t="s">
        <v>21</v>
      </c>
      <c r="AM77" s="2583"/>
      <c r="AN77" s="1907" t="s">
        <v>603</v>
      </c>
      <c r="AO77" s="1907" t="s">
        <v>603</v>
      </c>
      <c r="AP77" s="1788" t="s">
        <v>570</v>
      </c>
      <c r="AQ77" s="1788"/>
      <c r="AR77" s="2123" t="s">
        <v>571</v>
      </c>
      <c r="AS77" s="2123"/>
      <c r="AT77" s="1856">
        <v>278355000</v>
      </c>
      <c r="AU77" s="1879" t="s">
        <v>55</v>
      </c>
      <c r="AV77" s="1903">
        <f>BB[[#This Row],[NILAI PINJAMAN KONFIRMASI BILA-MULTI]]</f>
        <v>278355000</v>
      </c>
      <c r="AW77" s="1788" t="s">
        <v>21</v>
      </c>
      <c r="AX77" s="1879" t="s">
        <v>565</v>
      </c>
      <c r="AY77" s="91" t="s">
        <v>577</v>
      </c>
      <c r="AZ77" s="91"/>
      <c r="BA77" s="3185" t="s">
        <v>778</v>
      </c>
      <c r="BB77" s="1764"/>
    </row>
    <row r="78" spans="1:54" s="645" customFormat="1" ht="20.100000000000001" customHeight="1">
      <c r="A78" s="2548">
        <v>60</v>
      </c>
      <c r="B78" s="2549"/>
      <c r="C78" s="2549"/>
      <c r="D78" s="2550" t="s">
        <v>17</v>
      </c>
      <c r="E78" s="2549">
        <v>1</v>
      </c>
      <c r="F78" s="2550" t="s">
        <v>19</v>
      </c>
      <c r="G78" s="1788" t="s">
        <v>752</v>
      </c>
      <c r="H78" s="2550" t="s">
        <v>163</v>
      </c>
      <c r="I78" s="2546" t="s">
        <v>185</v>
      </c>
      <c r="J78" s="2550" t="s">
        <v>162</v>
      </c>
      <c r="K78" s="2549">
        <v>8</v>
      </c>
      <c r="L78" s="2550" t="s">
        <v>180</v>
      </c>
      <c r="M78" s="2549">
        <v>1</v>
      </c>
      <c r="N78" s="2549">
        <v>1</v>
      </c>
      <c r="O78" s="2549">
        <v>0</v>
      </c>
      <c r="P78" s="2573">
        <v>1</v>
      </c>
      <c r="Q78" s="2549">
        <v>1</v>
      </c>
      <c r="R78" s="2549">
        <v>1</v>
      </c>
      <c r="S78" s="2549">
        <v>51</v>
      </c>
      <c r="T78" s="1856">
        <v>272100000</v>
      </c>
      <c r="U78" s="1856">
        <v>272100000</v>
      </c>
      <c r="V78" s="1856">
        <v>40815000</v>
      </c>
      <c r="W78" s="1856">
        <v>0</v>
      </c>
      <c r="X78" s="1856">
        <f t="shared" si="8"/>
        <v>312915000</v>
      </c>
      <c r="Y78" s="1879" t="s">
        <v>62</v>
      </c>
      <c r="Z78" s="1879" t="s">
        <v>619</v>
      </c>
      <c r="AA78" s="1856">
        <v>272100000</v>
      </c>
      <c r="AB78" s="1880"/>
      <c r="AC78" s="1856"/>
      <c r="AD78" s="1881"/>
      <c r="AE78" s="1856"/>
      <c r="AF78" s="1881"/>
      <c r="AG78" s="1856">
        <f>+AA78-T78</f>
        <v>0</v>
      </c>
      <c r="AH78" s="1880" t="s">
        <v>617</v>
      </c>
      <c r="AI78" s="91" t="s">
        <v>21</v>
      </c>
      <c r="AJ78" s="91" t="s">
        <v>21</v>
      </c>
      <c r="AK78" s="91" t="s">
        <v>21</v>
      </c>
      <c r="AL78" s="91" t="s">
        <v>21</v>
      </c>
      <c r="AM78" s="2583"/>
      <c r="AN78" s="1907" t="s">
        <v>603</v>
      </c>
      <c r="AO78" s="1907" t="s">
        <v>603</v>
      </c>
      <c r="AP78" s="1788" t="s">
        <v>570</v>
      </c>
      <c r="AQ78" s="1788"/>
      <c r="AR78" s="2123" t="s">
        <v>571</v>
      </c>
      <c r="AS78" s="2123"/>
      <c r="AT78" s="1856">
        <v>272100000</v>
      </c>
      <c r="AU78" s="1879" t="s">
        <v>62</v>
      </c>
      <c r="AV78" s="1903">
        <f>BB[[#This Row],[NILAI PINJAMAN KONFIRMASI BILA-MULTI]]</f>
        <v>272100000</v>
      </c>
      <c r="AW78" s="1788" t="s">
        <v>21</v>
      </c>
      <c r="AX78" s="1879" t="s">
        <v>619</v>
      </c>
      <c r="AY78" s="91" t="s">
        <v>577</v>
      </c>
      <c r="AZ78" s="1985" t="s">
        <v>779</v>
      </c>
      <c r="BA78" s="3185" t="s">
        <v>780</v>
      </c>
      <c r="BB78" s="1764"/>
    </row>
    <row r="79" spans="1:54" s="645" customFormat="1" ht="20.100000000000001" customHeight="1">
      <c r="A79" s="2548">
        <v>61</v>
      </c>
      <c r="B79" s="2549"/>
      <c r="C79" s="2549"/>
      <c r="D79" s="2550" t="s">
        <v>17</v>
      </c>
      <c r="E79" s="2549">
        <v>1</v>
      </c>
      <c r="F79" s="2550" t="s">
        <v>19</v>
      </c>
      <c r="G79" s="1788" t="s">
        <v>752</v>
      </c>
      <c r="H79" s="2550" t="s">
        <v>163</v>
      </c>
      <c r="I79" s="2546" t="s">
        <v>185</v>
      </c>
      <c r="J79" s="2550" t="s">
        <v>162</v>
      </c>
      <c r="K79" s="2549">
        <v>9</v>
      </c>
      <c r="L79" s="2550" t="s">
        <v>781</v>
      </c>
      <c r="M79" s="2549">
        <v>1</v>
      </c>
      <c r="N79" s="2549">
        <v>1</v>
      </c>
      <c r="O79" s="2549">
        <v>0</v>
      </c>
      <c r="P79" s="2573">
        <v>1</v>
      </c>
      <c r="Q79" s="2549">
        <v>1</v>
      </c>
      <c r="R79" s="2549">
        <v>1</v>
      </c>
      <c r="S79" s="2549">
        <v>52</v>
      </c>
      <c r="T79" s="1856">
        <v>100000000</v>
      </c>
      <c r="U79" s="1856">
        <v>100000000</v>
      </c>
      <c r="V79" s="1856">
        <v>10000000</v>
      </c>
      <c r="W79" s="1856">
        <v>0</v>
      </c>
      <c r="X79" s="1856">
        <f t="shared" si="8"/>
        <v>110000000</v>
      </c>
      <c r="Y79" s="1879" t="s">
        <v>55</v>
      </c>
      <c r="Z79" s="1879" t="s">
        <v>565</v>
      </c>
      <c r="AA79" s="1856">
        <f>T79</f>
        <v>100000000</v>
      </c>
      <c r="AB79" s="1880"/>
      <c r="AC79" s="1856"/>
      <c r="AD79" s="1881"/>
      <c r="AE79" s="1856"/>
      <c r="AF79" s="1881"/>
      <c r="AG79" s="1856">
        <v>0</v>
      </c>
      <c r="AH79" s="1880">
        <v>2017</v>
      </c>
      <c r="AI79" s="91" t="s">
        <v>21</v>
      </c>
      <c r="AJ79" s="91" t="s">
        <v>21</v>
      </c>
      <c r="AK79" s="91" t="s">
        <v>21</v>
      </c>
      <c r="AL79" s="91" t="s">
        <v>21</v>
      </c>
      <c r="AM79" s="2583"/>
      <c r="AN79" s="1907" t="s">
        <v>603</v>
      </c>
      <c r="AO79" s="1907" t="s">
        <v>603</v>
      </c>
      <c r="AP79" s="1788" t="s">
        <v>570</v>
      </c>
      <c r="AQ79" s="1788"/>
      <c r="AR79" s="2123" t="s">
        <v>571</v>
      </c>
      <c r="AS79" s="2123"/>
      <c r="AT79" s="1856">
        <v>100000000</v>
      </c>
      <c r="AU79" s="1879" t="s">
        <v>55</v>
      </c>
      <c r="AV79" s="1903">
        <f>BB[[#This Row],[NILAI PINJAMAN KONFIRMASI BILA-MULTI]]</f>
        <v>100000000</v>
      </c>
      <c r="AW79" s="1788" t="s">
        <v>21</v>
      </c>
      <c r="AX79" s="1879" t="s">
        <v>565</v>
      </c>
      <c r="AY79" s="91" t="s">
        <v>577</v>
      </c>
      <c r="AZ79" s="91"/>
      <c r="BA79" s="2149" t="s">
        <v>782</v>
      </c>
      <c r="BB79" s="1764"/>
    </row>
    <row r="80" spans="1:54" s="645" customFormat="1" ht="20.100000000000001" customHeight="1">
      <c r="A80" s="2548">
        <v>62</v>
      </c>
      <c r="B80" s="2549"/>
      <c r="C80" s="2549"/>
      <c r="D80" s="2550" t="s">
        <v>17</v>
      </c>
      <c r="E80" s="2549">
        <v>1</v>
      </c>
      <c r="F80" s="2550" t="s">
        <v>19</v>
      </c>
      <c r="G80" s="1788" t="s">
        <v>752</v>
      </c>
      <c r="H80" s="2550" t="s">
        <v>163</v>
      </c>
      <c r="I80" s="2546" t="s">
        <v>185</v>
      </c>
      <c r="J80" s="2550" t="s">
        <v>162</v>
      </c>
      <c r="K80" s="2549">
        <v>10</v>
      </c>
      <c r="L80" s="2550" t="s">
        <v>182</v>
      </c>
      <c r="M80" s="2549">
        <v>1</v>
      </c>
      <c r="N80" s="2549">
        <v>1</v>
      </c>
      <c r="O80" s="2549">
        <v>0</v>
      </c>
      <c r="P80" s="2573">
        <v>1</v>
      </c>
      <c r="Q80" s="2549">
        <v>1</v>
      </c>
      <c r="R80" s="2549">
        <v>1</v>
      </c>
      <c r="S80" s="2549">
        <v>53</v>
      </c>
      <c r="T80" s="1856">
        <v>100000000</v>
      </c>
      <c r="U80" s="1856">
        <v>100000000</v>
      </c>
      <c r="V80" s="1856">
        <v>0</v>
      </c>
      <c r="W80" s="1856">
        <v>0</v>
      </c>
      <c r="X80" s="1856">
        <f t="shared" si="8"/>
        <v>100000000</v>
      </c>
      <c r="Y80" s="1879" t="s">
        <v>117</v>
      </c>
      <c r="Z80" s="1879" t="s">
        <v>619</v>
      </c>
      <c r="AA80" s="1856">
        <f>T80</f>
        <v>100000000</v>
      </c>
      <c r="AB80" s="1880">
        <v>1</v>
      </c>
      <c r="AC80" s="1856">
        <v>38093000</v>
      </c>
      <c r="AD80" s="1881"/>
      <c r="AE80" s="1856"/>
      <c r="AF80" s="1881"/>
      <c r="AG80" s="1856">
        <v>0</v>
      </c>
      <c r="AH80" s="1880">
        <v>2016</v>
      </c>
      <c r="AI80" s="3161" t="s">
        <v>783</v>
      </c>
      <c r="AJ80" s="91" t="s">
        <v>33</v>
      </c>
      <c r="AK80" s="91" t="s">
        <v>183</v>
      </c>
      <c r="AL80" s="91" t="s">
        <v>79</v>
      </c>
      <c r="AM80" s="2583" t="s">
        <v>581</v>
      </c>
      <c r="AN80" s="1907" t="s">
        <v>568</v>
      </c>
      <c r="AO80" s="1907" t="s">
        <v>645</v>
      </c>
      <c r="AP80" s="1788" t="s">
        <v>570</v>
      </c>
      <c r="AQ80" s="1788"/>
      <c r="AR80" s="3163" t="s">
        <v>784</v>
      </c>
      <c r="AS80" s="3163" t="s">
        <v>586</v>
      </c>
      <c r="AT80" s="1856">
        <v>100000000</v>
      </c>
      <c r="AU80" s="1879" t="s">
        <v>117</v>
      </c>
      <c r="AV80" s="1903">
        <f>BB[[#This Row],[NILAI PINJAMAN KONFIRMASI BILA-MULTI]]</f>
        <v>100000000</v>
      </c>
      <c r="AW80" s="1788" t="s">
        <v>21</v>
      </c>
      <c r="AX80" s="1879" t="s">
        <v>619</v>
      </c>
      <c r="AY80" s="3163" t="s">
        <v>785</v>
      </c>
      <c r="AZ80" s="1974"/>
      <c r="BA80" s="3185" t="s">
        <v>786</v>
      </c>
      <c r="BB80" s="1764"/>
    </row>
    <row r="81" spans="1:54" s="645" customFormat="1" ht="20.100000000000001" customHeight="1">
      <c r="A81" s="2548">
        <v>63</v>
      </c>
      <c r="B81" s="2549"/>
      <c r="C81" s="2549"/>
      <c r="D81" s="2550" t="s">
        <v>17</v>
      </c>
      <c r="E81" s="2549">
        <v>1</v>
      </c>
      <c r="F81" s="2550" t="s">
        <v>19</v>
      </c>
      <c r="G81" s="1788" t="s">
        <v>752</v>
      </c>
      <c r="H81" s="2550" t="s">
        <v>187</v>
      </c>
      <c r="I81" s="2549" t="s">
        <v>194</v>
      </c>
      <c r="J81" s="2550" t="s">
        <v>787</v>
      </c>
      <c r="K81" s="2549">
        <v>1</v>
      </c>
      <c r="L81" s="2550" t="s">
        <v>188</v>
      </c>
      <c r="M81" s="2549">
        <v>1</v>
      </c>
      <c r="N81" s="2549">
        <v>1</v>
      </c>
      <c r="O81" s="2549">
        <v>0</v>
      </c>
      <c r="P81" s="2573">
        <v>1</v>
      </c>
      <c r="Q81" s="2549">
        <v>1</v>
      </c>
      <c r="R81" s="2549">
        <v>1</v>
      </c>
      <c r="S81" s="2549">
        <v>54</v>
      </c>
      <c r="T81" s="1856">
        <v>200000000</v>
      </c>
      <c r="U81" s="1856">
        <v>200000000</v>
      </c>
      <c r="V81" s="1856">
        <v>20000000</v>
      </c>
      <c r="W81" s="1856">
        <v>0</v>
      </c>
      <c r="X81" s="1856">
        <f t="shared" si="8"/>
        <v>220000000</v>
      </c>
      <c r="Y81" s="1879" t="s">
        <v>117</v>
      </c>
      <c r="Z81" s="1879" t="s">
        <v>619</v>
      </c>
      <c r="AA81" s="1856">
        <v>200000000</v>
      </c>
      <c r="AB81" s="1880"/>
      <c r="AC81" s="1856"/>
      <c r="AD81" s="1881"/>
      <c r="AE81" s="1856"/>
      <c r="AF81" s="1881"/>
      <c r="AG81" s="1856">
        <f>AA81-T81</f>
        <v>0</v>
      </c>
      <c r="AH81" s="1880" t="s">
        <v>617</v>
      </c>
      <c r="AI81" s="3137" t="s">
        <v>21</v>
      </c>
      <c r="AJ81" s="3137" t="s">
        <v>33</v>
      </c>
      <c r="AK81" s="3137" t="s">
        <v>189</v>
      </c>
      <c r="AL81" s="3137" t="s">
        <v>21</v>
      </c>
      <c r="AM81" s="2583"/>
      <c r="AN81" s="1914" t="s">
        <v>614</v>
      </c>
      <c r="AO81" s="1914" t="s">
        <v>729</v>
      </c>
      <c r="AP81" s="1788" t="s">
        <v>570</v>
      </c>
      <c r="AQ81" s="1788"/>
      <c r="AR81" s="2123" t="s">
        <v>571</v>
      </c>
      <c r="AS81" s="2123"/>
      <c r="AT81" s="1856">
        <v>200000000</v>
      </c>
      <c r="AU81" s="1879" t="s">
        <v>117</v>
      </c>
      <c r="AV81" s="1903">
        <f>BB[[#This Row],[NILAI PINJAMAN KONFIRMASI BILA-MULTI]]</f>
        <v>200000000</v>
      </c>
      <c r="AW81" s="1788" t="s">
        <v>21</v>
      </c>
      <c r="AX81" s="1879" t="s">
        <v>619</v>
      </c>
      <c r="AY81" s="91" t="s">
        <v>577</v>
      </c>
      <c r="AZ81" s="1985" t="s">
        <v>788</v>
      </c>
      <c r="BA81" s="2149" t="s">
        <v>789</v>
      </c>
      <c r="BB81" s="1764"/>
    </row>
    <row r="82" spans="1:54" s="645" customFormat="1" ht="20.100000000000001" customHeight="1">
      <c r="A82" s="2548">
        <v>64</v>
      </c>
      <c r="B82" s="2549"/>
      <c r="C82" s="2549"/>
      <c r="D82" s="2550" t="s">
        <v>17</v>
      </c>
      <c r="E82" s="2549">
        <v>1</v>
      </c>
      <c r="F82" s="2550" t="s">
        <v>19</v>
      </c>
      <c r="G82" s="1788" t="s">
        <v>752</v>
      </c>
      <c r="H82" s="2550" t="s">
        <v>187</v>
      </c>
      <c r="I82" s="2549" t="s">
        <v>185</v>
      </c>
      <c r="J82" s="2550" t="s">
        <v>787</v>
      </c>
      <c r="K82" s="2549">
        <v>2</v>
      </c>
      <c r="L82" s="2550" t="s">
        <v>190</v>
      </c>
      <c r="M82" s="2549">
        <v>1</v>
      </c>
      <c r="N82" s="2549">
        <v>1</v>
      </c>
      <c r="O82" s="2549">
        <v>0</v>
      </c>
      <c r="P82" s="2573">
        <v>1</v>
      </c>
      <c r="Q82" s="2549">
        <v>1</v>
      </c>
      <c r="R82" s="2549">
        <v>1</v>
      </c>
      <c r="S82" s="2549">
        <v>55</v>
      </c>
      <c r="T82" s="1856">
        <v>373862000</v>
      </c>
      <c r="U82" s="1856">
        <v>373862000</v>
      </c>
      <c r="V82" s="1856">
        <v>181074000</v>
      </c>
      <c r="W82" s="1856">
        <v>0</v>
      </c>
      <c r="X82" s="1856">
        <f t="shared" si="8"/>
        <v>554936000</v>
      </c>
      <c r="Y82" s="1879" t="s">
        <v>28</v>
      </c>
      <c r="Z82" s="1879" t="s">
        <v>565</v>
      </c>
      <c r="AA82" s="1856">
        <f t="shared" ref="AA82:AA92" si="10">T82</f>
        <v>373862000</v>
      </c>
      <c r="AB82" s="1880"/>
      <c r="AC82" s="1856"/>
      <c r="AD82" s="1881"/>
      <c r="AE82" s="1856"/>
      <c r="AF82" s="1881"/>
      <c r="AG82" s="1856">
        <f>AA82-T82</f>
        <v>0</v>
      </c>
      <c r="AH82" s="1880" t="s">
        <v>617</v>
      </c>
      <c r="AI82" s="3137" t="s">
        <v>21</v>
      </c>
      <c r="AJ82" s="3137" t="s">
        <v>60</v>
      </c>
      <c r="AK82" s="3137" t="s">
        <v>191</v>
      </c>
      <c r="AL82" s="3137" t="s">
        <v>21</v>
      </c>
      <c r="AM82" s="2583"/>
      <c r="AN82" s="1914" t="s">
        <v>675</v>
      </c>
      <c r="AO82" s="1914" t="s">
        <v>729</v>
      </c>
      <c r="AP82" s="1788" t="s">
        <v>570</v>
      </c>
      <c r="AQ82" s="1788"/>
      <c r="AR82" s="2123" t="s">
        <v>571</v>
      </c>
      <c r="AS82" s="2123"/>
      <c r="AT82" s="1856">
        <v>373862000</v>
      </c>
      <c r="AU82" s="1879" t="s">
        <v>28</v>
      </c>
      <c r="AV82" s="1903">
        <f>BB[[#This Row],[NILAI PINJAMAN KONFIRMASI BILA-MULTI]]</f>
        <v>373862000</v>
      </c>
      <c r="AW82" s="1788" t="s">
        <v>765</v>
      </c>
      <c r="AX82" s="1879" t="s">
        <v>565</v>
      </c>
      <c r="AY82" s="91" t="s">
        <v>577</v>
      </c>
      <c r="AZ82" s="91"/>
      <c r="BA82" s="2149" t="s">
        <v>790</v>
      </c>
      <c r="BB82" s="1764"/>
    </row>
    <row r="83" spans="1:54" s="645" customFormat="1" ht="20.100000000000001" customHeight="1">
      <c r="A83" s="2548">
        <v>65</v>
      </c>
      <c r="B83" s="2549"/>
      <c r="C83" s="2549"/>
      <c r="D83" s="2550" t="s">
        <v>17</v>
      </c>
      <c r="E83" s="2549">
        <v>1</v>
      </c>
      <c r="F83" s="2550" t="s">
        <v>19</v>
      </c>
      <c r="G83" s="1788" t="s">
        <v>752</v>
      </c>
      <c r="H83" s="2550" t="s">
        <v>187</v>
      </c>
      <c r="I83" s="2549" t="s">
        <v>185</v>
      </c>
      <c r="J83" s="2550" t="s">
        <v>787</v>
      </c>
      <c r="K83" s="2549">
        <v>3</v>
      </c>
      <c r="L83" s="2550" t="s">
        <v>192</v>
      </c>
      <c r="M83" s="2549">
        <v>1</v>
      </c>
      <c r="N83" s="2549">
        <v>1</v>
      </c>
      <c r="O83" s="2549">
        <v>0</v>
      </c>
      <c r="P83" s="2573">
        <v>1</v>
      </c>
      <c r="Q83" s="2549">
        <v>1</v>
      </c>
      <c r="R83" s="2549">
        <v>1</v>
      </c>
      <c r="S83" s="2549">
        <v>56</v>
      </c>
      <c r="T83" s="1856">
        <v>50000000</v>
      </c>
      <c r="U83" s="1856">
        <v>50000000</v>
      </c>
      <c r="V83" s="1856">
        <v>0</v>
      </c>
      <c r="W83" s="1856">
        <v>0</v>
      </c>
      <c r="X83" s="1856">
        <f t="shared" si="8"/>
        <v>50000000</v>
      </c>
      <c r="Y83" s="1879" t="s">
        <v>117</v>
      </c>
      <c r="Z83" s="1879" t="s">
        <v>619</v>
      </c>
      <c r="AA83" s="1856">
        <f t="shared" si="10"/>
        <v>50000000</v>
      </c>
      <c r="AB83" s="1880">
        <v>1</v>
      </c>
      <c r="AC83" s="1856">
        <v>2000000</v>
      </c>
      <c r="AD83" s="1881"/>
      <c r="AE83" s="1856"/>
      <c r="AF83" s="1881"/>
      <c r="AG83" s="1856">
        <f>AA83-T83</f>
        <v>0</v>
      </c>
      <c r="AH83" s="1880">
        <v>2016</v>
      </c>
      <c r="AI83" s="3161" t="s">
        <v>791</v>
      </c>
      <c r="AJ83" s="91" t="s">
        <v>33</v>
      </c>
      <c r="AK83" s="91" t="s">
        <v>183</v>
      </c>
      <c r="AL83" s="91" t="s">
        <v>79</v>
      </c>
      <c r="AM83" s="2583" t="s">
        <v>581</v>
      </c>
      <c r="AN83" s="1907" t="s">
        <v>568</v>
      </c>
      <c r="AO83" s="1907" t="s">
        <v>645</v>
      </c>
      <c r="AP83" s="1788" t="s">
        <v>570</v>
      </c>
      <c r="AQ83" s="1788"/>
      <c r="AR83" s="3163" t="s">
        <v>792</v>
      </c>
      <c r="AS83" s="3163" t="s">
        <v>586</v>
      </c>
      <c r="AT83" s="1856">
        <v>50000000</v>
      </c>
      <c r="AU83" s="1879" t="s">
        <v>117</v>
      </c>
      <c r="AV83" s="1903">
        <f>BB[[#This Row],[NILAI PINJAMAN KONFIRMASI BILA-MULTI]]</f>
        <v>50000000</v>
      </c>
      <c r="AW83" s="1788" t="s">
        <v>21</v>
      </c>
      <c r="AX83" s="1879" t="s">
        <v>619</v>
      </c>
      <c r="AY83" s="3163" t="s">
        <v>793</v>
      </c>
      <c r="AZ83" s="1974"/>
      <c r="BA83" s="2149" t="s">
        <v>794</v>
      </c>
      <c r="BB83" s="1764"/>
    </row>
    <row r="84" spans="1:54" s="645" customFormat="1" ht="20.100000000000001" customHeight="1">
      <c r="A84" s="2548">
        <v>66</v>
      </c>
      <c r="B84" s="2549"/>
      <c r="C84" s="2549"/>
      <c r="D84" s="2550" t="s">
        <v>17</v>
      </c>
      <c r="E84" s="2549">
        <v>1</v>
      </c>
      <c r="F84" s="2550" t="s">
        <v>19</v>
      </c>
      <c r="G84" s="1788" t="s">
        <v>752</v>
      </c>
      <c r="H84" s="2550" t="s">
        <v>196</v>
      </c>
      <c r="I84" s="2549" t="s">
        <v>194</v>
      </c>
      <c r="J84" s="2601" t="s">
        <v>195</v>
      </c>
      <c r="K84" s="2602">
        <v>1</v>
      </c>
      <c r="L84" s="2550" t="s">
        <v>197</v>
      </c>
      <c r="M84" s="2549">
        <v>1</v>
      </c>
      <c r="N84" s="2549">
        <v>1</v>
      </c>
      <c r="O84" s="2549">
        <v>0</v>
      </c>
      <c r="P84" s="2573">
        <v>1</v>
      </c>
      <c r="Q84" s="2549">
        <v>1</v>
      </c>
      <c r="R84" s="2549">
        <v>1</v>
      </c>
      <c r="S84" s="2549">
        <v>57</v>
      </c>
      <c r="T84" s="1856">
        <v>662200000</v>
      </c>
      <c r="U84" s="1856">
        <v>662200000</v>
      </c>
      <c r="V84" s="1856">
        <v>460700000</v>
      </c>
      <c r="W84" s="1856">
        <v>0</v>
      </c>
      <c r="X84" s="1856">
        <f t="shared" si="8"/>
        <v>1122900000</v>
      </c>
      <c r="Y84" s="1879" t="s">
        <v>795</v>
      </c>
      <c r="Z84" s="1879" t="s">
        <v>796</v>
      </c>
      <c r="AA84" s="1856">
        <f t="shared" si="10"/>
        <v>662200000</v>
      </c>
      <c r="AB84" s="1880"/>
      <c r="AC84" s="1856"/>
      <c r="AD84" s="1881"/>
      <c r="AE84" s="1856">
        <v>662200000</v>
      </c>
      <c r="AF84" s="1881">
        <f>BB[[#This Row],[NILAI PINJAMAN DALAM BB (PERUBAHAN)]]-BB[[#This Row],[NILAI PINJAMAN DI LOAN AGREEMENT]]</f>
        <v>662200000</v>
      </c>
      <c r="AG84" s="1856">
        <f>AA84-T84</f>
        <v>0</v>
      </c>
      <c r="AH84" s="1880">
        <v>2018</v>
      </c>
      <c r="AI84" s="3137" t="s">
        <v>21</v>
      </c>
      <c r="AJ84" s="3137" t="s">
        <v>797</v>
      </c>
      <c r="AK84" s="3137" t="s">
        <v>798</v>
      </c>
      <c r="AL84" s="3137" t="s">
        <v>21</v>
      </c>
      <c r="AM84" s="2583"/>
      <c r="AN84" s="1907" t="s">
        <v>603</v>
      </c>
      <c r="AO84" s="1914" t="s">
        <v>729</v>
      </c>
      <c r="AP84" s="1788" t="s">
        <v>570</v>
      </c>
      <c r="AQ84" s="1788"/>
      <c r="AR84" s="2123" t="s">
        <v>571</v>
      </c>
      <c r="AS84" s="2123"/>
      <c r="AT84" s="1856">
        <v>662200000</v>
      </c>
      <c r="AU84" s="2072" t="s">
        <v>633</v>
      </c>
      <c r="AV84" s="1903">
        <f>BB[[#This Row],[NILAI PINJAMAN KONFIRMASI BILA-MULTI]]</f>
        <v>662200000</v>
      </c>
      <c r="AW84" s="1788" t="s">
        <v>21</v>
      </c>
      <c r="AX84" s="1879" t="s">
        <v>796</v>
      </c>
      <c r="AY84" s="3161" t="s">
        <v>799</v>
      </c>
      <c r="AZ84" s="91"/>
      <c r="BA84" s="2149" t="s">
        <v>800</v>
      </c>
      <c r="BB84" s="1764"/>
    </row>
    <row r="85" spans="1:54" s="645" customFormat="1" ht="20.100000000000001" customHeight="1">
      <c r="A85" s="2548">
        <v>67</v>
      </c>
      <c r="B85" s="2549"/>
      <c r="C85" s="2549"/>
      <c r="D85" s="2550" t="s">
        <v>17</v>
      </c>
      <c r="E85" s="2549">
        <v>1</v>
      </c>
      <c r="F85" s="2550" t="s">
        <v>19</v>
      </c>
      <c r="G85" s="1788" t="s">
        <v>752</v>
      </c>
      <c r="H85" s="2550" t="s">
        <v>196</v>
      </c>
      <c r="I85" s="2549" t="s">
        <v>194</v>
      </c>
      <c r="J85" s="2601" t="s">
        <v>195</v>
      </c>
      <c r="K85" s="2602">
        <v>2</v>
      </c>
      <c r="L85" s="2550" t="s">
        <v>199</v>
      </c>
      <c r="M85" s="2549">
        <v>1</v>
      </c>
      <c r="N85" s="2549">
        <v>1</v>
      </c>
      <c r="O85" s="2549">
        <v>0</v>
      </c>
      <c r="P85" s="2573">
        <v>1</v>
      </c>
      <c r="Q85" s="2549">
        <v>1</v>
      </c>
      <c r="R85" s="2549">
        <v>1</v>
      </c>
      <c r="S85" s="2549">
        <v>58</v>
      </c>
      <c r="T85" s="1856">
        <v>200000000</v>
      </c>
      <c r="U85" s="1856">
        <v>200000000</v>
      </c>
      <c r="V85" s="1856">
        <v>20000000</v>
      </c>
      <c r="W85" s="1856">
        <v>0</v>
      </c>
      <c r="X85" s="1856">
        <f t="shared" si="8"/>
        <v>220000000</v>
      </c>
      <c r="Y85" s="1879" t="s">
        <v>795</v>
      </c>
      <c r="Z85" s="1879" t="s">
        <v>796</v>
      </c>
      <c r="AA85" s="1856">
        <f t="shared" si="10"/>
        <v>200000000</v>
      </c>
      <c r="AB85" s="1880"/>
      <c r="AC85" s="1856"/>
      <c r="AD85" s="1881"/>
      <c r="AE85" s="1856">
        <v>200000000</v>
      </c>
      <c r="AF85" s="1881">
        <f>BB[[#This Row],[NILAI PINJAMAN DALAM BB (PERUBAHAN)]]-BB[[#This Row],[NILAI PINJAMAN DI LOAN AGREEMENT]]</f>
        <v>200000000</v>
      </c>
      <c r="AG85" s="1856">
        <v>0</v>
      </c>
      <c r="AH85" s="1880">
        <v>2016</v>
      </c>
      <c r="AI85" s="3137" t="s">
        <v>21</v>
      </c>
      <c r="AJ85" s="3137" t="s">
        <v>97</v>
      </c>
      <c r="AK85" s="3137" t="s">
        <v>801</v>
      </c>
      <c r="AL85" s="3137" t="s">
        <v>21</v>
      </c>
      <c r="AM85" s="2583"/>
      <c r="AN85" s="3186" t="s">
        <v>608</v>
      </c>
      <c r="AO85" s="1914" t="s">
        <v>729</v>
      </c>
      <c r="AP85" s="1788" t="s">
        <v>570</v>
      </c>
      <c r="AQ85" s="1788"/>
      <c r="AR85" s="2123" t="s">
        <v>571</v>
      </c>
      <c r="AS85" s="2123"/>
      <c r="AT85" s="1856">
        <v>200000000</v>
      </c>
      <c r="AU85" s="2072" t="s">
        <v>633</v>
      </c>
      <c r="AV85" s="1903">
        <f>BB[[#This Row],[NILAI PINJAMAN KONFIRMASI BILA-MULTI]]</f>
        <v>200000000</v>
      </c>
      <c r="AW85" s="1788" t="s">
        <v>21</v>
      </c>
      <c r="AX85" s="1879" t="s">
        <v>796</v>
      </c>
      <c r="AY85" s="3161" t="s">
        <v>799</v>
      </c>
      <c r="AZ85" s="91"/>
      <c r="BA85" s="3185" t="s">
        <v>802</v>
      </c>
      <c r="BB85" s="1764"/>
    </row>
    <row r="86" spans="1:54" s="645" customFormat="1" ht="20.100000000000001" customHeight="1">
      <c r="A86" s="2548">
        <v>68</v>
      </c>
      <c r="B86" s="2549"/>
      <c r="C86" s="2549"/>
      <c r="D86" s="2550" t="s">
        <v>17</v>
      </c>
      <c r="E86" s="2549">
        <v>1</v>
      </c>
      <c r="F86" s="2550" t="s">
        <v>19</v>
      </c>
      <c r="G86" s="1788" t="s">
        <v>752</v>
      </c>
      <c r="H86" s="2550" t="s">
        <v>196</v>
      </c>
      <c r="I86" s="2549" t="s">
        <v>194</v>
      </c>
      <c r="J86" s="2601" t="s">
        <v>195</v>
      </c>
      <c r="K86" s="2602">
        <v>3</v>
      </c>
      <c r="L86" s="2550" t="s">
        <v>201</v>
      </c>
      <c r="M86" s="2549">
        <v>1</v>
      </c>
      <c r="N86" s="2549">
        <v>1</v>
      </c>
      <c r="O86" s="2549">
        <v>0</v>
      </c>
      <c r="P86" s="2573">
        <v>1</v>
      </c>
      <c r="Q86" s="2549">
        <v>1</v>
      </c>
      <c r="R86" s="2549">
        <v>1</v>
      </c>
      <c r="S86" s="2549">
        <v>59</v>
      </c>
      <c r="T86" s="1856">
        <v>200000000</v>
      </c>
      <c r="U86" s="1856">
        <v>200000000</v>
      </c>
      <c r="V86" s="1856">
        <v>170000000</v>
      </c>
      <c r="W86" s="1856">
        <v>0</v>
      </c>
      <c r="X86" s="1856">
        <f t="shared" si="8"/>
        <v>370000000</v>
      </c>
      <c r="Y86" s="1879" t="s">
        <v>795</v>
      </c>
      <c r="Z86" s="1879" t="s">
        <v>796</v>
      </c>
      <c r="AA86" s="1856">
        <f t="shared" si="10"/>
        <v>200000000</v>
      </c>
      <c r="AB86" s="1880"/>
      <c r="AC86" s="1856"/>
      <c r="AD86" s="1881"/>
      <c r="AE86" s="1856">
        <v>200000000</v>
      </c>
      <c r="AF86" s="1881">
        <f>BB[[#This Row],[NILAI PINJAMAN DALAM BB (PERUBAHAN)]]-BB[[#This Row],[NILAI PINJAMAN DI LOAN AGREEMENT]]</f>
        <v>200000000</v>
      </c>
      <c r="AG86" s="1856">
        <f t="shared" ref="AG86:AG91" si="11">AA86-T86</f>
        <v>0</v>
      </c>
      <c r="AH86" s="1880">
        <v>2017</v>
      </c>
      <c r="AI86" s="3137" t="s">
        <v>21</v>
      </c>
      <c r="AJ86" s="3137" t="s">
        <v>803</v>
      </c>
      <c r="AK86" s="3137" t="s">
        <v>798</v>
      </c>
      <c r="AL86" s="3137" t="s">
        <v>21</v>
      </c>
      <c r="AM86" s="2583"/>
      <c r="AN86" s="3186" t="s">
        <v>608</v>
      </c>
      <c r="AO86" s="1914" t="s">
        <v>729</v>
      </c>
      <c r="AP86" s="1788" t="s">
        <v>570</v>
      </c>
      <c r="AQ86" s="1788"/>
      <c r="AR86" s="2123" t="s">
        <v>571</v>
      </c>
      <c r="AS86" s="2123"/>
      <c r="AT86" s="1856">
        <v>200000000</v>
      </c>
      <c r="AU86" s="1890" t="s">
        <v>27</v>
      </c>
      <c r="AV86" s="1903">
        <f>BB[[#This Row],[NILAI PINJAMAN KONFIRMASI BILA-MULTI]]</f>
        <v>200000000</v>
      </c>
      <c r="AW86" s="1788" t="s">
        <v>21</v>
      </c>
      <c r="AX86" s="1879" t="s">
        <v>796</v>
      </c>
      <c r="AY86" s="3161" t="s">
        <v>799</v>
      </c>
      <c r="AZ86" s="91"/>
      <c r="BA86" s="3187" t="s">
        <v>804</v>
      </c>
      <c r="BB86" s="1764"/>
    </row>
    <row r="87" spans="1:54" s="645" customFormat="1" ht="20.100000000000001" customHeight="1">
      <c r="A87" s="2548">
        <v>69</v>
      </c>
      <c r="B87" s="2549"/>
      <c r="C87" s="2549"/>
      <c r="D87" s="2550" t="s">
        <v>17</v>
      </c>
      <c r="E87" s="2549">
        <v>1</v>
      </c>
      <c r="F87" s="2550" t="s">
        <v>19</v>
      </c>
      <c r="G87" s="1788" t="s">
        <v>752</v>
      </c>
      <c r="H87" s="2550" t="s">
        <v>196</v>
      </c>
      <c r="I87" s="2549" t="s">
        <v>194</v>
      </c>
      <c r="J87" s="2601" t="s">
        <v>195</v>
      </c>
      <c r="K87" s="2602">
        <v>4</v>
      </c>
      <c r="L87" s="2550" t="s">
        <v>203</v>
      </c>
      <c r="M87" s="2549">
        <v>1</v>
      </c>
      <c r="N87" s="2549">
        <v>1</v>
      </c>
      <c r="O87" s="2549">
        <v>0</v>
      </c>
      <c r="P87" s="2573">
        <v>1</v>
      </c>
      <c r="Q87" s="2549">
        <v>1</v>
      </c>
      <c r="R87" s="2549">
        <v>1</v>
      </c>
      <c r="S87" s="2549">
        <v>60</v>
      </c>
      <c r="T87" s="1788">
        <v>258000000</v>
      </c>
      <c r="U87" s="1788">
        <v>258000000</v>
      </c>
      <c r="V87" s="1856">
        <v>227000000</v>
      </c>
      <c r="W87" s="1856">
        <v>0</v>
      </c>
      <c r="X87" s="1856">
        <f t="shared" si="8"/>
        <v>485000000</v>
      </c>
      <c r="Y87" s="1879" t="s">
        <v>58</v>
      </c>
      <c r="Z87" s="1879" t="s">
        <v>619</v>
      </c>
      <c r="AA87" s="1856">
        <f t="shared" si="10"/>
        <v>258000000</v>
      </c>
      <c r="AB87" s="1880"/>
      <c r="AC87" s="1856"/>
      <c r="AD87" s="1881"/>
      <c r="AE87" s="1856"/>
      <c r="AF87" s="1881"/>
      <c r="AG87" s="91">
        <f t="shared" si="11"/>
        <v>0</v>
      </c>
      <c r="AH87" s="1880" t="s">
        <v>617</v>
      </c>
      <c r="AI87" s="3137" t="s">
        <v>21</v>
      </c>
      <c r="AJ87" s="3137" t="s">
        <v>805</v>
      </c>
      <c r="AK87" s="3137" t="s">
        <v>806</v>
      </c>
      <c r="AL87" s="3137" t="s">
        <v>21</v>
      </c>
      <c r="AM87" s="2583"/>
      <c r="AN87" s="3186" t="s">
        <v>608</v>
      </c>
      <c r="AO87" s="1914" t="s">
        <v>729</v>
      </c>
      <c r="AP87" s="1788" t="s">
        <v>570</v>
      </c>
      <c r="AQ87" s="1788"/>
      <c r="AR87" s="2123" t="s">
        <v>571</v>
      </c>
      <c r="AS87" s="2123"/>
      <c r="AT87" s="1856">
        <v>258000000</v>
      </c>
      <c r="AU87" s="1879" t="s">
        <v>58</v>
      </c>
      <c r="AV87" s="1903">
        <f>BB[[#This Row],[NILAI PINJAMAN KONFIRMASI BILA-MULTI]]</f>
        <v>258000000</v>
      </c>
      <c r="AW87" s="1788" t="s">
        <v>21</v>
      </c>
      <c r="AX87" s="1879" t="s">
        <v>619</v>
      </c>
      <c r="AY87" s="91" t="s">
        <v>577</v>
      </c>
      <c r="AZ87" s="91"/>
      <c r="BA87" s="1975" t="s">
        <v>807</v>
      </c>
      <c r="BB87" s="1764"/>
    </row>
    <row r="88" spans="1:54" s="645" customFormat="1" ht="19.5" customHeight="1">
      <c r="A88" s="2548">
        <v>70</v>
      </c>
      <c r="B88" s="2549"/>
      <c r="C88" s="2549"/>
      <c r="D88" s="2550" t="s">
        <v>17</v>
      </c>
      <c r="E88" s="2549">
        <v>1</v>
      </c>
      <c r="F88" s="2550" t="s">
        <v>19</v>
      </c>
      <c r="G88" s="1788" t="s">
        <v>752</v>
      </c>
      <c r="H88" s="2550" t="s">
        <v>196</v>
      </c>
      <c r="I88" s="2549" t="s">
        <v>194</v>
      </c>
      <c r="J88" s="2601" t="s">
        <v>195</v>
      </c>
      <c r="K88" s="2602">
        <v>5</v>
      </c>
      <c r="L88" s="2550" t="s">
        <v>204</v>
      </c>
      <c r="M88" s="2549">
        <v>1</v>
      </c>
      <c r="N88" s="2549">
        <v>1</v>
      </c>
      <c r="O88" s="2549">
        <v>0</v>
      </c>
      <c r="P88" s="2573">
        <v>1</v>
      </c>
      <c r="Q88" s="2549">
        <v>1</v>
      </c>
      <c r="R88" s="2549">
        <v>1</v>
      </c>
      <c r="S88" s="2549">
        <v>61</v>
      </c>
      <c r="T88" s="1856">
        <v>200000000</v>
      </c>
      <c r="U88" s="1856">
        <v>200000000</v>
      </c>
      <c r="V88" s="1856">
        <v>20000000</v>
      </c>
      <c r="W88" s="1856">
        <v>0</v>
      </c>
      <c r="X88" s="1856">
        <f t="shared" si="8"/>
        <v>220000000</v>
      </c>
      <c r="Y88" s="1879" t="s">
        <v>27</v>
      </c>
      <c r="Z88" s="1879" t="s">
        <v>565</v>
      </c>
      <c r="AA88" s="1856">
        <f t="shared" si="10"/>
        <v>200000000</v>
      </c>
      <c r="AB88" s="1880"/>
      <c r="AC88" s="1856"/>
      <c r="AD88" s="1881"/>
      <c r="AE88" s="1856"/>
      <c r="AF88" s="1881"/>
      <c r="AG88" s="1856">
        <f t="shared" si="11"/>
        <v>0</v>
      </c>
      <c r="AH88" s="1880">
        <v>2018</v>
      </c>
      <c r="AI88" s="3137" t="s">
        <v>21</v>
      </c>
      <c r="AJ88" s="3137" t="s">
        <v>808</v>
      </c>
      <c r="AK88" s="3137" t="s">
        <v>806</v>
      </c>
      <c r="AL88" s="3137" t="s">
        <v>21</v>
      </c>
      <c r="AM88" s="2583"/>
      <c r="AN88" s="3188" t="s">
        <v>568</v>
      </c>
      <c r="AO88" s="1914" t="s">
        <v>729</v>
      </c>
      <c r="AP88" s="1788" t="s">
        <v>570</v>
      </c>
      <c r="AQ88" s="1788"/>
      <c r="AR88" s="2123" t="s">
        <v>571</v>
      </c>
      <c r="AS88" s="2123"/>
      <c r="AT88" s="1856">
        <v>200000000</v>
      </c>
      <c r="AU88" s="1879" t="s">
        <v>27</v>
      </c>
      <c r="AV88" s="1903">
        <f>BB[[#This Row],[NILAI PINJAMAN KONFIRMASI BILA-MULTI]]</f>
        <v>200000000</v>
      </c>
      <c r="AW88" s="1788" t="s">
        <v>21</v>
      </c>
      <c r="AX88" s="1879" t="s">
        <v>565</v>
      </c>
      <c r="AY88" s="91" t="s">
        <v>577</v>
      </c>
      <c r="AZ88" s="91"/>
      <c r="BA88" s="1975" t="s">
        <v>809</v>
      </c>
      <c r="BB88" s="1764"/>
    </row>
    <row r="89" spans="1:54" s="645" customFormat="1" ht="20.100000000000001" customHeight="1">
      <c r="A89" s="2548">
        <v>71</v>
      </c>
      <c r="B89" s="2549"/>
      <c r="C89" s="2549"/>
      <c r="D89" s="2550" t="s">
        <v>17</v>
      </c>
      <c r="E89" s="2549">
        <v>1</v>
      </c>
      <c r="F89" s="2550" t="s">
        <v>19</v>
      </c>
      <c r="G89" s="1788" t="s">
        <v>752</v>
      </c>
      <c r="H89" s="2550" t="s">
        <v>196</v>
      </c>
      <c r="I89" s="2549" t="s">
        <v>194</v>
      </c>
      <c r="J89" s="2601" t="s">
        <v>195</v>
      </c>
      <c r="K89" s="2602">
        <v>6</v>
      </c>
      <c r="L89" s="2550" t="s">
        <v>206</v>
      </c>
      <c r="M89" s="2549">
        <v>1</v>
      </c>
      <c r="N89" s="2549">
        <v>1</v>
      </c>
      <c r="O89" s="2549">
        <v>0</v>
      </c>
      <c r="P89" s="2573">
        <v>1</v>
      </c>
      <c r="Q89" s="2549">
        <v>1</v>
      </c>
      <c r="R89" s="2549">
        <v>1</v>
      </c>
      <c r="S89" s="2549">
        <v>62</v>
      </c>
      <c r="T89" s="1856">
        <v>128250000</v>
      </c>
      <c r="U89" s="1856">
        <v>128250000</v>
      </c>
      <c r="V89" s="1856">
        <v>21000000</v>
      </c>
      <c r="W89" s="1856">
        <v>0</v>
      </c>
      <c r="X89" s="1856">
        <f t="shared" si="8"/>
        <v>149250000</v>
      </c>
      <c r="Y89" s="1879" t="s">
        <v>27</v>
      </c>
      <c r="Z89" s="1879" t="s">
        <v>565</v>
      </c>
      <c r="AA89" s="1856">
        <f t="shared" si="10"/>
        <v>128250000</v>
      </c>
      <c r="AB89" s="1880"/>
      <c r="AC89" s="1856"/>
      <c r="AD89" s="1881"/>
      <c r="AE89" s="1856"/>
      <c r="AF89" s="1881"/>
      <c r="AG89" s="1856">
        <f t="shared" si="11"/>
        <v>0</v>
      </c>
      <c r="AH89" s="1880">
        <v>2019</v>
      </c>
      <c r="AI89" s="3137" t="s">
        <v>21</v>
      </c>
      <c r="AJ89" s="3137" t="s">
        <v>810</v>
      </c>
      <c r="AK89" s="3137" t="s">
        <v>811</v>
      </c>
      <c r="AL89" s="3137" t="s">
        <v>21</v>
      </c>
      <c r="AM89" s="2583"/>
      <c r="AN89" s="3186" t="s">
        <v>608</v>
      </c>
      <c r="AO89" s="1914" t="s">
        <v>729</v>
      </c>
      <c r="AP89" s="1788" t="s">
        <v>570</v>
      </c>
      <c r="AQ89" s="1788"/>
      <c r="AR89" s="2123" t="s">
        <v>571</v>
      </c>
      <c r="AS89" s="2123"/>
      <c r="AT89" s="1856">
        <v>128250000</v>
      </c>
      <c r="AU89" s="1879" t="s">
        <v>27</v>
      </c>
      <c r="AV89" s="1903">
        <f>BB[[#This Row],[NILAI PINJAMAN KONFIRMASI BILA-MULTI]]</f>
        <v>128250000</v>
      </c>
      <c r="AW89" s="1788" t="s">
        <v>21</v>
      </c>
      <c r="AX89" s="1879" t="s">
        <v>565</v>
      </c>
      <c r="AY89" s="91" t="s">
        <v>577</v>
      </c>
      <c r="AZ89" s="91"/>
      <c r="BA89" s="1975" t="s">
        <v>812</v>
      </c>
      <c r="BB89" s="1764"/>
    </row>
    <row r="90" spans="1:54" s="645" customFormat="1" ht="20.100000000000001" customHeight="1">
      <c r="A90" s="2548">
        <v>72</v>
      </c>
      <c r="B90" s="2549"/>
      <c r="C90" s="2549"/>
      <c r="D90" s="2550" t="s">
        <v>17</v>
      </c>
      <c r="E90" s="2549">
        <v>1</v>
      </c>
      <c r="F90" s="2550" t="s">
        <v>19</v>
      </c>
      <c r="G90" s="1788" t="s">
        <v>752</v>
      </c>
      <c r="H90" s="2550" t="s">
        <v>196</v>
      </c>
      <c r="I90" s="2549" t="s">
        <v>194</v>
      </c>
      <c r="J90" s="2601" t="s">
        <v>195</v>
      </c>
      <c r="K90" s="2602">
        <v>7</v>
      </c>
      <c r="L90" s="2550" t="s">
        <v>208</v>
      </c>
      <c r="M90" s="2549">
        <v>1</v>
      </c>
      <c r="N90" s="2549">
        <v>1</v>
      </c>
      <c r="O90" s="2549">
        <v>0</v>
      </c>
      <c r="P90" s="2573">
        <v>1</v>
      </c>
      <c r="Q90" s="2549">
        <v>1</v>
      </c>
      <c r="R90" s="2549">
        <v>1</v>
      </c>
      <c r="S90" s="2549">
        <v>63</v>
      </c>
      <c r="T90" s="1856">
        <v>70000000</v>
      </c>
      <c r="U90" s="1856">
        <v>70000000</v>
      </c>
      <c r="V90" s="1856">
        <v>7000000</v>
      </c>
      <c r="W90" s="1856">
        <v>0</v>
      </c>
      <c r="X90" s="1856">
        <f t="shared" si="8"/>
        <v>77000000</v>
      </c>
      <c r="Y90" s="1879" t="s">
        <v>27</v>
      </c>
      <c r="Z90" s="1879" t="s">
        <v>565</v>
      </c>
      <c r="AA90" s="1856">
        <f t="shared" si="10"/>
        <v>70000000</v>
      </c>
      <c r="AB90" s="1880"/>
      <c r="AC90" s="1856"/>
      <c r="AD90" s="1881"/>
      <c r="AE90" s="1856"/>
      <c r="AF90" s="1881"/>
      <c r="AG90" s="1856">
        <f t="shared" si="11"/>
        <v>0</v>
      </c>
      <c r="AH90" s="1880">
        <v>2017</v>
      </c>
      <c r="AI90" s="3137" t="s">
        <v>21</v>
      </c>
      <c r="AJ90" s="3137" t="s">
        <v>813</v>
      </c>
      <c r="AK90" s="3137" t="s">
        <v>811</v>
      </c>
      <c r="AL90" s="3137" t="s">
        <v>21</v>
      </c>
      <c r="AM90" s="2583"/>
      <c r="AN90" s="3188" t="s">
        <v>568</v>
      </c>
      <c r="AO90" s="1914" t="s">
        <v>729</v>
      </c>
      <c r="AP90" s="1788" t="s">
        <v>570</v>
      </c>
      <c r="AQ90" s="1788"/>
      <c r="AR90" s="2123" t="s">
        <v>571</v>
      </c>
      <c r="AS90" s="2123"/>
      <c r="AT90" s="1856">
        <v>70000000</v>
      </c>
      <c r="AU90" s="1879" t="s">
        <v>27</v>
      </c>
      <c r="AV90" s="1903">
        <f>BB[[#This Row],[NILAI PINJAMAN KONFIRMASI BILA-MULTI]]</f>
        <v>70000000</v>
      </c>
      <c r="AW90" s="1788" t="s">
        <v>21</v>
      </c>
      <c r="AX90" s="1879" t="s">
        <v>565</v>
      </c>
      <c r="AY90" s="91" t="s">
        <v>577</v>
      </c>
      <c r="AZ90" s="91"/>
      <c r="BA90" s="1975" t="s">
        <v>814</v>
      </c>
      <c r="BB90" s="1764"/>
    </row>
    <row r="91" spans="1:54" s="645" customFormat="1" ht="20.100000000000001" customHeight="1">
      <c r="A91" s="2548">
        <v>73</v>
      </c>
      <c r="B91" s="2549"/>
      <c r="C91" s="2549"/>
      <c r="D91" s="2550" t="s">
        <v>17</v>
      </c>
      <c r="E91" s="2549">
        <v>1</v>
      </c>
      <c r="F91" s="2550" t="s">
        <v>19</v>
      </c>
      <c r="G91" s="1788" t="s">
        <v>752</v>
      </c>
      <c r="H91" s="2550" t="s">
        <v>196</v>
      </c>
      <c r="I91" s="2549" t="s">
        <v>194</v>
      </c>
      <c r="J91" s="2601" t="s">
        <v>195</v>
      </c>
      <c r="K91" s="2602">
        <v>8</v>
      </c>
      <c r="L91" s="2550" t="s">
        <v>210</v>
      </c>
      <c r="M91" s="2549">
        <v>1</v>
      </c>
      <c r="N91" s="2549">
        <v>1</v>
      </c>
      <c r="O91" s="2549">
        <v>0</v>
      </c>
      <c r="P91" s="2573">
        <v>1</v>
      </c>
      <c r="Q91" s="2549">
        <v>1</v>
      </c>
      <c r="R91" s="2549">
        <v>1</v>
      </c>
      <c r="S91" s="2549">
        <v>64</v>
      </c>
      <c r="T91" s="1856">
        <v>110000000</v>
      </c>
      <c r="U91" s="1856">
        <v>110000000</v>
      </c>
      <c r="V91" s="1856">
        <v>11000000</v>
      </c>
      <c r="W91" s="1856">
        <v>0</v>
      </c>
      <c r="X91" s="1856">
        <f t="shared" si="8"/>
        <v>121000000</v>
      </c>
      <c r="Y91" s="1879" t="s">
        <v>795</v>
      </c>
      <c r="Z91" s="1879" t="s">
        <v>796</v>
      </c>
      <c r="AA91" s="1856">
        <f t="shared" si="10"/>
        <v>110000000</v>
      </c>
      <c r="AB91" s="1880"/>
      <c r="AC91" s="1856"/>
      <c r="AD91" s="1881"/>
      <c r="AE91" s="1856">
        <v>110000000</v>
      </c>
      <c r="AF91" s="1881">
        <f>BB[[#This Row],[NILAI PINJAMAN DALAM BB (PERUBAHAN)]]-BB[[#This Row],[NILAI PINJAMAN DI LOAN AGREEMENT]]</f>
        <v>110000000</v>
      </c>
      <c r="AG91" s="1856">
        <f t="shared" si="11"/>
        <v>0</v>
      </c>
      <c r="AH91" s="1880">
        <v>2016</v>
      </c>
      <c r="AI91" s="3137" t="s">
        <v>21</v>
      </c>
      <c r="AJ91" s="3137" t="s">
        <v>815</v>
      </c>
      <c r="AK91" s="3137" t="s">
        <v>798</v>
      </c>
      <c r="AL91" s="3137" t="s">
        <v>816</v>
      </c>
      <c r="AM91" s="2583"/>
      <c r="AN91" s="3186" t="s">
        <v>608</v>
      </c>
      <c r="AO91" s="1914" t="s">
        <v>729</v>
      </c>
      <c r="AP91" s="1788" t="s">
        <v>570</v>
      </c>
      <c r="AQ91" s="1788"/>
      <c r="AR91" s="2123" t="s">
        <v>571</v>
      </c>
      <c r="AS91" s="2123"/>
      <c r="AT91" s="1856">
        <v>110000000</v>
      </c>
      <c r="AU91" s="2072" t="s">
        <v>633</v>
      </c>
      <c r="AV91" s="1903">
        <f>BB[[#This Row],[NILAI PINJAMAN KONFIRMASI BILA-MULTI]]</f>
        <v>110000000</v>
      </c>
      <c r="AW91" s="1788" t="s">
        <v>21</v>
      </c>
      <c r="AX91" s="1879" t="s">
        <v>796</v>
      </c>
      <c r="AY91" s="3161" t="s">
        <v>799</v>
      </c>
      <c r="AZ91" s="91"/>
      <c r="BA91" s="1975" t="s">
        <v>817</v>
      </c>
      <c r="BB91" s="1764"/>
    </row>
    <row r="92" spans="1:54" s="645" customFormat="1" ht="20.100000000000001" customHeight="1">
      <c r="A92" s="2548">
        <v>74</v>
      </c>
      <c r="B92" s="2549"/>
      <c r="C92" s="2549"/>
      <c r="D92" s="2550" t="s">
        <v>17</v>
      </c>
      <c r="E92" s="2549">
        <v>1</v>
      </c>
      <c r="F92" s="2550" t="s">
        <v>19</v>
      </c>
      <c r="G92" s="1788" t="s">
        <v>752</v>
      </c>
      <c r="H92" s="2550" t="s">
        <v>196</v>
      </c>
      <c r="I92" s="2549" t="s">
        <v>194</v>
      </c>
      <c r="J92" s="2601" t="s">
        <v>195</v>
      </c>
      <c r="K92" s="2602">
        <v>9</v>
      </c>
      <c r="L92" s="2550" t="s">
        <v>818</v>
      </c>
      <c r="M92" s="2549">
        <v>1</v>
      </c>
      <c r="N92" s="2549">
        <v>1</v>
      </c>
      <c r="O92" s="2549">
        <v>0</v>
      </c>
      <c r="P92" s="2573">
        <v>1</v>
      </c>
      <c r="Q92" s="2549">
        <v>1</v>
      </c>
      <c r="R92" s="2549">
        <v>1</v>
      </c>
      <c r="S92" s="2549">
        <v>65</v>
      </c>
      <c r="T92" s="1856">
        <v>152100000</v>
      </c>
      <c r="U92" s="1856">
        <v>152100000</v>
      </c>
      <c r="V92" s="1856">
        <v>26500000</v>
      </c>
      <c r="W92" s="1856">
        <v>0</v>
      </c>
      <c r="X92" s="1856">
        <f t="shared" si="8"/>
        <v>178600000</v>
      </c>
      <c r="Y92" s="1879" t="s">
        <v>27</v>
      </c>
      <c r="Z92" s="1879" t="s">
        <v>565</v>
      </c>
      <c r="AA92" s="1856">
        <f t="shared" si="10"/>
        <v>152100000</v>
      </c>
      <c r="AB92" s="1880"/>
      <c r="AC92" s="1856"/>
      <c r="AD92" s="1881"/>
      <c r="AE92" s="1856"/>
      <c r="AF92" s="1881"/>
      <c r="AG92" s="1856">
        <v>0</v>
      </c>
      <c r="AH92" s="1880">
        <v>2018</v>
      </c>
      <c r="AI92" s="3137" t="s">
        <v>21</v>
      </c>
      <c r="AJ92" s="3137" t="s">
        <v>819</v>
      </c>
      <c r="AK92" s="3137" t="s">
        <v>811</v>
      </c>
      <c r="AL92" s="3137" t="s">
        <v>21</v>
      </c>
      <c r="AM92" s="2583"/>
      <c r="AN92" s="3186" t="s">
        <v>675</v>
      </c>
      <c r="AO92" s="1914" t="s">
        <v>729</v>
      </c>
      <c r="AP92" s="1788" t="s">
        <v>570</v>
      </c>
      <c r="AQ92" s="1788"/>
      <c r="AR92" s="2123" t="s">
        <v>571</v>
      </c>
      <c r="AS92" s="2123"/>
      <c r="AT92" s="1856">
        <v>152100000</v>
      </c>
      <c r="AU92" s="1879" t="s">
        <v>27</v>
      </c>
      <c r="AV92" s="1903">
        <f>BB[[#This Row],[NILAI PINJAMAN KONFIRMASI BILA-MULTI]]</f>
        <v>152100000</v>
      </c>
      <c r="AW92" s="1788" t="s">
        <v>21</v>
      </c>
      <c r="AX92" s="1879" t="s">
        <v>565</v>
      </c>
      <c r="AY92" s="3161" t="s">
        <v>820</v>
      </c>
      <c r="AZ92" s="91"/>
      <c r="BA92" s="1975" t="s">
        <v>821</v>
      </c>
      <c r="BB92" s="1764"/>
    </row>
    <row r="93" spans="1:54" s="2515" customFormat="1" ht="20.100000000000001" customHeight="1">
      <c r="A93" s="2594">
        <v>75</v>
      </c>
      <c r="B93" s="2595"/>
      <c r="C93" s="2595"/>
      <c r="D93" s="2596" t="s">
        <v>17</v>
      </c>
      <c r="E93" s="2595">
        <v>1</v>
      </c>
      <c r="F93" s="2596" t="s">
        <v>19</v>
      </c>
      <c r="G93" s="2030" t="s">
        <v>752</v>
      </c>
      <c r="H93" s="2596" t="s">
        <v>196</v>
      </c>
      <c r="I93" s="2595" t="s">
        <v>194</v>
      </c>
      <c r="J93" s="2603" t="s">
        <v>195</v>
      </c>
      <c r="K93" s="2604">
        <v>10</v>
      </c>
      <c r="L93" s="2596" t="s">
        <v>214</v>
      </c>
      <c r="M93" s="2595">
        <v>0</v>
      </c>
      <c r="N93" s="2595">
        <v>1</v>
      </c>
      <c r="O93" s="2595">
        <v>1</v>
      </c>
      <c r="P93" s="2605">
        <v>0</v>
      </c>
      <c r="Q93" s="2595">
        <v>0</v>
      </c>
      <c r="R93" s="2595">
        <v>1</v>
      </c>
      <c r="S93" s="2595">
        <v>66</v>
      </c>
      <c r="T93" s="2065">
        <v>100000000</v>
      </c>
      <c r="U93" s="2065">
        <v>100000000</v>
      </c>
      <c r="V93" s="2065">
        <v>0</v>
      </c>
      <c r="W93" s="2065">
        <v>0</v>
      </c>
      <c r="X93" s="2065">
        <f t="shared" si="8"/>
        <v>100000000</v>
      </c>
      <c r="Y93" s="2081"/>
      <c r="Z93" s="2081"/>
      <c r="AA93" s="2065">
        <f>SUM(AA94:AA96)</f>
        <v>100000000</v>
      </c>
      <c r="AB93" s="2082"/>
      <c r="AC93" s="2065">
        <v>1930000</v>
      </c>
      <c r="AD93" s="2083"/>
      <c r="AE93" s="2065"/>
      <c r="AF93" s="2083"/>
      <c r="AG93" s="2065">
        <f>SUM(AG94:AG96)</f>
        <v>-76391404</v>
      </c>
      <c r="AH93" s="2082" t="s">
        <v>21</v>
      </c>
      <c r="AI93" s="2109"/>
      <c r="AJ93" s="1997"/>
      <c r="AK93" s="1997"/>
      <c r="AL93" s="1997"/>
      <c r="AM93" s="2082" t="s">
        <v>21</v>
      </c>
      <c r="AN93" s="1907" t="s">
        <v>21</v>
      </c>
      <c r="AO93" s="1907" t="s">
        <v>21</v>
      </c>
      <c r="AP93" s="2030"/>
      <c r="AQ93" s="2030"/>
      <c r="AR93" s="2030" t="s">
        <v>21</v>
      </c>
      <c r="AS93" s="2030" t="s">
        <v>21</v>
      </c>
      <c r="AT93" s="2065">
        <v>0</v>
      </c>
      <c r="AU93" s="2081"/>
      <c r="AV93" s="2081"/>
      <c r="AW93" s="2030" t="s">
        <v>21</v>
      </c>
      <c r="AX93" s="2081"/>
      <c r="AY93" s="3189" t="s">
        <v>822</v>
      </c>
      <c r="AZ93" s="2165"/>
      <c r="BA93" s="3190" t="s">
        <v>823</v>
      </c>
      <c r="BB93" s="2167"/>
    </row>
    <row r="94" spans="1:54" s="2505" customFormat="1" ht="20.100000000000001" customHeight="1">
      <c r="A94" s="2539"/>
      <c r="B94" s="2540"/>
      <c r="C94" s="2540"/>
      <c r="D94" s="2541" t="s">
        <v>17</v>
      </c>
      <c r="E94" s="2540">
        <v>1</v>
      </c>
      <c r="F94" s="2541" t="s">
        <v>19</v>
      </c>
      <c r="G94" s="1771" t="s">
        <v>752</v>
      </c>
      <c r="H94" s="2541" t="s">
        <v>196</v>
      </c>
      <c r="I94" s="2540" t="s">
        <v>194</v>
      </c>
      <c r="J94" s="2606" t="s">
        <v>195</v>
      </c>
      <c r="K94" s="2607">
        <v>10</v>
      </c>
      <c r="L94" s="2541" t="s">
        <v>214</v>
      </c>
      <c r="M94" s="2608">
        <v>0.33333333333333298</v>
      </c>
      <c r="N94" s="2540">
        <v>0</v>
      </c>
      <c r="O94" s="2540">
        <v>2</v>
      </c>
      <c r="P94" s="2609">
        <v>0.33333333333333298</v>
      </c>
      <c r="Q94" s="2609">
        <v>0.33333333333333298</v>
      </c>
      <c r="R94" s="2540">
        <v>0</v>
      </c>
      <c r="S94" s="2540">
        <v>66</v>
      </c>
      <c r="T94" s="1852">
        <v>0</v>
      </c>
      <c r="U94" s="1852">
        <v>0</v>
      </c>
      <c r="V94" s="1852">
        <v>0</v>
      </c>
      <c r="W94" s="1852">
        <v>0</v>
      </c>
      <c r="X94" s="1852">
        <f t="shared" si="8"/>
        <v>0</v>
      </c>
      <c r="Y94" s="1863" t="s">
        <v>117</v>
      </c>
      <c r="Z94" s="1863" t="s">
        <v>619</v>
      </c>
      <c r="AA94" s="1852">
        <v>1930000</v>
      </c>
      <c r="AB94" s="1872">
        <v>1</v>
      </c>
      <c r="AC94" s="1852"/>
      <c r="AD94" s="1873"/>
      <c r="AE94" s="1852"/>
      <c r="AF94" s="1873"/>
      <c r="AG94" s="1852">
        <v>0</v>
      </c>
      <c r="AH94" s="1872">
        <v>2016</v>
      </c>
      <c r="AI94" s="3129" t="s">
        <v>791</v>
      </c>
      <c r="AJ94" s="1851" t="s">
        <v>33</v>
      </c>
      <c r="AK94" s="1851" t="s">
        <v>183</v>
      </c>
      <c r="AL94" s="1851" t="s">
        <v>79</v>
      </c>
      <c r="AM94" s="1872" t="s">
        <v>581</v>
      </c>
      <c r="AN94" s="1910" t="s">
        <v>568</v>
      </c>
      <c r="AO94" s="1910" t="s">
        <v>645</v>
      </c>
      <c r="AP94" s="1908" t="s">
        <v>570</v>
      </c>
      <c r="AQ94" s="1908"/>
      <c r="AR94" s="1908" t="s">
        <v>21</v>
      </c>
      <c r="AS94" s="1908" t="s">
        <v>586</v>
      </c>
      <c r="AT94" s="1852">
        <v>1930000</v>
      </c>
      <c r="AU94" s="1863" t="s">
        <v>117</v>
      </c>
      <c r="AV94" s="1863">
        <f>BB[[#This Row],[NILAI PINJAMAN KONFIRMASI BILA-MULTI]]</f>
        <v>1930000</v>
      </c>
      <c r="AW94" s="1771" t="s">
        <v>824</v>
      </c>
      <c r="AX94" s="1863" t="s">
        <v>619</v>
      </c>
      <c r="AY94" s="3191" t="s">
        <v>822</v>
      </c>
      <c r="AZ94" s="2168"/>
      <c r="BA94" s="3192" t="s">
        <v>823</v>
      </c>
      <c r="BB94" s="1964"/>
    </row>
    <row r="95" spans="1:54" s="2505" customFormat="1" ht="20.100000000000001" customHeight="1">
      <c r="A95" s="2539"/>
      <c r="B95" s="2540"/>
      <c r="C95" s="2540"/>
      <c r="D95" s="2541" t="s">
        <v>17</v>
      </c>
      <c r="E95" s="2540">
        <v>1</v>
      </c>
      <c r="F95" s="2541" t="s">
        <v>19</v>
      </c>
      <c r="G95" s="1771" t="s">
        <v>752</v>
      </c>
      <c r="H95" s="2541" t="s">
        <v>196</v>
      </c>
      <c r="I95" s="2540" t="s">
        <v>194</v>
      </c>
      <c r="J95" s="2606" t="s">
        <v>195</v>
      </c>
      <c r="K95" s="2607">
        <v>10</v>
      </c>
      <c r="L95" s="2541" t="s">
        <v>214</v>
      </c>
      <c r="M95" s="2608">
        <v>0.33333333333333298</v>
      </c>
      <c r="N95" s="2540">
        <v>0</v>
      </c>
      <c r="O95" s="2540">
        <v>2</v>
      </c>
      <c r="P95" s="2609">
        <v>0.33333333333333298</v>
      </c>
      <c r="Q95" s="2609">
        <v>0.33333333333333298</v>
      </c>
      <c r="R95" s="2540">
        <v>0</v>
      </c>
      <c r="S95" s="2540">
        <v>66</v>
      </c>
      <c r="T95" s="1852">
        <v>0</v>
      </c>
      <c r="U95" s="1852">
        <v>0</v>
      </c>
      <c r="V95" s="1852">
        <v>0</v>
      </c>
      <c r="W95" s="1852">
        <v>0</v>
      </c>
      <c r="X95" s="1852">
        <f t="shared" si="8"/>
        <v>0</v>
      </c>
      <c r="Y95" s="1863" t="s">
        <v>28</v>
      </c>
      <c r="Z95" s="1863" t="s">
        <v>565</v>
      </c>
      <c r="AA95" s="1852">
        <v>21678596</v>
      </c>
      <c r="AB95" s="1872"/>
      <c r="AC95" s="1852"/>
      <c r="AD95" s="1873"/>
      <c r="AE95" s="1852"/>
      <c r="AF95" s="1873"/>
      <c r="AG95" s="1852">
        <v>0</v>
      </c>
      <c r="AH95" s="1872">
        <v>2016</v>
      </c>
      <c r="AI95" s="3129" t="s">
        <v>825</v>
      </c>
      <c r="AJ95" s="1851" t="s">
        <v>33</v>
      </c>
      <c r="AK95" s="1851" t="s">
        <v>183</v>
      </c>
      <c r="AL95" s="1851" t="s">
        <v>79</v>
      </c>
      <c r="AM95" s="1872">
        <v>2016</v>
      </c>
      <c r="AN95" s="1910" t="s">
        <v>568</v>
      </c>
      <c r="AO95" s="1910" t="s">
        <v>645</v>
      </c>
      <c r="AP95" s="1908" t="s">
        <v>570</v>
      </c>
      <c r="AQ95" s="1908"/>
      <c r="AR95" s="1908" t="s">
        <v>21</v>
      </c>
      <c r="AS95" s="1908" t="s">
        <v>764</v>
      </c>
      <c r="AT95" s="1852">
        <v>21678596</v>
      </c>
      <c r="AU95" s="1863" t="s">
        <v>28</v>
      </c>
      <c r="AV95" s="1863">
        <f>BB[[#This Row],[NILAI PINJAMAN KONFIRMASI BILA-MULTI]]</f>
        <v>21678596</v>
      </c>
      <c r="AW95" s="3158" t="s">
        <v>826</v>
      </c>
      <c r="AX95" s="1863" t="s">
        <v>565</v>
      </c>
      <c r="AY95" s="3191" t="s">
        <v>822</v>
      </c>
      <c r="AZ95" s="2168"/>
      <c r="BA95" s="3192" t="s">
        <v>823</v>
      </c>
      <c r="BB95" s="1964"/>
    </row>
    <row r="96" spans="1:54" s="2505" customFormat="1" ht="20.100000000000001" customHeight="1">
      <c r="A96" s="2539"/>
      <c r="B96" s="2540"/>
      <c r="C96" s="2540"/>
      <c r="D96" s="2541" t="s">
        <v>17</v>
      </c>
      <c r="E96" s="2540">
        <v>1</v>
      </c>
      <c r="F96" s="2541" t="s">
        <v>19</v>
      </c>
      <c r="G96" s="1814" t="s">
        <v>752</v>
      </c>
      <c r="H96" s="2541" t="s">
        <v>196</v>
      </c>
      <c r="I96" s="2540" t="s">
        <v>194</v>
      </c>
      <c r="J96" s="2606" t="s">
        <v>195</v>
      </c>
      <c r="K96" s="2607">
        <v>10</v>
      </c>
      <c r="L96" s="2541" t="s">
        <v>214</v>
      </c>
      <c r="M96" s="2608">
        <v>0.33333333333333298</v>
      </c>
      <c r="N96" s="2540">
        <v>0</v>
      </c>
      <c r="O96" s="2540">
        <v>2</v>
      </c>
      <c r="P96" s="2609">
        <v>0.33333333333333298</v>
      </c>
      <c r="Q96" s="2609">
        <v>0.33333333333333298</v>
      </c>
      <c r="R96" s="2540">
        <v>0</v>
      </c>
      <c r="S96" s="2540">
        <v>66</v>
      </c>
      <c r="T96" s="1852">
        <v>0</v>
      </c>
      <c r="U96" s="1852">
        <v>0</v>
      </c>
      <c r="V96" s="1852">
        <v>0</v>
      </c>
      <c r="W96" s="1852">
        <v>0</v>
      </c>
      <c r="X96" s="1852">
        <f t="shared" si="8"/>
        <v>0</v>
      </c>
      <c r="Y96" s="1899" t="s">
        <v>633</v>
      </c>
      <c r="Z96" s="1899" t="s">
        <v>633</v>
      </c>
      <c r="AA96" s="1852">
        <f>T93-AA94-AA95</f>
        <v>76391404</v>
      </c>
      <c r="AB96" s="1872"/>
      <c r="AC96" s="1852"/>
      <c r="AD96" s="1873"/>
      <c r="AE96" s="1852"/>
      <c r="AF96" s="1873"/>
      <c r="AG96" s="1852">
        <f>-BB[[#This Row],[NILAI PINJAMAN PER LENDER]]</f>
        <v>-76391404</v>
      </c>
      <c r="AH96" s="1872" t="s">
        <v>617</v>
      </c>
      <c r="AI96" s="3129" t="s">
        <v>21</v>
      </c>
      <c r="AJ96" s="1851" t="s">
        <v>21</v>
      </c>
      <c r="AK96" s="1851" t="s">
        <v>21</v>
      </c>
      <c r="AL96" s="1851" t="s">
        <v>21</v>
      </c>
      <c r="AM96" s="1872"/>
      <c r="AN96" s="1910" t="s">
        <v>603</v>
      </c>
      <c r="AO96" s="1910" t="s">
        <v>603</v>
      </c>
      <c r="AP96" s="1908" t="s">
        <v>570</v>
      </c>
      <c r="AQ96" s="1908"/>
      <c r="AR96" s="1908" t="s">
        <v>571</v>
      </c>
      <c r="AS96" s="1908"/>
      <c r="AT96" s="1852">
        <v>76391404</v>
      </c>
      <c r="AU96" s="1899" t="s">
        <v>633</v>
      </c>
      <c r="AV96" s="1863">
        <f>BB[[#This Row],[NILAI PINJAMAN KONFIRMASI BILA-MULTI]]</f>
        <v>76391404</v>
      </c>
      <c r="AW96" s="1771" t="s">
        <v>827</v>
      </c>
      <c r="AX96" s="1899" t="s">
        <v>633</v>
      </c>
      <c r="AY96" s="3191" t="s">
        <v>21</v>
      </c>
      <c r="AZ96" s="3193" t="s">
        <v>21</v>
      </c>
      <c r="BA96" s="3192" t="s">
        <v>823</v>
      </c>
      <c r="BB96" s="1964"/>
    </row>
    <row r="97" spans="1:55" s="645" customFormat="1" ht="20.100000000000001" customHeight="1">
      <c r="A97" s="2548">
        <v>76</v>
      </c>
      <c r="B97" s="2549"/>
      <c r="C97" s="2549"/>
      <c r="D97" s="2550" t="s">
        <v>17</v>
      </c>
      <c r="E97" s="2549">
        <v>1</v>
      </c>
      <c r="F97" s="2550" t="s">
        <v>19</v>
      </c>
      <c r="G97" s="1788" t="s">
        <v>752</v>
      </c>
      <c r="H97" s="2550" t="s">
        <v>196</v>
      </c>
      <c r="I97" s="2549" t="s">
        <v>194</v>
      </c>
      <c r="J97" s="2601" t="s">
        <v>195</v>
      </c>
      <c r="K97" s="2602">
        <v>11</v>
      </c>
      <c r="L97" s="2550" t="s">
        <v>216</v>
      </c>
      <c r="M97" s="2549">
        <v>1</v>
      </c>
      <c r="N97" s="2549">
        <v>1</v>
      </c>
      <c r="O97" s="2549">
        <v>0</v>
      </c>
      <c r="P97" s="2573">
        <v>1</v>
      </c>
      <c r="Q97" s="2549">
        <v>1</v>
      </c>
      <c r="R97" s="2549">
        <v>1</v>
      </c>
      <c r="S97" s="2549">
        <v>67</v>
      </c>
      <c r="T97" s="1856">
        <v>53200000</v>
      </c>
      <c r="U97" s="1856">
        <v>53200000</v>
      </c>
      <c r="V97" s="1856">
        <v>0</v>
      </c>
      <c r="W97" s="1856">
        <v>0</v>
      </c>
      <c r="X97" s="1856">
        <f t="shared" si="8"/>
        <v>53200000</v>
      </c>
      <c r="Y97" s="1879" t="s">
        <v>27</v>
      </c>
      <c r="Z97" s="1879" t="s">
        <v>565</v>
      </c>
      <c r="AA97" s="1856">
        <f t="shared" ref="AA97:AA103" si="12">T97</f>
        <v>53200000</v>
      </c>
      <c r="AB97" s="1880">
        <v>1</v>
      </c>
      <c r="AC97" s="1856">
        <v>53200000</v>
      </c>
      <c r="AD97" s="1881"/>
      <c r="AE97" s="1856"/>
      <c r="AF97" s="1881"/>
      <c r="AG97" s="1856">
        <f>AA97-T97</f>
        <v>0</v>
      </c>
      <c r="AH97" s="1880">
        <v>2016</v>
      </c>
      <c r="AI97" s="3161" t="s">
        <v>791</v>
      </c>
      <c r="AJ97" s="91" t="s">
        <v>217</v>
      </c>
      <c r="AK97" s="3138" t="s">
        <v>218</v>
      </c>
      <c r="AL97" s="91" t="s">
        <v>79</v>
      </c>
      <c r="AM97" s="2583">
        <v>2015</v>
      </c>
      <c r="AN97" s="1914" t="s">
        <v>614</v>
      </c>
      <c r="AO97" s="1914" t="s">
        <v>654</v>
      </c>
      <c r="AP97" s="1788" t="s">
        <v>570</v>
      </c>
      <c r="AQ97" s="1788"/>
      <c r="AR97" s="1974" t="s">
        <v>21</v>
      </c>
      <c r="AS97" s="1974" t="s">
        <v>586</v>
      </c>
      <c r="AT97" s="1856">
        <v>53200000</v>
      </c>
      <c r="AU97" s="1879" t="s">
        <v>27</v>
      </c>
      <c r="AV97" s="1879">
        <f>BB[[#This Row],[NILAI PINJAMAN KONFIRMASI BILA-MULTI]]</f>
        <v>53200000</v>
      </c>
      <c r="AW97" s="1912" t="s">
        <v>21</v>
      </c>
      <c r="AX97" s="1879" t="s">
        <v>565</v>
      </c>
      <c r="AY97" s="91" t="s">
        <v>577</v>
      </c>
      <c r="AZ97" s="91"/>
      <c r="BA97" s="3194" t="s">
        <v>828</v>
      </c>
      <c r="BB97" s="1764"/>
    </row>
    <row r="98" spans="1:55" s="2516" customFormat="1" ht="20.100000000000001" customHeight="1">
      <c r="A98" s="2548">
        <v>77</v>
      </c>
      <c r="B98" s="2549"/>
      <c r="C98" s="2549"/>
      <c r="D98" s="2550" t="s">
        <v>17</v>
      </c>
      <c r="E98" s="2549">
        <v>1</v>
      </c>
      <c r="F98" s="2550" t="s">
        <v>19</v>
      </c>
      <c r="G98" s="1788" t="s">
        <v>752</v>
      </c>
      <c r="H98" s="2550" t="s">
        <v>221</v>
      </c>
      <c r="I98" s="2549" t="s">
        <v>219</v>
      </c>
      <c r="J98" s="2550" t="s">
        <v>220</v>
      </c>
      <c r="K98" s="2549">
        <v>1</v>
      </c>
      <c r="L98" s="2550" t="s">
        <v>222</v>
      </c>
      <c r="M98" s="2549">
        <v>1</v>
      </c>
      <c r="N98" s="2549">
        <v>1</v>
      </c>
      <c r="O98" s="2549">
        <v>0</v>
      </c>
      <c r="P98" s="2573">
        <v>1</v>
      </c>
      <c r="Q98" s="2549">
        <v>1</v>
      </c>
      <c r="R98" s="2549">
        <v>1</v>
      </c>
      <c r="S98" s="2549">
        <v>68</v>
      </c>
      <c r="T98" s="1856">
        <v>155836000</v>
      </c>
      <c r="U98" s="1856">
        <v>155836000</v>
      </c>
      <c r="V98" s="1856">
        <v>22500000</v>
      </c>
      <c r="W98" s="1856">
        <v>0</v>
      </c>
      <c r="X98" s="1856">
        <f t="shared" si="8"/>
        <v>178336000</v>
      </c>
      <c r="Y98" s="1890" t="s">
        <v>55</v>
      </c>
      <c r="Z98" s="1879" t="s">
        <v>565</v>
      </c>
      <c r="AA98" s="1856">
        <f t="shared" si="12"/>
        <v>155836000</v>
      </c>
      <c r="AB98" s="1880"/>
      <c r="AC98" s="1856"/>
      <c r="AD98" s="1881"/>
      <c r="AE98" s="1856"/>
      <c r="AF98" s="1881"/>
      <c r="AG98" s="1856">
        <f>AA98-T98</f>
        <v>0</v>
      </c>
      <c r="AH98" s="1880">
        <v>2018</v>
      </c>
      <c r="AI98" s="3137" t="s">
        <v>21</v>
      </c>
      <c r="AJ98" s="3137" t="s">
        <v>97</v>
      </c>
      <c r="AK98" s="3137" t="s">
        <v>798</v>
      </c>
      <c r="AL98" s="3137" t="s">
        <v>21</v>
      </c>
      <c r="AM98" s="2583"/>
      <c r="AN98" s="1907" t="s">
        <v>568</v>
      </c>
      <c r="AO98" s="1914" t="s">
        <v>729</v>
      </c>
      <c r="AP98" s="1788" t="s">
        <v>570</v>
      </c>
      <c r="AQ98" s="1788"/>
      <c r="AR98" s="2123" t="s">
        <v>571</v>
      </c>
      <c r="AS98" s="2123"/>
      <c r="AT98" s="1856">
        <v>155836000</v>
      </c>
      <c r="AU98" s="1890" t="s">
        <v>55</v>
      </c>
      <c r="AV98" s="1879">
        <f>BB[[#This Row],[NILAI PINJAMAN KONFIRMASI BILA-MULTI]]</f>
        <v>155836000</v>
      </c>
      <c r="AW98" s="1912" t="s">
        <v>21</v>
      </c>
      <c r="AX98" s="1879" t="s">
        <v>565</v>
      </c>
      <c r="AY98" s="3135" t="s">
        <v>577</v>
      </c>
      <c r="AZ98" s="1788"/>
      <c r="BA98" s="1975" t="s">
        <v>829</v>
      </c>
      <c r="BB98" s="2175"/>
    </row>
    <row r="99" spans="1:55" s="2517" customFormat="1" ht="20.100000000000001" customHeight="1">
      <c r="A99" s="2548">
        <v>78</v>
      </c>
      <c r="B99" s="2549"/>
      <c r="C99" s="2549"/>
      <c r="D99" s="2550" t="s">
        <v>17</v>
      </c>
      <c r="E99" s="2549">
        <v>1</v>
      </c>
      <c r="F99" s="2550" t="s">
        <v>19</v>
      </c>
      <c r="G99" s="1788" t="s">
        <v>752</v>
      </c>
      <c r="H99" s="2550" t="s">
        <v>221</v>
      </c>
      <c r="I99" s="2549" t="s">
        <v>219</v>
      </c>
      <c r="J99" s="2550" t="s">
        <v>220</v>
      </c>
      <c r="K99" s="2549">
        <v>2</v>
      </c>
      <c r="L99" s="2550" t="s">
        <v>224</v>
      </c>
      <c r="M99" s="2549">
        <v>1</v>
      </c>
      <c r="N99" s="2549">
        <v>1</v>
      </c>
      <c r="O99" s="2549">
        <v>0</v>
      </c>
      <c r="P99" s="2573">
        <v>1</v>
      </c>
      <c r="Q99" s="2549">
        <v>1</v>
      </c>
      <c r="R99" s="2549">
        <v>1</v>
      </c>
      <c r="S99" s="2549">
        <v>69</v>
      </c>
      <c r="T99" s="1856">
        <v>108100000</v>
      </c>
      <c r="U99" s="1856">
        <v>108100000</v>
      </c>
      <c r="V99" s="1856">
        <v>3900000</v>
      </c>
      <c r="W99" s="1856">
        <v>0</v>
      </c>
      <c r="X99" s="1856">
        <f t="shared" si="8"/>
        <v>112000000</v>
      </c>
      <c r="Y99" s="1890" t="s">
        <v>55</v>
      </c>
      <c r="Z99" s="1879" t="s">
        <v>565</v>
      </c>
      <c r="AA99" s="1856">
        <f t="shared" si="12"/>
        <v>108100000</v>
      </c>
      <c r="AB99" s="1880"/>
      <c r="AC99" s="1856"/>
      <c r="AD99" s="1881"/>
      <c r="AE99" s="1856"/>
      <c r="AF99" s="1881"/>
      <c r="AG99" s="1856">
        <f>AA99-T99</f>
        <v>0</v>
      </c>
      <c r="AH99" s="1880">
        <v>2018</v>
      </c>
      <c r="AI99" s="3137" t="s">
        <v>21</v>
      </c>
      <c r="AJ99" s="3137" t="s">
        <v>33</v>
      </c>
      <c r="AK99" s="3137" t="s">
        <v>21</v>
      </c>
      <c r="AL99" s="3137" t="s">
        <v>21</v>
      </c>
      <c r="AM99" s="2583"/>
      <c r="AN99" s="1914" t="s">
        <v>614</v>
      </c>
      <c r="AO99" s="1907" t="s">
        <v>603</v>
      </c>
      <c r="AP99" s="1788" t="s">
        <v>570</v>
      </c>
      <c r="AQ99" s="1788"/>
      <c r="AR99" s="2123" t="s">
        <v>571</v>
      </c>
      <c r="AS99" s="2123"/>
      <c r="AT99" s="1856">
        <v>108100000</v>
      </c>
      <c r="AU99" s="1890" t="s">
        <v>55</v>
      </c>
      <c r="AV99" s="1879">
        <f>BB[[#This Row],[NILAI PINJAMAN KONFIRMASI BILA-MULTI]]</f>
        <v>108100000</v>
      </c>
      <c r="AW99" s="1912" t="s">
        <v>21</v>
      </c>
      <c r="AX99" s="1879" t="s">
        <v>565</v>
      </c>
      <c r="AY99" s="3161" t="s">
        <v>577</v>
      </c>
      <c r="AZ99" s="91"/>
      <c r="BA99" s="1975" t="s">
        <v>830</v>
      </c>
      <c r="BB99" s="2170"/>
    </row>
    <row r="100" spans="1:55" s="645" customFormat="1" ht="20.100000000000001" customHeight="1">
      <c r="A100" s="2548">
        <v>79</v>
      </c>
      <c r="B100" s="2549"/>
      <c r="C100" s="2549"/>
      <c r="D100" s="2550" t="s">
        <v>17</v>
      </c>
      <c r="E100" s="2549">
        <v>1</v>
      </c>
      <c r="F100" s="2550" t="s">
        <v>19</v>
      </c>
      <c r="G100" s="1788" t="s">
        <v>752</v>
      </c>
      <c r="H100" s="2550" t="s">
        <v>221</v>
      </c>
      <c r="I100" s="2549" t="s">
        <v>219</v>
      </c>
      <c r="J100" s="2550" t="s">
        <v>220</v>
      </c>
      <c r="K100" s="2549">
        <v>3</v>
      </c>
      <c r="L100" s="2550" t="s">
        <v>225</v>
      </c>
      <c r="M100" s="2549">
        <v>1</v>
      </c>
      <c r="N100" s="2549">
        <v>1</v>
      </c>
      <c r="O100" s="2549">
        <v>0</v>
      </c>
      <c r="P100" s="2573">
        <v>1</v>
      </c>
      <c r="Q100" s="2549">
        <v>1</v>
      </c>
      <c r="R100" s="2549">
        <v>1</v>
      </c>
      <c r="S100" s="2549">
        <v>70</v>
      </c>
      <c r="T100" s="1856">
        <v>150000000</v>
      </c>
      <c r="U100" s="1856">
        <v>150000000</v>
      </c>
      <c r="V100" s="1856">
        <v>15000000</v>
      </c>
      <c r="W100" s="1856">
        <v>0</v>
      </c>
      <c r="X100" s="1856">
        <f t="shared" si="8"/>
        <v>165000000</v>
      </c>
      <c r="Y100" s="1879" t="s">
        <v>55</v>
      </c>
      <c r="Z100" s="1879" t="s">
        <v>565</v>
      </c>
      <c r="AA100" s="1856">
        <f t="shared" si="12"/>
        <v>150000000</v>
      </c>
      <c r="AB100" s="1880"/>
      <c r="AC100" s="1856"/>
      <c r="AD100" s="1881"/>
      <c r="AE100" s="1856"/>
      <c r="AF100" s="1881"/>
      <c r="AG100" s="1856">
        <v>0</v>
      </c>
      <c r="AH100" s="1880">
        <v>2017</v>
      </c>
      <c r="AI100" s="3137" t="s">
        <v>21</v>
      </c>
      <c r="AJ100" s="3137" t="s">
        <v>60</v>
      </c>
      <c r="AK100" s="3137" t="s">
        <v>21</v>
      </c>
      <c r="AL100" s="3137" t="s">
        <v>21</v>
      </c>
      <c r="AM100" s="2583" t="s">
        <v>622</v>
      </c>
      <c r="AN100" s="3186" t="s">
        <v>675</v>
      </c>
      <c r="AO100" s="1907" t="s">
        <v>603</v>
      </c>
      <c r="AP100" s="1788" t="s">
        <v>570</v>
      </c>
      <c r="AQ100" s="1788"/>
      <c r="AR100" s="2123" t="s">
        <v>831</v>
      </c>
      <c r="AS100" s="2123" t="s">
        <v>623</v>
      </c>
      <c r="AT100" s="1856">
        <v>150000000</v>
      </c>
      <c r="AU100" s="1879" t="s">
        <v>55</v>
      </c>
      <c r="AV100" s="1879">
        <f>BB[[#This Row],[NILAI PINJAMAN KONFIRMASI BILA-MULTI]]</f>
        <v>150000000</v>
      </c>
      <c r="AW100" s="1788" t="s">
        <v>21</v>
      </c>
      <c r="AX100" s="1879" t="s">
        <v>565</v>
      </c>
      <c r="AY100" s="3161" t="s">
        <v>832</v>
      </c>
      <c r="AZ100" s="91"/>
      <c r="BA100" s="1975" t="s">
        <v>833</v>
      </c>
      <c r="BB100" s="1764"/>
    </row>
    <row r="101" spans="1:55" s="645" customFormat="1" ht="20.100000000000001" customHeight="1">
      <c r="A101" s="2548">
        <v>80</v>
      </c>
      <c r="B101" s="2549"/>
      <c r="C101" s="2549"/>
      <c r="D101" s="2550" t="s">
        <v>17</v>
      </c>
      <c r="E101" s="2549">
        <v>1</v>
      </c>
      <c r="F101" s="2550" t="s">
        <v>19</v>
      </c>
      <c r="G101" s="1788" t="s">
        <v>752</v>
      </c>
      <c r="H101" s="2550" t="s">
        <v>221</v>
      </c>
      <c r="I101" s="2549" t="s">
        <v>219</v>
      </c>
      <c r="J101" s="2550" t="s">
        <v>220</v>
      </c>
      <c r="K101" s="2549">
        <v>4</v>
      </c>
      <c r="L101" s="2550" t="s">
        <v>229</v>
      </c>
      <c r="M101" s="2549">
        <v>1</v>
      </c>
      <c r="N101" s="2549">
        <v>1</v>
      </c>
      <c r="O101" s="2549">
        <v>0</v>
      </c>
      <c r="P101" s="2573">
        <v>1</v>
      </c>
      <c r="Q101" s="2549">
        <v>1</v>
      </c>
      <c r="R101" s="2549">
        <v>1</v>
      </c>
      <c r="S101" s="2549">
        <v>71</v>
      </c>
      <c r="T101" s="1856">
        <v>260000000</v>
      </c>
      <c r="U101" s="1856">
        <v>260000000</v>
      </c>
      <c r="V101" s="1856">
        <v>26000000</v>
      </c>
      <c r="W101" s="1856">
        <v>0</v>
      </c>
      <c r="X101" s="1856">
        <f t="shared" si="8"/>
        <v>286000000</v>
      </c>
      <c r="Y101" s="1879" t="s">
        <v>55</v>
      </c>
      <c r="Z101" s="1879" t="s">
        <v>565</v>
      </c>
      <c r="AA101" s="1856">
        <f t="shared" si="12"/>
        <v>260000000</v>
      </c>
      <c r="AB101" s="1880"/>
      <c r="AC101" s="1856"/>
      <c r="AD101" s="1881"/>
      <c r="AE101" s="1856"/>
      <c r="AF101" s="1881"/>
      <c r="AG101" s="1856">
        <v>0</v>
      </c>
      <c r="AH101" s="1880">
        <v>2017</v>
      </c>
      <c r="AI101" s="3137" t="s">
        <v>21</v>
      </c>
      <c r="AJ101" s="3137" t="s">
        <v>97</v>
      </c>
      <c r="AK101" s="3137" t="s">
        <v>798</v>
      </c>
      <c r="AL101" s="3137" t="s">
        <v>21</v>
      </c>
      <c r="AM101" s="2583"/>
      <c r="AN101" s="3188" t="s">
        <v>568</v>
      </c>
      <c r="AO101" s="1914" t="s">
        <v>654</v>
      </c>
      <c r="AP101" s="1788" t="s">
        <v>570</v>
      </c>
      <c r="AQ101" s="1788"/>
      <c r="AR101" s="2123" t="s">
        <v>571</v>
      </c>
      <c r="AS101" s="2123"/>
      <c r="AT101" s="1856">
        <v>260000000</v>
      </c>
      <c r="AU101" s="1879" t="s">
        <v>55</v>
      </c>
      <c r="AV101" s="1879">
        <f>BB[[#This Row],[NILAI PINJAMAN KONFIRMASI BILA-MULTI]]</f>
        <v>260000000</v>
      </c>
      <c r="AW101" s="1788" t="s">
        <v>21</v>
      </c>
      <c r="AX101" s="1879" t="s">
        <v>565</v>
      </c>
      <c r="AY101" s="91" t="s">
        <v>577</v>
      </c>
      <c r="AZ101" s="91"/>
      <c r="BA101" s="1975" t="s">
        <v>834</v>
      </c>
      <c r="BB101" s="1764"/>
    </row>
    <row r="102" spans="1:55" s="645" customFormat="1" ht="20.100000000000001" customHeight="1">
      <c r="A102" s="2548">
        <v>81</v>
      </c>
      <c r="B102" s="2549"/>
      <c r="C102" s="2549"/>
      <c r="D102" s="2550" t="s">
        <v>17</v>
      </c>
      <c r="E102" s="2549">
        <v>1</v>
      </c>
      <c r="F102" s="2550" t="s">
        <v>19</v>
      </c>
      <c r="G102" s="1788" t="s">
        <v>752</v>
      </c>
      <c r="H102" s="2550" t="s">
        <v>221</v>
      </c>
      <c r="I102" s="2549" t="s">
        <v>219</v>
      </c>
      <c r="J102" s="2550" t="s">
        <v>220</v>
      </c>
      <c r="K102" s="2549">
        <v>5</v>
      </c>
      <c r="L102" s="2550" t="s">
        <v>230</v>
      </c>
      <c r="M102" s="2549">
        <v>1</v>
      </c>
      <c r="N102" s="2549">
        <v>1</v>
      </c>
      <c r="O102" s="2549">
        <v>0</v>
      </c>
      <c r="P102" s="2573">
        <v>1</v>
      </c>
      <c r="Q102" s="2549">
        <v>1</v>
      </c>
      <c r="R102" s="2549">
        <v>1</v>
      </c>
      <c r="S102" s="2549">
        <v>72</v>
      </c>
      <c r="T102" s="1856">
        <v>120000000</v>
      </c>
      <c r="U102" s="1856">
        <v>120000000</v>
      </c>
      <c r="V102" s="1856">
        <v>12000000</v>
      </c>
      <c r="W102" s="1856">
        <v>0</v>
      </c>
      <c r="X102" s="1856">
        <f t="shared" si="8"/>
        <v>132000000</v>
      </c>
      <c r="Y102" s="1879" t="s">
        <v>55</v>
      </c>
      <c r="Z102" s="1879" t="s">
        <v>565</v>
      </c>
      <c r="AA102" s="1856">
        <f t="shared" si="12"/>
        <v>120000000</v>
      </c>
      <c r="AB102" s="1880"/>
      <c r="AC102" s="1856"/>
      <c r="AD102" s="1881"/>
      <c r="AE102" s="1856"/>
      <c r="AF102" s="1881"/>
      <c r="AG102" s="1856">
        <v>0</v>
      </c>
      <c r="AH102" s="1880">
        <v>2018</v>
      </c>
      <c r="AI102" s="3137" t="s">
        <v>21</v>
      </c>
      <c r="AJ102" s="3137" t="s">
        <v>97</v>
      </c>
      <c r="AK102" s="3137" t="s">
        <v>798</v>
      </c>
      <c r="AL102" s="3137" t="s">
        <v>21</v>
      </c>
      <c r="AM102" s="2583"/>
      <c r="AN102" s="3188" t="s">
        <v>568</v>
      </c>
      <c r="AO102" s="1914" t="s">
        <v>729</v>
      </c>
      <c r="AP102" s="1788" t="s">
        <v>570</v>
      </c>
      <c r="AQ102" s="1788"/>
      <c r="AR102" s="2123" t="s">
        <v>571</v>
      </c>
      <c r="AS102" s="2123"/>
      <c r="AT102" s="1856">
        <v>120000000</v>
      </c>
      <c r="AU102" s="1879" t="s">
        <v>55</v>
      </c>
      <c r="AV102" s="1879">
        <f>BB[[#This Row],[NILAI PINJAMAN KONFIRMASI BILA-MULTI]]</f>
        <v>120000000</v>
      </c>
      <c r="AW102" s="1788" t="s">
        <v>21</v>
      </c>
      <c r="AX102" s="1879" t="s">
        <v>565</v>
      </c>
      <c r="AY102" s="91" t="s">
        <v>577</v>
      </c>
      <c r="AZ102" s="91"/>
      <c r="BA102" s="1975" t="s">
        <v>835</v>
      </c>
      <c r="BB102" s="1764"/>
    </row>
    <row r="103" spans="1:55" s="2506" customFormat="1" ht="20.100000000000001" customHeight="1">
      <c r="A103" s="2542">
        <v>82</v>
      </c>
      <c r="B103" s="2543"/>
      <c r="C103" s="2543"/>
      <c r="D103" s="2544" t="s">
        <v>17</v>
      </c>
      <c r="E103" s="2543">
        <v>1</v>
      </c>
      <c r="F103" s="2544" t="s">
        <v>19</v>
      </c>
      <c r="G103" s="1778" t="s">
        <v>752</v>
      </c>
      <c r="H103" s="2544" t="s">
        <v>221</v>
      </c>
      <c r="I103" s="2543" t="s">
        <v>219</v>
      </c>
      <c r="J103" s="2544" t="s">
        <v>220</v>
      </c>
      <c r="K103" s="2543">
        <v>6</v>
      </c>
      <c r="L103" s="2544" t="s">
        <v>231</v>
      </c>
      <c r="M103" s="2543">
        <v>0</v>
      </c>
      <c r="N103" s="2543">
        <v>1</v>
      </c>
      <c r="O103" s="2543">
        <v>1</v>
      </c>
      <c r="P103" s="2570">
        <v>0</v>
      </c>
      <c r="Q103" s="2543">
        <v>0</v>
      </c>
      <c r="R103" s="2543">
        <v>1</v>
      </c>
      <c r="S103" s="2543">
        <v>73</v>
      </c>
      <c r="T103" s="1854">
        <v>50000000</v>
      </c>
      <c r="U103" s="1854">
        <v>50000000</v>
      </c>
      <c r="V103" s="1854">
        <v>0</v>
      </c>
      <c r="W103" s="1854">
        <v>0</v>
      </c>
      <c r="X103" s="1854">
        <f t="shared" si="8"/>
        <v>50000000</v>
      </c>
      <c r="Y103" s="1862" t="s">
        <v>117</v>
      </c>
      <c r="Z103" s="1862" t="s">
        <v>619</v>
      </c>
      <c r="AA103" s="1854">
        <f t="shared" si="12"/>
        <v>50000000</v>
      </c>
      <c r="AB103" s="1874">
        <v>1</v>
      </c>
      <c r="AC103" s="1854">
        <v>9620000</v>
      </c>
      <c r="AD103" s="1875"/>
      <c r="AE103" s="1854"/>
      <c r="AF103" s="1875"/>
      <c r="AG103" s="1854">
        <v>0</v>
      </c>
      <c r="AH103" s="1874">
        <v>2016</v>
      </c>
      <c r="AI103" s="3195" t="s">
        <v>836</v>
      </c>
      <c r="AJ103" s="1853" t="s">
        <v>33</v>
      </c>
      <c r="AK103" s="1853" t="s">
        <v>183</v>
      </c>
      <c r="AL103" s="1853" t="s">
        <v>79</v>
      </c>
      <c r="AM103" s="1874" t="s">
        <v>21</v>
      </c>
      <c r="AN103" s="3178" t="s">
        <v>568</v>
      </c>
      <c r="AO103" s="1778" t="s">
        <v>645</v>
      </c>
      <c r="AP103" s="1778" t="s">
        <v>570</v>
      </c>
      <c r="AQ103" s="1778"/>
      <c r="AR103" s="1778" t="s">
        <v>21</v>
      </c>
      <c r="AS103" s="1778" t="s">
        <v>21</v>
      </c>
      <c r="AT103" s="1854">
        <v>50000000</v>
      </c>
      <c r="AU103" s="1862" t="s">
        <v>117</v>
      </c>
      <c r="AV103" s="1862"/>
      <c r="AW103" s="1778"/>
      <c r="AX103" s="1862" t="s">
        <v>619</v>
      </c>
      <c r="AY103" s="3149" t="s">
        <v>837</v>
      </c>
      <c r="AZ103" s="2171"/>
      <c r="BA103" s="1965" t="s">
        <v>838</v>
      </c>
      <c r="BB103" s="1967"/>
    </row>
    <row r="104" spans="1:55" s="2507" customFormat="1" ht="20.100000000000001" customHeight="1">
      <c r="A104" s="2539"/>
      <c r="B104" s="2540"/>
      <c r="C104" s="2540"/>
      <c r="D104" s="2541" t="s">
        <v>17</v>
      </c>
      <c r="E104" s="2540">
        <v>1</v>
      </c>
      <c r="F104" s="2541" t="s">
        <v>19</v>
      </c>
      <c r="G104" s="1908" t="s">
        <v>752</v>
      </c>
      <c r="H104" s="2541" t="s">
        <v>221</v>
      </c>
      <c r="I104" s="2540" t="s">
        <v>219</v>
      </c>
      <c r="J104" s="2541" t="s">
        <v>220</v>
      </c>
      <c r="K104" s="2540">
        <v>6</v>
      </c>
      <c r="L104" s="2541" t="s">
        <v>231</v>
      </c>
      <c r="M104" s="2608">
        <v>0.33333333333333298</v>
      </c>
      <c r="N104" s="2540">
        <v>0</v>
      </c>
      <c r="O104" s="2540">
        <v>0</v>
      </c>
      <c r="P104" s="2568">
        <v>1</v>
      </c>
      <c r="Q104" s="2540">
        <v>1</v>
      </c>
      <c r="R104" s="2540">
        <v>1</v>
      </c>
      <c r="S104" s="2540">
        <v>73</v>
      </c>
      <c r="T104" s="1852">
        <v>50000000</v>
      </c>
      <c r="U104" s="1852">
        <v>50000000</v>
      </c>
      <c r="V104" s="1852">
        <v>0</v>
      </c>
      <c r="W104" s="1852">
        <v>0</v>
      </c>
      <c r="X104" s="1852">
        <f t="shared" si="8"/>
        <v>50000000</v>
      </c>
      <c r="Y104" s="1863" t="s">
        <v>117</v>
      </c>
      <c r="Z104" s="1863" t="s">
        <v>619</v>
      </c>
      <c r="AA104" s="1852">
        <v>9620000</v>
      </c>
      <c r="AB104" s="1872">
        <v>1</v>
      </c>
      <c r="AC104" s="1852">
        <v>9620000</v>
      </c>
      <c r="AD104" s="1873"/>
      <c r="AE104" s="1852"/>
      <c r="AF104" s="1873"/>
      <c r="AG104" s="1852">
        <v>0</v>
      </c>
      <c r="AH104" s="1872">
        <v>2016</v>
      </c>
      <c r="AI104" s="3129" t="s">
        <v>836</v>
      </c>
      <c r="AJ104" s="1851" t="s">
        <v>33</v>
      </c>
      <c r="AK104" s="1851" t="s">
        <v>183</v>
      </c>
      <c r="AL104" s="1851" t="s">
        <v>79</v>
      </c>
      <c r="AM104" s="1872" t="s">
        <v>581</v>
      </c>
      <c r="AN104" s="3196" t="s">
        <v>568</v>
      </c>
      <c r="AO104" s="1910" t="s">
        <v>645</v>
      </c>
      <c r="AP104" s="1908" t="s">
        <v>570</v>
      </c>
      <c r="AQ104" s="1908"/>
      <c r="AR104" s="1908" t="s">
        <v>21</v>
      </c>
      <c r="AS104" s="1908" t="s">
        <v>586</v>
      </c>
      <c r="AT104" s="1852">
        <v>9620000</v>
      </c>
      <c r="AU104" s="1863" t="s">
        <v>117</v>
      </c>
      <c r="AV104" s="1863">
        <f>BB[[#This Row],[NILAI PINJAMAN KONFIRMASI BILA-MULTI]]</f>
        <v>9620000</v>
      </c>
      <c r="AW104" s="1908" t="s">
        <v>839</v>
      </c>
      <c r="AX104" s="1863" t="s">
        <v>619</v>
      </c>
      <c r="AY104" s="3191" t="s">
        <v>837</v>
      </c>
      <c r="AZ104" s="2168"/>
      <c r="BA104" s="1962" t="s">
        <v>838</v>
      </c>
      <c r="BB104" s="1971"/>
    </row>
    <row r="105" spans="1:55" s="2507" customFormat="1" ht="20.100000000000001" customHeight="1">
      <c r="A105" s="2539"/>
      <c r="B105" s="2540"/>
      <c r="C105" s="2540"/>
      <c r="D105" s="2541" t="s">
        <v>17</v>
      </c>
      <c r="E105" s="2540">
        <v>1</v>
      </c>
      <c r="F105" s="2541" t="s">
        <v>19</v>
      </c>
      <c r="G105" s="1908" t="s">
        <v>752</v>
      </c>
      <c r="H105" s="2541" t="s">
        <v>221</v>
      </c>
      <c r="I105" s="2540" t="s">
        <v>219</v>
      </c>
      <c r="J105" s="2541" t="s">
        <v>220</v>
      </c>
      <c r="K105" s="2540">
        <v>6</v>
      </c>
      <c r="L105" s="2541" t="s">
        <v>231</v>
      </c>
      <c r="M105" s="2608">
        <v>0.33333333333333298</v>
      </c>
      <c r="N105" s="2540">
        <v>0</v>
      </c>
      <c r="O105" s="2540">
        <v>0</v>
      </c>
      <c r="P105" s="2568">
        <v>1</v>
      </c>
      <c r="Q105" s="2540">
        <v>1</v>
      </c>
      <c r="R105" s="2540">
        <v>1</v>
      </c>
      <c r="S105" s="2540">
        <v>73</v>
      </c>
      <c r="T105" s="1852">
        <v>50000000</v>
      </c>
      <c r="U105" s="1852">
        <v>50000000</v>
      </c>
      <c r="V105" s="1852">
        <v>0</v>
      </c>
      <c r="W105" s="1852">
        <v>0</v>
      </c>
      <c r="X105" s="1852">
        <f t="shared" si="8"/>
        <v>50000000</v>
      </c>
      <c r="Y105" s="1863" t="s">
        <v>28</v>
      </c>
      <c r="Z105" s="1863" t="s">
        <v>565</v>
      </c>
      <c r="AA105" s="1852">
        <v>10500000</v>
      </c>
      <c r="AB105" s="1872">
        <v>1</v>
      </c>
      <c r="AC105" s="1852">
        <v>10500000</v>
      </c>
      <c r="AD105" s="1873"/>
      <c r="AE105" s="1852"/>
      <c r="AF105" s="1873"/>
      <c r="AG105" s="1852">
        <v>0</v>
      </c>
      <c r="AH105" s="1872">
        <v>2016</v>
      </c>
      <c r="AI105" s="3129" t="s">
        <v>836</v>
      </c>
      <c r="AJ105" s="1851" t="s">
        <v>33</v>
      </c>
      <c r="AK105" s="1851" t="s">
        <v>183</v>
      </c>
      <c r="AL105" s="1851" t="s">
        <v>79</v>
      </c>
      <c r="AM105" s="1872">
        <v>2016</v>
      </c>
      <c r="AN105" s="3196" t="s">
        <v>568</v>
      </c>
      <c r="AO105" s="1910" t="s">
        <v>645</v>
      </c>
      <c r="AP105" s="1908" t="s">
        <v>570</v>
      </c>
      <c r="AQ105" s="1908"/>
      <c r="AR105" s="1908" t="s">
        <v>21</v>
      </c>
      <c r="AS105" s="1908" t="s">
        <v>764</v>
      </c>
      <c r="AT105" s="1852">
        <v>10500000</v>
      </c>
      <c r="AU105" s="1863" t="s">
        <v>28</v>
      </c>
      <c r="AV105" s="1863">
        <f>BB[[#This Row],[NILAI PINJAMAN KONFIRMASI BILA-MULTI]]</f>
        <v>10500000</v>
      </c>
      <c r="AW105" s="3130" t="s">
        <v>840</v>
      </c>
      <c r="AX105" s="1863" t="s">
        <v>565</v>
      </c>
      <c r="AY105" s="2004"/>
      <c r="AZ105" s="2168"/>
      <c r="BA105" s="1962"/>
      <c r="BB105" s="1971"/>
    </row>
    <row r="106" spans="1:55" s="2507" customFormat="1" ht="20.100000000000001" customHeight="1">
      <c r="A106" s="2539"/>
      <c r="B106" s="2540"/>
      <c r="C106" s="2540"/>
      <c r="D106" s="2541" t="s">
        <v>17</v>
      </c>
      <c r="E106" s="2540">
        <v>1</v>
      </c>
      <c r="F106" s="2541" t="s">
        <v>19</v>
      </c>
      <c r="G106" s="1908" t="s">
        <v>752</v>
      </c>
      <c r="H106" s="2541" t="s">
        <v>221</v>
      </c>
      <c r="I106" s="2540" t="s">
        <v>219</v>
      </c>
      <c r="J106" s="2541" t="s">
        <v>220</v>
      </c>
      <c r="K106" s="2540">
        <v>6</v>
      </c>
      <c r="L106" s="2541" t="s">
        <v>231</v>
      </c>
      <c r="M106" s="2608">
        <v>0.33333333333333298</v>
      </c>
      <c r="N106" s="2540">
        <v>0</v>
      </c>
      <c r="O106" s="2540">
        <v>0</v>
      </c>
      <c r="P106" s="2568">
        <v>1</v>
      </c>
      <c r="Q106" s="2540">
        <v>1</v>
      </c>
      <c r="R106" s="2540">
        <v>1</v>
      </c>
      <c r="S106" s="2540">
        <v>73</v>
      </c>
      <c r="T106" s="1852">
        <v>50000000</v>
      </c>
      <c r="U106" s="1852">
        <v>50000000</v>
      </c>
      <c r="V106" s="1852">
        <v>0</v>
      </c>
      <c r="W106" s="1852">
        <v>0</v>
      </c>
      <c r="X106" s="1852">
        <f t="shared" si="8"/>
        <v>50000000</v>
      </c>
      <c r="Y106" s="1899" t="s">
        <v>633</v>
      </c>
      <c r="Z106" s="1899" t="s">
        <v>21</v>
      </c>
      <c r="AA106" s="1852">
        <f>AA103-AA104-AA105</f>
        <v>29880000</v>
      </c>
      <c r="AB106" s="1872"/>
      <c r="AC106" s="1852"/>
      <c r="AD106" s="1873"/>
      <c r="AE106" s="1852"/>
      <c r="AF106" s="1873"/>
      <c r="AG106" s="1852">
        <v>0</v>
      </c>
      <c r="AH106" s="1872" t="s">
        <v>21</v>
      </c>
      <c r="AI106" s="3129" t="s">
        <v>21</v>
      </c>
      <c r="AJ106" s="1851" t="s">
        <v>21</v>
      </c>
      <c r="AK106" s="1851" t="s">
        <v>21</v>
      </c>
      <c r="AL106" s="1851" t="s">
        <v>21</v>
      </c>
      <c r="AM106" s="1872" t="s">
        <v>21</v>
      </c>
      <c r="AN106" s="3196" t="s">
        <v>603</v>
      </c>
      <c r="AO106" s="1910" t="s">
        <v>603</v>
      </c>
      <c r="AP106" s="1908" t="s">
        <v>570</v>
      </c>
      <c r="AQ106" s="1908"/>
      <c r="AR106" s="1908" t="s">
        <v>21</v>
      </c>
      <c r="AS106" s="1908"/>
      <c r="AT106" s="1852">
        <f>50000000-(AT104+AT105)</f>
        <v>29880000</v>
      </c>
      <c r="AU106" s="1899" t="s">
        <v>633</v>
      </c>
      <c r="AV106" s="1863">
        <f>BB[[#This Row],[NILAI PINJAMAN KONFIRMASI BILA-MULTI]]</f>
        <v>29880000</v>
      </c>
      <c r="AW106" s="1908" t="s">
        <v>841</v>
      </c>
      <c r="AX106" s="1863" t="s">
        <v>21</v>
      </c>
      <c r="AY106" s="2004"/>
      <c r="AZ106" s="2168"/>
      <c r="BA106" s="1962"/>
      <c r="BB106" s="1971"/>
    </row>
    <row r="107" spans="1:55" s="2506" customFormat="1" ht="20.100000000000001" customHeight="1">
      <c r="A107" s="2542">
        <v>80</v>
      </c>
      <c r="B107" s="2543"/>
      <c r="C107" s="2543"/>
      <c r="D107" s="2544" t="s">
        <v>17</v>
      </c>
      <c r="E107" s="2543">
        <v>1</v>
      </c>
      <c r="F107" s="2544" t="s">
        <v>19</v>
      </c>
      <c r="G107" s="1778" t="s">
        <v>752</v>
      </c>
      <c r="H107" s="2544" t="s">
        <v>221</v>
      </c>
      <c r="I107" s="2543" t="s">
        <v>219</v>
      </c>
      <c r="J107" s="2544" t="s">
        <v>220</v>
      </c>
      <c r="K107" s="2543">
        <v>7</v>
      </c>
      <c r="L107" s="2544" t="s">
        <v>234</v>
      </c>
      <c r="M107" s="2543">
        <v>0</v>
      </c>
      <c r="N107" s="2543">
        <v>0</v>
      </c>
      <c r="O107" s="2543">
        <v>1</v>
      </c>
      <c r="P107" s="2570">
        <v>0</v>
      </c>
      <c r="Q107" s="2543">
        <v>0</v>
      </c>
      <c r="R107" s="2543">
        <v>0</v>
      </c>
      <c r="S107" s="2543"/>
      <c r="T107" s="1854">
        <f>SUM(T108:T109)</f>
        <v>308700000</v>
      </c>
      <c r="U107" s="1854">
        <f>SUM(U108:U109)</f>
        <v>308700000</v>
      </c>
      <c r="V107" s="1854">
        <f>SUM(V108:V109)</f>
        <v>70440000</v>
      </c>
      <c r="W107" s="1854">
        <f>SUM(W108:W109)</f>
        <v>0</v>
      </c>
      <c r="X107" s="1854">
        <f>SUM(X108:X109)</f>
        <v>379140000</v>
      </c>
      <c r="Y107" s="1862" t="s">
        <v>21</v>
      </c>
      <c r="Z107" s="1862"/>
      <c r="AA107" s="1854">
        <f>SUM(AA108:AA109)</f>
        <v>308700000</v>
      </c>
      <c r="AB107" s="1874"/>
      <c r="AC107" s="1854"/>
      <c r="AD107" s="1875"/>
      <c r="AE107" s="1854"/>
      <c r="AF107" s="1875"/>
      <c r="AG107" s="1854">
        <f>+AA108+AA109-BB[[#This Row],[NILAI PINJAMAN DALAM BB]]</f>
        <v>0</v>
      </c>
      <c r="AH107" s="1874" t="s">
        <v>21</v>
      </c>
      <c r="AI107" s="3131" t="s">
        <v>21</v>
      </c>
      <c r="AJ107" s="1853" t="s">
        <v>21</v>
      </c>
      <c r="AK107" s="1853" t="s">
        <v>21</v>
      </c>
      <c r="AL107" s="1853" t="s">
        <v>21</v>
      </c>
      <c r="AM107" s="1874" t="s">
        <v>21</v>
      </c>
      <c r="AN107" s="1907"/>
      <c r="AO107" s="1907" t="s">
        <v>21</v>
      </c>
      <c r="AP107" s="1778"/>
      <c r="AQ107" s="1778"/>
      <c r="AR107" s="1778" t="s">
        <v>21</v>
      </c>
      <c r="AS107" s="1778"/>
      <c r="AT107" s="1854">
        <f>SUM(AT108:AT109)</f>
        <v>308700000</v>
      </c>
      <c r="AU107" s="1862" t="s">
        <v>21</v>
      </c>
      <c r="AV107" s="1862"/>
      <c r="AW107" s="2030" t="s">
        <v>21</v>
      </c>
      <c r="AX107" s="1862"/>
      <c r="AY107" s="3197" t="s">
        <v>577</v>
      </c>
      <c r="AZ107" s="2171"/>
      <c r="BA107" s="1965" t="s">
        <v>842</v>
      </c>
      <c r="BB107" s="1967"/>
    </row>
    <row r="108" spans="1:55" s="2507" customFormat="1" ht="20.100000000000001" customHeight="1">
      <c r="A108" s="2545">
        <v>83</v>
      </c>
      <c r="B108" s="2546"/>
      <c r="C108" s="2546"/>
      <c r="D108" s="2547" t="s">
        <v>17</v>
      </c>
      <c r="E108" s="2546">
        <v>1</v>
      </c>
      <c r="F108" s="2547" t="s">
        <v>19</v>
      </c>
      <c r="G108" s="2034" t="s">
        <v>752</v>
      </c>
      <c r="H108" s="2547" t="s">
        <v>221</v>
      </c>
      <c r="I108" s="2546" t="s">
        <v>219</v>
      </c>
      <c r="J108" s="2547" t="s">
        <v>220</v>
      </c>
      <c r="K108" s="2546">
        <v>7</v>
      </c>
      <c r="L108" s="2547" t="s">
        <v>843</v>
      </c>
      <c r="M108" s="2546">
        <v>1</v>
      </c>
      <c r="N108" s="2546">
        <v>1</v>
      </c>
      <c r="O108" s="2546">
        <v>2</v>
      </c>
      <c r="P108" s="2572">
        <v>1</v>
      </c>
      <c r="Q108" s="2546">
        <v>1</v>
      </c>
      <c r="R108" s="2546">
        <v>1</v>
      </c>
      <c r="S108" s="2546">
        <v>74</v>
      </c>
      <c r="T108" s="1855">
        <v>200000000</v>
      </c>
      <c r="U108" s="1855">
        <v>200000000</v>
      </c>
      <c r="V108" s="1855">
        <v>20000000</v>
      </c>
      <c r="W108" s="1855">
        <v>0</v>
      </c>
      <c r="X108" s="1855">
        <f t="shared" ref="X108:X118" si="13">T108+V108+W108</f>
        <v>220000000</v>
      </c>
      <c r="Y108" s="2084" t="s">
        <v>633</v>
      </c>
      <c r="Z108" s="2084" t="s">
        <v>619</v>
      </c>
      <c r="AA108" s="1855">
        <f>T107-AA109</f>
        <v>200000000</v>
      </c>
      <c r="AB108" s="1877"/>
      <c r="AC108" s="1855"/>
      <c r="AD108" s="1878"/>
      <c r="AE108" s="1855"/>
      <c r="AF108" s="1878"/>
      <c r="AG108" s="1855">
        <f>AG107</f>
        <v>0</v>
      </c>
      <c r="AH108" s="1877" t="s">
        <v>617</v>
      </c>
      <c r="AI108" s="3198" t="s">
        <v>21</v>
      </c>
      <c r="AJ108" s="3198" t="s">
        <v>21</v>
      </c>
      <c r="AK108" s="3198" t="s">
        <v>21</v>
      </c>
      <c r="AL108" s="3198" t="s">
        <v>21</v>
      </c>
      <c r="AM108" s="2583"/>
      <c r="AN108" s="3196" t="s">
        <v>603</v>
      </c>
      <c r="AO108" s="3196" t="s">
        <v>603</v>
      </c>
      <c r="AP108" s="1912" t="s">
        <v>570</v>
      </c>
      <c r="AQ108" s="1912"/>
      <c r="AR108" s="2132" t="s">
        <v>571</v>
      </c>
      <c r="AS108" s="2132"/>
      <c r="AT108" s="1855">
        <v>200000000</v>
      </c>
      <c r="AU108" s="1903" t="s">
        <v>117</v>
      </c>
      <c r="AV108" s="1903">
        <f>BB[[#This Row],[NILAI PINJAMAN KONFIRMASI BILA-MULTI]]</f>
        <v>200000000</v>
      </c>
      <c r="AW108" s="1788" t="s">
        <v>844</v>
      </c>
      <c r="AX108" s="2084" t="s">
        <v>619</v>
      </c>
      <c r="AY108" s="1970" t="s">
        <v>577</v>
      </c>
      <c r="AZ108" s="1979" t="s">
        <v>845</v>
      </c>
      <c r="BA108" s="1972" t="s">
        <v>846</v>
      </c>
      <c r="BB108" s="1971"/>
    </row>
    <row r="109" spans="1:55" s="2507" customFormat="1" ht="20.100000000000001" customHeight="1">
      <c r="A109" s="2545">
        <v>84</v>
      </c>
      <c r="B109" s="2546"/>
      <c r="C109" s="2546"/>
      <c r="D109" s="2547" t="s">
        <v>17</v>
      </c>
      <c r="E109" s="2546">
        <v>1</v>
      </c>
      <c r="F109" s="2547" t="s">
        <v>19</v>
      </c>
      <c r="G109" s="1788" t="s">
        <v>752</v>
      </c>
      <c r="H109" s="2547" t="s">
        <v>221</v>
      </c>
      <c r="I109" s="2546" t="s">
        <v>219</v>
      </c>
      <c r="J109" s="2547" t="s">
        <v>220</v>
      </c>
      <c r="K109" s="2546">
        <v>7</v>
      </c>
      <c r="L109" s="2547" t="s">
        <v>233</v>
      </c>
      <c r="M109" s="2546">
        <v>1</v>
      </c>
      <c r="N109" s="2546">
        <v>1</v>
      </c>
      <c r="O109" s="2546">
        <v>2</v>
      </c>
      <c r="P109" s="2572">
        <v>1</v>
      </c>
      <c r="Q109" s="2546">
        <v>1</v>
      </c>
      <c r="R109" s="2546">
        <v>1</v>
      </c>
      <c r="S109" s="2546">
        <v>75</v>
      </c>
      <c r="T109" s="1855">
        <v>108700000</v>
      </c>
      <c r="U109" s="1855">
        <v>108700000</v>
      </c>
      <c r="V109" s="1855">
        <v>50440000</v>
      </c>
      <c r="W109" s="1855">
        <v>0</v>
      </c>
      <c r="X109" s="1855">
        <f t="shared" si="13"/>
        <v>159140000</v>
      </c>
      <c r="Y109" s="1876" t="s">
        <v>117</v>
      </c>
      <c r="Z109" s="1876" t="s">
        <v>619</v>
      </c>
      <c r="AA109" s="1855">
        <v>108700000</v>
      </c>
      <c r="AB109" s="1877">
        <v>1</v>
      </c>
      <c r="AC109" s="1855">
        <v>108700000</v>
      </c>
      <c r="AD109" s="1878"/>
      <c r="AE109" s="1855"/>
      <c r="AF109" s="1878"/>
      <c r="AG109" s="1855">
        <v>0</v>
      </c>
      <c r="AH109" s="1877" t="s">
        <v>617</v>
      </c>
      <c r="AI109" s="3182" t="s">
        <v>791</v>
      </c>
      <c r="AJ109" s="1970" t="s">
        <v>33</v>
      </c>
      <c r="AK109" s="3133" t="s">
        <v>237</v>
      </c>
      <c r="AL109" s="1970" t="s">
        <v>79</v>
      </c>
      <c r="AM109" s="2583" t="s">
        <v>581</v>
      </c>
      <c r="AN109" s="1919" t="s">
        <v>614</v>
      </c>
      <c r="AO109" s="1919" t="s">
        <v>654</v>
      </c>
      <c r="AP109" s="1912" t="s">
        <v>570</v>
      </c>
      <c r="AQ109" s="1912"/>
      <c r="AR109" s="2279" t="s">
        <v>21</v>
      </c>
      <c r="AS109" s="2279" t="s">
        <v>586</v>
      </c>
      <c r="AT109" s="1855">
        <v>108700000</v>
      </c>
      <c r="AU109" s="1876" t="s">
        <v>117</v>
      </c>
      <c r="AV109" s="1903">
        <f>BB[[#This Row],[NILAI PINJAMAN KONFIRMASI BILA-MULTI]]</f>
        <v>108700000</v>
      </c>
      <c r="AW109" s="1788" t="s">
        <v>21</v>
      </c>
      <c r="AX109" s="1876" t="s">
        <v>619</v>
      </c>
      <c r="AY109" s="1970" t="s">
        <v>577</v>
      </c>
      <c r="AZ109" s="1979" t="s">
        <v>847</v>
      </c>
      <c r="BA109" s="3199" t="s">
        <v>848</v>
      </c>
      <c r="BB109" s="1971"/>
    </row>
    <row r="110" spans="1:55" s="2515" customFormat="1" ht="20.100000000000001" customHeight="1">
      <c r="A110" s="2594">
        <v>85</v>
      </c>
      <c r="B110" s="2595"/>
      <c r="C110" s="2595"/>
      <c r="D110" s="2596" t="s">
        <v>17</v>
      </c>
      <c r="E110" s="2595">
        <v>1</v>
      </c>
      <c r="F110" s="2596" t="s">
        <v>19</v>
      </c>
      <c r="G110" s="2030" t="s">
        <v>752</v>
      </c>
      <c r="H110" s="2596" t="s">
        <v>240</v>
      </c>
      <c r="I110" s="2595" t="s">
        <v>238</v>
      </c>
      <c r="J110" s="2596" t="s">
        <v>239</v>
      </c>
      <c r="K110" s="2595">
        <v>1</v>
      </c>
      <c r="L110" s="2596" t="s">
        <v>241</v>
      </c>
      <c r="M110" s="2595">
        <v>1</v>
      </c>
      <c r="N110" s="2595">
        <v>1</v>
      </c>
      <c r="O110" s="2595">
        <v>0</v>
      </c>
      <c r="P110" s="2605">
        <v>1</v>
      </c>
      <c r="Q110" s="2595">
        <v>1</v>
      </c>
      <c r="R110" s="2595">
        <v>1</v>
      </c>
      <c r="S110" s="2595">
        <v>76</v>
      </c>
      <c r="T110" s="2065">
        <v>250000000</v>
      </c>
      <c r="U110" s="2065">
        <v>250000000</v>
      </c>
      <c r="V110" s="2065">
        <v>50000000</v>
      </c>
      <c r="W110" s="2065"/>
      <c r="X110" s="2065">
        <f t="shared" si="13"/>
        <v>300000000</v>
      </c>
      <c r="Y110" s="2081" t="s">
        <v>62</v>
      </c>
      <c r="Z110" s="2081" t="s">
        <v>619</v>
      </c>
      <c r="AA110" s="2065">
        <v>250000000</v>
      </c>
      <c r="AB110" s="2082"/>
      <c r="AC110" s="2065"/>
      <c r="AD110" s="2083"/>
      <c r="AE110" s="2065"/>
      <c r="AF110" s="2083"/>
      <c r="AG110" s="2065">
        <f>+AA110-T110</f>
        <v>0</v>
      </c>
      <c r="AH110" s="2082" t="s">
        <v>617</v>
      </c>
      <c r="AI110" s="3200" t="s">
        <v>21</v>
      </c>
      <c r="AJ110" s="3200" t="s">
        <v>60</v>
      </c>
      <c r="AK110" s="3200" t="s">
        <v>21</v>
      </c>
      <c r="AL110" s="3200" t="s">
        <v>21</v>
      </c>
      <c r="AM110" s="2619" t="s">
        <v>622</v>
      </c>
      <c r="AN110" s="3201" t="s">
        <v>675</v>
      </c>
      <c r="AO110" s="2030" t="s">
        <v>603</v>
      </c>
      <c r="AP110" s="2030" t="s">
        <v>570</v>
      </c>
      <c r="AQ110" s="2030"/>
      <c r="AR110" s="2136" t="s">
        <v>21</v>
      </c>
      <c r="AS110" s="2136"/>
      <c r="AT110" s="2065">
        <v>250000000</v>
      </c>
      <c r="AU110" s="2081" t="s">
        <v>62</v>
      </c>
      <c r="AV110" s="2081"/>
      <c r="AW110" s="2030" t="s">
        <v>21</v>
      </c>
      <c r="AX110" s="2081" t="s">
        <v>619</v>
      </c>
      <c r="AY110" s="1997" t="s">
        <v>577</v>
      </c>
      <c r="AZ110" s="1997"/>
      <c r="BA110" s="2173" t="s">
        <v>849</v>
      </c>
      <c r="BB110" s="2167"/>
      <c r="BC110" s="2627"/>
    </row>
    <row r="111" spans="1:55" s="2505" customFormat="1" ht="20.100000000000001" customHeight="1">
      <c r="A111" s="2539">
        <v>85</v>
      </c>
      <c r="B111" s="2540"/>
      <c r="C111" s="2540"/>
      <c r="D111" s="2541" t="s">
        <v>17</v>
      </c>
      <c r="E111" s="2540">
        <v>1</v>
      </c>
      <c r="F111" s="2541" t="s">
        <v>19</v>
      </c>
      <c r="G111" s="1908" t="s">
        <v>752</v>
      </c>
      <c r="H111" s="2541" t="s">
        <v>240</v>
      </c>
      <c r="I111" s="2540" t="s">
        <v>238</v>
      </c>
      <c r="J111" s="2541" t="s">
        <v>239</v>
      </c>
      <c r="K111" s="2540">
        <v>1</v>
      </c>
      <c r="L111" s="2541" t="s">
        <v>241</v>
      </c>
      <c r="M111" s="2540">
        <v>1</v>
      </c>
      <c r="N111" s="2540">
        <v>1</v>
      </c>
      <c r="O111" s="2540">
        <v>0</v>
      </c>
      <c r="P111" s="2568">
        <v>1</v>
      </c>
      <c r="Q111" s="2540">
        <v>1</v>
      </c>
      <c r="R111" s="2540">
        <v>1</v>
      </c>
      <c r="S111" s="2540">
        <v>76</v>
      </c>
      <c r="T111" s="1852">
        <v>250000000</v>
      </c>
      <c r="U111" s="1852">
        <v>250000000</v>
      </c>
      <c r="V111" s="1852">
        <v>50000000</v>
      </c>
      <c r="W111" s="1852"/>
      <c r="X111" s="1852">
        <f t="shared" si="13"/>
        <v>300000000</v>
      </c>
      <c r="Y111" s="1863" t="s">
        <v>62</v>
      </c>
      <c r="Z111" s="1863" t="s">
        <v>619</v>
      </c>
      <c r="AA111" s="1852">
        <v>250000000</v>
      </c>
      <c r="AB111" s="1872"/>
      <c r="AC111" s="1852"/>
      <c r="AD111" s="1873"/>
      <c r="AE111" s="1852"/>
      <c r="AF111" s="1873"/>
      <c r="AG111" s="1852">
        <f>+AA111-T111</f>
        <v>0</v>
      </c>
      <c r="AH111" s="1872" t="s">
        <v>617</v>
      </c>
      <c r="AI111" s="3169" t="s">
        <v>21</v>
      </c>
      <c r="AJ111" s="3169" t="s">
        <v>60</v>
      </c>
      <c r="AK111" s="3169" t="s">
        <v>21</v>
      </c>
      <c r="AL111" s="3169" t="s">
        <v>21</v>
      </c>
      <c r="AM111" s="2608" t="s">
        <v>622</v>
      </c>
      <c r="AN111" s="3130" t="s">
        <v>675</v>
      </c>
      <c r="AO111" s="1908" t="s">
        <v>603</v>
      </c>
      <c r="AP111" s="1908" t="s">
        <v>570</v>
      </c>
      <c r="AQ111" s="1908"/>
      <c r="AR111" s="1927" t="s">
        <v>21</v>
      </c>
      <c r="AS111" s="1927" t="s">
        <v>850</v>
      </c>
      <c r="AT111" s="1852">
        <v>125000000</v>
      </c>
      <c r="AU111" s="1863" t="s">
        <v>62</v>
      </c>
      <c r="AV111" s="1863">
        <f>BB[[#This Row],[NILAI PINJAMAN KONFIRMASI BILA-MULTI]]</f>
        <v>125000000</v>
      </c>
      <c r="AW111" s="1908" t="s">
        <v>851</v>
      </c>
      <c r="AX111" s="1863" t="s">
        <v>619</v>
      </c>
      <c r="AY111" s="1851" t="s">
        <v>577</v>
      </c>
      <c r="AZ111" s="1851"/>
      <c r="BA111" s="1962" t="s">
        <v>849</v>
      </c>
      <c r="BB111" s="1964"/>
      <c r="BC111" s="2628"/>
    </row>
    <row r="112" spans="1:55" s="2505" customFormat="1" ht="20.100000000000001" customHeight="1">
      <c r="A112" s="2539">
        <v>85</v>
      </c>
      <c r="B112" s="2540"/>
      <c r="C112" s="2540"/>
      <c r="D112" s="2541" t="s">
        <v>17</v>
      </c>
      <c r="E112" s="2540">
        <v>1</v>
      </c>
      <c r="F112" s="2541" t="s">
        <v>19</v>
      </c>
      <c r="G112" s="1908" t="s">
        <v>752</v>
      </c>
      <c r="H112" s="2541" t="s">
        <v>240</v>
      </c>
      <c r="I112" s="2540" t="s">
        <v>238</v>
      </c>
      <c r="J112" s="2541" t="s">
        <v>239</v>
      </c>
      <c r="K112" s="2540">
        <v>1</v>
      </c>
      <c r="L112" s="2541" t="s">
        <v>241</v>
      </c>
      <c r="M112" s="2540">
        <v>1</v>
      </c>
      <c r="N112" s="2540">
        <v>1</v>
      </c>
      <c r="O112" s="2540">
        <v>0</v>
      </c>
      <c r="P112" s="2568">
        <v>1</v>
      </c>
      <c r="Q112" s="2540">
        <v>1</v>
      </c>
      <c r="R112" s="2540">
        <v>1</v>
      </c>
      <c r="S112" s="2540">
        <v>76</v>
      </c>
      <c r="T112" s="1852">
        <v>250000000</v>
      </c>
      <c r="U112" s="1852">
        <v>250000000</v>
      </c>
      <c r="V112" s="1852">
        <v>50000000</v>
      </c>
      <c r="W112" s="1852"/>
      <c r="X112" s="1852">
        <f t="shared" si="13"/>
        <v>300000000</v>
      </c>
      <c r="Y112" s="1899" t="s">
        <v>633</v>
      </c>
      <c r="Z112" s="1899" t="s">
        <v>633</v>
      </c>
      <c r="AA112" s="1852">
        <f>BB[[#This Row],[NILAI PINJAMAN DALAM BB (PERUBAHAN)]]</f>
        <v>250000000</v>
      </c>
      <c r="AB112" s="1872"/>
      <c r="AC112" s="1852"/>
      <c r="AD112" s="1873"/>
      <c r="AE112" s="1852"/>
      <c r="AF112" s="1873"/>
      <c r="AG112" s="1852" t="s">
        <v>21</v>
      </c>
      <c r="AH112" s="1872" t="s">
        <v>617</v>
      </c>
      <c r="AI112" s="3169" t="s">
        <v>21</v>
      </c>
      <c r="AJ112" s="3169" t="s">
        <v>60</v>
      </c>
      <c r="AK112" s="3169" t="s">
        <v>21</v>
      </c>
      <c r="AL112" s="3169" t="s">
        <v>21</v>
      </c>
      <c r="AM112" s="2608" t="s">
        <v>622</v>
      </c>
      <c r="AN112" s="3130" t="s">
        <v>675</v>
      </c>
      <c r="AO112" s="1908" t="s">
        <v>603</v>
      </c>
      <c r="AP112" s="1908" t="s">
        <v>570</v>
      </c>
      <c r="AQ112" s="1908"/>
      <c r="AR112" s="1927" t="s">
        <v>21</v>
      </c>
      <c r="AS112" s="1927" t="s">
        <v>850</v>
      </c>
      <c r="AT112" s="1852">
        <v>125000000</v>
      </c>
      <c r="AU112" s="1863" t="s">
        <v>636</v>
      </c>
      <c r="AV112" s="1863">
        <f>BB[[#This Row],[NILAI PINJAMAN KONFIRMASI BILA-MULTI]]</f>
        <v>125000000</v>
      </c>
      <c r="AW112" s="1908" t="s">
        <v>852</v>
      </c>
      <c r="AX112" s="1863" t="s">
        <v>619</v>
      </c>
      <c r="AY112" s="1851" t="s">
        <v>577</v>
      </c>
      <c r="AZ112" s="1851"/>
      <c r="BA112" s="1962" t="s">
        <v>849</v>
      </c>
      <c r="BB112" s="1964"/>
      <c r="BC112" s="2628"/>
    </row>
    <row r="113" spans="1:55" s="2517" customFormat="1" ht="20.100000000000001" customHeight="1">
      <c r="A113" s="2548">
        <v>86</v>
      </c>
      <c r="B113" s="2549"/>
      <c r="C113" s="2549"/>
      <c r="D113" s="2550" t="s">
        <v>17</v>
      </c>
      <c r="E113" s="2549">
        <v>1</v>
      </c>
      <c r="F113" s="2550" t="s">
        <v>19</v>
      </c>
      <c r="G113" s="1788" t="s">
        <v>752</v>
      </c>
      <c r="H113" s="2550" t="s">
        <v>240</v>
      </c>
      <c r="I113" s="2549" t="s">
        <v>238</v>
      </c>
      <c r="J113" s="2550" t="s">
        <v>239</v>
      </c>
      <c r="K113" s="2549">
        <v>2</v>
      </c>
      <c r="L113" s="2550" t="s">
        <v>242</v>
      </c>
      <c r="M113" s="2549">
        <v>1</v>
      </c>
      <c r="N113" s="2549">
        <v>1</v>
      </c>
      <c r="O113" s="2549">
        <v>0</v>
      </c>
      <c r="P113" s="2573">
        <v>1</v>
      </c>
      <c r="Q113" s="2549">
        <v>1</v>
      </c>
      <c r="R113" s="2549">
        <v>1</v>
      </c>
      <c r="S113" s="2549">
        <v>77</v>
      </c>
      <c r="T113" s="1856">
        <v>350000000</v>
      </c>
      <c r="U113" s="1856">
        <v>350000000</v>
      </c>
      <c r="V113" s="1856">
        <v>70000000</v>
      </c>
      <c r="W113" s="1856"/>
      <c r="X113" s="1856">
        <f t="shared" si="13"/>
        <v>420000000</v>
      </c>
      <c r="Y113" s="1879" t="s">
        <v>117</v>
      </c>
      <c r="Z113" s="1879" t="s">
        <v>619</v>
      </c>
      <c r="AA113" s="1856">
        <f>T113</f>
        <v>350000000</v>
      </c>
      <c r="AB113" s="1880"/>
      <c r="AC113" s="1856"/>
      <c r="AD113" s="1881"/>
      <c r="AE113" s="1856"/>
      <c r="AF113" s="1881"/>
      <c r="AG113" s="1856">
        <v>0</v>
      </c>
      <c r="AH113" s="1880" t="s">
        <v>617</v>
      </c>
      <c r="AI113" s="3137" t="s">
        <v>21</v>
      </c>
      <c r="AJ113" s="3137" t="s">
        <v>21</v>
      </c>
      <c r="AK113" s="3137" t="s">
        <v>21</v>
      </c>
      <c r="AL113" s="3137" t="s">
        <v>21</v>
      </c>
      <c r="AM113" s="2583"/>
      <c r="AN113" s="3188" t="s">
        <v>603</v>
      </c>
      <c r="AO113" s="3188" t="s">
        <v>603</v>
      </c>
      <c r="AP113" s="1788" t="s">
        <v>570</v>
      </c>
      <c r="AQ113" s="1788"/>
      <c r="AR113" s="2123" t="s">
        <v>571</v>
      </c>
      <c r="AS113" s="2123"/>
      <c r="AT113" s="1856">
        <v>350000000</v>
      </c>
      <c r="AU113" s="1879" t="s">
        <v>117</v>
      </c>
      <c r="AV113" s="1879">
        <f>BB[[#This Row],[NILAI PINJAMAN KONFIRMASI BILA-MULTI]]</f>
        <v>350000000</v>
      </c>
      <c r="AW113" s="1912" t="s">
        <v>21</v>
      </c>
      <c r="AX113" s="1879" t="s">
        <v>619</v>
      </c>
      <c r="AY113" s="91" t="s">
        <v>577</v>
      </c>
      <c r="AZ113" s="1985" t="s">
        <v>853</v>
      </c>
      <c r="BA113" s="1975" t="s">
        <v>854</v>
      </c>
      <c r="BB113" s="1764"/>
      <c r="BC113" s="2629"/>
    </row>
    <row r="114" spans="1:55" s="2517" customFormat="1" ht="20.100000000000001" customHeight="1">
      <c r="A114" s="2548">
        <v>87</v>
      </c>
      <c r="B114" s="2549"/>
      <c r="C114" s="2549"/>
      <c r="D114" s="2550" t="s">
        <v>17</v>
      </c>
      <c r="E114" s="2549">
        <v>1</v>
      </c>
      <c r="F114" s="2550" t="s">
        <v>19</v>
      </c>
      <c r="G114" s="2034" t="s">
        <v>752</v>
      </c>
      <c r="H114" s="2550" t="s">
        <v>240</v>
      </c>
      <c r="I114" s="2549" t="s">
        <v>238</v>
      </c>
      <c r="J114" s="2550" t="s">
        <v>239</v>
      </c>
      <c r="K114" s="2549">
        <v>3</v>
      </c>
      <c r="L114" s="2550" t="s">
        <v>243</v>
      </c>
      <c r="M114" s="2549">
        <v>1</v>
      </c>
      <c r="N114" s="2549">
        <v>1</v>
      </c>
      <c r="O114" s="2549">
        <v>0</v>
      </c>
      <c r="P114" s="2573">
        <v>1</v>
      </c>
      <c r="Q114" s="2549">
        <v>1</v>
      </c>
      <c r="R114" s="2549">
        <v>1</v>
      </c>
      <c r="S114" s="2549">
        <v>78</v>
      </c>
      <c r="T114" s="1856">
        <v>50000000</v>
      </c>
      <c r="U114" s="1856">
        <v>50000000</v>
      </c>
      <c r="V114" s="1856">
        <v>10000000</v>
      </c>
      <c r="W114" s="1856"/>
      <c r="X114" s="1856">
        <f t="shared" si="13"/>
        <v>60000000</v>
      </c>
      <c r="Y114" s="2072" t="s">
        <v>633</v>
      </c>
      <c r="Z114" s="2072" t="s">
        <v>619</v>
      </c>
      <c r="AA114" s="1856">
        <v>50000000</v>
      </c>
      <c r="AB114" s="1880"/>
      <c r="AC114" s="1856"/>
      <c r="AD114" s="1881"/>
      <c r="AE114" s="1856"/>
      <c r="AF114" s="1881"/>
      <c r="AG114" s="2111">
        <f>-BB[[#This Row],[NILAI PINJAMAN DALAM BB]]</f>
        <v>-50000000</v>
      </c>
      <c r="AH114" s="1880" t="s">
        <v>617</v>
      </c>
      <c r="AI114" s="3137" t="s">
        <v>21</v>
      </c>
      <c r="AJ114" s="3137" t="s">
        <v>21</v>
      </c>
      <c r="AK114" s="3137" t="s">
        <v>21</v>
      </c>
      <c r="AL114" s="3137" t="s">
        <v>21</v>
      </c>
      <c r="AM114" s="2583"/>
      <c r="AN114" s="3188" t="s">
        <v>568</v>
      </c>
      <c r="AO114" s="3188" t="s">
        <v>645</v>
      </c>
      <c r="AP114" s="1788" t="s">
        <v>570</v>
      </c>
      <c r="AQ114" s="1788"/>
      <c r="AR114" s="2123" t="s">
        <v>571</v>
      </c>
      <c r="AS114" s="2123"/>
      <c r="AT114" s="1856">
        <v>50000000</v>
      </c>
      <c r="AU114" s="1890" t="s">
        <v>117</v>
      </c>
      <c r="AV114" s="1879">
        <f>BB[[#This Row],[NILAI PINJAMAN KONFIRMASI BILA-MULTI]]</f>
        <v>50000000</v>
      </c>
      <c r="AW114" s="1788" t="s">
        <v>844</v>
      </c>
      <c r="AX114" s="2072" t="s">
        <v>619</v>
      </c>
      <c r="AY114" s="91" t="s">
        <v>577</v>
      </c>
      <c r="AZ114" s="1985" t="s">
        <v>853</v>
      </c>
      <c r="BA114" s="1975" t="s">
        <v>855</v>
      </c>
      <c r="BB114" s="2175"/>
      <c r="BC114" s="2630"/>
    </row>
    <row r="115" spans="1:55" s="2518" customFormat="1" ht="20.100000000000001" customHeight="1">
      <c r="A115" s="2563"/>
      <c r="B115" s="2597"/>
      <c r="C115" s="2597"/>
      <c r="D115" s="2598" t="s">
        <v>17</v>
      </c>
      <c r="E115" s="2597">
        <v>1</v>
      </c>
      <c r="F115" s="2598" t="s">
        <v>19</v>
      </c>
      <c r="G115" s="2101" t="s">
        <v>856</v>
      </c>
      <c r="H115" s="2598" t="s">
        <v>857</v>
      </c>
      <c r="I115" s="2597"/>
      <c r="J115" s="2598" t="s">
        <v>858</v>
      </c>
      <c r="K115" s="2598"/>
      <c r="L115" s="2598" t="s">
        <v>859</v>
      </c>
      <c r="M115" s="2597">
        <v>1</v>
      </c>
      <c r="N115" s="2597"/>
      <c r="O115" s="2597"/>
      <c r="P115" s="2610"/>
      <c r="Q115" s="2597"/>
      <c r="R115" s="2597"/>
      <c r="S115" s="2597"/>
      <c r="T115" s="2059">
        <v>0</v>
      </c>
      <c r="U115" s="2059">
        <v>300000000</v>
      </c>
      <c r="V115" s="2059">
        <v>40000000</v>
      </c>
      <c r="W115" s="2059">
        <v>10000000</v>
      </c>
      <c r="X115" s="2067">
        <f>BB[[#This Row],[NILAI PINJAMAN DALAM BB (PERUBAHAN)]]+BB[[#This Row],[PENDAMPING BB]]+BB[[#This Row],[HIBAH BB]]</f>
        <v>350000000</v>
      </c>
      <c r="Y115" s="2612" t="s">
        <v>62</v>
      </c>
      <c r="Z115" s="2613" t="s">
        <v>619</v>
      </c>
      <c r="AA115" s="2094">
        <f>BB[[#This Row],[NILAI PINJAMAN DALAM BB (PERUBAHAN)]]</f>
        <v>300000000</v>
      </c>
      <c r="AB115" s="2614"/>
      <c r="AC115" s="2615"/>
      <c r="AD115" s="2616"/>
      <c r="AE115" s="2617"/>
      <c r="AF115" s="2616"/>
      <c r="AG115" s="2620"/>
      <c r="AH115" s="2614"/>
      <c r="AI115" s="2102"/>
      <c r="AJ115" s="2102"/>
      <c r="AK115" s="2102"/>
      <c r="AL115" s="2102"/>
      <c r="AM115" s="2621" t="s">
        <v>622</v>
      </c>
      <c r="AN115" s="2102"/>
      <c r="AO115" s="2102"/>
      <c r="AP115" s="2102"/>
      <c r="AQ115" s="2622"/>
      <c r="AR115" s="2623" t="s">
        <v>860</v>
      </c>
      <c r="AS115" s="2624" t="s">
        <v>850</v>
      </c>
      <c r="AT115" s="2625">
        <v>300000000</v>
      </c>
      <c r="AU115" s="2094" t="s">
        <v>62</v>
      </c>
      <c r="AV115" s="1879">
        <f>BB[[#This Row],[NILAI PINJAMAN KONFIRMASI BILA-MULTI]]</f>
        <v>300000000</v>
      </c>
      <c r="AW115" s="2625"/>
      <c r="AX115" s="2631"/>
      <c r="AY115" s="2632"/>
      <c r="AZ115" s="2259"/>
      <c r="BA115" s="2149"/>
      <c r="BB115" s="2633"/>
      <c r="BC115" s="2634"/>
    </row>
    <row r="116" spans="1:55" s="2517" customFormat="1" ht="20.100000000000001" customHeight="1">
      <c r="A116" s="2563"/>
      <c r="B116" s="2549"/>
      <c r="C116" s="2549"/>
      <c r="D116" s="2550" t="s">
        <v>17</v>
      </c>
      <c r="E116" s="2549">
        <v>2</v>
      </c>
      <c r="F116" s="2550" t="s">
        <v>19</v>
      </c>
      <c r="G116" s="1788" t="s">
        <v>856</v>
      </c>
      <c r="H116" s="2550" t="s">
        <v>246</v>
      </c>
      <c r="I116" s="2549"/>
      <c r="J116" s="2550" t="s">
        <v>245</v>
      </c>
      <c r="K116" s="2550"/>
      <c r="L116" s="2550" t="s">
        <v>861</v>
      </c>
      <c r="M116" s="2549">
        <v>1</v>
      </c>
      <c r="N116" s="2549"/>
      <c r="O116" s="2549"/>
      <c r="P116" s="2573"/>
      <c r="Q116" s="2549"/>
      <c r="R116" s="2549"/>
      <c r="S116" s="2549"/>
      <c r="T116" s="1856">
        <v>0</v>
      </c>
      <c r="U116" s="1856">
        <v>450000000</v>
      </c>
      <c r="V116" s="2059">
        <v>0</v>
      </c>
      <c r="W116" s="1856">
        <v>0</v>
      </c>
      <c r="X116" s="2067">
        <f>BB[[#This Row],[NILAI PINJAMAN DALAM BB (PERUBAHAN)]]+BB[[#This Row],[PENDAMPING BB]]+BB[[#This Row],[HIBAH BB]]</f>
        <v>450000000</v>
      </c>
      <c r="Y116" s="2071" t="s">
        <v>633</v>
      </c>
      <c r="Z116" s="2072" t="s">
        <v>633</v>
      </c>
      <c r="AA116" s="2094">
        <f>BB[[#This Row],[NILAI PINJAMAN DALAM BB (PERUBAHAN)]]</f>
        <v>450000000</v>
      </c>
      <c r="AB116" s="1880"/>
      <c r="AC116" s="1680"/>
      <c r="AD116" s="2074"/>
      <c r="AE116" s="2075"/>
      <c r="AF116" s="2074"/>
      <c r="AG116" s="2111"/>
      <c r="AH116" s="1880"/>
      <c r="AI116" s="2102"/>
      <c r="AJ116" s="2011"/>
      <c r="AK116" s="2011"/>
      <c r="AL116" s="2011"/>
      <c r="AM116" s="2583" t="s">
        <v>622</v>
      </c>
      <c r="AN116" s="3202" t="s">
        <v>568</v>
      </c>
      <c r="AO116" s="3202" t="s">
        <v>603</v>
      </c>
      <c r="AP116" s="2011" t="s">
        <v>21</v>
      </c>
      <c r="AQ116" s="1912"/>
      <c r="AR116" s="2143" t="s">
        <v>21</v>
      </c>
      <c r="AS116" s="2143" t="s">
        <v>850</v>
      </c>
      <c r="AT116" s="2144">
        <v>450000000</v>
      </c>
      <c r="AU116" s="1879" t="s">
        <v>62</v>
      </c>
      <c r="AV116" s="1879">
        <f>BB[[#This Row],[NILAI PINJAMAN KONFIRMASI BILA-MULTI]]</f>
        <v>450000000</v>
      </c>
      <c r="AW116" s="2143"/>
      <c r="AX116" s="2182"/>
      <c r="AY116" s="260"/>
      <c r="AZ116" s="1985"/>
      <c r="BA116" s="2149"/>
      <c r="BB116" s="2175"/>
      <c r="BC116" s="2630"/>
    </row>
    <row r="117" spans="1:55" s="645" customFormat="1" ht="20.100000000000001" customHeight="1">
      <c r="A117" s="2548">
        <v>88</v>
      </c>
      <c r="B117" s="2549"/>
      <c r="C117" s="2549"/>
      <c r="D117" s="2550" t="s">
        <v>17</v>
      </c>
      <c r="E117" s="2549">
        <v>1</v>
      </c>
      <c r="F117" s="2550" t="s">
        <v>19</v>
      </c>
      <c r="G117" s="1788" t="s">
        <v>856</v>
      </c>
      <c r="H117" s="2550" t="s">
        <v>246</v>
      </c>
      <c r="I117" s="2549" t="s">
        <v>244</v>
      </c>
      <c r="J117" s="2550" t="s">
        <v>245</v>
      </c>
      <c r="K117" s="2549">
        <v>1</v>
      </c>
      <c r="L117" s="2550" t="s">
        <v>247</v>
      </c>
      <c r="M117" s="2549">
        <v>0</v>
      </c>
      <c r="N117" s="2549">
        <v>0</v>
      </c>
      <c r="O117" s="2549">
        <v>0</v>
      </c>
      <c r="P117" s="2573">
        <v>0</v>
      </c>
      <c r="Q117" s="2549">
        <v>0</v>
      </c>
      <c r="R117" s="2549">
        <v>0</v>
      </c>
      <c r="S117" s="2549">
        <v>79</v>
      </c>
      <c r="T117" s="1856">
        <v>300000000</v>
      </c>
      <c r="U117" s="1856">
        <v>300000000</v>
      </c>
      <c r="V117" s="1856">
        <v>15000000</v>
      </c>
      <c r="W117" s="1856">
        <v>7000000</v>
      </c>
      <c r="X117" s="2068">
        <f>T117+V117+W117</f>
        <v>322000000</v>
      </c>
      <c r="Y117" s="2068" t="s">
        <v>62</v>
      </c>
      <c r="Z117" s="1879" t="s">
        <v>619</v>
      </c>
      <c r="AA117" s="1879">
        <v>300000000</v>
      </c>
      <c r="AB117" s="1880"/>
      <c r="AC117" s="1879"/>
      <c r="AD117" s="2095"/>
      <c r="AE117" s="1879"/>
      <c r="AF117" s="2095"/>
      <c r="AG117" s="2068">
        <f>+AA117-T117</f>
        <v>0</v>
      </c>
      <c r="AH117" s="1880">
        <v>2017</v>
      </c>
      <c r="AI117" s="3137" t="s">
        <v>248</v>
      </c>
      <c r="AJ117" s="3137" t="s">
        <v>21</v>
      </c>
      <c r="AK117" s="3137" t="s">
        <v>21</v>
      </c>
      <c r="AL117" s="3137" t="s">
        <v>21</v>
      </c>
      <c r="AM117" s="2583"/>
      <c r="AN117" s="3188" t="s">
        <v>603</v>
      </c>
      <c r="AO117" s="3188" t="s">
        <v>603</v>
      </c>
      <c r="AP117" s="1788" t="s">
        <v>570</v>
      </c>
      <c r="AQ117" s="1788"/>
      <c r="AR117" s="2123" t="s">
        <v>571</v>
      </c>
      <c r="AS117" s="2123"/>
      <c r="AT117" s="1879">
        <v>0</v>
      </c>
      <c r="AU117" s="2068">
        <v>0</v>
      </c>
      <c r="AV117" s="1879">
        <f>BB[[#This Row],[NILAI PINJAMAN KONFIRMASI BILA-MULTI]]</f>
        <v>0</v>
      </c>
      <c r="AW117" s="1788" t="s">
        <v>21</v>
      </c>
      <c r="AX117" s="1879" t="s">
        <v>619</v>
      </c>
      <c r="AY117" s="91" t="s">
        <v>577</v>
      </c>
      <c r="AZ117" s="1985" t="s">
        <v>862</v>
      </c>
      <c r="BA117" s="3194" t="s">
        <v>863</v>
      </c>
      <c r="BB117" s="1764"/>
    </row>
    <row r="118" spans="1:55" s="645" customFormat="1" ht="20.100000000000001" customHeight="1">
      <c r="A118" s="2548">
        <v>89</v>
      </c>
      <c r="B118" s="2549"/>
      <c r="C118" s="2549"/>
      <c r="D118" s="2550" t="s">
        <v>17</v>
      </c>
      <c r="E118" s="2549">
        <v>2</v>
      </c>
      <c r="F118" s="2550" t="s">
        <v>249</v>
      </c>
      <c r="G118" s="1788"/>
      <c r="H118" s="2550" t="s">
        <v>246</v>
      </c>
      <c r="I118" s="2549" t="s">
        <v>23</v>
      </c>
      <c r="J118" s="2550" t="s">
        <v>245</v>
      </c>
      <c r="K118" s="2549">
        <v>1</v>
      </c>
      <c r="L118" s="2550" t="s">
        <v>251</v>
      </c>
      <c r="M118" s="2549">
        <v>1</v>
      </c>
      <c r="N118" s="2549">
        <v>1</v>
      </c>
      <c r="O118" s="2549">
        <v>0</v>
      </c>
      <c r="P118" s="2573">
        <v>1</v>
      </c>
      <c r="Q118" s="2549">
        <v>1</v>
      </c>
      <c r="R118" s="2549">
        <v>1</v>
      </c>
      <c r="S118" s="2549">
        <v>80</v>
      </c>
      <c r="T118" s="1856">
        <v>200000000</v>
      </c>
      <c r="U118" s="1856">
        <v>200000000</v>
      </c>
      <c r="V118" s="1856">
        <f>T118*10%</f>
        <v>20000000</v>
      </c>
      <c r="W118" s="1856">
        <v>0</v>
      </c>
      <c r="X118" s="1856">
        <f t="shared" si="13"/>
        <v>220000000</v>
      </c>
      <c r="Y118" s="1879" t="s">
        <v>55</v>
      </c>
      <c r="Z118" s="1879" t="s">
        <v>565</v>
      </c>
      <c r="AA118" s="1856">
        <v>200000000</v>
      </c>
      <c r="AB118" s="1880"/>
      <c r="AC118" s="1856"/>
      <c r="AD118" s="1881"/>
      <c r="AE118" s="1856"/>
      <c r="AF118" s="1881"/>
      <c r="AG118" s="2117">
        <v>0</v>
      </c>
      <c r="AH118" s="1880">
        <v>2017</v>
      </c>
      <c r="AI118" s="1788" t="s">
        <v>248</v>
      </c>
      <c r="AJ118" s="91" t="s">
        <v>33</v>
      </c>
      <c r="AK118" s="91" t="s">
        <v>252</v>
      </c>
      <c r="AL118" s="91" t="s">
        <v>253</v>
      </c>
      <c r="AM118" s="2583"/>
      <c r="AN118" s="1919" t="s">
        <v>614</v>
      </c>
      <c r="AO118" s="1907" t="s">
        <v>568</v>
      </c>
      <c r="AP118" s="1788" t="s">
        <v>570</v>
      </c>
      <c r="AQ118" s="1788"/>
      <c r="AR118" s="2123" t="s">
        <v>571</v>
      </c>
      <c r="AS118" s="2123"/>
      <c r="AT118" s="1856">
        <v>200000000</v>
      </c>
      <c r="AU118" s="1879" t="s">
        <v>55</v>
      </c>
      <c r="AV118" s="1879">
        <f>BB[[#This Row],[NILAI PINJAMAN KONFIRMASI BILA-MULTI]]</f>
        <v>200000000</v>
      </c>
      <c r="AW118" s="1788" t="s">
        <v>21</v>
      </c>
      <c r="AX118" s="1879" t="s">
        <v>565</v>
      </c>
      <c r="AY118" s="3163" t="s">
        <v>864</v>
      </c>
      <c r="AZ118" s="1974"/>
      <c r="BA118" s="3194" t="s">
        <v>865</v>
      </c>
      <c r="BB118" s="1764"/>
    </row>
    <row r="119" spans="1:55" s="2506" customFormat="1" ht="20.100000000000001" customHeight="1">
      <c r="A119" s="2542">
        <v>90</v>
      </c>
      <c r="B119" s="2543"/>
      <c r="C119" s="2543"/>
      <c r="D119" s="2544" t="s">
        <v>17</v>
      </c>
      <c r="E119" s="2543">
        <v>3</v>
      </c>
      <c r="F119" s="2544" t="s">
        <v>255</v>
      </c>
      <c r="G119" s="1778"/>
      <c r="H119" s="2544" t="s">
        <v>259</v>
      </c>
      <c r="I119" s="2543" t="s">
        <v>23</v>
      </c>
      <c r="J119" s="2544" t="s">
        <v>258</v>
      </c>
      <c r="K119" s="2543">
        <v>1</v>
      </c>
      <c r="L119" s="2544" t="s">
        <v>866</v>
      </c>
      <c r="M119" s="2543">
        <v>0</v>
      </c>
      <c r="N119" s="2543">
        <v>0</v>
      </c>
      <c r="O119" s="2543">
        <v>1</v>
      </c>
      <c r="P119" s="2570">
        <v>0</v>
      </c>
      <c r="Q119" s="2543">
        <v>0</v>
      </c>
      <c r="R119" s="2543">
        <v>0</v>
      </c>
      <c r="S119" s="2543"/>
      <c r="T119" s="1854">
        <f>SUM(T120:T121)</f>
        <v>492336700</v>
      </c>
      <c r="U119" s="1854">
        <f>SUM(U120:U121)</f>
        <v>492336700</v>
      </c>
      <c r="V119" s="1854">
        <f>SUM(V120:V121)</f>
        <v>119453200</v>
      </c>
      <c r="W119" s="1854">
        <f>SUM(W120:W121)</f>
        <v>0</v>
      </c>
      <c r="X119" s="1854">
        <f>SUM(X120:X121)</f>
        <v>611789900</v>
      </c>
      <c r="Y119" s="1862" t="s">
        <v>21</v>
      </c>
      <c r="Z119" s="1862"/>
      <c r="AA119" s="1854">
        <f>SUM(AA120:AA121)</f>
        <v>492336700</v>
      </c>
      <c r="AB119" s="2096"/>
      <c r="AC119" s="1854"/>
      <c r="AD119" s="1875"/>
      <c r="AE119" s="1854"/>
      <c r="AF119" s="1875"/>
      <c r="AG119" s="1854">
        <f>SUM(AG120:AG121)</f>
        <v>0</v>
      </c>
      <c r="AH119" s="2096" t="s">
        <v>21</v>
      </c>
      <c r="AI119" s="1778" t="s">
        <v>21</v>
      </c>
      <c r="AJ119" s="1853" t="s">
        <v>21</v>
      </c>
      <c r="AK119" s="1853" t="s">
        <v>21</v>
      </c>
      <c r="AL119" s="1853" t="s">
        <v>21</v>
      </c>
      <c r="AM119" s="1874" t="s">
        <v>21</v>
      </c>
      <c r="AN119" s="1907"/>
      <c r="AO119" s="1907" t="s">
        <v>21</v>
      </c>
      <c r="AP119" s="1778"/>
      <c r="AQ119" s="1778"/>
      <c r="AR119" s="1778"/>
      <c r="AS119" s="1778"/>
      <c r="AT119" s="1854">
        <f>SUM(AT120:AT121)</f>
        <v>492336700</v>
      </c>
      <c r="AU119" s="1862" t="s">
        <v>21</v>
      </c>
      <c r="AV119" s="1862"/>
      <c r="AW119" s="2030" t="s">
        <v>21</v>
      </c>
      <c r="AX119" s="1862"/>
      <c r="AY119" s="3197" t="s">
        <v>867</v>
      </c>
      <c r="AZ119" s="2171"/>
      <c r="BA119" s="1965" t="s">
        <v>868</v>
      </c>
      <c r="BB119" s="1967"/>
    </row>
    <row r="120" spans="1:55" s="2507" customFormat="1" ht="19.5" customHeight="1">
      <c r="A120" s="2545">
        <v>91</v>
      </c>
      <c r="B120" s="2546"/>
      <c r="C120" s="2546"/>
      <c r="D120" s="2547" t="s">
        <v>17</v>
      </c>
      <c r="E120" s="2546">
        <v>3</v>
      </c>
      <c r="F120" s="2547" t="s">
        <v>255</v>
      </c>
      <c r="G120" s="1788"/>
      <c r="H120" s="2547" t="s">
        <v>259</v>
      </c>
      <c r="I120" s="2549" t="s">
        <v>23</v>
      </c>
      <c r="J120" s="2547" t="s">
        <v>258</v>
      </c>
      <c r="K120" s="2546">
        <v>1</v>
      </c>
      <c r="L120" s="3203" t="s">
        <v>869</v>
      </c>
      <c r="M120" s="2546">
        <v>1</v>
      </c>
      <c r="N120" s="2546">
        <v>1</v>
      </c>
      <c r="O120" s="2546">
        <v>2</v>
      </c>
      <c r="P120" s="2573">
        <v>1</v>
      </c>
      <c r="Q120" s="2549">
        <v>1</v>
      </c>
      <c r="R120" s="2549">
        <v>1</v>
      </c>
      <c r="S120" s="2549">
        <v>81</v>
      </c>
      <c r="T120" s="1855">
        <v>200000000</v>
      </c>
      <c r="U120" s="1855">
        <v>200000000</v>
      </c>
      <c r="V120" s="1855">
        <v>46369000</v>
      </c>
      <c r="W120" s="1855">
        <v>0</v>
      </c>
      <c r="X120" s="2111">
        <f>BB[[#This Row],[NILAI PINJAMAN DALAM BB]]+BB[[#This Row],[PENDAMPING BB]]+BB[[#This Row],[HIBAH BB]]</f>
        <v>246369000</v>
      </c>
      <c r="Y120" s="2070" t="s">
        <v>27</v>
      </c>
      <c r="Z120" s="1879" t="s">
        <v>565</v>
      </c>
      <c r="AA120" s="1855">
        <v>200000000</v>
      </c>
      <c r="AB120" s="1877">
        <v>1</v>
      </c>
      <c r="AC120" s="1855">
        <v>185470000</v>
      </c>
      <c r="AD120" s="1878"/>
      <c r="AE120" s="1855"/>
      <c r="AF120" s="1878"/>
      <c r="AG120" s="2111">
        <v>0</v>
      </c>
      <c r="AH120" s="1877">
        <v>2016</v>
      </c>
      <c r="AI120" s="3204" t="s">
        <v>870</v>
      </c>
      <c r="AJ120" s="3205" t="s">
        <v>264</v>
      </c>
      <c r="AK120" s="2118" t="s">
        <v>265</v>
      </c>
      <c r="AL120" s="2118" t="s">
        <v>266</v>
      </c>
      <c r="AM120" s="2583" t="s">
        <v>581</v>
      </c>
      <c r="AN120" s="2224" t="s">
        <v>702</v>
      </c>
      <c r="AO120" s="2224" t="s">
        <v>645</v>
      </c>
      <c r="AP120" s="2118" t="s">
        <v>570</v>
      </c>
      <c r="AQ120" s="2118"/>
      <c r="AR120" s="2122" t="s">
        <v>871</v>
      </c>
      <c r="AS120" s="2122" t="s">
        <v>586</v>
      </c>
      <c r="AT120" s="1855">
        <v>200000000</v>
      </c>
      <c r="AU120" s="2070" t="s">
        <v>27</v>
      </c>
      <c r="AV120" s="2070">
        <f>BB[[#This Row],[NILAI PINJAMAN KONFIRMASI BILA-MULTI]]</f>
        <v>200000000</v>
      </c>
      <c r="AW120" s="1788" t="s">
        <v>872</v>
      </c>
      <c r="AX120" s="1879" t="s">
        <v>565</v>
      </c>
      <c r="AY120" s="91" t="s">
        <v>867</v>
      </c>
      <c r="AZ120" s="91"/>
      <c r="BA120" s="3194" t="s">
        <v>873</v>
      </c>
      <c r="BB120" s="1971"/>
    </row>
    <row r="121" spans="1:55" s="2507" customFormat="1" ht="20.100000000000001" customHeight="1">
      <c r="A121" s="2545">
        <v>92</v>
      </c>
      <c r="B121" s="2546"/>
      <c r="C121" s="2546"/>
      <c r="D121" s="2547" t="s">
        <v>17</v>
      </c>
      <c r="E121" s="2546">
        <v>3</v>
      </c>
      <c r="F121" s="2547" t="s">
        <v>255</v>
      </c>
      <c r="G121" s="2034"/>
      <c r="H121" s="2547" t="s">
        <v>259</v>
      </c>
      <c r="I121" s="2549" t="s">
        <v>23</v>
      </c>
      <c r="J121" s="2547" t="s">
        <v>258</v>
      </c>
      <c r="K121" s="2546">
        <v>1</v>
      </c>
      <c r="L121" s="3203" t="s">
        <v>874</v>
      </c>
      <c r="M121" s="2546">
        <v>1</v>
      </c>
      <c r="N121" s="2546">
        <v>1</v>
      </c>
      <c r="O121" s="2546">
        <v>2</v>
      </c>
      <c r="P121" s="2573">
        <v>1</v>
      </c>
      <c r="Q121" s="2549">
        <v>1</v>
      </c>
      <c r="R121" s="2549">
        <v>1</v>
      </c>
      <c r="S121" s="2549">
        <v>82</v>
      </c>
      <c r="T121" s="1855">
        <v>292336700</v>
      </c>
      <c r="U121" s="1855">
        <v>292336700</v>
      </c>
      <c r="V121" s="1855">
        <v>73084200</v>
      </c>
      <c r="W121" s="1855">
        <v>0</v>
      </c>
      <c r="X121" s="2111">
        <f>BB[[#This Row],[NILAI PINJAMAN DALAM BB]]+BB[[#This Row],[PENDAMPING BB]]+BB[[#This Row],[HIBAH BB]]</f>
        <v>365420900</v>
      </c>
      <c r="Y121" s="2084" t="s">
        <v>633</v>
      </c>
      <c r="Z121" s="2084" t="s">
        <v>633</v>
      </c>
      <c r="AA121" s="1855">
        <f>T119-AA120</f>
        <v>292336700</v>
      </c>
      <c r="AB121" s="1877"/>
      <c r="AC121" s="1855"/>
      <c r="AD121" s="1878"/>
      <c r="AE121" s="1855"/>
      <c r="AF121" s="1878"/>
      <c r="AG121" s="2111">
        <v>0</v>
      </c>
      <c r="AH121" s="1877">
        <v>2016</v>
      </c>
      <c r="AI121" s="2118" t="s">
        <v>21</v>
      </c>
      <c r="AJ121" s="2118" t="s">
        <v>21</v>
      </c>
      <c r="AK121" s="2118" t="s">
        <v>265</v>
      </c>
      <c r="AL121" s="2118" t="s">
        <v>21</v>
      </c>
      <c r="AM121" s="2583"/>
      <c r="AN121" s="2224" t="s">
        <v>603</v>
      </c>
      <c r="AO121" s="2224" t="s">
        <v>645</v>
      </c>
      <c r="AP121" s="2118" t="s">
        <v>570</v>
      </c>
      <c r="AQ121" s="2118"/>
      <c r="AR121" s="2132" t="s">
        <v>571</v>
      </c>
      <c r="AS121" s="2132"/>
      <c r="AT121" s="1855">
        <v>292336700</v>
      </c>
      <c r="AU121" s="1890" t="s">
        <v>636</v>
      </c>
      <c r="AV121" s="2070">
        <f>BB[[#This Row],[NILAI PINJAMAN KONFIRMASI BILA-MULTI]]</f>
        <v>292336700</v>
      </c>
      <c r="AW121" s="3135" t="s">
        <v>875</v>
      </c>
      <c r="AX121" s="1890" t="s">
        <v>565</v>
      </c>
      <c r="AY121" s="3206" t="s">
        <v>876</v>
      </c>
      <c r="AZ121" s="2237"/>
      <c r="BA121" s="3194" t="s">
        <v>877</v>
      </c>
      <c r="BB121" s="1971"/>
    </row>
    <row r="122" spans="1:55" s="2507" customFormat="1" ht="20.100000000000001" customHeight="1">
      <c r="A122" s="2563"/>
      <c r="B122" s="2549"/>
      <c r="C122" s="2549"/>
      <c r="D122" s="2547" t="s">
        <v>17</v>
      </c>
      <c r="E122" s="2546">
        <v>3</v>
      </c>
      <c r="F122" s="2547" t="s">
        <v>255</v>
      </c>
      <c r="G122" s="2034"/>
      <c r="H122" s="2547" t="s">
        <v>259</v>
      </c>
      <c r="I122" s="2549" t="s">
        <v>23</v>
      </c>
      <c r="J122" s="2547" t="s">
        <v>258</v>
      </c>
      <c r="K122" s="2546">
        <v>2</v>
      </c>
      <c r="L122" s="3203" t="s">
        <v>878</v>
      </c>
      <c r="M122" s="2549">
        <v>1</v>
      </c>
      <c r="N122" s="2549"/>
      <c r="O122" s="2549"/>
      <c r="P122" s="2573"/>
      <c r="Q122" s="2549"/>
      <c r="R122" s="2549"/>
      <c r="S122" s="2549"/>
      <c r="T122" s="1856">
        <v>0</v>
      </c>
      <c r="U122" s="1856">
        <v>126830200</v>
      </c>
      <c r="V122" s="2059">
        <v>22381800</v>
      </c>
      <c r="W122" s="1856">
        <v>0</v>
      </c>
      <c r="X122" s="2067">
        <f>BB[[#This Row],[NILAI PINJAMAN DALAM BB (PERUBAHAN)]]+BB[[#This Row],[PENDAMPING BB]]+BB[[#This Row],[HIBAH BB]]</f>
        <v>149212000</v>
      </c>
      <c r="Y122" s="2212" t="s">
        <v>633</v>
      </c>
      <c r="Z122" s="2084" t="s">
        <v>633</v>
      </c>
      <c r="AA122" s="2094">
        <f>BB[[#This Row],[NILAI PINJAMAN DALAM BB (PERUBAHAN)]]</f>
        <v>126830200</v>
      </c>
      <c r="AB122" s="1880"/>
      <c r="AC122" s="1680"/>
      <c r="AD122" s="2074"/>
      <c r="AE122" s="2075"/>
      <c r="AF122" s="2074"/>
      <c r="AG122" s="2111"/>
      <c r="AH122" s="1877"/>
      <c r="AI122" s="2102"/>
      <c r="AJ122" s="2011"/>
      <c r="AK122" s="2011"/>
      <c r="AL122" s="2011"/>
      <c r="AM122" s="2583"/>
      <c r="AN122" s="1925"/>
      <c r="AO122" s="1925"/>
      <c r="AP122" s="2011"/>
      <c r="AQ122" s="1912"/>
      <c r="AR122" s="2123" t="s">
        <v>571</v>
      </c>
      <c r="AS122" s="2626"/>
      <c r="AT122" s="2240">
        <v>126830200</v>
      </c>
      <c r="AU122" s="1903" t="s">
        <v>27</v>
      </c>
      <c r="AV122" s="2070">
        <f>BB[[#This Row],[NILAI PINJAMAN KONFIRMASI BILA-MULTI]]</f>
        <v>126830200</v>
      </c>
      <c r="AW122" s="2143"/>
      <c r="AX122" s="2182"/>
      <c r="AY122" s="2257"/>
      <c r="AZ122" s="2237"/>
      <c r="BA122" s="2149"/>
      <c r="BB122" s="1971"/>
    </row>
    <row r="123" spans="1:55" s="645" customFormat="1" ht="20.100000000000001" customHeight="1">
      <c r="A123" s="2548">
        <v>93</v>
      </c>
      <c r="B123" s="2549"/>
      <c r="C123" s="2549"/>
      <c r="D123" s="2550" t="s">
        <v>17</v>
      </c>
      <c r="E123" s="2549">
        <v>3</v>
      </c>
      <c r="F123" s="2550" t="s">
        <v>255</v>
      </c>
      <c r="G123" s="1788"/>
      <c r="H123" s="2550" t="s">
        <v>259</v>
      </c>
      <c r="I123" s="2549" t="s">
        <v>23</v>
      </c>
      <c r="J123" s="2550" t="s">
        <v>258</v>
      </c>
      <c r="K123" s="2549">
        <v>2</v>
      </c>
      <c r="L123" s="2550" t="s">
        <v>269</v>
      </c>
      <c r="M123" s="2549">
        <v>1</v>
      </c>
      <c r="N123" s="2549">
        <v>1</v>
      </c>
      <c r="O123" s="2549">
        <v>0</v>
      </c>
      <c r="P123" s="2573">
        <v>1</v>
      </c>
      <c r="Q123" s="2549">
        <v>1</v>
      </c>
      <c r="R123" s="2549">
        <v>1</v>
      </c>
      <c r="S123" s="2549">
        <v>83</v>
      </c>
      <c r="T123" s="1856">
        <v>1678000000</v>
      </c>
      <c r="U123" s="1856">
        <v>1678000000</v>
      </c>
      <c r="V123" s="1856">
        <f>T123*10%</f>
        <v>167800000</v>
      </c>
      <c r="W123" s="1788">
        <v>0</v>
      </c>
      <c r="X123" s="2202">
        <f>T123+V123+W123</f>
        <v>1845800000</v>
      </c>
      <c r="Y123" s="2068" t="s">
        <v>55</v>
      </c>
      <c r="Z123" s="1879" t="s">
        <v>565</v>
      </c>
      <c r="AA123" s="1856">
        <f>T123</f>
        <v>1678000000</v>
      </c>
      <c r="AB123" s="1880"/>
      <c r="AC123" s="1856"/>
      <c r="AD123" s="1881"/>
      <c r="AE123" s="1856"/>
      <c r="AF123" s="1881"/>
      <c r="AG123" s="2202">
        <v>0</v>
      </c>
      <c r="AH123" s="1880">
        <v>2016</v>
      </c>
      <c r="AI123" s="2011" t="s">
        <v>21</v>
      </c>
      <c r="AJ123" s="3160" t="s">
        <v>270</v>
      </c>
      <c r="AK123" s="2011" t="s">
        <v>271</v>
      </c>
      <c r="AL123" s="3160" t="s">
        <v>272</v>
      </c>
      <c r="AM123" s="2583"/>
      <c r="AN123" s="2225" t="s">
        <v>675</v>
      </c>
      <c r="AO123" s="3207" t="s">
        <v>729</v>
      </c>
      <c r="AP123" s="2011" t="s">
        <v>570</v>
      </c>
      <c r="AQ123" s="2011"/>
      <c r="AR123" s="2123" t="s">
        <v>571</v>
      </c>
      <c r="AS123" s="2123"/>
      <c r="AT123" s="1856">
        <v>1678000000</v>
      </c>
      <c r="AU123" s="2068" t="s">
        <v>55</v>
      </c>
      <c r="AV123" s="2070">
        <f>BB[[#This Row],[NILAI PINJAMAN KONFIRMASI BILA-MULTI]]</f>
        <v>1678000000</v>
      </c>
      <c r="AW123" s="1788" t="s">
        <v>879</v>
      </c>
      <c r="AX123" s="1879" t="s">
        <v>565</v>
      </c>
      <c r="AY123" s="91" t="s">
        <v>867</v>
      </c>
      <c r="AZ123" s="91"/>
      <c r="BA123" s="3194" t="s">
        <v>880</v>
      </c>
      <c r="BB123" s="1764"/>
    </row>
    <row r="124" spans="1:55" s="645" customFormat="1" ht="20.100000000000001" customHeight="1">
      <c r="A124" s="2548">
        <v>94</v>
      </c>
      <c r="B124" s="2549"/>
      <c r="C124" s="2549"/>
      <c r="D124" s="2550" t="s">
        <v>17</v>
      </c>
      <c r="E124" s="2549">
        <v>3</v>
      </c>
      <c r="F124" s="2550" t="s">
        <v>255</v>
      </c>
      <c r="G124" s="1788"/>
      <c r="H124" s="2550" t="s">
        <v>259</v>
      </c>
      <c r="I124" s="2549" t="s">
        <v>23</v>
      </c>
      <c r="J124" s="2550" t="s">
        <v>258</v>
      </c>
      <c r="K124" s="2549">
        <v>3</v>
      </c>
      <c r="L124" s="2550" t="s">
        <v>273</v>
      </c>
      <c r="M124" s="2549">
        <v>1</v>
      </c>
      <c r="N124" s="2549">
        <v>1</v>
      </c>
      <c r="O124" s="2549">
        <v>0</v>
      </c>
      <c r="P124" s="2573">
        <v>1</v>
      </c>
      <c r="Q124" s="2549">
        <v>1</v>
      </c>
      <c r="R124" s="2549">
        <v>1</v>
      </c>
      <c r="S124" s="2549">
        <v>84</v>
      </c>
      <c r="T124" s="1856">
        <v>3572000000</v>
      </c>
      <c r="U124" s="1856">
        <v>3572000000</v>
      </c>
      <c r="V124" s="1856">
        <f>T124*10%</f>
        <v>357200000</v>
      </c>
      <c r="W124" s="1788">
        <v>0</v>
      </c>
      <c r="X124" s="2202">
        <f>T124+V124+W124</f>
        <v>3929200000</v>
      </c>
      <c r="Y124" s="2068" t="s">
        <v>55</v>
      </c>
      <c r="Z124" s="1879" t="s">
        <v>565</v>
      </c>
      <c r="AA124" s="1856">
        <f>T124</f>
        <v>3572000000</v>
      </c>
      <c r="AB124" s="1880"/>
      <c r="AC124" s="1856"/>
      <c r="AD124" s="1881"/>
      <c r="AE124" s="1856"/>
      <c r="AF124" s="1881"/>
      <c r="AG124" s="2202">
        <v>0</v>
      </c>
      <c r="AH124" s="1880">
        <v>2018</v>
      </c>
      <c r="AI124" s="2011" t="s">
        <v>21</v>
      </c>
      <c r="AJ124" s="3160" t="s">
        <v>270</v>
      </c>
      <c r="AK124" s="2011" t="s">
        <v>271</v>
      </c>
      <c r="AL124" s="3160" t="s">
        <v>272</v>
      </c>
      <c r="AM124" s="2583"/>
      <c r="AN124" s="2225" t="s">
        <v>675</v>
      </c>
      <c r="AO124" s="3207" t="s">
        <v>729</v>
      </c>
      <c r="AP124" s="2011" t="s">
        <v>570</v>
      </c>
      <c r="AQ124" s="2011"/>
      <c r="AR124" s="2123" t="s">
        <v>571</v>
      </c>
      <c r="AS124" s="2123"/>
      <c r="AT124" s="1856">
        <v>3572000000</v>
      </c>
      <c r="AU124" s="2068" t="s">
        <v>55</v>
      </c>
      <c r="AV124" s="2070">
        <f>BB[[#This Row],[NILAI PINJAMAN KONFIRMASI BILA-MULTI]]</f>
        <v>3572000000</v>
      </c>
      <c r="AW124" s="2118" t="s">
        <v>881</v>
      </c>
      <c r="AX124" s="1879" t="s">
        <v>565</v>
      </c>
      <c r="AY124" s="91" t="s">
        <v>867</v>
      </c>
      <c r="AZ124" s="91"/>
      <c r="BA124" s="3194" t="s">
        <v>882</v>
      </c>
      <c r="BB124" s="1764"/>
    </row>
    <row r="125" spans="1:55" s="645" customFormat="1" ht="20.100000000000001" customHeight="1">
      <c r="A125" s="2548">
        <v>95</v>
      </c>
      <c r="B125" s="2549"/>
      <c r="C125" s="2549"/>
      <c r="D125" s="2550" t="s">
        <v>17</v>
      </c>
      <c r="E125" s="2549">
        <v>3</v>
      </c>
      <c r="F125" s="2550" t="s">
        <v>255</v>
      </c>
      <c r="G125" s="1788"/>
      <c r="H125" s="2550" t="s">
        <v>259</v>
      </c>
      <c r="I125" s="2549" t="s">
        <v>23</v>
      </c>
      <c r="J125" s="2550" t="s">
        <v>258</v>
      </c>
      <c r="K125" s="2549">
        <v>4</v>
      </c>
      <c r="L125" s="2550" t="s">
        <v>274</v>
      </c>
      <c r="M125" s="2549">
        <v>1</v>
      </c>
      <c r="N125" s="2549">
        <v>1</v>
      </c>
      <c r="O125" s="2549">
        <v>0</v>
      </c>
      <c r="P125" s="2573">
        <v>1</v>
      </c>
      <c r="Q125" s="2549">
        <v>1</v>
      </c>
      <c r="R125" s="2549">
        <v>1</v>
      </c>
      <c r="S125" s="2549">
        <v>86</v>
      </c>
      <c r="T125" s="1856">
        <v>23000000</v>
      </c>
      <c r="U125" s="1856">
        <v>23000000</v>
      </c>
      <c r="V125" s="1856">
        <v>3000000</v>
      </c>
      <c r="W125" s="1788">
        <v>0</v>
      </c>
      <c r="X125" s="2202">
        <f>T125+V125+W125</f>
        <v>26000000</v>
      </c>
      <c r="Y125" s="2068" t="s">
        <v>55</v>
      </c>
      <c r="Z125" s="1879" t="s">
        <v>565</v>
      </c>
      <c r="AA125" s="1856">
        <f>T125</f>
        <v>23000000</v>
      </c>
      <c r="AB125" s="1880">
        <v>1</v>
      </c>
      <c r="AC125" s="1856">
        <v>19200000</v>
      </c>
      <c r="AD125" s="1881">
        <v>15646793.25</v>
      </c>
      <c r="AE125" s="1856"/>
      <c r="AF125" s="1881">
        <f>BB[[#This Row],[NILAI PINJAMAN DALAM BB]]-BB[[#This Row],[NILAI PINJAMAN DI LOAN AGREEMENT]]</f>
        <v>7353206.75</v>
      </c>
      <c r="AG125" s="2202">
        <v>0</v>
      </c>
      <c r="AH125" s="1880">
        <v>2015</v>
      </c>
      <c r="AI125" s="3208" t="s">
        <v>883</v>
      </c>
      <c r="AJ125" s="3160" t="s">
        <v>264</v>
      </c>
      <c r="AK125" s="2011" t="s">
        <v>276</v>
      </c>
      <c r="AL125" s="3160" t="s">
        <v>277</v>
      </c>
      <c r="AM125" s="2583">
        <v>2015</v>
      </c>
      <c r="AN125" s="1925" t="s">
        <v>568</v>
      </c>
      <c r="AO125" s="1925" t="s">
        <v>645</v>
      </c>
      <c r="AP125" s="2011" t="s">
        <v>570</v>
      </c>
      <c r="AQ125" s="2011"/>
      <c r="AR125" s="3209" t="s">
        <v>884</v>
      </c>
      <c r="AS125" s="3209" t="s">
        <v>586</v>
      </c>
      <c r="AT125" s="1856">
        <v>23000000</v>
      </c>
      <c r="AU125" s="2068" t="s">
        <v>55</v>
      </c>
      <c r="AV125" s="2070">
        <v>0</v>
      </c>
      <c r="AW125" s="2118" t="s">
        <v>885</v>
      </c>
      <c r="AX125" s="1879" t="s">
        <v>565</v>
      </c>
      <c r="AY125" s="91" t="s">
        <v>867</v>
      </c>
      <c r="AZ125" s="91"/>
      <c r="BA125" s="1975" t="s">
        <v>886</v>
      </c>
      <c r="BB125" s="1764"/>
    </row>
    <row r="126" spans="1:55" s="645" customFormat="1" ht="20.100000000000001" customHeight="1">
      <c r="A126" s="2563"/>
      <c r="B126" s="2549"/>
      <c r="C126" s="2549"/>
      <c r="D126" s="2550" t="s">
        <v>17</v>
      </c>
      <c r="E126" s="2549">
        <v>3</v>
      </c>
      <c r="F126" s="2550" t="s">
        <v>255</v>
      </c>
      <c r="G126" s="1788"/>
      <c r="H126" s="2550" t="s">
        <v>259</v>
      </c>
      <c r="I126" s="2549" t="s">
        <v>23</v>
      </c>
      <c r="J126" s="2550" t="s">
        <v>258</v>
      </c>
      <c r="K126" s="2550"/>
      <c r="L126" s="37" t="s">
        <v>887</v>
      </c>
      <c r="M126" s="2549">
        <v>1</v>
      </c>
      <c r="N126" s="2549"/>
      <c r="O126" s="2549"/>
      <c r="P126" s="2573"/>
      <c r="Q126" s="2549"/>
      <c r="R126" s="2549"/>
      <c r="S126" s="2549"/>
      <c r="T126" s="1856">
        <v>0</v>
      </c>
      <c r="U126" s="77">
        <v>100000000</v>
      </c>
      <c r="V126" s="2203">
        <v>15000000</v>
      </c>
      <c r="W126" s="2204">
        <v>0</v>
      </c>
      <c r="X126" s="2067">
        <f>BB[[#This Row],[NILAI PINJAMAN DALAM BB (PERUBAHAN)]]+BB[[#This Row],[PENDAMPING BB]]+BB[[#This Row],[HIBAH BB]]</f>
        <v>115000000</v>
      </c>
      <c r="Y126" s="2071" t="s">
        <v>633</v>
      </c>
      <c r="Z126" s="2072" t="s">
        <v>633</v>
      </c>
      <c r="AA126" s="2094">
        <f>BB[[#This Row],[NILAI PINJAMAN DALAM BB (PERUBAHAN)]]</f>
        <v>100000000</v>
      </c>
      <c r="AB126" s="1880"/>
      <c r="AC126" s="1680"/>
      <c r="AD126" s="2074"/>
      <c r="AE126" s="2075"/>
      <c r="AF126" s="2074"/>
      <c r="AG126" s="2202"/>
      <c r="AH126" s="1880"/>
      <c r="AI126" s="2102"/>
      <c r="AJ126" s="2011"/>
      <c r="AK126" s="2011"/>
      <c r="AL126" s="2011"/>
      <c r="AM126" s="2583"/>
      <c r="AN126" s="1925" t="s">
        <v>603</v>
      </c>
      <c r="AO126" s="1925" t="s">
        <v>603</v>
      </c>
      <c r="AP126" s="2011" t="s">
        <v>570</v>
      </c>
      <c r="AQ126" s="1912"/>
      <c r="AR126" s="3210" t="s">
        <v>571</v>
      </c>
      <c r="AS126" s="2143"/>
      <c r="AT126" s="2143">
        <v>100000000</v>
      </c>
      <c r="AU126" s="2084" t="s">
        <v>633</v>
      </c>
      <c r="AV126" s="2070">
        <f>BB[[#This Row],[NILAI PINJAMAN KONFIRMASI BILA-MULTI]]</f>
        <v>100000000</v>
      </c>
      <c r="AW126" s="2143"/>
      <c r="AX126" s="2182"/>
      <c r="AY126" s="260"/>
      <c r="AZ126" s="91"/>
      <c r="BA126" s="2149"/>
      <c r="BB126" s="1764"/>
    </row>
    <row r="127" spans="1:55" s="645" customFormat="1" ht="20.100000000000001" customHeight="1">
      <c r="A127" s="2563"/>
      <c r="B127" s="2549"/>
      <c r="C127" s="2549"/>
      <c r="D127" s="2550" t="s">
        <v>17</v>
      </c>
      <c r="E127" s="2549">
        <v>3</v>
      </c>
      <c r="F127" s="2550" t="s">
        <v>255</v>
      </c>
      <c r="G127" s="1788"/>
      <c r="H127" s="2550" t="s">
        <v>259</v>
      </c>
      <c r="I127" s="2549" t="s">
        <v>23</v>
      </c>
      <c r="J127" s="2550" t="s">
        <v>258</v>
      </c>
      <c r="K127" s="2550"/>
      <c r="L127" s="37" t="s">
        <v>888</v>
      </c>
      <c r="M127" s="2549">
        <v>1</v>
      </c>
      <c r="N127" s="2549"/>
      <c r="O127" s="2549"/>
      <c r="P127" s="2573"/>
      <c r="Q127" s="2549"/>
      <c r="R127" s="2549"/>
      <c r="S127" s="2549"/>
      <c r="T127" s="1856">
        <v>0</v>
      </c>
      <c r="U127" s="77">
        <v>461428600</v>
      </c>
      <c r="V127" s="2203">
        <v>81428600</v>
      </c>
      <c r="W127" s="2204">
        <v>0</v>
      </c>
      <c r="X127" s="2067">
        <f>BB[[#This Row],[NILAI PINJAMAN DALAM BB (PERUBAHAN)]]+BB[[#This Row],[PENDAMPING BB]]+BB[[#This Row],[HIBAH BB]]</f>
        <v>542857200</v>
      </c>
      <c r="Y127" s="2212" t="s">
        <v>633</v>
      </c>
      <c r="Z127" s="2084" t="s">
        <v>633</v>
      </c>
      <c r="AA127" s="2094">
        <f>BB[[#This Row],[NILAI PINJAMAN DALAM BB (PERUBAHAN)]]</f>
        <v>461428600</v>
      </c>
      <c r="AB127" s="1880"/>
      <c r="AC127" s="1680"/>
      <c r="AD127" s="2074"/>
      <c r="AE127" s="2075"/>
      <c r="AF127" s="2074"/>
      <c r="AG127" s="2202"/>
      <c r="AH127" s="1880"/>
      <c r="AI127" s="2102"/>
      <c r="AJ127" s="2011"/>
      <c r="AK127" s="2011"/>
      <c r="AL127" s="2011"/>
      <c r="AM127" s="2583"/>
      <c r="AN127" s="1925" t="s">
        <v>603</v>
      </c>
      <c r="AO127" s="1925" t="s">
        <v>603</v>
      </c>
      <c r="AP127" s="2011" t="s">
        <v>570</v>
      </c>
      <c r="AQ127" s="1912"/>
      <c r="AR127" s="3210" t="s">
        <v>571</v>
      </c>
      <c r="AS127" s="2143"/>
      <c r="AT127" s="2143">
        <v>461428600</v>
      </c>
      <c r="AU127" s="2084" t="s">
        <v>633</v>
      </c>
      <c r="AV127" s="2070">
        <f>BB[[#This Row],[NILAI PINJAMAN KONFIRMASI BILA-MULTI]]</f>
        <v>461428600</v>
      </c>
      <c r="AW127" s="2143"/>
      <c r="AX127" s="2182"/>
      <c r="AY127" s="260"/>
      <c r="AZ127" s="91"/>
      <c r="BA127" s="2149"/>
      <c r="BB127" s="1764"/>
    </row>
    <row r="128" spans="1:55" s="645" customFormat="1" ht="20.100000000000001" customHeight="1">
      <c r="A128" s="2563"/>
      <c r="B128" s="2549"/>
      <c r="C128" s="2549"/>
      <c r="D128" s="2550" t="s">
        <v>17</v>
      </c>
      <c r="E128" s="2549">
        <v>3</v>
      </c>
      <c r="F128" s="2550" t="s">
        <v>255</v>
      </c>
      <c r="G128" s="1788"/>
      <c r="H128" s="2550" t="s">
        <v>259</v>
      </c>
      <c r="I128" s="2549" t="s">
        <v>23</v>
      </c>
      <c r="J128" s="2550" t="s">
        <v>258</v>
      </c>
      <c r="K128" s="2550"/>
      <c r="L128" s="37" t="s">
        <v>889</v>
      </c>
      <c r="M128" s="2549">
        <v>1</v>
      </c>
      <c r="N128" s="2549"/>
      <c r="O128" s="2549"/>
      <c r="P128" s="2573"/>
      <c r="Q128" s="2549"/>
      <c r="R128" s="2549"/>
      <c r="S128" s="2549"/>
      <c r="T128" s="1856">
        <v>0</v>
      </c>
      <c r="U128" s="77">
        <v>505476800</v>
      </c>
      <c r="V128" s="2203">
        <v>89201771</v>
      </c>
      <c r="W128" s="2204">
        <v>0</v>
      </c>
      <c r="X128" s="2067">
        <f>BB[[#This Row],[NILAI PINJAMAN DALAM BB (PERUBAHAN)]]+BB[[#This Row],[PENDAMPING BB]]+BB[[#This Row],[HIBAH BB]]</f>
        <v>594678571</v>
      </c>
      <c r="Y128" s="2212" t="s">
        <v>633</v>
      </c>
      <c r="Z128" s="2084" t="s">
        <v>633</v>
      </c>
      <c r="AA128" s="2094">
        <f>BB[[#This Row],[NILAI PINJAMAN DALAM BB (PERUBAHAN)]]</f>
        <v>505476800</v>
      </c>
      <c r="AB128" s="1880"/>
      <c r="AC128" s="1680"/>
      <c r="AD128" s="2074"/>
      <c r="AE128" s="2075"/>
      <c r="AF128" s="2074"/>
      <c r="AG128" s="2202"/>
      <c r="AH128" s="1880"/>
      <c r="AI128" s="2102"/>
      <c r="AJ128" s="2011"/>
      <c r="AK128" s="2011"/>
      <c r="AL128" s="2011"/>
      <c r="AM128" s="2583"/>
      <c r="AN128" s="1925" t="s">
        <v>603</v>
      </c>
      <c r="AO128" s="1925" t="s">
        <v>603</v>
      </c>
      <c r="AP128" s="2011" t="s">
        <v>570</v>
      </c>
      <c r="AQ128" s="1912"/>
      <c r="AR128" s="3210" t="s">
        <v>571</v>
      </c>
      <c r="AS128" s="2143"/>
      <c r="AT128" s="2143">
        <v>505476800</v>
      </c>
      <c r="AU128" s="2084" t="s">
        <v>633</v>
      </c>
      <c r="AV128" s="2070">
        <f>BB[[#This Row],[NILAI PINJAMAN KONFIRMASI BILA-MULTI]]</f>
        <v>505476800</v>
      </c>
      <c r="AW128" s="2143"/>
      <c r="AX128" s="2182"/>
      <c r="AY128" s="260"/>
      <c r="AZ128" s="91"/>
      <c r="BA128" s="2149"/>
      <c r="BB128" s="1764"/>
    </row>
    <row r="129" spans="1:54" s="645" customFormat="1" ht="20.100000000000001" customHeight="1">
      <c r="A129" s="2563"/>
      <c r="B129" s="2549"/>
      <c r="C129" s="2549"/>
      <c r="D129" s="2550" t="s">
        <v>17</v>
      </c>
      <c r="E129" s="2549">
        <v>3</v>
      </c>
      <c r="F129" s="2550" t="s">
        <v>255</v>
      </c>
      <c r="G129" s="1788"/>
      <c r="H129" s="2550" t="s">
        <v>259</v>
      </c>
      <c r="I129" s="2549" t="s">
        <v>23</v>
      </c>
      <c r="J129" s="2550" t="s">
        <v>258</v>
      </c>
      <c r="K129" s="2550"/>
      <c r="L129" s="37" t="s">
        <v>890</v>
      </c>
      <c r="M129" s="2549">
        <v>1</v>
      </c>
      <c r="N129" s="2549"/>
      <c r="O129" s="2549"/>
      <c r="P129" s="2573"/>
      <c r="Q129" s="2549"/>
      <c r="R129" s="2549"/>
      <c r="S129" s="2549"/>
      <c r="T129" s="1856">
        <v>0</v>
      </c>
      <c r="U129" s="77">
        <v>399167600</v>
      </c>
      <c r="V129" s="2203">
        <v>70441329</v>
      </c>
      <c r="W129" s="2204">
        <v>0</v>
      </c>
      <c r="X129" s="2067">
        <f>BB[[#This Row],[NILAI PINJAMAN DALAM BB (PERUBAHAN)]]+BB[[#This Row],[PENDAMPING BB]]+BB[[#This Row],[HIBAH BB]]</f>
        <v>469608929</v>
      </c>
      <c r="Y129" s="2212" t="s">
        <v>633</v>
      </c>
      <c r="Z129" s="2084" t="s">
        <v>633</v>
      </c>
      <c r="AA129" s="2094">
        <f>BB[[#This Row],[NILAI PINJAMAN DALAM BB (PERUBAHAN)]]</f>
        <v>399167600</v>
      </c>
      <c r="AB129" s="1880"/>
      <c r="AC129" s="1680"/>
      <c r="AD129" s="2074"/>
      <c r="AE129" s="2075"/>
      <c r="AF129" s="2074"/>
      <c r="AG129" s="2202"/>
      <c r="AH129" s="1880"/>
      <c r="AI129" s="2102"/>
      <c r="AJ129" s="2011"/>
      <c r="AK129" s="2011"/>
      <c r="AL129" s="2011"/>
      <c r="AM129" s="2583"/>
      <c r="AN129" s="1925" t="s">
        <v>603</v>
      </c>
      <c r="AO129" s="1925" t="s">
        <v>603</v>
      </c>
      <c r="AP129" s="2011" t="s">
        <v>570</v>
      </c>
      <c r="AQ129" s="1912"/>
      <c r="AR129" s="3210" t="s">
        <v>571</v>
      </c>
      <c r="AS129" s="2143"/>
      <c r="AT129" s="2143">
        <v>399167600</v>
      </c>
      <c r="AU129" s="2084" t="s">
        <v>633</v>
      </c>
      <c r="AV129" s="2070">
        <f>BB[[#This Row],[NILAI PINJAMAN KONFIRMASI BILA-MULTI]]</f>
        <v>399167600</v>
      </c>
      <c r="AW129" s="2143"/>
      <c r="AX129" s="2182"/>
      <c r="AY129" s="260"/>
      <c r="AZ129" s="91"/>
      <c r="BA129" s="2149"/>
      <c r="BB129" s="1764"/>
    </row>
    <row r="130" spans="1:54" s="645" customFormat="1" ht="20.100000000000001" customHeight="1">
      <c r="A130" s="2548">
        <v>96</v>
      </c>
      <c r="B130" s="2549"/>
      <c r="C130" s="2549"/>
      <c r="D130" s="2550" t="s">
        <v>17</v>
      </c>
      <c r="E130" s="2549">
        <v>4</v>
      </c>
      <c r="F130" s="2550" t="s">
        <v>891</v>
      </c>
      <c r="G130" s="1788"/>
      <c r="H130" s="2550" t="s">
        <v>259</v>
      </c>
      <c r="I130" s="2549" t="s">
        <v>23</v>
      </c>
      <c r="J130" s="2550" t="s">
        <v>258</v>
      </c>
      <c r="K130" s="2549">
        <v>1</v>
      </c>
      <c r="L130" s="2550" t="s">
        <v>281</v>
      </c>
      <c r="M130" s="2549">
        <v>1</v>
      </c>
      <c r="N130" s="2549">
        <v>1</v>
      </c>
      <c r="O130" s="2549">
        <v>0</v>
      </c>
      <c r="P130" s="2573">
        <v>1</v>
      </c>
      <c r="Q130" s="2549">
        <v>1</v>
      </c>
      <c r="R130" s="2549">
        <v>1</v>
      </c>
      <c r="S130" s="2549">
        <v>85</v>
      </c>
      <c r="T130" s="1856">
        <v>1050000000</v>
      </c>
      <c r="U130" s="1856">
        <v>1050000000</v>
      </c>
      <c r="V130" s="1856">
        <v>150000000</v>
      </c>
      <c r="W130" s="1856">
        <v>0</v>
      </c>
      <c r="X130" s="2067">
        <f>BB[[#This Row],[NILAI PINJAMAN DALAM BB (PERUBAHAN)]]+BB[[#This Row],[PENDAMPING BB]]+BB[[#This Row],[HIBAH BB]]</f>
        <v>1200000000</v>
      </c>
      <c r="Y130" s="2068" t="s">
        <v>55</v>
      </c>
      <c r="Z130" s="1879" t="s">
        <v>565</v>
      </c>
      <c r="AA130" s="1879">
        <f>T130</f>
        <v>1050000000</v>
      </c>
      <c r="AB130" s="1880">
        <v>1</v>
      </c>
      <c r="AC130" s="1879">
        <v>752200000</v>
      </c>
      <c r="AD130" s="2095">
        <v>613298850.72000003</v>
      </c>
      <c r="AE130" s="1879"/>
      <c r="AF130" s="1881">
        <f>BB[[#This Row],[NILAI PINJAMAN DALAM BB]]-BB[[#This Row],[NILAI PINJAMAN DI LOAN AGREEMENT]]</f>
        <v>436701149.27999997</v>
      </c>
      <c r="AG130" s="2117">
        <v>0</v>
      </c>
      <c r="AH130" s="1880">
        <v>2016</v>
      </c>
      <c r="AI130" s="3208" t="s">
        <v>883</v>
      </c>
      <c r="AJ130" s="3160" t="s">
        <v>264</v>
      </c>
      <c r="AK130" s="2226">
        <v>1</v>
      </c>
      <c r="AL130" s="3160" t="s">
        <v>283</v>
      </c>
      <c r="AM130" s="2583">
        <v>2015</v>
      </c>
      <c r="AN130" s="1925" t="s">
        <v>568</v>
      </c>
      <c r="AO130" s="3202" t="s">
        <v>568</v>
      </c>
      <c r="AP130" s="3160" t="s">
        <v>584</v>
      </c>
      <c r="AQ130" s="2011"/>
      <c r="AR130" s="3209" t="s">
        <v>892</v>
      </c>
      <c r="AS130" s="3209" t="s">
        <v>586</v>
      </c>
      <c r="AT130" s="1879">
        <v>1050000000</v>
      </c>
      <c r="AU130" s="2068" t="s">
        <v>55</v>
      </c>
      <c r="AV130" s="2070">
        <v>0</v>
      </c>
      <c r="AW130" s="2011" t="s">
        <v>21</v>
      </c>
      <c r="AX130" s="1879" t="s">
        <v>565</v>
      </c>
      <c r="AY130" s="2258" t="s">
        <v>893</v>
      </c>
      <c r="AZ130" s="2258"/>
      <c r="BA130" s="3194" t="s">
        <v>894</v>
      </c>
      <c r="BB130" s="1764"/>
    </row>
    <row r="131" spans="1:54" s="645" customFormat="1" ht="20.100000000000001" customHeight="1">
      <c r="A131" s="2563"/>
      <c r="B131" s="2549"/>
      <c r="C131" s="2549"/>
      <c r="D131" s="2550" t="s">
        <v>17</v>
      </c>
      <c r="E131" s="2549"/>
      <c r="F131" s="2550" t="s">
        <v>255</v>
      </c>
      <c r="G131" s="1788"/>
      <c r="H131" s="2550" t="s">
        <v>895</v>
      </c>
      <c r="I131" s="2549"/>
      <c r="J131" s="2550" t="s">
        <v>896</v>
      </c>
      <c r="K131" s="2550"/>
      <c r="L131" s="2550" t="s">
        <v>897</v>
      </c>
      <c r="M131" s="2549">
        <v>1</v>
      </c>
      <c r="N131" s="2549"/>
      <c r="O131" s="2549"/>
      <c r="P131" s="2573"/>
      <c r="Q131" s="2549"/>
      <c r="R131" s="2549"/>
      <c r="S131" s="2549"/>
      <c r="T131" s="1856">
        <v>0</v>
      </c>
      <c r="U131" s="77">
        <v>27402600</v>
      </c>
      <c r="V131" s="1603">
        <v>7300000</v>
      </c>
      <c r="W131" s="2204">
        <v>0</v>
      </c>
      <c r="X131" s="2067">
        <f>BB[[#This Row],[NILAI PINJAMAN DALAM BB (PERUBAHAN)]]+BB[[#This Row],[PENDAMPING BB]]+BB[[#This Row],[HIBAH BB]]</f>
        <v>34702600</v>
      </c>
      <c r="Y131" s="2212" t="s">
        <v>633</v>
      </c>
      <c r="Z131" s="2084" t="s">
        <v>633</v>
      </c>
      <c r="AA131" s="2094">
        <f>BB[[#This Row],[NILAI PINJAMAN DALAM BB (PERUBAHAN)]]</f>
        <v>27402600</v>
      </c>
      <c r="AB131" s="1880"/>
      <c r="AC131" s="1680"/>
      <c r="AD131" s="2074"/>
      <c r="AE131" s="2075"/>
      <c r="AF131" s="2074"/>
      <c r="AG131" s="2117"/>
      <c r="AH131" s="1880"/>
      <c r="AI131" s="2102"/>
      <c r="AJ131" s="2011"/>
      <c r="AK131" s="2011"/>
      <c r="AL131" s="2011"/>
      <c r="AM131" s="2583"/>
      <c r="AN131" s="1925" t="s">
        <v>603</v>
      </c>
      <c r="AO131" s="1925" t="s">
        <v>603</v>
      </c>
      <c r="AP131" s="3160" t="s">
        <v>570</v>
      </c>
      <c r="AQ131" s="1912"/>
      <c r="AR131" s="2143"/>
      <c r="AS131" s="2143"/>
      <c r="AT131" s="2143">
        <v>27402600</v>
      </c>
      <c r="AU131" s="2084" t="s">
        <v>633</v>
      </c>
      <c r="AV131" s="2070">
        <f>BB[[#This Row],[NILAI PINJAMAN KONFIRMASI BILA-MULTI]]</f>
        <v>27402600</v>
      </c>
      <c r="AW131" s="2143"/>
      <c r="AX131" s="2182"/>
      <c r="AY131" s="2257"/>
      <c r="AZ131" s="2258"/>
      <c r="BA131" s="2149"/>
      <c r="BB131" s="1764"/>
    </row>
    <row r="132" spans="1:54" s="645" customFormat="1" ht="20.100000000000001" customHeight="1">
      <c r="A132" s="2563"/>
      <c r="B132" s="2549"/>
      <c r="C132" s="2549"/>
      <c r="D132" s="2550" t="s">
        <v>17</v>
      </c>
      <c r="E132" s="2549"/>
      <c r="F132" s="2550" t="s">
        <v>255</v>
      </c>
      <c r="G132" s="1788"/>
      <c r="H132" s="2550" t="s">
        <v>895</v>
      </c>
      <c r="I132" s="2549"/>
      <c r="J132" s="2550" t="s">
        <v>896</v>
      </c>
      <c r="K132" s="2550"/>
      <c r="L132" s="37" t="s">
        <v>898</v>
      </c>
      <c r="M132" s="2549">
        <v>1</v>
      </c>
      <c r="N132" s="2549"/>
      <c r="O132" s="2549"/>
      <c r="P132" s="2573"/>
      <c r="Q132" s="2549"/>
      <c r="R132" s="2549"/>
      <c r="S132" s="2549"/>
      <c r="T132" s="1856">
        <v>0</v>
      </c>
      <c r="U132" s="77">
        <v>186237900</v>
      </c>
      <c r="V132" s="1603">
        <v>0</v>
      </c>
      <c r="W132" s="2204">
        <v>0</v>
      </c>
      <c r="X132" s="2067">
        <f>BB[[#This Row],[NILAI PINJAMAN DALAM BB (PERUBAHAN)]]+BB[[#This Row],[PENDAMPING BB]]+BB[[#This Row],[HIBAH BB]]</f>
        <v>186237900</v>
      </c>
      <c r="Y132" s="2212" t="s">
        <v>633</v>
      </c>
      <c r="Z132" s="2084" t="s">
        <v>633</v>
      </c>
      <c r="AA132" s="2094">
        <f>BB[[#This Row],[NILAI PINJAMAN DALAM BB (PERUBAHAN)]]</f>
        <v>186237900</v>
      </c>
      <c r="AB132" s="1880"/>
      <c r="AC132" s="1680"/>
      <c r="AD132" s="2074"/>
      <c r="AE132" s="2075"/>
      <c r="AF132" s="2074"/>
      <c r="AG132" s="2117"/>
      <c r="AH132" s="1880"/>
      <c r="AI132" s="2102"/>
      <c r="AJ132" s="2011"/>
      <c r="AK132" s="2011"/>
      <c r="AL132" s="2011"/>
      <c r="AM132" s="2583"/>
      <c r="AN132" s="1925" t="s">
        <v>603</v>
      </c>
      <c r="AO132" s="1925" t="s">
        <v>603</v>
      </c>
      <c r="AP132" s="3160" t="s">
        <v>570</v>
      </c>
      <c r="AQ132" s="1912"/>
      <c r="AR132" s="2143"/>
      <c r="AS132" s="2143"/>
      <c r="AT132" s="2143">
        <v>186237900</v>
      </c>
      <c r="AU132" s="2084" t="s">
        <v>633</v>
      </c>
      <c r="AV132" s="2070">
        <f>BB[[#This Row],[NILAI PINJAMAN KONFIRMASI BILA-MULTI]]</f>
        <v>186237900</v>
      </c>
      <c r="AW132" s="2143"/>
      <c r="AX132" s="2182"/>
      <c r="AY132" s="2257"/>
      <c r="AZ132" s="2258"/>
      <c r="BA132" s="2149"/>
      <c r="BB132" s="1764"/>
    </row>
    <row r="133" spans="1:54" s="645" customFormat="1" ht="20.100000000000001" customHeight="1">
      <c r="A133" s="2563"/>
      <c r="B133" s="2549"/>
      <c r="C133" s="2549"/>
      <c r="D133" s="2550" t="s">
        <v>17</v>
      </c>
      <c r="E133" s="2549"/>
      <c r="F133" s="2550" t="s">
        <v>255</v>
      </c>
      <c r="G133" s="1788"/>
      <c r="H133" s="2550" t="s">
        <v>895</v>
      </c>
      <c r="I133" s="2549"/>
      <c r="J133" s="2550" t="s">
        <v>896</v>
      </c>
      <c r="K133" s="2550"/>
      <c r="L133" s="37" t="s">
        <v>899</v>
      </c>
      <c r="M133" s="2549">
        <v>1</v>
      </c>
      <c r="N133" s="2549"/>
      <c r="O133" s="2549"/>
      <c r="P133" s="2573"/>
      <c r="Q133" s="2549"/>
      <c r="R133" s="2549"/>
      <c r="S133" s="2549"/>
      <c r="T133" s="1856">
        <v>0</v>
      </c>
      <c r="U133" s="77">
        <v>73732600</v>
      </c>
      <c r="V133" s="1603">
        <v>0</v>
      </c>
      <c r="W133" s="2204">
        <v>0</v>
      </c>
      <c r="X133" s="2067">
        <f>BB[[#This Row],[NILAI PINJAMAN DALAM BB (PERUBAHAN)]]+BB[[#This Row],[PENDAMPING BB]]+BB[[#This Row],[HIBAH BB]]</f>
        <v>73732600</v>
      </c>
      <c r="Y133" s="2212" t="s">
        <v>633</v>
      </c>
      <c r="Z133" s="2084" t="s">
        <v>633</v>
      </c>
      <c r="AA133" s="2094">
        <f>BB[[#This Row],[NILAI PINJAMAN DALAM BB (PERUBAHAN)]]</f>
        <v>73732600</v>
      </c>
      <c r="AB133" s="1880"/>
      <c r="AC133" s="1680"/>
      <c r="AD133" s="2074"/>
      <c r="AE133" s="2075"/>
      <c r="AF133" s="2074"/>
      <c r="AG133" s="2117"/>
      <c r="AH133" s="1880"/>
      <c r="AI133" s="2102"/>
      <c r="AJ133" s="2011"/>
      <c r="AK133" s="2011"/>
      <c r="AL133" s="2011"/>
      <c r="AM133" s="2583"/>
      <c r="AN133" s="1925" t="s">
        <v>603</v>
      </c>
      <c r="AO133" s="1925" t="s">
        <v>603</v>
      </c>
      <c r="AP133" s="3160" t="s">
        <v>570</v>
      </c>
      <c r="AQ133" s="1912"/>
      <c r="AR133" s="2143"/>
      <c r="AS133" s="2143"/>
      <c r="AT133" s="2143">
        <v>73732600</v>
      </c>
      <c r="AU133" s="2084" t="s">
        <v>633</v>
      </c>
      <c r="AV133" s="2070">
        <f>BB[[#This Row],[NILAI PINJAMAN KONFIRMASI BILA-MULTI]]</f>
        <v>73732600</v>
      </c>
      <c r="AW133" s="2143"/>
      <c r="AX133" s="2182"/>
      <c r="AY133" s="2257"/>
      <c r="AZ133" s="2258"/>
      <c r="BA133" s="2149"/>
      <c r="BB133" s="1764"/>
    </row>
    <row r="134" spans="1:54" s="645" customFormat="1" ht="20.100000000000001" customHeight="1">
      <c r="A134" s="2563"/>
      <c r="B134" s="2549"/>
      <c r="C134" s="2549"/>
      <c r="D134" s="2550" t="s">
        <v>17</v>
      </c>
      <c r="E134" s="2549"/>
      <c r="F134" s="2550" t="s">
        <v>255</v>
      </c>
      <c r="G134" s="1788"/>
      <c r="H134" s="2550" t="s">
        <v>895</v>
      </c>
      <c r="I134" s="2549"/>
      <c r="J134" s="2550" t="s">
        <v>896</v>
      </c>
      <c r="K134" s="2550"/>
      <c r="L134" s="37" t="s">
        <v>900</v>
      </c>
      <c r="M134" s="2549">
        <v>1</v>
      </c>
      <c r="N134" s="2549"/>
      <c r="O134" s="2549"/>
      <c r="P134" s="2573"/>
      <c r="Q134" s="2549"/>
      <c r="R134" s="2549"/>
      <c r="S134" s="2549"/>
      <c r="T134" s="1856">
        <v>0</v>
      </c>
      <c r="U134" s="77">
        <v>1700000000</v>
      </c>
      <c r="V134" s="1603">
        <v>595000000</v>
      </c>
      <c r="W134" s="2204">
        <v>0</v>
      </c>
      <c r="X134" s="2067">
        <f>BB[[#This Row],[NILAI PINJAMAN DALAM BB (PERUBAHAN)]]+BB[[#This Row],[PENDAMPING BB]]+BB[[#This Row],[HIBAH BB]]</f>
        <v>2295000000</v>
      </c>
      <c r="Y134" s="2212" t="s">
        <v>633</v>
      </c>
      <c r="Z134" s="2084" t="s">
        <v>633</v>
      </c>
      <c r="AA134" s="2094">
        <f>BB[[#This Row],[NILAI PINJAMAN DALAM BB (PERUBAHAN)]]</f>
        <v>1700000000</v>
      </c>
      <c r="AB134" s="1880"/>
      <c r="AC134" s="1680"/>
      <c r="AD134" s="2074"/>
      <c r="AE134" s="2075"/>
      <c r="AF134" s="2074"/>
      <c r="AG134" s="2117"/>
      <c r="AH134" s="1880"/>
      <c r="AI134" s="2102"/>
      <c r="AJ134" s="2011"/>
      <c r="AK134" s="2011"/>
      <c r="AL134" s="2011"/>
      <c r="AM134" s="2583"/>
      <c r="AN134" s="1925" t="s">
        <v>603</v>
      </c>
      <c r="AO134" s="1925" t="s">
        <v>603</v>
      </c>
      <c r="AP134" s="3160" t="s">
        <v>570</v>
      </c>
      <c r="AQ134" s="1912"/>
      <c r="AR134" s="3210" t="s">
        <v>571</v>
      </c>
      <c r="AS134" s="2143"/>
      <c r="AT134" s="2143">
        <v>1700000000</v>
      </c>
      <c r="AU134" s="1903" t="s">
        <v>55</v>
      </c>
      <c r="AV134" s="2070">
        <f>BB[[#This Row],[NILAI PINJAMAN KONFIRMASI BILA-MULTI]]</f>
        <v>1700000000</v>
      </c>
      <c r="AW134" s="2143"/>
      <c r="AX134" s="2182"/>
      <c r="AY134" s="2257"/>
      <c r="AZ134" s="2258"/>
      <c r="BA134" s="2149"/>
      <c r="BB134" s="1764"/>
    </row>
    <row r="135" spans="1:54" s="645" customFormat="1" ht="20.100000000000001" customHeight="1">
      <c r="A135" s="2548">
        <v>97</v>
      </c>
      <c r="B135" s="2549"/>
      <c r="C135" s="2549"/>
      <c r="D135" s="2550" t="s">
        <v>17</v>
      </c>
      <c r="E135" s="2549">
        <v>5</v>
      </c>
      <c r="F135" s="2550" t="s">
        <v>285</v>
      </c>
      <c r="G135" s="2034"/>
      <c r="H135" s="2550" t="s">
        <v>289</v>
      </c>
      <c r="I135" s="2549" t="s">
        <v>23</v>
      </c>
      <c r="J135" s="2550" t="s">
        <v>288</v>
      </c>
      <c r="K135" s="2549">
        <v>1</v>
      </c>
      <c r="L135" s="2550" t="s">
        <v>901</v>
      </c>
      <c r="M135" s="2549">
        <v>1</v>
      </c>
      <c r="N135" s="2549">
        <v>1</v>
      </c>
      <c r="O135" s="2549">
        <v>0</v>
      </c>
      <c r="P135" s="2573">
        <v>1</v>
      </c>
      <c r="Q135" s="2549">
        <v>1</v>
      </c>
      <c r="R135" s="2549">
        <v>1</v>
      </c>
      <c r="S135" s="2549">
        <v>87</v>
      </c>
      <c r="T135" s="2205">
        <v>411000000</v>
      </c>
      <c r="U135" s="2205">
        <v>411000000</v>
      </c>
      <c r="V135" s="2205">
        <v>41000000</v>
      </c>
      <c r="W135" s="2205">
        <v>0</v>
      </c>
      <c r="X135" s="2205">
        <f>T135+V135+W135</f>
        <v>452000000</v>
      </c>
      <c r="Y135" s="2084" t="s">
        <v>633</v>
      </c>
      <c r="Z135" s="2084" t="s">
        <v>633</v>
      </c>
      <c r="AA135" s="1856">
        <v>411000000</v>
      </c>
      <c r="AB135" s="1880"/>
      <c r="AC135" s="1856"/>
      <c r="AD135" s="1881"/>
      <c r="AE135" s="1856"/>
      <c r="AF135" s="1881"/>
      <c r="AG135" s="1856">
        <f>-BB[[#This Row],[NILAI PINJAMAN PER LENDER]]</f>
        <v>-411000000</v>
      </c>
      <c r="AH135" s="1880" t="s">
        <v>617</v>
      </c>
      <c r="AI135" s="1788" t="s">
        <v>291</v>
      </c>
      <c r="AJ135" s="1788" t="s">
        <v>292</v>
      </c>
      <c r="AK135" s="1788" t="s">
        <v>293</v>
      </c>
      <c r="AL135" s="1788" t="s">
        <v>294</v>
      </c>
      <c r="AM135" s="2583"/>
      <c r="AN135" s="1914" t="s">
        <v>608</v>
      </c>
      <c r="AO135" s="3202" t="s">
        <v>568</v>
      </c>
      <c r="AP135" s="2011" t="s">
        <v>570</v>
      </c>
      <c r="AQ135" s="2011"/>
      <c r="AR135" s="2123" t="s">
        <v>571</v>
      </c>
      <c r="AS135" s="2123"/>
      <c r="AT135" s="1856">
        <v>411000000</v>
      </c>
      <c r="AU135" s="1890" t="s">
        <v>902</v>
      </c>
      <c r="AV135" s="2070">
        <f>BB[[#This Row],[NILAI PINJAMAN KONFIRMASI BILA-MULTI]]</f>
        <v>411000000</v>
      </c>
      <c r="AW135" s="2011" t="s">
        <v>21</v>
      </c>
      <c r="AX135" s="2084" t="s">
        <v>633</v>
      </c>
      <c r="AY135" s="3211" t="s">
        <v>903</v>
      </c>
      <c r="AZ135" s="2259"/>
      <c r="BA135" s="3177" t="s">
        <v>904</v>
      </c>
      <c r="BB135" s="1764"/>
    </row>
    <row r="136" spans="1:54" s="2506" customFormat="1" ht="20.100000000000001" customHeight="1">
      <c r="A136" s="2548">
        <v>98</v>
      </c>
      <c r="B136" s="2549"/>
      <c r="C136" s="2549"/>
      <c r="D136" s="2550" t="s">
        <v>17</v>
      </c>
      <c r="E136" s="2549">
        <v>5</v>
      </c>
      <c r="F136" s="2550" t="s">
        <v>285</v>
      </c>
      <c r="G136" s="1788"/>
      <c r="H136" s="2550" t="s">
        <v>289</v>
      </c>
      <c r="I136" s="2549" t="s">
        <v>23</v>
      </c>
      <c r="J136" s="2550" t="s">
        <v>288</v>
      </c>
      <c r="K136" s="2549">
        <v>2</v>
      </c>
      <c r="L136" s="2550" t="s">
        <v>296</v>
      </c>
      <c r="M136" s="2549">
        <v>1</v>
      </c>
      <c r="N136" s="2549">
        <v>1</v>
      </c>
      <c r="O136" s="2549">
        <v>0</v>
      </c>
      <c r="P136" s="2573">
        <v>1</v>
      </c>
      <c r="Q136" s="2549">
        <v>1</v>
      </c>
      <c r="R136" s="2549">
        <v>1</v>
      </c>
      <c r="S136" s="2549">
        <v>88</v>
      </c>
      <c r="T136" s="2205">
        <v>145000000</v>
      </c>
      <c r="U136" s="2205">
        <v>145000000</v>
      </c>
      <c r="V136" s="2205">
        <v>20000000</v>
      </c>
      <c r="W136" s="2205">
        <v>10000000</v>
      </c>
      <c r="X136" s="2205">
        <f>T136+V136+W136</f>
        <v>175000000</v>
      </c>
      <c r="Y136" s="1879" t="s">
        <v>28</v>
      </c>
      <c r="Z136" s="1879" t="s">
        <v>565</v>
      </c>
      <c r="AA136" s="1856">
        <f>T136</f>
        <v>145000000</v>
      </c>
      <c r="AB136" s="1880"/>
      <c r="AC136" s="1856"/>
      <c r="AD136" s="1881"/>
      <c r="AE136" s="1856"/>
      <c r="AF136" s="1881"/>
      <c r="AG136" s="1856">
        <v>0</v>
      </c>
      <c r="AH136" s="1880" t="s">
        <v>617</v>
      </c>
      <c r="AI136" s="3209" t="s">
        <v>297</v>
      </c>
      <c r="AJ136" s="1788" t="s">
        <v>298</v>
      </c>
      <c r="AK136" s="1788" t="s">
        <v>299</v>
      </c>
      <c r="AL136" s="1788" t="s">
        <v>294</v>
      </c>
      <c r="AM136" s="2583"/>
      <c r="AN136" s="1914" t="s">
        <v>608</v>
      </c>
      <c r="AO136" s="1914" t="s">
        <v>654</v>
      </c>
      <c r="AP136" s="2011" t="s">
        <v>570</v>
      </c>
      <c r="AQ136" s="2011"/>
      <c r="AR136" s="2123" t="s">
        <v>719</v>
      </c>
      <c r="AS136" s="2123"/>
      <c r="AT136" s="1856">
        <v>145000000</v>
      </c>
      <c r="AU136" s="1879" t="s">
        <v>28</v>
      </c>
      <c r="AV136" s="2070">
        <f>BB[[#This Row],[NILAI PINJAMAN KONFIRMASI BILA-MULTI]]</f>
        <v>145000000</v>
      </c>
      <c r="AW136" s="2011" t="s">
        <v>765</v>
      </c>
      <c r="AX136" s="1879" t="s">
        <v>565</v>
      </c>
      <c r="AY136" s="3212" t="s">
        <v>905</v>
      </c>
      <c r="AZ136" s="2260"/>
      <c r="BA136" s="3177" t="s">
        <v>906</v>
      </c>
      <c r="BB136" s="1967"/>
    </row>
    <row r="137" spans="1:54" s="2519" customFormat="1" ht="20.100000000000001" customHeight="1">
      <c r="A137" s="2548">
        <v>99</v>
      </c>
      <c r="B137" s="2549"/>
      <c r="C137" s="2549"/>
      <c r="D137" s="2550" t="s">
        <v>17</v>
      </c>
      <c r="E137" s="2549">
        <v>5</v>
      </c>
      <c r="F137" s="2550" t="s">
        <v>285</v>
      </c>
      <c r="G137" s="1788"/>
      <c r="H137" s="2550" t="s">
        <v>289</v>
      </c>
      <c r="I137" s="2549" t="s">
        <v>23</v>
      </c>
      <c r="J137" s="2550" t="s">
        <v>288</v>
      </c>
      <c r="K137" s="2549">
        <v>3</v>
      </c>
      <c r="L137" s="2550" t="s">
        <v>301</v>
      </c>
      <c r="M137" s="2549">
        <v>1</v>
      </c>
      <c r="N137" s="2549">
        <v>1</v>
      </c>
      <c r="O137" s="2549">
        <v>0</v>
      </c>
      <c r="P137" s="2573">
        <v>1</v>
      </c>
      <c r="Q137" s="2549">
        <v>1</v>
      </c>
      <c r="R137" s="2549">
        <v>1</v>
      </c>
      <c r="S137" s="2549">
        <v>89</v>
      </c>
      <c r="T137" s="2205">
        <v>500000000</v>
      </c>
      <c r="U137" s="2205">
        <v>500000000</v>
      </c>
      <c r="V137" s="2205">
        <v>25000000</v>
      </c>
      <c r="W137" s="2205">
        <v>0</v>
      </c>
      <c r="X137" s="2205">
        <f>T137+V137+W137</f>
        <v>525000000</v>
      </c>
      <c r="Y137" s="1879" t="s">
        <v>302</v>
      </c>
      <c r="Z137" s="1879" t="s">
        <v>907</v>
      </c>
      <c r="AA137" s="1856">
        <v>500000000</v>
      </c>
      <c r="AB137" s="1880"/>
      <c r="AC137" s="1856"/>
      <c r="AD137" s="1881"/>
      <c r="AE137" s="1856">
        <v>500000000</v>
      </c>
      <c r="AF137" s="1881">
        <f>BB[[#This Row],[NILAI PINJAMAN DALAM BB (PERUBAHAN)]]-BB[[#This Row],[NILAI PINJAMAN DI LOAN AGREEMENT]]</f>
        <v>500000000</v>
      </c>
      <c r="AG137" s="1856">
        <f>+AA137-T137</f>
        <v>0</v>
      </c>
      <c r="AH137" s="1880" t="s">
        <v>617</v>
      </c>
      <c r="AI137" s="3137" t="s">
        <v>21</v>
      </c>
      <c r="AJ137" s="3137" t="s">
        <v>21</v>
      </c>
      <c r="AK137" s="3137" t="s">
        <v>21</v>
      </c>
      <c r="AL137" s="3137" t="s">
        <v>21</v>
      </c>
      <c r="AM137" s="1880"/>
      <c r="AN137" s="3188" t="s">
        <v>603</v>
      </c>
      <c r="AO137" s="3188" t="s">
        <v>603</v>
      </c>
      <c r="AP137" s="2011" t="s">
        <v>570</v>
      </c>
      <c r="AQ137" s="2011"/>
      <c r="AR137" s="3160" t="s">
        <v>908</v>
      </c>
      <c r="AS137" s="2011"/>
      <c r="AT137" s="1856">
        <v>500000000</v>
      </c>
      <c r="AU137" s="1879" t="s">
        <v>302</v>
      </c>
      <c r="AV137" s="2070">
        <v>0</v>
      </c>
      <c r="AW137" s="3160" t="s">
        <v>21</v>
      </c>
      <c r="AX137" s="1879" t="s">
        <v>907</v>
      </c>
      <c r="AY137" s="3212" t="s">
        <v>909</v>
      </c>
      <c r="AZ137" s="2260"/>
      <c r="BA137" s="3177" t="s">
        <v>910</v>
      </c>
      <c r="BB137" s="2261"/>
    </row>
    <row r="138" spans="1:54" s="2519" customFormat="1" ht="20.100000000000001" customHeight="1">
      <c r="A138" s="2548">
        <v>100</v>
      </c>
      <c r="B138" s="2549"/>
      <c r="C138" s="2549"/>
      <c r="D138" s="2550" t="s">
        <v>17</v>
      </c>
      <c r="E138" s="2549">
        <v>6</v>
      </c>
      <c r="F138" s="2550" t="s">
        <v>304</v>
      </c>
      <c r="G138" s="1788"/>
      <c r="H138" s="2550" t="s">
        <v>289</v>
      </c>
      <c r="I138" s="2549" t="s">
        <v>23</v>
      </c>
      <c r="J138" s="2550" t="s">
        <v>288</v>
      </c>
      <c r="K138" s="2549">
        <v>1</v>
      </c>
      <c r="L138" s="2550" t="s">
        <v>307</v>
      </c>
      <c r="M138" s="2549">
        <v>1</v>
      </c>
      <c r="N138" s="2549">
        <v>1</v>
      </c>
      <c r="O138" s="2549">
        <v>0</v>
      </c>
      <c r="P138" s="2573">
        <v>1</v>
      </c>
      <c r="Q138" s="2549">
        <v>1</v>
      </c>
      <c r="R138" s="2549">
        <v>1</v>
      </c>
      <c r="S138" s="2549">
        <v>90</v>
      </c>
      <c r="T138" s="1856">
        <v>20000000</v>
      </c>
      <c r="U138" s="1856">
        <v>20000000</v>
      </c>
      <c r="V138" s="1856">
        <v>3500000</v>
      </c>
      <c r="W138" s="1856">
        <v>0</v>
      </c>
      <c r="X138" s="2068">
        <f>T138+V138+W138</f>
        <v>23500000</v>
      </c>
      <c r="Y138" s="2068" t="s">
        <v>28</v>
      </c>
      <c r="Z138" s="1879" t="s">
        <v>565</v>
      </c>
      <c r="AA138" s="1879">
        <f>T138</f>
        <v>20000000</v>
      </c>
      <c r="AB138" s="1880">
        <v>1</v>
      </c>
      <c r="AC138" s="1879">
        <v>20000000</v>
      </c>
      <c r="AD138" s="2095"/>
      <c r="AE138" s="1879"/>
      <c r="AF138" s="2095"/>
      <c r="AG138" s="2117">
        <f>+BB[[#This Row],[NILAI PINJAMAN PER LENDER]]-BB[[#This Row],[NILAI PINJAMAN DALAM BB]]</f>
        <v>0</v>
      </c>
      <c r="AH138" s="1880" t="s">
        <v>617</v>
      </c>
      <c r="AI138" s="3208" t="s">
        <v>911</v>
      </c>
      <c r="AJ138" s="2011" t="s">
        <v>71</v>
      </c>
      <c r="AK138" s="2011" t="s">
        <v>309</v>
      </c>
      <c r="AL138" s="3160" t="s">
        <v>310</v>
      </c>
      <c r="AM138" s="1880">
        <v>2015</v>
      </c>
      <c r="AN138" s="3202" t="s">
        <v>568</v>
      </c>
      <c r="AO138" s="3202" t="s">
        <v>645</v>
      </c>
      <c r="AP138" s="3160" t="s">
        <v>584</v>
      </c>
      <c r="AQ138" s="2245"/>
      <c r="AR138" s="2143" t="s">
        <v>21</v>
      </c>
      <c r="AS138" s="2143"/>
      <c r="AT138" s="1879">
        <v>20000000</v>
      </c>
      <c r="AU138" s="2068" t="s">
        <v>28</v>
      </c>
      <c r="AV138" s="2070">
        <f>BB[[#This Row],[NILAI PINJAMAN KONFIRMASI BILA-MULTI]]</f>
        <v>20000000</v>
      </c>
      <c r="AW138" s="2011" t="s">
        <v>765</v>
      </c>
      <c r="AX138" s="1879" t="s">
        <v>565</v>
      </c>
      <c r="AY138" s="2258" t="s">
        <v>893</v>
      </c>
      <c r="AZ138" s="2258"/>
      <c r="BA138" s="3177" t="s">
        <v>912</v>
      </c>
      <c r="BB138" s="2261"/>
    </row>
    <row r="139" spans="1:54" s="2520" customFormat="1" ht="20.100000000000001" customHeight="1">
      <c r="A139" s="2542">
        <v>101</v>
      </c>
      <c r="B139" s="2543"/>
      <c r="C139" s="2543"/>
      <c r="D139" s="2544" t="s">
        <v>17</v>
      </c>
      <c r="E139" s="2543">
        <v>7</v>
      </c>
      <c r="F139" s="2544" t="s">
        <v>311</v>
      </c>
      <c r="G139" s="1778"/>
      <c r="H139" s="2544" t="s">
        <v>315</v>
      </c>
      <c r="I139" s="2543" t="s">
        <v>23</v>
      </c>
      <c r="J139" s="2544" t="s">
        <v>314</v>
      </c>
      <c r="K139" s="2543">
        <v>1</v>
      </c>
      <c r="L139" s="2544" t="s">
        <v>317</v>
      </c>
      <c r="M139" s="2543">
        <v>0</v>
      </c>
      <c r="N139" s="2543">
        <v>0</v>
      </c>
      <c r="O139" s="2543">
        <v>1</v>
      </c>
      <c r="P139" s="2570">
        <v>0</v>
      </c>
      <c r="Q139" s="2543">
        <v>0</v>
      </c>
      <c r="R139" s="2543">
        <v>0</v>
      </c>
      <c r="S139" s="2543"/>
      <c r="T139" s="1854">
        <f>SUM(T140:T141)</f>
        <v>1562000000</v>
      </c>
      <c r="U139" s="1854">
        <f>SUM(U140:U141)</f>
        <v>1562000000</v>
      </c>
      <c r="V139" s="1854">
        <f>SUM(V140:V141)</f>
        <v>253000000</v>
      </c>
      <c r="W139" s="1854">
        <f>SUM(W140:W141)</f>
        <v>0</v>
      </c>
      <c r="X139" s="1854">
        <f>SUM(X140:X141)</f>
        <v>1815000000</v>
      </c>
      <c r="Y139" s="1862" t="s">
        <v>21</v>
      </c>
      <c r="Z139" s="1862"/>
      <c r="AA139" s="1854">
        <f>SUM(AA140:AA141)</f>
        <v>1562000000</v>
      </c>
      <c r="AB139" s="2638"/>
      <c r="AC139" s="1854"/>
      <c r="AD139" s="1875"/>
      <c r="AE139" s="1854"/>
      <c r="AF139" s="1875"/>
      <c r="AG139" s="1854">
        <f>+BB[[#This Row],[NILAI PINJAMAN PER LENDER]]-BB[[#This Row],[NILAI PINJAMAN DALAM BB]]</f>
        <v>0</v>
      </c>
      <c r="AH139" s="2638" t="s">
        <v>21</v>
      </c>
      <c r="AI139" s="3178" t="s">
        <v>21</v>
      </c>
      <c r="AJ139" s="1778" t="s">
        <v>21</v>
      </c>
      <c r="AK139" s="2227" t="s">
        <v>21</v>
      </c>
      <c r="AL139" s="3178" t="s">
        <v>21</v>
      </c>
      <c r="AM139" s="3213" t="s">
        <v>21</v>
      </c>
      <c r="AN139" s="3188" t="s">
        <v>21</v>
      </c>
      <c r="AO139" s="3188" t="s">
        <v>21</v>
      </c>
      <c r="AP139" s="1778"/>
      <c r="AQ139" s="1778"/>
      <c r="AR139" s="1778"/>
      <c r="AS139" s="1778"/>
      <c r="AT139" s="1854">
        <f>SUM(AT140:AT141)</f>
        <v>1562000000</v>
      </c>
      <c r="AU139" s="1862" t="s">
        <v>21</v>
      </c>
      <c r="AV139" s="1862"/>
      <c r="AW139" s="2113" t="s">
        <v>21</v>
      </c>
      <c r="AX139" s="1862"/>
      <c r="AY139" s="2262" t="s">
        <v>913</v>
      </c>
      <c r="AZ139" s="2262"/>
      <c r="BA139" s="1965" t="s">
        <v>914</v>
      </c>
      <c r="BB139" s="2263"/>
    </row>
    <row r="140" spans="1:54" s="2519" customFormat="1" ht="20.100000000000001" customHeight="1">
      <c r="A140" s="2545">
        <v>102</v>
      </c>
      <c r="B140" s="2546"/>
      <c r="C140" s="2546"/>
      <c r="D140" s="2547" t="s">
        <v>17</v>
      </c>
      <c r="E140" s="2546">
        <v>7</v>
      </c>
      <c r="F140" s="2547" t="s">
        <v>311</v>
      </c>
      <c r="G140" s="1788"/>
      <c r="H140" s="2547" t="s">
        <v>315</v>
      </c>
      <c r="I140" s="2549" t="s">
        <v>23</v>
      </c>
      <c r="J140" s="2547" t="s">
        <v>314</v>
      </c>
      <c r="K140" s="2546">
        <v>1</v>
      </c>
      <c r="L140" s="2547" t="s">
        <v>915</v>
      </c>
      <c r="M140" s="2546">
        <v>1</v>
      </c>
      <c r="N140" s="2546">
        <v>1</v>
      </c>
      <c r="O140" s="2546">
        <v>2</v>
      </c>
      <c r="P140" s="2573">
        <v>1</v>
      </c>
      <c r="Q140" s="2549">
        <v>1</v>
      </c>
      <c r="R140" s="2549">
        <v>1</v>
      </c>
      <c r="S140" s="2549">
        <v>91</v>
      </c>
      <c r="T140" s="1855">
        <v>629000000</v>
      </c>
      <c r="U140" s="1855">
        <v>629000000</v>
      </c>
      <c r="V140" s="1855">
        <v>88000000</v>
      </c>
      <c r="W140" s="1855">
        <v>0</v>
      </c>
      <c r="X140" s="1855">
        <f>+BB[[#This Row],[NILAI PINJAMAN DALAM BB]]+BB[[#This Row],[PENDAMPING BB]]+BB[[#This Row],[HIBAH BB]]</f>
        <v>717000000</v>
      </c>
      <c r="Y140" s="1876" t="s">
        <v>55</v>
      </c>
      <c r="Z140" s="1879" t="s">
        <v>565</v>
      </c>
      <c r="AA140" s="1855">
        <v>629000000</v>
      </c>
      <c r="AB140" s="1880">
        <v>1</v>
      </c>
      <c r="AC140" s="1855">
        <v>629140000</v>
      </c>
      <c r="AD140" s="1878">
        <v>513687070.98000002</v>
      </c>
      <c r="AE140" s="1855"/>
      <c r="AF140" s="1878">
        <f>BB[[#This Row],[NILAI PINJAMAN DALAM BB]]-BB[[#This Row],[NILAI PINJAMAN DI LOAN AGREEMENT]]</f>
        <v>115312929.01999998</v>
      </c>
      <c r="AG140" s="1855">
        <v>0</v>
      </c>
      <c r="AH140" s="1880">
        <v>2015</v>
      </c>
      <c r="AI140" s="3132" t="s">
        <v>916</v>
      </c>
      <c r="AJ140" s="1912" t="s">
        <v>71</v>
      </c>
      <c r="AK140" s="1913">
        <v>0.3</v>
      </c>
      <c r="AL140" s="3132" t="s">
        <v>917</v>
      </c>
      <c r="AM140" s="2583">
        <v>2015</v>
      </c>
      <c r="AN140" s="3196" t="s">
        <v>568</v>
      </c>
      <c r="AO140" s="3214" t="s">
        <v>918</v>
      </c>
      <c r="AP140" s="3198" t="s">
        <v>584</v>
      </c>
      <c r="AQ140" s="1912"/>
      <c r="AR140" s="3215" t="s">
        <v>919</v>
      </c>
      <c r="AS140" s="3215" t="s">
        <v>586</v>
      </c>
      <c r="AT140" s="1855">
        <v>629000000</v>
      </c>
      <c r="AU140" s="1876" t="s">
        <v>55</v>
      </c>
      <c r="AV140" s="1876">
        <v>0</v>
      </c>
      <c r="AW140" s="2011" t="s">
        <v>21</v>
      </c>
      <c r="AX140" s="1879" t="s">
        <v>565</v>
      </c>
      <c r="AY140" s="2122" t="s">
        <v>920</v>
      </c>
      <c r="AZ140" s="2132"/>
      <c r="BA140" s="1975" t="s">
        <v>921</v>
      </c>
      <c r="BB140" s="2261"/>
    </row>
    <row r="141" spans="1:54" s="2519" customFormat="1" ht="20.100000000000001" customHeight="1">
      <c r="A141" s="2545">
        <v>103</v>
      </c>
      <c r="B141" s="2546"/>
      <c r="C141" s="2546"/>
      <c r="D141" s="2547" t="s">
        <v>17</v>
      </c>
      <c r="E141" s="2546">
        <v>7</v>
      </c>
      <c r="F141" s="2547" t="s">
        <v>311</v>
      </c>
      <c r="G141" s="1788"/>
      <c r="H141" s="2547" t="s">
        <v>315</v>
      </c>
      <c r="I141" s="2549" t="s">
        <v>23</v>
      </c>
      <c r="J141" s="2547" t="s">
        <v>314</v>
      </c>
      <c r="K141" s="2546">
        <v>1</v>
      </c>
      <c r="L141" s="2547" t="s">
        <v>922</v>
      </c>
      <c r="M141" s="2546">
        <v>1</v>
      </c>
      <c r="N141" s="2546">
        <v>1</v>
      </c>
      <c r="O141" s="2546">
        <v>2</v>
      </c>
      <c r="P141" s="2573">
        <v>1</v>
      </c>
      <c r="Q141" s="2549">
        <v>1</v>
      </c>
      <c r="R141" s="2549">
        <v>1</v>
      </c>
      <c r="S141" s="2549">
        <v>92</v>
      </c>
      <c r="T141" s="1855">
        <v>933000000</v>
      </c>
      <c r="U141" s="1855">
        <v>933000000</v>
      </c>
      <c r="V141" s="1855">
        <v>165000000</v>
      </c>
      <c r="W141" s="1855">
        <v>0</v>
      </c>
      <c r="X141" s="1855">
        <f>+BB[[#This Row],[NILAI PINJAMAN DALAM BB]]+BB[[#This Row],[PENDAMPING BB]]+BB[[#This Row],[HIBAH BB]]</f>
        <v>1098000000</v>
      </c>
      <c r="Y141" s="1876" t="s">
        <v>55</v>
      </c>
      <c r="Z141" s="1879" t="s">
        <v>565</v>
      </c>
      <c r="AA141" s="1855">
        <v>933000000</v>
      </c>
      <c r="AB141" s="1880">
        <v>0</v>
      </c>
      <c r="AC141" s="1855"/>
      <c r="AD141" s="1878"/>
      <c r="AE141" s="1855"/>
      <c r="AF141" s="1878"/>
      <c r="AG141" s="1855">
        <v>0</v>
      </c>
      <c r="AH141" s="1880">
        <v>2015</v>
      </c>
      <c r="AI141" s="3132" t="s">
        <v>923</v>
      </c>
      <c r="AJ141" s="3216" t="s">
        <v>21</v>
      </c>
      <c r="AK141" s="3216" t="s">
        <v>21</v>
      </c>
      <c r="AL141" s="3216" t="s">
        <v>21</v>
      </c>
      <c r="AM141" s="2583"/>
      <c r="AN141" s="3217" t="s">
        <v>603</v>
      </c>
      <c r="AO141" s="3217" t="s">
        <v>603</v>
      </c>
      <c r="AP141" s="3216" t="s">
        <v>570</v>
      </c>
      <c r="AQ141" s="2228"/>
      <c r="AR141" s="3215" t="s">
        <v>719</v>
      </c>
      <c r="AS141" s="2132"/>
      <c r="AT141" s="1855">
        <v>933000000</v>
      </c>
      <c r="AU141" s="1876" t="s">
        <v>55</v>
      </c>
      <c r="AV141" s="1876">
        <f>BB[[#This Row],[NILAI PINJAMAN KONFIRMASI BILA-MULTI]]</f>
        <v>933000000</v>
      </c>
      <c r="AW141" s="3160" t="s">
        <v>21</v>
      </c>
      <c r="AX141" s="1879" t="s">
        <v>565</v>
      </c>
      <c r="AY141" s="3215" t="s">
        <v>913</v>
      </c>
      <c r="AZ141" s="2132"/>
      <c r="BA141" s="3194" t="s">
        <v>921</v>
      </c>
      <c r="BB141" s="2261"/>
    </row>
    <row r="142" spans="1:54" s="2517" customFormat="1" ht="20.100000000000001" customHeight="1">
      <c r="A142" s="2542">
        <v>104</v>
      </c>
      <c r="B142" s="2543"/>
      <c r="C142" s="2543"/>
      <c r="D142" s="2544" t="s">
        <v>17</v>
      </c>
      <c r="E142" s="2543">
        <v>7</v>
      </c>
      <c r="F142" s="2544" t="s">
        <v>311</v>
      </c>
      <c r="G142" s="1778"/>
      <c r="H142" s="2544" t="s">
        <v>315</v>
      </c>
      <c r="I142" s="2543" t="s">
        <v>23</v>
      </c>
      <c r="J142" s="2544" t="s">
        <v>314</v>
      </c>
      <c r="K142" s="2543">
        <v>2</v>
      </c>
      <c r="L142" s="2544" t="s">
        <v>325</v>
      </c>
      <c r="M142" s="2543">
        <v>0</v>
      </c>
      <c r="N142" s="2543">
        <v>0</v>
      </c>
      <c r="O142" s="2543">
        <v>1</v>
      </c>
      <c r="P142" s="2570">
        <v>0</v>
      </c>
      <c r="Q142" s="2543">
        <v>0</v>
      </c>
      <c r="R142" s="2543">
        <v>0</v>
      </c>
      <c r="S142" s="2543"/>
      <c r="T142" s="1854">
        <f>SUM(T143:T144)</f>
        <v>210600000</v>
      </c>
      <c r="U142" s="1854">
        <f>SUM(U143:U144)</f>
        <v>210600000</v>
      </c>
      <c r="V142" s="1854">
        <f>SUM(V143:V144)</f>
        <v>42600000</v>
      </c>
      <c r="W142" s="1854">
        <f>SUM(W143:W144)</f>
        <v>0</v>
      </c>
      <c r="X142" s="1854">
        <f>BB[[#This Row],[NILAI PINJAMAN DALAM BB]]+BB[[#This Row],[PENDAMPING BB]]+BB[[#This Row],[HIBAH BB]]</f>
        <v>253200000</v>
      </c>
      <c r="Y142" s="1862" t="s">
        <v>21</v>
      </c>
      <c r="Z142" s="1862"/>
      <c r="AA142" s="1854">
        <f>SUM(AA143:AA144)</f>
        <v>210600000</v>
      </c>
      <c r="AB142" s="1874"/>
      <c r="AC142" s="1854"/>
      <c r="AD142" s="1875"/>
      <c r="AE142" s="1854"/>
      <c r="AF142" s="1875"/>
      <c r="AG142" s="1854">
        <f>BB[[#This Row],[NILAI PINJAMAN PER LENDER]]-BB[[#This Row],[NILAI PINJAMAN DALAM BB]]</f>
        <v>0</v>
      </c>
      <c r="AH142" s="1874" t="s">
        <v>21</v>
      </c>
      <c r="AI142" s="3178" t="s">
        <v>21</v>
      </c>
      <c r="AJ142" s="3178" t="s">
        <v>21</v>
      </c>
      <c r="AK142" s="1778" t="s">
        <v>21</v>
      </c>
      <c r="AL142" s="1778" t="s">
        <v>21</v>
      </c>
      <c r="AM142" s="1874" t="s">
        <v>21</v>
      </c>
      <c r="AN142" s="1907" t="s">
        <v>21</v>
      </c>
      <c r="AO142" s="1907" t="s">
        <v>21</v>
      </c>
      <c r="AP142" s="1778"/>
      <c r="AQ142" s="1778"/>
      <c r="AR142" s="1778"/>
      <c r="AS142" s="1778"/>
      <c r="AT142" s="1854">
        <f>SUM(AT143:AT144)</f>
        <v>210600000</v>
      </c>
      <c r="AU142" s="1862" t="s">
        <v>21</v>
      </c>
      <c r="AV142" s="1862"/>
      <c r="AW142" s="3178" t="s">
        <v>21</v>
      </c>
      <c r="AX142" s="1862"/>
      <c r="AY142" s="1853" t="s">
        <v>913</v>
      </c>
      <c r="AZ142" s="1853"/>
      <c r="BA142" s="3155" t="s">
        <v>924</v>
      </c>
      <c r="BB142" s="2170"/>
    </row>
    <row r="143" spans="1:54" s="2517" customFormat="1" ht="20.100000000000001" customHeight="1">
      <c r="A143" s="2545">
        <v>105</v>
      </c>
      <c r="B143" s="2546"/>
      <c r="C143" s="2546"/>
      <c r="D143" s="2547" t="s">
        <v>17</v>
      </c>
      <c r="E143" s="2546">
        <v>7</v>
      </c>
      <c r="F143" s="2547" t="s">
        <v>311</v>
      </c>
      <c r="G143" s="1788"/>
      <c r="H143" s="2547" t="s">
        <v>315</v>
      </c>
      <c r="I143" s="2549" t="s">
        <v>23</v>
      </c>
      <c r="J143" s="2547" t="s">
        <v>314</v>
      </c>
      <c r="K143" s="2546">
        <v>2</v>
      </c>
      <c r="L143" s="2547" t="s">
        <v>925</v>
      </c>
      <c r="M143" s="2546">
        <v>1</v>
      </c>
      <c r="N143" s="2546">
        <v>1</v>
      </c>
      <c r="O143" s="2546">
        <v>2</v>
      </c>
      <c r="P143" s="2573">
        <v>1</v>
      </c>
      <c r="Q143" s="2549">
        <v>1</v>
      </c>
      <c r="R143" s="2549">
        <v>1</v>
      </c>
      <c r="S143" s="2549">
        <v>93</v>
      </c>
      <c r="T143" s="1855">
        <v>6600000</v>
      </c>
      <c r="U143" s="1855">
        <v>6600000</v>
      </c>
      <c r="V143" s="1855">
        <v>600000</v>
      </c>
      <c r="W143" s="1855">
        <v>0</v>
      </c>
      <c r="X143" s="1855">
        <f>+BB[[#This Row],[NILAI PINJAMAN DALAM BB]]+BB[[#This Row],[PENDAMPING BB]]+BB[[#This Row],[HIBAH BB]]</f>
        <v>7200000</v>
      </c>
      <c r="Y143" s="1876" t="s">
        <v>55</v>
      </c>
      <c r="Z143" s="1879" t="s">
        <v>565</v>
      </c>
      <c r="AA143" s="1855">
        <v>6600000</v>
      </c>
      <c r="AB143" s="1877">
        <v>1</v>
      </c>
      <c r="AC143" s="1855">
        <v>6570000</v>
      </c>
      <c r="AD143" s="1878">
        <v>5364345.07</v>
      </c>
      <c r="AE143" s="1855"/>
      <c r="AF143" s="1878">
        <f>BB[[#This Row],[NILAI PINJAMAN DALAM BB]]-BB[[#This Row],[NILAI PINJAMAN DI LOAN AGREEMENT]]</f>
        <v>1235654.9299999997</v>
      </c>
      <c r="AG143" s="1855">
        <v>0</v>
      </c>
      <c r="AH143" s="1877">
        <v>2015</v>
      </c>
      <c r="AI143" s="3132" t="s">
        <v>926</v>
      </c>
      <c r="AJ143" s="3198" t="s">
        <v>328</v>
      </c>
      <c r="AK143" s="1912" t="s">
        <v>329</v>
      </c>
      <c r="AL143" s="1912" t="s">
        <v>330</v>
      </c>
      <c r="AM143" s="2583">
        <v>2015</v>
      </c>
      <c r="AN143" s="1919" t="s">
        <v>568</v>
      </c>
      <c r="AO143" s="3217" t="s">
        <v>645</v>
      </c>
      <c r="AP143" s="1912" t="s">
        <v>570</v>
      </c>
      <c r="AQ143" s="1912"/>
      <c r="AR143" s="2132" t="s">
        <v>927</v>
      </c>
      <c r="AS143" s="2132" t="s">
        <v>586</v>
      </c>
      <c r="AT143" s="1855">
        <v>6600000</v>
      </c>
      <c r="AU143" s="1876" t="s">
        <v>55</v>
      </c>
      <c r="AV143" s="1876">
        <v>0</v>
      </c>
      <c r="AW143" s="3198" t="s">
        <v>21</v>
      </c>
      <c r="AX143" s="1879" t="s">
        <v>565</v>
      </c>
      <c r="AY143" s="91" t="s">
        <v>913</v>
      </c>
      <c r="AZ143" s="91"/>
      <c r="BA143" s="2149" t="s">
        <v>928</v>
      </c>
      <c r="BB143" s="2170"/>
    </row>
    <row r="144" spans="1:54" s="2517" customFormat="1" ht="20.100000000000001" customHeight="1">
      <c r="A144" s="2545">
        <v>106</v>
      </c>
      <c r="B144" s="2546"/>
      <c r="C144" s="2546"/>
      <c r="D144" s="2547" t="s">
        <v>17</v>
      </c>
      <c r="E144" s="2546">
        <v>7</v>
      </c>
      <c r="F144" s="2547" t="s">
        <v>311</v>
      </c>
      <c r="G144" s="1788"/>
      <c r="H144" s="2547" t="s">
        <v>315</v>
      </c>
      <c r="I144" s="2549" t="s">
        <v>23</v>
      </c>
      <c r="J144" s="2547" t="s">
        <v>314</v>
      </c>
      <c r="K144" s="2546">
        <v>2</v>
      </c>
      <c r="L144" s="2547" t="s">
        <v>929</v>
      </c>
      <c r="M144" s="2546">
        <v>1</v>
      </c>
      <c r="N144" s="2546">
        <v>1</v>
      </c>
      <c r="O144" s="2546">
        <v>2</v>
      </c>
      <c r="P144" s="2573">
        <v>1</v>
      </c>
      <c r="Q144" s="2549">
        <v>1</v>
      </c>
      <c r="R144" s="2549">
        <v>1</v>
      </c>
      <c r="S144" s="2549">
        <v>94</v>
      </c>
      <c r="T144" s="1855">
        <v>204000000</v>
      </c>
      <c r="U144" s="1855">
        <v>204000000</v>
      </c>
      <c r="V144" s="1855">
        <v>42000000</v>
      </c>
      <c r="W144" s="1855">
        <v>0</v>
      </c>
      <c r="X144" s="1855">
        <f>+BB[[#This Row],[NILAI PINJAMAN DALAM BB]]+BB[[#This Row],[PENDAMPING BB]]+BB[[#This Row],[HIBAH BB]]</f>
        <v>246000000</v>
      </c>
      <c r="Y144" s="1876" t="s">
        <v>55</v>
      </c>
      <c r="Z144" s="1879" t="s">
        <v>565</v>
      </c>
      <c r="AA144" s="1855">
        <v>204000000</v>
      </c>
      <c r="AB144" s="1877">
        <v>0</v>
      </c>
      <c r="AC144" s="1855"/>
      <c r="AD144" s="1878"/>
      <c r="AE144" s="1855"/>
      <c r="AF144" s="1878"/>
      <c r="AG144" s="1855">
        <v>0</v>
      </c>
      <c r="AH144" s="1877">
        <v>2015</v>
      </c>
      <c r="AI144" s="3198" t="s">
        <v>21</v>
      </c>
      <c r="AJ144" s="3198" t="s">
        <v>21</v>
      </c>
      <c r="AK144" s="3198" t="s">
        <v>21</v>
      </c>
      <c r="AL144" s="3198" t="s">
        <v>21</v>
      </c>
      <c r="AM144" s="2583"/>
      <c r="AN144" s="3217" t="s">
        <v>603</v>
      </c>
      <c r="AO144" s="3217" t="s">
        <v>603</v>
      </c>
      <c r="AP144" s="1912" t="s">
        <v>570</v>
      </c>
      <c r="AQ144" s="1912"/>
      <c r="AR144" s="3215" t="s">
        <v>571</v>
      </c>
      <c r="AS144" s="2132"/>
      <c r="AT144" s="1855">
        <v>204000000</v>
      </c>
      <c r="AU144" s="1876" t="s">
        <v>55</v>
      </c>
      <c r="AV144" s="1876">
        <f>BB[[#This Row],[NILAI PINJAMAN KONFIRMASI BILA-MULTI]]</f>
        <v>204000000</v>
      </c>
      <c r="AW144" s="3216" t="s">
        <v>21</v>
      </c>
      <c r="AX144" s="1879" t="s">
        <v>565</v>
      </c>
      <c r="AY144" s="1970" t="s">
        <v>913</v>
      </c>
      <c r="AZ144" s="1970"/>
      <c r="BA144" s="3177" t="s">
        <v>930</v>
      </c>
      <c r="BB144" s="2170"/>
    </row>
    <row r="145" spans="1:54" s="2517" customFormat="1" ht="20.100000000000001" customHeight="1">
      <c r="A145" s="2548">
        <v>107</v>
      </c>
      <c r="B145" s="2549"/>
      <c r="C145" s="2549"/>
      <c r="D145" s="2550" t="s">
        <v>17</v>
      </c>
      <c r="E145" s="2549">
        <v>7</v>
      </c>
      <c r="F145" s="2550" t="s">
        <v>311</v>
      </c>
      <c r="G145" s="1788"/>
      <c r="H145" s="2550" t="s">
        <v>315</v>
      </c>
      <c r="I145" s="2549" t="s">
        <v>23</v>
      </c>
      <c r="J145" s="2550" t="s">
        <v>314</v>
      </c>
      <c r="K145" s="2549">
        <v>3</v>
      </c>
      <c r="L145" s="2550" t="s">
        <v>332</v>
      </c>
      <c r="M145" s="2549">
        <v>1</v>
      </c>
      <c r="N145" s="2549">
        <v>1</v>
      </c>
      <c r="O145" s="2549">
        <v>0</v>
      </c>
      <c r="P145" s="2573">
        <v>1</v>
      </c>
      <c r="Q145" s="2549">
        <v>1</v>
      </c>
      <c r="R145" s="2549">
        <v>1</v>
      </c>
      <c r="S145" s="2549">
        <v>95</v>
      </c>
      <c r="T145" s="1856">
        <v>280000000</v>
      </c>
      <c r="U145" s="1856">
        <v>280000000</v>
      </c>
      <c r="V145" s="1856">
        <v>20000000</v>
      </c>
      <c r="W145" s="1856">
        <v>0</v>
      </c>
      <c r="X145" s="1856">
        <f t="shared" ref="X145:X150" si="14">T145+V145+W145</f>
        <v>300000000</v>
      </c>
      <c r="Y145" s="1879" t="s">
        <v>91</v>
      </c>
      <c r="Z145" s="1879" t="s">
        <v>565</v>
      </c>
      <c r="AA145" s="1856">
        <f>T145</f>
        <v>280000000</v>
      </c>
      <c r="AB145" s="1880"/>
      <c r="AC145" s="1856"/>
      <c r="AD145" s="1881"/>
      <c r="AE145" s="1856"/>
      <c r="AF145" s="1881"/>
      <c r="AG145" s="1856">
        <v>0</v>
      </c>
      <c r="AH145" s="1880">
        <v>2016</v>
      </c>
      <c r="AI145" s="3137" t="s">
        <v>21</v>
      </c>
      <c r="AJ145" s="1788" t="s">
        <v>333</v>
      </c>
      <c r="AK145" s="1788" t="s">
        <v>334</v>
      </c>
      <c r="AL145" s="2011" t="s">
        <v>294</v>
      </c>
      <c r="AM145" s="1880"/>
      <c r="AN145" s="2225" t="s">
        <v>702</v>
      </c>
      <c r="AO145" s="1919" t="s">
        <v>729</v>
      </c>
      <c r="AP145" s="1912" t="s">
        <v>570</v>
      </c>
      <c r="AQ145" s="1912"/>
      <c r="AR145" s="3132" t="s">
        <v>931</v>
      </c>
      <c r="AS145" s="1911"/>
      <c r="AT145" s="1856">
        <v>280000000</v>
      </c>
      <c r="AU145" s="1879" t="s">
        <v>91</v>
      </c>
      <c r="AV145" s="1876">
        <f>BB[[#This Row],[NILAI PINJAMAN KONFIRMASI BILA-MULTI]]</f>
        <v>280000000</v>
      </c>
      <c r="AW145" s="1778" t="s">
        <v>21</v>
      </c>
      <c r="AX145" s="1879" t="s">
        <v>565</v>
      </c>
      <c r="AY145" s="3163" t="s">
        <v>932</v>
      </c>
      <c r="AZ145" s="1974"/>
      <c r="BA145" s="3177" t="s">
        <v>933</v>
      </c>
      <c r="BB145" s="2170"/>
    </row>
    <row r="146" spans="1:54" s="2517" customFormat="1" ht="20.100000000000001" customHeight="1">
      <c r="A146" s="2548">
        <v>108</v>
      </c>
      <c r="B146" s="2549"/>
      <c r="C146" s="2549"/>
      <c r="D146" s="2550" t="s">
        <v>17</v>
      </c>
      <c r="E146" s="2549">
        <v>7</v>
      </c>
      <c r="F146" s="2550" t="s">
        <v>311</v>
      </c>
      <c r="G146" s="1788"/>
      <c r="H146" s="2550" t="s">
        <v>315</v>
      </c>
      <c r="I146" s="2549" t="s">
        <v>23</v>
      </c>
      <c r="J146" s="2550" t="s">
        <v>314</v>
      </c>
      <c r="K146" s="2549">
        <v>4</v>
      </c>
      <c r="L146" s="2550" t="s">
        <v>336</v>
      </c>
      <c r="M146" s="2549">
        <v>1</v>
      </c>
      <c r="N146" s="2549">
        <v>1</v>
      </c>
      <c r="O146" s="2549">
        <v>0</v>
      </c>
      <c r="P146" s="2573">
        <v>1</v>
      </c>
      <c r="Q146" s="2549">
        <v>1</v>
      </c>
      <c r="R146" s="2549">
        <v>1</v>
      </c>
      <c r="S146" s="2549">
        <v>96</v>
      </c>
      <c r="T146" s="1856">
        <v>104000000</v>
      </c>
      <c r="U146" s="1856">
        <v>104000000</v>
      </c>
      <c r="V146" s="1856">
        <v>18000000</v>
      </c>
      <c r="W146" s="1856">
        <v>0</v>
      </c>
      <c r="X146" s="1856">
        <f t="shared" si="14"/>
        <v>122000000</v>
      </c>
      <c r="Y146" s="1879" t="s">
        <v>55</v>
      </c>
      <c r="Z146" s="1879" t="s">
        <v>565</v>
      </c>
      <c r="AA146" s="1856">
        <f>T146</f>
        <v>104000000</v>
      </c>
      <c r="AB146" s="1880"/>
      <c r="AC146" s="1856"/>
      <c r="AD146" s="1881"/>
      <c r="AE146" s="1856"/>
      <c r="AF146" s="1881"/>
      <c r="AG146" s="1856">
        <v>0</v>
      </c>
      <c r="AH146" s="1880">
        <v>2018</v>
      </c>
      <c r="AI146" s="3137" t="s">
        <v>21</v>
      </c>
      <c r="AJ146" s="1788" t="s">
        <v>337</v>
      </c>
      <c r="AK146" s="2229">
        <v>0.63</v>
      </c>
      <c r="AL146" s="3137" t="s">
        <v>338</v>
      </c>
      <c r="AM146" s="2583"/>
      <c r="AN146" s="1919" t="s">
        <v>608</v>
      </c>
      <c r="AO146" s="3186" t="s">
        <v>934</v>
      </c>
      <c r="AP146" s="1912" t="s">
        <v>570</v>
      </c>
      <c r="AQ146" s="1912"/>
      <c r="AR146" s="3209" t="s">
        <v>571</v>
      </c>
      <c r="AS146" s="2123"/>
      <c r="AT146" s="1856">
        <v>104000000</v>
      </c>
      <c r="AU146" s="1879" t="s">
        <v>55</v>
      </c>
      <c r="AV146" s="1876">
        <f>BB[[#This Row],[NILAI PINJAMAN KONFIRMASI BILA-MULTI]]</f>
        <v>104000000</v>
      </c>
      <c r="AW146" s="1912" t="s">
        <v>21</v>
      </c>
      <c r="AX146" s="1879" t="s">
        <v>565</v>
      </c>
      <c r="AY146" s="3161" t="s">
        <v>935</v>
      </c>
      <c r="AZ146" s="91"/>
      <c r="BA146" s="2149" t="s">
        <v>936</v>
      </c>
      <c r="BB146" s="2170"/>
    </row>
    <row r="147" spans="1:54" s="2517" customFormat="1" ht="20.100000000000001" customHeight="1">
      <c r="A147" s="2548">
        <v>109</v>
      </c>
      <c r="B147" s="2549"/>
      <c r="C147" s="2549"/>
      <c r="D147" s="2550" t="s">
        <v>17</v>
      </c>
      <c r="E147" s="2549">
        <v>7</v>
      </c>
      <c r="F147" s="2550" t="s">
        <v>311</v>
      </c>
      <c r="G147" s="1788"/>
      <c r="H147" s="2550" t="s">
        <v>315</v>
      </c>
      <c r="I147" s="2549" t="s">
        <v>23</v>
      </c>
      <c r="J147" s="2550" t="s">
        <v>314</v>
      </c>
      <c r="K147" s="2549">
        <v>5</v>
      </c>
      <c r="L147" s="2550" t="s">
        <v>340</v>
      </c>
      <c r="M147" s="2549">
        <v>1</v>
      </c>
      <c r="N147" s="2549">
        <v>1</v>
      </c>
      <c r="O147" s="2549">
        <v>0</v>
      </c>
      <c r="P147" s="2573">
        <v>1</v>
      </c>
      <c r="Q147" s="2549">
        <v>1</v>
      </c>
      <c r="R147" s="2549">
        <v>1</v>
      </c>
      <c r="S147" s="2549">
        <v>97</v>
      </c>
      <c r="T147" s="1856">
        <v>1845000000</v>
      </c>
      <c r="U147" s="1856">
        <v>1845000000</v>
      </c>
      <c r="V147" s="1856">
        <v>333000000</v>
      </c>
      <c r="W147" s="1856">
        <v>0</v>
      </c>
      <c r="X147" s="1856">
        <f t="shared" si="14"/>
        <v>2178000000</v>
      </c>
      <c r="Y147" s="1879" t="s">
        <v>55</v>
      </c>
      <c r="Z147" s="1879" t="s">
        <v>565</v>
      </c>
      <c r="AA147" s="1856">
        <f>T147</f>
        <v>1845000000</v>
      </c>
      <c r="AB147" s="1880"/>
      <c r="AC147" s="1856"/>
      <c r="AD147" s="1881"/>
      <c r="AE147" s="1856"/>
      <c r="AF147" s="1881"/>
      <c r="AG147" s="1856">
        <v>0</v>
      </c>
      <c r="AH147" s="1880">
        <v>2017</v>
      </c>
      <c r="AI147" s="3137" t="s">
        <v>21</v>
      </c>
      <c r="AJ147" s="91" t="s">
        <v>71</v>
      </c>
      <c r="AK147" s="1788" t="s">
        <v>341</v>
      </c>
      <c r="AL147" s="91" t="s">
        <v>342</v>
      </c>
      <c r="AM147" s="2583"/>
      <c r="AN147" s="1907" t="s">
        <v>568</v>
      </c>
      <c r="AO147" s="3207" t="s">
        <v>729</v>
      </c>
      <c r="AP147" s="1912" t="s">
        <v>570</v>
      </c>
      <c r="AQ147" s="1912"/>
      <c r="AR147" s="3209" t="s">
        <v>571</v>
      </c>
      <c r="AS147" s="2123"/>
      <c r="AT147" s="1856">
        <v>1845000000</v>
      </c>
      <c r="AU147" s="1879" t="s">
        <v>55</v>
      </c>
      <c r="AV147" s="1876">
        <f>BB[[#This Row],[NILAI PINJAMAN KONFIRMASI BILA-MULTI]]</f>
        <v>1845000000</v>
      </c>
      <c r="AW147" s="1912" t="s">
        <v>21</v>
      </c>
      <c r="AX147" s="1879" t="s">
        <v>565</v>
      </c>
      <c r="AY147" s="91" t="s">
        <v>913</v>
      </c>
      <c r="AZ147" s="91"/>
      <c r="BA147" s="2155" t="s">
        <v>937</v>
      </c>
      <c r="BB147" s="2170"/>
    </row>
    <row r="148" spans="1:54" s="2521" customFormat="1" ht="20.100000000000001" customHeight="1">
      <c r="A148" s="2548">
        <v>110</v>
      </c>
      <c r="B148" s="2549"/>
      <c r="C148" s="2549"/>
      <c r="D148" s="2550" t="s">
        <v>17</v>
      </c>
      <c r="E148" s="2549">
        <v>7</v>
      </c>
      <c r="F148" s="2550" t="s">
        <v>311</v>
      </c>
      <c r="G148" s="1788"/>
      <c r="H148" s="2550" t="s">
        <v>315</v>
      </c>
      <c r="I148" s="2549" t="s">
        <v>23</v>
      </c>
      <c r="J148" s="2550" t="s">
        <v>314</v>
      </c>
      <c r="K148" s="2549">
        <v>6</v>
      </c>
      <c r="L148" s="2550" t="s">
        <v>343</v>
      </c>
      <c r="M148" s="2549">
        <v>1</v>
      </c>
      <c r="N148" s="2549">
        <v>1</v>
      </c>
      <c r="O148" s="2549">
        <v>0</v>
      </c>
      <c r="P148" s="2573">
        <v>1</v>
      </c>
      <c r="Q148" s="2549">
        <v>1</v>
      </c>
      <c r="R148" s="2549">
        <v>1</v>
      </c>
      <c r="S148" s="2549">
        <v>98</v>
      </c>
      <c r="T148" s="1856">
        <v>200000000</v>
      </c>
      <c r="U148" s="1856">
        <v>200000000</v>
      </c>
      <c r="V148" s="1856">
        <v>0</v>
      </c>
      <c r="W148" s="1856">
        <v>0</v>
      </c>
      <c r="X148" s="1856">
        <f t="shared" si="14"/>
        <v>200000000</v>
      </c>
      <c r="Y148" s="1879" t="s">
        <v>62</v>
      </c>
      <c r="Z148" s="1879" t="s">
        <v>619</v>
      </c>
      <c r="AA148" s="1856">
        <v>200000000</v>
      </c>
      <c r="AB148" s="1880"/>
      <c r="AC148" s="1856"/>
      <c r="AD148" s="1881"/>
      <c r="AE148" s="1856"/>
      <c r="AF148" s="1881"/>
      <c r="AG148" s="1856">
        <v>0</v>
      </c>
      <c r="AH148" s="1880">
        <v>2017</v>
      </c>
      <c r="AI148" s="3137" t="s">
        <v>21</v>
      </c>
      <c r="AJ148" s="91" t="s">
        <v>71</v>
      </c>
      <c r="AK148" s="2229">
        <v>0.95</v>
      </c>
      <c r="AL148" s="1974" t="s">
        <v>344</v>
      </c>
      <c r="AM148" s="2583"/>
      <c r="AN148" s="1907" t="s">
        <v>568</v>
      </c>
      <c r="AO148" s="1919" t="s">
        <v>938</v>
      </c>
      <c r="AP148" s="1912" t="s">
        <v>570</v>
      </c>
      <c r="AQ148" s="1912"/>
      <c r="AR148" s="3209" t="s">
        <v>571</v>
      </c>
      <c r="AS148" s="2123"/>
      <c r="AT148" s="1856">
        <v>200000000</v>
      </c>
      <c r="AU148" s="1879" t="s">
        <v>62</v>
      </c>
      <c r="AV148" s="1876">
        <f>BB[[#This Row],[NILAI PINJAMAN KONFIRMASI BILA-MULTI]]</f>
        <v>200000000</v>
      </c>
      <c r="AW148" s="1912" t="s">
        <v>21</v>
      </c>
      <c r="AX148" s="1879" t="s">
        <v>619</v>
      </c>
      <c r="AY148" s="3163" t="s">
        <v>939</v>
      </c>
      <c r="AZ148" s="1974"/>
      <c r="BA148" s="1983" t="s">
        <v>940</v>
      </c>
      <c r="BB148" s="2265"/>
    </row>
    <row r="149" spans="1:54" s="2522" customFormat="1" ht="20.100000000000001" customHeight="1">
      <c r="A149" s="2548">
        <v>111</v>
      </c>
      <c r="B149" s="2549"/>
      <c r="C149" s="2549"/>
      <c r="D149" s="2550" t="s">
        <v>17</v>
      </c>
      <c r="E149" s="2549">
        <v>7</v>
      </c>
      <c r="F149" s="2550" t="s">
        <v>311</v>
      </c>
      <c r="G149" s="1788"/>
      <c r="H149" s="2550" t="s">
        <v>315</v>
      </c>
      <c r="I149" s="2549" t="s">
        <v>23</v>
      </c>
      <c r="J149" s="2550" t="s">
        <v>314</v>
      </c>
      <c r="K149" s="2549">
        <v>7</v>
      </c>
      <c r="L149" s="2550" t="s">
        <v>346</v>
      </c>
      <c r="M149" s="2549">
        <v>1</v>
      </c>
      <c r="N149" s="2549">
        <v>1</v>
      </c>
      <c r="O149" s="2549">
        <v>0</v>
      </c>
      <c r="P149" s="2573">
        <v>1</v>
      </c>
      <c r="Q149" s="2549">
        <v>1</v>
      </c>
      <c r="R149" s="2549">
        <v>1</v>
      </c>
      <c r="S149" s="2549">
        <v>99</v>
      </c>
      <c r="T149" s="1856">
        <v>205000000</v>
      </c>
      <c r="U149" s="1856">
        <v>205000000</v>
      </c>
      <c r="V149" s="1856">
        <v>45000000</v>
      </c>
      <c r="W149" s="1856">
        <v>0</v>
      </c>
      <c r="X149" s="1856">
        <f t="shared" si="14"/>
        <v>250000000</v>
      </c>
      <c r="Y149" s="1879" t="s">
        <v>117</v>
      </c>
      <c r="Z149" s="1879" t="s">
        <v>619</v>
      </c>
      <c r="AA149" s="1856">
        <v>205000000</v>
      </c>
      <c r="AB149" s="1880"/>
      <c r="AC149" s="1856"/>
      <c r="AD149" s="1881"/>
      <c r="AE149" s="1856"/>
      <c r="AF149" s="1881"/>
      <c r="AG149" s="1856">
        <f>+AA149-T149</f>
        <v>0</v>
      </c>
      <c r="AH149" s="1880" t="s">
        <v>617</v>
      </c>
      <c r="AI149" s="3137" t="s">
        <v>21</v>
      </c>
      <c r="AJ149" s="91" t="s">
        <v>347</v>
      </c>
      <c r="AK149" s="3137" t="s">
        <v>21</v>
      </c>
      <c r="AL149" s="3137" t="s">
        <v>21</v>
      </c>
      <c r="AM149" s="2583"/>
      <c r="AN149" s="1907" t="s">
        <v>568</v>
      </c>
      <c r="AO149" s="1910" t="s">
        <v>603</v>
      </c>
      <c r="AP149" s="1912" t="s">
        <v>570</v>
      </c>
      <c r="AQ149" s="1912"/>
      <c r="AR149" s="3209" t="s">
        <v>571</v>
      </c>
      <c r="AS149" s="2123"/>
      <c r="AT149" s="1856">
        <v>205000000</v>
      </c>
      <c r="AU149" s="1879" t="s">
        <v>117</v>
      </c>
      <c r="AV149" s="1876">
        <f>BB[[#This Row],[NILAI PINJAMAN KONFIRMASI BILA-MULTI]]</f>
        <v>205000000</v>
      </c>
      <c r="AW149" s="1912" t="s">
        <v>21</v>
      </c>
      <c r="AX149" s="1879" t="s">
        <v>619</v>
      </c>
      <c r="AY149" s="3161" t="s">
        <v>941</v>
      </c>
      <c r="AZ149" s="91"/>
      <c r="BA149" s="3194" t="s">
        <v>942</v>
      </c>
      <c r="BB149" s="2266"/>
    </row>
    <row r="150" spans="1:54" s="2522" customFormat="1" ht="20.100000000000001" customHeight="1">
      <c r="A150" s="2548">
        <v>112</v>
      </c>
      <c r="B150" s="2549"/>
      <c r="C150" s="2549"/>
      <c r="D150" s="2550" t="s">
        <v>17</v>
      </c>
      <c r="E150" s="2549">
        <v>7</v>
      </c>
      <c r="F150" s="2550" t="s">
        <v>311</v>
      </c>
      <c r="G150" s="1788"/>
      <c r="H150" s="2550" t="s">
        <v>315</v>
      </c>
      <c r="I150" s="2549" t="s">
        <v>23</v>
      </c>
      <c r="J150" s="2550" t="s">
        <v>314</v>
      </c>
      <c r="K150" s="2549">
        <v>8</v>
      </c>
      <c r="L150" s="2550" t="s">
        <v>349</v>
      </c>
      <c r="M150" s="2549">
        <v>1</v>
      </c>
      <c r="N150" s="2549">
        <v>1</v>
      </c>
      <c r="O150" s="2549">
        <v>0</v>
      </c>
      <c r="P150" s="2573">
        <v>1</v>
      </c>
      <c r="Q150" s="2549">
        <v>1</v>
      </c>
      <c r="R150" s="2549">
        <v>1</v>
      </c>
      <c r="S150" s="2549">
        <v>100</v>
      </c>
      <c r="T150" s="1856">
        <v>500000000</v>
      </c>
      <c r="U150" s="1856">
        <v>500000000</v>
      </c>
      <c r="V150" s="1856">
        <v>220000000</v>
      </c>
      <c r="W150" s="1856">
        <v>0</v>
      </c>
      <c r="X150" s="1856">
        <f t="shared" si="14"/>
        <v>720000000</v>
      </c>
      <c r="Y150" s="1879" t="s">
        <v>62</v>
      </c>
      <c r="Z150" s="1879" t="s">
        <v>619</v>
      </c>
      <c r="AA150" s="1856">
        <v>500000000</v>
      </c>
      <c r="AB150" s="1880"/>
      <c r="AC150" s="1856"/>
      <c r="AD150" s="1881"/>
      <c r="AE150" s="1856"/>
      <c r="AF150" s="1881"/>
      <c r="AG150" s="1856">
        <v>0</v>
      </c>
      <c r="AH150" s="1880">
        <v>2017</v>
      </c>
      <c r="AI150" s="3137" t="s">
        <v>21</v>
      </c>
      <c r="AJ150" s="91" t="s">
        <v>350</v>
      </c>
      <c r="AK150" s="3137" t="s">
        <v>21</v>
      </c>
      <c r="AL150" s="3137" t="s">
        <v>21</v>
      </c>
      <c r="AM150" s="2583"/>
      <c r="AN150" s="3186" t="s">
        <v>608</v>
      </c>
      <c r="AO150" s="1910" t="s">
        <v>603</v>
      </c>
      <c r="AP150" s="1912" t="s">
        <v>570</v>
      </c>
      <c r="AQ150" s="1912"/>
      <c r="AR150" s="3209" t="s">
        <v>571</v>
      </c>
      <c r="AS150" s="2123"/>
      <c r="AT150" s="1856">
        <v>500000000</v>
      </c>
      <c r="AU150" s="1879" t="s">
        <v>62</v>
      </c>
      <c r="AV150" s="1876">
        <f>BB[[#This Row],[NILAI PINJAMAN KONFIRMASI BILA-MULTI]]</f>
        <v>500000000</v>
      </c>
      <c r="AW150" s="1912" t="s">
        <v>21</v>
      </c>
      <c r="AX150" s="1879" t="s">
        <v>619</v>
      </c>
      <c r="AY150" s="3161" t="s">
        <v>943</v>
      </c>
      <c r="AZ150" s="91"/>
      <c r="BA150" s="3194" t="s">
        <v>944</v>
      </c>
      <c r="BB150" s="2266"/>
    </row>
    <row r="151" spans="1:54" s="2522" customFormat="1" ht="20.100000000000001" customHeight="1">
      <c r="A151" s="2563"/>
      <c r="B151" s="2549"/>
      <c r="C151" s="2549"/>
      <c r="D151" s="2550" t="s">
        <v>17</v>
      </c>
      <c r="E151" s="2549"/>
      <c r="F151" s="2550" t="s">
        <v>426</v>
      </c>
      <c r="G151" s="1788"/>
      <c r="H151" s="2550" t="s">
        <v>315</v>
      </c>
      <c r="I151" s="2549"/>
      <c r="J151" s="2550" t="s">
        <v>314</v>
      </c>
      <c r="K151" s="2550"/>
      <c r="L151" s="2550" t="s">
        <v>945</v>
      </c>
      <c r="M151" s="2549">
        <v>1</v>
      </c>
      <c r="N151" s="2549"/>
      <c r="O151" s="2549"/>
      <c r="P151" s="2573"/>
      <c r="Q151" s="2549"/>
      <c r="R151" s="2549"/>
      <c r="S151" s="2549"/>
      <c r="T151" s="1856">
        <v>0</v>
      </c>
      <c r="U151" s="77">
        <v>61600000</v>
      </c>
      <c r="V151" s="1603">
        <v>106510000</v>
      </c>
      <c r="W151" s="2204">
        <v>7700000</v>
      </c>
      <c r="X151" s="2067">
        <f>BB[[#This Row],[NILAI PINJAMAN DALAM BB (PERUBAHAN)]]+BB[[#This Row],[PENDAMPING BB]]+BB[[#This Row],[HIBAH BB]]</f>
        <v>175810000</v>
      </c>
      <c r="Y151" s="2071" t="s">
        <v>633</v>
      </c>
      <c r="Z151" s="2072" t="s">
        <v>633</v>
      </c>
      <c r="AA151" s="2094">
        <f>BB[[#This Row],[NILAI PINJAMAN DALAM BB (PERUBAHAN)]]</f>
        <v>61600000</v>
      </c>
      <c r="AB151" s="1880"/>
      <c r="AC151" s="1680"/>
      <c r="AD151" s="2074"/>
      <c r="AE151" s="2075"/>
      <c r="AF151" s="2074"/>
      <c r="AG151" s="1856"/>
      <c r="AH151" s="1880"/>
      <c r="AI151" s="2102"/>
      <c r="AJ151" s="2011"/>
      <c r="AK151" s="2011"/>
      <c r="AL151" s="2011"/>
      <c r="AM151" s="2583"/>
      <c r="AN151" s="3202" t="s">
        <v>603</v>
      </c>
      <c r="AO151" s="1925" t="s">
        <v>603</v>
      </c>
      <c r="AP151" s="2011" t="s">
        <v>570</v>
      </c>
      <c r="AQ151" s="1912"/>
      <c r="AR151" s="3210" t="s">
        <v>571</v>
      </c>
      <c r="AS151" s="2143"/>
      <c r="AT151" s="2143">
        <v>61600000</v>
      </c>
      <c r="AU151" s="1903" t="s">
        <v>91</v>
      </c>
      <c r="AV151" s="1876">
        <f>BB[[#This Row],[NILAI PINJAMAN KONFIRMASI BILA-MULTI]]</f>
        <v>61600000</v>
      </c>
      <c r="AW151" s="2143"/>
      <c r="AX151" s="2182"/>
      <c r="AY151" s="260"/>
      <c r="AZ151" s="91"/>
      <c r="BA151" s="2149"/>
      <c r="BB151" s="2266"/>
    </row>
    <row r="152" spans="1:54" s="2522" customFormat="1" ht="20.100000000000001" customHeight="1">
      <c r="A152" s="2563"/>
      <c r="B152" s="2549"/>
      <c r="C152" s="2549"/>
      <c r="D152" s="2550" t="s">
        <v>17</v>
      </c>
      <c r="E152" s="2549"/>
      <c r="F152" s="2550" t="s">
        <v>946</v>
      </c>
      <c r="G152" s="1788"/>
      <c r="H152" s="2550" t="s">
        <v>947</v>
      </c>
      <c r="I152" s="2549"/>
      <c r="J152" s="2550" t="s">
        <v>948</v>
      </c>
      <c r="K152" s="2550"/>
      <c r="L152" s="2550" t="s">
        <v>949</v>
      </c>
      <c r="M152" s="2549">
        <v>1</v>
      </c>
      <c r="N152" s="2549"/>
      <c r="O152" s="2549"/>
      <c r="P152" s="2573"/>
      <c r="Q152" s="2549"/>
      <c r="R152" s="2549"/>
      <c r="S152" s="2549"/>
      <c r="T152" s="1856">
        <v>0</v>
      </c>
      <c r="U152" s="77">
        <v>225000000</v>
      </c>
      <c r="V152" s="1603">
        <v>0</v>
      </c>
      <c r="W152" s="2204">
        <v>0</v>
      </c>
      <c r="X152" s="2067">
        <f>BB[[#This Row],[NILAI PINJAMAN DALAM BB (PERUBAHAN)]]+BB[[#This Row],[PENDAMPING BB]]+BB[[#This Row],[HIBAH BB]]</f>
        <v>225000000</v>
      </c>
      <c r="Y152" s="2212" t="s">
        <v>633</v>
      </c>
      <c r="Z152" s="2084" t="s">
        <v>633</v>
      </c>
      <c r="AA152" s="2094">
        <f>BB[[#This Row],[NILAI PINJAMAN DALAM BB (PERUBAHAN)]]</f>
        <v>225000000</v>
      </c>
      <c r="AB152" s="1880"/>
      <c r="AC152" s="1680"/>
      <c r="AD152" s="2074"/>
      <c r="AE152" s="2075"/>
      <c r="AF152" s="2074"/>
      <c r="AG152" s="1856"/>
      <c r="AH152" s="1880"/>
      <c r="AI152" s="2102"/>
      <c r="AJ152" s="2011"/>
      <c r="AK152" s="2011"/>
      <c r="AL152" s="2011"/>
      <c r="AM152" s="2583"/>
      <c r="AN152" s="3202" t="s">
        <v>603</v>
      </c>
      <c r="AO152" s="1925" t="s">
        <v>603</v>
      </c>
      <c r="AP152" s="2011" t="s">
        <v>570</v>
      </c>
      <c r="AQ152" s="1912"/>
      <c r="AR152" s="3210" t="s">
        <v>571</v>
      </c>
      <c r="AS152" s="2143"/>
      <c r="AT152" s="2143">
        <v>225000000</v>
      </c>
      <c r="AU152" s="2084" t="s">
        <v>633</v>
      </c>
      <c r="AV152" s="1876">
        <f>BB[[#This Row],[NILAI PINJAMAN KONFIRMASI BILA-MULTI]]</f>
        <v>225000000</v>
      </c>
      <c r="AW152" s="2143"/>
      <c r="AX152" s="2182"/>
      <c r="AY152" s="260"/>
      <c r="AZ152" s="91"/>
      <c r="BA152" s="2149"/>
      <c r="BB152" s="2266"/>
    </row>
    <row r="153" spans="1:54" s="2523" customFormat="1" ht="20.100000000000001" customHeight="1">
      <c r="A153" s="2594"/>
      <c r="B153" s="2595"/>
      <c r="C153" s="2595"/>
      <c r="D153" s="2596" t="s">
        <v>17</v>
      </c>
      <c r="E153" s="2595"/>
      <c r="F153" s="2596" t="s">
        <v>950</v>
      </c>
      <c r="G153" s="2030"/>
      <c r="H153" s="2596" t="s">
        <v>951</v>
      </c>
      <c r="I153" s="2595"/>
      <c r="J153" s="2596" t="s">
        <v>952</v>
      </c>
      <c r="K153" s="2596"/>
      <c r="L153" s="2196" t="s">
        <v>953</v>
      </c>
      <c r="M153" s="2594">
        <v>0</v>
      </c>
      <c r="N153" s="2595"/>
      <c r="O153" s="2595"/>
      <c r="P153" s="2605"/>
      <c r="Q153" s="2595"/>
      <c r="R153" s="2595"/>
      <c r="S153" s="2595"/>
      <c r="T153" s="2065">
        <v>0</v>
      </c>
      <c r="U153" s="1997">
        <v>300000000</v>
      </c>
      <c r="V153" s="2206">
        <v>0</v>
      </c>
      <c r="W153" s="2207">
        <v>0</v>
      </c>
      <c r="X153" s="2066">
        <f>BB[[#This Row],[NILAI PINJAMAN DALAM BB (PERUBAHAN)]]+BB[[#This Row],[PENDAMPING BB]]+BB[[#This Row],[HIBAH BB]]</f>
        <v>300000000</v>
      </c>
      <c r="Y153" s="2066"/>
      <c r="Z153" s="2081"/>
      <c r="AA153" s="2081"/>
      <c r="AB153" s="2082"/>
      <c r="AC153" s="2087"/>
      <c r="AD153" s="2088"/>
      <c r="AE153" s="2089"/>
      <c r="AF153" s="2088"/>
      <c r="AG153" s="2065"/>
      <c r="AH153" s="2082"/>
      <c r="AI153" s="2113"/>
      <c r="AJ153" s="2113"/>
      <c r="AK153" s="2113"/>
      <c r="AL153" s="2113"/>
      <c r="AM153" s="2619" t="s">
        <v>622</v>
      </c>
      <c r="AN153" s="2113"/>
      <c r="AO153" s="2113"/>
      <c r="AP153" s="2113" t="s">
        <v>21</v>
      </c>
      <c r="AQ153" s="2247"/>
      <c r="AR153" s="3218" t="s">
        <v>21</v>
      </c>
      <c r="AS153" s="2248"/>
      <c r="AT153" s="2248"/>
      <c r="AU153" s="2247" t="s">
        <v>21</v>
      </c>
      <c r="AV153" s="2248"/>
      <c r="AW153" s="2248"/>
      <c r="AX153" s="2267"/>
      <c r="AY153" s="2177"/>
      <c r="AZ153" s="1997"/>
      <c r="BA153" s="2173"/>
      <c r="BB153" s="2268"/>
    </row>
    <row r="154" spans="1:54" s="2524" customFormat="1" ht="20.100000000000001" customHeight="1">
      <c r="A154" s="2539"/>
      <c r="B154" s="2540"/>
      <c r="C154" s="2540"/>
      <c r="D154" s="2541" t="s">
        <v>17</v>
      </c>
      <c r="E154" s="2540"/>
      <c r="F154" s="2541" t="s">
        <v>950</v>
      </c>
      <c r="G154" s="1908"/>
      <c r="H154" s="2541" t="s">
        <v>951</v>
      </c>
      <c r="I154" s="2540"/>
      <c r="J154" s="2541" t="s">
        <v>952</v>
      </c>
      <c r="K154" s="2541"/>
      <c r="L154" s="2197" t="s">
        <v>953</v>
      </c>
      <c r="M154" s="2539">
        <v>0.5</v>
      </c>
      <c r="N154" s="2540"/>
      <c r="O154" s="2540"/>
      <c r="P154" s="2568"/>
      <c r="Q154" s="2540"/>
      <c r="R154" s="2540"/>
      <c r="S154" s="2540"/>
      <c r="T154" s="1852">
        <v>0</v>
      </c>
      <c r="U154" s="1851">
        <v>300000000</v>
      </c>
      <c r="V154" s="2208">
        <v>0</v>
      </c>
      <c r="W154" s="2209">
        <v>0</v>
      </c>
      <c r="X154" s="1898">
        <f>BB[[#This Row],[NILAI PINJAMAN DALAM BB (PERUBAHAN)]]+BB[[#This Row],[PENDAMPING BB]]+BB[[#This Row],[HIBAH BB]]</f>
        <v>300000000</v>
      </c>
      <c r="Y154" s="1898" t="s">
        <v>633</v>
      </c>
      <c r="Z154" s="1863" t="s">
        <v>633</v>
      </c>
      <c r="AA154" s="1863">
        <f>BB[[#This Row],[NILAI PINJAMAN DALAM BB (PERUBAHAN)]]</f>
        <v>300000000</v>
      </c>
      <c r="AB154" s="1872"/>
      <c r="AC154" s="2214"/>
      <c r="AD154" s="2215"/>
      <c r="AE154" s="2216"/>
      <c r="AF154" s="2215"/>
      <c r="AG154" s="1852"/>
      <c r="AH154" s="1872"/>
      <c r="AI154" s="2230"/>
      <c r="AJ154" s="2230"/>
      <c r="AK154" s="2230"/>
      <c r="AL154" s="2230"/>
      <c r="AM154" s="2608" t="s">
        <v>622</v>
      </c>
      <c r="AN154" s="3219" t="s">
        <v>568</v>
      </c>
      <c r="AO154" s="2230" t="s">
        <v>568</v>
      </c>
      <c r="AP154" s="2230" t="s">
        <v>570</v>
      </c>
      <c r="AQ154" s="1908"/>
      <c r="AR154" s="3220" t="s">
        <v>21</v>
      </c>
      <c r="AS154" s="2249"/>
      <c r="AT154" s="2249">
        <v>200000000</v>
      </c>
      <c r="AU154" s="1863" t="s">
        <v>62</v>
      </c>
      <c r="AV154" s="2214">
        <f>BB[[#This Row],[NILAI PINJAMAN KONFIRMASI BILA-MULTI]]</f>
        <v>200000000</v>
      </c>
      <c r="AW154" s="2249" t="s">
        <v>954</v>
      </c>
      <c r="AX154" s="2269"/>
      <c r="AY154" s="2270"/>
      <c r="AZ154" s="1851"/>
      <c r="BA154" s="1962"/>
      <c r="BB154" s="2271"/>
    </row>
    <row r="155" spans="1:54" s="2524" customFormat="1" ht="20.100000000000001" customHeight="1">
      <c r="A155" s="2539"/>
      <c r="B155" s="2540"/>
      <c r="C155" s="2540"/>
      <c r="D155" s="2541" t="s">
        <v>17</v>
      </c>
      <c r="E155" s="2540"/>
      <c r="F155" s="2541" t="s">
        <v>950</v>
      </c>
      <c r="G155" s="1908"/>
      <c r="H155" s="2541" t="s">
        <v>951</v>
      </c>
      <c r="I155" s="2540"/>
      <c r="J155" s="2541" t="s">
        <v>952</v>
      </c>
      <c r="K155" s="2541"/>
      <c r="L155" s="2197" t="s">
        <v>953</v>
      </c>
      <c r="M155" s="2539">
        <v>0.5</v>
      </c>
      <c r="N155" s="2540"/>
      <c r="O155" s="2540"/>
      <c r="P155" s="2568"/>
      <c r="Q155" s="2540"/>
      <c r="R155" s="2540"/>
      <c r="S155" s="2540"/>
      <c r="T155" s="1852">
        <v>0</v>
      </c>
      <c r="U155" s="1851">
        <v>300000000</v>
      </c>
      <c r="V155" s="2208">
        <v>0</v>
      </c>
      <c r="W155" s="2209">
        <v>0</v>
      </c>
      <c r="X155" s="1898">
        <f>BB[[#This Row],[NILAI PINJAMAN DALAM BB (PERUBAHAN)]]+BB[[#This Row],[PENDAMPING BB]]+BB[[#This Row],[HIBAH BB]]</f>
        <v>300000000</v>
      </c>
      <c r="Y155" s="1898" t="s">
        <v>633</v>
      </c>
      <c r="Z155" s="1863" t="s">
        <v>633</v>
      </c>
      <c r="AA155" s="1863">
        <f>BB[[#This Row],[NILAI PINJAMAN DALAM BB (PERUBAHAN)]]</f>
        <v>300000000</v>
      </c>
      <c r="AB155" s="1872"/>
      <c r="AC155" s="2214"/>
      <c r="AD155" s="2215"/>
      <c r="AE155" s="2216"/>
      <c r="AF155" s="2215"/>
      <c r="AG155" s="1852"/>
      <c r="AH155" s="1872"/>
      <c r="AI155" s="2230"/>
      <c r="AJ155" s="2230"/>
      <c r="AK155" s="2230"/>
      <c r="AL155" s="2230"/>
      <c r="AM155" s="2608" t="s">
        <v>622</v>
      </c>
      <c r="AN155" s="3219" t="s">
        <v>568</v>
      </c>
      <c r="AO155" s="2230" t="s">
        <v>568</v>
      </c>
      <c r="AP155" s="2230" t="s">
        <v>570</v>
      </c>
      <c r="AQ155" s="1908"/>
      <c r="AR155" s="3220" t="s">
        <v>21</v>
      </c>
      <c r="AS155" s="2249"/>
      <c r="AT155" s="2249">
        <v>100000000</v>
      </c>
      <c r="AU155" s="1863" t="s">
        <v>117</v>
      </c>
      <c r="AV155" s="2214">
        <f>BB[[#This Row],[NILAI PINJAMAN KONFIRMASI BILA-MULTI]]</f>
        <v>100000000</v>
      </c>
      <c r="AW155" s="2249" t="s">
        <v>955</v>
      </c>
      <c r="AX155" s="2269"/>
      <c r="AY155" s="2270"/>
      <c r="AZ155" s="1851"/>
      <c r="BA155" s="1962"/>
      <c r="BB155" s="2271"/>
    </row>
    <row r="156" spans="1:54" s="2525" customFormat="1" ht="25.5">
      <c r="A156" s="2594"/>
      <c r="B156" s="2595"/>
      <c r="C156" s="2595"/>
      <c r="D156" s="2596" t="s">
        <v>17</v>
      </c>
      <c r="E156" s="2595"/>
      <c r="F156" s="2596" t="s">
        <v>950</v>
      </c>
      <c r="G156" s="2030"/>
      <c r="H156" s="2596" t="s">
        <v>951</v>
      </c>
      <c r="I156" s="2595"/>
      <c r="J156" s="2596" t="s">
        <v>952</v>
      </c>
      <c r="K156" s="2596"/>
      <c r="L156" s="2198" t="s">
        <v>956</v>
      </c>
      <c r="M156" s="2594">
        <v>0</v>
      </c>
      <c r="N156" s="2595"/>
      <c r="O156" s="2595"/>
      <c r="P156" s="2605"/>
      <c r="Q156" s="2595"/>
      <c r="R156" s="2595"/>
      <c r="S156" s="2595"/>
      <c r="T156" s="2065">
        <v>0</v>
      </c>
      <c r="U156" s="1997">
        <v>500000000</v>
      </c>
      <c r="V156" s="2206">
        <v>0</v>
      </c>
      <c r="W156" s="2207">
        <v>0</v>
      </c>
      <c r="X156" s="2066">
        <f>BB[[#This Row],[NILAI PINJAMAN DALAM BB (PERUBAHAN)]]+BB[[#This Row],[PENDAMPING BB]]+BB[[#This Row],[HIBAH BB]]</f>
        <v>500000000</v>
      </c>
      <c r="Y156" s="2066"/>
      <c r="Z156" s="2081"/>
      <c r="AA156" s="2081"/>
      <c r="AB156" s="2082"/>
      <c r="AC156" s="2087"/>
      <c r="AD156" s="2088"/>
      <c r="AE156" s="2089"/>
      <c r="AF156" s="2088"/>
      <c r="AG156" s="2065"/>
      <c r="AH156" s="2082"/>
      <c r="AI156" s="2113"/>
      <c r="AJ156" s="2113"/>
      <c r="AK156" s="2113"/>
      <c r="AL156" s="2113"/>
      <c r="AM156" s="2619" t="s">
        <v>622</v>
      </c>
      <c r="AN156" s="2113"/>
      <c r="AO156" s="2113"/>
      <c r="AP156" s="2113" t="s">
        <v>21</v>
      </c>
      <c r="AQ156" s="2030"/>
      <c r="AR156" s="3221" t="s">
        <v>21</v>
      </c>
      <c r="AS156" s="2140"/>
      <c r="AT156" s="2140"/>
      <c r="AU156" s="2081" t="s">
        <v>21</v>
      </c>
      <c r="AV156" s="2087"/>
      <c r="AW156" s="2140"/>
      <c r="AX156" s="2176"/>
      <c r="AY156" s="2177"/>
      <c r="AZ156" s="1997"/>
      <c r="BA156" s="2173"/>
      <c r="BB156" s="2272"/>
    </row>
    <row r="157" spans="1:54" s="2524" customFormat="1" ht="25.5">
      <c r="A157" s="2539"/>
      <c r="B157" s="2540"/>
      <c r="C157" s="2540"/>
      <c r="D157" s="2541" t="s">
        <v>17</v>
      </c>
      <c r="E157" s="2540"/>
      <c r="F157" s="2541" t="s">
        <v>950</v>
      </c>
      <c r="G157" s="1908"/>
      <c r="H157" s="2541" t="s">
        <v>951</v>
      </c>
      <c r="I157" s="2540"/>
      <c r="J157" s="2541" t="s">
        <v>952</v>
      </c>
      <c r="K157" s="2541"/>
      <c r="L157" s="2199" t="s">
        <v>956</v>
      </c>
      <c r="M157" s="2539">
        <v>0.5</v>
      </c>
      <c r="N157" s="2540"/>
      <c r="O157" s="2540"/>
      <c r="P157" s="2568"/>
      <c r="Q157" s="2540"/>
      <c r="R157" s="2540"/>
      <c r="S157" s="2540"/>
      <c r="T157" s="1852">
        <v>0</v>
      </c>
      <c r="U157" s="1851">
        <v>500000000</v>
      </c>
      <c r="V157" s="2208">
        <v>0</v>
      </c>
      <c r="W157" s="2209">
        <v>0</v>
      </c>
      <c r="X157" s="1898">
        <f>BB[[#This Row],[NILAI PINJAMAN DALAM BB (PERUBAHAN)]]+BB[[#This Row],[PENDAMPING BB]]+BB[[#This Row],[HIBAH BB]]</f>
        <v>500000000</v>
      </c>
      <c r="Y157" s="1898" t="s">
        <v>633</v>
      </c>
      <c r="Z157" s="1863" t="s">
        <v>633</v>
      </c>
      <c r="AA157" s="1863">
        <f>BB[[#This Row],[TOTAL BB]]</f>
        <v>500000000</v>
      </c>
      <c r="AB157" s="1872"/>
      <c r="AC157" s="2214"/>
      <c r="AD157" s="2215"/>
      <c r="AE157" s="2216"/>
      <c r="AF157" s="2215"/>
      <c r="AG157" s="1852"/>
      <c r="AH157" s="1872"/>
      <c r="AI157" s="2230"/>
      <c r="AJ157" s="2230"/>
      <c r="AK157" s="2230"/>
      <c r="AL157" s="2230"/>
      <c r="AM157" s="2608" t="s">
        <v>622</v>
      </c>
      <c r="AN157" s="3219" t="s">
        <v>568</v>
      </c>
      <c r="AO157" s="2230" t="s">
        <v>568</v>
      </c>
      <c r="AP157" s="2230" t="s">
        <v>570</v>
      </c>
      <c r="AQ157" s="1908"/>
      <c r="AR157" s="3220" t="s">
        <v>21</v>
      </c>
      <c r="AS157" s="2249"/>
      <c r="AT157" s="2249">
        <v>100000000</v>
      </c>
      <c r="AU157" s="1863" t="s">
        <v>62</v>
      </c>
      <c r="AV157" s="2214">
        <f>BB[[#This Row],[NILAI PINJAMAN KONFIRMASI BILA-MULTI]]</f>
        <v>100000000</v>
      </c>
      <c r="AW157" s="2249" t="s">
        <v>957</v>
      </c>
      <c r="AX157" s="2269"/>
      <c r="AY157" s="2270"/>
      <c r="AZ157" s="1851"/>
      <c r="BA157" s="1962"/>
      <c r="BB157" s="2271"/>
    </row>
    <row r="158" spans="1:54" s="2524" customFormat="1" ht="25.5">
      <c r="A158" s="2539"/>
      <c r="B158" s="2540"/>
      <c r="C158" s="2540"/>
      <c r="D158" s="2541" t="s">
        <v>17</v>
      </c>
      <c r="E158" s="2540"/>
      <c r="F158" s="2541" t="s">
        <v>950</v>
      </c>
      <c r="G158" s="1908"/>
      <c r="H158" s="2541" t="s">
        <v>951</v>
      </c>
      <c r="I158" s="2540"/>
      <c r="J158" s="2541" t="s">
        <v>952</v>
      </c>
      <c r="K158" s="2541"/>
      <c r="L158" s="2199" t="s">
        <v>956</v>
      </c>
      <c r="M158" s="2539">
        <v>0.5</v>
      </c>
      <c r="N158" s="2540"/>
      <c r="O158" s="2540"/>
      <c r="P158" s="2568"/>
      <c r="Q158" s="2540"/>
      <c r="R158" s="2540"/>
      <c r="S158" s="2540"/>
      <c r="T158" s="1852">
        <v>0</v>
      </c>
      <c r="U158" s="1851">
        <v>500000000</v>
      </c>
      <c r="V158" s="2208">
        <v>0</v>
      </c>
      <c r="W158" s="2209">
        <v>0</v>
      </c>
      <c r="X158" s="1898">
        <f>BB[[#This Row],[NILAI PINJAMAN DALAM BB (PERUBAHAN)]]+BB[[#This Row],[PENDAMPING BB]]+BB[[#This Row],[HIBAH BB]]</f>
        <v>500000000</v>
      </c>
      <c r="Y158" s="1898" t="s">
        <v>633</v>
      </c>
      <c r="Z158" s="1863" t="s">
        <v>633</v>
      </c>
      <c r="AA158" s="1863">
        <f>BB[[#This Row],[TOTAL BB]]</f>
        <v>500000000</v>
      </c>
      <c r="AB158" s="1872"/>
      <c r="AC158" s="2214"/>
      <c r="AD158" s="2215"/>
      <c r="AE158" s="2216"/>
      <c r="AF158" s="2215"/>
      <c r="AG158" s="1852"/>
      <c r="AH158" s="1872"/>
      <c r="AI158" s="2230"/>
      <c r="AJ158" s="2230"/>
      <c r="AK158" s="2230"/>
      <c r="AL158" s="2230"/>
      <c r="AM158" s="2608" t="s">
        <v>622</v>
      </c>
      <c r="AN158" s="3219" t="s">
        <v>568</v>
      </c>
      <c r="AO158" s="2230" t="s">
        <v>568</v>
      </c>
      <c r="AP158" s="2230" t="s">
        <v>570</v>
      </c>
      <c r="AQ158" s="1908"/>
      <c r="AR158" s="3220" t="s">
        <v>21</v>
      </c>
      <c r="AS158" s="2249"/>
      <c r="AT158" s="2249">
        <v>100000000</v>
      </c>
      <c r="AU158" s="1863" t="s">
        <v>636</v>
      </c>
      <c r="AV158" s="2214">
        <f>BB[[#This Row],[NILAI PINJAMAN KONFIRMASI BILA-MULTI]]</f>
        <v>100000000</v>
      </c>
      <c r="AW158" s="2249" t="s">
        <v>958</v>
      </c>
      <c r="AX158" s="2269"/>
      <c r="AY158" s="2270"/>
      <c r="AZ158" s="1851"/>
      <c r="BA158" s="1962"/>
      <c r="BB158" s="2271"/>
    </row>
    <row r="159" spans="1:54" s="2526" customFormat="1" ht="20.100000000000001" customHeight="1">
      <c r="A159" s="2560"/>
      <c r="B159" s="2561"/>
      <c r="C159" s="2561"/>
      <c r="D159" s="2562" t="s">
        <v>17</v>
      </c>
      <c r="E159" s="2561"/>
      <c r="F159" s="2562" t="s">
        <v>950</v>
      </c>
      <c r="G159" s="1923"/>
      <c r="H159" s="2562" t="s">
        <v>951</v>
      </c>
      <c r="I159" s="2561"/>
      <c r="J159" s="2562" t="s">
        <v>952</v>
      </c>
      <c r="K159" s="2562"/>
      <c r="L159" s="2200" t="s">
        <v>956</v>
      </c>
      <c r="M159" s="2560">
        <v>0.5</v>
      </c>
      <c r="N159" s="2561"/>
      <c r="O159" s="2561"/>
      <c r="P159" s="2636"/>
      <c r="Q159" s="2561"/>
      <c r="R159" s="2561"/>
      <c r="S159" s="2561"/>
      <c r="T159" s="1866">
        <v>0</v>
      </c>
      <c r="U159" s="1865">
        <v>500000000</v>
      </c>
      <c r="V159" s="1865">
        <v>0</v>
      </c>
      <c r="W159" s="2210">
        <v>0</v>
      </c>
      <c r="X159" s="1901">
        <f>BB[[#This Row],[NILAI PINJAMAN DALAM BB (PERUBAHAN)]]+BB[[#This Row],[PENDAMPING BB]]+BB[[#This Row],[HIBAH BB]]</f>
        <v>500000000</v>
      </c>
      <c r="Y159" s="1898" t="s">
        <v>633</v>
      </c>
      <c r="Z159" s="1863" t="s">
        <v>633</v>
      </c>
      <c r="AA159" s="1863">
        <f>BB[[#This Row],[TOTAL BB]]</f>
        <v>500000000</v>
      </c>
      <c r="AB159" s="1922"/>
      <c r="AC159" s="2131"/>
      <c r="AD159" s="2217"/>
      <c r="AE159" s="2218"/>
      <c r="AF159" s="2217"/>
      <c r="AG159" s="1866"/>
      <c r="AH159" s="1922"/>
      <c r="AI159" s="2231"/>
      <c r="AJ159" s="2231"/>
      <c r="AK159" s="2231"/>
      <c r="AL159" s="2231"/>
      <c r="AM159" s="2639"/>
      <c r="AN159" s="3222" t="s">
        <v>603</v>
      </c>
      <c r="AO159" s="2231" t="s">
        <v>603</v>
      </c>
      <c r="AP159" s="2231" t="s">
        <v>570</v>
      </c>
      <c r="AQ159" s="1923"/>
      <c r="AR159" s="3223" t="s">
        <v>21</v>
      </c>
      <c r="AS159" s="2250"/>
      <c r="AT159" s="2250">
        <v>300000000</v>
      </c>
      <c r="AU159" s="1899" t="s">
        <v>633</v>
      </c>
      <c r="AV159" s="2214">
        <f>BB[[#This Row],[NILAI PINJAMAN KONFIRMASI BILA-MULTI]]</f>
        <v>300000000</v>
      </c>
      <c r="AW159" s="2249" t="s">
        <v>959</v>
      </c>
      <c r="AX159" s="2273"/>
      <c r="AY159" s="2274"/>
      <c r="AZ159" s="1865"/>
      <c r="BA159" s="2147"/>
      <c r="BB159" s="2275"/>
    </row>
    <row r="160" spans="1:54" s="2522" customFormat="1" ht="20.100000000000001" customHeight="1">
      <c r="A160" s="2542">
        <v>113</v>
      </c>
      <c r="B160" s="2543" t="s">
        <v>960</v>
      </c>
      <c r="C160" s="2543"/>
      <c r="D160" s="2544" t="s">
        <v>352</v>
      </c>
      <c r="E160" s="2543">
        <v>8</v>
      </c>
      <c r="F160" s="2544" t="s">
        <v>354</v>
      </c>
      <c r="G160" s="2193"/>
      <c r="H160" s="2544" t="s">
        <v>358</v>
      </c>
      <c r="I160" s="2543" t="s">
        <v>23</v>
      </c>
      <c r="J160" s="2544" t="s">
        <v>357</v>
      </c>
      <c r="K160" s="2543">
        <v>1</v>
      </c>
      <c r="L160" s="3224" t="s">
        <v>360</v>
      </c>
      <c r="M160" s="2543">
        <v>0</v>
      </c>
      <c r="N160" s="2543">
        <v>0</v>
      </c>
      <c r="O160" s="2543">
        <v>1</v>
      </c>
      <c r="P160" s="2570">
        <v>0</v>
      </c>
      <c r="Q160" s="2543">
        <v>0</v>
      </c>
      <c r="R160" s="2543">
        <v>1</v>
      </c>
      <c r="S160" s="2543">
        <v>101</v>
      </c>
      <c r="T160" s="1854">
        <f>SUM(T161:T172)</f>
        <v>290311500</v>
      </c>
      <c r="U160" s="1854">
        <f>SUM(U161:U172)</f>
        <v>527171100</v>
      </c>
      <c r="V160" s="1854">
        <f>SUM(V161:V172)</f>
        <v>54543500</v>
      </c>
      <c r="W160" s="1854">
        <f>SUM(W161:W172)</f>
        <v>0</v>
      </c>
      <c r="X160" s="1854">
        <f>SUM(X161:X172)</f>
        <v>581714600</v>
      </c>
      <c r="Y160" s="2219" t="s">
        <v>21</v>
      </c>
      <c r="Z160" s="2219"/>
      <c r="AA160" s="1854">
        <f>SUM(AA161:AA167)</f>
        <v>290311500</v>
      </c>
      <c r="AB160" s="1874"/>
      <c r="AC160" s="1854"/>
      <c r="AD160" s="1875"/>
      <c r="AE160" s="1854"/>
      <c r="AF160" s="1875"/>
      <c r="AG160" s="2233">
        <f>+BB[[#This Row],[NILAI PINJAMAN PER LENDER]]-BB[[#This Row],[NILAI PINJAMAN DALAM BB]]</f>
        <v>0</v>
      </c>
      <c r="AH160" s="1874" t="s">
        <v>21</v>
      </c>
      <c r="AI160" s="3225" t="s">
        <v>21</v>
      </c>
      <c r="AJ160" s="3225" t="s">
        <v>21</v>
      </c>
      <c r="AK160" s="2227" t="s">
        <v>21</v>
      </c>
      <c r="AL160" s="3225" t="s">
        <v>21</v>
      </c>
      <c r="AM160" s="3213" t="s">
        <v>21</v>
      </c>
      <c r="AN160" s="1925"/>
      <c r="AO160" s="3202" t="s">
        <v>21</v>
      </c>
      <c r="AP160" s="2193"/>
      <c r="AQ160" s="2193"/>
      <c r="AR160" s="3225" t="s">
        <v>21</v>
      </c>
      <c r="AS160" s="2193"/>
      <c r="AT160" s="1854">
        <f>SUM(AT161:AT167)</f>
        <v>290311500</v>
      </c>
      <c r="AU160" s="2219" t="s">
        <v>21</v>
      </c>
      <c r="AV160" s="2219"/>
      <c r="AW160" s="2247" t="s">
        <v>21</v>
      </c>
      <c r="AX160" s="2219"/>
      <c r="AY160" s="2193" t="s">
        <v>961</v>
      </c>
      <c r="AZ160" s="2193"/>
      <c r="BA160" s="1965" t="s">
        <v>962</v>
      </c>
      <c r="BB160" s="2266"/>
    </row>
    <row r="161" spans="1:54" s="2522" customFormat="1" ht="20.100000000000001" customHeight="1">
      <c r="A161" s="2545">
        <v>114</v>
      </c>
      <c r="B161" s="2546"/>
      <c r="C161" s="2546"/>
      <c r="D161" s="2547" t="s">
        <v>352</v>
      </c>
      <c r="E161" s="2546">
        <v>8</v>
      </c>
      <c r="F161" s="2547" t="s">
        <v>354</v>
      </c>
      <c r="G161" s="1788"/>
      <c r="H161" s="2547" t="s">
        <v>358</v>
      </c>
      <c r="I161" s="2549" t="s">
        <v>23</v>
      </c>
      <c r="J161" s="2547" t="s">
        <v>357</v>
      </c>
      <c r="K161" s="2546">
        <v>1</v>
      </c>
      <c r="L161" s="3203" t="s">
        <v>963</v>
      </c>
      <c r="M161" s="2546">
        <v>1</v>
      </c>
      <c r="N161" s="2546">
        <v>1</v>
      </c>
      <c r="O161" s="2546">
        <v>2</v>
      </c>
      <c r="P161" s="2549">
        <f>1/7</f>
        <v>0.14285714285714285</v>
      </c>
      <c r="Q161" s="2549">
        <f>1/7</f>
        <v>0.14285714285714285</v>
      </c>
      <c r="R161" s="2549">
        <v>0</v>
      </c>
      <c r="S161" s="2549"/>
      <c r="T161" s="1855">
        <v>49882300</v>
      </c>
      <c r="U161" s="1855">
        <v>49882300</v>
      </c>
      <c r="V161" s="1855">
        <v>3797300</v>
      </c>
      <c r="W161" s="1856">
        <v>0</v>
      </c>
      <c r="X161" s="1856">
        <f t="shared" ref="X161:X167" si="15">T161+V161+W161</f>
        <v>53679600</v>
      </c>
      <c r="Y161" s="2070" t="s">
        <v>58</v>
      </c>
      <c r="Z161" s="1879" t="s">
        <v>619</v>
      </c>
      <c r="AA161" s="1855">
        <v>49882300</v>
      </c>
      <c r="AB161" s="1877"/>
      <c r="AC161" s="1855"/>
      <c r="AD161" s="1878"/>
      <c r="AE161" s="1855"/>
      <c r="AF161" s="1878"/>
      <c r="AG161" s="2234">
        <v>0</v>
      </c>
      <c r="AH161" s="1877" t="s">
        <v>617</v>
      </c>
      <c r="AI161" s="3205" t="s">
        <v>964</v>
      </c>
      <c r="AJ161" s="3205" t="s">
        <v>363</v>
      </c>
      <c r="AK161" s="1913">
        <v>1</v>
      </c>
      <c r="AL161" s="3205" t="s">
        <v>21</v>
      </c>
      <c r="AM161" s="2583">
        <v>2016</v>
      </c>
      <c r="AN161" s="3226" t="s">
        <v>568</v>
      </c>
      <c r="AO161" s="2252" t="s">
        <v>568</v>
      </c>
      <c r="AP161" s="1912" t="s">
        <v>570</v>
      </c>
      <c r="AQ161" s="1912"/>
      <c r="AR161" s="3215" t="s">
        <v>21</v>
      </c>
      <c r="AS161" s="3215" t="s">
        <v>586</v>
      </c>
      <c r="AT161" s="1855">
        <v>49882300</v>
      </c>
      <c r="AU161" s="2070" t="s">
        <v>58</v>
      </c>
      <c r="AV161" s="2070">
        <v>0</v>
      </c>
      <c r="AW161" s="1912" t="s">
        <v>21</v>
      </c>
      <c r="AX161" s="1879" t="s">
        <v>619</v>
      </c>
      <c r="AY161" s="2259" t="s">
        <v>961</v>
      </c>
      <c r="AZ161" s="91"/>
      <c r="BA161" s="3194" t="s">
        <v>965</v>
      </c>
      <c r="BB161" s="2266"/>
    </row>
    <row r="162" spans="1:54" s="2522" customFormat="1" ht="20.100000000000001" customHeight="1">
      <c r="A162" s="2545">
        <v>115</v>
      </c>
      <c r="B162" s="2546"/>
      <c r="C162" s="2546"/>
      <c r="D162" s="2547" t="s">
        <v>352</v>
      </c>
      <c r="E162" s="2546">
        <v>8</v>
      </c>
      <c r="F162" s="2547" t="s">
        <v>354</v>
      </c>
      <c r="G162" s="1788"/>
      <c r="H162" s="2547" t="s">
        <v>358</v>
      </c>
      <c r="I162" s="2549" t="s">
        <v>23</v>
      </c>
      <c r="J162" s="2547" t="s">
        <v>357</v>
      </c>
      <c r="K162" s="2546">
        <v>1</v>
      </c>
      <c r="L162" s="3203" t="s">
        <v>966</v>
      </c>
      <c r="M162" s="2546">
        <v>1</v>
      </c>
      <c r="N162" s="2546">
        <v>1</v>
      </c>
      <c r="O162" s="2546">
        <v>2</v>
      </c>
      <c r="P162" s="2549">
        <f t="shared" ref="P162:Q167" si="16">1/7</f>
        <v>0.14285714285714285</v>
      </c>
      <c r="Q162" s="2549">
        <f t="shared" si="16"/>
        <v>0.14285714285714285</v>
      </c>
      <c r="R162" s="2549">
        <v>0</v>
      </c>
      <c r="S162" s="2549"/>
      <c r="T162" s="1855">
        <v>38400000</v>
      </c>
      <c r="U162" s="1855">
        <v>38400000</v>
      </c>
      <c r="V162" s="1855">
        <v>9335300</v>
      </c>
      <c r="W162" s="1856">
        <v>0</v>
      </c>
      <c r="X162" s="1856">
        <f t="shared" si="15"/>
        <v>47735300</v>
      </c>
      <c r="Y162" s="2070" t="s">
        <v>58</v>
      </c>
      <c r="Z162" s="1879" t="s">
        <v>619</v>
      </c>
      <c r="AA162" s="1855">
        <v>38400000</v>
      </c>
      <c r="AB162" s="1877"/>
      <c r="AC162" s="1855"/>
      <c r="AD162" s="1878"/>
      <c r="AE162" s="1855"/>
      <c r="AF162" s="1878"/>
      <c r="AG162" s="2234">
        <v>0</v>
      </c>
      <c r="AH162" s="1877" t="s">
        <v>617</v>
      </c>
      <c r="AI162" s="3205" t="s">
        <v>964</v>
      </c>
      <c r="AJ162" s="3205" t="s">
        <v>365</v>
      </c>
      <c r="AK162" s="1913">
        <v>1</v>
      </c>
      <c r="AL162" s="3205" t="s">
        <v>21</v>
      </c>
      <c r="AM162" s="2583">
        <v>2016</v>
      </c>
      <c r="AN162" s="3226" t="s">
        <v>568</v>
      </c>
      <c r="AO162" s="2252" t="s">
        <v>568</v>
      </c>
      <c r="AP162" s="1912" t="s">
        <v>570</v>
      </c>
      <c r="AQ162" s="1912"/>
      <c r="AR162" s="3215" t="s">
        <v>21</v>
      </c>
      <c r="AS162" s="3215" t="s">
        <v>586</v>
      </c>
      <c r="AT162" s="1855">
        <v>38400000</v>
      </c>
      <c r="AU162" s="2070" t="s">
        <v>58</v>
      </c>
      <c r="AV162" s="2070">
        <v>0</v>
      </c>
      <c r="AW162" s="1912" t="s">
        <v>21</v>
      </c>
      <c r="AX162" s="1879" t="s">
        <v>619</v>
      </c>
      <c r="AY162" s="2259" t="s">
        <v>961</v>
      </c>
      <c r="AZ162" s="91"/>
      <c r="BA162" s="3194" t="s">
        <v>967</v>
      </c>
      <c r="BB162" s="2266"/>
    </row>
    <row r="163" spans="1:54" s="2522" customFormat="1" ht="20.100000000000001" customHeight="1">
      <c r="A163" s="2545">
        <v>116</v>
      </c>
      <c r="B163" s="2546"/>
      <c r="C163" s="2546"/>
      <c r="D163" s="2547" t="s">
        <v>352</v>
      </c>
      <c r="E163" s="2546">
        <v>8</v>
      </c>
      <c r="F163" s="2547" t="s">
        <v>354</v>
      </c>
      <c r="G163" s="1788"/>
      <c r="H163" s="2547" t="s">
        <v>358</v>
      </c>
      <c r="I163" s="2549" t="s">
        <v>23</v>
      </c>
      <c r="J163" s="2547" t="s">
        <v>357</v>
      </c>
      <c r="K163" s="2546">
        <v>1</v>
      </c>
      <c r="L163" s="3203" t="s">
        <v>968</v>
      </c>
      <c r="M163" s="2546">
        <v>1</v>
      </c>
      <c r="N163" s="2546">
        <v>1</v>
      </c>
      <c r="O163" s="2546">
        <v>2</v>
      </c>
      <c r="P163" s="2549">
        <f t="shared" si="16"/>
        <v>0.14285714285714285</v>
      </c>
      <c r="Q163" s="2549">
        <f t="shared" si="16"/>
        <v>0.14285714285714285</v>
      </c>
      <c r="R163" s="2549">
        <v>0</v>
      </c>
      <c r="S163" s="2549"/>
      <c r="T163" s="1855">
        <v>44400000</v>
      </c>
      <c r="U163" s="1855">
        <v>44400000</v>
      </c>
      <c r="V163" s="1855">
        <v>485800</v>
      </c>
      <c r="W163" s="1856">
        <v>0</v>
      </c>
      <c r="X163" s="1856">
        <f t="shared" si="15"/>
        <v>44885800</v>
      </c>
      <c r="Y163" s="2070" t="s">
        <v>58</v>
      </c>
      <c r="Z163" s="1879" t="s">
        <v>619</v>
      </c>
      <c r="AA163" s="1855">
        <v>44400000</v>
      </c>
      <c r="AB163" s="1877"/>
      <c r="AC163" s="1855"/>
      <c r="AD163" s="1878"/>
      <c r="AE163" s="1855"/>
      <c r="AF163" s="1878"/>
      <c r="AG163" s="2234">
        <v>0</v>
      </c>
      <c r="AH163" s="1877" t="s">
        <v>617</v>
      </c>
      <c r="AI163" s="3205" t="s">
        <v>964</v>
      </c>
      <c r="AJ163" s="2118" t="s">
        <v>367</v>
      </c>
      <c r="AK163" s="1913">
        <v>1</v>
      </c>
      <c r="AL163" s="3205" t="s">
        <v>21</v>
      </c>
      <c r="AM163" s="2583">
        <v>2016</v>
      </c>
      <c r="AN163" s="3227" t="s">
        <v>568</v>
      </c>
      <c r="AO163" s="2252" t="s">
        <v>568</v>
      </c>
      <c r="AP163" s="1912" t="s">
        <v>570</v>
      </c>
      <c r="AQ163" s="1912"/>
      <c r="AR163" s="3215" t="s">
        <v>21</v>
      </c>
      <c r="AS163" s="3215" t="s">
        <v>586</v>
      </c>
      <c r="AT163" s="1855">
        <v>44400000</v>
      </c>
      <c r="AU163" s="2070" t="s">
        <v>58</v>
      </c>
      <c r="AV163" s="2070">
        <v>0</v>
      </c>
      <c r="AW163" s="3160" t="s">
        <v>21</v>
      </c>
      <c r="AX163" s="1879" t="s">
        <v>619</v>
      </c>
      <c r="AY163" s="2259" t="s">
        <v>961</v>
      </c>
      <c r="AZ163" s="91"/>
      <c r="BA163" s="3187" t="s">
        <v>969</v>
      </c>
      <c r="BB163" s="2266"/>
    </row>
    <row r="164" spans="1:54" s="2522" customFormat="1" ht="20.100000000000001" customHeight="1">
      <c r="A164" s="2545">
        <v>117</v>
      </c>
      <c r="B164" s="2546"/>
      <c r="C164" s="2546"/>
      <c r="D164" s="2547" t="s">
        <v>352</v>
      </c>
      <c r="E164" s="2546">
        <v>8</v>
      </c>
      <c r="F164" s="2547" t="s">
        <v>354</v>
      </c>
      <c r="G164" s="1788"/>
      <c r="H164" s="2547" t="s">
        <v>358</v>
      </c>
      <c r="I164" s="2549" t="s">
        <v>23</v>
      </c>
      <c r="J164" s="2547" t="s">
        <v>357</v>
      </c>
      <c r="K164" s="2546">
        <v>1</v>
      </c>
      <c r="L164" s="3203" t="s">
        <v>970</v>
      </c>
      <c r="M164" s="2546">
        <v>1</v>
      </c>
      <c r="N164" s="2546">
        <v>1</v>
      </c>
      <c r="O164" s="2546">
        <v>2</v>
      </c>
      <c r="P164" s="2549">
        <f t="shared" si="16"/>
        <v>0.14285714285714285</v>
      </c>
      <c r="Q164" s="2549">
        <f t="shared" si="16"/>
        <v>0.14285714285714285</v>
      </c>
      <c r="R164" s="2549">
        <v>0</v>
      </c>
      <c r="S164" s="2549"/>
      <c r="T164" s="1855">
        <v>44091200</v>
      </c>
      <c r="U164" s="1855">
        <v>44091200</v>
      </c>
      <c r="V164" s="1855">
        <v>1992700</v>
      </c>
      <c r="W164" s="1856">
        <v>0</v>
      </c>
      <c r="X164" s="1856">
        <f t="shared" si="15"/>
        <v>46083900</v>
      </c>
      <c r="Y164" s="2070" t="s">
        <v>58</v>
      </c>
      <c r="Z164" s="1879" t="s">
        <v>619</v>
      </c>
      <c r="AA164" s="1855">
        <v>44091200</v>
      </c>
      <c r="AB164" s="1877"/>
      <c r="AC164" s="1855"/>
      <c r="AD164" s="1878"/>
      <c r="AE164" s="1855"/>
      <c r="AF164" s="1878"/>
      <c r="AG164" s="2234">
        <v>0</v>
      </c>
      <c r="AH164" s="1877" t="s">
        <v>617</v>
      </c>
      <c r="AI164" s="3205" t="s">
        <v>964</v>
      </c>
      <c r="AJ164" s="3205" t="s">
        <v>369</v>
      </c>
      <c r="AK164" s="1913">
        <v>1</v>
      </c>
      <c r="AL164" s="3205" t="s">
        <v>21</v>
      </c>
      <c r="AM164" s="2583">
        <v>2016</v>
      </c>
      <c r="AN164" s="3226" t="s">
        <v>568</v>
      </c>
      <c r="AO164" s="2252" t="s">
        <v>568</v>
      </c>
      <c r="AP164" s="1912" t="s">
        <v>570</v>
      </c>
      <c r="AQ164" s="1912"/>
      <c r="AR164" s="3215" t="s">
        <v>21</v>
      </c>
      <c r="AS164" s="3215" t="s">
        <v>586</v>
      </c>
      <c r="AT164" s="1855">
        <v>44091200</v>
      </c>
      <c r="AU164" s="2070" t="s">
        <v>58</v>
      </c>
      <c r="AV164" s="2070">
        <v>0</v>
      </c>
      <c r="AW164" s="1912" t="s">
        <v>21</v>
      </c>
      <c r="AX164" s="1879" t="s">
        <v>619</v>
      </c>
      <c r="AY164" s="2259" t="s">
        <v>961</v>
      </c>
      <c r="AZ164" s="91"/>
      <c r="BA164" s="3194" t="s">
        <v>971</v>
      </c>
      <c r="BB164" s="2266"/>
    </row>
    <row r="165" spans="1:54" s="2527" customFormat="1" ht="20.100000000000001" customHeight="1">
      <c r="A165" s="2545">
        <v>118</v>
      </c>
      <c r="B165" s="2546"/>
      <c r="C165" s="2546"/>
      <c r="D165" s="2547" t="s">
        <v>352</v>
      </c>
      <c r="E165" s="2546">
        <v>8</v>
      </c>
      <c r="F165" s="2547" t="s">
        <v>354</v>
      </c>
      <c r="G165" s="1788"/>
      <c r="H165" s="2547" t="s">
        <v>358</v>
      </c>
      <c r="I165" s="2549" t="s">
        <v>23</v>
      </c>
      <c r="J165" s="2547" t="s">
        <v>357</v>
      </c>
      <c r="K165" s="2546">
        <v>1</v>
      </c>
      <c r="L165" s="3203" t="s">
        <v>972</v>
      </c>
      <c r="M165" s="2546">
        <v>1</v>
      </c>
      <c r="N165" s="2546">
        <v>1</v>
      </c>
      <c r="O165" s="2546">
        <v>2</v>
      </c>
      <c r="P165" s="2549">
        <f t="shared" si="16"/>
        <v>0.14285714285714285</v>
      </c>
      <c r="Q165" s="2549">
        <f t="shared" si="16"/>
        <v>0.14285714285714285</v>
      </c>
      <c r="R165" s="2549">
        <v>0</v>
      </c>
      <c r="S165" s="2549"/>
      <c r="T165" s="1855">
        <v>31565800</v>
      </c>
      <c r="U165" s="1855">
        <v>31565800</v>
      </c>
      <c r="V165" s="1855">
        <v>2586200</v>
      </c>
      <c r="W165" s="1856">
        <v>0</v>
      </c>
      <c r="X165" s="1856">
        <f t="shared" si="15"/>
        <v>34152000</v>
      </c>
      <c r="Y165" s="2070" t="s">
        <v>91</v>
      </c>
      <c r="Z165" s="1879" t="s">
        <v>565</v>
      </c>
      <c r="AA165" s="1855">
        <v>31565800</v>
      </c>
      <c r="AB165" s="1877"/>
      <c r="AC165" s="1855"/>
      <c r="AD165" s="1878"/>
      <c r="AE165" s="1855"/>
      <c r="AF165" s="1878"/>
      <c r="AG165" s="2234">
        <v>0</v>
      </c>
      <c r="AH165" s="1877" t="s">
        <v>617</v>
      </c>
      <c r="AI165" s="3205" t="s">
        <v>964</v>
      </c>
      <c r="AJ165" s="2118" t="s">
        <v>347</v>
      </c>
      <c r="AK165" s="1913">
        <v>1</v>
      </c>
      <c r="AL165" s="3205" t="s">
        <v>21</v>
      </c>
      <c r="AM165" s="2583">
        <v>2016</v>
      </c>
      <c r="AN165" s="3227" t="s">
        <v>568</v>
      </c>
      <c r="AO165" s="2252" t="s">
        <v>568</v>
      </c>
      <c r="AP165" s="1912" t="s">
        <v>570</v>
      </c>
      <c r="AQ165" s="1912"/>
      <c r="AR165" s="3215" t="s">
        <v>21</v>
      </c>
      <c r="AS165" s="3215" t="s">
        <v>623</v>
      </c>
      <c r="AT165" s="1855">
        <v>31565800</v>
      </c>
      <c r="AU165" s="2070" t="s">
        <v>91</v>
      </c>
      <c r="AV165" s="2070">
        <f>BB[[#This Row],[NILAI PINJAMAN KONFIRMASI BILA-MULTI]]</f>
        <v>31565800</v>
      </c>
      <c r="AW165" s="1912" t="s">
        <v>21</v>
      </c>
      <c r="AX165" s="1879" t="s">
        <v>565</v>
      </c>
      <c r="AY165" s="2259" t="s">
        <v>961</v>
      </c>
      <c r="AZ165" s="91"/>
      <c r="BA165" s="1975" t="s">
        <v>973</v>
      </c>
      <c r="BB165" s="2277"/>
    </row>
    <row r="166" spans="1:54" s="2507" customFormat="1" ht="20.100000000000001" customHeight="1">
      <c r="A166" s="2545">
        <v>119</v>
      </c>
      <c r="B166" s="2546"/>
      <c r="C166" s="2546"/>
      <c r="D166" s="2547" t="s">
        <v>352</v>
      </c>
      <c r="E166" s="2546">
        <v>8</v>
      </c>
      <c r="F166" s="2547" t="s">
        <v>354</v>
      </c>
      <c r="G166" s="1788"/>
      <c r="H166" s="2547" t="s">
        <v>358</v>
      </c>
      <c r="I166" s="2549" t="s">
        <v>23</v>
      </c>
      <c r="J166" s="2547" t="s">
        <v>357</v>
      </c>
      <c r="K166" s="2546">
        <v>1</v>
      </c>
      <c r="L166" s="3203" t="s">
        <v>974</v>
      </c>
      <c r="M166" s="2546">
        <v>1</v>
      </c>
      <c r="N166" s="2546">
        <v>1</v>
      </c>
      <c r="O166" s="2546">
        <v>2</v>
      </c>
      <c r="P166" s="2549">
        <f t="shared" si="16"/>
        <v>0.14285714285714285</v>
      </c>
      <c r="Q166" s="2637">
        <f>DATA!V146</f>
        <v>18000000</v>
      </c>
      <c r="R166" s="2549">
        <v>0</v>
      </c>
      <c r="S166" s="2549"/>
      <c r="T166" s="1855">
        <v>10278200</v>
      </c>
      <c r="U166" s="1855">
        <v>10278200</v>
      </c>
      <c r="V166" s="1855">
        <v>182000</v>
      </c>
      <c r="W166" s="1856">
        <v>0</v>
      </c>
      <c r="X166" s="1856">
        <f t="shared" si="15"/>
        <v>10460200</v>
      </c>
      <c r="Y166" s="2070" t="s">
        <v>55</v>
      </c>
      <c r="Z166" s="1879" t="s">
        <v>565</v>
      </c>
      <c r="AA166" s="1855">
        <v>10278200</v>
      </c>
      <c r="AB166" s="1877"/>
      <c r="AC166" s="1855"/>
      <c r="AD166" s="1878"/>
      <c r="AE166" s="1855"/>
      <c r="AF166" s="1878"/>
      <c r="AG166" s="2234">
        <v>0</v>
      </c>
      <c r="AH166" s="1877" t="s">
        <v>617</v>
      </c>
      <c r="AI166" s="3205" t="s">
        <v>964</v>
      </c>
      <c r="AJ166" s="3205" t="s">
        <v>372</v>
      </c>
      <c r="AK166" s="1913">
        <v>1</v>
      </c>
      <c r="AL166" s="3205" t="s">
        <v>21</v>
      </c>
      <c r="AM166" s="2583"/>
      <c r="AN166" s="3227" t="s">
        <v>568</v>
      </c>
      <c r="AO166" s="2252" t="s">
        <v>568</v>
      </c>
      <c r="AP166" s="1912" t="s">
        <v>570</v>
      </c>
      <c r="AQ166" s="1912"/>
      <c r="AR166" s="3215" t="s">
        <v>719</v>
      </c>
      <c r="AS166" s="3215" t="s">
        <v>623</v>
      </c>
      <c r="AT166" s="1855">
        <v>10278200</v>
      </c>
      <c r="AU166" s="2070" t="s">
        <v>55</v>
      </c>
      <c r="AV166" s="2070">
        <f>BB[[#This Row],[NILAI PINJAMAN KONFIRMASI BILA-MULTI]]</f>
        <v>10278200</v>
      </c>
      <c r="AW166" s="1912" t="s">
        <v>21</v>
      </c>
      <c r="AX166" s="1879" t="s">
        <v>565</v>
      </c>
      <c r="AY166" s="3204" t="s">
        <v>975</v>
      </c>
      <c r="AZ166" s="2118"/>
      <c r="BA166" s="3194" t="s">
        <v>976</v>
      </c>
      <c r="BB166" s="1971"/>
    </row>
    <row r="167" spans="1:54" s="2507" customFormat="1" ht="20.100000000000001" customHeight="1">
      <c r="A167" s="2545">
        <v>120</v>
      </c>
      <c r="B167" s="2546"/>
      <c r="C167" s="2546"/>
      <c r="D167" s="2547" t="s">
        <v>352</v>
      </c>
      <c r="E167" s="2546">
        <v>8</v>
      </c>
      <c r="F167" s="2547" t="s">
        <v>354</v>
      </c>
      <c r="G167" s="1788"/>
      <c r="H167" s="2547" t="s">
        <v>358</v>
      </c>
      <c r="I167" s="2549" t="s">
        <v>23</v>
      </c>
      <c r="J167" s="2547" t="s">
        <v>357</v>
      </c>
      <c r="K167" s="2546">
        <v>1</v>
      </c>
      <c r="L167" s="3203" t="s">
        <v>977</v>
      </c>
      <c r="M167" s="2546">
        <v>1</v>
      </c>
      <c r="N167" s="2546">
        <v>1</v>
      </c>
      <c r="O167" s="2546">
        <v>2</v>
      </c>
      <c r="P167" s="2549">
        <f t="shared" si="16"/>
        <v>0.14285714285714285</v>
      </c>
      <c r="Q167" s="2549">
        <f t="shared" si="16"/>
        <v>0.14285714285714285</v>
      </c>
      <c r="R167" s="2549">
        <v>0</v>
      </c>
      <c r="S167" s="2549"/>
      <c r="T167" s="1855">
        <v>71694000</v>
      </c>
      <c r="U167" s="1855">
        <v>71694000</v>
      </c>
      <c r="V167" s="1855">
        <v>7041900</v>
      </c>
      <c r="W167" s="1856">
        <v>0</v>
      </c>
      <c r="X167" s="1856">
        <f t="shared" si="15"/>
        <v>78735900</v>
      </c>
      <c r="Y167" s="2070" t="s">
        <v>55</v>
      </c>
      <c r="Z167" s="1879" t="s">
        <v>565</v>
      </c>
      <c r="AA167" s="1855">
        <v>71694000</v>
      </c>
      <c r="AB167" s="1877"/>
      <c r="AC167" s="1855"/>
      <c r="AD167" s="1878"/>
      <c r="AE167" s="1855"/>
      <c r="AF167" s="1878"/>
      <c r="AG167" s="2234">
        <v>0</v>
      </c>
      <c r="AH167" s="1877" t="s">
        <v>617</v>
      </c>
      <c r="AI167" s="3205" t="s">
        <v>964</v>
      </c>
      <c r="AJ167" s="3205" t="s">
        <v>375</v>
      </c>
      <c r="AK167" s="1913">
        <v>0.95</v>
      </c>
      <c r="AL167" s="3205" t="s">
        <v>21</v>
      </c>
      <c r="AM167" s="2583">
        <v>2016</v>
      </c>
      <c r="AN167" s="3226" t="s">
        <v>568</v>
      </c>
      <c r="AO167" s="2252" t="s">
        <v>568</v>
      </c>
      <c r="AP167" s="1912" t="s">
        <v>570</v>
      </c>
      <c r="AQ167" s="1912"/>
      <c r="AR167" s="3215" t="s">
        <v>21</v>
      </c>
      <c r="AS167" s="2132"/>
      <c r="AT167" s="1855">
        <v>71694000</v>
      </c>
      <c r="AU167" s="2070" t="s">
        <v>55</v>
      </c>
      <c r="AV167" s="2070">
        <f>BB[[#This Row],[NILAI PINJAMAN KONFIRMASI BILA-MULTI]]</f>
        <v>71694000</v>
      </c>
      <c r="AW167" s="1912" t="s">
        <v>21</v>
      </c>
      <c r="AX167" s="1879" t="s">
        <v>565</v>
      </c>
      <c r="AY167" s="3204" t="s">
        <v>978</v>
      </c>
      <c r="AZ167" s="2118"/>
      <c r="BA167" s="3194" t="s">
        <v>979</v>
      </c>
      <c r="BB167" s="1971"/>
    </row>
    <row r="168" spans="1:54" s="2507" customFormat="1" ht="20.100000000000001" customHeight="1">
      <c r="A168" s="2635"/>
      <c r="B168" s="2546"/>
      <c r="C168" s="2546"/>
      <c r="D168" s="2547" t="s">
        <v>352</v>
      </c>
      <c r="E168" s="2546"/>
      <c r="F168" s="2547" t="s">
        <v>354</v>
      </c>
      <c r="G168" s="1912"/>
      <c r="H168" s="2547" t="s">
        <v>358</v>
      </c>
      <c r="I168" s="2546"/>
      <c r="J168" s="2547" t="s">
        <v>357</v>
      </c>
      <c r="K168" s="2547"/>
      <c r="L168" s="67" t="s">
        <v>980</v>
      </c>
      <c r="M168" s="2546">
        <v>1</v>
      </c>
      <c r="N168" s="2546"/>
      <c r="O168" s="2546"/>
      <c r="P168" s="2572"/>
      <c r="Q168" s="2546"/>
      <c r="R168" s="2546"/>
      <c r="S168" s="2546"/>
      <c r="T168" s="1855">
        <v>0</v>
      </c>
      <c r="U168" s="77">
        <v>48543100</v>
      </c>
      <c r="V168" s="1603">
        <v>6552200</v>
      </c>
      <c r="W168" s="2204">
        <v>0</v>
      </c>
      <c r="X168" s="2067">
        <f>BB[[#This Row],[NILAI PINJAMAN DALAM BB (PERUBAHAN)]]+BB[[#This Row],[PENDAMPING BB]]+BB[[#This Row],[HIBAH BB]]</f>
        <v>55095300</v>
      </c>
      <c r="Y168" s="2212" t="s">
        <v>633</v>
      </c>
      <c r="Z168" s="2084" t="s">
        <v>633</v>
      </c>
      <c r="AA168" s="2220">
        <f>BB[[#This Row],[NILAI PINJAMAN DALAM BB (PERUBAHAN)]]</f>
        <v>48543100</v>
      </c>
      <c r="AB168" s="1877"/>
      <c r="AC168" s="2221"/>
      <c r="AD168" s="2222"/>
      <c r="AE168" s="2223"/>
      <c r="AF168" s="2222"/>
      <c r="AG168" s="2234"/>
      <c r="AH168" s="1877"/>
      <c r="AI168" s="2235"/>
      <c r="AJ168" s="2118"/>
      <c r="AK168" s="2118"/>
      <c r="AL168" s="2118"/>
      <c r="AM168" s="2618"/>
      <c r="AN168" s="3227" t="s">
        <v>603</v>
      </c>
      <c r="AO168" s="2224" t="s">
        <v>603</v>
      </c>
      <c r="AP168" s="2118" t="s">
        <v>570</v>
      </c>
      <c r="AQ168" s="1912"/>
      <c r="AR168" s="3210" t="s">
        <v>571</v>
      </c>
      <c r="AS168" s="2143"/>
      <c r="AT168" s="2143">
        <f>BB[[#This Row],[NILAI PINJAMAN PER LENDER]]</f>
        <v>48543100</v>
      </c>
      <c r="AU168" s="2084" t="s">
        <v>633</v>
      </c>
      <c r="AV168" s="2070">
        <f>BB[[#This Row],[NILAI PINJAMAN KONFIRMASI BILA-MULTI]]</f>
        <v>48543100</v>
      </c>
      <c r="AW168" s="2143"/>
      <c r="AX168" s="2182"/>
      <c r="AY168" s="2278"/>
      <c r="AZ168" s="2118"/>
      <c r="BA168" s="2162"/>
      <c r="BB168" s="1971"/>
    </row>
    <row r="169" spans="1:54" s="2507" customFormat="1" ht="20.100000000000001" customHeight="1">
      <c r="A169" s="2635"/>
      <c r="B169" s="2546"/>
      <c r="C169" s="2546"/>
      <c r="D169" s="2547" t="s">
        <v>352</v>
      </c>
      <c r="E169" s="2546"/>
      <c r="F169" s="2547" t="s">
        <v>354</v>
      </c>
      <c r="G169" s="1912"/>
      <c r="H169" s="2547" t="s">
        <v>358</v>
      </c>
      <c r="I169" s="2546"/>
      <c r="J169" s="2547" t="s">
        <v>357</v>
      </c>
      <c r="K169" s="2547"/>
      <c r="L169" s="67" t="s">
        <v>981</v>
      </c>
      <c r="M169" s="2546">
        <v>1</v>
      </c>
      <c r="N169" s="2546"/>
      <c r="O169" s="2546"/>
      <c r="P169" s="2572"/>
      <c r="Q169" s="2546"/>
      <c r="R169" s="2546"/>
      <c r="S169" s="2546"/>
      <c r="T169" s="1855">
        <v>0</v>
      </c>
      <c r="U169" s="77">
        <v>53879300</v>
      </c>
      <c r="V169" s="1603">
        <v>4967200</v>
      </c>
      <c r="W169" s="2204">
        <v>0</v>
      </c>
      <c r="X169" s="2067">
        <f>BB[[#This Row],[NILAI PINJAMAN DALAM BB (PERUBAHAN)]]+BB[[#This Row],[PENDAMPING BB]]+BB[[#This Row],[HIBAH BB]]</f>
        <v>58846500</v>
      </c>
      <c r="Y169" s="2212" t="s">
        <v>633</v>
      </c>
      <c r="Z169" s="2084" t="s">
        <v>633</v>
      </c>
      <c r="AA169" s="2220">
        <f>BB[[#This Row],[NILAI PINJAMAN DALAM BB (PERUBAHAN)]]</f>
        <v>53879300</v>
      </c>
      <c r="AB169" s="1877"/>
      <c r="AC169" s="2221"/>
      <c r="AD169" s="2222"/>
      <c r="AE169" s="2223"/>
      <c r="AF169" s="2222"/>
      <c r="AG169" s="2234"/>
      <c r="AH169" s="1877"/>
      <c r="AI169" s="2235"/>
      <c r="AJ169" s="2118"/>
      <c r="AK169" s="2118"/>
      <c r="AL169" s="2118"/>
      <c r="AM169" s="2618"/>
      <c r="AN169" s="3227" t="s">
        <v>603</v>
      </c>
      <c r="AO169" s="2224" t="s">
        <v>603</v>
      </c>
      <c r="AP169" s="2118" t="s">
        <v>570</v>
      </c>
      <c r="AQ169" s="1912"/>
      <c r="AR169" s="3210" t="s">
        <v>571</v>
      </c>
      <c r="AS169" s="2143"/>
      <c r="AT169" s="2143">
        <f>BB[[#This Row],[NILAI PINJAMAN PER LENDER]]</f>
        <v>53879300</v>
      </c>
      <c r="AU169" s="2084" t="s">
        <v>633</v>
      </c>
      <c r="AV169" s="2070">
        <f>BB[[#This Row],[NILAI PINJAMAN KONFIRMASI BILA-MULTI]]</f>
        <v>53879300</v>
      </c>
      <c r="AW169" s="2143"/>
      <c r="AX169" s="2182"/>
      <c r="AY169" s="2278"/>
      <c r="AZ169" s="2118"/>
      <c r="BA169" s="2162"/>
      <c r="BB169" s="1971"/>
    </row>
    <row r="170" spans="1:54" s="2507" customFormat="1" ht="20.100000000000001" customHeight="1">
      <c r="A170" s="2635"/>
      <c r="B170" s="2546"/>
      <c r="C170" s="2546"/>
      <c r="D170" s="2547" t="s">
        <v>352</v>
      </c>
      <c r="E170" s="2546"/>
      <c r="F170" s="2547" t="s">
        <v>354</v>
      </c>
      <c r="G170" s="1912"/>
      <c r="H170" s="2547" t="s">
        <v>358</v>
      </c>
      <c r="I170" s="2546"/>
      <c r="J170" s="2547" t="s">
        <v>357</v>
      </c>
      <c r="K170" s="2547"/>
      <c r="L170" s="67" t="s">
        <v>982</v>
      </c>
      <c r="M170" s="2546">
        <v>1</v>
      </c>
      <c r="N170" s="2546"/>
      <c r="O170" s="2546"/>
      <c r="P170" s="2572"/>
      <c r="Q170" s="2546"/>
      <c r="R170" s="2546"/>
      <c r="S170" s="2546"/>
      <c r="T170" s="1855">
        <v>0</v>
      </c>
      <c r="U170" s="77">
        <v>32709400</v>
      </c>
      <c r="V170" s="1603">
        <v>5567500</v>
      </c>
      <c r="W170" s="2204">
        <v>0</v>
      </c>
      <c r="X170" s="2067">
        <f>BB[[#This Row],[NILAI PINJAMAN DALAM BB (PERUBAHAN)]]+BB[[#This Row],[PENDAMPING BB]]+BB[[#This Row],[HIBAH BB]]</f>
        <v>38276900</v>
      </c>
      <c r="Y170" s="2212" t="s">
        <v>633</v>
      </c>
      <c r="Z170" s="2084" t="s">
        <v>633</v>
      </c>
      <c r="AA170" s="2220">
        <f>BB[[#This Row],[NILAI PINJAMAN DALAM BB (PERUBAHAN)]]</f>
        <v>32709400</v>
      </c>
      <c r="AB170" s="1877"/>
      <c r="AC170" s="2221"/>
      <c r="AD170" s="2222"/>
      <c r="AE170" s="2223"/>
      <c r="AF170" s="2222"/>
      <c r="AG170" s="2234"/>
      <c r="AH170" s="1877"/>
      <c r="AI170" s="2235"/>
      <c r="AJ170" s="2118"/>
      <c r="AK170" s="2118"/>
      <c r="AL170" s="2118"/>
      <c r="AM170" s="2618"/>
      <c r="AN170" s="3227" t="s">
        <v>603</v>
      </c>
      <c r="AO170" s="2224" t="s">
        <v>603</v>
      </c>
      <c r="AP170" s="2118" t="s">
        <v>570</v>
      </c>
      <c r="AQ170" s="1912"/>
      <c r="AR170" s="3210" t="s">
        <v>571</v>
      </c>
      <c r="AS170" s="2143"/>
      <c r="AT170" s="2143">
        <f>BB[[#This Row],[NILAI PINJAMAN PER LENDER]]</f>
        <v>32709400</v>
      </c>
      <c r="AU170" s="2084" t="s">
        <v>633</v>
      </c>
      <c r="AV170" s="2070">
        <f>BB[[#This Row],[NILAI PINJAMAN KONFIRMASI BILA-MULTI]]</f>
        <v>32709400</v>
      </c>
      <c r="AW170" s="2143"/>
      <c r="AX170" s="2182"/>
      <c r="AY170" s="2278"/>
      <c r="AZ170" s="2118"/>
      <c r="BA170" s="2162"/>
      <c r="BB170" s="1971"/>
    </row>
    <row r="171" spans="1:54" s="2507" customFormat="1" ht="20.100000000000001" customHeight="1">
      <c r="A171" s="2635"/>
      <c r="B171" s="2546"/>
      <c r="C171" s="2546"/>
      <c r="D171" s="2547" t="s">
        <v>352</v>
      </c>
      <c r="E171" s="2546"/>
      <c r="F171" s="2547" t="s">
        <v>354</v>
      </c>
      <c r="G171" s="1912"/>
      <c r="H171" s="2547" t="s">
        <v>358</v>
      </c>
      <c r="I171" s="2546"/>
      <c r="J171" s="2547" t="s">
        <v>357</v>
      </c>
      <c r="K171" s="2547"/>
      <c r="L171" s="67" t="s">
        <v>983</v>
      </c>
      <c r="M171" s="2546">
        <v>1</v>
      </c>
      <c r="N171" s="2546"/>
      <c r="O171" s="2546"/>
      <c r="P171" s="2572"/>
      <c r="Q171" s="2546"/>
      <c r="R171" s="2546"/>
      <c r="S171" s="2546"/>
      <c r="T171" s="1855">
        <v>0</v>
      </c>
      <c r="U171" s="77">
        <v>51777700</v>
      </c>
      <c r="V171" s="1603">
        <v>6994700</v>
      </c>
      <c r="W171" s="2204">
        <v>0</v>
      </c>
      <c r="X171" s="2067">
        <f>BB[[#This Row],[NILAI PINJAMAN DALAM BB (PERUBAHAN)]]+BB[[#This Row],[PENDAMPING BB]]+BB[[#This Row],[HIBAH BB]]</f>
        <v>58772400</v>
      </c>
      <c r="Y171" s="2212" t="s">
        <v>633</v>
      </c>
      <c r="Z171" s="2084" t="s">
        <v>633</v>
      </c>
      <c r="AA171" s="2220">
        <f>BB[[#This Row],[NILAI PINJAMAN DALAM BB (PERUBAHAN)]]</f>
        <v>51777700</v>
      </c>
      <c r="AB171" s="1877"/>
      <c r="AC171" s="2221"/>
      <c r="AD171" s="2222"/>
      <c r="AE171" s="2223"/>
      <c r="AF171" s="2222"/>
      <c r="AG171" s="2234"/>
      <c r="AH171" s="1877"/>
      <c r="AI171" s="2235"/>
      <c r="AJ171" s="2118"/>
      <c r="AK171" s="2118"/>
      <c r="AL171" s="2118"/>
      <c r="AM171" s="2618"/>
      <c r="AN171" s="3227" t="s">
        <v>603</v>
      </c>
      <c r="AO171" s="2224" t="s">
        <v>603</v>
      </c>
      <c r="AP171" s="2118" t="s">
        <v>570</v>
      </c>
      <c r="AQ171" s="1912"/>
      <c r="AR171" s="3210" t="s">
        <v>571</v>
      </c>
      <c r="AS171" s="2143"/>
      <c r="AT171" s="2143">
        <f>BB[[#This Row],[NILAI PINJAMAN PER LENDER]]</f>
        <v>51777700</v>
      </c>
      <c r="AU171" s="2084" t="s">
        <v>633</v>
      </c>
      <c r="AV171" s="2070">
        <f>BB[[#This Row],[NILAI PINJAMAN KONFIRMASI BILA-MULTI]]</f>
        <v>51777700</v>
      </c>
      <c r="AW171" s="2143"/>
      <c r="AX171" s="2182"/>
      <c r="AY171" s="2278"/>
      <c r="AZ171" s="2118"/>
      <c r="BA171" s="2162"/>
      <c r="BB171" s="1971"/>
    </row>
    <row r="172" spans="1:54" s="2507" customFormat="1" ht="20.100000000000001" customHeight="1">
      <c r="A172" s="2635"/>
      <c r="B172" s="2546"/>
      <c r="C172" s="2546"/>
      <c r="D172" s="2547" t="s">
        <v>352</v>
      </c>
      <c r="E172" s="2546"/>
      <c r="F172" s="2547" t="s">
        <v>354</v>
      </c>
      <c r="G172" s="1912"/>
      <c r="H172" s="2547" t="s">
        <v>358</v>
      </c>
      <c r="I172" s="2546"/>
      <c r="J172" s="2547" t="s">
        <v>357</v>
      </c>
      <c r="K172" s="2547"/>
      <c r="L172" s="67" t="s">
        <v>984</v>
      </c>
      <c r="M172" s="2546">
        <v>1</v>
      </c>
      <c r="N172" s="2546"/>
      <c r="O172" s="2546"/>
      <c r="P172" s="2572"/>
      <c r="Q172" s="2546"/>
      <c r="R172" s="2546"/>
      <c r="S172" s="2546"/>
      <c r="T172" s="1855">
        <v>0</v>
      </c>
      <c r="U172" s="77">
        <v>49950100</v>
      </c>
      <c r="V172" s="1603">
        <v>5040700</v>
      </c>
      <c r="W172" s="2204">
        <v>0</v>
      </c>
      <c r="X172" s="2067">
        <f>BB[[#This Row],[NILAI PINJAMAN DALAM BB (PERUBAHAN)]]+BB[[#This Row],[PENDAMPING BB]]+BB[[#This Row],[HIBAH BB]]</f>
        <v>54990800</v>
      </c>
      <c r="Y172" s="2212" t="s">
        <v>633</v>
      </c>
      <c r="Z172" s="2084" t="s">
        <v>633</v>
      </c>
      <c r="AA172" s="2220">
        <f>BB[[#This Row],[NILAI PINJAMAN DALAM BB (PERUBAHAN)]]</f>
        <v>49950100</v>
      </c>
      <c r="AB172" s="1877"/>
      <c r="AC172" s="2221"/>
      <c r="AD172" s="2222"/>
      <c r="AE172" s="2223"/>
      <c r="AF172" s="2222"/>
      <c r="AG172" s="2234"/>
      <c r="AH172" s="1877"/>
      <c r="AI172" s="2235"/>
      <c r="AJ172" s="2118"/>
      <c r="AK172" s="2118"/>
      <c r="AL172" s="2118"/>
      <c r="AM172" s="2618"/>
      <c r="AN172" s="3227" t="s">
        <v>603</v>
      </c>
      <c r="AO172" s="2224" t="s">
        <v>603</v>
      </c>
      <c r="AP172" s="2118" t="s">
        <v>570</v>
      </c>
      <c r="AQ172" s="1912"/>
      <c r="AR172" s="3210" t="s">
        <v>571</v>
      </c>
      <c r="AS172" s="2143"/>
      <c r="AT172" s="2143">
        <f>BB[[#This Row],[NILAI PINJAMAN PER LENDER]]</f>
        <v>49950100</v>
      </c>
      <c r="AU172" s="2084" t="s">
        <v>633</v>
      </c>
      <c r="AV172" s="2070">
        <f>BB[[#This Row],[NILAI PINJAMAN KONFIRMASI BILA-MULTI]]</f>
        <v>49950100</v>
      </c>
      <c r="AW172" s="2143"/>
      <c r="AX172" s="2182"/>
      <c r="AY172" s="2278"/>
      <c r="AZ172" s="2118"/>
      <c r="BA172" s="2162"/>
      <c r="BB172" s="1971"/>
    </row>
    <row r="173" spans="1:54" s="2507" customFormat="1" ht="20.100000000000001" customHeight="1">
      <c r="A173" s="2542">
        <v>121</v>
      </c>
      <c r="B173" s="2543"/>
      <c r="C173" s="2543"/>
      <c r="D173" s="2544" t="s">
        <v>352</v>
      </c>
      <c r="E173" s="2543">
        <v>9</v>
      </c>
      <c r="F173" s="2544" t="s">
        <v>377</v>
      </c>
      <c r="G173" s="2193"/>
      <c r="H173" s="2544" t="s">
        <v>381</v>
      </c>
      <c r="I173" s="2543" t="s">
        <v>23</v>
      </c>
      <c r="J173" s="2544" t="s">
        <v>380</v>
      </c>
      <c r="K173" s="2543">
        <v>1</v>
      </c>
      <c r="L173" s="3224" t="s">
        <v>383</v>
      </c>
      <c r="M173" s="2543">
        <v>0</v>
      </c>
      <c r="N173" s="2543">
        <v>0</v>
      </c>
      <c r="O173" s="2543">
        <v>1</v>
      </c>
      <c r="P173" s="2570">
        <v>0</v>
      </c>
      <c r="Q173" s="2543">
        <v>0</v>
      </c>
      <c r="R173" s="2543">
        <v>1</v>
      </c>
      <c r="S173" s="2543">
        <v>102</v>
      </c>
      <c r="T173" s="1854">
        <f>SUM(T174:T180)</f>
        <v>238210000</v>
      </c>
      <c r="U173" s="1854">
        <f>SUM(U174:U180)</f>
        <v>298145500</v>
      </c>
      <c r="V173" s="1854">
        <f>SUM(V174:V180)</f>
        <v>60851400</v>
      </c>
      <c r="W173" s="1854">
        <f>SUM(W174:W180)</f>
        <v>0</v>
      </c>
      <c r="X173" s="1854">
        <f>SUM(X174:X179)</f>
        <v>288657100</v>
      </c>
      <c r="Y173" s="2219" t="s">
        <v>21</v>
      </c>
      <c r="Z173" s="2219"/>
      <c r="AA173" s="1854">
        <f>SUM(AA174:AA179)</f>
        <v>238210000</v>
      </c>
      <c r="AB173" s="1874"/>
      <c r="AC173" s="1854"/>
      <c r="AD173" s="1875"/>
      <c r="AE173" s="1854"/>
      <c r="AF173" s="1875"/>
      <c r="AG173" s="2219">
        <f>+BB[[#This Row],[NILAI PINJAMAN PER LENDER]]-BB[[#This Row],[NILAI PINJAMAN DALAM BB]]</f>
        <v>0</v>
      </c>
      <c r="AH173" s="1874" t="s">
        <v>21</v>
      </c>
      <c r="AI173" s="2193" t="s">
        <v>21</v>
      </c>
      <c r="AJ173" s="2193" t="s">
        <v>21</v>
      </c>
      <c r="AK173" s="2227" t="s">
        <v>21</v>
      </c>
      <c r="AL173" s="3228" t="s">
        <v>21</v>
      </c>
      <c r="AM173" s="3213" t="s">
        <v>21</v>
      </c>
      <c r="AN173" s="3202" t="s">
        <v>21</v>
      </c>
      <c r="AO173" s="3202" t="s">
        <v>21</v>
      </c>
      <c r="AP173" s="2193"/>
      <c r="AQ173" s="2193"/>
      <c r="AR173" s="3225" t="s">
        <v>21</v>
      </c>
      <c r="AS173" s="2193"/>
      <c r="AT173" s="1854">
        <f>SUM(AT174:AT179)</f>
        <v>238210000</v>
      </c>
      <c r="AU173" s="2219" t="s">
        <v>21</v>
      </c>
      <c r="AV173" s="2219"/>
      <c r="AW173" s="2247" t="s">
        <v>21</v>
      </c>
      <c r="AX173" s="2219"/>
      <c r="AY173" s="3228" t="s">
        <v>985</v>
      </c>
      <c r="AZ173" s="2236"/>
      <c r="BA173" s="1965" t="s">
        <v>962</v>
      </c>
      <c r="BB173" s="1971"/>
    </row>
    <row r="174" spans="1:54" s="2507" customFormat="1" ht="20.100000000000001" customHeight="1">
      <c r="A174" s="2545">
        <v>124</v>
      </c>
      <c r="B174" s="2546"/>
      <c r="C174" s="2546"/>
      <c r="D174" s="2547" t="s">
        <v>352</v>
      </c>
      <c r="E174" s="2546">
        <v>9</v>
      </c>
      <c r="F174" s="2547" t="s">
        <v>377</v>
      </c>
      <c r="G174" s="1788"/>
      <c r="H174" s="2547" t="s">
        <v>381</v>
      </c>
      <c r="I174" s="2549" t="s">
        <v>23</v>
      </c>
      <c r="J174" s="2547" t="s">
        <v>380</v>
      </c>
      <c r="K174" s="2546">
        <v>1</v>
      </c>
      <c r="L174" s="3203" t="s">
        <v>986</v>
      </c>
      <c r="M174" s="2546">
        <v>1</v>
      </c>
      <c r="N174" s="2546">
        <v>1</v>
      </c>
      <c r="O174" s="2546">
        <v>2</v>
      </c>
      <c r="P174" s="2549">
        <f t="shared" ref="P174:Q178" si="17">1/6</f>
        <v>0.16666666666666666</v>
      </c>
      <c r="Q174" s="2549">
        <f t="shared" si="17"/>
        <v>0.16666666666666666</v>
      </c>
      <c r="R174" s="2549">
        <v>0</v>
      </c>
      <c r="S174" s="2549"/>
      <c r="T174" s="1855">
        <v>40000000</v>
      </c>
      <c r="U174" s="1855">
        <v>40000000</v>
      </c>
      <c r="V174" s="1855">
        <v>10000000</v>
      </c>
      <c r="W174" s="1855">
        <v>0</v>
      </c>
      <c r="X174" s="1856">
        <f t="shared" ref="X174:X179" si="18">T174+V174+W174</f>
        <v>50000000</v>
      </c>
      <c r="Y174" s="2070" t="s">
        <v>58</v>
      </c>
      <c r="Z174" s="1879" t="s">
        <v>619</v>
      </c>
      <c r="AA174" s="1876">
        <v>40000000</v>
      </c>
      <c r="AB174" s="1877"/>
      <c r="AC174" s="1876"/>
      <c r="AD174" s="2098"/>
      <c r="AE174" s="1876"/>
      <c r="AF174" s="2098"/>
      <c r="AG174" s="2070">
        <v>0</v>
      </c>
      <c r="AH174" s="1877" t="s">
        <v>617</v>
      </c>
      <c r="AI174" s="2118" t="s">
        <v>248</v>
      </c>
      <c r="AJ174" s="3205" t="s">
        <v>387</v>
      </c>
      <c r="AK174" s="1913">
        <v>0.85</v>
      </c>
      <c r="AL174" s="3229" t="s">
        <v>21</v>
      </c>
      <c r="AM174" s="2583">
        <v>2016</v>
      </c>
      <c r="AN174" s="3226" t="s">
        <v>568</v>
      </c>
      <c r="AO174" s="2254" t="s">
        <v>568</v>
      </c>
      <c r="AP174" s="1912" t="s">
        <v>570</v>
      </c>
      <c r="AQ174" s="1912"/>
      <c r="AR174" s="3215" t="s">
        <v>21</v>
      </c>
      <c r="AS174" s="2132"/>
      <c r="AT174" s="1876">
        <v>40000000</v>
      </c>
      <c r="AU174" s="2070" t="s">
        <v>58</v>
      </c>
      <c r="AV174" s="2070">
        <f>BB[[#This Row],[NILAI PINJAMAN KONFIRMASI BILA-MULTI]]</f>
        <v>40000000</v>
      </c>
      <c r="AW174" s="1912" t="s">
        <v>21</v>
      </c>
      <c r="AX174" s="1879" t="s">
        <v>619</v>
      </c>
      <c r="AY174" s="3206" t="s">
        <v>987</v>
      </c>
      <c r="AZ174" s="2237"/>
      <c r="BA174" s="3194" t="s">
        <v>988</v>
      </c>
      <c r="BB174" s="1971"/>
    </row>
    <row r="175" spans="1:54" s="2507" customFormat="1" ht="20.100000000000001" customHeight="1">
      <c r="A175" s="2545">
        <v>125</v>
      </c>
      <c r="B175" s="2546"/>
      <c r="C175" s="2546"/>
      <c r="D175" s="2547" t="s">
        <v>352</v>
      </c>
      <c r="E175" s="2546">
        <v>9</v>
      </c>
      <c r="F175" s="2547" t="s">
        <v>377</v>
      </c>
      <c r="G175" s="1788"/>
      <c r="H175" s="2547" t="s">
        <v>381</v>
      </c>
      <c r="I175" s="2549" t="s">
        <v>23</v>
      </c>
      <c r="J175" s="2547" t="s">
        <v>380</v>
      </c>
      <c r="K175" s="2546">
        <v>1</v>
      </c>
      <c r="L175" s="3203" t="s">
        <v>989</v>
      </c>
      <c r="M175" s="2546">
        <v>1</v>
      </c>
      <c r="N175" s="2546">
        <v>1</v>
      </c>
      <c r="O175" s="2546">
        <v>2</v>
      </c>
      <c r="P175" s="2549">
        <f t="shared" si="17"/>
        <v>0.16666666666666666</v>
      </c>
      <c r="Q175" s="2549">
        <f t="shared" si="17"/>
        <v>0.16666666666666666</v>
      </c>
      <c r="R175" s="2549">
        <v>0</v>
      </c>
      <c r="S175" s="2549"/>
      <c r="T175" s="1855">
        <v>40000000</v>
      </c>
      <c r="U175" s="1855">
        <v>40000000</v>
      </c>
      <c r="V175" s="1855">
        <v>5985000</v>
      </c>
      <c r="W175" s="1855">
        <v>0</v>
      </c>
      <c r="X175" s="1856">
        <f t="shared" si="18"/>
        <v>45985000</v>
      </c>
      <c r="Y175" s="2070" t="s">
        <v>58</v>
      </c>
      <c r="Z175" s="1879" t="s">
        <v>619</v>
      </c>
      <c r="AA175" s="1876">
        <v>40000000</v>
      </c>
      <c r="AB175" s="1877"/>
      <c r="AC175" s="1876"/>
      <c r="AD175" s="2098"/>
      <c r="AE175" s="1876"/>
      <c r="AF175" s="2098"/>
      <c r="AG175" s="2070">
        <v>0</v>
      </c>
      <c r="AH175" s="1877" t="s">
        <v>617</v>
      </c>
      <c r="AI175" s="2118" t="s">
        <v>248</v>
      </c>
      <c r="AJ175" s="3205" t="s">
        <v>391</v>
      </c>
      <c r="AK175" s="1913">
        <v>1</v>
      </c>
      <c r="AL175" s="3229" t="s">
        <v>21</v>
      </c>
      <c r="AM175" s="2583">
        <v>2016</v>
      </c>
      <c r="AN175" s="3227" t="s">
        <v>568</v>
      </c>
      <c r="AO175" s="2255" t="s">
        <v>568</v>
      </c>
      <c r="AP175" s="1912" t="s">
        <v>570</v>
      </c>
      <c r="AQ175" s="1912"/>
      <c r="AR175" s="3215" t="s">
        <v>21</v>
      </c>
      <c r="AS175" s="2132"/>
      <c r="AT175" s="1876">
        <v>40000000</v>
      </c>
      <c r="AU175" s="2070" t="s">
        <v>58</v>
      </c>
      <c r="AV175" s="2070">
        <f>BB[[#This Row],[NILAI PINJAMAN KONFIRMASI BILA-MULTI]]</f>
        <v>40000000</v>
      </c>
      <c r="AW175" s="1912" t="s">
        <v>21</v>
      </c>
      <c r="AX175" s="1879" t="s">
        <v>619</v>
      </c>
      <c r="AY175" s="3230" t="s">
        <v>990</v>
      </c>
      <c r="AZ175" s="2279"/>
      <c r="BA175" s="3194" t="s">
        <v>991</v>
      </c>
      <c r="BB175" s="1971"/>
    </row>
    <row r="176" spans="1:54" s="2507" customFormat="1" ht="20.100000000000001" customHeight="1">
      <c r="A176" s="2545">
        <v>126</v>
      </c>
      <c r="B176" s="2546"/>
      <c r="C176" s="2546"/>
      <c r="D176" s="2547" t="s">
        <v>352</v>
      </c>
      <c r="E176" s="2546">
        <v>9</v>
      </c>
      <c r="F176" s="2547" t="s">
        <v>377</v>
      </c>
      <c r="G176" s="1788"/>
      <c r="H176" s="2547" t="s">
        <v>381</v>
      </c>
      <c r="I176" s="2549" t="s">
        <v>23</v>
      </c>
      <c r="J176" s="2547" t="s">
        <v>380</v>
      </c>
      <c r="K176" s="2546">
        <v>1</v>
      </c>
      <c r="L176" s="3203" t="s">
        <v>992</v>
      </c>
      <c r="M176" s="2546">
        <v>1</v>
      </c>
      <c r="N176" s="2546">
        <v>1</v>
      </c>
      <c r="O176" s="2546">
        <v>2</v>
      </c>
      <c r="P176" s="2549">
        <f t="shared" si="17"/>
        <v>0.16666666666666666</v>
      </c>
      <c r="Q176" s="2549">
        <f t="shared" si="17"/>
        <v>0.16666666666666666</v>
      </c>
      <c r="R176" s="2549">
        <v>0</v>
      </c>
      <c r="S176" s="2549"/>
      <c r="T176" s="1855">
        <v>39908600</v>
      </c>
      <c r="U176" s="1855">
        <v>39908600</v>
      </c>
      <c r="V176" s="1855">
        <v>10290700</v>
      </c>
      <c r="W176" s="1855">
        <v>0</v>
      </c>
      <c r="X176" s="1856">
        <f t="shared" si="18"/>
        <v>50199300</v>
      </c>
      <c r="Y176" s="2070" t="s">
        <v>58</v>
      </c>
      <c r="Z176" s="1879" t="s">
        <v>619</v>
      </c>
      <c r="AA176" s="1876">
        <v>39900000</v>
      </c>
      <c r="AB176" s="1877"/>
      <c r="AC176" s="1876"/>
      <c r="AD176" s="2098"/>
      <c r="AE176" s="1876"/>
      <c r="AF176" s="2098"/>
      <c r="AG176" s="2070">
        <v>0</v>
      </c>
      <c r="AH176" s="1877" t="s">
        <v>617</v>
      </c>
      <c r="AI176" s="2118" t="s">
        <v>248</v>
      </c>
      <c r="AJ176" s="2118" t="s">
        <v>394</v>
      </c>
      <c r="AK176" s="1913">
        <v>1</v>
      </c>
      <c r="AL176" s="3229" t="s">
        <v>21</v>
      </c>
      <c r="AM176" s="2583">
        <v>2016</v>
      </c>
      <c r="AN176" s="3226" t="s">
        <v>568</v>
      </c>
      <c r="AO176" s="2255" t="s">
        <v>568</v>
      </c>
      <c r="AP176" s="1912" t="s">
        <v>570</v>
      </c>
      <c r="AQ176" s="1912"/>
      <c r="AR176" s="3215" t="s">
        <v>21</v>
      </c>
      <c r="AS176" s="2132"/>
      <c r="AT176" s="1876">
        <v>39900000</v>
      </c>
      <c r="AU176" s="2070" t="s">
        <v>58</v>
      </c>
      <c r="AV176" s="2070">
        <f>BB[[#This Row],[NILAI PINJAMAN KONFIRMASI BILA-MULTI]]</f>
        <v>39900000</v>
      </c>
      <c r="AW176" s="3160" t="s">
        <v>21</v>
      </c>
      <c r="AX176" s="1879" t="s">
        <v>619</v>
      </c>
      <c r="AY176" s="2237" t="s">
        <v>985</v>
      </c>
      <c r="AZ176" s="2237"/>
      <c r="BA176" s="3194" t="s">
        <v>993</v>
      </c>
      <c r="BB176" s="1971"/>
    </row>
    <row r="177" spans="1:54" s="2507" customFormat="1" ht="20.100000000000001" customHeight="1">
      <c r="A177" s="2545">
        <v>127</v>
      </c>
      <c r="B177" s="2546"/>
      <c r="C177" s="2546"/>
      <c r="D177" s="2547" t="s">
        <v>352</v>
      </c>
      <c r="E177" s="2546" t="s">
        <v>994</v>
      </c>
      <c r="F177" s="2547" t="s">
        <v>377</v>
      </c>
      <c r="G177" s="1788"/>
      <c r="H177" s="2547" t="s">
        <v>381</v>
      </c>
      <c r="I177" s="2549" t="s">
        <v>23</v>
      </c>
      <c r="J177" s="2547" t="s">
        <v>380</v>
      </c>
      <c r="K177" s="2546">
        <v>1</v>
      </c>
      <c r="L177" s="3203" t="s">
        <v>995</v>
      </c>
      <c r="M177" s="2546">
        <v>1</v>
      </c>
      <c r="N177" s="2546">
        <v>1</v>
      </c>
      <c r="O177" s="2546">
        <v>2</v>
      </c>
      <c r="P177" s="2549">
        <f t="shared" si="17"/>
        <v>0.16666666666666666</v>
      </c>
      <c r="Q177" s="2549">
        <f t="shared" si="17"/>
        <v>0.16666666666666666</v>
      </c>
      <c r="R177" s="2549">
        <v>0</v>
      </c>
      <c r="S177" s="2549"/>
      <c r="T177" s="1855">
        <v>40000000</v>
      </c>
      <c r="U177" s="1855">
        <v>40000000</v>
      </c>
      <c r="V177" s="1855">
        <v>10000000</v>
      </c>
      <c r="W177" s="1855">
        <v>0</v>
      </c>
      <c r="X177" s="1856">
        <f t="shared" si="18"/>
        <v>50000000</v>
      </c>
      <c r="Y177" s="2070" t="s">
        <v>58</v>
      </c>
      <c r="Z177" s="1879" t="s">
        <v>619</v>
      </c>
      <c r="AA177" s="1876">
        <v>40000000</v>
      </c>
      <c r="AB177" s="1877"/>
      <c r="AC177" s="1876"/>
      <c r="AD177" s="2098"/>
      <c r="AE177" s="1876"/>
      <c r="AF177" s="2098"/>
      <c r="AG177" s="2070">
        <v>0</v>
      </c>
      <c r="AH177" s="1877" t="s">
        <v>617</v>
      </c>
      <c r="AI177" s="2118" t="s">
        <v>248</v>
      </c>
      <c r="AJ177" s="2118" t="s">
        <v>396</v>
      </c>
      <c r="AK177" s="1913">
        <v>1</v>
      </c>
      <c r="AL177" s="3229" t="s">
        <v>21</v>
      </c>
      <c r="AM177" s="2583">
        <v>2016</v>
      </c>
      <c r="AN177" s="3226" t="s">
        <v>568</v>
      </c>
      <c r="AO177" s="2255" t="s">
        <v>568</v>
      </c>
      <c r="AP177" s="1912" t="s">
        <v>570</v>
      </c>
      <c r="AQ177" s="1912"/>
      <c r="AR177" s="3215" t="s">
        <v>21</v>
      </c>
      <c r="AS177" s="2132"/>
      <c r="AT177" s="1876">
        <v>40000000</v>
      </c>
      <c r="AU177" s="2070" t="s">
        <v>58</v>
      </c>
      <c r="AV177" s="2070">
        <f>BB[[#This Row],[NILAI PINJAMAN KONFIRMASI BILA-MULTI]]</f>
        <v>40000000</v>
      </c>
      <c r="AW177" s="1912" t="s">
        <v>21</v>
      </c>
      <c r="AX177" s="1879" t="s">
        <v>619</v>
      </c>
      <c r="AY177" s="2237" t="s">
        <v>985</v>
      </c>
      <c r="AZ177" s="2237"/>
      <c r="BA177" s="3187" t="s">
        <v>996</v>
      </c>
      <c r="BB177" s="1971"/>
    </row>
    <row r="178" spans="1:54" s="645" customFormat="1" ht="20.100000000000001" customHeight="1">
      <c r="A178" s="2545">
        <v>128</v>
      </c>
      <c r="B178" s="2546"/>
      <c r="C178" s="2546"/>
      <c r="D178" s="2547" t="s">
        <v>352</v>
      </c>
      <c r="E178" s="2546">
        <v>9</v>
      </c>
      <c r="F178" s="2547" t="s">
        <v>377</v>
      </c>
      <c r="G178" s="1788"/>
      <c r="H178" s="2547" t="s">
        <v>381</v>
      </c>
      <c r="I178" s="2549" t="s">
        <v>23</v>
      </c>
      <c r="J178" s="2547" t="s">
        <v>380</v>
      </c>
      <c r="K178" s="2546">
        <v>1</v>
      </c>
      <c r="L178" s="3203" t="s">
        <v>997</v>
      </c>
      <c r="M178" s="2546">
        <v>1</v>
      </c>
      <c r="N178" s="2546">
        <v>1</v>
      </c>
      <c r="O178" s="2546">
        <v>2</v>
      </c>
      <c r="P178" s="2549">
        <f t="shared" si="17"/>
        <v>0.16666666666666666</v>
      </c>
      <c r="Q178" s="2549">
        <f t="shared" si="17"/>
        <v>0.16666666666666666</v>
      </c>
      <c r="R178" s="2549">
        <v>0</v>
      </c>
      <c r="S178" s="2549"/>
      <c r="T178" s="1855">
        <v>40000000</v>
      </c>
      <c r="U178" s="1855">
        <v>40000000</v>
      </c>
      <c r="V178" s="1855">
        <v>10000000</v>
      </c>
      <c r="W178" s="1855">
        <v>0</v>
      </c>
      <c r="X178" s="1856">
        <f t="shared" si="18"/>
        <v>50000000</v>
      </c>
      <c r="Y178" s="2070" t="s">
        <v>58</v>
      </c>
      <c r="Z178" s="1879" t="s">
        <v>619</v>
      </c>
      <c r="AA178" s="1876">
        <v>40000000</v>
      </c>
      <c r="AB178" s="1877"/>
      <c r="AC178" s="1876"/>
      <c r="AD178" s="2098"/>
      <c r="AE178" s="1876"/>
      <c r="AF178" s="2098"/>
      <c r="AG178" s="2070">
        <v>0</v>
      </c>
      <c r="AH178" s="1877" t="s">
        <v>617</v>
      </c>
      <c r="AI178" s="2118" t="s">
        <v>248</v>
      </c>
      <c r="AJ178" s="3205" t="s">
        <v>398</v>
      </c>
      <c r="AK178" s="1913">
        <v>1</v>
      </c>
      <c r="AL178" s="3229" t="s">
        <v>21</v>
      </c>
      <c r="AM178" s="2583">
        <v>2016</v>
      </c>
      <c r="AN178" s="3226" t="s">
        <v>568</v>
      </c>
      <c r="AO178" s="2255" t="s">
        <v>568</v>
      </c>
      <c r="AP178" s="1912" t="s">
        <v>570</v>
      </c>
      <c r="AQ178" s="1912"/>
      <c r="AR178" s="3215" t="s">
        <v>21</v>
      </c>
      <c r="AS178" s="2132"/>
      <c r="AT178" s="1876">
        <v>40000000</v>
      </c>
      <c r="AU178" s="2070" t="s">
        <v>58</v>
      </c>
      <c r="AV178" s="2070">
        <f>BB[[#This Row],[NILAI PINJAMAN KONFIRMASI BILA-MULTI]]</f>
        <v>40000000</v>
      </c>
      <c r="AW178" s="1912" t="s">
        <v>21</v>
      </c>
      <c r="AX178" s="1879" t="s">
        <v>619</v>
      </c>
      <c r="AY178" s="3230" t="s">
        <v>998</v>
      </c>
      <c r="AZ178" s="2279"/>
      <c r="BA178" s="3187" t="s">
        <v>999</v>
      </c>
      <c r="BB178" s="1764"/>
    </row>
    <row r="179" spans="1:54" s="645" customFormat="1" ht="20.100000000000001" customHeight="1">
      <c r="A179" s="2545">
        <v>123</v>
      </c>
      <c r="B179" s="2546"/>
      <c r="C179" s="2546"/>
      <c r="D179" s="2547" t="s">
        <v>352</v>
      </c>
      <c r="E179" s="2546">
        <v>9</v>
      </c>
      <c r="F179" s="2547" t="s">
        <v>377</v>
      </c>
      <c r="G179" s="1788"/>
      <c r="H179" s="2547" t="s">
        <v>381</v>
      </c>
      <c r="I179" s="2549" t="s">
        <v>23</v>
      </c>
      <c r="J179" s="2547" t="s">
        <v>380</v>
      </c>
      <c r="K179" s="2546">
        <v>1</v>
      </c>
      <c r="L179" s="3203" t="s">
        <v>1000</v>
      </c>
      <c r="M179" s="2546">
        <v>1</v>
      </c>
      <c r="N179" s="2546">
        <v>1</v>
      </c>
      <c r="O179" s="2546">
        <v>2</v>
      </c>
      <c r="P179" s="2549">
        <f>1/6</f>
        <v>0.16666666666666666</v>
      </c>
      <c r="Q179" s="2549">
        <f>1/6</f>
        <v>0.16666666666666666</v>
      </c>
      <c r="R179" s="2549">
        <v>0</v>
      </c>
      <c r="S179" s="2549"/>
      <c r="T179" s="1855">
        <v>38301400</v>
      </c>
      <c r="U179" s="1855">
        <v>38301400</v>
      </c>
      <c r="V179" s="1855">
        <v>4171400</v>
      </c>
      <c r="W179" s="1855">
        <v>0</v>
      </c>
      <c r="X179" s="1856">
        <f t="shared" si="18"/>
        <v>42472800</v>
      </c>
      <c r="Y179" s="2070" t="s">
        <v>58</v>
      </c>
      <c r="Z179" s="1879" t="s">
        <v>619</v>
      </c>
      <c r="AA179" s="1876">
        <v>38310000</v>
      </c>
      <c r="AB179" s="1877"/>
      <c r="AC179" s="1876"/>
      <c r="AD179" s="2098"/>
      <c r="AE179" s="1876"/>
      <c r="AF179" s="2098"/>
      <c r="AG179" s="2070">
        <v>0</v>
      </c>
      <c r="AH179" s="1877" t="s">
        <v>617</v>
      </c>
      <c r="AI179" s="2118" t="s">
        <v>248</v>
      </c>
      <c r="AJ179" s="2118" t="s">
        <v>385</v>
      </c>
      <c r="AK179" s="1913">
        <v>1</v>
      </c>
      <c r="AL179" s="3229" t="s">
        <v>21</v>
      </c>
      <c r="AM179" s="2583">
        <v>2016</v>
      </c>
      <c r="AN179" s="3226" t="s">
        <v>568</v>
      </c>
      <c r="AO179" s="2255" t="s">
        <v>568</v>
      </c>
      <c r="AP179" s="1912" t="s">
        <v>570</v>
      </c>
      <c r="AQ179" s="1912"/>
      <c r="AR179" s="3215" t="s">
        <v>21</v>
      </c>
      <c r="AS179" s="2132"/>
      <c r="AT179" s="1876">
        <v>38310000</v>
      </c>
      <c r="AU179" s="2070" t="s">
        <v>58</v>
      </c>
      <c r="AV179" s="2070">
        <f>BB[[#This Row],[NILAI PINJAMAN KONFIRMASI BILA-MULTI]]</f>
        <v>38310000</v>
      </c>
      <c r="AW179" s="1912" t="s">
        <v>21</v>
      </c>
      <c r="AX179" s="1879" t="s">
        <v>619</v>
      </c>
      <c r="AY179" s="3229" t="s">
        <v>985</v>
      </c>
      <c r="AZ179" s="2237"/>
      <c r="BA179" s="3194" t="s">
        <v>1001</v>
      </c>
      <c r="BB179" s="1764"/>
    </row>
    <row r="180" spans="1:54" s="645" customFormat="1" ht="20.100000000000001" customHeight="1">
      <c r="A180" s="2563"/>
      <c r="B180" s="2549"/>
      <c r="C180" s="2549"/>
      <c r="D180" s="2547" t="s">
        <v>352</v>
      </c>
      <c r="E180" s="2549"/>
      <c r="F180" s="2547" t="s">
        <v>377</v>
      </c>
      <c r="G180" s="1788"/>
      <c r="H180" s="2547" t="s">
        <v>381</v>
      </c>
      <c r="I180" s="2549"/>
      <c r="J180" s="2547" t="s">
        <v>380</v>
      </c>
      <c r="K180" s="2550"/>
      <c r="L180" s="3231" t="s">
        <v>1002</v>
      </c>
      <c r="M180" s="2549">
        <v>1</v>
      </c>
      <c r="N180" s="2549"/>
      <c r="O180" s="2549"/>
      <c r="P180" s="2573"/>
      <c r="Q180" s="2549"/>
      <c r="R180" s="2549"/>
      <c r="S180" s="2549"/>
      <c r="T180" s="1856">
        <v>0</v>
      </c>
      <c r="U180" s="77">
        <v>59935500</v>
      </c>
      <c r="V180" s="1603">
        <v>10404300</v>
      </c>
      <c r="W180" s="2204"/>
      <c r="X180" s="2067">
        <f>BB[[#This Row],[NILAI PINJAMAN DALAM BB (PERUBAHAN)]]+BB[[#This Row],[PENDAMPING BB]]+BB[[#This Row],[HIBAH BB]]</f>
        <v>70339800</v>
      </c>
      <c r="Y180" s="2212" t="s">
        <v>633</v>
      </c>
      <c r="Z180" s="2084" t="s">
        <v>633</v>
      </c>
      <c r="AA180" s="2094">
        <f>BB[[#This Row],[NILAI PINJAMAN DALAM BB (PERUBAHAN)]]</f>
        <v>59935500</v>
      </c>
      <c r="AB180" s="1880"/>
      <c r="AC180" s="1680"/>
      <c r="AD180" s="2074"/>
      <c r="AE180" s="2075"/>
      <c r="AF180" s="2074"/>
      <c r="AG180" s="2070"/>
      <c r="AH180" s="1877"/>
      <c r="AI180" s="2102"/>
      <c r="AJ180" s="2011"/>
      <c r="AK180" s="2011"/>
      <c r="AL180" s="2011"/>
      <c r="AM180" s="2583"/>
      <c r="AN180" s="3202" t="s">
        <v>603</v>
      </c>
      <c r="AO180" s="1925" t="s">
        <v>603</v>
      </c>
      <c r="AP180" s="2011" t="s">
        <v>570</v>
      </c>
      <c r="AQ180" s="1912"/>
      <c r="AR180" s="2143"/>
      <c r="AS180" s="2143"/>
      <c r="AT180" s="2143">
        <v>59935500</v>
      </c>
      <c r="AU180" s="2084" t="s">
        <v>633</v>
      </c>
      <c r="AV180" s="2070">
        <f>BB[[#This Row],[NILAI PINJAMAN KONFIRMASI BILA-MULTI]]</f>
        <v>59935500</v>
      </c>
      <c r="AW180" s="2143"/>
      <c r="AX180" s="2182"/>
      <c r="AY180" s="2257"/>
      <c r="AZ180" s="2237"/>
      <c r="BA180" s="2149"/>
      <c r="BB180" s="1764"/>
    </row>
    <row r="181" spans="1:54" s="645" customFormat="1" ht="20.100000000000001" customHeight="1">
      <c r="A181" s="2548">
        <v>129</v>
      </c>
      <c r="B181" s="2549"/>
      <c r="C181" s="2549"/>
      <c r="D181" s="2550" t="s">
        <v>352</v>
      </c>
      <c r="E181" s="2549">
        <v>10</v>
      </c>
      <c r="F181" s="2550" t="s">
        <v>400</v>
      </c>
      <c r="G181" s="1788"/>
      <c r="H181" s="2550" t="s">
        <v>403</v>
      </c>
      <c r="I181" s="2549" t="s">
        <v>23</v>
      </c>
      <c r="J181" s="2550" t="s">
        <v>1003</v>
      </c>
      <c r="K181" s="2549">
        <v>1</v>
      </c>
      <c r="L181" s="3231" t="s">
        <v>404</v>
      </c>
      <c r="M181" s="2549">
        <v>1</v>
      </c>
      <c r="N181" s="2549">
        <v>1</v>
      </c>
      <c r="O181" s="2549">
        <v>0</v>
      </c>
      <c r="P181" s="2573">
        <v>1</v>
      </c>
      <c r="Q181" s="2549">
        <v>1</v>
      </c>
      <c r="R181" s="2549">
        <v>1</v>
      </c>
      <c r="S181" s="2549">
        <v>103</v>
      </c>
      <c r="T181" s="1856">
        <v>300000000</v>
      </c>
      <c r="U181" s="1856">
        <v>300000000</v>
      </c>
      <c r="V181" s="1856">
        <v>0</v>
      </c>
      <c r="W181" s="1856">
        <v>0</v>
      </c>
      <c r="X181" s="2068">
        <v>300000000</v>
      </c>
      <c r="Y181" s="2068" t="s">
        <v>62</v>
      </c>
      <c r="Z181" s="1879" t="s">
        <v>619</v>
      </c>
      <c r="AA181" s="1879">
        <v>300000000</v>
      </c>
      <c r="AB181" s="1877"/>
      <c r="AC181" s="1879"/>
      <c r="AD181" s="2095"/>
      <c r="AE181" s="1879"/>
      <c r="AF181" s="2095"/>
      <c r="AG181" s="2070">
        <v>0</v>
      </c>
      <c r="AH181" s="1877" t="s">
        <v>617</v>
      </c>
      <c r="AI181" s="2102" t="s">
        <v>248</v>
      </c>
      <c r="AJ181" s="3160" t="s">
        <v>405</v>
      </c>
      <c r="AK181" s="2011" t="s">
        <v>183</v>
      </c>
      <c r="AL181" s="3160" t="s">
        <v>21</v>
      </c>
      <c r="AM181" s="2583"/>
      <c r="AN181" s="3226" t="s">
        <v>608</v>
      </c>
      <c r="AO181" s="2255" t="s">
        <v>645</v>
      </c>
      <c r="AP181" s="1912" t="s">
        <v>570</v>
      </c>
      <c r="AQ181" s="1912"/>
      <c r="AR181" s="3215" t="s">
        <v>571</v>
      </c>
      <c r="AS181" s="2132"/>
      <c r="AT181" s="1879">
        <v>300000000</v>
      </c>
      <c r="AU181" s="2068" t="s">
        <v>62</v>
      </c>
      <c r="AV181" s="2070">
        <f>BB[[#This Row],[NILAI PINJAMAN KONFIRMASI BILA-MULTI]]</f>
        <v>300000000</v>
      </c>
      <c r="AW181" s="1912" t="s">
        <v>21</v>
      </c>
      <c r="AX181" s="1879" t="s">
        <v>619</v>
      </c>
      <c r="AY181" s="3136" t="s">
        <v>1004</v>
      </c>
      <c r="AZ181" s="3232" t="s">
        <v>1005</v>
      </c>
      <c r="BA181" s="3194" t="s">
        <v>1006</v>
      </c>
      <c r="BB181" s="1764"/>
    </row>
    <row r="182" spans="1:54" s="2504" customFormat="1" ht="20.100000000000001" customHeight="1">
      <c r="A182" s="2548">
        <v>130</v>
      </c>
      <c r="B182" s="2549"/>
      <c r="C182" s="2549"/>
      <c r="D182" s="2550" t="s">
        <v>352</v>
      </c>
      <c r="E182" s="2549">
        <v>11</v>
      </c>
      <c r="F182" s="2550" t="s">
        <v>406</v>
      </c>
      <c r="G182" s="1788"/>
      <c r="H182" s="2550" t="s">
        <v>409</v>
      </c>
      <c r="I182" s="2549" t="s">
        <v>23</v>
      </c>
      <c r="J182" s="2550" t="s">
        <v>408</v>
      </c>
      <c r="K182" s="2549">
        <v>1</v>
      </c>
      <c r="L182" s="2550" t="s">
        <v>410</v>
      </c>
      <c r="M182" s="2549">
        <v>1</v>
      </c>
      <c r="N182" s="2549">
        <v>1</v>
      </c>
      <c r="O182" s="2549">
        <v>0</v>
      </c>
      <c r="P182" s="2573">
        <v>1</v>
      </c>
      <c r="Q182" s="2549">
        <v>1</v>
      </c>
      <c r="R182" s="2549">
        <v>1</v>
      </c>
      <c r="S182" s="2549">
        <v>104</v>
      </c>
      <c r="T182" s="1856">
        <v>150000000</v>
      </c>
      <c r="U182" s="1856">
        <v>150000000</v>
      </c>
      <c r="V182" s="1856">
        <f>T182*10%</f>
        <v>15000000</v>
      </c>
      <c r="W182" s="2312">
        <v>0</v>
      </c>
      <c r="X182" s="2068">
        <f>T182+V182+W182</f>
        <v>165000000</v>
      </c>
      <c r="Y182" s="2068" t="s">
        <v>62</v>
      </c>
      <c r="Z182" s="1879" t="s">
        <v>619</v>
      </c>
      <c r="AA182" s="1879">
        <v>150000000</v>
      </c>
      <c r="AB182" s="1877"/>
      <c r="AC182" s="1879"/>
      <c r="AD182" s="2095"/>
      <c r="AE182" s="1879"/>
      <c r="AF182" s="2095"/>
      <c r="AG182" s="2070">
        <v>0</v>
      </c>
      <c r="AH182" s="1877" t="s">
        <v>617</v>
      </c>
      <c r="AI182" s="3160" t="s">
        <v>21</v>
      </c>
      <c r="AJ182" s="3160" t="s">
        <v>21</v>
      </c>
      <c r="AK182" s="2011" t="s">
        <v>411</v>
      </c>
      <c r="AL182" s="3160" t="s">
        <v>21</v>
      </c>
      <c r="AM182" s="2583"/>
      <c r="AN182" s="3202" t="s">
        <v>603</v>
      </c>
      <c r="AO182" s="2255" t="s">
        <v>645</v>
      </c>
      <c r="AP182" s="1912" t="s">
        <v>570</v>
      </c>
      <c r="AQ182" s="1912"/>
      <c r="AR182" s="3209" t="s">
        <v>571</v>
      </c>
      <c r="AS182" s="2123"/>
      <c r="AT182" s="1879">
        <v>150000000</v>
      </c>
      <c r="AU182" s="2068" t="s">
        <v>62</v>
      </c>
      <c r="AV182" s="2070">
        <f>BB[[#This Row],[NILAI PINJAMAN KONFIRMASI BILA-MULTI]]</f>
        <v>150000000</v>
      </c>
      <c r="AW182" s="1912" t="s">
        <v>21</v>
      </c>
      <c r="AX182" s="1879" t="s">
        <v>619</v>
      </c>
      <c r="AY182" s="2011" t="s">
        <v>1007</v>
      </c>
      <c r="AZ182" s="2011"/>
      <c r="BA182" s="3194" t="s">
        <v>1008</v>
      </c>
      <c r="BB182" s="1961"/>
    </row>
    <row r="183" spans="1:54" s="2505" customFormat="1" ht="20.100000000000001" customHeight="1">
      <c r="A183" s="2548">
        <v>131</v>
      </c>
      <c r="B183" s="2549"/>
      <c r="C183" s="2549"/>
      <c r="D183" s="2550" t="s">
        <v>352</v>
      </c>
      <c r="E183" s="2549">
        <v>11</v>
      </c>
      <c r="F183" s="2550" t="s">
        <v>406</v>
      </c>
      <c r="G183" s="1788"/>
      <c r="H183" s="2550" t="s">
        <v>413</v>
      </c>
      <c r="I183" s="2549" t="s">
        <v>40</v>
      </c>
      <c r="J183" s="2550" t="s">
        <v>412</v>
      </c>
      <c r="K183" s="2549">
        <v>1</v>
      </c>
      <c r="L183" s="2550" t="s">
        <v>414</v>
      </c>
      <c r="M183" s="2549">
        <v>1</v>
      </c>
      <c r="N183" s="2549">
        <v>1</v>
      </c>
      <c r="O183" s="2549">
        <v>0</v>
      </c>
      <c r="P183" s="2573">
        <v>1</v>
      </c>
      <c r="Q183" s="2549">
        <v>1</v>
      </c>
      <c r="R183" s="2549">
        <v>1</v>
      </c>
      <c r="S183" s="2549">
        <v>105</v>
      </c>
      <c r="T183" s="1856">
        <v>240000000</v>
      </c>
      <c r="U183" s="1856">
        <v>240000000</v>
      </c>
      <c r="V183" s="1856">
        <f>T183*10%</f>
        <v>24000000</v>
      </c>
      <c r="W183" s="2312">
        <v>0</v>
      </c>
      <c r="X183" s="2068">
        <f>T183+V183+W183</f>
        <v>264000000</v>
      </c>
      <c r="Y183" s="2068" t="s">
        <v>58</v>
      </c>
      <c r="Z183" s="1879" t="s">
        <v>619</v>
      </c>
      <c r="AA183" s="1879">
        <v>240000000</v>
      </c>
      <c r="AB183" s="1877"/>
      <c r="AC183" s="1879"/>
      <c r="AD183" s="2095"/>
      <c r="AE183" s="1879"/>
      <c r="AF183" s="2095"/>
      <c r="AG183" s="2070">
        <v>0</v>
      </c>
      <c r="AH183" s="1877" t="s">
        <v>617</v>
      </c>
      <c r="AI183" s="2011" t="s">
        <v>248</v>
      </c>
      <c r="AJ183" s="2011" t="s">
        <v>415</v>
      </c>
      <c r="AK183" s="2229">
        <v>1</v>
      </c>
      <c r="AL183" s="2011" t="s">
        <v>294</v>
      </c>
      <c r="AM183" s="1880"/>
      <c r="AN183" s="2225" t="s">
        <v>614</v>
      </c>
      <c r="AO183" s="2255" t="s">
        <v>568</v>
      </c>
      <c r="AP183" s="1912" t="s">
        <v>570</v>
      </c>
      <c r="AQ183" s="1912"/>
      <c r="AR183" s="1912" t="s">
        <v>719</v>
      </c>
      <c r="AS183" s="1912"/>
      <c r="AT183" s="1879">
        <v>240000000</v>
      </c>
      <c r="AU183" s="2068" t="s">
        <v>58</v>
      </c>
      <c r="AV183" s="2070">
        <f>BB[[#This Row],[NILAI PINJAMAN KONFIRMASI BILA-MULTI]]</f>
        <v>240000000</v>
      </c>
      <c r="AW183" s="1912" t="s">
        <v>21</v>
      </c>
      <c r="AX183" s="1879" t="s">
        <v>619</v>
      </c>
      <c r="AY183" s="3208" t="s">
        <v>1009</v>
      </c>
      <c r="AZ183" s="2011"/>
      <c r="BA183" s="3194" t="s">
        <v>1010</v>
      </c>
      <c r="BB183" s="1964"/>
    </row>
    <row r="184" spans="1:54" s="2505" customFormat="1" ht="20.100000000000001" customHeight="1">
      <c r="A184" s="2548">
        <v>132</v>
      </c>
      <c r="B184" s="2549"/>
      <c r="C184" s="2549"/>
      <c r="D184" s="2550" t="s">
        <v>352</v>
      </c>
      <c r="E184" s="2549">
        <v>11</v>
      </c>
      <c r="F184" s="2550" t="s">
        <v>406</v>
      </c>
      <c r="G184" s="1788"/>
      <c r="H184" s="2550" t="s">
        <v>418</v>
      </c>
      <c r="I184" s="2549" t="s">
        <v>51</v>
      </c>
      <c r="J184" s="2550" t="s">
        <v>417</v>
      </c>
      <c r="K184" s="2549">
        <v>1</v>
      </c>
      <c r="L184" s="2550" t="s">
        <v>419</v>
      </c>
      <c r="M184" s="2549">
        <v>1</v>
      </c>
      <c r="N184" s="2549">
        <v>1</v>
      </c>
      <c r="O184" s="2549">
        <v>0</v>
      </c>
      <c r="P184" s="2573">
        <v>1</v>
      </c>
      <c r="Q184" s="2549">
        <v>1</v>
      </c>
      <c r="R184" s="2549">
        <v>1</v>
      </c>
      <c r="S184" s="2549">
        <v>106</v>
      </c>
      <c r="T184" s="1856">
        <v>100400000</v>
      </c>
      <c r="U184" s="1856">
        <v>100400000</v>
      </c>
      <c r="V184" s="1856">
        <f>T184*10%</f>
        <v>10040000</v>
      </c>
      <c r="W184" s="2312">
        <v>0</v>
      </c>
      <c r="X184" s="2068">
        <f>T184+V184+W184</f>
        <v>110440000</v>
      </c>
      <c r="Y184" s="2068" t="s">
        <v>91</v>
      </c>
      <c r="Z184" s="1879" t="s">
        <v>565</v>
      </c>
      <c r="AA184" s="1879">
        <f>T184</f>
        <v>100400000</v>
      </c>
      <c r="AB184" s="1877"/>
      <c r="AC184" s="1879"/>
      <c r="AD184" s="2095"/>
      <c r="AE184" s="1879"/>
      <c r="AF184" s="2095"/>
      <c r="AG184" s="2070">
        <v>0</v>
      </c>
      <c r="AH184" s="1877" t="s">
        <v>617</v>
      </c>
      <c r="AI184" s="2011" t="s">
        <v>248</v>
      </c>
      <c r="AJ184" s="2011" t="s">
        <v>420</v>
      </c>
      <c r="AK184" s="2229">
        <v>0.5</v>
      </c>
      <c r="AL184" s="2011" t="s">
        <v>294</v>
      </c>
      <c r="AM184" s="1880"/>
      <c r="AN184" s="2225" t="s">
        <v>1011</v>
      </c>
      <c r="AO184" s="2225" t="s">
        <v>1012</v>
      </c>
      <c r="AP184" s="1912" t="s">
        <v>570</v>
      </c>
      <c r="AQ184" s="1912"/>
      <c r="AR184" s="3132" t="s">
        <v>1013</v>
      </c>
      <c r="AS184" s="1911"/>
      <c r="AT184" s="1879">
        <v>100400000</v>
      </c>
      <c r="AU184" s="2068" t="s">
        <v>91</v>
      </c>
      <c r="AV184" s="2070">
        <f>BB[[#This Row],[NILAI PINJAMAN KONFIRMASI BILA-MULTI]]</f>
        <v>100400000</v>
      </c>
      <c r="AW184" s="1912" t="s">
        <v>21</v>
      </c>
      <c r="AX184" s="1879" t="s">
        <v>565</v>
      </c>
      <c r="AY184" s="3208" t="s">
        <v>1014</v>
      </c>
      <c r="AZ184" s="2011"/>
      <c r="BA184" s="3194" t="s">
        <v>1015</v>
      </c>
      <c r="BB184" s="1964"/>
    </row>
    <row r="185" spans="1:54" s="2505" customFormat="1" ht="20.100000000000001" customHeight="1">
      <c r="A185" s="2536">
        <v>133</v>
      </c>
      <c r="B185" s="2537"/>
      <c r="C185" s="2537"/>
      <c r="D185" s="2538" t="s">
        <v>352</v>
      </c>
      <c r="E185" s="2537">
        <v>11</v>
      </c>
      <c r="F185" s="2538" t="s">
        <v>406</v>
      </c>
      <c r="G185" s="1771"/>
      <c r="H185" s="2538" t="s">
        <v>423</v>
      </c>
      <c r="I185" s="2537" t="s">
        <v>72</v>
      </c>
      <c r="J185" s="2538" t="s">
        <v>422</v>
      </c>
      <c r="K185" s="2537">
        <v>1</v>
      </c>
      <c r="L185" s="2538" t="s">
        <v>424</v>
      </c>
      <c r="M185" s="2537">
        <v>0</v>
      </c>
      <c r="N185" s="2537">
        <v>1</v>
      </c>
      <c r="O185" s="2537">
        <v>1</v>
      </c>
      <c r="P185" s="2566">
        <v>0</v>
      </c>
      <c r="Q185" s="2537">
        <v>0</v>
      </c>
      <c r="R185" s="2537">
        <v>1</v>
      </c>
      <c r="S185" s="2537">
        <v>107</v>
      </c>
      <c r="T185" s="1850">
        <v>1255600000</v>
      </c>
      <c r="U185" s="1850">
        <v>1255600000</v>
      </c>
      <c r="V185" s="1850">
        <f>T185*10%</f>
        <v>125560000</v>
      </c>
      <c r="W185" s="2313">
        <v>0</v>
      </c>
      <c r="X185" s="1897">
        <f>T185+V185+W185</f>
        <v>1381160000</v>
      </c>
      <c r="Y185" s="1897" t="s">
        <v>21</v>
      </c>
      <c r="Z185" s="1869"/>
      <c r="AA185" s="1869">
        <f>SUM(AA186:AA188)</f>
        <v>1255600000</v>
      </c>
      <c r="AB185" s="1870"/>
      <c r="AC185" s="1869"/>
      <c r="AD185" s="2325"/>
      <c r="AE185" s="1869"/>
      <c r="AF185" s="2325"/>
      <c r="AG185" s="1897">
        <f>SUM(AG186:AG188)</f>
        <v>-755600000</v>
      </c>
      <c r="AH185" s="1870" t="s">
        <v>21</v>
      </c>
      <c r="AI185" s="3233" t="s">
        <v>21</v>
      </c>
      <c r="AJ185" s="3233" t="s">
        <v>21</v>
      </c>
      <c r="AK185" s="3233" t="s">
        <v>21</v>
      </c>
      <c r="AL185" s="3233" t="s">
        <v>21</v>
      </c>
      <c r="AM185" s="3234" t="s">
        <v>21</v>
      </c>
      <c r="AN185" s="3202" t="s">
        <v>21</v>
      </c>
      <c r="AO185" s="3202" t="s">
        <v>21</v>
      </c>
      <c r="AP185" s="1908" t="s">
        <v>21</v>
      </c>
      <c r="AQ185" s="1908"/>
      <c r="AR185" s="1908" t="s">
        <v>21</v>
      </c>
      <c r="AS185" s="1908"/>
      <c r="AT185" s="1869">
        <f>SUM(AT186:AT188)</f>
        <v>1255600000</v>
      </c>
      <c r="AU185" s="1897" t="s">
        <v>21</v>
      </c>
      <c r="AV185" s="1897"/>
      <c r="AW185" s="1908" t="s">
        <v>21</v>
      </c>
      <c r="AX185" s="1869"/>
      <c r="AY185" s="3235" t="s">
        <v>21</v>
      </c>
      <c r="AZ185" s="3233" t="s">
        <v>21</v>
      </c>
      <c r="BA185" s="3167" t="s">
        <v>21</v>
      </c>
      <c r="BB185" s="1964"/>
    </row>
    <row r="186" spans="1:54" s="645" customFormat="1" ht="20.100000000000001" customHeight="1">
      <c r="A186" s="2539">
        <v>133</v>
      </c>
      <c r="B186" s="2540"/>
      <c r="C186" s="2540"/>
      <c r="D186" s="2541" t="s">
        <v>352</v>
      </c>
      <c r="E186" s="2540">
        <v>11</v>
      </c>
      <c r="F186" s="2541" t="s">
        <v>406</v>
      </c>
      <c r="G186" s="1771"/>
      <c r="H186" s="2541" t="s">
        <v>423</v>
      </c>
      <c r="I186" s="2540" t="s">
        <v>72</v>
      </c>
      <c r="J186" s="2541" t="s">
        <v>422</v>
      </c>
      <c r="K186" s="2540">
        <v>1</v>
      </c>
      <c r="L186" s="2541" t="s">
        <v>424</v>
      </c>
      <c r="M186" s="2540">
        <f>1/3</f>
        <v>0.33333333333333331</v>
      </c>
      <c r="N186" s="2540">
        <v>0</v>
      </c>
      <c r="O186" s="2540">
        <v>2</v>
      </c>
      <c r="P186" s="2540">
        <f t="shared" ref="P186:Q188" si="19">1/3</f>
        <v>0.33333333333333331</v>
      </c>
      <c r="Q186" s="2540">
        <f t="shared" si="19"/>
        <v>0.33333333333333331</v>
      </c>
      <c r="R186" s="2540">
        <v>0</v>
      </c>
      <c r="S186" s="2540"/>
      <c r="T186" s="1852">
        <v>0</v>
      </c>
      <c r="U186" s="1852">
        <v>0</v>
      </c>
      <c r="V186" s="1852">
        <f>T186*10%</f>
        <v>0</v>
      </c>
      <c r="W186" s="2314">
        <v>0</v>
      </c>
      <c r="X186" s="1898">
        <f>T186+V186+W186</f>
        <v>0</v>
      </c>
      <c r="Y186" s="1898" t="s">
        <v>58</v>
      </c>
      <c r="Z186" s="1863" t="s">
        <v>619</v>
      </c>
      <c r="AA186" s="1863">
        <v>250000000</v>
      </c>
      <c r="AB186" s="1872"/>
      <c r="AC186" s="1863"/>
      <c r="AD186" s="2326"/>
      <c r="AE186" s="1863"/>
      <c r="AF186" s="2326"/>
      <c r="AG186" s="1898">
        <v>0</v>
      </c>
      <c r="AH186" s="1872" t="s">
        <v>617</v>
      </c>
      <c r="AI186" s="3219" t="s">
        <v>21</v>
      </c>
      <c r="AJ186" s="3219" t="s">
        <v>21</v>
      </c>
      <c r="AK186" s="3219" t="s">
        <v>21</v>
      </c>
      <c r="AL186" s="3219" t="s">
        <v>21</v>
      </c>
      <c r="AM186" s="1872"/>
      <c r="AN186" s="3227" t="s">
        <v>603</v>
      </c>
      <c r="AO186" s="3227" t="s">
        <v>603</v>
      </c>
      <c r="AP186" s="1908" t="s">
        <v>570</v>
      </c>
      <c r="AQ186" s="1908"/>
      <c r="AR186" s="3168" t="s">
        <v>571</v>
      </c>
      <c r="AS186" s="1927"/>
      <c r="AT186" s="1863">
        <v>250000000</v>
      </c>
      <c r="AU186" s="1898" t="s">
        <v>58</v>
      </c>
      <c r="AV186" s="1898">
        <f>BB[[#This Row],[NILAI PINJAMAN KONFIRMASI BILA-MULTI]]</f>
        <v>250000000</v>
      </c>
      <c r="AW186" s="1908" t="s">
        <v>1016</v>
      </c>
      <c r="AX186" s="1863" t="s">
        <v>619</v>
      </c>
      <c r="AY186" s="3236" t="s">
        <v>1017</v>
      </c>
      <c r="AZ186" s="2230"/>
      <c r="BA186" s="3157" t="s">
        <v>1018</v>
      </c>
      <c r="BB186" s="1764"/>
    </row>
    <row r="187" spans="1:54" s="2504" customFormat="1" ht="20.100000000000001" customHeight="1">
      <c r="A187" s="2539">
        <v>134</v>
      </c>
      <c r="B187" s="2540"/>
      <c r="C187" s="2540"/>
      <c r="D187" s="2541" t="s">
        <v>352</v>
      </c>
      <c r="E187" s="2540">
        <v>11</v>
      </c>
      <c r="F187" s="2541" t="s">
        <v>406</v>
      </c>
      <c r="G187" s="1771"/>
      <c r="H187" s="2541" t="s">
        <v>423</v>
      </c>
      <c r="I187" s="2540" t="s">
        <v>72</v>
      </c>
      <c r="J187" s="2541" t="s">
        <v>422</v>
      </c>
      <c r="K187" s="2540">
        <v>1</v>
      </c>
      <c r="L187" s="2541" t="s">
        <v>424</v>
      </c>
      <c r="M187" s="2540">
        <f>1/3</f>
        <v>0.33333333333333331</v>
      </c>
      <c r="N187" s="2540">
        <v>0</v>
      </c>
      <c r="O187" s="2540">
        <v>2</v>
      </c>
      <c r="P187" s="2540">
        <f t="shared" si="19"/>
        <v>0.33333333333333331</v>
      </c>
      <c r="Q187" s="2540">
        <f t="shared" si="19"/>
        <v>0.33333333333333331</v>
      </c>
      <c r="R187" s="2540">
        <v>0</v>
      </c>
      <c r="S187" s="2540"/>
      <c r="T187" s="1852">
        <v>0</v>
      </c>
      <c r="U187" s="1852">
        <v>0</v>
      </c>
      <c r="V187" s="1852">
        <v>0</v>
      </c>
      <c r="W187" s="2314">
        <v>0</v>
      </c>
      <c r="X187" s="1898">
        <v>0</v>
      </c>
      <c r="Y187" s="1898" t="s">
        <v>91</v>
      </c>
      <c r="Z187" s="1863" t="s">
        <v>565</v>
      </c>
      <c r="AA187" s="1863">
        <v>250000000</v>
      </c>
      <c r="AB187" s="1872"/>
      <c r="AC187" s="1863"/>
      <c r="AD187" s="2326"/>
      <c r="AE187" s="1863"/>
      <c r="AF187" s="2326"/>
      <c r="AG187" s="1898">
        <v>0</v>
      </c>
      <c r="AH187" s="1872" t="s">
        <v>617</v>
      </c>
      <c r="AI187" s="1929" t="s">
        <v>21</v>
      </c>
      <c r="AJ187" s="2230" t="s">
        <v>21</v>
      </c>
      <c r="AK187" s="2230" t="s">
        <v>21</v>
      </c>
      <c r="AL187" s="2230" t="s">
        <v>21</v>
      </c>
      <c r="AM187" s="1872"/>
      <c r="AN187" s="3227" t="s">
        <v>603</v>
      </c>
      <c r="AO187" s="3227" t="s">
        <v>603</v>
      </c>
      <c r="AP187" s="1908" t="s">
        <v>570</v>
      </c>
      <c r="AQ187" s="1908"/>
      <c r="AR187" s="3168" t="s">
        <v>571</v>
      </c>
      <c r="AS187" s="1927"/>
      <c r="AT187" s="1863">
        <v>250000000</v>
      </c>
      <c r="AU187" s="1898" t="s">
        <v>91</v>
      </c>
      <c r="AV187" s="1898">
        <f>BB[[#This Row],[NILAI PINJAMAN KONFIRMASI BILA-MULTI]]</f>
        <v>250000000</v>
      </c>
      <c r="AW187" s="1908" t="s">
        <v>1019</v>
      </c>
      <c r="AX187" s="1863" t="s">
        <v>565</v>
      </c>
      <c r="AY187" s="3236" t="s">
        <v>1020</v>
      </c>
      <c r="AZ187" s="2230"/>
      <c r="BA187" s="3157" t="s">
        <v>1018</v>
      </c>
      <c r="BB187" s="1961"/>
    </row>
    <row r="188" spans="1:54" s="2505" customFormat="1" ht="20.100000000000001" customHeight="1">
      <c r="A188" s="2539">
        <v>135</v>
      </c>
      <c r="B188" s="2540"/>
      <c r="C188" s="2540"/>
      <c r="D188" s="2541" t="s">
        <v>352</v>
      </c>
      <c r="E188" s="2540">
        <v>11</v>
      </c>
      <c r="F188" s="2541" t="s">
        <v>406</v>
      </c>
      <c r="G188" s="2280"/>
      <c r="H188" s="2541" t="s">
        <v>423</v>
      </c>
      <c r="I188" s="2540" t="s">
        <v>72</v>
      </c>
      <c r="J188" s="2541" t="s">
        <v>422</v>
      </c>
      <c r="K188" s="2540">
        <v>1</v>
      </c>
      <c r="L188" s="2541" t="s">
        <v>424</v>
      </c>
      <c r="M188" s="2540">
        <f>1/3</f>
        <v>0.33333333333333331</v>
      </c>
      <c r="N188" s="2540">
        <v>0</v>
      </c>
      <c r="O188" s="2540">
        <v>2</v>
      </c>
      <c r="P188" s="2540">
        <f t="shared" si="19"/>
        <v>0.33333333333333331</v>
      </c>
      <c r="Q188" s="2540">
        <f t="shared" si="19"/>
        <v>0.33333333333333331</v>
      </c>
      <c r="R188" s="2540">
        <v>0</v>
      </c>
      <c r="S188" s="2540"/>
      <c r="T188" s="1852">
        <v>0</v>
      </c>
      <c r="U188" s="1852">
        <v>0</v>
      </c>
      <c r="V188" s="1852">
        <v>0</v>
      </c>
      <c r="W188" s="2314">
        <v>0</v>
      </c>
      <c r="X188" s="1898">
        <v>0</v>
      </c>
      <c r="Y188" s="1901" t="s">
        <v>633</v>
      </c>
      <c r="Z188" s="1901" t="s">
        <v>633</v>
      </c>
      <c r="AA188" s="1863">
        <f>T185-AA186-AA187</f>
        <v>755600000</v>
      </c>
      <c r="AB188" s="1872"/>
      <c r="AC188" s="1863"/>
      <c r="AD188" s="2326"/>
      <c r="AE188" s="1863"/>
      <c r="AF188" s="2326"/>
      <c r="AG188" s="1898">
        <f>+AA186+AA187-T185</f>
        <v>-755600000</v>
      </c>
      <c r="AH188" s="1872" t="s">
        <v>617</v>
      </c>
      <c r="AI188" s="1929" t="s">
        <v>21</v>
      </c>
      <c r="AJ188" s="2230" t="s">
        <v>21</v>
      </c>
      <c r="AK188" s="2230" t="s">
        <v>21</v>
      </c>
      <c r="AL188" s="2230" t="s">
        <v>21</v>
      </c>
      <c r="AM188" s="1872"/>
      <c r="AN188" s="3227" t="s">
        <v>603</v>
      </c>
      <c r="AO188" s="3227" t="s">
        <v>603</v>
      </c>
      <c r="AP188" s="1908" t="s">
        <v>570</v>
      </c>
      <c r="AQ188" s="1908"/>
      <c r="AR188" s="3168" t="s">
        <v>571</v>
      </c>
      <c r="AS188" s="1927"/>
      <c r="AT188" s="1863">
        <v>755600000</v>
      </c>
      <c r="AU188" s="1901" t="s">
        <v>633</v>
      </c>
      <c r="AV188" s="1898">
        <f>BB[[#This Row],[NILAI PINJAMAN KONFIRMASI BILA-MULTI]]</f>
        <v>755600000</v>
      </c>
      <c r="AW188" s="1908" t="s">
        <v>1021</v>
      </c>
      <c r="AX188" s="1901" t="s">
        <v>633</v>
      </c>
      <c r="AY188" s="3219" t="s">
        <v>1007</v>
      </c>
      <c r="AZ188" s="2230"/>
      <c r="BA188" s="3157" t="s">
        <v>1018</v>
      </c>
      <c r="BB188" s="1964"/>
    </row>
    <row r="189" spans="1:54" s="2505" customFormat="1" ht="20.100000000000001" customHeight="1">
      <c r="A189" s="2548">
        <v>136</v>
      </c>
      <c r="B189" s="2549"/>
      <c r="C189" s="2549"/>
      <c r="D189" s="2550" t="s">
        <v>352</v>
      </c>
      <c r="E189" s="2549">
        <v>12</v>
      </c>
      <c r="F189" s="2550" t="s">
        <v>426</v>
      </c>
      <c r="G189" s="1788"/>
      <c r="H189" s="2550" t="s">
        <v>428</v>
      </c>
      <c r="I189" s="2549" t="s">
        <v>23</v>
      </c>
      <c r="J189" s="2550" t="s">
        <v>422</v>
      </c>
      <c r="K189" s="2549">
        <v>1</v>
      </c>
      <c r="L189" s="2550" t="s">
        <v>1022</v>
      </c>
      <c r="M189" s="2549">
        <v>1</v>
      </c>
      <c r="N189" s="2549">
        <v>1</v>
      </c>
      <c r="O189" s="2549">
        <v>0</v>
      </c>
      <c r="P189" s="2573">
        <v>1</v>
      </c>
      <c r="Q189" s="2549">
        <v>1</v>
      </c>
      <c r="R189" s="2549">
        <v>1</v>
      </c>
      <c r="S189" s="2549">
        <v>108</v>
      </c>
      <c r="T189" s="1856">
        <v>106800000</v>
      </c>
      <c r="U189" s="1856">
        <v>106800000</v>
      </c>
      <c r="V189" s="1856">
        <v>10700000</v>
      </c>
      <c r="W189" s="1856">
        <v>0</v>
      </c>
      <c r="X189" s="2068">
        <f t="shared" ref="X189:X206" si="20">T189+V189+W189</f>
        <v>117500000</v>
      </c>
      <c r="Y189" s="2068" t="s">
        <v>91</v>
      </c>
      <c r="Z189" s="1879" t="s">
        <v>565</v>
      </c>
      <c r="AA189" s="1879">
        <f>T189</f>
        <v>106800000</v>
      </c>
      <c r="AB189" s="1880">
        <v>1</v>
      </c>
      <c r="AC189" s="1879">
        <v>106800000</v>
      </c>
      <c r="AD189" s="2095"/>
      <c r="AE189" s="1879"/>
      <c r="AF189" s="2095"/>
      <c r="AG189" s="2117">
        <v>0</v>
      </c>
      <c r="AH189" s="1880" t="s">
        <v>617</v>
      </c>
      <c r="AI189" s="3208" t="s">
        <v>911</v>
      </c>
      <c r="AJ189" s="2011" t="s">
        <v>33</v>
      </c>
      <c r="AK189" s="2229">
        <v>1</v>
      </c>
      <c r="AL189" s="3209" t="s">
        <v>21</v>
      </c>
      <c r="AM189" s="3237" t="s">
        <v>581</v>
      </c>
      <c r="AN189" s="3238" t="s">
        <v>614</v>
      </c>
      <c r="AO189" s="2255" t="s">
        <v>568</v>
      </c>
      <c r="AP189" s="1912" t="s">
        <v>570</v>
      </c>
      <c r="AQ189" s="1912"/>
      <c r="AR189" s="1912" t="s">
        <v>21</v>
      </c>
      <c r="AS189" s="1912" t="s">
        <v>623</v>
      </c>
      <c r="AT189" s="1879">
        <v>106800000</v>
      </c>
      <c r="AU189" s="2068" t="s">
        <v>91</v>
      </c>
      <c r="AV189" s="2068">
        <f>BB[[#This Row],[NILAI PINJAMAN KONFIRMASI BILA-MULTI]]</f>
        <v>106800000</v>
      </c>
      <c r="AW189" s="1912" t="s">
        <v>21</v>
      </c>
      <c r="AX189" s="1879" t="s">
        <v>565</v>
      </c>
      <c r="AY189" s="91" t="s">
        <v>1023</v>
      </c>
      <c r="AZ189" s="91"/>
      <c r="BA189" s="3194" t="s">
        <v>1024</v>
      </c>
      <c r="BB189" s="1964"/>
    </row>
    <row r="190" spans="1:54" s="2505" customFormat="1" ht="20.100000000000001" customHeight="1">
      <c r="A190" s="2536">
        <v>137</v>
      </c>
      <c r="B190" s="2537"/>
      <c r="C190" s="2537"/>
      <c r="D190" s="2538" t="s">
        <v>352</v>
      </c>
      <c r="E190" s="2537">
        <v>13</v>
      </c>
      <c r="F190" s="2281" t="s">
        <v>430</v>
      </c>
      <c r="G190" s="1771"/>
      <c r="H190" s="2281" t="s">
        <v>434</v>
      </c>
      <c r="I190" s="2297" t="s">
        <v>23</v>
      </c>
      <c r="J190" s="2281" t="s">
        <v>433</v>
      </c>
      <c r="K190" s="2297">
        <v>1</v>
      </c>
      <c r="L190" s="2538" t="s">
        <v>435</v>
      </c>
      <c r="M190" s="2537">
        <v>0</v>
      </c>
      <c r="N190" s="2537">
        <v>1</v>
      </c>
      <c r="O190" s="2537">
        <v>1</v>
      </c>
      <c r="P190" s="2566">
        <v>0</v>
      </c>
      <c r="Q190" s="2537">
        <v>0</v>
      </c>
      <c r="R190" s="2537">
        <v>1</v>
      </c>
      <c r="S190" s="2537">
        <v>109</v>
      </c>
      <c r="T190" s="1849">
        <v>811166600</v>
      </c>
      <c r="U190" s="1849">
        <v>811166600</v>
      </c>
      <c r="V190" s="1849">
        <v>81116700</v>
      </c>
      <c r="W190" s="1849">
        <v>0</v>
      </c>
      <c r="X190" s="1849">
        <f t="shared" si="20"/>
        <v>892283300</v>
      </c>
      <c r="Y190" s="1869" t="s">
        <v>21</v>
      </c>
      <c r="Z190" s="1869"/>
      <c r="AA190" s="1849">
        <f>SUM(AA191:AA193)</f>
        <v>811166600</v>
      </c>
      <c r="AB190" s="1872"/>
      <c r="AC190" s="1849"/>
      <c r="AD190" s="2327"/>
      <c r="AE190" s="1849"/>
      <c r="AF190" s="2327"/>
      <c r="AG190" s="1849">
        <f>SUM(AG191:AG193)</f>
        <v>-461166600</v>
      </c>
      <c r="AH190" s="1872" t="s">
        <v>21</v>
      </c>
      <c r="AI190" s="3239" t="s">
        <v>21</v>
      </c>
      <c r="AJ190" s="1869" t="s">
        <v>21</v>
      </c>
      <c r="AK190" s="2341" t="s">
        <v>21</v>
      </c>
      <c r="AL190" s="3240" t="s">
        <v>21</v>
      </c>
      <c r="AM190" s="3234" t="s">
        <v>21</v>
      </c>
      <c r="AN190" s="3202" t="s">
        <v>21</v>
      </c>
      <c r="AO190" s="3202" t="s">
        <v>21</v>
      </c>
      <c r="AP190" s="1771" t="s">
        <v>21</v>
      </c>
      <c r="AQ190" s="1771"/>
      <c r="AR190" s="1771" t="s">
        <v>21</v>
      </c>
      <c r="AS190" s="1771"/>
      <c r="AT190" s="1849">
        <f>SUM(AT191:AT193)</f>
        <v>811166600</v>
      </c>
      <c r="AU190" s="1869" t="s">
        <v>21</v>
      </c>
      <c r="AV190" s="1869"/>
      <c r="AW190" s="1908" t="s">
        <v>21</v>
      </c>
      <c r="AX190" s="1869"/>
      <c r="AY190" s="1849" t="s">
        <v>21</v>
      </c>
      <c r="AZ190" s="1849"/>
      <c r="BA190" s="3241" t="s">
        <v>21</v>
      </c>
      <c r="BB190" s="1964"/>
    </row>
    <row r="191" spans="1:54" s="2504" customFormat="1" ht="20.100000000000001" customHeight="1">
      <c r="A191" s="2539">
        <v>137</v>
      </c>
      <c r="B191" s="2540"/>
      <c r="C191" s="2540"/>
      <c r="D191" s="2541" t="s">
        <v>352</v>
      </c>
      <c r="E191" s="2540">
        <v>13</v>
      </c>
      <c r="F191" s="2282" t="s">
        <v>430</v>
      </c>
      <c r="G191" s="1771"/>
      <c r="H191" s="2282" t="s">
        <v>434</v>
      </c>
      <c r="I191" s="2298" t="s">
        <v>23</v>
      </c>
      <c r="J191" s="2282" t="s">
        <v>433</v>
      </c>
      <c r="K191" s="2298">
        <v>1</v>
      </c>
      <c r="L191" s="2541" t="s">
        <v>435</v>
      </c>
      <c r="M191" s="2537">
        <f t="shared" ref="M191:M197" si="21">1/3</f>
        <v>0.33333333333333331</v>
      </c>
      <c r="N191" s="2540">
        <v>0</v>
      </c>
      <c r="O191" s="2540">
        <v>2</v>
      </c>
      <c r="P191" s="2537">
        <f t="shared" ref="P191:Q197" si="22">1/3</f>
        <v>0.33333333333333331</v>
      </c>
      <c r="Q191" s="2537">
        <f t="shared" si="22"/>
        <v>0.33333333333333331</v>
      </c>
      <c r="R191" s="2537">
        <v>0</v>
      </c>
      <c r="S191" s="2537"/>
      <c r="T191" s="1851">
        <v>0</v>
      </c>
      <c r="U191" s="1851">
        <v>0</v>
      </c>
      <c r="V191" s="1851">
        <v>0</v>
      </c>
      <c r="W191" s="1851">
        <v>0</v>
      </c>
      <c r="X191" s="1851">
        <f t="shared" si="20"/>
        <v>0</v>
      </c>
      <c r="Y191" s="1863" t="s">
        <v>62</v>
      </c>
      <c r="Z191" s="1869" t="s">
        <v>619</v>
      </c>
      <c r="AA191" s="1851">
        <v>225000000</v>
      </c>
      <c r="AB191" s="1872"/>
      <c r="AC191" s="1851"/>
      <c r="AD191" s="2328"/>
      <c r="AE191" s="1851"/>
      <c r="AF191" s="2328"/>
      <c r="AG191" s="1863">
        <v>0</v>
      </c>
      <c r="AH191" s="1872" t="s">
        <v>617</v>
      </c>
      <c r="AI191" s="3242" t="s">
        <v>21</v>
      </c>
      <c r="AJ191" s="1863" t="s">
        <v>436</v>
      </c>
      <c r="AK191" s="1929">
        <v>0</v>
      </c>
      <c r="AL191" s="3243" t="s">
        <v>21</v>
      </c>
      <c r="AM191" s="1872"/>
      <c r="AN191" s="3226" t="s">
        <v>608</v>
      </c>
      <c r="AO191" s="3202" t="s">
        <v>603</v>
      </c>
      <c r="AP191" s="1908" t="s">
        <v>570</v>
      </c>
      <c r="AQ191" s="1908"/>
      <c r="AR191" s="3168" t="s">
        <v>571</v>
      </c>
      <c r="AS191" s="1927"/>
      <c r="AT191" s="1851">
        <v>225000000</v>
      </c>
      <c r="AU191" s="1899" t="s">
        <v>633</v>
      </c>
      <c r="AV191" s="1899">
        <f>BB[[#This Row],[NILAI PINJAMAN KONFIRMASI BILA-MULTI]]</f>
        <v>225000000</v>
      </c>
      <c r="AW191" s="3130" t="s">
        <v>1025</v>
      </c>
      <c r="AX191" s="1869"/>
      <c r="AY191" s="1851" t="s">
        <v>1026</v>
      </c>
      <c r="AZ191" s="1851"/>
      <c r="BA191" s="3241" t="s">
        <v>1027</v>
      </c>
      <c r="BB191" s="1961"/>
    </row>
    <row r="192" spans="1:54" s="2505" customFormat="1" ht="20.100000000000001" customHeight="1">
      <c r="A192" s="2539">
        <v>138</v>
      </c>
      <c r="B192" s="2540"/>
      <c r="C192" s="2540"/>
      <c r="D192" s="2541" t="s">
        <v>352</v>
      </c>
      <c r="E192" s="2540">
        <v>13</v>
      </c>
      <c r="F192" s="2282" t="s">
        <v>430</v>
      </c>
      <c r="G192" s="1771"/>
      <c r="H192" s="2282" t="s">
        <v>434</v>
      </c>
      <c r="I192" s="2298" t="s">
        <v>23</v>
      </c>
      <c r="J192" s="2282" t="s">
        <v>433</v>
      </c>
      <c r="K192" s="2298">
        <v>1</v>
      </c>
      <c r="L192" s="2541" t="s">
        <v>435</v>
      </c>
      <c r="M192" s="2537">
        <f t="shared" si="21"/>
        <v>0.33333333333333331</v>
      </c>
      <c r="N192" s="2540">
        <v>0</v>
      </c>
      <c r="O192" s="2540">
        <v>2</v>
      </c>
      <c r="P192" s="2537">
        <f t="shared" si="22"/>
        <v>0.33333333333333331</v>
      </c>
      <c r="Q192" s="2537">
        <f t="shared" si="22"/>
        <v>0.33333333333333331</v>
      </c>
      <c r="R192" s="2537">
        <v>0</v>
      </c>
      <c r="S192" s="2537"/>
      <c r="T192" s="1851">
        <v>0</v>
      </c>
      <c r="U192" s="1851">
        <v>0</v>
      </c>
      <c r="V192" s="1851">
        <v>0</v>
      </c>
      <c r="W192" s="1851">
        <v>0</v>
      </c>
      <c r="X192" s="1851">
        <f t="shared" si="20"/>
        <v>0</v>
      </c>
      <c r="Y192" s="1863" t="s">
        <v>58</v>
      </c>
      <c r="Z192" s="1869" t="s">
        <v>619</v>
      </c>
      <c r="AA192" s="1851">
        <v>125000000</v>
      </c>
      <c r="AB192" s="1872"/>
      <c r="AC192" s="1851"/>
      <c r="AD192" s="2328"/>
      <c r="AE192" s="1851"/>
      <c r="AF192" s="2328"/>
      <c r="AG192" s="1863">
        <v>0</v>
      </c>
      <c r="AH192" s="1872" t="s">
        <v>617</v>
      </c>
      <c r="AI192" s="1929" t="s">
        <v>21</v>
      </c>
      <c r="AJ192" s="1863" t="s">
        <v>21</v>
      </c>
      <c r="AK192" s="1929" t="s">
        <v>21</v>
      </c>
      <c r="AL192" s="3243" t="s">
        <v>21</v>
      </c>
      <c r="AM192" s="1872"/>
      <c r="AN192" s="3226" t="s">
        <v>608</v>
      </c>
      <c r="AO192" s="3202" t="s">
        <v>603</v>
      </c>
      <c r="AP192" s="1908" t="s">
        <v>570</v>
      </c>
      <c r="AQ192" s="1908"/>
      <c r="AR192" s="3168" t="s">
        <v>571</v>
      </c>
      <c r="AS192" s="1927"/>
      <c r="AT192" s="1851">
        <v>125000000</v>
      </c>
      <c r="AU192" s="1863" t="s">
        <v>58</v>
      </c>
      <c r="AV192" s="1899">
        <f>BB[[#This Row],[NILAI PINJAMAN KONFIRMASI BILA-MULTI]]</f>
        <v>125000000</v>
      </c>
      <c r="AW192" s="3130" t="s">
        <v>1028</v>
      </c>
      <c r="AX192" s="1869" t="s">
        <v>619</v>
      </c>
      <c r="AY192" s="1851" t="s">
        <v>1026</v>
      </c>
      <c r="AZ192" s="1851"/>
      <c r="BA192" s="3241" t="s">
        <v>1027</v>
      </c>
      <c r="BB192" s="1964"/>
    </row>
    <row r="193" spans="1:56" s="2505" customFormat="1" ht="20.100000000000001" customHeight="1">
      <c r="A193" s="2539">
        <v>139</v>
      </c>
      <c r="B193" s="2540"/>
      <c r="C193" s="2540"/>
      <c r="D193" s="2541" t="s">
        <v>352</v>
      </c>
      <c r="E193" s="2540">
        <v>13</v>
      </c>
      <c r="F193" s="2282" t="s">
        <v>430</v>
      </c>
      <c r="G193" s="1814"/>
      <c r="H193" s="2282" t="s">
        <v>434</v>
      </c>
      <c r="I193" s="2298" t="s">
        <v>23</v>
      </c>
      <c r="J193" s="2282" t="s">
        <v>433</v>
      </c>
      <c r="K193" s="2298">
        <v>1</v>
      </c>
      <c r="L193" s="2541" t="s">
        <v>435</v>
      </c>
      <c r="M193" s="2537">
        <f t="shared" si="21"/>
        <v>0.33333333333333331</v>
      </c>
      <c r="N193" s="2540">
        <v>0</v>
      </c>
      <c r="O193" s="2540">
        <v>2</v>
      </c>
      <c r="P193" s="2537">
        <f t="shared" si="22"/>
        <v>0.33333333333333331</v>
      </c>
      <c r="Q193" s="2537">
        <f t="shared" si="22"/>
        <v>0.33333333333333331</v>
      </c>
      <c r="R193" s="2537">
        <v>0</v>
      </c>
      <c r="S193" s="2537"/>
      <c r="T193" s="1851">
        <v>0</v>
      </c>
      <c r="U193" s="1851">
        <v>0</v>
      </c>
      <c r="V193" s="1851">
        <v>0</v>
      </c>
      <c r="W193" s="1851">
        <v>0</v>
      </c>
      <c r="X193" s="1851">
        <f t="shared" si="20"/>
        <v>0</v>
      </c>
      <c r="Y193" s="1899" t="s">
        <v>633</v>
      </c>
      <c r="Z193" s="1899" t="s">
        <v>633</v>
      </c>
      <c r="AA193" s="1851">
        <f>T190-AA191-AA192</f>
        <v>461166600</v>
      </c>
      <c r="AB193" s="1872"/>
      <c r="AC193" s="1851"/>
      <c r="AD193" s="2328"/>
      <c r="AE193" s="1851"/>
      <c r="AF193" s="2328"/>
      <c r="AG193" s="1863">
        <f>+AA191+AA192-T190</f>
        <v>-461166600</v>
      </c>
      <c r="AH193" s="1872" t="s">
        <v>617</v>
      </c>
      <c r="AI193" s="1929" t="s">
        <v>21</v>
      </c>
      <c r="AJ193" s="1863" t="s">
        <v>21</v>
      </c>
      <c r="AK193" s="1929" t="s">
        <v>21</v>
      </c>
      <c r="AL193" s="3243" t="s">
        <v>21</v>
      </c>
      <c r="AM193" s="1872"/>
      <c r="AN193" s="3226" t="s">
        <v>603</v>
      </c>
      <c r="AO193" s="3202" t="s">
        <v>603</v>
      </c>
      <c r="AP193" s="1908" t="s">
        <v>570</v>
      </c>
      <c r="AQ193" s="1908"/>
      <c r="AR193" s="3168" t="s">
        <v>571</v>
      </c>
      <c r="AS193" s="1927"/>
      <c r="AT193" s="1851">
        <v>461166600</v>
      </c>
      <c r="AU193" s="1899" t="s">
        <v>633</v>
      </c>
      <c r="AV193" s="1899">
        <f>BB[[#This Row],[NILAI PINJAMAN KONFIRMASI BILA-MULTI]]</f>
        <v>461166600</v>
      </c>
      <c r="AW193" s="3130" t="s">
        <v>1029</v>
      </c>
      <c r="AX193" s="1899" t="s">
        <v>633</v>
      </c>
      <c r="AY193" s="1851" t="s">
        <v>1026</v>
      </c>
      <c r="AZ193" s="1851"/>
      <c r="BA193" s="3241" t="s">
        <v>1027</v>
      </c>
      <c r="BB193" s="1964"/>
    </row>
    <row r="194" spans="1:56" s="2505" customFormat="1" ht="20.100000000000001" customHeight="1">
      <c r="A194" s="2536">
        <v>140</v>
      </c>
      <c r="B194" s="2537"/>
      <c r="C194" s="2537"/>
      <c r="D194" s="2538" t="s">
        <v>352</v>
      </c>
      <c r="E194" s="2537">
        <v>13</v>
      </c>
      <c r="F194" s="2281" t="s">
        <v>430</v>
      </c>
      <c r="G194" s="1771"/>
      <c r="H194" s="2281" t="s">
        <v>434</v>
      </c>
      <c r="I194" s="2298" t="s">
        <v>23</v>
      </c>
      <c r="J194" s="2281" t="s">
        <v>433</v>
      </c>
      <c r="K194" s="2297">
        <v>2</v>
      </c>
      <c r="L194" s="2538" t="s">
        <v>437</v>
      </c>
      <c r="M194" s="2537">
        <v>0</v>
      </c>
      <c r="N194" s="2537">
        <v>1</v>
      </c>
      <c r="O194" s="2537">
        <v>1</v>
      </c>
      <c r="P194" s="2566">
        <v>0</v>
      </c>
      <c r="Q194" s="2537">
        <v>0</v>
      </c>
      <c r="R194" s="2537">
        <v>1</v>
      </c>
      <c r="S194" s="2537">
        <v>110</v>
      </c>
      <c r="T194" s="1849">
        <v>535676000</v>
      </c>
      <c r="U194" s="1849">
        <v>535676000</v>
      </c>
      <c r="V194" s="1849">
        <v>53567600</v>
      </c>
      <c r="W194" s="1849">
        <v>0</v>
      </c>
      <c r="X194" s="1849">
        <f t="shared" si="20"/>
        <v>589243600</v>
      </c>
      <c r="Y194" s="1869" t="s">
        <v>21</v>
      </c>
      <c r="Z194" s="1869"/>
      <c r="AA194" s="1849">
        <f>SUM(AA195:AA197)</f>
        <v>535676000</v>
      </c>
      <c r="AB194" s="1870"/>
      <c r="AC194" s="1849"/>
      <c r="AD194" s="2327"/>
      <c r="AE194" s="1849"/>
      <c r="AF194" s="2327"/>
      <c r="AG194" s="1849">
        <f>SUM(AG195:AG197)</f>
        <v>-285676000</v>
      </c>
      <c r="AH194" s="1870" t="s">
        <v>21</v>
      </c>
      <c r="AI194" s="3239" t="s">
        <v>21</v>
      </c>
      <c r="AJ194" s="1869" t="s">
        <v>436</v>
      </c>
      <c r="AK194" s="2341">
        <v>0</v>
      </c>
      <c r="AL194" s="3240" t="s">
        <v>21</v>
      </c>
      <c r="AM194" s="1872"/>
      <c r="AN194" s="3227" t="s">
        <v>21</v>
      </c>
      <c r="AO194" s="3202" t="s">
        <v>1030</v>
      </c>
      <c r="AP194" s="1908" t="s">
        <v>570</v>
      </c>
      <c r="AQ194" s="1908"/>
      <c r="AR194" s="3168" t="s">
        <v>571</v>
      </c>
      <c r="AS194" s="1927"/>
      <c r="AT194" s="1849">
        <f>SUM(AT195:AT197)</f>
        <v>535676000</v>
      </c>
      <c r="AU194" s="1869" t="s">
        <v>21</v>
      </c>
      <c r="AV194" s="1869"/>
      <c r="AW194" s="1908" t="s">
        <v>21</v>
      </c>
      <c r="AX194" s="1869"/>
      <c r="AY194" s="1849" t="s">
        <v>1026</v>
      </c>
      <c r="AZ194" s="1849"/>
      <c r="BA194" s="3167" t="s">
        <v>1031</v>
      </c>
      <c r="BB194" s="1964"/>
    </row>
    <row r="195" spans="1:56" ht="20.100000000000001" customHeight="1">
      <c r="A195" s="2539">
        <v>140</v>
      </c>
      <c r="B195" s="2540"/>
      <c r="C195" s="2540"/>
      <c r="D195" s="2541" t="s">
        <v>352</v>
      </c>
      <c r="E195" s="2540">
        <v>13</v>
      </c>
      <c r="F195" s="2282" t="s">
        <v>430</v>
      </c>
      <c r="G195" s="1771"/>
      <c r="H195" s="2282" t="s">
        <v>434</v>
      </c>
      <c r="I195" s="2298" t="s">
        <v>23</v>
      </c>
      <c r="J195" s="2282" t="s">
        <v>433</v>
      </c>
      <c r="K195" s="2298">
        <v>2</v>
      </c>
      <c r="L195" s="2541" t="s">
        <v>437</v>
      </c>
      <c r="M195" s="2537">
        <f t="shared" si="21"/>
        <v>0.33333333333333331</v>
      </c>
      <c r="N195" s="2540">
        <v>0</v>
      </c>
      <c r="O195" s="2540">
        <v>2</v>
      </c>
      <c r="P195" s="2540">
        <f t="shared" si="22"/>
        <v>0.33333333333333331</v>
      </c>
      <c r="Q195" s="2540">
        <f t="shared" si="22"/>
        <v>0.33333333333333331</v>
      </c>
      <c r="R195" s="2540">
        <v>0</v>
      </c>
      <c r="S195" s="2540"/>
      <c r="T195" s="1851">
        <v>0</v>
      </c>
      <c r="U195" s="1851">
        <v>0</v>
      </c>
      <c r="V195" s="1851">
        <v>0</v>
      </c>
      <c r="W195" s="1851">
        <v>0</v>
      </c>
      <c r="X195" s="1851">
        <f t="shared" si="20"/>
        <v>0</v>
      </c>
      <c r="Y195" s="1863" t="s">
        <v>62</v>
      </c>
      <c r="Z195" s="1863" t="s">
        <v>619</v>
      </c>
      <c r="AA195" s="1851">
        <v>125000000</v>
      </c>
      <c r="AB195" s="1872"/>
      <c r="AC195" s="1851"/>
      <c r="AD195" s="2328"/>
      <c r="AE195" s="1851"/>
      <c r="AF195" s="2328"/>
      <c r="AG195" s="1863">
        <v>0</v>
      </c>
      <c r="AH195" s="1872" t="s">
        <v>617</v>
      </c>
      <c r="AI195" s="3242" t="s">
        <v>21</v>
      </c>
      <c r="AJ195" s="1863" t="s">
        <v>436</v>
      </c>
      <c r="AK195" s="1929">
        <v>0</v>
      </c>
      <c r="AL195" s="3243" t="s">
        <v>21</v>
      </c>
      <c r="AM195" s="1872"/>
      <c r="AN195" s="3226" t="s">
        <v>608</v>
      </c>
      <c r="AO195" s="3202" t="s">
        <v>603</v>
      </c>
      <c r="AP195" s="1908" t="s">
        <v>570</v>
      </c>
      <c r="AQ195" s="1908"/>
      <c r="AR195" s="3168" t="s">
        <v>571</v>
      </c>
      <c r="AS195" s="1927"/>
      <c r="AT195" s="1851">
        <v>125000000</v>
      </c>
      <c r="AU195" s="1899" t="s">
        <v>633</v>
      </c>
      <c r="AV195" s="1899">
        <f>BB[[#This Row],[NILAI PINJAMAN KONFIRMASI BILA-MULTI]]</f>
        <v>125000000</v>
      </c>
      <c r="AW195" s="3130" t="s">
        <v>1032</v>
      </c>
      <c r="AX195" s="1863"/>
      <c r="AY195" s="1851" t="s">
        <v>1026</v>
      </c>
      <c r="AZ195" s="1851"/>
      <c r="BA195" s="3157" t="s">
        <v>1031</v>
      </c>
      <c r="BB195" s="2364"/>
      <c r="BC195" s="2531"/>
      <c r="BD195" s="2531"/>
    </row>
    <row r="196" spans="1:56" ht="20.100000000000001" customHeight="1">
      <c r="A196" s="2539">
        <v>141</v>
      </c>
      <c r="B196" s="2540"/>
      <c r="C196" s="2540"/>
      <c r="D196" s="2541" t="s">
        <v>352</v>
      </c>
      <c r="E196" s="2540">
        <v>13</v>
      </c>
      <c r="F196" s="2282" t="s">
        <v>430</v>
      </c>
      <c r="G196" s="1771"/>
      <c r="H196" s="2282" t="s">
        <v>434</v>
      </c>
      <c r="I196" s="2298" t="s">
        <v>23</v>
      </c>
      <c r="J196" s="2282" t="s">
        <v>433</v>
      </c>
      <c r="K196" s="2298">
        <v>2</v>
      </c>
      <c r="L196" s="2541" t="s">
        <v>437</v>
      </c>
      <c r="M196" s="2537">
        <f t="shared" si="21"/>
        <v>0.33333333333333331</v>
      </c>
      <c r="N196" s="2540">
        <v>0</v>
      </c>
      <c r="O196" s="2540">
        <v>2</v>
      </c>
      <c r="P196" s="2540">
        <f t="shared" si="22"/>
        <v>0.33333333333333331</v>
      </c>
      <c r="Q196" s="2540">
        <f t="shared" si="22"/>
        <v>0.33333333333333331</v>
      </c>
      <c r="R196" s="2540">
        <v>0</v>
      </c>
      <c r="S196" s="2540"/>
      <c r="T196" s="1851">
        <v>0</v>
      </c>
      <c r="U196" s="1851">
        <v>0</v>
      </c>
      <c r="V196" s="1851">
        <v>0</v>
      </c>
      <c r="W196" s="1851">
        <v>0</v>
      </c>
      <c r="X196" s="1851">
        <f t="shared" si="20"/>
        <v>0</v>
      </c>
      <c r="Y196" s="1863" t="s">
        <v>58</v>
      </c>
      <c r="Z196" s="1863" t="s">
        <v>619</v>
      </c>
      <c r="AA196" s="1851">
        <v>125000000</v>
      </c>
      <c r="AB196" s="1872"/>
      <c r="AC196" s="1851"/>
      <c r="AD196" s="2328"/>
      <c r="AE196" s="1851"/>
      <c r="AF196" s="2328"/>
      <c r="AG196" s="1863">
        <v>0</v>
      </c>
      <c r="AH196" s="1872" t="s">
        <v>617</v>
      </c>
      <c r="AI196" s="1929" t="s">
        <v>21</v>
      </c>
      <c r="AJ196" s="1863" t="s">
        <v>21</v>
      </c>
      <c r="AK196" s="1929" t="s">
        <v>21</v>
      </c>
      <c r="AL196" s="3243" t="s">
        <v>21</v>
      </c>
      <c r="AM196" s="1872"/>
      <c r="AN196" s="3226" t="s">
        <v>608</v>
      </c>
      <c r="AO196" s="3202" t="s">
        <v>603</v>
      </c>
      <c r="AP196" s="1908" t="s">
        <v>570</v>
      </c>
      <c r="AQ196" s="1908"/>
      <c r="AR196" s="3168" t="s">
        <v>571</v>
      </c>
      <c r="AS196" s="1927"/>
      <c r="AT196" s="1851">
        <v>125000000</v>
      </c>
      <c r="AU196" s="1863" t="s">
        <v>58</v>
      </c>
      <c r="AV196" s="1899">
        <f>BB[[#This Row],[NILAI PINJAMAN KONFIRMASI BILA-MULTI]]</f>
        <v>125000000</v>
      </c>
      <c r="AW196" s="1909" t="s">
        <v>1033</v>
      </c>
      <c r="AX196" s="1863" t="s">
        <v>619</v>
      </c>
      <c r="AY196" s="1851" t="s">
        <v>1026</v>
      </c>
      <c r="AZ196" s="1851"/>
      <c r="BA196" s="3157" t="s">
        <v>1031</v>
      </c>
      <c r="BB196" s="2364"/>
      <c r="BC196" s="2531"/>
      <c r="BD196" s="2531"/>
    </row>
    <row r="197" spans="1:56" s="645" customFormat="1" ht="20.100000000000001" customHeight="1">
      <c r="A197" s="2539">
        <v>142</v>
      </c>
      <c r="B197" s="2540"/>
      <c r="C197" s="2540"/>
      <c r="D197" s="2541" t="s">
        <v>352</v>
      </c>
      <c r="E197" s="2540">
        <v>13</v>
      </c>
      <c r="F197" s="2282" t="s">
        <v>430</v>
      </c>
      <c r="G197" s="1814"/>
      <c r="H197" s="2282" t="s">
        <v>434</v>
      </c>
      <c r="I197" s="2298" t="s">
        <v>23</v>
      </c>
      <c r="J197" s="2282" t="s">
        <v>433</v>
      </c>
      <c r="K197" s="2298">
        <v>2</v>
      </c>
      <c r="L197" s="2541" t="s">
        <v>437</v>
      </c>
      <c r="M197" s="2537">
        <f t="shared" si="21"/>
        <v>0.33333333333333331</v>
      </c>
      <c r="N197" s="2540">
        <v>0</v>
      </c>
      <c r="O197" s="2540">
        <v>2</v>
      </c>
      <c r="P197" s="2540">
        <f t="shared" si="22"/>
        <v>0.33333333333333331</v>
      </c>
      <c r="Q197" s="2540">
        <f t="shared" si="22"/>
        <v>0.33333333333333331</v>
      </c>
      <c r="R197" s="2540">
        <v>0</v>
      </c>
      <c r="S197" s="2540"/>
      <c r="T197" s="1851">
        <v>0</v>
      </c>
      <c r="U197" s="1851">
        <v>0</v>
      </c>
      <c r="V197" s="1851">
        <v>0</v>
      </c>
      <c r="W197" s="1851">
        <v>0</v>
      </c>
      <c r="X197" s="1851">
        <f t="shared" si="20"/>
        <v>0</v>
      </c>
      <c r="Y197" s="1899" t="s">
        <v>633</v>
      </c>
      <c r="Z197" s="1899" t="s">
        <v>633</v>
      </c>
      <c r="AA197" s="1851">
        <f>T194-AA195-AA196</f>
        <v>285676000</v>
      </c>
      <c r="AB197" s="1872"/>
      <c r="AC197" s="1851"/>
      <c r="AD197" s="2328"/>
      <c r="AE197" s="1851"/>
      <c r="AF197" s="2328"/>
      <c r="AG197" s="1863">
        <f>+AA195+AA196-T194</f>
        <v>-285676000</v>
      </c>
      <c r="AH197" s="1872" t="s">
        <v>617</v>
      </c>
      <c r="AI197" s="1929" t="s">
        <v>21</v>
      </c>
      <c r="AJ197" s="1863" t="s">
        <v>21</v>
      </c>
      <c r="AK197" s="1929" t="s">
        <v>21</v>
      </c>
      <c r="AL197" s="3243" t="s">
        <v>21</v>
      </c>
      <c r="AM197" s="1872"/>
      <c r="AN197" s="3226" t="s">
        <v>603</v>
      </c>
      <c r="AO197" s="3202" t="s">
        <v>603</v>
      </c>
      <c r="AP197" s="1908" t="s">
        <v>570</v>
      </c>
      <c r="AQ197" s="1908"/>
      <c r="AR197" s="3168" t="s">
        <v>571</v>
      </c>
      <c r="AS197" s="1927"/>
      <c r="AT197" s="1851">
        <v>285676000</v>
      </c>
      <c r="AU197" s="1899" t="s">
        <v>633</v>
      </c>
      <c r="AV197" s="1899">
        <f>BB[[#This Row],[NILAI PINJAMAN KONFIRMASI BILA-MULTI]]</f>
        <v>285676000</v>
      </c>
      <c r="AW197" s="1908" t="s">
        <v>1034</v>
      </c>
      <c r="AX197" s="1899" t="s">
        <v>633</v>
      </c>
      <c r="AY197" s="1851" t="s">
        <v>1026</v>
      </c>
      <c r="AZ197" s="1851"/>
      <c r="BA197" s="3157" t="s">
        <v>1031</v>
      </c>
      <c r="BB197" s="1764"/>
    </row>
    <row r="198" spans="1:56" s="645" customFormat="1" ht="20.100000000000001" customHeight="1">
      <c r="A198" s="2548">
        <v>143</v>
      </c>
      <c r="B198" s="2549"/>
      <c r="C198" s="2549"/>
      <c r="D198" s="2550" t="s">
        <v>352</v>
      </c>
      <c r="E198" s="2549">
        <v>13</v>
      </c>
      <c r="F198" s="2283" t="s">
        <v>430</v>
      </c>
      <c r="G198" s="1788"/>
      <c r="H198" s="2283" t="s">
        <v>439</v>
      </c>
      <c r="I198" s="64" t="s">
        <v>40</v>
      </c>
      <c r="J198" s="2283" t="s">
        <v>438</v>
      </c>
      <c r="K198" s="64">
        <v>1</v>
      </c>
      <c r="L198" s="2550" t="s">
        <v>440</v>
      </c>
      <c r="M198" s="2549">
        <v>1</v>
      </c>
      <c r="N198" s="2549">
        <v>1</v>
      </c>
      <c r="O198" s="2549">
        <v>0</v>
      </c>
      <c r="P198" s="2573">
        <v>1</v>
      </c>
      <c r="Q198" s="2549">
        <v>1</v>
      </c>
      <c r="R198" s="2549">
        <v>1</v>
      </c>
      <c r="S198" s="2549">
        <v>111</v>
      </c>
      <c r="T198" s="91">
        <v>68900000</v>
      </c>
      <c r="U198" s="91">
        <v>68900000</v>
      </c>
      <c r="V198" s="91">
        <v>13780000</v>
      </c>
      <c r="W198" s="1856">
        <v>0</v>
      </c>
      <c r="X198" s="91">
        <f t="shared" si="20"/>
        <v>82680000</v>
      </c>
      <c r="Y198" s="1879" t="s">
        <v>170</v>
      </c>
      <c r="Z198" s="1879" t="s">
        <v>619</v>
      </c>
      <c r="AA198" s="91">
        <f>T198</f>
        <v>68900000</v>
      </c>
      <c r="AB198" s="1880"/>
      <c r="AC198" s="91"/>
      <c r="AD198" s="2329"/>
      <c r="AE198" s="91"/>
      <c r="AF198" s="2329"/>
      <c r="AG198" s="91">
        <v>0</v>
      </c>
      <c r="AH198" s="1880" t="s">
        <v>617</v>
      </c>
      <c r="AI198" s="91" t="s">
        <v>441</v>
      </c>
      <c r="AJ198" s="3160" t="s">
        <v>21</v>
      </c>
      <c r="AK198" s="3160" t="s">
        <v>21</v>
      </c>
      <c r="AL198" s="3160" t="s">
        <v>21</v>
      </c>
      <c r="AM198" s="1877"/>
      <c r="AN198" s="3202" t="s">
        <v>603</v>
      </c>
      <c r="AO198" s="3202" t="s">
        <v>603</v>
      </c>
      <c r="AP198" s="1912" t="s">
        <v>570</v>
      </c>
      <c r="AQ198" s="1912"/>
      <c r="AR198" s="3215" t="s">
        <v>571</v>
      </c>
      <c r="AS198" s="2132"/>
      <c r="AT198" s="91">
        <v>68900000</v>
      </c>
      <c r="AU198" s="1879" t="s">
        <v>170</v>
      </c>
      <c r="AV198" s="1879">
        <f>BB[[#This Row],[NILAI PINJAMAN KONFIRMASI BILA-MULTI]]</f>
        <v>68900000</v>
      </c>
      <c r="AW198" s="1912" t="s">
        <v>21</v>
      </c>
      <c r="AX198" s="1879" t="s">
        <v>619</v>
      </c>
      <c r="AY198" s="91" t="s">
        <v>1026</v>
      </c>
      <c r="AZ198" s="91"/>
      <c r="BA198" s="1983" t="s">
        <v>1035</v>
      </c>
      <c r="BB198" s="1764"/>
    </row>
    <row r="199" spans="1:56" s="645" customFormat="1" ht="39.75" customHeight="1">
      <c r="A199" s="2548">
        <v>144</v>
      </c>
      <c r="B199" s="2549"/>
      <c r="C199" s="2549"/>
      <c r="D199" s="2550" t="s">
        <v>352</v>
      </c>
      <c r="E199" s="2549">
        <v>13</v>
      </c>
      <c r="F199" s="2283" t="s">
        <v>430</v>
      </c>
      <c r="G199" s="1788"/>
      <c r="H199" s="2283" t="s">
        <v>439</v>
      </c>
      <c r="I199" s="64" t="s">
        <v>40</v>
      </c>
      <c r="J199" s="2283" t="s">
        <v>438</v>
      </c>
      <c r="K199" s="64">
        <v>2</v>
      </c>
      <c r="L199" s="2550" t="s">
        <v>442</v>
      </c>
      <c r="M199" s="2549">
        <v>1</v>
      </c>
      <c r="N199" s="2549">
        <v>1</v>
      </c>
      <c r="O199" s="2549">
        <v>0</v>
      </c>
      <c r="P199" s="2573">
        <v>1</v>
      </c>
      <c r="Q199" s="2549">
        <v>1</v>
      </c>
      <c r="R199" s="2549">
        <v>1</v>
      </c>
      <c r="S199" s="2549">
        <v>112</v>
      </c>
      <c r="T199" s="91">
        <v>30000000</v>
      </c>
      <c r="U199" s="91">
        <v>30000000</v>
      </c>
      <c r="V199" s="91">
        <v>6000000</v>
      </c>
      <c r="W199" s="91">
        <v>500000</v>
      </c>
      <c r="X199" s="91">
        <f t="shared" si="20"/>
        <v>36500000</v>
      </c>
      <c r="Y199" s="1879" t="s">
        <v>170</v>
      </c>
      <c r="Z199" s="1879" t="s">
        <v>619</v>
      </c>
      <c r="AA199" s="91">
        <v>30000000</v>
      </c>
      <c r="AB199" s="1880"/>
      <c r="AC199" s="91"/>
      <c r="AD199" s="2329"/>
      <c r="AE199" s="91"/>
      <c r="AF199" s="2329"/>
      <c r="AG199" s="91">
        <v>0</v>
      </c>
      <c r="AH199" s="1880" t="s">
        <v>617</v>
      </c>
      <c r="AI199" s="91" t="s">
        <v>441</v>
      </c>
      <c r="AJ199" s="3160" t="s">
        <v>21</v>
      </c>
      <c r="AK199" s="3160" t="s">
        <v>21</v>
      </c>
      <c r="AL199" s="3160" t="s">
        <v>21</v>
      </c>
      <c r="AM199" s="1877"/>
      <c r="AN199" s="3202" t="s">
        <v>603</v>
      </c>
      <c r="AO199" s="3202" t="s">
        <v>603</v>
      </c>
      <c r="AP199" s="1912" t="s">
        <v>570</v>
      </c>
      <c r="AQ199" s="1912"/>
      <c r="AR199" s="3215" t="s">
        <v>571</v>
      </c>
      <c r="AS199" s="2132"/>
      <c r="AT199" s="91">
        <v>30000000</v>
      </c>
      <c r="AU199" s="1879" t="s">
        <v>170</v>
      </c>
      <c r="AV199" s="1879">
        <f>BB[[#This Row],[NILAI PINJAMAN KONFIRMASI BILA-MULTI]]</f>
        <v>30000000</v>
      </c>
      <c r="AW199" s="1912" t="s">
        <v>21</v>
      </c>
      <c r="AX199" s="1879" t="s">
        <v>619</v>
      </c>
      <c r="AY199" s="91" t="s">
        <v>1026</v>
      </c>
      <c r="AZ199" s="91"/>
      <c r="BA199" s="3194" t="s">
        <v>1036</v>
      </c>
      <c r="BB199" s="1764"/>
    </row>
    <row r="200" spans="1:56" s="645" customFormat="1" ht="20.100000000000001" customHeight="1">
      <c r="A200" s="2548">
        <v>145</v>
      </c>
      <c r="B200" s="2549"/>
      <c r="C200" s="2549"/>
      <c r="D200" s="2550" t="s">
        <v>352</v>
      </c>
      <c r="E200" s="2549">
        <v>14</v>
      </c>
      <c r="F200" s="2283" t="s">
        <v>1037</v>
      </c>
      <c r="G200" s="2284"/>
      <c r="H200" s="2283" t="s">
        <v>447</v>
      </c>
      <c r="I200" s="64" t="s">
        <v>23</v>
      </c>
      <c r="J200" s="2283" t="s">
        <v>446</v>
      </c>
      <c r="K200" s="64">
        <v>1</v>
      </c>
      <c r="L200" s="2550" t="s">
        <v>448</v>
      </c>
      <c r="M200" s="2549">
        <v>1</v>
      </c>
      <c r="N200" s="2549">
        <v>1</v>
      </c>
      <c r="O200" s="2549">
        <v>0</v>
      </c>
      <c r="P200" s="2573">
        <v>1</v>
      </c>
      <c r="Q200" s="2549">
        <v>1</v>
      </c>
      <c r="R200" s="2549">
        <v>1</v>
      </c>
      <c r="S200" s="2549">
        <v>113</v>
      </c>
      <c r="T200" s="1879">
        <v>92308000</v>
      </c>
      <c r="U200" s="1879">
        <v>92308000</v>
      </c>
      <c r="V200" s="1856">
        <v>2500000</v>
      </c>
      <c r="W200" s="1856">
        <v>0</v>
      </c>
      <c r="X200" s="2068">
        <f t="shared" si="20"/>
        <v>94808000</v>
      </c>
      <c r="Y200" s="2330" t="s">
        <v>1038</v>
      </c>
      <c r="Z200" s="2330" t="s">
        <v>602</v>
      </c>
      <c r="AA200" s="1879">
        <f>T200</f>
        <v>92308000</v>
      </c>
      <c r="AB200" s="1880"/>
      <c r="AC200" s="1879"/>
      <c r="AD200" s="2095"/>
      <c r="AE200" s="1879"/>
      <c r="AF200" s="2095"/>
      <c r="AG200" s="2117">
        <f>+BB[[#This Row],[NILAI PINJAMAN PER LENDER]]-BB[[#This Row],[NILAI PINJAMAN DALAM BB]]</f>
        <v>0</v>
      </c>
      <c r="AH200" s="1880" t="s">
        <v>617</v>
      </c>
      <c r="AI200" s="3160" t="s">
        <v>21</v>
      </c>
      <c r="AJ200" s="3160" t="s">
        <v>21</v>
      </c>
      <c r="AK200" s="3160" t="s">
        <v>21</v>
      </c>
      <c r="AL200" s="3160" t="s">
        <v>21</v>
      </c>
      <c r="AM200" s="1877"/>
      <c r="AN200" s="3202" t="s">
        <v>603</v>
      </c>
      <c r="AO200" s="3202" t="s">
        <v>603</v>
      </c>
      <c r="AP200" s="1912" t="s">
        <v>570</v>
      </c>
      <c r="AQ200" s="1912"/>
      <c r="AR200" s="3215" t="s">
        <v>571</v>
      </c>
      <c r="AS200" s="2132"/>
      <c r="AT200" s="1879">
        <v>92308000</v>
      </c>
      <c r="AU200" s="2330" t="s">
        <v>1038</v>
      </c>
      <c r="AV200" s="2330">
        <f>BB[[#This Row],[NILAI PINJAMAN KONFIRMASI BILA-MULTI]]</f>
        <v>92308000</v>
      </c>
      <c r="AW200" s="1912" t="s">
        <v>1039</v>
      </c>
      <c r="AX200" s="2330" t="s">
        <v>605</v>
      </c>
      <c r="AY200" s="3161" t="s">
        <v>1040</v>
      </c>
      <c r="AZ200" s="1985" t="s">
        <v>1041</v>
      </c>
      <c r="BA200" s="3194" t="s">
        <v>1042</v>
      </c>
      <c r="BB200" s="1764"/>
    </row>
    <row r="201" spans="1:56" ht="20.100000000000001" customHeight="1">
      <c r="A201" s="2548">
        <v>146</v>
      </c>
      <c r="B201" s="2549"/>
      <c r="C201" s="2549"/>
      <c r="D201" s="2550" t="s">
        <v>352</v>
      </c>
      <c r="E201" s="2549">
        <v>15</v>
      </c>
      <c r="F201" s="2550" t="s">
        <v>449</v>
      </c>
      <c r="G201" s="2285"/>
      <c r="H201" s="2550" t="s">
        <v>452</v>
      </c>
      <c r="I201" s="2549" t="s">
        <v>23</v>
      </c>
      <c r="J201" s="2550" t="s">
        <v>451</v>
      </c>
      <c r="K201" s="2549">
        <v>1</v>
      </c>
      <c r="L201" s="2550" t="s">
        <v>453</v>
      </c>
      <c r="M201" s="2549">
        <v>1</v>
      </c>
      <c r="N201" s="2549">
        <v>1</v>
      </c>
      <c r="O201" s="2549">
        <v>0</v>
      </c>
      <c r="P201" s="2573">
        <v>1</v>
      </c>
      <c r="Q201" s="2549">
        <v>1</v>
      </c>
      <c r="R201" s="2549">
        <v>1</v>
      </c>
      <c r="S201" s="2549">
        <v>114</v>
      </c>
      <c r="T201" s="1856">
        <v>107000000</v>
      </c>
      <c r="U201" s="1856">
        <v>107000000</v>
      </c>
      <c r="V201" s="2059">
        <v>4261000</v>
      </c>
      <c r="W201" s="1856">
        <v>2160000</v>
      </c>
      <c r="X201" s="2067">
        <f t="shared" si="20"/>
        <v>113421000</v>
      </c>
      <c r="Y201" s="2331" t="s">
        <v>21</v>
      </c>
      <c r="Z201" s="2331" t="s">
        <v>21</v>
      </c>
      <c r="AA201" s="1879">
        <v>107000000</v>
      </c>
      <c r="AB201" s="1880"/>
      <c r="AC201" s="1879"/>
      <c r="AD201" s="2095"/>
      <c r="AE201" s="1879"/>
      <c r="AF201" s="2095"/>
      <c r="AG201" s="2068">
        <f>-BB[[#This Row],[NILAI PINJAMAN PER LENDER]]</f>
        <v>-107000000</v>
      </c>
      <c r="AH201" s="1880" t="s">
        <v>617</v>
      </c>
      <c r="AI201" s="3160" t="s">
        <v>21</v>
      </c>
      <c r="AJ201" s="2011" t="s">
        <v>455</v>
      </c>
      <c r="AK201" s="3160" t="s">
        <v>21</v>
      </c>
      <c r="AL201" s="3160" t="s">
        <v>21</v>
      </c>
      <c r="AM201" s="1877"/>
      <c r="AN201" s="3207" t="s">
        <v>675</v>
      </c>
      <c r="AO201" s="3202" t="s">
        <v>603</v>
      </c>
      <c r="AP201" s="1912" t="s">
        <v>570</v>
      </c>
      <c r="AQ201" s="1912"/>
      <c r="AR201" s="1912" t="s">
        <v>1043</v>
      </c>
      <c r="AS201" s="1912"/>
      <c r="AT201" s="1879">
        <v>107000000</v>
      </c>
      <c r="AU201" s="2331" t="s">
        <v>633</v>
      </c>
      <c r="AV201" s="2331">
        <f>BB[[#This Row],[NILAI PINJAMAN KONFIRMASI BILA-MULTI]]</f>
        <v>107000000</v>
      </c>
      <c r="AW201" s="1912" t="s">
        <v>1044</v>
      </c>
      <c r="AX201" s="2331" t="s">
        <v>633</v>
      </c>
      <c r="AY201" s="3244" t="s">
        <v>1045</v>
      </c>
      <c r="AZ201" s="2258"/>
      <c r="BA201" s="2149" t="s">
        <v>1046</v>
      </c>
      <c r="BB201" s="2364"/>
      <c r="BC201" s="2531"/>
      <c r="BD201" s="2531"/>
    </row>
    <row r="202" spans="1:56" ht="20.100000000000001" customHeight="1">
      <c r="A202" s="2563"/>
      <c r="B202" s="2549"/>
      <c r="C202" s="2549"/>
      <c r="D202" s="2550" t="s">
        <v>352</v>
      </c>
      <c r="E202" s="2549"/>
      <c r="F202" s="2550" t="s">
        <v>1047</v>
      </c>
      <c r="G202" s="1788"/>
      <c r="H202" s="2550" t="s">
        <v>1048</v>
      </c>
      <c r="I202" s="2549"/>
      <c r="J202" s="2550" t="s">
        <v>1049</v>
      </c>
      <c r="K202" s="2550"/>
      <c r="L202" s="2299" t="s">
        <v>1050</v>
      </c>
      <c r="M202" s="2549">
        <v>1</v>
      </c>
      <c r="N202" s="2549"/>
      <c r="O202" s="2549"/>
      <c r="P202" s="2573"/>
      <c r="Q202" s="2549"/>
      <c r="R202" s="2549"/>
      <c r="S202" s="2549"/>
      <c r="T202" s="1856">
        <v>0</v>
      </c>
      <c r="U202" s="1458">
        <v>150000000</v>
      </c>
      <c r="V202" s="2315">
        <v>0</v>
      </c>
      <c r="W202" s="2059">
        <v>0</v>
      </c>
      <c r="X202" s="2067">
        <f>BB[[#This Row],[NILAI PINJAMAN DALAM BB (PERUBAHAN)]]+BB[[#This Row],[PENDAMPING BB]]+BB[[#This Row],[HIBAH BB]]</f>
        <v>150000000</v>
      </c>
      <c r="Y202" s="2212" t="s">
        <v>633</v>
      </c>
      <c r="Z202" s="2212" t="s">
        <v>633</v>
      </c>
      <c r="AA202" s="2094">
        <f>BB[[#This Row],[NILAI PINJAMAN DALAM BB (PERUBAHAN)]]</f>
        <v>150000000</v>
      </c>
      <c r="AB202" s="1880"/>
      <c r="AC202" s="1680"/>
      <c r="AD202" s="2074"/>
      <c r="AE202" s="2075"/>
      <c r="AF202" s="2074"/>
      <c r="AG202" s="2068"/>
      <c r="AH202" s="1880"/>
      <c r="AI202" s="2102"/>
      <c r="AJ202" s="2011"/>
      <c r="AK202" s="2011"/>
      <c r="AL202" s="2011"/>
      <c r="AM202" s="1880"/>
      <c r="AN202" s="3207" t="s">
        <v>608</v>
      </c>
      <c r="AO202" s="3202" t="s">
        <v>603</v>
      </c>
      <c r="AP202" s="2011" t="s">
        <v>570</v>
      </c>
      <c r="AQ202" s="1912"/>
      <c r="AR202" s="2143" t="s">
        <v>719</v>
      </c>
      <c r="AS202" s="2143"/>
      <c r="AT202" s="2143">
        <f>BB[[#This Row],[NILAI PINJAMAN PER LENDER]]</f>
        <v>150000000</v>
      </c>
      <c r="AU202" s="2331" t="s">
        <v>1051</v>
      </c>
      <c r="AV202" s="2365">
        <f>BB[[#This Row],[NILAI PINJAMAN KONFIRMASI BILA-MULTI]]</f>
        <v>150000000</v>
      </c>
      <c r="AW202" s="2143"/>
      <c r="AX202" s="2182"/>
      <c r="AY202" s="2257"/>
      <c r="AZ202" s="2258"/>
      <c r="BA202" s="2149"/>
      <c r="BB202" s="2364"/>
      <c r="BC202" s="2531"/>
      <c r="BD202" s="2531"/>
    </row>
    <row r="203" spans="1:56" ht="20.100000000000001" customHeight="1">
      <c r="A203" s="2563"/>
      <c r="B203" s="2549"/>
      <c r="C203" s="2549"/>
      <c r="D203" s="2550" t="s">
        <v>352</v>
      </c>
      <c r="E203" s="2549"/>
      <c r="F203" s="2550" t="s">
        <v>1047</v>
      </c>
      <c r="G203" s="1788"/>
      <c r="H203" s="2550" t="s">
        <v>1048</v>
      </c>
      <c r="I203" s="2549"/>
      <c r="J203" s="2550" t="s">
        <v>1049</v>
      </c>
      <c r="K203" s="2550"/>
      <c r="L203" s="2299" t="s">
        <v>1052</v>
      </c>
      <c r="M203" s="2549">
        <v>1</v>
      </c>
      <c r="N203" s="2549"/>
      <c r="O203" s="2549"/>
      <c r="P203" s="2573"/>
      <c r="Q203" s="2549"/>
      <c r="R203" s="2549"/>
      <c r="S203" s="2549"/>
      <c r="T203" s="1856">
        <v>0</v>
      </c>
      <c r="U203" s="1458">
        <v>55000000</v>
      </c>
      <c r="V203" s="2315">
        <v>0</v>
      </c>
      <c r="W203" s="2059">
        <v>0</v>
      </c>
      <c r="X203" s="2067">
        <f>BB[[#This Row],[NILAI PINJAMAN DALAM BB (PERUBAHAN)]]+BB[[#This Row],[PENDAMPING BB]]+BB[[#This Row],[HIBAH BB]]</f>
        <v>55000000</v>
      </c>
      <c r="Y203" s="2212" t="s">
        <v>633</v>
      </c>
      <c r="Z203" s="2212" t="s">
        <v>633</v>
      </c>
      <c r="AA203" s="2094">
        <f>BB[[#This Row],[NILAI PINJAMAN DALAM BB (PERUBAHAN)]]</f>
        <v>55000000</v>
      </c>
      <c r="AB203" s="1880"/>
      <c r="AC203" s="1680"/>
      <c r="AD203" s="2074"/>
      <c r="AE203" s="2075"/>
      <c r="AF203" s="2074"/>
      <c r="AG203" s="2068"/>
      <c r="AH203" s="1880"/>
      <c r="AI203" s="2102"/>
      <c r="AJ203" s="2011"/>
      <c r="AK203" s="2011"/>
      <c r="AL203" s="2011"/>
      <c r="AM203" s="1880"/>
      <c r="AN203" s="3207" t="s">
        <v>608</v>
      </c>
      <c r="AO203" s="3202" t="s">
        <v>603</v>
      </c>
      <c r="AP203" s="2011" t="s">
        <v>570</v>
      </c>
      <c r="AQ203" s="1912"/>
      <c r="AR203" s="2143" t="s">
        <v>719</v>
      </c>
      <c r="AS203" s="2143"/>
      <c r="AT203" s="2143">
        <f>BB[[#This Row],[NILAI PINJAMAN PER LENDER]]</f>
        <v>55000000</v>
      </c>
      <c r="AU203" s="2331" t="s">
        <v>1051</v>
      </c>
      <c r="AV203" s="2365">
        <f>BB[[#This Row],[NILAI PINJAMAN KONFIRMASI BILA-MULTI]]</f>
        <v>55000000</v>
      </c>
      <c r="AW203" s="2143"/>
      <c r="AX203" s="2182"/>
      <c r="AY203" s="2257"/>
      <c r="AZ203" s="2258"/>
      <c r="BA203" s="2149"/>
      <c r="BB203" s="2364"/>
      <c r="BC203" s="2531"/>
      <c r="BD203" s="2531"/>
    </row>
    <row r="204" spans="1:56" ht="20.100000000000001" customHeight="1">
      <c r="A204" s="2563"/>
      <c r="B204" s="2549"/>
      <c r="C204" s="2549"/>
      <c r="D204" s="2550" t="s">
        <v>352</v>
      </c>
      <c r="E204" s="2549"/>
      <c r="F204" s="2550" t="s">
        <v>1047</v>
      </c>
      <c r="G204" s="1788"/>
      <c r="H204" s="2550" t="s">
        <v>1048</v>
      </c>
      <c r="I204" s="2549"/>
      <c r="J204" s="2550" t="s">
        <v>1049</v>
      </c>
      <c r="K204" s="2550"/>
      <c r="L204" s="2299" t="s">
        <v>1053</v>
      </c>
      <c r="M204" s="2549">
        <v>1</v>
      </c>
      <c r="N204" s="2549"/>
      <c r="O204" s="2549"/>
      <c r="P204" s="2573"/>
      <c r="Q204" s="2549"/>
      <c r="R204" s="2549"/>
      <c r="S204" s="2549"/>
      <c r="T204" s="1856">
        <v>0</v>
      </c>
      <c r="U204" s="1458">
        <v>45000000</v>
      </c>
      <c r="V204" s="2315">
        <v>0</v>
      </c>
      <c r="W204" s="2059">
        <v>0</v>
      </c>
      <c r="X204" s="2067">
        <f>BB[[#This Row],[NILAI PINJAMAN DALAM BB (PERUBAHAN)]]+BB[[#This Row],[PENDAMPING BB]]+BB[[#This Row],[HIBAH BB]]</f>
        <v>45000000</v>
      </c>
      <c r="Y204" s="2212" t="s">
        <v>633</v>
      </c>
      <c r="Z204" s="2212" t="s">
        <v>633</v>
      </c>
      <c r="AA204" s="2094">
        <f>BB[[#This Row],[NILAI PINJAMAN DALAM BB (PERUBAHAN)]]</f>
        <v>45000000</v>
      </c>
      <c r="AB204" s="1880"/>
      <c r="AC204" s="1680"/>
      <c r="AD204" s="2074"/>
      <c r="AE204" s="2075"/>
      <c r="AF204" s="2074"/>
      <c r="AG204" s="2068"/>
      <c r="AH204" s="1880"/>
      <c r="AI204" s="2102"/>
      <c r="AJ204" s="2011"/>
      <c r="AK204" s="2011"/>
      <c r="AL204" s="2011"/>
      <c r="AM204" s="1880"/>
      <c r="AN204" s="3207" t="s">
        <v>608</v>
      </c>
      <c r="AO204" s="3202" t="s">
        <v>603</v>
      </c>
      <c r="AP204" s="2011" t="s">
        <v>570</v>
      </c>
      <c r="AQ204" s="1912"/>
      <c r="AR204" s="2143" t="s">
        <v>719</v>
      </c>
      <c r="AS204" s="2143"/>
      <c r="AT204" s="2143">
        <f>BB[[#This Row],[NILAI PINJAMAN PER LENDER]]</f>
        <v>45000000</v>
      </c>
      <c r="AU204" s="2331" t="s">
        <v>1051</v>
      </c>
      <c r="AV204" s="2365">
        <f>BB[[#This Row],[NILAI PINJAMAN KONFIRMASI BILA-MULTI]]</f>
        <v>45000000</v>
      </c>
      <c r="AW204" s="2143"/>
      <c r="AX204" s="2182"/>
      <c r="AY204" s="2257"/>
      <c r="AZ204" s="2258"/>
      <c r="BA204" s="2149"/>
      <c r="BB204" s="2364"/>
      <c r="BC204" s="2531"/>
      <c r="BD204" s="2531"/>
    </row>
    <row r="205" spans="1:56" ht="20.100000000000001" customHeight="1">
      <c r="A205" s="2563"/>
      <c r="B205" s="2549"/>
      <c r="C205" s="2549"/>
      <c r="D205" s="2550" t="s">
        <v>352</v>
      </c>
      <c r="E205" s="2549"/>
      <c r="F205" s="2550" t="s">
        <v>1047</v>
      </c>
      <c r="G205" s="1788"/>
      <c r="H205" s="2550" t="s">
        <v>1048</v>
      </c>
      <c r="I205" s="2549"/>
      <c r="J205" s="2550" t="s">
        <v>1049</v>
      </c>
      <c r="K205" s="2550"/>
      <c r="L205" s="2299" t="s">
        <v>1054</v>
      </c>
      <c r="M205" s="2549">
        <v>1</v>
      </c>
      <c r="N205" s="2549"/>
      <c r="O205" s="2549"/>
      <c r="P205" s="2573"/>
      <c r="Q205" s="2549"/>
      <c r="R205" s="2549"/>
      <c r="S205" s="2549"/>
      <c r="T205" s="1856">
        <v>0</v>
      </c>
      <c r="U205" s="1458">
        <v>40000000</v>
      </c>
      <c r="V205" s="2315">
        <v>0</v>
      </c>
      <c r="W205" s="2059">
        <v>0</v>
      </c>
      <c r="X205" s="2067">
        <f>BB[[#This Row],[NILAI PINJAMAN DALAM BB (PERUBAHAN)]]+BB[[#This Row],[PENDAMPING BB]]+BB[[#This Row],[HIBAH BB]]</f>
        <v>40000000</v>
      </c>
      <c r="Y205" s="2212" t="s">
        <v>633</v>
      </c>
      <c r="Z205" s="2212" t="s">
        <v>633</v>
      </c>
      <c r="AA205" s="2094">
        <f>BB[[#This Row],[NILAI PINJAMAN DALAM BB (PERUBAHAN)]]</f>
        <v>40000000</v>
      </c>
      <c r="AB205" s="1880"/>
      <c r="AC205" s="1680"/>
      <c r="AD205" s="2074"/>
      <c r="AE205" s="2075"/>
      <c r="AF205" s="2074"/>
      <c r="AG205" s="2068"/>
      <c r="AH205" s="1880"/>
      <c r="AI205" s="2102"/>
      <c r="AJ205" s="2011"/>
      <c r="AK205" s="2011"/>
      <c r="AL205" s="2011"/>
      <c r="AM205" s="1880"/>
      <c r="AN205" s="3207" t="s">
        <v>608</v>
      </c>
      <c r="AO205" s="3202" t="s">
        <v>603</v>
      </c>
      <c r="AP205" s="2011" t="s">
        <v>570</v>
      </c>
      <c r="AQ205" s="1912"/>
      <c r="AR205" s="2143" t="s">
        <v>719</v>
      </c>
      <c r="AS205" s="2143"/>
      <c r="AT205" s="2143">
        <f>BB[[#This Row],[NILAI PINJAMAN PER LENDER]]</f>
        <v>40000000</v>
      </c>
      <c r="AU205" s="2331" t="s">
        <v>1051</v>
      </c>
      <c r="AV205" s="2365">
        <f>BB[[#This Row],[NILAI PINJAMAN KONFIRMASI BILA-MULTI]]</f>
        <v>40000000</v>
      </c>
      <c r="AW205" s="2143"/>
      <c r="AX205" s="2182"/>
      <c r="AY205" s="2257"/>
      <c r="AZ205" s="2258"/>
      <c r="BA205" s="2149"/>
      <c r="BB205" s="2364"/>
      <c r="BC205" s="2531"/>
      <c r="BD205" s="2531"/>
    </row>
    <row r="206" spans="1:56" ht="20.100000000000001" customHeight="1">
      <c r="A206" s="2548">
        <v>147</v>
      </c>
      <c r="B206" s="2549"/>
      <c r="C206" s="2549"/>
      <c r="D206" s="2550" t="s">
        <v>352</v>
      </c>
      <c r="E206" s="2549">
        <v>16</v>
      </c>
      <c r="F206" s="2550" t="s">
        <v>1055</v>
      </c>
      <c r="G206" s="1788"/>
      <c r="H206" s="2550" t="s">
        <v>460</v>
      </c>
      <c r="I206" s="2549" t="s">
        <v>23</v>
      </c>
      <c r="J206" s="2550" t="s">
        <v>459</v>
      </c>
      <c r="K206" s="2549">
        <v>1</v>
      </c>
      <c r="L206" s="2643" t="s">
        <v>1056</v>
      </c>
      <c r="M206" s="2644">
        <v>1</v>
      </c>
      <c r="N206" s="2644">
        <v>1</v>
      </c>
      <c r="O206" s="2644">
        <v>0</v>
      </c>
      <c r="P206" s="2573">
        <v>1</v>
      </c>
      <c r="Q206" s="2549">
        <v>1</v>
      </c>
      <c r="R206" s="2549">
        <v>1</v>
      </c>
      <c r="S206" s="2549">
        <v>115</v>
      </c>
      <c r="T206" s="1856">
        <v>150000000</v>
      </c>
      <c r="U206" s="1856">
        <v>150000000</v>
      </c>
      <c r="V206" s="2316">
        <v>9000000</v>
      </c>
      <c r="W206" s="1856">
        <v>0</v>
      </c>
      <c r="X206" s="2068">
        <f t="shared" si="20"/>
        <v>159000000</v>
      </c>
      <c r="Y206" s="2068" t="s">
        <v>462</v>
      </c>
      <c r="Z206" s="1879" t="s">
        <v>565</v>
      </c>
      <c r="AA206" s="1879">
        <f>T206</f>
        <v>150000000</v>
      </c>
      <c r="AB206" s="1880"/>
      <c r="AC206" s="1879"/>
      <c r="AD206" s="2095"/>
      <c r="AE206" s="1879"/>
      <c r="AF206" s="2095"/>
      <c r="AG206" s="2117">
        <f>+BB[[#This Row],[NILAI PINJAMAN PER LENDER]]-BB[[#This Row],[NILAI PINJAMAN DALAM BB]]</f>
        <v>0</v>
      </c>
      <c r="AH206" s="1880" t="s">
        <v>617</v>
      </c>
      <c r="AI206" s="3208" t="s">
        <v>1057</v>
      </c>
      <c r="AJ206" s="3208" t="s">
        <v>1057</v>
      </c>
      <c r="AK206" s="3208" t="s">
        <v>1058</v>
      </c>
      <c r="AL206" s="3208" t="s">
        <v>1059</v>
      </c>
      <c r="AM206" s="1877"/>
      <c r="AN206" s="3207" t="s">
        <v>608</v>
      </c>
      <c r="AO206" s="3207" t="s">
        <v>568</v>
      </c>
      <c r="AP206" s="1912" t="s">
        <v>570</v>
      </c>
      <c r="AQ206" s="1912"/>
      <c r="AR206" s="1912" t="s">
        <v>571</v>
      </c>
      <c r="AS206" s="1912"/>
      <c r="AT206" s="1879">
        <v>150000000</v>
      </c>
      <c r="AU206" s="2068" t="s">
        <v>462</v>
      </c>
      <c r="AV206" s="2365">
        <f>BB[[#This Row],[NILAI PINJAMAN KONFIRMASI BILA-MULTI]]</f>
        <v>150000000</v>
      </c>
      <c r="AW206" s="1912" t="s">
        <v>21</v>
      </c>
      <c r="AX206" s="1879" t="s">
        <v>565</v>
      </c>
      <c r="AY206" s="3244" t="s">
        <v>1060</v>
      </c>
      <c r="AZ206" s="2258"/>
      <c r="BA206" s="3187" t="s">
        <v>1061</v>
      </c>
    </row>
    <row r="207" spans="1:56" ht="20.100000000000001" customHeight="1">
      <c r="A207" s="2640">
        <v>148</v>
      </c>
      <c r="B207" s="2641"/>
      <c r="C207" s="2641"/>
      <c r="D207" s="2642" t="s">
        <v>352</v>
      </c>
      <c r="E207" s="2641">
        <v>17</v>
      </c>
      <c r="F207" s="2642" t="s">
        <v>1062</v>
      </c>
      <c r="G207" s="2144"/>
      <c r="H207" s="2642" t="s">
        <v>470</v>
      </c>
      <c r="I207" s="2641" t="s">
        <v>23</v>
      </c>
      <c r="J207" s="2642" t="s">
        <v>469</v>
      </c>
      <c r="K207" s="2641">
        <v>1</v>
      </c>
      <c r="L207" s="2642" t="s">
        <v>471</v>
      </c>
      <c r="M207" s="2641">
        <v>1</v>
      </c>
      <c r="N207" s="2641">
        <v>1</v>
      </c>
      <c r="O207" s="2641">
        <v>0</v>
      </c>
      <c r="P207" s="2645">
        <v>1</v>
      </c>
      <c r="Q207" s="2641">
        <v>1</v>
      </c>
      <c r="R207" s="2641">
        <v>1</v>
      </c>
      <c r="S207" s="2641">
        <v>116</v>
      </c>
      <c r="T207" s="1941">
        <v>114400000</v>
      </c>
      <c r="U207" s="1941">
        <v>114400000</v>
      </c>
      <c r="V207" s="2317">
        <v>17200000</v>
      </c>
      <c r="W207" s="1941">
        <v>0</v>
      </c>
      <c r="X207" s="2075">
        <f>+BB[[#This Row],[NILAI PINJAMAN DALAM BB]]+BB[[#This Row],[PENDAMPING BB]]+BB[[#This Row],[HIBAH BB]]</f>
        <v>131600000</v>
      </c>
      <c r="Y207" s="2075" t="s">
        <v>1063</v>
      </c>
      <c r="Z207" s="1680" t="s">
        <v>565</v>
      </c>
      <c r="AA207" s="1680">
        <v>114400000</v>
      </c>
      <c r="AB207" s="2332"/>
      <c r="AC207" s="1680"/>
      <c r="AD207" s="2074"/>
      <c r="AE207" s="1680"/>
      <c r="AF207" s="2074"/>
      <c r="AG207" s="2342">
        <v>0</v>
      </c>
      <c r="AH207" s="2332" t="s">
        <v>617</v>
      </c>
      <c r="AI207" s="3245" t="s">
        <v>1064</v>
      </c>
      <c r="AJ207" s="3246" t="s">
        <v>1065</v>
      </c>
      <c r="AK207" s="3246" t="s">
        <v>1066</v>
      </c>
      <c r="AL207" s="3246" t="s">
        <v>1067</v>
      </c>
      <c r="AM207" s="2343"/>
      <c r="AN207" s="3247" t="s">
        <v>608</v>
      </c>
      <c r="AO207" s="3247" t="s">
        <v>1012</v>
      </c>
      <c r="AP207" s="2143" t="s">
        <v>570</v>
      </c>
      <c r="AQ207" s="2143"/>
      <c r="AR207" s="3248" t="s">
        <v>1068</v>
      </c>
      <c r="AS207" s="2352"/>
      <c r="AT207" s="1680">
        <v>114400000</v>
      </c>
      <c r="AU207" s="2075" t="s">
        <v>1063</v>
      </c>
      <c r="AV207" s="2365">
        <f>BB[[#This Row],[NILAI PINJAMAN KONFIRMASI BILA-MULTI]]</f>
        <v>114400000</v>
      </c>
      <c r="AW207" s="2143" t="s">
        <v>21</v>
      </c>
      <c r="AX207" s="1680" t="s">
        <v>565</v>
      </c>
      <c r="AY207" s="3249" t="s">
        <v>1069</v>
      </c>
      <c r="AZ207" s="2367"/>
      <c r="BA207" s="3250" t="s">
        <v>1070</v>
      </c>
    </row>
    <row r="208" spans="1:56" ht="20.100000000000001" customHeight="1">
      <c r="A208" s="2563"/>
      <c r="B208" s="2549"/>
      <c r="C208" s="2549"/>
      <c r="D208" s="2642" t="s">
        <v>352</v>
      </c>
      <c r="E208" s="2549"/>
      <c r="F208" s="2550" t="s">
        <v>1071</v>
      </c>
      <c r="G208" s="1788"/>
      <c r="H208" s="2550" t="s">
        <v>1072</v>
      </c>
      <c r="I208" s="2549"/>
      <c r="J208" s="2550" t="s">
        <v>1073</v>
      </c>
      <c r="K208" s="2550"/>
      <c r="L208" s="2550" t="s">
        <v>1074</v>
      </c>
      <c r="M208" s="2549">
        <v>1</v>
      </c>
      <c r="N208" s="2549"/>
      <c r="O208" s="2549"/>
      <c r="P208" s="2573"/>
      <c r="Q208" s="2549"/>
      <c r="R208" s="2549"/>
      <c r="S208" s="2549"/>
      <c r="T208" s="1856">
        <v>0</v>
      </c>
      <c r="U208" s="1856">
        <v>200000000</v>
      </c>
      <c r="V208" s="2315">
        <v>0</v>
      </c>
      <c r="W208" s="1856"/>
      <c r="X208" s="2067">
        <f>BB[[#This Row],[NILAI PINJAMAN DALAM BB (PERUBAHAN)]]+BB[[#This Row],[PENDAMPING BB]]+BB[[#This Row],[HIBAH BB]]</f>
        <v>200000000</v>
      </c>
      <c r="Y208" s="2071" t="s">
        <v>633</v>
      </c>
      <c r="Z208" s="2072" t="s">
        <v>633</v>
      </c>
      <c r="AA208" s="2094">
        <f>BB[[#This Row],[NILAI PINJAMAN DALAM BB (PERUBAHAN)]]</f>
        <v>200000000</v>
      </c>
      <c r="AB208" s="1880"/>
      <c r="AC208" s="1680"/>
      <c r="AD208" s="2074"/>
      <c r="AE208" s="2075"/>
      <c r="AF208" s="2074"/>
      <c r="AG208" s="2117"/>
      <c r="AH208" s="1880"/>
      <c r="AI208" s="2102"/>
      <c r="AJ208" s="2011"/>
      <c r="AK208" s="2011"/>
      <c r="AL208" s="2011"/>
      <c r="AM208" s="1880"/>
      <c r="AN208" s="3202" t="s">
        <v>603</v>
      </c>
      <c r="AO208" s="3202" t="s">
        <v>603</v>
      </c>
      <c r="AP208" s="2011" t="s">
        <v>570</v>
      </c>
      <c r="AQ208" s="1912"/>
      <c r="AR208" s="3210" t="s">
        <v>571</v>
      </c>
      <c r="AS208" s="2143"/>
      <c r="AT208" s="2143">
        <f>BB[[#This Row],[NILAI PINJAMAN PER LENDER]]</f>
        <v>200000000</v>
      </c>
      <c r="AU208" s="2084" t="s">
        <v>633</v>
      </c>
      <c r="AV208" s="2365">
        <f>BB[[#This Row],[NILAI PINJAMAN KONFIRMASI BILA-MULTI]]</f>
        <v>200000000</v>
      </c>
      <c r="AW208" s="2143"/>
      <c r="AX208" s="2182"/>
      <c r="AY208" s="260"/>
      <c r="AZ208" s="91"/>
      <c r="BA208" s="2149"/>
    </row>
    <row r="209" spans="1:56" ht="20.100000000000001" customHeight="1">
      <c r="A209" s="2563"/>
      <c r="B209" s="2549"/>
      <c r="C209" s="2549"/>
      <c r="D209" s="2642" t="s">
        <v>352</v>
      </c>
      <c r="E209" s="2549"/>
      <c r="F209" s="2550" t="s">
        <v>1075</v>
      </c>
      <c r="G209" s="1788"/>
      <c r="H209" s="2550" t="s">
        <v>1076</v>
      </c>
      <c r="I209" s="2549"/>
      <c r="J209" s="2550" t="s">
        <v>1077</v>
      </c>
      <c r="K209" s="2550"/>
      <c r="L209" s="2550" t="s">
        <v>1078</v>
      </c>
      <c r="M209" s="2549">
        <v>1</v>
      </c>
      <c r="N209" s="2549"/>
      <c r="O209" s="2549"/>
      <c r="P209" s="2573"/>
      <c r="Q209" s="2549"/>
      <c r="R209" s="2549"/>
      <c r="S209" s="2549"/>
      <c r="T209" s="1856">
        <v>0</v>
      </c>
      <c r="U209" s="77">
        <v>107950000</v>
      </c>
      <c r="V209" s="2318">
        <v>2950000</v>
      </c>
      <c r="W209" s="1856"/>
      <c r="X209" s="2067">
        <f>BB[[#This Row],[NILAI PINJAMAN DALAM BB (PERUBAHAN)]]+BB[[#This Row],[PENDAMPING BB]]+BB[[#This Row],[HIBAH BB]]</f>
        <v>110900000</v>
      </c>
      <c r="Y209" s="2071" t="s">
        <v>633</v>
      </c>
      <c r="Z209" s="2072" t="s">
        <v>633</v>
      </c>
      <c r="AA209" s="2094">
        <f>BB[[#This Row],[NILAI PINJAMAN DALAM BB (PERUBAHAN)]]</f>
        <v>107950000</v>
      </c>
      <c r="AB209" s="1880"/>
      <c r="AC209" s="1680"/>
      <c r="AD209" s="2074"/>
      <c r="AE209" s="2075"/>
      <c r="AF209" s="2074"/>
      <c r="AG209" s="2117"/>
      <c r="AH209" s="1880"/>
      <c r="AI209" s="2102"/>
      <c r="AJ209" s="2011"/>
      <c r="AK209" s="2011"/>
      <c r="AL209" s="2011"/>
      <c r="AM209" s="1880"/>
      <c r="AN209" s="3202" t="s">
        <v>603</v>
      </c>
      <c r="AO209" s="3202" t="s">
        <v>603</v>
      </c>
      <c r="AP209" s="2011" t="s">
        <v>570</v>
      </c>
      <c r="AQ209" s="1912"/>
      <c r="AR209" s="3210" t="s">
        <v>571</v>
      </c>
      <c r="AS209" s="2143"/>
      <c r="AT209" s="2143">
        <f>BB[[#This Row],[NILAI PINJAMAN PER LENDER]]</f>
        <v>107950000</v>
      </c>
      <c r="AU209" s="2084" t="s">
        <v>633</v>
      </c>
      <c r="AV209" s="2365">
        <f>BB[[#This Row],[NILAI PINJAMAN KONFIRMASI BILA-MULTI]]</f>
        <v>107950000</v>
      </c>
      <c r="AW209" s="2143"/>
      <c r="AX209" s="2182"/>
      <c r="AY209" s="260"/>
      <c r="AZ209" s="91"/>
      <c r="BA209" s="2149"/>
    </row>
    <row r="210" spans="1:56" ht="20.100000000000001" customHeight="1">
      <c r="A210" s="2287"/>
      <c r="B210" s="2288"/>
      <c r="C210" s="2288"/>
      <c r="D210" s="2289"/>
      <c r="E210" s="2288"/>
      <c r="F210" s="2289"/>
      <c r="G210" s="2290"/>
      <c r="H210" s="2289"/>
      <c r="I210" s="2288"/>
      <c r="J210" s="2289"/>
      <c r="K210" s="2289"/>
      <c r="L210" s="2289"/>
      <c r="M210" s="2288"/>
      <c r="N210" s="2288"/>
      <c r="O210" s="2288"/>
      <c r="P210" s="2303"/>
      <c r="Q210" s="2288"/>
      <c r="R210" s="2288"/>
      <c r="S210" s="2288"/>
      <c r="T210" s="2319">
        <f>SUBTOTAL(109,BB[NILAI PINJAMAN DALAM BB])</f>
        <v>45376746000</v>
      </c>
      <c r="U210" s="2319">
        <f>SUBTOTAL(109,BB[NILAI PINJAMAN DALAM BB (PERUBAHAN)])</f>
        <v>54508982500</v>
      </c>
      <c r="V210" s="2320"/>
      <c r="W210" s="2319"/>
      <c r="X210" s="2321"/>
      <c r="Y210" s="2321"/>
      <c r="Z210" s="2333"/>
      <c r="AA210" s="2321"/>
      <c r="AB210" s="2334"/>
      <c r="AC210" s="2335"/>
      <c r="AD210" s="2336"/>
      <c r="AE210" s="2335"/>
      <c r="AF210" s="2336"/>
      <c r="AG210" s="2344"/>
      <c r="AH210" s="2345"/>
      <c r="AI210" s="2346"/>
      <c r="AJ210" s="2290"/>
      <c r="AK210" s="2290"/>
      <c r="AL210" s="2290"/>
      <c r="AM210" s="2290"/>
      <c r="AN210" s="2347"/>
      <c r="AO210" s="2347"/>
      <c r="AP210" s="2290"/>
      <c r="AQ210" s="2290"/>
      <c r="AR210" s="2353"/>
      <c r="AS210" s="2353"/>
      <c r="AT210" s="2353">
        <f>SUBTOTAL(109,BB[NILAI PINJAMAN KONFIRMASI BILA-MULTI])</f>
        <v>57868250000</v>
      </c>
      <c r="AU210" s="2353">
        <f>SUBTOTAL(109,BB[INDIKASI LENDER KONFIRMASI BILA-MULTI])</f>
        <v>0</v>
      </c>
      <c r="AV210" s="2353">
        <f>SUBTOTAL(109,BB[NILAI PINJAMAN REVISI BB 2015-2019])</f>
        <v>42273395700</v>
      </c>
      <c r="AW210" s="2353"/>
      <c r="AX210" s="2368"/>
      <c r="AY210" s="2369"/>
      <c r="AZ210" s="2370"/>
      <c r="BA210" s="2371"/>
    </row>
    <row r="211" spans="1:56" ht="20.100000000000001" customHeight="1">
      <c r="M211" s="2528">
        <f>SUM(M2:M210)</f>
        <v>159.50000000000006</v>
      </c>
      <c r="N211" s="2646">
        <f>SUM(N2:N209)</f>
        <v>133</v>
      </c>
      <c r="O211" s="2528">
        <f>SUM(BB[JLH PROYEK ANAK])</f>
        <v>152</v>
      </c>
      <c r="P211" s="2530">
        <f>SUM(P2:P210)</f>
        <v>123.99999999999994</v>
      </c>
      <c r="Q211" s="2530">
        <f>SUM(Q2:Q210)</f>
        <v>18000120.857142851</v>
      </c>
      <c r="AW211" s="1760">
        <f>AT20+AT30+AT31+AT32+AT50+AT56+AT61+AT71+AT75+AT76+AT96+AT121+AT135+AT188+AT193+AT197</f>
        <v>5827548704</v>
      </c>
    </row>
    <row r="212" spans="1:56" ht="18.75" customHeight="1">
      <c r="V212" s="1753">
        <f>V23+V22+V21+V20+V19+V18+V17+V16+V15+V14+V13+V12+V11+V10+V9+V8+V7+V6+V4+V3</f>
        <v>598900000</v>
      </c>
    </row>
    <row r="213" spans="1:56" ht="19.5" customHeight="1">
      <c r="N213" s="2646">
        <f>SUM(N2:N209)</f>
        <v>133</v>
      </c>
      <c r="AV213" s="1760">
        <f>AV21+AV121</f>
        <v>542336700</v>
      </c>
    </row>
    <row r="214" spans="1:56" ht="20.100000000000001" customHeight="1">
      <c r="M214" s="2528">
        <f>130-14</f>
        <v>116</v>
      </c>
    </row>
    <row r="215" spans="1:56" ht="20.100000000000001" customHeight="1">
      <c r="T215" s="1752">
        <f>BB[[#Totals],[NILAI PINJAMAN DALAM BB]]-700000000</f>
        <v>44676746000</v>
      </c>
      <c r="AT215" s="2378">
        <v>4</v>
      </c>
      <c r="AU215" s="2378"/>
      <c r="AV215" s="2378"/>
      <c r="AW215" s="2378"/>
      <c r="AX215" s="2378"/>
      <c r="AY215" s="2378"/>
      <c r="AZ215" s="2378"/>
    </row>
    <row r="216" spans="1:56" ht="20.100000000000001" customHeight="1">
      <c r="AC216" s="1753">
        <f>AA84+AA85+AA86+AA91</f>
        <v>1172200000</v>
      </c>
      <c r="AT216" s="2378">
        <v>4</v>
      </c>
      <c r="AU216" s="2378"/>
      <c r="AV216" s="2378"/>
      <c r="AW216" s="2378"/>
      <c r="AX216" s="2378"/>
      <c r="AY216" s="2378"/>
      <c r="AZ216" s="2378"/>
    </row>
    <row r="217" spans="1:56" ht="20.100000000000001" customHeight="1">
      <c r="AT217" s="2378">
        <v>6</v>
      </c>
      <c r="AU217" s="2378"/>
      <c r="AV217" s="2378"/>
      <c r="AW217" s="2378"/>
      <c r="AX217" s="2378"/>
      <c r="AY217" s="2378"/>
      <c r="AZ217" s="2378"/>
    </row>
    <row r="218" spans="1:56" ht="20.100000000000001" customHeight="1">
      <c r="AT218" s="2378">
        <f>SUM(AT215:AT217)</f>
        <v>14</v>
      </c>
      <c r="AU218" s="2378"/>
      <c r="AV218" s="2378"/>
      <c r="AW218" s="2378"/>
      <c r="AX218" s="2378"/>
      <c r="AY218" s="2378"/>
      <c r="AZ218" s="2378"/>
    </row>
    <row r="221" spans="1:56" ht="20.100000000000001" customHeight="1">
      <c r="BD221" s="2531"/>
    </row>
    <row r="222" spans="1:56" ht="20.100000000000001" customHeight="1">
      <c r="M222" s="2307">
        <v>423620000</v>
      </c>
      <c r="N222" s="2307">
        <v>423620000</v>
      </c>
      <c r="O222" s="2647">
        <f>N222+N227</f>
        <v>424800000</v>
      </c>
      <c r="BD222" s="2531"/>
    </row>
    <row r="223" spans="1:56" ht="20.100000000000001" customHeight="1">
      <c r="M223" s="2307">
        <v>325000000</v>
      </c>
      <c r="N223" s="2307">
        <v>325000000</v>
      </c>
      <c r="BC223" s="2531"/>
      <c r="BD223" s="2531"/>
    </row>
    <row r="224" spans="1:56" ht="20.100000000000001" customHeight="1">
      <c r="M224" s="2307">
        <v>200000000</v>
      </c>
      <c r="N224" s="2307">
        <v>200000000</v>
      </c>
      <c r="BC224" s="2531"/>
      <c r="BD224" s="2531"/>
    </row>
    <row r="225" spans="1:56" ht="20.100000000000001" customHeight="1">
      <c r="A225" s="2531"/>
      <c r="B225" s="2531"/>
      <c r="C225" s="2531"/>
      <c r="D225" s="2531"/>
      <c r="E225" s="2531"/>
      <c r="F225" s="2531"/>
      <c r="G225" s="2531"/>
      <c r="H225" s="2531"/>
      <c r="I225" s="2531"/>
      <c r="J225" s="2531"/>
      <c r="K225" s="2531"/>
      <c r="M225" s="2307">
        <v>26380000</v>
      </c>
      <c r="N225" s="2528">
        <v>25200000</v>
      </c>
      <c r="BC225" s="2531"/>
      <c r="BD225" s="2531"/>
    </row>
    <row r="226" spans="1:56" ht="20.100000000000001" customHeight="1">
      <c r="A226" s="2531"/>
      <c r="B226" s="2531"/>
      <c r="C226" s="2531"/>
      <c r="D226" s="2531"/>
      <c r="E226" s="2531"/>
      <c r="F226" s="2531"/>
      <c r="G226" s="2531"/>
      <c r="H226" s="2531"/>
      <c r="I226" s="2531"/>
      <c r="J226" s="2531"/>
      <c r="K226" s="2531"/>
      <c r="L226" s="1752"/>
      <c r="M226" s="2310">
        <f>SUM(M222:M225)</f>
        <v>975000000</v>
      </c>
      <c r="N226" s="1752">
        <f>SUM(N222:N225)</f>
        <v>973820000</v>
      </c>
      <c r="O226" s="2310"/>
      <c r="P226" s="2311"/>
      <c r="Q226" s="1753"/>
      <c r="R226" s="1753"/>
      <c r="S226" s="1754"/>
      <c r="T226" s="1755"/>
      <c r="U226" s="1755"/>
      <c r="V226" s="1755"/>
      <c r="W226" s="1755"/>
      <c r="Z226" s="1754"/>
      <c r="AA226" s="1754"/>
      <c r="AC226" s="1754"/>
      <c r="AD226" s="1754"/>
      <c r="AE226" s="1754"/>
      <c r="AF226" s="1754"/>
      <c r="AL226" s="1760"/>
      <c r="AM226" s="1760"/>
      <c r="AN226" s="1760"/>
      <c r="AO226" s="2531"/>
      <c r="AP226" s="2648"/>
      <c r="AQ226" s="2648"/>
      <c r="AR226" s="2648"/>
      <c r="AS226" s="2648"/>
      <c r="AT226" s="2533"/>
      <c r="AU226" s="2533"/>
      <c r="AV226" s="2533"/>
      <c r="AW226" s="2533"/>
      <c r="AX226" s="2533"/>
      <c r="AY226" s="2533"/>
      <c r="AZ226" s="2533"/>
      <c r="BA226" s="2364"/>
      <c r="BC226" s="2531"/>
      <c r="BD226" s="2531"/>
    </row>
    <row r="227" spans="1:56" ht="20.100000000000001" customHeight="1">
      <c r="A227" s="2531"/>
      <c r="B227" s="2531"/>
      <c r="C227" s="2531"/>
      <c r="D227" s="2531"/>
      <c r="E227" s="2531"/>
      <c r="F227" s="2531"/>
      <c r="G227" s="2531"/>
      <c r="H227" s="2531"/>
      <c r="I227" s="2531"/>
      <c r="J227" s="2531"/>
      <c r="K227" s="2531"/>
      <c r="L227" s="1752"/>
      <c r="M227" s="2310"/>
      <c r="N227" s="2310">
        <f>M226-N226</f>
        <v>1180000</v>
      </c>
      <c r="O227" s="2310"/>
      <c r="P227" s="2311"/>
      <c r="Q227" s="1753"/>
      <c r="R227" s="1753"/>
      <c r="S227" s="1754"/>
      <c r="T227" s="1755"/>
      <c r="U227" s="1755"/>
      <c r="V227" s="1755"/>
      <c r="W227" s="1755"/>
      <c r="Z227" s="1754"/>
      <c r="AA227" s="1754"/>
      <c r="AC227" s="1754"/>
      <c r="AD227" s="1754"/>
      <c r="AE227" s="1754"/>
      <c r="AF227" s="1754"/>
      <c r="AL227" s="1760"/>
      <c r="AM227" s="1760"/>
      <c r="AN227" s="1760"/>
      <c r="AO227" s="2531"/>
      <c r="AP227" s="2648"/>
      <c r="AQ227" s="2648"/>
      <c r="AR227" s="2648"/>
      <c r="AS227" s="2648"/>
      <c r="AT227" s="2533"/>
      <c r="AU227" s="2533"/>
      <c r="AV227" s="2533"/>
      <c r="AW227" s="2533"/>
      <c r="AX227" s="2533"/>
      <c r="AY227" s="2533"/>
      <c r="AZ227" s="2533"/>
      <c r="BA227" s="2364"/>
      <c r="BC227" s="2531"/>
      <c r="BD227" s="2531"/>
    </row>
    <row r="228" spans="1:56" ht="20.100000000000001" customHeight="1">
      <c r="A228" s="2531"/>
      <c r="B228" s="2531"/>
      <c r="C228" s="2531"/>
      <c r="D228" s="2531"/>
      <c r="E228" s="2531"/>
      <c r="F228" s="2531"/>
      <c r="G228" s="2531"/>
      <c r="H228" s="2531"/>
      <c r="I228" s="2531"/>
      <c r="J228" s="2531"/>
      <c r="K228" s="2531"/>
      <c r="L228" s="1752"/>
      <c r="M228" s="2310"/>
      <c r="N228" s="2310"/>
      <c r="O228" s="2310"/>
      <c r="P228" s="2311"/>
      <c r="Q228" s="1753"/>
      <c r="R228" s="1753"/>
      <c r="S228" s="1754"/>
      <c r="T228" s="1755"/>
      <c r="U228" s="1755"/>
      <c r="V228" s="1755"/>
      <c r="W228" s="1755"/>
      <c r="Z228" s="1754"/>
      <c r="AA228" s="1754"/>
      <c r="AC228" s="1754"/>
      <c r="AD228" s="1754"/>
      <c r="AE228" s="1754"/>
      <c r="AF228" s="1754"/>
      <c r="AL228" s="1760"/>
      <c r="AM228" s="1760"/>
      <c r="AN228" s="1760"/>
      <c r="AO228" s="2531"/>
      <c r="AP228" s="2648"/>
      <c r="AQ228" s="2648"/>
      <c r="AR228" s="2648"/>
      <c r="AS228" s="2648"/>
      <c r="AT228" s="2533"/>
      <c r="AU228" s="2533"/>
      <c r="AV228" s="2533"/>
      <c r="AW228" s="2533"/>
      <c r="AX228" s="2533"/>
      <c r="AY228" s="2533"/>
      <c r="AZ228" s="2533"/>
      <c r="BA228" s="2364"/>
      <c r="BC228" s="2531"/>
      <c r="BD228" s="2531"/>
    </row>
    <row r="229" spans="1:56" ht="20.100000000000001" customHeight="1">
      <c r="A229" s="2531"/>
      <c r="B229" s="2531"/>
      <c r="C229" s="2531"/>
      <c r="D229" s="2531"/>
      <c r="E229" s="2531"/>
      <c r="F229" s="2531"/>
      <c r="G229" s="2531"/>
      <c r="H229" s="2531"/>
      <c r="I229" s="2531"/>
      <c r="J229" s="2531"/>
      <c r="K229" s="2531"/>
      <c r="L229" s="1752"/>
      <c r="M229" s="2310"/>
      <c r="N229" s="2310"/>
      <c r="O229" s="2310"/>
      <c r="P229" s="2311"/>
      <c r="Q229" s="1753"/>
      <c r="R229" s="1753"/>
      <c r="S229" s="1754"/>
      <c r="T229" s="1755"/>
      <c r="U229" s="1755"/>
      <c r="V229" s="1755"/>
      <c r="W229" s="1755"/>
      <c r="Z229" s="1754"/>
      <c r="AA229" s="1754"/>
      <c r="AC229" s="1754"/>
      <c r="AD229" s="1754"/>
      <c r="AE229" s="1754"/>
      <c r="AF229" s="1754"/>
      <c r="AL229" s="1760"/>
      <c r="AM229" s="1760"/>
      <c r="AN229" s="1760"/>
      <c r="AO229" s="2531"/>
      <c r="AP229" s="2648"/>
      <c r="AQ229" s="2648"/>
      <c r="AR229" s="2648"/>
      <c r="AS229" s="2648"/>
      <c r="AT229" s="2533"/>
      <c r="AU229" s="2533"/>
      <c r="AV229" s="2533"/>
      <c r="AW229" s="2533"/>
      <c r="AX229" s="2533"/>
      <c r="AY229" s="2533"/>
      <c r="AZ229" s="2533"/>
      <c r="BA229" s="2364"/>
      <c r="BC229" s="2531"/>
      <c r="BD229" s="2531"/>
    </row>
    <row r="230" spans="1:56" ht="20.100000000000001" customHeight="1">
      <c r="A230" s="2531"/>
      <c r="B230" s="2531"/>
      <c r="C230" s="2531"/>
      <c r="D230" s="2531"/>
      <c r="E230" s="2531"/>
      <c r="F230" s="2531"/>
      <c r="G230" s="2531"/>
      <c r="H230" s="2531"/>
      <c r="I230" s="2531"/>
      <c r="J230" s="2531"/>
      <c r="K230" s="2531"/>
      <c r="L230" s="1752"/>
      <c r="M230" s="2310"/>
      <c r="N230" s="2310"/>
      <c r="O230" s="2310"/>
      <c r="P230" s="2311"/>
      <c r="Q230" s="1753"/>
      <c r="R230" s="1753"/>
      <c r="S230" s="1754"/>
      <c r="T230" s="1755"/>
      <c r="U230" s="1755"/>
      <c r="V230" s="1755"/>
      <c r="W230" s="1755"/>
      <c r="Z230" s="1754"/>
      <c r="AA230" s="1754"/>
      <c r="AC230" s="1754"/>
      <c r="AD230" s="1754"/>
      <c r="AE230" s="1754"/>
      <c r="AF230" s="1754"/>
      <c r="AL230" s="1760"/>
      <c r="AM230" s="1760"/>
      <c r="AN230" s="1760"/>
      <c r="AO230" s="2531"/>
      <c r="AP230" s="2648"/>
      <c r="AQ230" s="2648"/>
      <c r="AR230" s="2648"/>
      <c r="AS230" s="2648"/>
      <c r="AT230" s="2533"/>
      <c r="AU230" s="2533"/>
      <c r="AV230" s="2533"/>
      <c r="AW230" s="2533"/>
      <c r="AX230" s="2533"/>
      <c r="AY230" s="2533"/>
      <c r="AZ230" s="2533"/>
      <c r="BA230" s="2364"/>
      <c r="BC230" s="2531"/>
      <c r="BD230" s="2531"/>
    </row>
    <row r="231" spans="1:56" ht="20.100000000000001" customHeight="1">
      <c r="A231" s="2531"/>
      <c r="B231" s="2531"/>
      <c r="C231" s="2531"/>
      <c r="D231" s="2531"/>
      <c r="E231" s="2531"/>
      <c r="F231" s="2531"/>
      <c r="G231" s="2531"/>
      <c r="H231" s="2531"/>
      <c r="I231" s="2531"/>
      <c r="J231" s="2531"/>
      <c r="K231" s="2531"/>
      <c r="L231" s="1752"/>
      <c r="M231" s="2310"/>
      <c r="N231" s="2310"/>
      <c r="O231" s="2310"/>
      <c r="P231" s="2311"/>
      <c r="Q231" s="1753"/>
      <c r="R231" s="1753"/>
      <c r="S231" s="1754"/>
      <c r="T231" s="1755"/>
      <c r="U231" s="1755"/>
      <c r="V231" s="1755"/>
      <c r="W231" s="1755"/>
      <c r="Z231" s="1754"/>
      <c r="AA231" s="1754"/>
      <c r="AC231" s="1754"/>
      <c r="AD231" s="1754"/>
      <c r="AE231" s="1754"/>
      <c r="AF231" s="1754"/>
      <c r="AL231" s="1760"/>
      <c r="AM231" s="1760"/>
      <c r="AN231" s="1760"/>
      <c r="AO231" s="2531"/>
      <c r="AP231" s="2648"/>
      <c r="AQ231" s="2648"/>
      <c r="AR231" s="2648"/>
      <c r="AS231" s="2648"/>
      <c r="AT231" s="2533"/>
      <c r="AU231" s="2533"/>
      <c r="AV231" s="2533"/>
      <c r="AW231" s="2533"/>
      <c r="AX231" s="2533"/>
      <c r="AY231" s="2533"/>
      <c r="AZ231" s="2533"/>
      <c r="BA231" s="2364"/>
      <c r="BC231" s="2531"/>
      <c r="BD231" s="2531"/>
    </row>
    <row r="232" spans="1:56" ht="20.100000000000001" customHeight="1">
      <c r="A232" s="2531"/>
      <c r="B232" s="2531"/>
      <c r="C232" s="2531"/>
      <c r="D232" s="2531"/>
      <c r="E232" s="2531"/>
      <c r="F232" s="2531"/>
      <c r="G232" s="2531"/>
      <c r="H232" s="2531"/>
      <c r="I232" s="2531"/>
      <c r="J232" s="2531"/>
      <c r="K232" s="2531"/>
      <c r="L232" s="1752"/>
      <c r="M232" s="2310"/>
      <c r="N232" s="2310"/>
      <c r="O232" s="2310"/>
      <c r="P232" s="2311"/>
      <c r="Q232" s="1753"/>
      <c r="R232" s="1753"/>
      <c r="S232" s="1754"/>
      <c r="T232" s="1755"/>
      <c r="U232" s="1755"/>
      <c r="V232" s="1755"/>
      <c r="W232" s="1755"/>
      <c r="Z232" s="1754"/>
      <c r="AA232" s="1754"/>
      <c r="AC232" s="1754"/>
      <c r="AD232" s="1754"/>
      <c r="AE232" s="1754"/>
      <c r="AF232" s="1754"/>
      <c r="AL232" s="1760"/>
      <c r="AM232" s="1760"/>
      <c r="AN232" s="1760"/>
      <c r="AO232" s="2531"/>
      <c r="AP232" s="2648"/>
      <c r="AQ232" s="2648"/>
      <c r="AR232" s="2648"/>
      <c r="AS232" s="2648"/>
      <c r="AT232" s="2533"/>
      <c r="AU232" s="2533"/>
      <c r="AV232" s="2533"/>
      <c r="AW232" s="2533"/>
      <c r="AX232" s="2533"/>
      <c r="AY232" s="2533"/>
      <c r="AZ232" s="2533"/>
      <c r="BA232" s="2364"/>
      <c r="BC232" s="2531"/>
      <c r="BD232" s="2531"/>
    </row>
    <row r="233" spans="1:56" ht="20.100000000000001" customHeight="1">
      <c r="A233" s="2531"/>
      <c r="B233" s="2531"/>
      <c r="C233" s="2531"/>
      <c r="D233" s="2531"/>
      <c r="E233" s="2531"/>
      <c r="F233" s="2531"/>
      <c r="G233" s="2531"/>
      <c r="H233" s="2531"/>
      <c r="I233" s="2531"/>
      <c r="J233" s="2531"/>
      <c r="K233" s="2531"/>
      <c r="L233" s="1752"/>
      <c r="M233" s="2310"/>
      <c r="N233" s="2310"/>
      <c r="O233" s="2310"/>
      <c r="P233" s="2311"/>
      <c r="Q233" s="1753"/>
      <c r="R233" s="1753"/>
      <c r="S233" s="1754"/>
      <c r="T233" s="1755"/>
      <c r="U233" s="1755"/>
      <c r="V233" s="1755"/>
      <c r="W233" s="1755"/>
      <c r="Z233" s="1754"/>
      <c r="AA233" s="1754"/>
      <c r="AC233" s="1754"/>
      <c r="AD233" s="1754"/>
      <c r="AE233" s="1754"/>
      <c r="AF233" s="1754"/>
      <c r="AL233" s="1760"/>
      <c r="AM233" s="1760"/>
      <c r="AN233" s="1760"/>
      <c r="AO233" s="2531"/>
      <c r="AP233" s="2648"/>
      <c r="AQ233" s="2648"/>
      <c r="AR233" s="2648"/>
      <c r="AS233" s="2648"/>
      <c r="AT233" s="2533"/>
      <c r="AU233" s="2533"/>
      <c r="AV233" s="2533"/>
      <c r="AW233" s="2533"/>
      <c r="AX233" s="2533"/>
      <c r="AY233" s="2533"/>
      <c r="AZ233" s="2533"/>
      <c r="BA233" s="2364"/>
      <c r="BC233" s="2531"/>
      <c r="BD233" s="2531"/>
    </row>
    <row r="234" spans="1:56" ht="20.100000000000001" customHeight="1">
      <c r="A234" s="2531"/>
      <c r="B234" s="2531"/>
      <c r="C234" s="2531"/>
      <c r="D234" s="2531"/>
      <c r="E234" s="2531"/>
      <c r="F234" s="2531"/>
      <c r="G234" s="2531"/>
      <c r="H234" s="2531"/>
      <c r="I234" s="2531"/>
      <c r="J234" s="2531"/>
      <c r="K234" s="2531"/>
      <c r="L234" s="1752"/>
      <c r="M234" s="2310"/>
      <c r="N234" s="2310"/>
      <c r="O234" s="2310"/>
      <c r="P234" s="2311"/>
      <c r="Q234" s="1753"/>
      <c r="R234" s="1753"/>
      <c r="S234" s="1754"/>
      <c r="T234" s="1755"/>
      <c r="U234" s="1755"/>
      <c r="V234" s="1755"/>
      <c r="W234" s="1755"/>
      <c r="Z234" s="1754"/>
      <c r="AA234" s="1754"/>
      <c r="AC234" s="1754"/>
      <c r="AD234" s="1754"/>
      <c r="AE234" s="1754"/>
      <c r="AF234" s="1754"/>
      <c r="AL234" s="1760"/>
      <c r="AM234" s="1760"/>
      <c r="AN234" s="1760"/>
      <c r="AO234" s="2531"/>
      <c r="AP234" s="2648"/>
      <c r="AQ234" s="2648"/>
      <c r="AR234" s="2648"/>
      <c r="AS234" s="2648"/>
      <c r="AT234" s="2533"/>
      <c r="AU234" s="2533"/>
      <c r="AV234" s="2533"/>
      <c r="AW234" s="2533"/>
      <c r="AX234" s="2533"/>
      <c r="AY234" s="2533"/>
      <c r="AZ234" s="2533"/>
      <c r="BA234" s="2364"/>
      <c r="BC234" s="2531"/>
      <c r="BD234" s="2531"/>
    </row>
    <row r="235" spans="1:56" ht="20.100000000000001" customHeight="1">
      <c r="A235" s="2531"/>
      <c r="B235" s="2531"/>
      <c r="C235" s="2531"/>
      <c r="D235" s="2531"/>
      <c r="E235" s="2531"/>
      <c r="F235" s="2531"/>
      <c r="G235" s="2531"/>
      <c r="H235" s="2531"/>
      <c r="I235" s="2531"/>
      <c r="J235" s="2531"/>
      <c r="K235" s="2531"/>
      <c r="L235" s="1752"/>
      <c r="M235" s="2310"/>
      <c r="N235" s="2310"/>
      <c r="O235" s="2310"/>
      <c r="P235" s="2311"/>
      <c r="Q235" s="1753"/>
      <c r="R235" s="1753"/>
      <c r="S235" s="1754"/>
      <c r="T235" s="1755"/>
      <c r="U235" s="1755"/>
      <c r="V235" s="1755"/>
      <c r="W235" s="1755"/>
      <c r="Z235" s="1754"/>
      <c r="AA235" s="1754"/>
      <c r="AC235" s="1754"/>
      <c r="AD235" s="1754"/>
      <c r="AE235" s="1754"/>
      <c r="AF235" s="1754"/>
      <c r="AL235" s="1760"/>
      <c r="AM235" s="1760"/>
      <c r="AN235" s="1760"/>
      <c r="AO235" s="2531"/>
      <c r="AP235" s="2648"/>
      <c r="AQ235" s="2648"/>
      <c r="AR235" s="2648"/>
      <c r="AS235" s="2648"/>
      <c r="AT235" s="2533"/>
      <c r="AU235" s="2533"/>
      <c r="AV235" s="2533"/>
      <c r="AW235" s="2533"/>
      <c r="AX235" s="2533"/>
      <c r="AY235" s="2533"/>
      <c r="AZ235" s="2533"/>
      <c r="BA235" s="2364"/>
      <c r="BC235" s="2531"/>
      <c r="BD235" s="2531"/>
    </row>
    <row r="236" spans="1:56" ht="20.100000000000001" customHeight="1">
      <c r="A236" s="2531"/>
      <c r="B236" s="2531"/>
      <c r="C236" s="2531"/>
      <c r="D236" s="2531"/>
      <c r="E236" s="2531"/>
      <c r="F236" s="2531"/>
      <c r="G236" s="2531"/>
      <c r="H236" s="2531"/>
      <c r="I236" s="2531"/>
      <c r="J236" s="2531"/>
      <c r="K236" s="2531"/>
      <c r="L236" s="1752"/>
      <c r="M236" s="2310"/>
      <c r="N236" s="2310"/>
      <c r="O236" s="2310"/>
      <c r="P236" s="2311"/>
      <c r="Q236" s="1753"/>
      <c r="R236" s="1753"/>
      <c r="S236" s="1754"/>
      <c r="T236" s="1755"/>
      <c r="U236" s="1755"/>
      <c r="V236" s="1755"/>
      <c r="W236" s="1755"/>
      <c r="Z236" s="1754"/>
      <c r="AA236" s="1754"/>
      <c r="AC236" s="1754"/>
      <c r="AD236" s="1754"/>
      <c r="AE236" s="1754"/>
      <c r="AF236" s="1754"/>
      <c r="AL236" s="1760"/>
      <c r="AM236" s="1760"/>
      <c r="AN236" s="1760"/>
      <c r="AO236" s="2531"/>
      <c r="AP236" s="2648"/>
      <c r="AQ236" s="2648"/>
      <c r="AR236" s="2648"/>
      <c r="AS236" s="2648"/>
      <c r="AT236" s="2533"/>
      <c r="AU236" s="2533"/>
      <c r="AV236" s="2533"/>
      <c r="AW236" s="2533"/>
      <c r="AX236" s="2533"/>
      <c r="AY236" s="2533"/>
      <c r="AZ236" s="2533"/>
      <c r="BA236" s="2364"/>
      <c r="BC236" s="2531"/>
    </row>
    <row r="237" spans="1:56" ht="20.100000000000001" customHeight="1">
      <c r="A237" s="2531"/>
      <c r="B237" s="2531"/>
      <c r="C237" s="2531"/>
      <c r="D237" s="2531"/>
      <c r="E237" s="2531"/>
      <c r="F237" s="2531"/>
      <c r="G237" s="2531"/>
      <c r="H237" s="2531"/>
      <c r="I237" s="2531"/>
      <c r="J237" s="2531"/>
      <c r="K237" s="2531"/>
      <c r="L237" s="1752"/>
      <c r="M237" s="2310"/>
      <c r="N237" s="2310"/>
      <c r="O237" s="2310"/>
      <c r="P237" s="2311"/>
      <c r="Q237" s="1753"/>
      <c r="R237" s="1753"/>
      <c r="S237" s="1754"/>
      <c r="T237" s="1755"/>
      <c r="U237" s="1755"/>
      <c r="V237" s="1755"/>
      <c r="W237" s="1755"/>
      <c r="Z237" s="1754"/>
      <c r="AA237" s="1754"/>
      <c r="AC237" s="1754"/>
      <c r="AD237" s="1754"/>
      <c r="AE237" s="1754"/>
      <c r="AF237" s="1754"/>
      <c r="AL237" s="1760"/>
      <c r="AM237" s="1760"/>
      <c r="AN237" s="1760"/>
      <c r="AO237" s="2531"/>
      <c r="AP237" s="2648"/>
      <c r="AQ237" s="2648"/>
      <c r="AR237" s="2648"/>
      <c r="AS237" s="2648"/>
      <c r="AT237" s="2533"/>
      <c r="AU237" s="2533"/>
      <c r="AV237" s="2533"/>
      <c r="AW237" s="2533"/>
      <c r="AX237" s="2533"/>
      <c r="AY237" s="2533"/>
      <c r="AZ237" s="2533"/>
      <c r="BA237" s="2364"/>
      <c r="BC237" s="2531"/>
    </row>
    <row r="238" spans="1:56" ht="20.100000000000001" customHeight="1">
      <c r="A238" s="2531"/>
      <c r="B238" s="2531"/>
      <c r="C238" s="2531"/>
      <c r="D238" s="2531"/>
      <c r="E238" s="2531"/>
      <c r="F238" s="2531"/>
      <c r="G238" s="2531"/>
      <c r="H238" s="2531"/>
      <c r="I238" s="2531"/>
      <c r="J238" s="2531"/>
      <c r="K238" s="2531"/>
      <c r="L238" s="1752"/>
      <c r="M238" s="2310"/>
      <c r="N238" s="2310"/>
      <c r="O238" s="2310"/>
      <c r="P238" s="2311"/>
      <c r="Q238" s="1753"/>
      <c r="R238" s="1753"/>
      <c r="S238" s="1754"/>
      <c r="T238" s="1755"/>
      <c r="U238" s="1755"/>
      <c r="V238" s="1755"/>
      <c r="W238" s="1755"/>
      <c r="Z238" s="1754"/>
      <c r="AA238" s="1754"/>
      <c r="AC238" s="1754"/>
      <c r="AD238" s="1754"/>
      <c r="AE238" s="1754"/>
      <c r="AF238" s="1754"/>
      <c r="AL238" s="1760"/>
      <c r="AM238" s="1760"/>
      <c r="AN238" s="1760"/>
      <c r="AO238" s="2531"/>
      <c r="AP238" s="2648"/>
      <c r="AQ238" s="2648"/>
      <c r="AR238" s="2648"/>
      <c r="AS238" s="2648"/>
      <c r="AT238" s="2533"/>
      <c r="AU238" s="2533"/>
      <c r="AV238" s="2533"/>
      <c r="AW238" s="2533"/>
      <c r="AX238" s="2533"/>
      <c r="AY238" s="2533"/>
      <c r="AZ238" s="2533"/>
      <c r="BA238" s="2364"/>
    </row>
    <row r="239" spans="1:56" ht="20.100000000000001" customHeight="1">
      <c r="A239" s="2531"/>
      <c r="B239" s="2531"/>
      <c r="C239" s="2531"/>
      <c r="D239" s="2531"/>
      <c r="E239" s="2531"/>
      <c r="F239" s="2531"/>
      <c r="G239" s="2531"/>
      <c r="H239" s="2531"/>
      <c r="I239" s="2531"/>
      <c r="J239" s="2531"/>
      <c r="K239" s="2531"/>
      <c r="L239" s="1752"/>
      <c r="M239" s="2310"/>
      <c r="N239" s="2310"/>
      <c r="O239" s="2310"/>
      <c r="P239" s="2311"/>
      <c r="Q239" s="1753"/>
      <c r="R239" s="1753"/>
      <c r="S239" s="1754"/>
      <c r="T239" s="1755"/>
      <c r="U239" s="1755"/>
      <c r="V239" s="1755"/>
      <c r="W239" s="1755"/>
      <c r="Z239" s="1754"/>
      <c r="AA239" s="1754"/>
      <c r="AC239" s="1754"/>
      <c r="AD239" s="1754"/>
      <c r="AE239" s="1754"/>
      <c r="AF239" s="1754"/>
      <c r="AL239" s="1760"/>
      <c r="AM239" s="1760"/>
      <c r="AN239" s="1760"/>
      <c r="AO239" s="2531"/>
      <c r="AP239" s="2648"/>
      <c r="AQ239" s="2648"/>
      <c r="AR239" s="2648"/>
      <c r="AS239" s="2648"/>
      <c r="AT239" s="2533"/>
      <c r="AU239" s="2533"/>
      <c r="AV239" s="2533"/>
      <c r="AW239" s="2533"/>
      <c r="AX239" s="2533"/>
      <c r="AY239" s="2533"/>
      <c r="AZ239" s="2533"/>
      <c r="BA239" s="2364"/>
    </row>
    <row r="240" spans="1:56" ht="20.100000000000001" customHeight="1">
      <c r="A240" s="2531"/>
      <c r="B240" s="2531"/>
      <c r="C240" s="2531"/>
      <c r="D240" s="2531"/>
      <c r="E240" s="2531"/>
      <c r="F240" s="2531"/>
      <c r="G240" s="2531"/>
      <c r="H240" s="2531"/>
      <c r="I240" s="2531"/>
      <c r="J240" s="2531"/>
      <c r="K240" s="2531"/>
      <c r="L240" s="1752"/>
      <c r="M240" s="2310"/>
      <c r="N240" s="2310"/>
      <c r="O240" s="2310"/>
      <c r="P240" s="2311"/>
      <c r="Q240" s="1753"/>
      <c r="R240" s="1753"/>
      <c r="S240" s="1754"/>
      <c r="T240" s="1755"/>
      <c r="U240" s="1755"/>
      <c r="V240" s="1755"/>
      <c r="W240" s="1755"/>
      <c r="Z240" s="1754"/>
      <c r="AA240" s="1754"/>
      <c r="AC240" s="1754"/>
      <c r="AD240" s="1754"/>
      <c r="AE240" s="1754"/>
      <c r="AF240" s="1754"/>
      <c r="AL240" s="1760"/>
      <c r="AM240" s="1760"/>
      <c r="AN240" s="1760"/>
      <c r="AO240" s="2531"/>
      <c r="AP240" s="2648"/>
      <c r="AQ240" s="2648"/>
      <c r="AR240" s="2648"/>
      <c r="AS240" s="2648"/>
      <c r="AT240" s="2533"/>
      <c r="AU240" s="2533"/>
      <c r="AV240" s="2533"/>
      <c r="AW240" s="2533"/>
      <c r="AX240" s="2533"/>
      <c r="AY240" s="2533"/>
      <c r="AZ240" s="2533"/>
      <c r="BA240" s="2364"/>
    </row>
  </sheetData>
  <printOptions horizontalCentered="1"/>
  <pageMargins left="0.35416666666666702" right="0.35416666666666702" top="0.156944444444444" bottom="0.74791666666666701" header="0.118055555555556" footer="0.23611111111111099"/>
  <pageSetup paperSize="9" fitToHeight="0" orientation="landscape"/>
  <headerFooter>
    <oddFooter>&amp;R&amp;P/&amp;N</oddFooter>
  </headerFooter>
  <legacy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H252"/>
  <sheetViews>
    <sheetView topLeftCell="J1" zoomScale="68" zoomScaleNormal="68" workbookViewId="0">
      <pane ySplit="8" topLeftCell="A243" activePane="bottomLeft" state="frozen"/>
      <selection pane="bottomLeft" activeCell="N14" sqref="N14"/>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6" width="21" style="13" customWidth="1"/>
    <col min="17" max="17" width="21" style="1395"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1.42578125" style="12" hidden="1" customWidth="1"/>
    <col min="26" max="26" width="18.5703125" style="12" hidden="1" customWidth="1"/>
    <col min="27" max="27" width="28.42578125" style="12" hidden="1" customWidth="1"/>
    <col min="28" max="28" width="18.5703125" style="14" hidden="1" customWidth="1"/>
    <col min="29" max="29" width="21.5703125" style="14" hidden="1" customWidth="1"/>
    <col min="30" max="30" width="20.5703125" style="14" hidden="1" customWidth="1"/>
    <col min="31" max="31" width="15.140625" style="14" hidden="1" customWidth="1"/>
    <col min="32" max="32" width="25.140625" style="175" hidden="1" customWidth="1"/>
    <col min="33" max="33" width="9.140625" style="10"/>
    <col min="34" max="34" width="17.28515625" style="10" customWidth="1"/>
    <col min="35" max="16384" width="9.140625" style="10"/>
  </cols>
  <sheetData>
    <row r="1" spans="1:32" s="1" customFormat="1" ht="18">
      <c r="J1" s="3356" t="s">
        <v>1079</v>
      </c>
      <c r="K1" s="3356"/>
      <c r="L1" s="3356"/>
      <c r="M1" s="3356"/>
      <c r="N1" s="3356"/>
      <c r="O1" s="3356"/>
      <c r="P1" s="3356"/>
      <c r="Q1" s="3356"/>
      <c r="R1" s="3356"/>
      <c r="S1" s="3356"/>
      <c r="T1" s="3356"/>
      <c r="U1" s="3356"/>
      <c r="V1" s="3356"/>
      <c r="W1" s="3356"/>
      <c r="X1" s="3356"/>
      <c r="Y1" s="3356"/>
      <c r="Z1" s="3356"/>
      <c r="AA1" s="3356"/>
      <c r="AB1" s="3356"/>
      <c r="AC1" s="3356"/>
      <c r="AD1" s="3356"/>
      <c r="AE1" s="3356"/>
      <c r="AF1" s="3356"/>
    </row>
    <row r="2" spans="1:32" s="1" customFormat="1" ht="18">
      <c r="J2" s="15"/>
      <c r="K2" s="15"/>
      <c r="L2" s="15"/>
      <c r="M2" s="15"/>
      <c r="N2" s="15"/>
      <c r="O2" s="15"/>
      <c r="P2" s="15"/>
      <c r="Q2" s="15"/>
      <c r="R2" s="15"/>
      <c r="S2" s="15"/>
      <c r="T2" s="15"/>
      <c r="U2" s="15"/>
      <c r="V2" s="15"/>
      <c r="W2" s="15"/>
      <c r="X2" s="15"/>
      <c r="Y2" s="15"/>
      <c r="Z2" s="15"/>
      <c r="AA2" s="15"/>
      <c r="AB2" s="15"/>
      <c r="AC2" s="15"/>
      <c r="AD2" s="15"/>
      <c r="AE2" s="15"/>
      <c r="AF2" s="15"/>
    </row>
    <row r="3" spans="1:32" s="1" customFormat="1" ht="15.75" customHeight="1">
      <c r="J3" s="15"/>
      <c r="K3" s="15"/>
      <c r="L3" s="15"/>
      <c r="M3" s="15"/>
      <c r="N3" s="15"/>
      <c r="O3" s="73"/>
      <c r="P3" s="73"/>
      <c r="Q3" s="2459"/>
      <c r="R3" s="2459"/>
      <c r="S3" s="73"/>
      <c r="T3" s="73"/>
      <c r="U3" s="15"/>
      <c r="V3" s="15"/>
      <c r="W3" s="15"/>
      <c r="X3" s="15"/>
      <c r="Y3" s="236"/>
      <c r="Z3" s="236"/>
      <c r="AA3" s="236"/>
      <c r="AB3" s="146"/>
      <c r="AC3" s="146"/>
      <c r="AD3" s="146"/>
      <c r="AE3" s="146"/>
      <c r="AF3" s="2478"/>
    </row>
    <row r="5" spans="1:32" s="2" customFormat="1" ht="24.95" hidden="1" customHeight="1">
      <c r="J5" s="1398" t="s">
        <v>2</v>
      </c>
      <c r="K5" s="1399"/>
      <c r="L5" s="1399"/>
      <c r="M5" s="1399"/>
      <c r="N5" s="1399"/>
      <c r="O5" s="1400" t="s">
        <v>1080</v>
      </c>
      <c r="P5" s="1400" t="s">
        <v>1081</v>
      </c>
      <c r="Q5" s="1427" t="s">
        <v>1082</v>
      </c>
      <c r="R5" s="1427" t="s">
        <v>1083</v>
      </c>
      <c r="S5" s="1400" t="s">
        <v>1084</v>
      </c>
      <c r="T5" s="1428" t="s">
        <v>1085</v>
      </c>
      <c r="U5" s="3418" t="s">
        <v>7</v>
      </c>
      <c r="V5" s="3418"/>
      <c r="W5" s="3418"/>
      <c r="X5" s="3418"/>
      <c r="Y5" s="3418"/>
      <c r="Z5" s="3418"/>
      <c r="AA5" s="3419"/>
      <c r="AB5" s="3420" t="s">
        <v>1086</v>
      </c>
      <c r="AC5" s="3421"/>
      <c r="AD5" s="3421"/>
      <c r="AE5" s="3421"/>
      <c r="AF5" s="3422"/>
    </row>
    <row r="6" spans="1:32" s="2" customFormat="1" ht="24.95" customHeight="1">
      <c r="J6" s="3511" t="s">
        <v>2</v>
      </c>
      <c r="K6" s="3418"/>
      <c r="L6" s="3418"/>
      <c r="M6" s="3418"/>
      <c r="N6" s="3419"/>
      <c r="O6" s="3429" t="s">
        <v>1080</v>
      </c>
      <c r="P6" s="3429" t="s">
        <v>1081</v>
      </c>
      <c r="Q6" s="3466" t="s">
        <v>1087</v>
      </c>
      <c r="R6" s="3434" t="s">
        <v>1083</v>
      </c>
      <c r="S6" s="3429" t="s">
        <v>1084</v>
      </c>
      <c r="T6" s="3476" t="s">
        <v>1085</v>
      </c>
      <c r="U6" s="3423" t="s">
        <v>1088</v>
      </c>
      <c r="V6" s="3423"/>
      <c r="W6" s="3423"/>
      <c r="X6" s="3424"/>
      <c r="Y6" s="3425" t="s">
        <v>1089</v>
      </c>
      <c r="Z6" s="3375"/>
      <c r="AA6" s="3426"/>
      <c r="AB6" s="3425" t="s">
        <v>1086</v>
      </c>
      <c r="AC6" s="3375"/>
      <c r="AD6" s="3375"/>
      <c r="AE6" s="3375"/>
      <c r="AF6" s="3376"/>
    </row>
    <row r="7" spans="1:32" s="2" customFormat="1" ht="68.25" customHeight="1">
      <c r="J7" s="3512"/>
      <c r="K7" s="3513"/>
      <c r="L7" s="3513"/>
      <c r="M7" s="3513"/>
      <c r="N7" s="3514"/>
      <c r="O7" s="3430"/>
      <c r="P7" s="3430"/>
      <c r="Q7" s="3467"/>
      <c r="R7" s="3435"/>
      <c r="S7" s="3430"/>
      <c r="T7" s="3477"/>
      <c r="U7" s="97" t="s">
        <v>11</v>
      </c>
      <c r="V7" s="74" t="s">
        <v>507</v>
      </c>
      <c r="W7" s="74" t="s">
        <v>1090</v>
      </c>
      <c r="X7" s="207" t="s">
        <v>509</v>
      </c>
      <c r="Y7" s="237" t="s">
        <v>507</v>
      </c>
      <c r="Z7" s="76" t="s">
        <v>510</v>
      </c>
      <c r="AA7" s="207" t="s">
        <v>511</v>
      </c>
      <c r="AB7" s="1491" t="s">
        <v>550</v>
      </c>
      <c r="AC7" s="97" t="s">
        <v>1091</v>
      </c>
      <c r="AD7" s="76" t="s">
        <v>15</v>
      </c>
      <c r="AE7" s="96" t="s">
        <v>1092</v>
      </c>
      <c r="AF7" s="238" t="s">
        <v>511</v>
      </c>
    </row>
    <row r="8" spans="1:32">
      <c r="J8" s="177"/>
      <c r="K8" s="18"/>
      <c r="L8" s="18"/>
      <c r="M8" s="18"/>
      <c r="N8" s="19"/>
      <c r="O8" s="187"/>
      <c r="P8" s="1403"/>
      <c r="Q8" s="1429"/>
      <c r="R8" s="1429"/>
      <c r="S8" s="1403"/>
      <c r="T8" s="2460"/>
      <c r="U8" s="1432"/>
      <c r="V8" s="209"/>
      <c r="W8" s="209"/>
      <c r="X8" s="210"/>
      <c r="Y8" s="209"/>
      <c r="Z8" s="209"/>
      <c r="AA8" s="210"/>
      <c r="AB8" s="1492"/>
      <c r="AC8" s="1493"/>
      <c r="AD8" s="249"/>
      <c r="AE8" s="1494"/>
      <c r="AF8" s="1527"/>
    </row>
    <row r="9" spans="1:32" s="3" customFormat="1" ht="30" customHeight="1">
      <c r="A9" s="3" t="s">
        <v>21</v>
      </c>
      <c r="B9" s="3" t="s">
        <v>21</v>
      </c>
      <c r="C9" s="3" t="s">
        <v>21</v>
      </c>
      <c r="D9" s="3" t="s">
        <v>21</v>
      </c>
      <c r="E9" s="3" t="s">
        <v>21</v>
      </c>
      <c r="F9" s="3" t="s">
        <v>21</v>
      </c>
      <c r="G9" s="3" t="s">
        <v>21</v>
      </c>
      <c r="H9" s="3" t="s">
        <v>21</v>
      </c>
      <c r="I9" s="3" t="s">
        <v>21</v>
      </c>
      <c r="J9" s="178" t="str">
        <f>DATA!B2</f>
        <v>I</v>
      </c>
      <c r="K9" s="22" t="str">
        <f>DATA!D2</f>
        <v>INFRASTRUKTUR</v>
      </c>
      <c r="L9" s="22"/>
      <c r="M9" s="22"/>
      <c r="N9" s="23"/>
      <c r="O9" s="191">
        <f>O10+O119+O122+O138+O142+O145+O155+O158+O161</f>
        <v>31622775700</v>
      </c>
      <c r="P9" s="191">
        <f>P10+P119+P122+P138+P142+P145+P155+P158+P161</f>
        <v>36964652000</v>
      </c>
      <c r="Q9" s="191">
        <f>+Q10+Q119+Q122+Q138+Q142+Q145+Q155+Q158+Q161</f>
        <v>5453911200</v>
      </c>
      <c r="R9" s="191">
        <f>+R10+R119+R122+R138+R142+R145+R155+R158+R161</f>
        <v>27700000</v>
      </c>
      <c r="S9" s="191">
        <f>+S10+S119+S122+S138+S142+S145+S155+S158+S161</f>
        <v>42446263200</v>
      </c>
      <c r="T9" s="2461"/>
      <c r="U9" s="192"/>
      <c r="V9" s="79">
        <f>+V10+V119+V122+V138+V142+V145+V155+V158+V161</f>
        <v>30346667596</v>
      </c>
      <c r="W9" s="79">
        <f>+W10+W119+W122+W138+W142+W145+W155+W158+W161</f>
        <v>6401484404</v>
      </c>
      <c r="X9" s="79">
        <f>+X10+X119+X122+X138+X142+X145</f>
        <v>0</v>
      </c>
      <c r="Y9" s="240">
        <f>+Y10+Y119+Y122+Y138+Y142+Y145+Y155+Y158+Y161</f>
        <v>36964652000</v>
      </c>
      <c r="Z9" s="79" t="s">
        <v>21</v>
      </c>
      <c r="AA9" s="212">
        <f>P9-Y9</f>
        <v>0</v>
      </c>
      <c r="AB9" s="1496"/>
      <c r="AC9" s="1497"/>
      <c r="AD9" s="1498"/>
      <c r="AE9" s="1499"/>
      <c r="AF9" s="1528"/>
    </row>
    <row r="10" spans="1:32" s="4" customFormat="1" ht="24.95" customHeight="1">
      <c r="J10" s="2497"/>
      <c r="K10" s="25">
        <f>DATA!E2</f>
        <v>1</v>
      </c>
      <c r="L10" s="26" t="str">
        <f>DATA!F2</f>
        <v>Kementerian Pekerjaan Umum dan Perumahan Rakyat</v>
      </c>
      <c r="M10" s="26"/>
      <c r="N10" s="27"/>
      <c r="O10" s="194">
        <f>O11+O14+O20+O30+O43+O55+O58+O65+O67+O81+O85+O99+O110+O115+O117</f>
        <v>20833439000</v>
      </c>
      <c r="P10" s="194">
        <f>+P11+P14+P20+P30+P43+P55+P58+P65+P67+P81+P85+P99+P110+P117+P115</f>
        <v>21508439000</v>
      </c>
      <c r="Q10" s="194">
        <f>+Q11+Q14+Q20+Q30+Q43+Q55+Q58+Q65+Q67+Q81+Q85+Q99+Q110+Q117+Q115</f>
        <v>2894694500</v>
      </c>
      <c r="R10" s="194">
        <f>+R11+R14+R20+R30+R43+R55+R58+R65+R67+R81+R85+R99+R110+R117+R115</f>
        <v>10000000</v>
      </c>
      <c r="S10" s="194">
        <f>+S11+S14+S20+S30+S43+S55+S58+S65+S67+S81+S85+S99+S110+S117+S115</f>
        <v>24413133500</v>
      </c>
      <c r="T10" s="2462"/>
      <c r="U10" s="195"/>
      <c r="V10" s="80">
        <f>+V11+V14+V20+V30+V43+V55+V58+V65+V67+V81+V85+V99+V110+V115+V117</f>
        <v>20260667596</v>
      </c>
      <c r="W10" s="80">
        <f>+W11+W14+W20+W30+W43+W55+W58+W65+W67+W81+W85+W99+W110+W115+W117</f>
        <v>1031271404</v>
      </c>
      <c r="X10" s="213">
        <f>+X11+X14+X20+X30+X43+X55+X58+X67+X81+X85+X99+X110+X117</f>
        <v>0</v>
      </c>
      <c r="Y10" s="242">
        <f>+Y11+Y14+Y20+Y30+Y43+Y55+Y58+Y65+Y67+Y81+Y85+Y99+Y110+Y115+Y117</f>
        <v>21508439000</v>
      </c>
      <c r="Z10" s="80" t="s">
        <v>21</v>
      </c>
      <c r="AA10" s="213"/>
      <c r="AB10" s="1501"/>
      <c r="AC10" s="1541"/>
      <c r="AD10" s="1542"/>
      <c r="AE10" s="1543"/>
      <c r="AF10" s="1546"/>
    </row>
    <row r="11" spans="1:32" s="5" customFormat="1" ht="24.95" customHeight="1">
      <c r="J11" s="1594"/>
      <c r="K11" s="29"/>
      <c r="L11" s="30" t="str">
        <f>DATA!I2</f>
        <v>A</v>
      </c>
      <c r="M11" s="31" t="str">
        <f>DATA!J2</f>
        <v xml:space="preserve">Program Pembangunan Jalan Tol </v>
      </c>
      <c r="N11" s="32"/>
      <c r="O11" s="197">
        <f>O12</f>
        <v>1250000000</v>
      </c>
      <c r="P11" s="197">
        <f>P12</f>
        <v>1250000000</v>
      </c>
      <c r="Q11" s="1436">
        <f>Q12</f>
        <v>101250000</v>
      </c>
      <c r="R11" s="1436">
        <f>R12</f>
        <v>0</v>
      </c>
      <c r="S11" s="197">
        <f>S12</f>
        <v>1351250000</v>
      </c>
      <c r="T11" s="2463"/>
      <c r="U11" s="1560"/>
      <c r="V11" s="81">
        <f>V12</f>
        <v>1250000000</v>
      </c>
      <c r="W11" s="81">
        <f>W12</f>
        <v>0</v>
      </c>
      <c r="X11" s="2464"/>
      <c r="Y11" s="244">
        <f>Y12+Y13</f>
        <v>1250000000</v>
      </c>
      <c r="Z11" s="198" t="s">
        <v>21</v>
      </c>
      <c r="AA11" s="214">
        <f>+Y11+Y14+Y20</f>
        <v>4750000000</v>
      </c>
      <c r="AB11" s="1505"/>
      <c r="AC11" s="1578"/>
      <c r="AD11" s="1579"/>
      <c r="AE11" s="1580"/>
      <c r="AF11" s="1586"/>
    </row>
    <row r="12" spans="1:32" ht="25.5">
      <c r="A12" s="10">
        <f>DATA!A3</f>
        <v>1</v>
      </c>
      <c r="B12" s="10">
        <f>DATA!B3</f>
        <v>0</v>
      </c>
      <c r="C12" s="10" t="str">
        <f>DATA!D3</f>
        <v>INFRASTRUKTUR</v>
      </c>
      <c r="D12" s="10">
        <f>DATA!E3</f>
        <v>1</v>
      </c>
      <c r="E12" s="10" t="str">
        <f>DATA!F3</f>
        <v>Kementerian Pekerjaan Umum dan Perumahan Rakyat</v>
      </c>
      <c r="F12" s="10" t="str">
        <f>DATA!H3</f>
        <v>Toll Road Development Program</v>
      </c>
      <c r="G12" s="10" t="str">
        <f>DATA!I3</f>
        <v>A</v>
      </c>
      <c r="H12" s="10" t="str">
        <f>DATA!J3</f>
        <v xml:space="preserve">Program Pembangunan Jalan Tol </v>
      </c>
      <c r="I12" s="10">
        <f>DATA!K3</f>
        <v>1</v>
      </c>
      <c r="J12" s="254"/>
      <c r="K12" s="34"/>
      <c r="L12" s="34"/>
      <c r="M12" s="3390">
        <v>1</v>
      </c>
      <c r="N12" s="3393" t="str">
        <f>DATA!L2</f>
        <v>Toll Road Development in Kalimantan, Sumatera, and Java Islands</v>
      </c>
      <c r="O12" s="3408">
        <f>DATA!T2</f>
        <v>1250000000</v>
      </c>
      <c r="P12" s="3408">
        <f>DATA!U2</f>
        <v>1250000000</v>
      </c>
      <c r="Q12" s="3436">
        <f>DATA!V2</f>
        <v>101250000</v>
      </c>
      <c r="R12" s="3436">
        <f>DATA!W3</f>
        <v>0</v>
      </c>
      <c r="S12" s="3411">
        <f>P12+Q12+R12</f>
        <v>1351250000</v>
      </c>
      <c r="T12" s="2465"/>
      <c r="U12" s="1449" t="str">
        <f>DATA!Y3</f>
        <v>RRT</v>
      </c>
      <c r="V12" s="3414">
        <f>DATA!AA2</f>
        <v>1250000000</v>
      </c>
      <c r="W12" s="77">
        <v>0</v>
      </c>
      <c r="X12" s="216" t="str">
        <f>DATA!Y3</f>
        <v>RRT</v>
      </c>
      <c r="Y12" s="245">
        <f>DATA!AT3</f>
        <v>1000000000</v>
      </c>
      <c r="Z12" s="109" t="str">
        <f>DATA!AU3</f>
        <v>RRT</v>
      </c>
      <c r="AA12" s="1544" t="str">
        <f>DATA!AW3</f>
        <v xml:space="preserve">co-financing dengan Korea (USD 250 juta) </v>
      </c>
      <c r="AB12" s="3520" t="str">
        <f>DATA!AM3</f>
        <v>-</v>
      </c>
      <c r="AC12" s="3495" t="str">
        <f>DATA!AN3</f>
        <v>siap</v>
      </c>
      <c r="AD12" s="3502" t="str">
        <f>DATA!AO3</f>
        <v>dalam proses
(pelaksanaan &lt; 50%)</v>
      </c>
      <c r="AE12" s="3502" t="str">
        <f>DATA!AQ3</f>
        <v>-</v>
      </c>
      <c r="AF12" s="3504" t="str">
        <f>DATA!AR3</f>
        <v>belum ada dokumen R/C</v>
      </c>
    </row>
    <row r="13" spans="1:32" ht="51">
      <c r="A13" s="10">
        <f>DATA!A4</f>
        <v>2</v>
      </c>
      <c r="B13" s="10">
        <f>DATA!B4</f>
        <v>0</v>
      </c>
      <c r="C13" s="10" t="str">
        <f>DATA!D4</f>
        <v>INFRASTRUKTUR</v>
      </c>
      <c r="D13" s="10">
        <f>DATA!E4</f>
        <v>1</v>
      </c>
      <c r="E13" s="10" t="str">
        <f>DATA!F4</f>
        <v>Kementerian Pekerjaan Umum dan Perumahan Rakyat</v>
      </c>
      <c r="F13" s="10" t="str">
        <f>DATA!H4</f>
        <v>Toll Road Development Program</v>
      </c>
      <c r="G13" s="10" t="str">
        <f>DATA!I4</f>
        <v>A</v>
      </c>
      <c r="H13" s="10" t="str">
        <f>DATA!J4</f>
        <v xml:space="preserve">Program Pembangunan Jalan Tol </v>
      </c>
      <c r="I13" s="10">
        <f>DATA!K4</f>
        <v>1</v>
      </c>
      <c r="J13" s="254"/>
      <c r="K13" s="34"/>
      <c r="L13" s="34"/>
      <c r="M13" s="3391"/>
      <c r="N13" s="3394"/>
      <c r="O13" s="3409"/>
      <c r="P13" s="3409"/>
      <c r="Q13" s="3437"/>
      <c r="R13" s="3437"/>
      <c r="S13" s="3413"/>
      <c r="T13" s="2466"/>
      <c r="U13" s="1449" t="str">
        <f>DATA!Y4</f>
        <v>Korea</v>
      </c>
      <c r="V13" s="3415"/>
      <c r="W13" s="77">
        <v>0</v>
      </c>
      <c r="X13" s="216" t="str">
        <f>DATA!Y4</f>
        <v>Korea</v>
      </c>
      <c r="Y13" s="245">
        <f>DATA!AT4</f>
        <v>250000000</v>
      </c>
      <c r="Z13" s="109" t="str">
        <f>DATA!AU4</f>
        <v>Korea</v>
      </c>
      <c r="AA13" s="1544" t="str">
        <f>DATA!AW4</f>
        <v>- co-financing dengan RRT (USD 1 Miliar) 
- belum masuk rolling plan EDCF (Korea)</v>
      </c>
      <c r="AB13" s="3521"/>
      <c r="AC13" s="3522"/>
      <c r="AD13" s="3400"/>
      <c r="AE13" s="3503"/>
      <c r="AF13" s="3505"/>
    </row>
    <row r="14" spans="1:32" s="5" customFormat="1" ht="33.75" customHeight="1">
      <c r="J14" s="1594"/>
      <c r="K14" s="50"/>
      <c r="L14" s="30" t="str">
        <f>DATA!I10</f>
        <v>B</v>
      </c>
      <c r="M14" s="31" t="str">
        <f>DATA!J10</f>
        <v xml:space="preserve">Program Pembangunan / Peningkatan Jembatan </v>
      </c>
      <c r="N14" s="51"/>
      <c r="O14" s="197">
        <f>O15+O16+O17+O18+O19</f>
        <v>1500000000</v>
      </c>
      <c r="P14" s="197">
        <f>P15+P16+P17+P18+P19</f>
        <v>1500000000</v>
      </c>
      <c r="Q14" s="1436">
        <f>Q15+Q16+Q17+Q18+Q19</f>
        <v>126500000</v>
      </c>
      <c r="R14" s="1436">
        <f>R15+R16+R17+R18+R19</f>
        <v>0</v>
      </c>
      <c r="S14" s="1559">
        <f t="shared" ref="S14:S33" si="0">P14+Q14+R14</f>
        <v>1626500000</v>
      </c>
      <c r="T14" s="2463"/>
      <c r="U14" s="198"/>
      <c r="V14" s="81">
        <f>SUM(V15:V19)</f>
        <v>1500000000</v>
      </c>
      <c r="W14" s="81">
        <f>SUM(W15:W19)</f>
        <v>0</v>
      </c>
      <c r="X14" s="214">
        <f>SUM(X15:X19)</f>
        <v>0</v>
      </c>
      <c r="Y14" s="244">
        <f>SUM(Y15:Y19)</f>
        <v>1500000000</v>
      </c>
      <c r="Z14" s="81" t="s">
        <v>21</v>
      </c>
      <c r="AA14" s="214"/>
      <c r="AB14" s="1505"/>
      <c r="AC14" s="1506"/>
      <c r="AD14" s="169"/>
      <c r="AE14" s="1507"/>
      <c r="AF14" s="1530"/>
    </row>
    <row r="15" spans="1:32" ht="63.75">
      <c r="A15" s="10">
        <f>DATA!A10</f>
        <v>8</v>
      </c>
      <c r="B15" s="10">
        <f>DATA!B10</f>
        <v>0</v>
      </c>
      <c r="C15" s="10" t="str">
        <f>DATA!D10</f>
        <v>INFRASTRUKTUR</v>
      </c>
      <c r="D15" s="10">
        <f>DATA!E10</f>
        <v>1</v>
      </c>
      <c r="E15" s="10" t="str">
        <f>DATA!F10</f>
        <v>Kementerian Pekerjaan Umum dan Perumahan Rakyat</v>
      </c>
      <c r="F15" s="10" t="str">
        <f>DATA!H10</f>
        <v>Development and Improvement of National Bridges Program</v>
      </c>
      <c r="G15" s="10" t="str">
        <f>DATA!I10</f>
        <v>B</v>
      </c>
      <c r="H15" s="10" t="str">
        <f>DATA!J10</f>
        <v xml:space="preserve">Program Pembangunan / Peningkatan Jembatan </v>
      </c>
      <c r="I15" s="10">
        <f>DATA!K10</f>
        <v>1</v>
      </c>
      <c r="J15" s="254"/>
      <c r="K15" s="34"/>
      <c r="L15" s="35"/>
      <c r="M15" s="52">
        <v>2</v>
      </c>
      <c r="N15" s="53" t="str">
        <f>DATA!L10</f>
        <v>Material Procurement for Construction and Bridge Rehabilitation</v>
      </c>
      <c r="O15" s="187">
        <f>DATA!T10</f>
        <v>450000000</v>
      </c>
      <c r="P15" s="187">
        <f>DATA!U10</f>
        <v>450000000</v>
      </c>
      <c r="Q15" s="1446">
        <f>DATA!V10</f>
        <v>0</v>
      </c>
      <c r="R15" s="1446">
        <f>DATA!W10</f>
        <v>0</v>
      </c>
      <c r="S15" s="2467">
        <f t="shared" si="0"/>
        <v>450000000</v>
      </c>
      <c r="T15" s="2468"/>
      <c r="U15" s="1449" t="str">
        <f>DATA!Y10</f>
        <v>Spanyol/RRT</v>
      </c>
      <c r="V15" s="77">
        <f>DATA!AA10</f>
        <v>450000000</v>
      </c>
      <c r="W15" s="77">
        <v>0</v>
      </c>
      <c r="X15" s="216" t="str">
        <f>DATA!Y10</f>
        <v>Spanyol/RRT</v>
      </c>
      <c r="Y15" s="245">
        <f>DATA!AT10</f>
        <v>450000000</v>
      </c>
      <c r="Z15" s="109" t="str">
        <f>DATA!AU10</f>
        <v>Spanyol/RRT</v>
      </c>
      <c r="AA15" s="1544" t="str">
        <f>DATA!AW10</f>
        <v>- Spanyol berminat mendanai sebagian (USD 50-100 juta), tetapi setelah permasalahan proyek LIPI selesai.
- RRT belum ada keputusan.</v>
      </c>
      <c r="AB15" s="245">
        <f>DATA!AM10</f>
        <v>0</v>
      </c>
      <c r="AC15" s="1510" t="str">
        <f>DATA!AN10</f>
        <v>belum ada keterangan</v>
      </c>
      <c r="AD15" s="1511" t="str">
        <f>DATA!AO10</f>
        <v>belum ada keterangan</v>
      </c>
      <c r="AE15" s="1510">
        <f>DATA!AQ10</f>
        <v>0</v>
      </c>
      <c r="AF15" s="252" t="str">
        <f>DATA!AR10</f>
        <v>belum ada dokumen R/C</v>
      </c>
    </row>
    <row r="16" spans="1:32" ht="31.5" customHeight="1">
      <c r="A16" s="10">
        <f>DATA!A11</f>
        <v>9</v>
      </c>
      <c r="B16" s="10">
        <f>DATA!B11</f>
        <v>0</v>
      </c>
      <c r="C16" s="10" t="str">
        <f>DATA!D11</f>
        <v>INFRASTRUKTUR</v>
      </c>
      <c r="D16" s="10">
        <f>DATA!E11</f>
        <v>1</v>
      </c>
      <c r="E16" s="10" t="str">
        <f>DATA!F11</f>
        <v>Kementerian Pekerjaan Umum dan Perumahan Rakyat</v>
      </c>
      <c r="F16" s="10" t="str">
        <f>DATA!H11</f>
        <v>Development and Improvement of National Bridges Program</v>
      </c>
      <c r="G16" s="10" t="str">
        <f>DATA!I11</f>
        <v>B</v>
      </c>
      <c r="H16" s="10" t="str">
        <f>DATA!J11</f>
        <v xml:space="preserve">Program Pembangunan / Peningkatan Jembatan </v>
      </c>
      <c r="I16" s="10">
        <f>DATA!K11</f>
        <v>2</v>
      </c>
      <c r="J16" s="254"/>
      <c r="K16" s="34"/>
      <c r="L16" s="34"/>
      <c r="M16" s="52">
        <v>3</v>
      </c>
      <c r="N16" s="37" t="str">
        <f>DATA!L11</f>
        <v>Development of Fly Over/ Under Pass for Railways Crossing</v>
      </c>
      <c r="O16" s="187">
        <f>DATA!T11</f>
        <v>250000000</v>
      </c>
      <c r="P16" s="187">
        <f>DATA!U11</f>
        <v>250000000</v>
      </c>
      <c r="Q16" s="1446">
        <f>DATA!V11</f>
        <v>50000000</v>
      </c>
      <c r="R16" s="1446">
        <f>DATA!W11</f>
        <v>0</v>
      </c>
      <c r="S16" s="2467">
        <f t="shared" si="0"/>
        <v>300000000</v>
      </c>
      <c r="T16" s="2468"/>
      <c r="U16" s="1449" t="str">
        <f>DATA!Y11</f>
        <v>JICA</v>
      </c>
      <c r="V16" s="77">
        <f>DATA!AA11</f>
        <v>250000000</v>
      </c>
      <c r="W16" s="77">
        <v>0</v>
      </c>
      <c r="X16" s="216" t="str">
        <f>DATA!Y11</f>
        <v>JICA</v>
      </c>
      <c r="Y16" s="245">
        <f>DATA!AT11</f>
        <v>250000000</v>
      </c>
      <c r="Z16" s="109" t="str">
        <f>DATA!AU11</f>
        <v>JICA</v>
      </c>
      <c r="AA16" s="1544" t="str">
        <f>DATA!AW11</f>
        <v>-</v>
      </c>
      <c r="AB16" s="245">
        <f>DATA!AM11</f>
        <v>0</v>
      </c>
      <c r="AC16" s="1510" t="str">
        <f>DATA!AN11</f>
        <v>dalam proses
(penyusunan FS)</v>
      </c>
      <c r="AD16" s="1511" t="str">
        <f>DATA!AO11</f>
        <v>belum ada keterangan</v>
      </c>
      <c r="AE16" s="1510">
        <f>DATA!AQ11</f>
        <v>0</v>
      </c>
      <c r="AF16" s="252" t="str">
        <f>DATA!AR11</f>
        <v>belum ada dokumen R/C</v>
      </c>
    </row>
    <row r="17" spans="1:32" ht="24.75" customHeight="1">
      <c r="A17" s="10">
        <f>DATA!A12</f>
        <v>10</v>
      </c>
      <c r="B17" s="10">
        <f>DATA!B12</f>
        <v>0</v>
      </c>
      <c r="C17" s="10" t="str">
        <f>DATA!D12</f>
        <v>INFRASTRUKTUR</v>
      </c>
      <c r="D17" s="10">
        <f>DATA!E12</f>
        <v>1</v>
      </c>
      <c r="E17" s="10" t="str">
        <f>DATA!F12</f>
        <v>Kementerian Pekerjaan Umum dan Perumahan Rakyat</v>
      </c>
      <c r="F17" s="10" t="str">
        <f>DATA!H12</f>
        <v>Development and Improvement of National Bridges Program</v>
      </c>
      <c r="G17" s="10" t="str">
        <f>DATA!I12</f>
        <v>B</v>
      </c>
      <c r="H17" s="10" t="str">
        <f>DATA!J12</f>
        <v xml:space="preserve">Program Pembangunan / Peningkatan Jembatan </v>
      </c>
      <c r="I17" s="10">
        <f>DATA!K12</f>
        <v>3</v>
      </c>
      <c r="J17" s="254"/>
      <c r="K17" s="34"/>
      <c r="L17" s="34"/>
      <c r="M17" s="52">
        <v>4</v>
      </c>
      <c r="N17" s="37" t="str">
        <f>DATA!L12</f>
        <v>Development of Fly Over/ Under Pass in Major Cities</v>
      </c>
      <c r="O17" s="187">
        <f>DATA!T12</f>
        <v>270000000</v>
      </c>
      <c r="P17" s="187">
        <f>DATA!U12</f>
        <v>270000000</v>
      </c>
      <c r="Q17" s="1446">
        <f>DATA!V12</f>
        <v>50000000</v>
      </c>
      <c r="R17" s="1446">
        <f>DATA!W12</f>
        <v>0</v>
      </c>
      <c r="S17" s="2467">
        <f t="shared" si="0"/>
        <v>320000000</v>
      </c>
      <c r="T17" s="2468"/>
      <c r="U17" s="1449" t="str">
        <f>DATA!Y12</f>
        <v>JICA</v>
      </c>
      <c r="V17" s="77">
        <f>DATA!AA12</f>
        <v>270000000</v>
      </c>
      <c r="W17" s="77">
        <v>0</v>
      </c>
      <c r="X17" s="216" t="str">
        <f>DATA!Y12</f>
        <v>JICA</v>
      </c>
      <c r="Y17" s="245">
        <f>DATA!AT12</f>
        <v>270000000</v>
      </c>
      <c r="Z17" s="109" t="str">
        <f>DATA!AU12</f>
        <v>JICA</v>
      </c>
      <c r="AA17" s="1544" t="str">
        <f>DATA!AW12</f>
        <v>-</v>
      </c>
      <c r="AB17" s="245">
        <f>DATA!AM12</f>
        <v>0</v>
      </c>
      <c r="AC17" s="1510" t="str">
        <f>DATA!AN12</f>
        <v>dalam proses
 (penyusunan FS)</v>
      </c>
      <c r="AD17" s="1511" t="str">
        <f>DATA!AO12</f>
        <v>belum ada keterangan</v>
      </c>
      <c r="AE17" s="1510">
        <f>DATA!AQ12</f>
        <v>0</v>
      </c>
      <c r="AF17" s="252" t="str">
        <f>DATA!AR12</f>
        <v>belum ada dokumen R/C</v>
      </c>
    </row>
    <row r="18" spans="1:32" ht="25.5" customHeight="1">
      <c r="A18" s="10">
        <f>DATA!A13</f>
        <v>11</v>
      </c>
      <c r="B18" s="10">
        <f>DATA!B13</f>
        <v>0</v>
      </c>
      <c r="C18" s="10" t="str">
        <f>DATA!D13</f>
        <v>INFRASTRUKTUR</v>
      </c>
      <c r="D18" s="10">
        <f>DATA!E13</f>
        <v>1</v>
      </c>
      <c r="E18" s="10" t="str">
        <f>DATA!F13</f>
        <v>Kementerian Pekerjaan Umum dan Perumahan Rakyat</v>
      </c>
      <c r="F18" s="10" t="str">
        <f>DATA!H13</f>
        <v>Development and Improvement of National Bridges Program</v>
      </c>
      <c r="G18" s="10" t="str">
        <f>DATA!I13</f>
        <v>B</v>
      </c>
      <c r="H18" s="10" t="str">
        <f>DATA!J13</f>
        <v xml:space="preserve">Program Pembangunan / Peningkatan Jembatan </v>
      </c>
      <c r="I18" s="10">
        <f>DATA!K13</f>
        <v>4</v>
      </c>
      <c r="J18" s="254"/>
      <c r="K18" s="34"/>
      <c r="L18" s="34"/>
      <c r="M18" s="52">
        <v>5</v>
      </c>
      <c r="N18" s="37" t="str">
        <f>DATA!L13</f>
        <v>Balinka - Matur - Ngarai Sianok Tunnel Construction</v>
      </c>
      <c r="O18" s="187">
        <f>DATA!T13</f>
        <v>175000000</v>
      </c>
      <c r="P18" s="187">
        <f>DATA!U13</f>
        <v>175000000</v>
      </c>
      <c r="Q18" s="1446">
        <f>DATA!V13</f>
        <v>8750000</v>
      </c>
      <c r="R18" s="1446">
        <f>DATA!W13</f>
        <v>0</v>
      </c>
      <c r="S18" s="2467">
        <f t="shared" si="0"/>
        <v>183750000</v>
      </c>
      <c r="T18" s="2468"/>
      <c r="U18" s="1449" t="str">
        <f>DATA!Y13</f>
        <v>Korea/RRT</v>
      </c>
      <c r="V18" s="77">
        <f>DATA!AA13</f>
        <v>175000000</v>
      </c>
      <c r="W18" s="77">
        <v>0</v>
      </c>
      <c r="X18" s="216" t="str">
        <f>DATA!Y13</f>
        <v>Korea/RRT</v>
      </c>
      <c r="Y18" s="245">
        <f>DATA!AT13</f>
        <v>175000000</v>
      </c>
      <c r="Z18" s="109" t="str">
        <f>DATA!AU13</f>
        <v>Korea/RRT</v>
      </c>
      <c r="AA18" s="1544" t="str">
        <f>DATA!AW13</f>
        <v>- RRT dan Korea belum ada keputusan</v>
      </c>
      <c r="AB18" s="245">
        <f>DATA!AM13</f>
        <v>0</v>
      </c>
      <c r="AC18" s="1510" t="str">
        <f>DATA!AN13</f>
        <v>dalam proses
(memiliki FS dan DED)</v>
      </c>
      <c r="AD18" s="1511" t="str">
        <f>DATA!AO13</f>
        <v>belum ada keterangan</v>
      </c>
      <c r="AE18" s="1510">
        <f>DATA!AQ13</f>
        <v>0</v>
      </c>
      <c r="AF18" s="252" t="str">
        <f>DATA!AR13</f>
        <v>belum ada dokumen R/C</v>
      </c>
    </row>
    <row r="19" spans="1:32" ht="24.75" customHeight="1">
      <c r="A19" s="10">
        <f>DATA!A14</f>
        <v>12</v>
      </c>
      <c r="B19" s="10">
        <f>DATA!B14</f>
        <v>0</v>
      </c>
      <c r="C19" s="10" t="str">
        <f>DATA!D14</f>
        <v>INFRASTRUKTUR</v>
      </c>
      <c r="D19" s="10">
        <f>DATA!E14</f>
        <v>1</v>
      </c>
      <c r="E19" s="10" t="str">
        <f>DATA!F14</f>
        <v>Kementerian Pekerjaan Umum dan Perumahan Rakyat</v>
      </c>
      <c r="F19" s="10" t="str">
        <f>DATA!H14</f>
        <v>Development and Improvement of National Bridges Program</v>
      </c>
      <c r="G19" s="10" t="str">
        <f>DATA!I14</f>
        <v>B</v>
      </c>
      <c r="H19" s="10" t="str">
        <f>DATA!J14</f>
        <v xml:space="preserve">Program Pembangunan / Peningkatan Jembatan </v>
      </c>
      <c r="I19" s="10">
        <f>DATA!K14</f>
        <v>5</v>
      </c>
      <c r="J19" s="254"/>
      <c r="K19" s="34"/>
      <c r="L19" s="54"/>
      <c r="M19" s="52">
        <v>6</v>
      </c>
      <c r="N19" s="37" t="str">
        <f>DATA!L14</f>
        <v>Long Span Bridge Development for Selected Area</v>
      </c>
      <c r="O19" s="187">
        <f>DATA!T14</f>
        <v>355000000</v>
      </c>
      <c r="P19" s="187">
        <f>DATA!U14</f>
        <v>355000000</v>
      </c>
      <c r="Q19" s="1446">
        <f>DATA!V14</f>
        <v>17750000</v>
      </c>
      <c r="R19" s="1446">
        <f>DATA!W14</f>
        <v>0</v>
      </c>
      <c r="S19" s="2467">
        <f t="shared" si="0"/>
        <v>372750000</v>
      </c>
      <c r="T19" s="2468"/>
      <c r="U19" s="1449" t="str">
        <f>DATA!Y14</f>
        <v>Korea/RRT</v>
      </c>
      <c r="V19" s="77">
        <f>DATA!AA14</f>
        <v>355000000</v>
      </c>
      <c r="W19" s="77">
        <v>0</v>
      </c>
      <c r="X19" s="216" t="str">
        <f>DATA!Y14</f>
        <v>Korea/RRT</v>
      </c>
      <c r="Y19" s="245">
        <f>DATA!AT14</f>
        <v>355000000</v>
      </c>
      <c r="Z19" s="109" t="str">
        <f>DATA!AU14</f>
        <v>Korea/RRT</v>
      </c>
      <c r="AA19" s="1544" t="str">
        <f>DATA!AW14</f>
        <v>- RRT dan Korea belum ada keputusan</v>
      </c>
      <c r="AB19" s="245">
        <f>DATA!AM14</f>
        <v>0</v>
      </c>
      <c r="AC19" s="1510" t="str">
        <f>DATA!AN14</f>
        <v>belum ada keterangan</v>
      </c>
      <c r="AD19" s="1511" t="str">
        <f>DATA!AO14</f>
        <v>belum ada keterangan</v>
      </c>
      <c r="AE19" s="1510">
        <f>DATA!AQ14</f>
        <v>0</v>
      </c>
      <c r="AF19" s="252" t="str">
        <f>DATA!AR14</f>
        <v>belum ada dokumen R/C</v>
      </c>
    </row>
    <row r="20" spans="1:32" s="5" customFormat="1" ht="33.75" customHeight="1">
      <c r="J20" s="1594"/>
      <c r="K20" s="50"/>
      <c r="L20" s="30" t="str">
        <f>DATA!I15</f>
        <v>C</v>
      </c>
      <c r="M20" s="31" t="str">
        <f>DATA!J16</f>
        <v>Program Pembangunan / Peningkatan Jalan</v>
      </c>
      <c r="N20" s="51"/>
      <c r="O20" s="197">
        <f>O21+O22+O23+O24+O25+O26+O27+O28+O29</f>
        <v>2000000000</v>
      </c>
      <c r="P20" s="197">
        <f>P21+P22+P23+P24+P25+P26+P27+P28+P29</f>
        <v>2000000000</v>
      </c>
      <c r="Q20" s="1436">
        <f>Q21+Q22+Q23+Q24+Q25+Q26+Q27+Q28+Q29</f>
        <v>400000000</v>
      </c>
      <c r="R20" s="1436">
        <f>R21+R22+R23+R24+R25+R26+R27+R28+R29</f>
        <v>0</v>
      </c>
      <c r="S20" s="1559">
        <f t="shared" si="0"/>
        <v>2400000000</v>
      </c>
      <c r="T20" s="2463"/>
      <c r="U20" s="198"/>
      <c r="V20" s="81">
        <f>SUM(V21:V29)</f>
        <v>2000000000</v>
      </c>
      <c r="W20" s="81">
        <f>SUM(W21:W29)</f>
        <v>0</v>
      </c>
      <c r="X20" s="214">
        <f>SUM(X21:X29)</f>
        <v>0</v>
      </c>
      <c r="Y20" s="244">
        <f>SUM(Y21:Y29)</f>
        <v>2000000000</v>
      </c>
      <c r="Z20" s="81" t="s">
        <v>21</v>
      </c>
      <c r="AA20" s="214">
        <f>SUM(AA21:AA29)</f>
        <v>0</v>
      </c>
      <c r="AB20" s="1505"/>
      <c r="AC20" s="1506"/>
      <c r="AD20" s="169"/>
      <c r="AE20" s="1507"/>
      <c r="AF20" s="1530"/>
    </row>
    <row r="21" spans="1:32" s="5" customFormat="1" ht="51">
      <c r="J21" s="1594"/>
      <c r="K21" s="50"/>
      <c r="L21" s="55"/>
      <c r="M21" s="36">
        <v>7</v>
      </c>
      <c r="N21" s="37" t="str">
        <f>DATA!L15</f>
        <v>Urban Arterial Road Improvement Project</v>
      </c>
      <c r="O21" s="200">
        <f>DATA!T15</f>
        <v>250000000</v>
      </c>
      <c r="P21" s="200">
        <f>DATA!U15</f>
        <v>205000000</v>
      </c>
      <c r="Q21" s="1564">
        <f>DATA!V15</f>
        <v>50000000</v>
      </c>
      <c r="R21" s="1564">
        <f>DATA!W15</f>
        <v>0</v>
      </c>
      <c r="S21" s="2467">
        <f t="shared" si="0"/>
        <v>255000000</v>
      </c>
      <c r="T21" s="2468"/>
      <c r="U21" s="1449" t="str">
        <f>DATA!Y15</f>
        <v>JICA</v>
      </c>
      <c r="V21" s="87">
        <f>DATA!AA15</f>
        <v>205000000</v>
      </c>
      <c r="W21" s="87">
        <v>0</v>
      </c>
      <c r="X21" s="216" t="str">
        <f>DATA!Y15</f>
        <v>JICA</v>
      </c>
      <c r="Y21" s="245">
        <f>DATA!AT15</f>
        <v>205000000</v>
      </c>
      <c r="Z21" s="109" t="str">
        <f>DATA!AU15</f>
        <v>JICA</v>
      </c>
      <c r="AA21" s="1544" t="str">
        <f>DATA!AW15</f>
        <v>-</v>
      </c>
      <c r="AB21" s="1510">
        <f>DATA!AM15</f>
        <v>0</v>
      </c>
      <c r="AC21" s="1510" t="str">
        <f>DATA!AN15</f>
        <v>siap</v>
      </c>
      <c r="AD21" s="1511" t="str">
        <f>DATA!AO15</f>
        <v>belum ada keterangan</v>
      </c>
      <c r="AE21" s="1510">
        <f>DATA!AQ15</f>
        <v>0</v>
      </c>
      <c r="AF21" s="1533" t="str">
        <f>DATA!AR15</f>
        <v>- nilai proyek berkurang USD 45 juta, dialihkan untuk kegiatan ESP
- belum ada dokumen R/C</v>
      </c>
    </row>
    <row r="22" spans="1:32" ht="33.75" customHeight="1">
      <c r="A22" s="10">
        <f>DATA!A16</f>
        <v>14</v>
      </c>
      <c r="B22" s="10">
        <f>DATA!B16</f>
        <v>0</v>
      </c>
      <c r="C22" s="10" t="str">
        <f>DATA!D16</f>
        <v>INFRASTRUKTUR</v>
      </c>
      <c r="D22" s="10">
        <f>DATA!E16</f>
        <v>1</v>
      </c>
      <c r="E22" s="10" t="str">
        <f>DATA!F16</f>
        <v>Kementerian Pekerjaan Umum dan Perumahan Rakyat</v>
      </c>
      <c r="F22" s="10" t="str">
        <f>DATA!H16</f>
        <v>Development and Improvement of National Roads Program</v>
      </c>
      <c r="G22" s="10" t="str">
        <f>DATA!I16</f>
        <v>C</v>
      </c>
      <c r="H22" s="10" t="str">
        <f>DATA!J16</f>
        <v>Program Pembangunan / Peningkatan Jalan</v>
      </c>
      <c r="I22" s="10">
        <f>DATA!K16</f>
        <v>2</v>
      </c>
      <c r="J22" s="254"/>
      <c r="K22" s="34"/>
      <c r="L22" s="34"/>
      <c r="M22" s="36">
        <v>8</v>
      </c>
      <c r="N22" s="37" t="str">
        <f>DATA!L16</f>
        <v>Construction of Development of Trans South-South, Eastern Java</v>
      </c>
      <c r="O22" s="187">
        <f>DATA!T16</f>
        <v>250000000</v>
      </c>
      <c r="P22" s="187">
        <f>DATA!U16</f>
        <v>250000000</v>
      </c>
      <c r="Q22" s="1564">
        <f>DATA!V16</f>
        <v>50000000</v>
      </c>
      <c r="R22" s="1564">
        <f>DATA!W16</f>
        <v>0</v>
      </c>
      <c r="S22" s="2467">
        <f t="shared" si="0"/>
        <v>300000000</v>
      </c>
      <c r="T22" s="2468"/>
      <c r="U22" s="203" t="str">
        <f>DATA!Y16</f>
        <v>IDB</v>
      </c>
      <c r="V22" s="77">
        <f>DATA!AA16</f>
        <v>250000000</v>
      </c>
      <c r="W22" s="77">
        <v>0</v>
      </c>
      <c r="X22" s="216" t="str">
        <f>DATA!Y16</f>
        <v>IDB</v>
      </c>
      <c r="Y22" s="245">
        <f>DATA!AT16</f>
        <v>250000000</v>
      </c>
      <c r="Z22" s="109" t="str">
        <f>DATA!AU16</f>
        <v>IDB</v>
      </c>
      <c r="AA22" s="1544" t="str">
        <f>DATA!AW16</f>
        <v>-</v>
      </c>
      <c r="AB22" s="1510" t="str">
        <f>DATA!AM16</f>
        <v>Rev. 2016</v>
      </c>
      <c r="AC22" s="1510" t="str">
        <f>DATA!AN16</f>
        <v>siap</v>
      </c>
      <c r="AD22" s="1511" t="str">
        <f>DATA!AO16</f>
        <v>belum ada keterangan</v>
      </c>
      <c r="AE22" s="1510">
        <f>DATA!AQ16</f>
        <v>0</v>
      </c>
      <c r="AF22" s="1533" t="str">
        <f>DATA!AR16</f>
        <v>-</v>
      </c>
    </row>
    <row r="23" spans="1:32" ht="39.75" customHeight="1">
      <c r="A23" s="10">
        <f>DATA!A17</f>
        <v>15</v>
      </c>
      <c r="B23" s="10">
        <f>DATA!B17</f>
        <v>0</v>
      </c>
      <c r="C23" s="10" t="str">
        <f>DATA!D17</f>
        <v>INFRASTRUKTUR</v>
      </c>
      <c r="D23" s="10">
        <f>DATA!E17</f>
        <v>1</v>
      </c>
      <c r="E23" s="10" t="str">
        <f>DATA!F17</f>
        <v>Kementerian Pekerjaan Umum dan Perumahan Rakyat</v>
      </c>
      <c r="F23" s="10" t="str">
        <f>DATA!H17</f>
        <v>Development and Improvement of National Roads Program</v>
      </c>
      <c r="G23" s="10" t="str">
        <f>DATA!I17</f>
        <v>C</v>
      </c>
      <c r="H23" s="10" t="str">
        <f>DATA!J17</f>
        <v>Program Pembangunan / Peningkatan Jalan</v>
      </c>
      <c r="I23" s="10">
        <f>DATA!K17</f>
        <v>3</v>
      </c>
      <c r="J23" s="254"/>
      <c r="K23" s="34"/>
      <c r="L23" s="34"/>
      <c r="M23" s="36">
        <v>9</v>
      </c>
      <c r="N23" s="37" t="str">
        <f>DATA!L17</f>
        <v>Road Improvement Project to Support Integrated Land and Sea Toll Way - Northern Area</v>
      </c>
      <c r="O23" s="187">
        <f>DATA!T17</f>
        <v>250000000</v>
      </c>
      <c r="P23" s="187">
        <f>DATA!U17</f>
        <v>250000000</v>
      </c>
      <c r="Q23" s="1564">
        <f>DATA!V17</f>
        <v>50000000</v>
      </c>
      <c r="R23" s="1564">
        <f>DATA!W17</f>
        <v>0</v>
      </c>
      <c r="S23" s="2467">
        <f t="shared" si="0"/>
        <v>300000000</v>
      </c>
      <c r="T23" s="2468"/>
      <c r="U23" s="1449" t="str">
        <f>DATA!Y17</f>
        <v>Bank Dunia</v>
      </c>
      <c r="V23" s="77">
        <f>DATA!AA17</f>
        <v>250000000</v>
      </c>
      <c r="W23" s="77">
        <v>0</v>
      </c>
      <c r="X23" s="216" t="str">
        <f>DATA!Y17</f>
        <v>Bank Dunia</v>
      </c>
      <c r="Y23" s="245">
        <f>DATA!AT17</f>
        <v>250000000</v>
      </c>
      <c r="Z23" s="109" t="str">
        <f>DATA!AU17</f>
        <v>Bank Dunia</v>
      </c>
      <c r="AA23" s="1544" t="str">
        <f>DATA!AW17</f>
        <v>-</v>
      </c>
      <c r="AB23" s="1510">
        <f>DATA!AM17</f>
        <v>0</v>
      </c>
      <c r="AC23" s="1510" t="str">
        <f>DATA!AN17</f>
        <v>belum ada keterangan</v>
      </c>
      <c r="AD23" s="1511" t="str">
        <f>DATA!AO17</f>
        <v>belum ada keterangan</v>
      </c>
      <c r="AE23" s="1510">
        <f>DATA!AQ17</f>
        <v>0</v>
      </c>
      <c r="AF23" s="1533" t="str">
        <f>DATA!AR17</f>
        <v>belum ada dokumen R/C</v>
      </c>
    </row>
    <row r="24" spans="1:32" ht="38.25" customHeight="1">
      <c r="A24" s="10">
        <f>DATA!A18</f>
        <v>16</v>
      </c>
      <c r="B24" s="10">
        <f>DATA!B18</f>
        <v>0</v>
      </c>
      <c r="C24" s="10" t="str">
        <f>DATA!D18</f>
        <v>INFRASTRUKTUR</v>
      </c>
      <c r="D24" s="10">
        <f>DATA!E18</f>
        <v>1</v>
      </c>
      <c r="E24" s="10" t="str">
        <f>DATA!F18</f>
        <v>Kementerian Pekerjaan Umum dan Perumahan Rakyat</v>
      </c>
      <c r="F24" s="10" t="str">
        <f>DATA!H18</f>
        <v>Development and Improvement of National Roads Program</v>
      </c>
      <c r="G24" s="10" t="str">
        <f>DATA!I18</f>
        <v>C</v>
      </c>
      <c r="H24" s="10" t="str">
        <f>DATA!J18</f>
        <v>Program Pembangunan / Peningkatan Jalan</v>
      </c>
      <c r="I24" s="10">
        <f>DATA!K18</f>
        <v>4</v>
      </c>
      <c r="J24" s="254"/>
      <c r="K24" s="34"/>
      <c r="L24" s="34"/>
      <c r="M24" s="36">
        <v>10</v>
      </c>
      <c r="N24" s="37" t="str">
        <f>DATA!L18</f>
        <v>Road Improvement Project to Support Integrated Land and Sea Toll Way - Southern Area</v>
      </c>
      <c r="O24" s="187">
        <f>DATA!T18</f>
        <v>250000000</v>
      </c>
      <c r="P24" s="187">
        <f>DATA!U18</f>
        <v>250000000</v>
      </c>
      <c r="Q24" s="1564">
        <f>DATA!V18</f>
        <v>50000000</v>
      </c>
      <c r="R24" s="1564">
        <f>DATA!W18</f>
        <v>0</v>
      </c>
      <c r="S24" s="2467">
        <f t="shared" si="0"/>
        <v>300000000</v>
      </c>
      <c r="T24" s="2468"/>
      <c r="U24" s="1449" t="str">
        <f>DATA!Y18</f>
        <v>Bank Dunia/ADB</v>
      </c>
      <c r="V24" s="77">
        <f>DATA!AA18</f>
        <v>250000000</v>
      </c>
      <c r="W24" s="77">
        <v>0</v>
      </c>
      <c r="X24" s="216" t="str">
        <f>DATA!Y18</f>
        <v>Bank Dunia/ADB</v>
      </c>
      <c r="Y24" s="245">
        <f>DATA!AT18</f>
        <v>250000000</v>
      </c>
      <c r="Z24" s="109" t="str">
        <f>DATA!AU18</f>
        <v>Bank Dunia</v>
      </c>
      <c r="AA24" s="1544" t="str">
        <f>DATA!AW18</f>
        <v>- usulan K/L lender: Bank Dunia/ADB. 
- Hanya Bank Dunia saja yang berminat.</v>
      </c>
      <c r="AB24" s="1510">
        <f>DATA!AM18</f>
        <v>0</v>
      </c>
      <c r="AC24" s="1510" t="str">
        <f>DATA!AN18</f>
        <v>belum ada keterangan</v>
      </c>
      <c r="AD24" s="1511" t="str">
        <f>DATA!AO18</f>
        <v>belum ada keterangan</v>
      </c>
      <c r="AE24" s="1510">
        <f>DATA!AQ18</f>
        <v>0</v>
      </c>
      <c r="AF24" s="1533" t="str">
        <f>DATA!AR18</f>
        <v>belum ada dokumen R/C</v>
      </c>
    </row>
    <row r="25" spans="1:32" ht="33.75" customHeight="1">
      <c r="A25" s="10">
        <f>DATA!A19</f>
        <v>17</v>
      </c>
      <c r="B25" s="10">
        <f>DATA!B19</f>
        <v>0</v>
      </c>
      <c r="C25" s="10" t="str">
        <f>DATA!D19</f>
        <v>INFRASTRUKTUR</v>
      </c>
      <c r="D25" s="10">
        <f>DATA!E19</f>
        <v>1</v>
      </c>
      <c r="E25" s="10" t="str">
        <f>DATA!F19</f>
        <v>Kementerian Pekerjaan Umum dan Perumahan Rakyat</v>
      </c>
      <c r="F25" s="10" t="str">
        <f>DATA!H19</f>
        <v>Development and Improvement of National Roads Program</v>
      </c>
      <c r="G25" s="10" t="str">
        <f>DATA!I19</f>
        <v>C</v>
      </c>
      <c r="H25" s="10" t="str">
        <f>DATA!J19</f>
        <v>Program Pembangunan / Peningkatan Jalan</v>
      </c>
      <c r="I25" s="10">
        <f>DATA!K19</f>
        <v>5</v>
      </c>
      <c r="J25" s="254"/>
      <c r="K25" s="34"/>
      <c r="L25" s="34"/>
      <c r="M25" s="36">
        <v>11</v>
      </c>
      <c r="N25" s="37" t="str">
        <f>DATA!L19</f>
        <v>National Road Improvement in West and South Kalimantan</v>
      </c>
      <c r="O25" s="187">
        <f>DATA!T19</f>
        <v>250000000</v>
      </c>
      <c r="P25" s="187">
        <f>DATA!U19</f>
        <v>250000000</v>
      </c>
      <c r="Q25" s="1564">
        <f>DATA!V19</f>
        <v>50000000</v>
      </c>
      <c r="R25" s="1564">
        <f>DATA!W19</f>
        <v>0</v>
      </c>
      <c r="S25" s="2467">
        <f t="shared" si="0"/>
        <v>300000000</v>
      </c>
      <c r="T25" s="2468"/>
      <c r="U25" s="1449" t="str">
        <f>DATA!Y19</f>
        <v>IDB</v>
      </c>
      <c r="V25" s="77">
        <f>DATA!AA19</f>
        <v>250000000</v>
      </c>
      <c r="W25" s="77">
        <v>0</v>
      </c>
      <c r="X25" s="216" t="str">
        <f>DATA!Y19</f>
        <v>IDB</v>
      </c>
      <c r="Y25" s="245">
        <f>DATA!AT19</f>
        <v>250000000</v>
      </c>
      <c r="Z25" s="109" t="str">
        <f>DATA!AU19</f>
        <v>IDB</v>
      </c>
      <c r="AA25" s="1544" t="str">
        <f>DATA!AW19</f>
        <v>-</v>
      </c>
      <c r="AB25" s="1510">
        <f>DATA!AM19</f>
        <v>0</v>
      </c>
      <c r="AC25" s="1510" t="str">
        <f>DATA!AN19</f>
        <v>belum ada keterangan</v>
      </c>
      <c r="AD25" s="1511" t="str">
        <f>DATA!AO19</f>
        <v>belum ada keterangan</v>
      </c>
      <c r="AE25" s="1510">
        <f>DATA!AQ19</f>
        <v>0</v>
      </c>
      <c r="AF25" s="1533" t="str">
        <f>DATA!AR19</f>
        <v>belum ada dokumen R/C</v>
      </c>
    </row>
    <row r="26" spans="1:32" ht="29.25" customHeight="1">
      <c r="A26" s="10">
        <f>DATA!A20</f>
        <v>18</v>
      </c>
      <c r="B26" s="10">
        <f>DATA!B20</f>
        <v>0</v>
      </c>
      <c r="C26" s="10" t="str">
        <f>DATA!D20</f>
        <v>INFRASTRUKTUR</v>
      </c>
      <c r="D26" s="10">
        <f>DATA!E20</f>
        <v>1</v>
      </c>
      <c r="E26" s="10" t="str">
        <f>DATA!F20</f>
        <v>Kementerian Pekerjaan Umum dan Perumahan Rakyat</v>
      </c>
      <c r="F26" s="10" t="str">
        <f>DATA!H20</f>
        <v>Development and Improvement of National Roads Program</v>
      </c>
      <c r="G26" s="10" t="str">
        <f>DATA!I20</f>
        <v>C</v>
      </c>
      <c r="H26" s="10" t="str">
        <f>DATA!J20</f>
        <v>Program Pembangunan / Peningkatan Jalan</v>
      </c>
      <c r="I26" s="10">
        <f>DATA!K20</f>
        <v>6</v>
      </c>
      <c r="J26" s="254"/>
      <c r="K26" s="34"/>
      <c r="L26" s="34"/>
      <c r="M26" s="36">
        <v>12</v>
      </c>
      <c r="N26" s="37" t="str">
        <f>DATA!L20</f>
        <v>National Road Improvement in Central Kalimantan</v>
      </c>
      <c r="O26" s="187">
        <f>DATA!T20</f>
        <v>250000000</v>
      </c>
      <c r="P26" s="187">
        <f>DATA!U20</f>
        <v>250000000</v>
      </c>
      <c r="Q26" s="1564">
        <f>DATA!V20</f>
        <v>50000000</v>
      </c>
      <c r="R26" s="1564">
        <f>DATA!W20</f>
        <v>0</v>
      </c>
      <c r="S26" s="2467">
        <f t="shared" si="0"/>
        <v>300000000</v>
      </c>
      <c r="T26" s="2468"/>
      <c r="U26" s="1449" t="str">
        <f>DATA!Y20</f>
        <v>Bank Dunia/ADB</v>
      </c>
      <c r="V26" s="77">
        <f>DATA!AA20</f>
        <v>250000000</v>
      </c>
      <c r="W26" s="77">
        <v>0</v>
      </c>
      <c r="X26" s="216" t="str">
        <f>DATA!Y20</f>
        <v>Bank Dunia/ADB</v>
      </c>
      <c r="Y26" s="245">
        <f>DATA!AT20</f>
        <v>250000000</v>
      </c>
      <c r="Z26" s="109" t="str">
        <f>DATA!AU20</f>
        <v>Belum Ada Indikasi</v>
      </c>
      <c r="AA26" s="1544" t="str">
        <f>DATA!AW20</f>
        <v>usulan K/L lender: Bank Dunia/ADB. Kedua calon lender tidak berminat mendanai proyek ini.</v>
      </c>
      <c r="AB26" s="1510">
        <f>DATA!AM20</f>
        <v>0</v>
      </c>
      <c r="AC26" s="1510" t="str">
        <f>DATA!AN20</f>
        <v>siap</v>
      </c>
      <c r="AD26" s="1511" t="str">
        <f>DATA!AO20</f>
        <v>belum ada keterangan</v>
      </c>
      <c r="AE26" s="1510">
        <f>DATA!AQ20</f>
        <v>0</v>
      </c>
      <c r="AF26" s="1533" t="str">
        <f>DATA!AR20</f>
        <v>belum ada dokumen R/C</v>
      </c>
    </row>
    <row r="27" spans="1:32" ht="34.5" customHeight="1">
      <c r="A27" s="10">
        <f>DATA!A21</f>
        <v>19</v>
      </c>
      <c r="B27" s="10">
        <f>DATA!B21</f>
        <v>0</v>
      </c>
      <c r="C27" s="10" t="str">
        <f>DATA!D21</f>
        <v>INFRASTRUKTUR</v>
      </c>
      <c r="D27" s="10">
        <f>DATA!E21</f>
        <v>1</v>
      </c>
      <c r="E27" s="10" t="str">
        <f>DATA!F21</f>
        <v>Kementerian Pekerjaan Umum dan Perumahan Rakyat</v>
      </c>
      <c r="F27" s="10" t="str">
        <f>DATA!H21</f>
        <v>Development and Improvement of National Roads Program</v>
      </c>
      <c r="G27" s="10" t="str">
        <f>DATA!I21</f>
        <v>C</v>
      </c>
      <c r="H27" s="10" t="str">
        <f>DATA!J21</f>
        <v>Program Pembangunan / Peningkatan Jalan</v>
      </c>
      <c r="I27" s="10">
        <f>DATA!K21</f>
        <v>7</v>
      </c>
      <c r="J27" s="254"/>
      <c r="K27" s="34"/>
      <c r="L27" s="34"/>
      <c r="M27" s="36">
        <v>13</v>
      </c>
      <c r="N27" s="37" t="str">
        <f>DATA!L21</f>
        <v>National Road Improvement in North and East Kalimantan</v>
      </c>
      <c r="O27" s="187">
        <f>DATA!T21</f>
        <v>250000000</v>
      </c>
      <c r="P27" s="187">
        <f>DATA!U21</f>
        <v>250000000</v>
      </c>
      <c r="Q27" s="1564">
        <f>DATA!V21</f>
        <v>50000000</v>
      </c>
      <c r="R27" s="1564">
        <f>DATA!W21</f>
        <v>0</v>
      </c>
      <c r="S27" s="2467">
        <f t="shared" si="0"/>
        <v>300000000</v>
      </c>
      <c r="T27" s="2468"/>
      <c r="U27" s="1449" t="str">
        <f>DATA!Y21</f>
        <v>IDB</v>
      </c>
      <c r="V27" s="77">
        <f>DATA!AA21</f>
        <v>250000000</v>
      </c>
      <c r="W27" s="77">
        <v>0</v>
      </c>
      <c r="X27" s="216" t="str">
        <f>DATA!Y21</f>
        <v>IDB</v>
      </c>
      <c r="Y27" s="245">
        <f>DATA!AT21</f>
        <v>250000000</v>
      </c>
      <c r="Z27" s="109" t="str">
        <f>DATA!AU21</f>
        <v>AIIB</v>
      </c>
      <c r="AA27" s="1544" t="str">
        <f>DATA!AW21</f>
        <v>- usulan K/L semula lender: IDB. 
- Pihak IDB tidak berminat mendanai kegiatan ini, diusulkan kepada AIIB.</v>
      </c>
      <c r="AB27" s="1510">
        <f>DATA!AM21</f>
        <v>0</v>
      </c>
      <c r="AC27" s="1510" t="str">
        <f>DATA!AN21</f>
        <v>siap</v>
      </c>
      <c r="AD27" s="1511" t="str">
        <f>DATA!AO21</f>
        <v>belum ada keterangan</v>
      </c>
      <c r="AE27" s="1510">
        <f>DATA!AQ21</f>
        <v>0</v>
      </c>
      <c r="AF27" s="1533" t="str">
        <f>DATA!AR21</f>
        <v>belum ada dokumen R/C</v>
      </c>
    </row>
    <row r="28" spans="1:32" ht="36" customHeight="1">
      <c r="A28" s="10">
        <f>DATA!A22</f>
        <v>20</v>
      </c>
      <c r="B28" s="10">
        <f>DATA!B22</f>
        <v>0</v>
      </c>
      <c r="C28" s="10" t="str">
        <f>DATA!D22</f>
        <v>INFRASTRUKTUR</v>
      </c>
      <c r="D28" s="10">
        <f>DATA!E22</f>
        <v>1</v>
      </c>
      <c r="E28" s="10" t="str">
        <f>DATA!F22</f>
        <v>Kementerian Pekerjaan Umum dan Perumahan Rakyat</v>
      </c>
      <c r="F28" s="10" t="str">
        <f>DATA!H22</f>
        <v>Development and Improvement of National Roads Program</v>
      </c>
      <c r="G28" s="10" t="str">
        <f>DATA!I22</f>
        <v>C</v>
      </c>
      <c r="H28" s="10" t="str">
        <f>DATA!J22</f>
        <v>Program Pembangunan / Peningkatan Jalan</v>
      </c>
      <c r="I28" s="10">
        <f>DATA!K22</f>
        <v>8</v>
      </c>
      <c r="J28" s="254"/>
      <c r="K28" s="34"/>
      <c r="L28" s="34"/>
      <c r="M28" s="36">
        <v>14</v>
      </c>
      <c r="N28" s="37" t="str">
        <f>DATA!L22</f>
        <v>Road Improvement Project in Sulawesi Island and Major Cities</v>
      </c>
      <c r="O28" s="187">
        <f>DATA!T22</f>
        <v>250000000</v>
      </c>
      <c r="P28" s="187">
        <f>DATA!U22</f>
        <v>250000000</v>
      </c>
      <c r="Q28" s="1564">
        <f>DATA!V22</f>
        <v>50000000</v>
      </c>
      <c r="R28" s="1564">
        <f>DATA!W22</f>
        <v>0</v>
      </c>
      <c r="S28" s="2467">
        <f t="shared" si="0"/>
        <v>300000000</v>
      </c>
      <c r="T28" s="2468"/>
      <c r="U28" s="1449" t="str">
        <f>DATA!Y22</f>
        <v>IDB</v>
      </c>
      <c r="V28" s="77">
        <f>DATA!AA22</f>
        <v>250000000</v>
      </c>
      <c r="W28" s="77">
        <v>0</v>
      </c>
      <c r="X28" s="216" t="str">
        <f>DATA!Y22</f>
        <v>IDB</v>
      </c>
      <c r="Y28" s="245">
        <f>DATA!AT22</f>
        <v>250000000</v>
      </c>
      <c r="Z28" s="109" t="str">
        <f>DATA!AU22</f>
        <v>IDB</v>
      </c>
      <c r="AA28" s="1544" t="str">
        <f>DATA!AW22</f>
        <v>-</v>
      </c>
      <c r="AB28" s="1510">
        <f>DATA!AM22</f>
        <v>0</v>
      </c>
      <c r="AC28" s="1510" t="str">
        <f>DATA!AN22</f>
        <v>siap</v>
      </c>
      <c r="AD28" s="1511" t="str">
        <f>DATA!AO22</f>
        <v>belum ada keterangan</v>
      </c>
      <c r="AE28" s="1510">
        <f>DATA!AQ22</f>
        <v>0</v>
      </c>
      <c r="AF28" s="1533" t="str">
        <f>DATA!AR22</f>
        <v>belum ada dokumen R/C</v>
      </c>
    </row>
    <row r="29" spans="1:32" ht="38.25" customHeight="1">
      <c r="J29" s="254"/>
      <c r="K29" s="34"/>
      <c r="L29" s="54"/>
      <c r="M29" s="36">
        <v>15</v>
      </c>
      <c r="N29" s="56" t="str">
        <f>DATA!L23</f>
        <v>Engineering Service for National Roads Development Project</v>
      </c>
      <c r="O29" s="202">
        <f>DATA!T23</f>
        <v>0</v>
      </c>
      <c r="P29" s="202">
        <f>DATA!U23</f>
        <v>45000000</v>
      </c>
      <c r="Q29" s="2469">
        <f>DATA!V23</f>
        <v>0</v>
      </c>
      <c r="R29" s="2469">
        <f>DATA!W23</f>
        <v>0</v>
      </c>
      <c r="S29" s="2467">
        <f t="shared" si="0"/>
        <v>45000000</v>
      </c>
      <c r="T29" s="2468"/>
      <c r="U29" s="203" t="str">
        <f>DATA!Y23</f>
        <v>ADB</v>
      </c>
      <c r="V29" s="88">
        <f>DATA!AA23</f>
        <v>45000000</v>
      </c>
      <c r="W29" s="88">
        <v>0</v>
      </c>
      <c r="X29" s="216" t="str">
        <f>DATA!Y23</f>
        <v>ADB</v>
      </c>
      <c r="Y29" s="245">
        <f>DATA!AT23</f>
        <v>45000000</v>
      </c>
      <c r="Z29" s="109" t="str">
        <f>DATA!AU23</f>
        <v>ADB</v>
      </c>
      <c r="AA29" s="1544" t="str">
        <f>DATA!AW23</f>
        <v>-</v>
      </c>
      <c r="AB29" s="1510" t="str">
        <f>DATA!AM23</f>
        <v>2016; 2015</v>
      </c>
      <c r="AC29" s="1510" t="str">
        <f>DATA!AN23</f>
        <v>siap</v>
      </c>
      <c r="AD29" s="1511" t="str">
        <f>DATA!AO23</f>
        <v>tidak butuh lahan</v>
      </c>
      <c r="AE29" s="1510">
        <f>DATA!AQ23</f>
        <v>0</v>
      </c>
      <c r="AF29" s="1533" t="str">
        <f>DATA!AR23</f>
        <v>-</v>
      </c>
    </row>
    <row r="30" spans="1:32" s="5" customFormat="1" ht="33.75" customHeight="1">
      <c r="J30" s="1594"/>
      <c r="K30" s="50"/>
      <c r="L30" s="30" t="str">
        <f>DATA!I24</f>
        <v>D</v>
      </c>
      <c r="M30" s="31" t="str">
        <f>DATA!J24</f>
        <v>Program Pembangunan Air Minum</v>
      </c>
      <c r="N30" s="51"/>
      <c r="O30" s="197">
        <f>O31+O32+O33+O34+O36+O37+O38+O39+O40+O41+O35+O42</f>
        <v>847680000</v>
      </c>
      <c r="P30" s="197">
        <f>P31+P32+P33+P34+P36+P37+P38+P39+P40+P41+P35+P42</f>
        <v>847680000</v>
      </c>
      <c r="Q30" s="1436">
        <f>Q31+Q32+Q33+Q34+Q36+Q37+Q38+Q39+Q40+Q41+Q35+Q42</f>
        <v>44434000</v>
      </c>
      <c r="R30" s="1436">
        <f>R31+R32+R33+R34+R36+R37+R38+R39+R40+R41+R35+R42</f>
        <v>0</v>
      </c>
      <c r="S30" s="1559">
        <f t="shared" si="0"/>
        <v>892114000</v>
      </c>
      <c r="T30" s="2463"/>
      <c r="U30" s="198"/>
      <c r="V30" s="81">
        <f>V31+V32+V33+V34+V35+V36+V37+V38+V39+V40+V41+V42</f>
        <v>847680000</v>
      </c>
      <c r="W30" s="81">
        <f>W31+W32+W33+W34+W35+W36+W37+W38+W39+W40+W41+W42</f>
        <v>0</v>
      </c>
      <c r="X30" s="214"/>
      <c r="Y30" s="244">
        <f>Y31+Y32+Y33+Y34+Y35+Y36+Y37+Y38+Y39+Y40+Y41+Y42</f>
        <v>847680000</v>
      </c>
      <c r="Z30" s="81" t="s">
        <v>21</v>
      </c>
      <c r="AA30" s="214"/>
      <c r="AB30" s="1505"/>
      <c r="AC30" s="1506"/>
      <c r="AD30" s="169"/>
      <c r="AE30" s="1507"/>
      <c r="AF30" s="1530"/>
    </row>
    <row r="31" spans="1:32" ht="27.75" customHeight="1">
      <c r="A31" s="10">
        <f>DATA!A25</f>
        <v>22</v>
      </c>
      <c r="B31" s="10">
        <f>DATA!B25</f>
        <v>0</v>
      </c>
      <c r="C31" s="10" t="str">
        <f>DATA!D25</f>
        <v>INFRASTRUKTUR</v>
      </c>
      <c r="D31" s="10">
        <f>DATA!E25</f>
        <v>1</v>
      </c>
      <c r="E31" s="10" t="str">
        <f>DATA!F25</f>
        <v>Kementerian Pekerjaan Umum dan Perumahan Rakyat</v>
      </c>
      <c r="F31" s="10" t="str">
        <f>DATA!H25</f>
        <v>Drinking Water Development Program</v>
      </c>
      <c r="G31" s="10" t="str">
        <f>DATA!I25</f>
        <v>D</v>
      </c>
      <c r="H31" s="10" t="str">
        <f>DATA!J25</f>
        <v>Program Pembangunan Air Minum</v>
      </c>
      <c r="I31" s="10">
        <f>DATA!K25</f>
        <v>2</v>
      </c>
      <c r="J31" s="254"/>
      <c r="K31" s="34"/>
      <c r="L31" s="34"/>
      <c r="M31" s="36">
        <v>16</v>
      </c>
      <c r="N31" s="37" t="str">
        <f>DATA!L25</f>
        <v>National Urban Water Supply</v>
      </c>
      <c r="O31" s="187">
        <f>DATA!T25</f>
        <v>100000000</v>
      </c>
      <c r="P31" s="187">
        <f>DATA!U25</f>
        <v>100000000</v>
      </c>
      <c r="Q31" s="1446">
        <f>DATA!V25</f>
        <v>5000000</v>
      </c>
      <c r="R31" s="1446">
        <f>DATA!W25</f>
        <v>0</v>
      </c>
      <c r="S31" s="2467">
        <f t="shared" si="0"/>
        <v>105000000</v>
      </c>
      <c r="T31" s="2468"/>
      <c r="U31" s="1449" t="str">
        <f>DATA!Y25</f>
        <v>Bank Dunia</v>
      </c>
      <c r="V31" s="77">
        <f>DATA!AA25</f>
        <v>100000000</v>
      </c>
      <c r="W31" s="77">
        <v>0</v>
      </c>
      <c r="X31" s="216" t="str">
        <f>DATA!Y25</f>
        <v>Bank Dunia</v>
      </c>
      <c r="Y31" s="245">
        <f>DATA!AT25</f>
        <v>100000000</v>
      </c>
      <c r="Z31" s="109" t="str">
        <f>DATA!AU25</f>
        <v>Bank Dunia</v>
      </c>
      <c r="AA31" s="1544" t="str">
        <f>DATA!AW25</f>
        <v>-</v>
      </c>
      <c r="AB31" s="245">
        <f>DATA!AM25</f>
        <v>0</v>
      </c>
      <c r="AC31" s="1510" t="str">
        <f>DATA!AN25</f>
        <v>belum ada keterangan</v>
      </c>
      <c r="AD31" s="1511" t="str">
        <f>DATA!AO25</f>
        <v>belum ada keterangan</v>
      </c>
      <c r="AE31" s="1510">
        <f>DATA!AQ25</f>
        <v>0</v>
      </c>
      <c r="AF31" s="1533" t="str">
        <f>DATA!AR25</f>
        <v>belum ada dokumen R/C</v>
      </c>
    </row>
    <row r="32" spans="1:32" ht="29.25" customHeight="1">
      <c r="A32" s="10">
        <f>DATA!A27</f>
        <v>24</v>
      </c>
      <c r="B32" s="10">
        <f>DATA!B27</f>
        <v>0</v>
      </c>
      <c r="C32" s="10" t="str">
        <f>DATA!D27</f>
        <v>INFRASTRUKTUR</v>
      </c>
      <c r="D32" s="10">
        <f>DATA!E27</f>
        <v>1</v>
      </c>
      <c r="E32" s="10" t="str">
        <f>DATA!F27</f>
        <v>Kementerian Pekerjaan Umum dan Perumahan Rakyat</v>
      </c>
      <c r="F32" s="10" t="str">
        <f>DATA!H27</f>
        <v>Drinking Water Development Program</v>
      </c>
      <c r="G32" s="10" t="str">
        <f>DATA!I27</f>
        <v>D</v>
      </c>
      <c r="H32" s="10" t="str">
        <f>DATA!J27</f>
        <v>Program Pembangunan Air Minum</v>
      </c>
      <c r="I32" s="10">
        <f>DATA!K27</f>
        <v>3</v>
      </c>
      <c r="J32" s="254"/>
      <c r="K32" s="34"/>
      <c r="L32" s="34"/>
      <c r="M32" s="36">
        <v>17</v>
      </c>
      <c r="N32" s="37" t="str">
        <f>DATA!L27</f>
        <v xml:space="preserve">Mamminasata Water Supply Development Project </v>
      </c>
      <c r="O32" s="187">
        <f>DATA!T27</f>
        <v>100000000</v>
      </c>
      <c r="P32" s="187">
        <f>DATA!U27</f>
        <v>100000000</v>
      </c>
      <c r="Q32" s="1446">
        <f>DATA!V27</f>
        <v>5000000</v>
      </c>
      <c r="R32" s="1446">
        <f>DATA!W27</f>
        <v>0</v>
      </c>
      <c r="S32" s="2467">
        <f t="shared" si="0"/>
        <v>105000000</v>
      </c>
      <c r="T32" s="2468"/>
      <c r="U32" s="1449" t="str">
        <f>DATA!Y27</f>
        <v>JICA</v>
      </c>
      <c r="V32" s="77">
        <f>DATA!AA27</f>
        <v>100000000</v>
      </c>
      <c r="W32" s="77">
        <v>0</v>
      </c>
      <c r="X32" s="216" t="str">
        <f>DATA!Y27</f>
        <v>JICA</v>
      </c>
      <c r="Y32" s="245">
        <f>DATA!AT27</f>
        <v>100000000</v>
      </c>
      <c r="Z32" s="109" t="str">
        <f>DATA!AU27</f>
        <v>JICA</v>
      </c>
      <c r="AA32" s="1544" t="str">
        <f>DATA!AW27</f>
        <v>-</v>
      </c>
      <c r="AB32" s="245">
        <f>DATA!AM26</f>
        <v>0</v>
      </c>
      <c r="AC32" s="1510" t="str">
        <f>DATA!AN27</f>
        <v>siap</v>
      </c>
      <c r="AD32" s="1511" t="str">
        <f>DATA!AO27</f>
        <v>dalam proses
(persiapan)</v>
      </c>
      <c r="AE32" s="1510">
        <f>DATA!AQ26</f>
        <v>0</v>
      </c>
      <c r="AF32" s="1533" t="str">
        <f>DATA!AR27</f>
        <v>belum ada dokumen R/C</v>
      </c>
    </row>
    <row r="33" spans="1:32" ht="35.25" customHeight="1">
      <c r="A33" s="10">
        <f>DATA!A28</f>
        <v>25</v>
      </c>
      <c r="B33" s="10">
        <f>DATA!B28</f>
        <v>0</v>
      </c>
      <c r="C33" s="10" t="str">
        <f>DATA!D28</f>
        <v>INFRASTRUKTUR</v>
      </c>
      <c r="D33" s="10">
        <f>DATA!E28</f>
        <v>1</v>
      </c>
      <c r="E33" s="10" t="str">
        <f>DATA!F28</f>
        <v>Kementerian Pekerjaan Umum dan Perumahan Rakyat</v>
      </c>
      <c r="F33" s="10" t="str">
        <f>DATA!H28</f>
        <v>Drinking Water Development Program</v>
      </c>
      <c r="G33" s="10" t="str">
        <f>DATA!I28</f>
        <v>D</v>
      </c>
      <c r="H33" s="10" t="str">
        <f>DATA!J28</f>
        <v>Program Pembangunan Air Minum</v>
      </c>
      <c r="I33" s="10">
        <f>DATA!K28</f>
        <v>3</v>
      </c>
      <c r="J33" s="254"/>
      <c r="K33" s="34"/>
      <c r="L33" s="34"/>
      <c r="M33" s="36">
        <v>18</v>
      </c>
      <c r="N33" s="37" t="str">
        <f>DATA!L28</f>
        <v xml:space="preserve">The Development of Regional Water Supply System in Benteng Kobema </v>
      </c>
      <c r="O33" s="187">
        <f>DATA!T28</f>
        <v>74300000</v>
      </c>
      <c r="P33" s="187">
        <f>DATA!U28</f>
        <v>74300000</v>
      </c>
      <c r="Q33" s="1446">
        <f>DATA!V28</f>
        <v>3715000</v>
      </c>
      <c r="R33" s="1446">
        <f>DATA!W28</f>
        <v>0</v>
      </c>
      <c r="S33" s="2467">
        <f t="shared" si="0"/>
        <v>78015000</v>
      </c>
      <c r="T33" s="2468"/>
      <c r="U33" s="1449" t="str">
        <f>DATA!Y28</f>
        <v>Bank Dunia/JICA/ADB</v>
      </c>
      <c r="V33" s="77">
        <f>DATA!AA28</f>
        <v>74300000</v>
      </c>
      <c r="W33" s="77">
        <v>0</v>
      </c>
      <c r="X33" s="216" t="str">
        <f>DATA!Y28</f>
        <v>Bank Dunia/JICA/ADB</v>
      </c>
      <c r="Y33" s="245">
        <f>DATA!AT28</f>
        <v>74300000</v>
      </c>
      <c r="Z33" s="109" t="str">
        <f>DATA!AU28</f>
        <v>Bank Dunia</v>
      </c>
      <c r="AA33" s="1544" t="str">
        <f>DATA!AW28</f>
        <v>- usulan K/L lender: Bank Dunia/JICA/ADB. 
- Pihak Bank Dunia berminat, ADB dan JICA tidak minat.</v>
      </c>
      <c r="AB33" s="245">
        <f>DATA!AM27</f>
        <v>0</v>
      </c>
      <c r="AC33" s="1510" t="str">
        <f>DATA!AN28</f>
        <v>dalam proses
(penyusunan FS)</v>
      </c>
      <c r="AD33" s="1511" t="str">
        <f>DATA!AO28</f>
        <v>dalam proses
(persiapan)</v>
      </c>
      <c r="AE33" s="1510">
        <f>DATA!AQ27</f>
        <v>0</v>
      </c>
      <c r="AF33" s="1533" t="str">
        <f>DATA!AR28</f>
        <v>belum ada dokumen R/C</v>
      </c>
    </row>
    <row r="34" spans="1:32" ht="40.5" customHeight="1">
      <c r="A34" s="10">
        <f>DATA!A29</f>
        <v>26</v>
      </c>
      <c r="B34" s="10">
        <f>DATA!B29</f>
        <v>0</v>
      </c>
      <c r="C34" s="10" t="str">
        <f>DATA!D29</f>
        <v>INFRASTRUKTUR</v>
      </c>
      <c r="D34" s="10">
        <f>DATA!E29</f>
        <v>1</v>
      </c>
      <c r="E34" s="10" t="str">
        <f>DATA!F29</f>
        <v>Kementerian Pekerjaan Umum dan Perumahan Rakyat</v>
      </c>
      <c r="F34" s="10" t="str">
        <f>DATA!H29</f>
        <v>Drinking Water Development Program</v>
      </c>
      <c r="G34" s="10" t="str">
        <f>DATA!I29</f>
        <v>D</v>
      </c>
      <c r="H34" s="10" t="str">
        <f>DATA!J29</f>
        <v>Program Pembangunan Air Minum</v>
      </c>
      <c r="I34" s="10">
        <f>DATA!K29</f>
        <v>3</v>
      </c>
      <c r="J34" s="254"/>
      <c r="K34" s="34"/>
      <c r="L34" s="34"/>
      <c r="M34" s="36">
        <v>19</v>
      </c>
      <c r="N34" s="37" t="str">
        <f>DATA!L29</f>
        <v xml:space="preserve">The Development of Regional Water Supply System in Wosusokas </v>
      </c>
      <c r="O34" s="187">
        <f>DATA!T29</f>
        <v>106200000</v>
      </c>
      <c r="P34" s="187">
        <f>DATA!U29</f>
        <v>106200000</v>
      </c>
      <c r="Q34" s="1446">
        <f>DATA!V29</f>
        <v>5310000</v>
      </c>
      <c r="R34" s="1446">
        <f>DATA!W29</f>
        <v>0</v>
      </c>
      <c r="S34" s="2467">
        <f t="shared" ref="S34:S44" si="1">P34+Q34+R34</f>
        <v>111510000</v>
      </c>
      <c r="T34" s="2468"/>
      <c r="U34" s="1449" t="str">
        <f>DATA!Y29</f>
        <v>Jerman (KfW)</v>
      </c>
      <c r="V34" s="77">
        <f>DATA!AA29</f>
        <v>106200000</v>
      </c>
      <c r="W34" s="77">
        <v>0</v>
      </c>
      <c r="X34" s="216" t="str">
        <f>DATA!Y29</f>
        <v>Jerman (KfW)</v>
      </c>
      <c r="Y34" s="245">
        <f>DATA!AT29</f>
        <v>106200000</v>
      </c>
      <c r="Z34" s="109" t="str">
        <f>DATA!AU29</f>
        <v>Jerman (KfW)</v>
      </c>
      <c r="AA34" s="1544" t="str">
        <f>DATA!AW29</f>
        <v>-</v>
      </c>
      <c r="AB34" s="245">
        <f>DATA!AM28</f>
        <v>0</v>
      </c>
      <c r="AC34" s="1510" t="str">
        <f>DATA!AN29</f>
        <v>dalam proses
(penyusunan FS)</v>
      </c>
      <c r="AD34" s="1511" t="str">
        <f>DATA!AO29</f>
        <v>dalam proses
(persiapan)</v>
      </c>
      <c r="AE34" s="1510">
        <f>DATA!AQ28</f>
        <v>0</v>
      </c>
      <c r="AF34" s="1533" t="str">
        <f>DATA!AR29</f>
        <v>belum ada dokumen R/C</v>
      </c>
    </row>
    <row r="35" spans="1:32" ht="34.5" customHeight="1">
      <c r="A35" s="10">
        <f>DATA!A30</f>
        <v>27</v>
      </c>
      <c r="B35" s="10">
        <f>DATA!B30</f>
        <v>0</v>
      </c>
      <c r="C35" s="10" t="str">
        <f>DATA!D30</f>
        <v>INFRASTRUKTUR</v>
      </c>
      <c r="D35" s="10">
        <f>DATA!E30</f>
        <v>1</v>
      </c>
      <c r="E35" s="10" t="str">
        <f>DATA!F30</f>
        <v>Kementerian Pekerjaan Umum dan Perumahan Rakyat</v>
      </c>
      <c r="F35" s="10" t="str">
        <f>DATA!H30</f>
        <v>Drinking Water Development Program</v>
      </c>
      <c r="G35" s="10" t="str">
        <f>DATA!I30</f>
        <v>D</v>
      </c>
      <c r="H35" s="10" t="str">
        <f>DATA!J30</f>
        <v>Program Pembangunan Air Minum</v>
      </c>
      <c r="I35" s="10">
        <f>DATA!K30</f>
        <v>3</v>
      </c>
      <c r="J35" s="254"/>
      <c r="K35" s="34"/>
      <c r="L35" s="34"/>
      <c r="M35" s="36">
        <v>20</v>
      </c>
      <c r="N35" s="37" t="str">
        <f>DATA!L30</f>
        <v xml:space="preserve">The Development of Regional Water Supply System of Jatigede </v>
      </c>
      <c r="O35" s="187">
        <f>DATA!T30</f>
        <v>167000000</v>
      </c>
      <c r="P35" s="187">
        <f>DATA!U30</f>
        <v>140620000</v>
      </c>
      <c r="Q35" s="1446">
        <f>DATA!V30</f>
        <v>8350000</v>
      </c>
      <c r="R35" s="1446">
        <f>DATA!W30</f>
        <v>0</v>
      </c>
      <c r="S35" s="2467">
        <f t="shared" si="1"/>
        <v>148970000</v>
      </c>
      <c r="T35" s="2468"/>
      <c r="U35" s="1449" t="str">
        <f>DATA!Y30</f>
        <v>Bank Dunia/JICA/ADB</v>
      </c>
      <c r="V35" s="77">
        <f>DATA!AA30</f>
        <v>140620000</v>
      </c>
      <c r="W35" s="77">
        <v>0</v>
      </c>
      <c r="X35" s="216" t="str">
        <f>DATA!Y30</f>
        <v>Bank Dunia/JICA/ADB</v>
      </c>
      <c r="Y35" s="245">
        <f>DATA!AT30</f>
        <v>140620000</v>
      </c>
      <c r="Z35" s="109" t="str">
        <f>DATA!AU30</f>
        <v>Belum Ada Indikasi</v>
      </c>
      <c r="AA35" s="1544" t="str">
        <f>DATA!AW30</f>
        <v xml:space="preserve">- terdapat pengurangan nilai pinjaman sebesar USD 26,38 juta yang dialihkan untuk membiayai kegiatan ES.
- usulan K/L lender: Bank Dunia/JICA/ADB. 
- Pihak Bank Dunia, ADB, dan JICA tidak berminat. </v>
      </c>
      <c r="AB35" s="245">
        <f>DATA!AM29</f>
        <v>0</v>
      </c>
      <c r="AC35" s="1510" t="str">
        <f>DATA!AN30</f>
        <v>belum ada keterangan</v>
      </c>
      <c r="AD35" s="1511" t="str">
        <f>DATA!AO30</f>
        <v>belum ada keterangan</v>
      </c>
      <c r="AE35" s="1510">
        <f>DATA!AQ29</f>
        <v>0</v>
      </c>
      <c r="AF35" s="1533" t="str">
        <f>DATA!AR30</f>
        <v>- nilai pinjaman berkurang sebesar USD 26,38 juta untuk kegiatan ES
- belum ada dokumen R/C</v>
      </c>
    </row>
    <row r="36" spans="1:32" ht="41.25" customHeight="1">
      <c r="A36" s="10">
        <f>DATA!A31</f>
        <v>28</v>
      </c>
      <c r="B36" s="10">
        <f>DATA!B31</f>
        <v>0</v>
      </c>
      <c r="C36" s="10" t="str">
        <f>DATA!D31</f>
        <v>INFRASTRUKTUR</v>
      </c>
      <c r="D36" s="10">
        <f>DATA!E31</f>
        <v>1</v>
      </c>
      <c r="E36" s="10" t="str">
        <f>DATA!F31</f>
        <v>Kementerian Pekerjaan Umum dan Perumahan Rakyat</v>
      </c>
      <c r="F36" s="10" t="str">
        <f>DATA!H31</f>
        <v>Drinking Water Development Program</v>
      </c>
      <c r="G36" s="10" t="str">
        <f>DATA!I31</f>
        <v>D</v>
      </c>
      <c r="H36" s="10" t="str">
        <f>DATA!J31</f>
        <v>Program Pembangunan Air Minum</v>
      </c>
      <c r="I36" s="10">
        <f>DATA!K31</f>
        <v>3</v>
      </c>
      <c r="J36" s="254"/>
      <c r="K36" s="34"/>
      <c r="L36" s="34"/>
      <c r="M36" s="36">
        <v>21</v>
      </c>
      <c r="N36" s="37" t="str">
        <f>DATA!L31</f>
        <v>The Development of Regional Water Supply System of Petanglong</v>
      </c>
      <c r="O36" s="187">
        <f>DATA!T31</f>
        <v>95380000</v>
      </c>
      <c r="P36" s="187">
        <f>DATA!U31</f>
        <v>95380000</v>
      </c>
      <c r="Q36" s="1446">
        <f>DATA!V31</f>
        <v>4769000</v>
      </c>
      <c r="R36" s="1446">
        <f>DATA!W31</f>
        <v>0</v>
      </c>
      <c r="S36" s="2467">
        <f t="shared" si="1"/>
        <v>100149000</v>
      </c>
      <c r="T36" s="2468"/>
      <c r="U36" s="1449" t="str">
        <f>DATA!Y31</f>
        <v>Bank Dunia/JICA/ADB</v>
      </c>
      <c r="V36" s="77">
        <f>DATA!AA31</f>
        <v>95380000</v>
      </c>
      <c r="W36" s="77">
        <v>0</v>
      </c>
      <c r="X36" s="216" t="str">
        <f>DATA!Y31</f>
        <v>Bank Dunia/JICA/ADB</v>
      </c>
      <c r="Y36" s="245">
        <f>DATA!AT31</f>
        <v>95380000</v>
      </c>
      <c r="Z36" s="109" t="str">
        <f>DATA!AU31</f>
        <v>Belum Ada Indikasi</v>
      </c>
      <c r="AA36" s="1544" t="str">
        <f>DATA!AW31</f>
        <v xml:space="preserve">- usulan K/L lender: Bank Dunia/JICA/ADB. 
- Pihak Bank Dunia, ADB, dan JICA tidak berminat. </v>
      </c>
      <c r="AB36" s="245">
        <f>DATA!AM30</f>
        <v>0</v>
      </c>
      <c r="AC36" s="1510" t="str">
        <f>DATA!AN31</f>
        <v>belum ada keterangan</v>
      </c>
      <c r="AD36" s="1511" t="str">
        <f>DATA!AO31</f>
        <v>belum ada keterangan</v>
      </c>
      <c r="AE36" s="1510">
        <f>DATA!AQ30</f>
        <v>0</v>
      </c>
      <c r="AF36" s="1533" t="str">
        <f>DATA!AR31</f>
        <v>belum ada dokumen R/C</v>
      </c>
    </row>
    <row r="37" spans="1:32" ht="41.25" customHeight="1">
      <c r="A37" s="10">
        <f>DATA!A32</f>
        <v>29</v>
      </c>
      <c r="B37" s="10">
        <f>DATA!B32</f>
        <v>0</v>
      </c>
      <c r="C37" s="10" t="str">
        <f>DATA!D32</f>
        <v>INFRASTRUKTUR</v>
      </c>
      <c r="D37" s="10">
        <f>DATA!E32</f>
        <v>1</v>
      </c>
      <c r="E37" s="10" t="str">
        <f>DATA!F32</f>
        <v>Kementerian Pekerjaan Umum dan Perumahan Rakyat</v>
      </c>
      <c r="F37" s="10" t="str">
        <f>DATA!H32</f>
        <v>Drinking Water Development Program</v>
      </c>
      <c r="G37" s="10" t="str">
        <f>DATA!I32</f>
        <v>D</v>
      </c>
      <c r="H37" s="10" t="str">
        <f>DATA!J32</f>
        <v>Program Pembangunan Air Minum</v>
      </c>
      <c r="I37" s="10">
        <f>DATA!K32</f>
        <v>3</v>
      </c>
      <c r="J37" s="254"/>
      <c r="K37" s="34"/>
      <c r="L37" s="34"/>
      <c r="M37" s="36">
        <v>22</v>
      </c>
      <c r="N37" s="37" t="str">
        <f>DATA!L32</f>
        <v xml:space="preserve">The Development of Regional Water Supply System of Durolis </v>
      </c>
      <c r="O37" s="187">
        <f>DATA!T32</f>
        <v>33400000</v>
      </c>
      <c r="P37" s="187">
        <f>DATA!U32</f>
        <v>33400000</v>
      </c>
      <c r="Q37" s="1446">
        <f>DATA!V32</f>
        <v>1670000</v>
      </c>
      <c r="R37" s="1446">
        <f>DATA!W32</f>
        <v>0</v>
      </c>
      <c r="S37" s="2467">
        <f t="shared" si="1"/>
        <v>35070000</v>
      </c>
      <c r="T37" s="2468"/>
      <c r="U37" s="1449" t="str">
        <f>DATA!Y32</f>
        <v>Bank Dunia/JICA/ADB</v>
      </c>
      <c r="V37" s="77">
        <f>DATA!AA32</f>
        <v>33400000</v>
      </c>
      <c r="W37" s="77">
        <v>0</v>
      </c>
      <c r="X37" s="216" t="str">
        <f>DATA!Y32</f>
        <v>Bank Dunia/JICA/ADB</v>
      </c>
      <c r="Y37" s="245">
        <f>DATA!AT32</f>
        <v>33400000</v>
      </c>
      <c r="Z37" s="109" t="str">
        <f>DATA!AU32</f>
        <v>Belum Ada Indikasi</v>
      </c>
      <c r="AA37" s="1544" t="str">
        <f>DATA!AW32</f>
        <v xml:space="preserve">- usulan K/L lender: Bank Dunia/JICA/ADB.
- Pihak Bank Dunia, ADB, dan JICA tidak berminat. </v>
      </c>
      <c r="AB37" s="245">
        <f>DATA!AM31</f>
        <v>0</v>
      </c>
      <c r="AC37" s="1510" t="str">
        <f>DATA!AN32</f>
        <v>siap</v>
      </c>
      <c r="AD37" s="1511" t="str">
        <f>DATA!AO32</f>
        <v>siap</v>
      </c>
      <c r="AE37" s="1510">
        <f>DATA!AQ31</f>
        <v>0</v>
      </c>
      <c r="AF37" s="1533" t="str">
        <f>DATA!AR32</f>
        <v>belum ada dokumen R/C</v>
      </c>
    </row>
    <row r="38" spans="1:32" ht="38.25" customHeight="1">
      <c r="A38" s="10">
        <f>DATA!A33</f>
        <v>30</v>
      </c>
      <c r="B38" s="10">
        <f>DATA!B33</f>
        <v>0</v>
      </c>
      <c r="C38" s="10" t="str">
        <f>DATA!D33</f>
        <v>INFRASTRUKTUR</v>
      </c>
      <c r="D38" s="10">
        <f>DATA!E33</f>
        <v>1</v>
      </c>
      <c r="E38" s="10" t="str">
        <f>DATA!F33</f>
        <v>Kementerian Pekerjaan Umum dan Perumahan Rakyat</v>
      </c>
      <c r="F38" s="10" t="str">
        <f>DATA!H33</f>
        <v>Drinking Water Development Program</v>
      </c>
      <c r="G38" s="10" t="str">
        <f>DATA!I33</f>
        <v>D</v>
      </c>
      <c r="H38" s="10" t="str">
        <f>DATA!J33</f>
        <v>Program Pembangunan Air Minum</v>
      </c>
      <c r="I38" s="10">
        <f>DATA!K33</f>
        <v>3</v>
      </c>
      <c r="J38" s="254"/>
      <c r="K38" s="34"/>
      <c r="L38" s="34"/>
      <c r="M38" s="36">
        <v>23</v>
      </c>
      <c r="N38" s="37" t="str">
        <f>DATA!L33</f>
        <v xml:space="preserve">The Development of Regional Water Supply System of  Banten - Jakarta from Karian Dam </v>
      </c>
      <c r="O38" s="187">
        <f>DATA!T33</f>
        <v>40000000</v>
      </c>
      <c r="P38" s="187">
        <f>DATA!U33</f>
        <v>40000000</v>
      </c>
      <c r="Q38" s="1446">
        <f>DATA!V33</f>
        <v>2000000</v>
      </c>
      <c r="R38" s="1446">
        <f>DATA!W33</f>
        <v>0</v>
      </c>
      <c r="S38" s="2467">
        <f t="shared" si="1"/>
        <v>42000000</v>
      </c>
      <c r="T38" s="2468"/>
      <c r="U38" s="1449" t="str">
        <f>DATA!Y33</f>
        <v>Korea</v>
      </c>
      <c r="V38" s="77">
        <f>DATA!AA33</f>
        <v>40000000</v>
      </c>
      <c r="W38" s="77">
        <v>0</v>
      </c>
      <c r="X38" s="216" t="str">
        <f>DATA!Y33</f>
        <v>Korea</v>
      </c>
      <c r="Y38" s="245">
        <f>DATA!AT33</f>
        <v>40000000</v>
      </c>
      <c r="Z38" s="109" t="str">
        <f>DATA!AU33</f>
        <v>Korea</v>
      </c>
      <c r="AA38" s="1544" t="str">
        <f>DATA!AW33</f>
        <v>belum masuk rolling plan EDCF (Korea)</v>
      </c>
      <c r="AB38" s="245">
        <f>DATA!AM32</f>
        <v>0</v>
      </c>
      <c r="AC38" s="1510" t="str">
        <f>DATA!AN33</f>
        <v>dalam proses
(memiliki FS)</v>
      </c>
      <c r="AD38" s="1511" t="str">
        <f>DATA!AO33</f>
        <v>dalam proses
(persiapan)</v>
      </c>
      <c r="AE38" s="1510">
        <f>DATA!AQ32</f>
        <v>0</v>
      </c>
      <c r="AF38" s="1533" t="str">
        <f>DATA!AR33</f>
        <v>belum ada dokumen R/C</v>
      </c>
    </row>
    <row r="39" spans="1:32" ht="41.25" customHeight="1">
      <c r="A39" s="10">
        <f>DATA!A34</f>
        <v>31</v>
      </c>
      <c r="B39" s="10">
        <f>DATA!B34</f>
        <v>0</v>
      </c>
      <c r="C39" s="10" t="str">
        <f>DATA!D34</f>
        <v>INFRASTRUKTUR</v>
      </c>
      <c r="D39" s="10">
        <f>DATA!E34</f>
        <v>1</v>
      </c>
      <c r="E39" s="10" t="str">
        <f>DATA!F34</f>
        <v>Kementerian Pekerjaan Umum dan Perumahan Rakyat</v>
      </c>
      <c r="F39" s="10" t="str">
        <f>DATA!H34</f>
        <v>Drinking Water Development Program</v>
      </c>
      <c r="G39" s="10" t="str">
        <f>DATA!I34</f>
        <v>D</v>
      </c>
      <c r="H39" s="10" t="str">
        <f>DATA!J34</f>
        <v>Program Pembangunan Air Minum</v>
      </c>
      <c r="I39" s="10">
        <f>DATA!K34</f>
        <v>3</v>
      </c>
      <c r="J39" s="254"/>
      <c r="K39" s="34"/>
      <c r="L39" s="34"/>
      <c r="M39" s="36">
        <v>24</v>
      </c>
      <c r="N39" s="37" t="str">
        <f>DATA!L34</f>
        <v xml:space="preserve">The Development of Regional Water Supply System of Mebidang </v>
      </c>
      <c r="O39" s="187">
        <f>DATA!T34</f>
        <v>56400000</v>
      </c>
      <c r="P39" s="187">
        <f>DATA!U34</f>
        <v>56400000</v>
      </c>
      <c r="Q39" s="1446">
        <f>DATA!V34</f>
        <v>2820000</v>
      </c>
      <c r="R39" s="1446">
        <f>DATA!W34</f>
        <v>0</v>
      </c>
      <c r="S39" s="2467">
        <f t="shared" si="1"/>
        <v>59220000</v>
      </c>
      <c r="T39" s="2468"/>
      <c r="U39" s="1449" t="str">
        <f>DATA!Y34</f>
        <v>Jerman (KfW)</v>
      </c>
      <c r="V39" s="77">
        <f>DATA!AA34</f>
        <v>56400000</v>
      </c>
      <c r="W39" s="77">
        <v>0</v>
      </c>
      <c r="X39" s="216" t="str">
        <f>DATA!Y34</f>
        <v>Jerman (KfW)</v>
      </c>
      <c r="Y39" s="245">
        <f>DATA!AT34</f>
        <v>56400000</v>
      </c>
      <c r="Z39" s="109" t="str">
        <f>DATA!AU34</f>
        <v>Jerman (KfW)</v>
      </c>
      <c r="AA39" s="1544" t="str">
        <f>DATA!AW34</f>
        <v>-</v>
      </c>
      <c r="AB39" s="245">
        <f>DATA!AM33</f>
        <v>0</v>
      </c>
      <c r="AC39" s="1510" t="str">
        <f>DATA!AN34</f>
        <v>dalam proses
(memiliki FS dan DED)</v>
      </c>
      <c r="AD39" s="1511" t="str">
        <f>DATA!AO34</f>
        <v>dalam proses
(persiapan)</v>
      </c>
      <c r="AE39" s="1510">
        <f>DATA!AQ33</f>
        <v>0</v>
      </c>
      <c r="AF39" s="1533" t="str">
        <f>DATA!AR34</f>
        <v>belum ada dokumen R/C</v>
      </c>
    </row>
    <row r="40" spans="1:32" ht="37.5" customHeight="1">
      <c r="A40" s="10">
        <f>DATA!A36</f>
        <v>33</v>
      </c>
      <c r="B40" s="10">
        <f>DATA!B36</f>
        <v>0</v>
      </c>
      <c r="C40" s="10" t="str">
        <f>DATA!D36</f>
        <v>INFRASTRUKTUR</v>
      </c>
      <c r="D40" s="10">
        <f>DATA!E36</f>
        <v>1</v>
      </c>
      <c r="E40" s="10" t="str">
        <f>DATA!F36</f>
        <v>Kementerian Pekerjaan Umum dan Perumahan Rakyat</v>
      </c>
      <c r="F40" s="10" t="str">
        <f>DATA!H36</f>
        <v>Drinking Water Development Program</v>
      </c>
      <c r="G40" s="10" t="str">
        <f>DATA!I36</f>
        <v>D</v>
      </c>
      <c r="H40" s="10" t="str">
        <f>DATA!J36</f>
        <v>Program Pembangunan Air Minum</v>
      </c>
      <c r="I40" s="10">
        <f>DATA!K36</f>
        <v>4</v>
      </c>
      <c r="J40" s="254"/>
      <c r="K40" s="34"/>
      <c r="L40" s="34"/>
      <c r="M40" s="36">
        <v>25</v>
      </c>
      <c r="N40" s="37" t="str">
        <f>DATA!L36</f>
        <v xml:space="preserve">Small Scale Water Treatment Plants for Emergency Relief </v>
      </c>
      <c r="O40" s="187">
        <f>DATA!T36</f>
        <v>25000000</v>
      </c>
      <c r="P40" s="187">
        <f>DATA!U36</f>
        <v>25000000</v>
      </c>
      <c r="Q40" s="1446">
        <f>DATA!V36</f>
        <v>800000</v>
      </c>
      <c r="R40" s="1446">
        <f>DATA!W36</f>
        <v>0</v>
      </c>
      <c r="S40" s="2467">
        <f t="shared" si="1"/>
        <v>25800000</v>
      </c>
      <c r="T40" s="2468"/>
      <c r="U40" s="1449" t="str">
        <f>DATA!Y36</f>
        <v>Spanyol</v>
      </c>
      <c r="V40" s="77">
        <f>DATA!AA36</f>
        <v>25000000</v>
      </c>
      <c r="W40" s="77">
        <v>0</v>
      </c>
      <c r="X40" s="216" t="str">
        <f>DATA!Y36</f>
        <v>Spanyol</v>
      </c>
      <c r="Y40" s="245">
        <f>DATA!AT36</f>
        <v>25000000</v>
      </c>
      <c r="Z40" s="109" t="str">
        <f>DATA!AU36</f>
        <v>Spanyol</v>
      </c>
      <c r="AA40" s="1544" t="str">
        <f>DATA!AW36</f>
        <v>-</v>
      </c>
      <c r="AB40" s="245" t="str">
        <f>DATA!AM36</f>
        <v>2016; 2015</v>
      </c>
      <c r="AC40" s="1510" t="str">
        <f>DATA!AN36</f>
        <v>siap</v>
      </c>
      <c r="AD40" s="1511" t="str">
        <f>DATA!AO36</f>
        <v>dalam proses
(persiapan)</v>
      </c>
      <c r="AE40" s="1510">
        <f>DATA!AQ34</f>
        <v>0</v>
      </c>
      <c r="AF40" s="1533" t="str">
        <f>DATA!AR36</f>
        <v>Nilai pinjaman di:
- GB 16 USD 14.848 ribu
- GB 15 USD 25.000 ribu</v>
      </c>
    </row>
    <row r="41" spans="1:32" ht="39" customHeight="1">
      <c r="J41" s="254"/>
      <c r="K41" s="34"/>
      <c r="L41" s="34"/>
      <c r="M41" s="36">
        <v>26</v>
      </c>
      <c r="N41" s="2457" t="str">
        <f>DATA!L39</f>
        <v>IKK Water Supply Program and Small Water Treatment Plant for Water Scarcity Area</v>
      </c>
      <c r="O41" s="1414">
        <v>50000000</v>
      </c>
      <c r="P41" s="1414">
        <v>50000000</v>
      </c>
      <c r="Q41" s="1446">
        <f>DATA!V37</f>
        <v>5000000</v>
      </c>
      <c r="R41" s="1446">
        <f>DATA!W37</f>
        <v>0</v>
      </c>
      <c r="S41" s="2467">
        <f t="shared" si="1"/>
        <v>55000000</v>
      </c>
      <c r="T41" s="2470"/>
      <c r="U41" s="1449" t="str">
        <f>DATA!Y39</f>
        <v>IDB</v>
      </c>
      <c r="V41" s="77">
        <f>DATA!AA39</f>
        <v>50000000</v>
      </c>
      <c r="W41" s="77">
        <v>0</v>
      </c>
      <c r="X41" s="216" t="str">
        <f>DATA!Y39</f>
        <v>IDB</v>
      </c>
      <c r="Y41" s="245">
        <f>DATA!AT39</f>
        <v>50000000</v>
      </c>
      <c r="Z41" s="109" t="str">
        <f>DATA!AU39</f>
        <v>Belum Ada Indikasi</v>
      </c>
      <c r="AA41" s="1544" t="str">
        <f>DATA!AW39</f>
        <v>- usulan K/L lender:IDB.
- pihak IDB tidak berminat mendanai kegiatan ini, diusulkan kepada AIIB.
- Indikasi Lender AIIB menjadi belum ada indikasi (konfirmasi tgl 29 Jan'16)</v>
      </c>
      <c r="AB41" s="245">
        <f>DATA!AM39</f>
        <v>0</v>
      </c>
      <c r="AC41" s="1510" t="str">
        <f>DATA!AN39</f>
        <v>siap</v>
      </c>
      <c r="AD41" s="1511" t="str">
        <f>DATA!AO39</f>
        <v>dalam proses
(pelaksanaan &lt;50%)</v>
      </c>
      <c r="AE41" s="1510">
        <f>DATA!AQ39</f>
        <v>0</v>
      </c>
      <c r="AF41" s="1533" t="str">
        <f>DATA!AR39</f>
        <v>belum ada dokumen R/C</v>
      </c>
    </row>
    <row r="42" spans="1:32" ht="36" customHeight="1">
      <c r="J42" s="254"/>
      <c r="K42" s="34"/>
      <c r="L42" s="54"/>
      <c r="M42" s="36">
        <v>27</v>
      </c>
      <c r="N42" s="37" t="str">
        <f>DATA!L40</f>
        <v>Engineering Service for Water Supply Development Project</v>
      </c>
      <c r="O42" s="187">
        <f>DATA!T40</f>
        <v>0</v>
      </c>
      <c r="P42" s="187">
        <f>DATA!U40</f>
        <v>26380000</v>
      </c>
      <c r="Q42" s="1446">
        <f>DATA!V40</f>
        <v>0</v>
      </c>
      <c r="R42" s="1446">
        <f>DATA!W40</f>
        <v>0</v>
      </c>
      <c r="S42" s="2467">
        <f t="shared" si="1"/>
        <v>26380000</v>
      </c>
      <c r="T42" s="2468"/>
      <c r="U42" s="1449" t="str">
        <f>DATA!Y40</f>
        <v>ADB</v>
      </c>
      <c r="V42" s="77">
        <f>DATA!AA40</f>
        <v>26380000</v>
      </c>
      <c r="W42" s="77">
        <v>0</v>
      </c>
      <c r="X42" s="216" t="str">
        <f>DATA!Y40</f>
        <v>ADB</v>
      </c>
      <c r="Y42" s="245">
        <f>DATA!AT40</f>
        <v>26380000</v>
      </c>
      <c r="Z42" s="109" t="str">
        <f>DATA!AU40</f>
        <v>ADB</v>
      </c>
      <c r="AA42" s="1544" t="str">
        <f>DATA!AW40</f>
        <v>-</v>
      </c>
      <c r="AB42" s="245" t="str">
        <f>DATA!AM40</f>
        <v>2015; 2016</v>
      </c>
      <c r="AC42" s="1510" t="str">
        <f>DATA!AN40</f>
        <v>siap</v>
      </c>
      <c r="AD42" s="1511" t="str">
        <f>DATA!AO40</f>
        <v>tidak butuh lahan</v>
      </c>
      <c r="AE42" s="1510">
        <f>DATA!AQ40</f>
        <v>0</v>
      </c>
      <c r="AF42" s="1533" t="str">
        <f>DATA!AR40</f>
        <v>-</v>
      </c>
    </row>
    <row r="43" spans="1:32" s="5" customFormat="1" ht="39.75" customHeight="1">
      <c r="J43" s="1594"/>
      <c r="K43" s="50"/>
      <c r="L43" s="30" t="str">
        <f>DATA!I41</f>
        <v>E</v>
      </c>
      <c r="M43" s="3427" t="str">
        <f>DATA!J41</f>
        <v xml:space="preserve">Program Pembangunan Sistem Pengelolaan Air Limbah </v>
      </c>
      <c r="N43" s="3428"/>
      <c r="O43" s="197">
        <f>O44+O46+O47+O48+O52+O53+O54</f>
        <v>3583000000</v>
      </c>
      <c r="P43" s="197">
        <f>P44+P46+P47+P48+P52+P53+P54</f>
        <v>3583000000</v>
      </c>
      <c r="Q43" s="1436">
        <f>Q44+Q46+Q47+Q48+Q52+Q53+Q54</f>
        <v>175000000</v>
      </c>
      <c r="R43" s="1436">
        <f>R44+R46+R47+R48+R52+R53+R54</f>
        <v>0</v>
      </c>
      <c r="S43" s="1559">
        <f t="shared" si="1"/>
        <v>3758000000</v>
      </c>
      <c r="T43" s="2463"/>
      <c r="U43" s="198"/>
      <c r="V43" s="81">
        <f>SUM(V44:V54)</f>
        <v>3583000000</v>
      </c>
      <c r="W43" s="81">
        <f>SUM(W44:W54)</f>
        <v>0</v>
      </c>
      <c r="X43" s="214">
        <f>SUM(X44:X54)</f>
        <v>0</v>
      </c>
      <c r="Y43" s="244">
        <f>SUM(Y44:Y54)</f>
        <v>3583000000</v>
      </c>
      <c r="Z43" s="81" t="s">
        <v>21</v>
      </c>
      <c r="AA43" s="214">
        <f>SUM(AA44:AA54)</f>
        <v>0</v>
      </c>
      <c r="AB43" s="1505"/>
      <c r="AC43" s="1506"/>
      <c r="AD43" s="169"/>
      <c r="AE43" s="1507"/>
      <c r="AF43" s="1530"/>
    </row>
    <row r="44" spans="1:32" ht="36" customHeight="1">
      <c r="J44" s="254"/>
      <c r="K44" s="34"/>
      <c r="L44" s="34"/>
      <c r="M44" s="3399">
        <v>28</v>
      </c>
      <c r="N44" s="3395" t="str">
        <f>DATA!L42</f>
        <v>Community Based Sanitation Program (SANIMAS)</v>
      </c>
      <c r="O44" s="3410">
        <f>DATA!T41</f>
        <v>250000000</v>
      </c>
      <c r="P44" s="3410">
        <f>DATA!U41</f>
        <v>250000000</v>
      </c>
      <c r="Q44" s="3438">
        <f>DATA!V41</f>
        <v>12500000</v>
      </c>
      <c r="R44" s="3438">
        <f>DATA!W41</f>
        <v>0</v>
      </c>
      <c r="S44" s="3403">
        <f t="shared" si="1"/>
        <v>262500000</v>
      </c>
      <c r="T44" s="2471"/>
      <c r="U44" s="1449" t="str">
        <f>DATA!Y42</f>
        <v>ADB</v>
      </c>
      <c r="V44" s="77">
        <f>DATA!AA42</f>
        <v>125000000</v>
      </c>
      <c r="W44" s="77">
        <v>0</v>
      </c>
      <c r="X44" s="216" t="str">
        <f>DATA!Y42</f>
        <v>ADB</v>
      </c>
      <c r="Y44" s="245">
        <f>DATA!AT42</f>
        <v>125000000</v>
      </c>
      <c r="Z44" s="109" t="str">
        <f>DATA!AU42</f>
        <v>ADB</v>
      </c>
      <c r="AA44" s="1544" t="str">
        <f>DATA!AW42</f>
        <v>-</v>
      </c>
      <c r="AB44" s="1582">
        <f>DATA!AM42</f>
        <v>0</v>
      </c>
      <c r="AC44" s="3523" t="str">
        <f>DATA!AN42</f>
        <v>belum ada keterangan</v>
      </c>
      <c r="AD44" s="3515" t="str">
        <f>DATA!AO42</f>
        <v>tidak butuh lahan</v>
      </c>
      <c r="AE44" s="1545">
        <f>DATA!AQ42</f>
        <v>0</v>
      </c>
      <c r="AF44" s="1664" t="str">
        <f>DATA!AR42</f>
        <v>- untuk wilayah Timur
- belum ada dokumen R/C</v>
      </c>
    </row>
    <row r="45" spans="1:32" ht="33.75" customHeight="1">
      <c r="J45" s="254"/>
      <c r="K45" s="34"/>
      <c r="L45" s="34"/>
      <c r="M45" s="3400"/>
      <c r="N45" s="3396"/>
      <c r="O45" s="3409"/>
      <c r="P45" s="3409"/>
      <c r="Q45" s="3439"/>
      <c r="R45" s="3439"/>
      <c r="S45" s="3404"/>
      <c r="T45" s="2472"/>
      <c r="U45" s="1449" t="str">
        <f>DATA!Y43</f>
        <v>IDB</v>
      </c>
      <c r="V45" s="77">
        <f>DATA!AA43</f>
        <v>125000000</v>
      </c>
      <c r="W45" s="77">
        <v>0</v>
      </c>
      <c r="X45" s="216" t="str">
        <f>DATA!Y43</f>
        <v>IDB</v>
      </c>
      <c r="Y45" s="245">
        <f>DATA!AT43</f>
        <v>125000000</v>
      </c>
      <c r="Z45" s="109" t="str">
        <f>DATA!AU43</f>
        <v>IDB</v>
      </c>
      <c r="AA45" s="1544" t="str">
        <f>DATA!AW43</f>
        <v>-</v>
      </c>
      <c r="AB45" s="1582">
        <f>DATA!AM43</f>
        <v>0</v>
      </c>
      <c r="AC45" s="3522"/>
      <c r="AD45" s="3400"/>
      <c r="AE45" s="1545">
        <f>DATA!AQ43</f>
        <v>0</v>
      </c>
      <c r="AF45" s="1664" t="str">
        <f>DATA!AR43</f>
        <v>- untuk wilayah Barat
- belum ada dokumen R/C</v>
      </c>
    </row>
    <row r="46" spans="1:32" ht="58.5" customHeight="1">
      <c r="A46" s="10">
        <f>DATA!A44</f>
        <v>36</v>
      </c>
      <c r="B46" s="10">
        <f>DATA!B44</f>
        <v>0</v>
      </c>
      <c r="C46" s="10" t="str">
        <f>DATA!D44</f>
        <v>INFRASTRUKTUR</v>
      </c>
      <c r="D46" s="10">
        <f>DATA!E44</f>
        <v>1</v>
      </c>
      <c r="E46" s="10" t="str">
        <f>DATA!F44</f>
        <v>Kementerian Pekerjaan Umum dan Perumahan Rakyat</v>
      </c>
      <c r="F46" s="10" t="str">
        <f>DATA!H44</f>
        <v>Development of Waste Water Management Program</v>
      </c>
      <c r="G46" s="10" t="str">
        <f>DATA!I44</f>
        <v>E</v>
      </c>
      <c r="H46" s="10" t="str">
        <f>DATA!J44</f>
        <v xml:space="preserve">Program Pembangunan Sistem Pengelolaan Air Limbah </v>
      </c>
      <c r="I46" s="10">
        <f>DATA!K44</f>
        <v>2</v>
      </c>
      <c r="J46" s="254"/>
      <c r="K46" s="34"/>
      <c r="L46" s="34"/>
      <c r="M46" s="36">
        <v>29</v>
      </c>
      <c r="N46" s="37" t="str">
        <f>DATA!L44</f>
        <v>Jakarta Sewerage Development Project - Zone 1 and Zone 6</v>
      </c>
      <c r="O46" s="187">
        <f>DATA!T44</f>
        <v>1950000000</v>
      </c>
      <c r="P46" s="187">
        <f>DATA!U44</f>
        <v>1950000000</v>
      </c>
      <c r="Q46" s="1446">
        <f>DATA!V44</f>
        <v>97500000</v>
      </c>
      <c r="R46" s="1446"/>
      <c r="S46" s="2467">
        <f>P46+Q46+R46</f>
        <v>2047500000</v>
      </c>
      <c r="T46" s="2468"/>
      <c r="U46" s="1449" t="str">
        <f>DATA!Y44</f>
        <v>JICA</v>
      </c>
      <c r="V46" s="77">
        <f>DATA!AA44</f>
        <v>1950000000</v>
      </c>
      <c r="W46" s="77">
        <v>0</v>
      </c>
      <c r="X46" s="216" t="str">
        <f>DATA!Y44</f>
        <v>JICA</v>
      </c>
      <c r="Y46" s="245">
        <f>DATA!AT44</f>
        <v>1950000000</v>
      </c>
      <c r="Z46" s="109" t="str">
        <f>DATA!AU44</f>
        <v>JICA</v>
      </c>
      <c r="AA46" s="1544" t="str">
        <f>DATA!AW44</f>
        <v>-</v>
      </c>
      <c r="AB46" s="245">
        <f>DATA!AM44</f>
        <v>0</v>
      </c>
      <c r="AC46" s="1510" t="str">
        <f>DATA!AN44</f>
        <v>dalam proses
(memiliki FS)</v>
      </c>
      <c r="AD46" s="1511" t="str">
        <f>DATA!AO44</f>
        <v>dalam proses</v>
      </c>
      <c r="AE46" s="1545">
        <f>DATA!AQ44</f>
        <v>0</v>
      </c>
      <c r="AF46" s="1533" t="str">
        <f>DATA!AR44</f>
        <v>- Zona I: dalam pelaksanaan ES (tender konsultan)
- belum ada dokumen R/C</v>
      </c>
    </row>
    <row r="47" spans="1:32" ht="33.75" customHeight="1">
      <c r="A47" s="10">
        <f>DATA!A45</f>
        <v>37</v>
      </c>
      <c r="B47" s="10">
        <f>DATA!B45</f>
        <v>0</v>
      </c>
      <c r="C47" s="10" t="str">
        <f>DATA!D45</f>
        <v>INFRASTRUKTUR</v>
      </c>
      <c r="D47" s="10">
        <f>DATA!E45</f>
        <v>1</v>
      </c>
      <c r="E47" s="10" t="str">
        <f>DATA!F45</f>
        <v>Kementerian Pekerjaan Umum dan Perumahan Rakyat</v>
      </c>
      <c r="F47" s="10" t="str">
        <f>DATA!H45</f>
        <v>Development of Waste Water Management Program</v>
      </c>
      <c r="G47" s="10" t="str">
        <f>DATA!I45</f>
        <v>E</v>
      </c>
      <c r="H47" s="10" t="str">
        <f>DATA!J45</f>
        <v xml:space="preserve">Program Pembangunan Sistem Pengelolaan Air Limbah </v>
      </c>
      <c r="I47" s="10">
        <f>DATA!K45</f>
        <v>3</v>
      </c>
      <c r="J47" s="254"/>
      <c r="K47" s="34"/>
      <c r="L47" s="34"/>
      <c r="M47" s="36">
        <v>30</v>
      </c>
      <c r="N47" s="37" t="str">
        <f>DATA!L45</f>
        <v>The Development of Sewage Treatment Plant Facility in Priority Area</v>
      </c>
      <c r="O47" s="187">
        <f>DATA!T45</f>
        <v>75000000</v>
      </c>
      <c r="P47" s="187">
        <f>DATA!U45</f>
        <v>75000000</v>
      </c>
      <c r="Q47" s="1446">
        <f>DATA!V45</f>
        <v>3750000</v>
      </c>
      <c r="R47" s="1446"/>
      <c r="S47" s="2467">
        <f>P47+Q47+R47</f>
        <v>78750000</v>
      </c>
      <c r="T47" s="2468"/>
      <c r="U47" s="1449" t="str">
        <f>DATA!Y45</f>
        <v>Bank Dunia/JICA</v>
      </c>
      <c r="V47" s="77">
        <f>DATA!AA45</f>
        <v>75000000</v>
      </c>
      <c r="W47" s="77">
        <v>0</v>
      </c>
      <c r="X47" s="216" t="str">
        <f>DATA!Y45</f>
        <v>Bank Dunia/JICA</v>
      </c>
      <c r="Y47" s="245">
        <f>DATA!AT45</f>
        <v>75000000</v>
      </c>
      <c r="Z47" s="109" t="str">
        <f>DATA!AU45</f>
        <v>Bank Dunia</v>
      </c>
      <c r="AA47" s="1544" t="str">
        <f>DATA!AW45</f>
        <v xml:space="preserve">- usulan K/L lender: Bank Dunia/JICA/ADB. 
- pihak Bank Dunia berminat, ADB dan JICA tidak berminat
- dalam rencana pembiayaan Bank Dunia, kegiatan ini dijadikan satu paket dengan kegiatan "Sewerage System Development in Indonesia" </v>
      </c>
      <c r="AB47" s="245">
        <f>DATA!AM45</f>
        <v>0</v>
      </c>
      <c r="AC47" s="1510" t="str">
        <f>DATA!AN45</f>
        <v>dalam proses
(memiliki FS)</v>
      </c>
      <c r="AD47" s="1511" t="str">
        <f>DATA!AO45</f>
        <v>belum ada keterangan</v>
      </c>
      <c r="AE47" s="1545">
        <f>DATA!AQ45</f>
        <v>0</v>
      </c>
      <c r="AF47" s="1533" t="str">
        <f>DATA!AR45</f>
        <v>belum ada dokumen R/C</v>
      </c>
    </row>
    <row r="48" spans="1:32" s="9" customFormat="1" ht="41.25" customHeight="1">
      <c r="A48" s="9">
        <f>DATA!A47</f>
        <v>38</v>
      </c>
      <c r="B48" s="9">
        <f>DATA!B47</f>
        <v>0</v>
      </c>
      <c r="C48" s="9" t="str">
        <f>DATA!D47</f>
        <v>INFRASTRUKTUR</v>
      </c>
      <c r="D48" s="9">
        <f>DATA!E47</f>
        <v>1</v>
      </c>
      <c r="E48" s="9" t="str">
        <f>DATA!F47</f>
        <v>Kementerian Pekerjaan Umum dan Perumahan Rakyat</v>
      </c>
      <c r="F48" s="9" t="str">
        <f>DATA!H47</f>
        <v>Development of Waste Water Management Program</v>
      </c>
      <c r="G48" s="9" t="str">
        <f>DATA!I47</f>
        <v>E</v>
      </c>
      <c r="H48" s="9" t="str">
        <f>DATA!J47</f>
        <v xml:space="preserve">Program Pembangunan Sistem Pengelolaan Air Limbah </v>
      </c>
      <c r="I48" s="9">
        <f>DATA!K47</f>
        <v>4</v>
      </c>
      <c r="J48" s="254"/>
      <c r="K48" s="63"/>
      <c r="L48" s="63"/>
      <c r="M48" s="3453">
        <v>31</v>
      </c>
      <c r="N48" s="3457" t="str">
        <f>DATA!L47</f>
        <v>Sewerage System Development in Indonesia</v>
      </c>
      <c r="O48" s="3431">
        <f>DATA!T46</f>
        <v>975000000</v>
      </c>
      <c r="P48" s="3431">
        <f>Y48+Y49+Y50+Y51</f>
        <v>949800000</v>
      </c>
      <c r="Q48" s="3440">
        <f>DATA!V46</f>
        <v>48750000</v>
      </c>
      <c r="R48" s="3440"/>
      <c r="S48" s="3431">
        <f>P48+Q48+R48</f>
        <v>998550000</v>
      </c>
      <c r="T48" s="2473"/>
      <c r="U48" s="3486" t="str">
        <f>DATA!Y47</f>
        <v>ADB</v>
      </c>
      <c r="V48" s="3491">
        <f>DATA!AA47</f>
        <v>424800000</v>
      </c>
      <c r="W48" s="3491" t="s">
        <v>21</v>
      </c>
      <c r="X48" s="3498" t="str">
        <f>DATA!Y47</f>
        <v>ADB</v>
      </c>
      <c r="Y48" s="272">
        <f>DATA!AT47</f>
        <v>400000000</v>
      </c>
      <c r="Z48" s="273" t="str">
        <f>DATA!AU47</f>
        <v>ADB</v>
      </c>
      <c r="AA48" s="1688" t="str">
        <f>DATA!AW47</f>
        <v>- nilai kegiatan yang tercantum dalam COBP ADB sebesar USD 400 juta.
- nilai kegiatan berkurang sebesar USD 25,2 yang dialihkan untuk membiayai kegiatan ES</v>
      </c>
      <c r="AB48" s="245">
        <f>DATA!AM47</f>
        <v>0</v>
      </c>
      <c r="AC48" s="3524" t="str">
        <f>DATA!AN47</f>
        <v>belum ada keterangan</v>
      </c>
      <c r="AD48" s="3516" t="str">
        <f>DATA!AO47</f>
        <v>belum ada keterangan</v>
      </c>
      <c r="AE48" s="1545">
        <f>DATA!AQ47</f>
        <v>0</v>
      </c>
      <c r="AF48" s="3506" t="str">
        <f>DATA!AR47</f>
        <v>- nilai pinjaman berkurang sebesar USD 25,20 juta untuk kegiatan ES
- belum ada dokumen R/C</v>
      </c>
    </row>
    <row r="49" spans="1:34" s="9" customFormat="1" ht="19.5" customHeight="1">
      <c r="J49" s="254"/>
      <c r="K49" s="63"/>
      <c r="L49" s="63"/>
      <c r="M49" s="3454"/>
      <c r="N49" s="3458"/>
      <c r="O49" s="3432"/>
      <c r="P49" s="3432"/>
      <c r="Q49" s="3441"/>
      <c r="R49" s="3441"/>
      <c r="S49" s="3432"/>
      <c r="T49" s="2474"/>
      <c r="U49" s="3487"/>
      <c r="V49" s="3492"/>
      <c r="W49" s="3492"/>
      <c r="X49" s="3499"/>
      <c r="Y49" s="272">
        <f>DATA!AT50</f>
        <v>24800000</v>
      </c>
      <c r="Z49" s="273" t="str">
        <f>DATA!AU50</f>
        <v>Belum Ada Indikasi</v>
      </c>
      <c r="AA49" s="1689" t="str">
        <f>DATA!AW50</f>
        <v>co-financing dengan ADB (USD 400 juta), IDB (USD 325 juta) &amp; Bank Dunia (USD 200 juta)</v>
      </c>
      <c r="AB49" s="245">
        <f>DATA!AM50</f>
        <v>0</v>
      </c>
      <c r="AC49" s="3525"/>
      <c r="AD49" s="3517"/>
      <c r="AE49" s="1545">
        <f>DATA!AQ50</f>
        <v>0</v>
      </c>
      <c r="AF49" s="3507"/>
    </row>
    <row r="50" spans="1:34" s="9" customFormat="1" ht="12" customHeight="1">
      <c r="A50" s="9">
        <f>DATA!A48</f>
        <v>39</v>
      </c>
      <c r="B50" s="9">
        <f>DATA!B48</f>
        <v>0</v>
      </c>
      <c r="C50" s="9" t="str">
        <f>DATA!D48</f>
        <v>INFRASTRUKTUR</v>
      </c>
      <c r="D50" s="9">
        <f>DATA!E48</f>
        <v>1</v>
      </c>
      <c r="E50" s="9" t="str">
        <f>DATA!F48</f>
        <v>Kementerian Pekerjaan Umum dan Perumahan Rakyat</v>
      </c>
      <c r="F50" s="9" t="str">
        <f>DATA!H48</f>
        <v>Development of Waste Water Management Program</v>
      </c>
      <c r="G50" s="9" t="str">
        <f>DATA!I48</f>
        <v>E</v>
      </c>
      <c r="H50" s="9" t="str">
        <f>DATA!J48</f>
        <v xml:space="preserve">Program Pembangunan Sistem Pengelolaan Air Limbah </v>
      </c>
      <c r="I50" s="9">
        <f>DATA!K48</f>
        <v>4</v>
      </c>
      <c r="J50" s="254"/>
      <c r="K50" s="63"/>
      <c r="L50" s="63"/>
      <c r="M50" s="3454"/>
      <c r="N50" s="3458"/>
      <c r="O50" s="3432"/>
      <c r="P50" s="3432"/>
      <c r="Q50" s="3441"/>
      <c r="R50" s="3441"/>
      <c r="S50" s="3432"/>
      <c r="T50" s="2474"/>
      <c r="U50" s="1455" t="str">
        <f>DATA!Y48</f>
        <v>IDB</v>
      </c>
      <c r="V50" s="91">
        <f>DATA!AA48</f>
        <v>325000000</v>
      </c>
      <c r="W50" s="91">
        <v>0</v>
      </c>
      <c r="X50" s="1689" t="str">
        <f>DATA!Y48</f>
        <v>IDB</v>
      </c>
      <c r="Y50" s="272">
        <f>DATA!AT48</f>
        <v>325000000</v>
      </c>
      <c r="Z50" s="273" t="str">
        <f>DATA!AU48</f>
        <v>IDB</v>
      </c>
      <c r="AA50" s="1688" t="str">
        <f>DATA!AW48</f>
        <v>-</v>
      </c>
      <c r="AB50" s="245">
        <f>DATA!AM48</f>
        <v>0</v>
      </c>
      <c r="AC50" s="3525"/>
      <c r="AD50" s="3517"/>
      <c r="AE50" s="1545">
        <f>DATA!AQ48</f>
        <v>0</v>
      </c>
      <c r="AF50" s="3507"/>
    </row>
    <row r="51" spans="1:34" s="9" customFormat="1" ht="12" customHeight="1">
      <c r="A51" s="9">
        <f>DATA!A49</f>
        <v>40</v>
      </c>
      <c r="B51" s="9">
        <f>DATA!B49</f>
        <v>0</v>
      </c>
      <c r="C51" s="9" t="str">
        <f>DATA!D49</f>
        <v>INFRASTRUKTUR</v>
      </c>
      <c r="D51" s="9">
        <f>DATA!E49</f>
        <v>1</v>
      </c>
      <c r="E51" s="9" t="str">
        <f>DATA!F49</f>
        <v>Kementerian Pekerjaan Umum dan Perumahan Rakyat</v>
      </c>
      <c r="F51" s="9" t="str">
        <f>DATA!H49</f>
        <v>Development of Waste Water Management Program</v>
      </c>
      <c r="G51" s="9" t="str">
        <f>DATA!I49</f>
        <v>E</v>
      </c>
      <c r="H51" s="9" t="str">
        <f>DATA!J49</f>
        <v xml:space="preserve">Program Pembangunan Sistem Pengelolaan Air Limbah </v>
      </c>
      <c r="I51" s="9">
        <f>DATA!K49</f>
        <v>4</v>
      </c>
      <c r="J51" s="254"/>
      <c r="K51" s="63"/>
      <c r="L51" s="63"/>
      <c r="M51" s="3455"/>
      <c r="N51" s="3459"/>
      <c r="O51" s="3433"/>
      <c r="P51" s="3433"/>
      <c r="Q51" s="3442"/>
      <c r="R51" s="3442"/>
      <c r="S51" s="3433"/>
      <c r="T51" s="2475"/>
      <c r="U51" s="1455" t="str">
        <f>DATA!Y49</f>
        <v>Bank Dunia</v>
      </c>
      <c r="V51" s="91">
        <f>DATA!AA49</f>
        <v>200000000</v>
      </c>
      <c r="W51" s="91">
        <v>0</v>
      </c>
      <c r="X51" s="1689" t="str">
        <f>DATA!Y49</f>
        <v>Bank Dunia</v>
      </c>
      <c r="Y51" s="272">
        <f>DATA!AT49</f>
        <v>200000000</v>
      </c>
      <c r="Z51" s="273" t="str">
        <f>DATA!AU49</f>
        <v>Bank Dunia</v>
      </c>
      <c r="AA51" s="1688" t="str">
        <f>DATA!AW49</f>
        <v>-</v>
      </c>
      <c r="AB51" s="245">
        <f>DATA!AM49</f>
        <v>0</v>
      </c>
      <c r="AC51" s="3526"/>
      <c r="AD51" s="3518"/>
      <c r="AE51" s="1545">
        <f>DATA!AQ49</f>
        <v>0</v>
      </c>
      <c r="AF51" s="3508"/>
    </row>
    <row r="52" spans="1:34" ht="26.25" customHeight="1">
      <c r="A52" s="10">
        <f>DATA!A51</f>
        <v>41</v>
      </c>
      <c r="B52" s="10">
        <f>DATA!B51</f>
        <v>0</v>
      </c>
      <c r="C52" s="10" t="str">
        <f>DATA!D51</f>
        <v>INFRASTRUKTUR</v>
      </c>
      <c r="D52" s="10">
        <f>DATA!E51</f>
        <v>1</v>
      </c>
      <c r="E52" s="10" t="str">
        <f>DATA!F51</f>
        <v>Kementerian Pekerjaan Umum dan Perumahan Rakyat</v>
      </c>
      <c r="F52" s="10" t="str">
        <f>DATA!H51</f>
        <v>Development of Waste Water Management Program</v>
      </c>
      <c r="G52" s="10" t="str">
        <f>DATA!I51</f>
        <v>E</v>
      </c>
      <c r="H52" s="10" t="str">
        <f>DATA!J51</f>
        <v xml:space="preserve">Program Pembangunan Sistem Pengelolaan Air Limbah </v>
      </c>
      <c r="I52" s="10">
        <f>DATA!K51</f>
        <v>5</v>
      </c>
      <c r="J52" s="254"/>
      <c r="K52" s="34"/>
      <c r="L52" s="34"/>
      <c r="M52" s="36">
        <v>32</v>
      </c>
      <c r="N52" s="37" t="str">
        <f>DATA!L51</f>
        <v>Denpasar Sewerage Development Project - Phase III</v>
      </c>
      <c r="O52" s="187">
        <f>DATA!T51</f>
        <v>233000000</v>
      </c>
      <c r="P52" s="187">
        <f>DATA!U51</f>
        <v>233000000</v>
      </c>
      <c r="Q52" s="1446">
        <f>BB[[#This Row],[PENDAMPING BB]]</f>
        <v>5000000</v>
      </c>
      <c r="R52" s="1446"/>
      <c r="S52" s="2467">
        <f t="shared" ref="S52:S60" si="2">P52+Q52+R52</f>
        <v>238000000</v>
      </c>
      <c r="T52" s="2468"/>
      <c r="U52" s="1449" t="str">
        <f>DATA!Y51</f>
        <v>JICA</v>
      </c>
      <c r="V52" s="77">
        <f>DATA!AA51</f>
        <v>233000000</v>
      </c>
      <c r="W52" s="77">
        <v>0</v>
      </c>
      <c r="X52" s="216" t="str">
        <f>DATA!Y51</f>
        <v>JICA</v>
      </c>
      <c r="Y52" s="245">
        <f>DATA!AT51</f>
        <v>233000000</v>
      </c>
      <c r="Z52" s="109" t="str">
        <f>DATA!AU51</f>
        <v>JICA</v>
      </c>
      <c r="AA52" s="1544" t="str">
        <f>DATA!AW51</f>
        <v>-</v>
      </c>
      <c r="AB52" s="245">
        <f>DATA!AM51</f>
        <v>0</v>
      </c>
      <c r="AC52" s="1510" t="str">
        <f>DATA!AN51</f>
        <v>dalam proses
(memiliki FS)</v>
      </c>
      <c r="AD52" s="1511" t="str">
        <f>DATA!AO51</f>
        <v>belum ada keterangan</v>
      </c>
      <c r="AE52" s="1545">
        <f>DATA!AQ51</f>
        <v>0</v>
      </c>
      <c r="AF52" s="1533" t="str">
        <f>DATA!AR51</f>
        <v>Pengajuan pre-request</v>
      </c>
    </row>
    <row r="53" spans="1:34" ht="37.5" customHeight="1">
      <c r="A53" s="10">
        <f>DATA!A52</f>
        <v>42</v>
      </c>
      <c r="B53" s="10">
        <f>DATA!B52</f>
        <v>0</v>
      </c>
      <c r="C53" s="10" t="str">
        <f>DATA!D52</f>
        <v>INFRASTRUKTUR</v>
      </c>
      <c r="D53" s="10">
        <f>DATA!E52</f>
        <v>1</v>
      </c>
      <c r="E53" s="10" t="str">
        <f>DATA!F52</f>
        <v>Kementerian Pekerjaan Umum dan Perumahan Rakyat</v>
      </c>
      <c r="F53" s="10" t="str">
        <f>DATA!H52</f>
        <v>Development of Waste Water Management Program</v>
      </c>
      <c r="G53" s="10" t="str">
        <f>DATA!I52</f>
        <v>E</v>
      </c>
      <c r="H53" s="10" t="str">
        <f>DATA!J52</f>
        <v xml:space="preserve">Program Pembangunan Sistem Pengelolaan Air Limbah </v>
      </c>
      <c r="I53" s="10">
        <f>DATA!K52</f>
        <v>6</v>
      </c>
      <c r="J53" s="254"/>
      <c r="K53" s="34"/>
      <c r="L53" s="34"/>
      <c r="M53" s="36">
        <v>33</v>
      </c>
      <c r="N53" s="37" t="str">
        <f>DATA!L52</f>
        <v>The Development and Optimization of Wastewater Treatment in Greater Bandung</v>
      </c>
      <c r="O53" s="187">
        <f>DATA!T52</f>
        <v>100000000</v>
      </c>
      <c r="P53" s="187">
        <f>DATA!U52</f>
        <v>100000000</v>
      </c>
      <c r="Q53" s="1446">
        <f>BB[[#This Row],[PENDAMPING BB]]</f>
        <v>0</v>
      </c>
      <c r="R53" s="1446"/>
      <c r="S53" s="2467">
        <f t="shared" si="2"/>
        <v>100000000</v>
      </c>
      <c r="T53" s="2468"/>
      <c r="U53" s="1449" t="str">
        <f>DATA!Y52</f>
        <v>Jerman (KfW)</v>
      </c>
      <c r="V53" s="77">
        <f>DATA!AA52</f>
        <v>100000000</v>
      </c>
      <c r="W53" s="77">
        <v>0</v>
      </c>
      <c r="X53" s="216" t="str">
        <f>DATA!Y52</f>
        <v>Jerman (KfW)</v>
      </c>
      <c r="Y53" s="245">
        <f>DATA!AT52</f>
        <v>100000000</v>
      </c>
      <c r="Z53" s="109" t="str">
        <f>DATA!AU52</f>
        <v>Jerman (KfW)</v>
      </c>
      <c r="AA53" s="1544" t="str">
        <f>DATA!AW52</f>
        <v>-</v>
      </c>
      <c r="AB53" s="245">
        <f>DATA!AM52</f>
        <v>0</v>
      </c>
      <c r="AC53" s="1510" t="str">
        <f>DATA!AN52</f>
        <v>dalam proses
(penyusunan FS)</v>
      </c>
      <c r="AD53" s="1511" t="str">
        <f>DATA!AO52</f>
        <v>belum ada keterangan</v>
      </c>
      <c r="AE53" s="1545">
        <f>DATA!AQ52</f>
        <v>0</v>
      </c>
      <c r="AF53" s="1533" t="str">
        <f>DATA!AR52</f>
        <v>penyiapan dokumen R/C</v>
      </c>
    </row>
    <row r="54" spans="1:34" ht="32.25" customHeight="1">
      <c r="J54" s="254"/>
      <c r="K54" s="34"/>
      <c r="L54" s="54"/>
      <c r="M54" s="36">
        <v>34</v>
      </c>
      <c r="N54" s="56" t="str">
        <f>DATA!L53</f>
        <v>Engineering Service for Sanitation Improvement Project</v>
      </c>
      <c r="O54" s="202">
        <f>DATA!T53</f>
        <v>0</v>
      </c>
      <c r="P54" s="202">
        <f>DATA!U53</f>
        <v>25200000</v>
      </c>
      <c r="Q54" s="2476">
        <f>BB[[#This Row],[PENDAMPING BB]]</f>
        <v>7500000</v>
      </c>
      <c r="R54" s="2476"/>
      <c r="S54" s="2467">
        <f t="shared" si="2"/>
        <v>32700000</v>
      </c>
      <c r="T54" s="2468"/>
      <c r="U54" s="203" t="str">
        <f>DATA!Y53</f>
        <v>ADB</v>
      </c>
      <c r="V54" s="88">
        <f>DATA!AA53</f>
        <v>25200000</v>
      </c>
      <c r="W54" s="88">
        <v>0</v>
      </c>
      <c r="X54" s="216" t="str">
        <f>DATA!Y53</f>
        <v>ADB</v>
      </c>
      <c r="Y54" s="245">
        <f>DATA!AT53</f>
        <v>25200000</v>
      </c>
      <c r="Z54" s="109" t="str">
        <f>DATA!AU53</f>
        <v>ADB</v>
      </c>
      <c r="AA54" s="1544" t="str">
        <f>DATA!AW53</f>
        <v xml:space="preserve">pada konfirmasi K/L nilai ES sebesar USD 26,38 juta, seharusnya USD 25,2 juta. </v>
      </c>
      <c r="AB54" s="245" t="str">
        <f>DATA!AM53</f>
        <v>2015; 2016</v>
      </c>
      <c r="AC54" s="1510" t="str">
        <f>DATA!AN53</f>
        <v>siap</v>
      </c>
      <c r="AD54" s="1511" t="str">
        <f>DATA!AO53</f>
        <v>tidak butuh lahan</v>
      </c>
      <c r="AE54" s="1545">
        <f>DATA!AQ53</f>
        <v>0</v>
      </c>
      <c r="AF54" s="1533" t="str">
        <f>DATA!AR53</f>
        <v>-</v>
      </c>
    </row>
    <row r="55" spans="1:34" s="5" customFormat="1" ht="33.75" customHeight="1">
      <c r="J55" s="1594"/>
      <c r="K55" s="50"/>
      <c r="L55" s="30" t="str">
        <f>DATA!I54</f>
        <v>F</v>
      </c>
      <c r="M55" s="3427" t="str">
        <f>DATA!J54</f>
        <v xml:space="preserve">Program Pembangunan Sistem Pengelolaan Persampahan </v>
      </c>
      <c r="N55" s="3428"/>
      <c r="O55" s="197">
        <f>+O56+O57</f>
        <v>250000000</v>
      </c>
      <c r="P55" s="197">
        <f>+P56+P57</f>
        <v>250000000</v>
      </c>
      <c r="Q55" s="1436">
        <f>+Q56+Q57</f>
        <v>12500000</v>
      </c>
      <c r="R55" s="1436">
        <f>+R56+R57</f>
        <v>0</v>
      </c>
      <c r="S55" s="1559">
        <f t="shared" si="2"/>
        <v>262500000</v>
      </c>
      <c r="T55" s="2463"/>
      <c r="U55" s="198"/>
      <c r="V55" s="81">
        <f>+V56+V57</f>
        <v>250000000</v>
      </c>
      <c r="W55" s="81">
        <f>+W56+W57</f>
        <v>0</v>
      </c>
      <c r="X55" s="214"/>
      <c r="Y55" s="244">
        <f>+Y56+Y57</f>
        <v>250000000</v>
      </c>
      <c r="Z55" s="81" t="s">
        <v>21</v>
      </c>
      <c r="AA55" s="214"/>
      <c r="AB55" s="1505"/>
      <c r="AC55" s="1506"/>
      <c r="AD55" s="169"/>
      <c r="AE55" s="1507"/>
      <c r="AF55" s="1530"/>
    </row>
    <row r="56" spans="1:34" ht="37.5" customHeight="1">
      <c r="A56" s="10">
        <f>DATA!A54</f>
        <v>43</v>
      </c>
      <c r="B56" s="10">
        <f>DATA!B54</f>
        <v>0</v>
      </c>
      <c r="C56" s="10" t="str">
        <f>DATA!D54</f>
        <v>INFRASTRUKTUR</v>
      </c>
      <c r="D56" s="10">
        <f>DATA!E54</f>
        <v>1</v>
      </c>
      <c r="E56" s="10" t="str">
        <f>DATA!F54</f>
        <v>Kementerian Pekerjaan Umum dan Perumahan Rakyat</v>
      </c>
      <c r="F56" s="10" t="str">
        <f>DATA!H54</f>
        <v>Development of Solid Waste Management Program</v>
      </c>
      <c r="G56" s="10" t="str">
        <f>DATA!I54</f>
        <v>F</v>
      </c>
      <c r="H56" s="10" t="str">
        <f>DATA!J54</f>
        <v xml:space="preserve">Program Pembangunan Sistem Pengelolaan Persampahan </v>
      </c>
      <c r="I56" s="10">
        <f>DATA!K54</f>
        <v>1</v>
      </c>
      <c r="J56" s="254"/>
      <c r="K56" s="34"/>
      <c r="L56" s="35"/>
      <c r="M56" s="36">
        <v>35</v>
      </c>
      <c r="N56" s="37" t="str">
        <f>DATA!L54</f>
        <v xml:space="preserve">Advanced Solid Waste Management for Sustainable Urban Development (Advance SWM-SUD) </v>
      </c>
      <c r="O56" s="187">
        <f>DATA!T54</f>
        <v>150000000</v>
      </c>
      <c r="P56" s="187">
        <f>DATA!U54</f>
        <v>150000000</v>
      </c>
      <c r="Q56" s="1446">
        <f>DATA!V54</f>
        <v>7500000</v>
      </c>
      <c r="R56" s="1446">
        <f>DATA!W54</f>
        <v>0</v>
      </c>
      <c r="S56" s="2467">
        <f t="shared" si="2"/>
        <v>157500000</v>
      </c>
      <c r="T56" s="2468"/>
      <c r="U56" s="1449" t="str">
        <f>DATA!Y54</f>
        <v>Jerman (KfW)</v>
      </c>
      <c r="V56" s="77">
        <f>DATA!AA54</f>
        <v>150000000</v>
      </c>
      <c r="W56" s="77">
        <v>0</v>
      </c>
      <c r="X56" s="216" t="str">
        <f>DATA!Y54</f>
        <v>Jerman (KfW)</v>
      </c>
      <c r="Y56" s="245">
        <f>DATA!AT54</f>
        <v>150000000</v>
      </c>
      <c r="Z56" s="109" t="str">
        <f>DATA!AU54</f>
        <v>Jerman (KfW)</v>
      </c>
      <c r="AA56" s="1544" t="str">
        <f>DATA!AW54</f>
        <v>-</v>
      </c>
      <c r="AB56" s="245">
        <f>DATA!AM54</f>
        <v>0</v>
      </c>
      <c r="AC56" s="1510" t="str">
        <f>DATA!AN54</f>
        <v>dalam proses
(penyusunan FS)</v>
      </c>
      <c r="AD56" s="1511" t="str">
        <f>DATA!AO54</f>
        <v>belum ada keterangan</v>
      </c>
      <c r="AE56" s="1545">
        <f>DATA!AQ54</f>
        <v>0</v>
      </c>
      <c r="AF56" s="1533" t="str">
        <f>DATA!AR54</f>
        <v>belum ada dokumen R/C</v>
      </c>
    </row>
    <row r="57" spans="1:34" ht="40.5" customHeight="1">
      <c r="A57" s="10">
        <f>DATA!A55</f>
        <v>44</v>
      </c>
      <c r="B57" s="10">
        <f>DATA!B55</f>
        <v>0</v>
      </c>
      <c r="C57" s="10" t="str">
        <f>DATA!D55</f>
        <v>INFRASTRUKTUR</v>
      </c>
      <c r="D57" s="10">
        <f>DATA!E55</f>
        <v>1</v>
      </c>
      <c r="E57" s="10" t="str">
        <f>DATA!F55</f>
        <v>Kementerian Pekerjaan Umum dan Perumahan Rakyat</v>
      </c>
      <c r="F57" s="10" t="str">
        <f>DATA!H55</f>
        <v>Development of Solid Waste Management Program</v>
      </c>
      <c r="G57" s="10" t="str">
        <f>DATA!I55</f>
        <v>F</v>
      </c>
      <c r="H57" s="10" t="str">
        <f>DATA!J55</f>
        <v xml:space="preserve">Program Pembangunan Sistem Pengelolaan Persampahan </v>
      </c>
      <c r="I57" s="10">
        <f>DATA!K55</f>
        <v>2</v>
      </c>
      <c r="J57" s="254"/>
      <c r="K57" s="34"/>
      <c r="L57" s="54"/>
      <c r="M57" s="36">
        <v>36</v>
      </c>
      <c r="N57" s="37" t="str">
        <f>DATA!L55</f>
        <v>The Improvement of Solid Waste Management to Support Regional Area and Metropolitan Cities</v>
      </c>
      <c r="O57" s="187">
        <f>DATA!T55</f>
        <v>100000000</v>
      </c>
      <c r="P57" s="187">
        <f>DATA!U55</f>
        <v>100000000</v>
      </c>
      <c r="Q57" s="1446">
        <f>DATA!V55</f>
        <v>5000000</v>
      </c>
      <c r="R57" s="1446">
        <f>DATA!W55</f>
        <v>0</v>
      </c>
      <c r="S57" s="2467">
        <f t="shared" si="2"/>
        <v>105000000</v>
      </c>
      <c r="T57" s="2468"/>
      <c r="U57" s="1449" t="str">
        <f>DATA!Y55</f>
        <v>Bank Dunia</v>
      </c>
      <c r="V57" s="77">
        <f>DATA!AA55</f>
        <v>100000000</v>
      </c>
      <c r="W57" s="77">
        <v>0</v>
      </c>
      <c r="X57" s="216" t="str">
        <f>DATA!Y55</f>
        <v>Bank Dunia</v>
      </c>
      <c r="Y57" s="245">
        <f>DATA!AT55</f>
        <v>100000000</v>
      </c>
      <c r="Z57" s="109" t="str">
        <f>DATA!AU55</f>
        <v>Bank Dunia</v>
      </c>
      <c r="AA57" s="1544" t="str">
        <f>DATA!AW55</f>
        <v>-</v>
      </c>
      <c r="AB57" s="245">
        <f>DATA!AM55</f>
        <v>0</v>
      </c>
      <c r="AC57" s="1510" t="str">
        <f>DATA!AN55</f>
        <v>dalam proses
(memiliki FS)</v>
      </c>
      <c r="AD57" s="1511" t="str">
        <f>DATA!AO55</f>
        <v>dalam proses
(persiapan)</v>
      </c>
      <c r="AE57" s="1545">
        <f>DATA!AQ55</f>
        <v>0</v>
      </c>
      <c r="AF57" s="1533" t="str">
        <f>DATA!AR55</f>
        <v>- karena DED dalam proses finalisasi, maka diasumsikan memiliki FS.
- Dokumen penyiapan: sedang cari tambahan lokasi
- Siap hanya Balikpapan&amp;Tangerang (USD 40 juta)
- belum ada dokumen R/C</v>
      </c>
    </row>
    <row r="58" spans="1:34" s="5" customFormat="1" ht="33.75" customHeight="1">
      <c r="J58" s="1594"/>
      <c r="K58" s="50"/>
      <c r="L58" s="30" t="str">
        <f>DATA!I56</f>
        <v>G</v>
      </c>
      <c r="M58" s="31" t="str">
        <f>DATA!J56</f>
        <v>Program Penanganan Kumuh</v>
      </c>
      <c r="N58" s="51"/>
      <c r="O58" s="197">
        <f>O59+O60+O63+O64</f>
        <v>3284980000</v>
      </c>
      <c r="P58" s="197">
        <f>P59+P60+P63+P64</f>
        <v>3284980000</v>
      </c>
      <c r="Q58" s="1567">
        <f>Q59+Q60+Q63+Q64</f>
        <v>180737000</v>
      </c>
      <c r="R58" s="1567">
        <f>R59+R60+R63+R64</f>
        <v>0</v>
      </c>
      <c r="S58" s="1559">
        <f t="shared" si="2"/>
        <v>3465717000</v>
      </c>
      <c r="T58" s="2463"/>
      <c r="U58" s="198"/>
      <c r="V58" s="81">
        <f>V59+V62+V60+V63+V64</f>
        <v>3068480000</v>
      </c>
      <c r="W58" s="81">
        <f>W59+W62+W60+W63+W64</f>
        <v>0</v>
      </c>
      <c r="X58" s="214"/>
      <c r="Y58" s="244">
        <f>Y59+Y61+Y60+Y62+Y63+Y64</f>
        <v>3284980000</v>
      </c>
      <c r="Z58" s="81" t="s">
        <v>21</v>
      </c>
      <c r="AA58" s="214"/>
      <c r="AB58" s="1505"/>
      <c r="AC58" s="1506"/>
      <c r="AD58" s="169"/>
      <c r="AE58" s="1507"/>
      <c r="AF58" s="1530"/>
    </row>
    <row r="59" spans="1:34" ht="36.75" customHeight="1">
      <c r="A59" s="10">
        <f>DATA!A56</f>
        <v>45</v>
      </c>
      <c r="B59" s="10">
        <f>DATA!B56</f>
        <v>0</v>
      </c>
      <c r="C59" s="10" t="str">
        <f>DATA!D56</f>
        <v>INFRASTRUKTUR</v>
      </c>
      <c r="D59" s="10">
        <f>DATA!E56</f>
        <v>1</v>
      </c>
      <c r="E59" s="10" t="str">
        <f>DATA!F56</f>
        <v>Kementerian Pekerjaan Umum dan Perumahan Rakyat</v>
      </c>
      <c r="F59" s="10" t="str">
        <f>DATA!H56</f>
        <v>Slum Alleviation Program</v>
      </c>
      <c r="G59" s="10" t="str">
        <f>DATA!I56</f>
        <v>G</v>
      </c>
      <c r="H59" s="10" t="str">
        <f>DATA!J56</f>
        <v>Program Penanganan Kumuh</v>
      </c>
      <c r="I59" s="10">
        <f>DATA!K56</f>
        <v>1</v>
      </c>
      <c r="J59" s="254"/>
      <c r="K59" s="34"/>
      <c r="L59" s="35"/>
      <c r="M59" s="36">
        <v>37</v>
      </c>
      <c r="N59" s="37" t="str">
        <f>DATA!L56</f>
        <v>Slum Improvement in Strategic Human Settlements Area (SISHA)</v>
      </c>
      <c r="O59" s="187">
        <f>DATA!T56</f>
        <v>2100000000</v>
      </c>
      <c r="P59" s="187">
        <f>DATA!U56</f>
        <v>2100000000</v>
      </c>
      <c r="Q59" s="1446">
        <f>DATA!V56</f>
        <v>105000000</v>
      </c>
      <c r="R59" s="1446">
        <f>DATA!W56</f>
        <v>0</v>
      </c>
      <c r="S59" s="2467">
        <f t="shared" si="2"/>
        <v>2205000000</v>
      </c>
      <c r="T59" s="2468"/>
      <c r="U59" s="1509" t="str">
        <f>DATA!Y56</f>
        <v>Bank Dunia/JICA/ADB</v>
      </c>
      <c r="V59" s="77">
        <f>DATA!AA56</f>
        <v>2100000000</v>
      </c>
      <c r="W59" s="77">
        <v>0</v>
      </c>
      <c r="X59" s="216" t="str">
        <f>DATA!Y56</f>
        <v>Bank Dunia/JICA/ADB</v>
      </c>
      <c r="Y59" s="245">
        <f>DATA!AT56</f>
        <v>2100000000</v>
      </c>
      <c r="Z59" s="109" t="str">
        <f>DATA!AU56</f>
        <v>Belum Ada Indikasi</v>
      </c>
      <c r="AA59" s="1544" t="str">
        <f>DATA!AW56</f>
        <v xml:space="preserve">- usulan K/L lender: Bank Dunia/JICA/ADB.
- Pihak Bank Dunia, ADB dan JICA tidak berminat. </v>
      </c>
      <c r="AB59" s="245">
        <f>DATA!AM56</f>
        <v>0</v>
      </c>
      <c r="AC59" s="1510" t="str">
        <f>DATA!AN56</f>
        <v>dalam proses
(penyusunan FS)</v>
      </c>
      <c r="AD59" s="1511" t="str">
        <f>DATA!AO56</f>
        <v>dalam proses
(perencanaan)</v>
      </c>
      <c r="AE59" s="1545">
        <f>DATA!AQ56</f>
        <v>0</v>
      </c>
      <c r="AF59" s="1533" t="str">
        <f>DATA!AP56</f>
        <v>belum ada proses tender/lelang</v>
      </c>
    </row>
    <row r="60" spans="1:34" ht="127.5">
      <c r="A60" s="10">
        <f>DATA!A59</f>
        <v>47</v>
      </c>
      <c r="B60" s="10">
        <f>DATA!B59</f>
        <v>0</v>
      </c>
      <c r="C60" s="10" t="str">
        <f>DATA!D59</f>
        <v>INFRASTRUKTUR</v>
      </c>
      <c r="D60" s="10">
        <f>DATA!E59</f>
        <v>1</v>
      </c>
      <c r="E60" s="10" t="str">
        <f>DATA!F59</f>
        <v>Kementerian Pekerjaan Umum dan Perumahan Rakyat</v>
      </c>
      <c r="F60" s="10" t="str">
        <f>DATA!H59</f>
        <v>Slum Alleviation Program</v>
      </c>
      <c r="G60" s="10" t="str">
        <f>DATA!I59</f>
        <v>G</v>
      </c>
      <c r="H60" s="10" t="str">
        <f>DATA!J59</f>
        <v>Program Penanganan Kumuh</v>
      </c>
      <c r="I60" s="10">
        <f>DATA!K59</f>
        <v>2</v>
      </c>
      <c r="J60" s="254"/>
      <c r="K60" s="34"/>
      <c r="L60" s="34"/>
      <c r="M60" s="3399">
        <v>38</v>
      </c>
      <c r="N60" s="3460" t="str">
        <f>DATA!L59</f>
        <v>National Slum Upgrading</v>
      </c>
      <c r="O60" s="3411">
        <v>722880000</v>
      </c>
      <c r="P60" s="3411">
        <v>722880000</v>
      </c>
      <c r="Q60" s="3443">
        <f>DATA!V57</f>
        <v>52632000</v>
      </c>
      <c r="R60" s="3443">
        <f>DATA!W57</f>
        <v>0</v>
      </c>
      <c r="S60" s="3403">
        <f t="shared" si="2"/>
        <v>775512000</v>
      </c>
      <c r="T60" s="2471"/>
      <c r="U60" s="3488" t="str">
        <f>DATA!Y59</f>
        <v>Bank Dunia</v>
      </c>
      <c r="V60" s="1458">
        <f>DATA!AA59</f>
        <v>216500000</v>
      </c>
      <c r="W60" s="1458">
        <v>0</v>
      </c>
      <c r="X60" s="218" t="str">
        <f>DATA!Y59</f>
        <v>Bank Dunia</v>
      </c>
      <c r="Y60" s="245">
        <f>DATA!AT59</f>
        <v>216500000</v>
      </c>
      <c r="Z60" s="109" t="str">
        <f>DATA!AU59</f>
        <v>Bank Dunia</v>
      </c>
      <c r="AA60" s="1544" t="str">
        <f>DATA!AW59</f>
        <v>- Berdasarkan surat Menteri Keuangan no. S-409/MK.08/2016 tgl 25 Mei '16
'- Bank Dunia berminat sebesar USD 433 juta.
- Ada informasi dari hasil rapat dengan K/L, bahwa nilai proyek turun menjadi USD 700 juta-an (pendanaan IDB dan Bank Dunia).</v>
      </c>
      <c r="AB60" s="1625">
        <f>DATA!AM59</f>
        <v>2016</v>
      </c>
      <c r="AC60" s="1510" t="str">
        <f>DATA!AN59</f>
        <v>dalam proses
(penyusunan FS)</v>
      </c>
      <c r="AD60" s="1511" t="str">
        <f>DATA!AO59</f>
        <v>tidak butuh lahan</v>
      </c>
      <c r="AE60" s="1545">
        <f>DATA!AQ59</f>
        <v>0</v>
      </c>
      <c r="AF60" s="1533" t="str">
        <f>DATA!AP59</f>
        <v>belum ada proses tender/lelang</v>
      </c>
      <c r="AH60" s="174">
        <f>Y60/2</f>
        <v>108250000</v>
      </c>
    </row>
    <row r="61" spans="1:34" ht="25.5">
      <c r="J61" s="254"/>
      <c r="K61" s="34"/>
      <c r="L61" s="34"/>
      <c r="M61" s="3401"/>
      <c r="N61" s="3461"/>
      <c r="O61" s="3412"/>
      <c r="P61" s="3412"/>
      <c r="Q61" s="3444"/>
      <c r="R61" s="3444"/>
      <c r="S61" s="3405"/>
      <c r="T61" s="2477"/>
      <c r="U61" s="3489"/>
      <c r="V61" s="1458"/>
      <c r="W61" s="1458"/>
      <c r="X61" s="218"/>
      <c r="Y61" s="2479">
        <f>DATA!AT60</f>
        <v>216500000</v>
      </c>
      <c r="Z61" s="109" t="str">
        <f>DATA!AU60</f>
        <v>AIIB</v>
      </c>
      <c r="AA61" s="1544" t="str">
        <f>DATA!AW60</f>
        <v>co-financing dgn Bank Dunia (USD 216,5 juta)</v>
      </c>
      <c r="AB61" s="2480" t="str">
        <f>DATA!AM60</f>
        <v>-</v>
      </c>
      <c r="AC61" s="2481" t="str">
        <f>DATA!AN60</f>
        <v>dalam proses
(penyusunan FS)</v>
      </c>
      <c r="AD61" s="2481" t="str">
        <f>DATA!AO60</f>
        <v>tidak butuh lahan</v>
      </c>
      <c r="AE61" s="2481" t="str">
        <f>DATA!AP60</f>
        <v>belum ada proses tender/lelang</v>
      </c>
      <c r="AF61" s="248" t="str">
        <f>DATA!AP60</f>
        <v>belum ada proses tender/lelang</v>
      </c>
      <c r="AH61" s="174"/>
    </row>
    <row r="62" spans="1:34" ht="23.25" customHeight="1">
      <c r="J62" s="254"/>
      <c r="K62" s="34"/>
      <c r="L62" s="34"/>
      <c r="M62" s="3402"/>
      <c r="N62" s="3462"/>
      <c r="O62" s="3413"/>
      <c r="P62" s="3413"/>
      <c r="Q62" s="3445"/>
      <c r="R62" s="3445"/>
      <c r="S62" s="3404"/>
      <c r="T62" s="2472"/>
      <c r="U62" s="3490"/>
      <c r="V62" s="1458">
        <f>DATA!AA61</f>
        <v>289880000</v>
      </c>
      <c r="W62" s="1458">
        <v>0</v>
      </c>
      <c r="X62" s="218" t="str">
        <f>DATA!Y61</f>
        <v>Belum Ada Indikasi</v>
      </c>
      <c r="Y62" s="245">
        <f>DATA!AT61</f>
        <v>289880000</v>
      </c>
      <c r="Z62" s="109" t="str">
        <f>DATA!AU61</f>
        <v>Belum Ada Indikasi</v>
      </c>
      <c r="AA62" s="1520" t="str">
        <f>DATA!AW61</f>
        <v>co-financing dengan IDB (USD 329,7 juta), Bank Dunia (USD 216,5 juta) &amp; AIIB (USD 216,5 juta)</v>
      </c>
      <c r="AB62" s="245" t="str">
        <f>DATA!AM61</f>
        <v>-</v>
      </c>
      <c r="AC62" s="1510" t="str">
        <f>DATA!AN61</f>
        <v>belum ada keterangan</v>
      </c>
      <c r="AD62" s="1511" t="str">
        <f>DATA!AO61</f>
        <v>belum ada keterangan</v>
      </c>
      <c r="AE62" s="1545">
        <f>DATA!AQ61</f>
        <v>0</v>
      </c>
      <c r="AF62" s="1533" t="str">
        <f>DATA!AP61</f>
        <v>belum ada proses tender/lelang</v>
      </c>
    </row>
    <row r="63" spans="1:34" ht="27" customHeight="1">
      <c r="A63" s="10">
        <f>DATA!A62</f>
        <v>48</v>
      </c>
      <c r="B63" s="10">
        <f>DATA!B62</f>
        <v>0</v>
      </c>
      <c r="C63" s="10" t="str">
        <f>DATA!D62</f>
        <v>INFRASTRUKTUR</v>
      </c>
      <c r="D63" s="10">
        <f>DATA!E62</f>
        <v>1</v>
      </c>
      <c r="E63" s="10" t="str">
        <f>DATA!F62</f>
        <v>Kementerian Pekerjaan Umum dan Perumahan Rakyat</v>
      </c>
      <c r="F63" s="10" t="str">
        <f>DATA!H62</f>
        <v>Slum Alleviation Program</v>
      </c>
      <c r="G63" s="10" t="str">
        <f>DATA!I62</f>
        <v>G</v>
      </c>
      <c r="H63" s="10" t="str">
        <f>DATA!J62</f>
        <v>Program Penanganan Kumuh</v>
      </c>
      <c r="I63" s="10">
        <f>DATA!K62</f>
        <v>3</v>
      </c>
      <c r="J63" s="254"/>
      <c r="K63" s="34"/>
      <c r="L63" s="34"/>
      <c r="M63" s="36">
        <v>39</v>
      </c>
      <c r="N63" s="37" t="str">
        <f>DATA!L62</f>
        <v>Rural Settlement Infrastructure Development (RSID)</v>
      </c>
      <c r="O63" s="187">
        <f>DATA!T62</f>
        <v>201000000</v>
      </c>
      <c r="P63" s="187">
        <f>DATA!U62</f>
        <v>201000000</v>
      </c>
      <c r="Q63" s="1453">
        <f>DATA!V62</f>
        <v>10050000</v>
      </c>
      <c r="R63" s="1453">
        <f>DATA!W62</f>
        <v>0</v>
      </c>
      <c r="S63" s="2467">
        <f t="shared" ref="S63:S68" si="3">P63+Q63+R63</f>
        <v>211050000</v>
      </c>
      <c r="T63" s="2468"/>
      <c r="U63" s="1449" t="str">
        <f>DATA!Y62</f>
        <v>JICA</v>
      </c>
      <c r="V63" s="77">
        <f>DATA!AA62</f>
        <v>201000000</v>
      </c>
      <c r="W63" s="77">
        <v>0</v>
      </c>
      <c r="X63" s="216" t="str">
        <f>DATA!Y62</f>
        <v>JICA</v>
      </c>
      <c r="Y63" s="245">
        <f>DATA!AT62</f>
        <v>201000000</v>
      </c>
      <c r="Z63" s="109" t="str">
        <f>DATA!AU62</f>
        <v>JICA</v>
      </c>
      <c r="AA63" s="1544" t="str">
        <f>DATA!AW62</f>
        <v>-</v>
      </c>
      <c r="AB63" s="245">
        <f>DATA!AM62</f>
        <v>0</v>
      </c>
      <c r="AC63" s="1510" t="str">
        <f>DATA!AN62</f>
        <v>dalam proses
(penyusunan FS)</v>
      </c>
      <c r="AD63" s="1511" t="str">
        <f>DATA!AO62</f>
        <v>dalam proses
(perencanaan)</v>
      </c>
      <c r="AE63" s="1545">
        <f>DATA!AQ62</f>
        <v>0</v>
      </c>
      <c r="AF63" s="1533" t="str">
        <f>DATA!AR62</f>
        <v>belum ada dokumen R/C</v>
      </c>
    </row>
    <row r="64" spans="1:34" ht="35.25" customHeight="1">
      <c r="A64" s="10">
        <f>DATA!A63</f>
        <v>49</v>
      </c>
      <c r="B64" s="10">
        <f>DATA!B63</f>
        <v>0</v>
      </c>
      <c r="C64" s="10" t="str">
        <f>DATA!D63</f>
        <v>INFRASTRUKTUR</v>
      </c>
      <c r="D64" s="10">
        <f>DATA!E63</f>
        <v>1</v>
      </c>
      <c r="E64" s="10" t="str">
        <f>DATA!F63</f>
        <v>Kementerian Pekerjaan Umum dan Perumahan Rakyat</v>
      </c>
      <c r="F64" s="10" t="str">
        <f>DATA!H63</f>
        <v>Slum Alleviation Program</v>
      </c>
      <c r="G64" s="10" t="str">
        <f>DATA!I63</f>
        <v>G</v>
      </c>
      <c r="H64" s="10" t="str">
        <f>DATA!J63</f>
        <v>Program Penanganan Kumuh</v>
      </c>
      <c r="I64" s="10">
        <f>DATA!K63</f>
        <v>4</v>
      </c>
      <c r="J64" s="254"/>
      <c r="K64" s="34"/>
      <c r="L64" s="54"/>
      <c r="M64" s="36">
        <v>40</v>
      </c>
      <c r="N64" s="37" t="str">
        <f>DATA!L63</f>
        <v>Building Administration and Capacity Enforcement Development for Seismic Resilience</v>
      </c>
      <c r="O64" s="187">
        <f>DATA!T63</f>
        <v>261100000</v>
      </c>
      <c r="P64" s="187">
        <f>DATA!U63</f>
        <v>261100000</v>
      </c>
      <c r="Q64" s="1453">
        <f>DATA!V63</f>
        <v>13055000</v>
      </c>
      <c r="R64" s="1453">
        <f>DATA!W63</f>
        <v>0</v>
      </c>
      <c r="S64" s="2467">
        <f t="shared" si="3"/>
        <v>274155000</v>
      </c>
      <c r="T64" s="2468"/>
      <c r="U64" s="1449" t="str">
        <f>DATA!Y63</f>
        <v>JICA</v>
      </c>
      <c r="V64" s="77">
        <f>DATA!AA63</f>
        <v>261100000</v>
      </c>
      <c r="W64" s="77">
        <v>0</v>
      </c>
      <c r="X64" s="216" t="str">
        <f>DATA!Y63</f>
        <v>JICA</v>
      </c>
      <c r="Y64" s="245">
        <f>DATA!AT63</f>
        <v>261100000</v>
      </c>
      <c r="Z64" s="109" t="str">
        <f>DATA!AU63</f>
        <v>JICA</v>
      </c>
      <c r="AA64" s="1544" t="str">
        <f>DATA!AW63</f>
        <v>-</v>
      </c>
      <c r="AB64" s="245">
        <f>DATA!AM63</f>
        <v>0</v>
      </c>
      <c r="AC64" s="1510" t="str">
        <f>DATA!AN63</f>
        <v>dalam proses
(penyusunan FS)</v>
      </c>
      <c r="AD64" s="1511" t="str">
        <f>DATA!AO63</f>
        <v>tidak butuh lahan</v>
      </c>
      <c r="AE64" s="1545">
        <f>DATA!AQ63</f>
        <v>0</v>
      </c>
      <c r="AF64" s="1533" t="str">
        <f>DATA!AR63</f>
        <v>belum ada dokumen R/C</v>
      </c>
    </row>
    <row r="65" spans="1:32" ht="33.75" customHeight="1">
      <c r="J65" s="254"/>
      <c r="K65" s="34"/>
      <c r="L65" s="30" t="s">
        <v>161</v>
      </c>
      <c r="M65" s="31" t="s">
        <v>750</v>
      </c>
      <c r="N65" s="51"/>
      <c r="O65" s="2482">
        <f>O66</f>
        <v>0</v>
      </c>
      <c r="P65" s="197">
        <f>P66</f>
        <v>225000000</v>
      </c>
      <c r="Q65" s="1436">
        <f>Q66</f>
        <v>25000000</v>
      </c>
      <c r="R65" s="1436">
        <f>R66</f>
        <v>0</v>
      </c>
      <c r="S65" s="1559">
        <f t="shared" si="3"/>
        <v>250000000</v>
      </c>
      <c r="T65" s="2463"/>
      <c r="U65" s="198"/>
      <c r="V65" s="81">
        <f>V66</f>
        <v>0</v>
      </c>
      <c r="W65" s="81">
        <f>W66</f>
        <v>225000000</v>
      </c>
      <c r="X65" s="214"/>
      <c r="Y65" s="244">
        <f>Y66</f>
        <v>225000000</v>
      </c>
      <c r="Z65" s="81" t="s">
        <v>21</v>
      </c>
      <c r="AA65" s="214"/>
      <c r="AB65" s="1505"/>
      <c r="AC65" s="1506"/>
      <c r="AD65" s="169"/>
      <c r="AE65" s="1507"/>
      <c r="AF65" s="1530"/>
    </row>
    <row r="66" spans="1:32" ht="30" customHeight="1">
      <c r="J66" s="254"/>
      <c r="K66" s="34"/>
      <c r="L66" s="54"/>
      <c r="M66" s="36">
        <v>41</v>
      </c>
      <c r="N66" s="37" t="str">
        <f>DATA!L64</f>
        <v>National Urban Development Project</v>
      </c>
      <c r="O66" s="1669">
        <f>DATA!T64</f>
        <v>0</v>
      </c>
      <c r="P66" s="1669">
        <f>DATA!U64</f>
        <v>225000000</v>
      </c>
      <c r="Q66" s="1669">
        <f>DATA!V64</f>
        <v>25000000</v>
      </c>
      <c r="R66" s="1669">
        <f>DATA!W64</f>
        <v>0</v>
      </c>
      <c r="S66" s="2467">
        <f t="shared" si="3"/>
        <v>250000000</v>
      </c>
      <c r="T66" s="2468"/>
      <c r="U66" s="1449"/>
      <c r="V66" s="77">
        <v>0</v>
      </c>
      <c r="W66" s="77">
        <f>DATA!AA64</f>
        <v>225000000</v>
      </c>
      <c r="X66" s="216" t="str">
        <f>DATA!Y64</f>
        <v>Belum Ada Indikasi</v>
      </c>
      <c r="Y66" s="245">
        <f>DATA!AT64</f>
        <v>225000000</v>
      </c>
      <c r="Z66" s="1509" t="str">
        <f>DATA!AU64</f>
        <v>Belum Ada Indikasi</v>
      </c>
      <c r="AA66" s="1544">
        <f>DATA!AW64</f>
        <v>0</v>
      </c>
      <c r="AB66" s="245">
        <f>DATA!AM64</f>
        <v>0</v>
      </c>
      <c r="AC66" s="1510" t="str">
        <f>DATA!AN64</f>
        <v>belum ada keterangan</v>
      </c>
      <c r="AD66" s="1511" t="str">
        <f>DATA!AO64</f>
        <v>belum ada keterangan</v>
      </c>
      <c r="AE66" s="1545">
        <f>DATA!AQ64</f>
        <v>0</v>
      </c>
      <c r="AF66" s="1533" t="str">
        <f>DATA!AR64</f>
        <v>belum ada dokumen R/C</v>
      </c>
    </row>
    <row r="67" spans="1:32" s="5" customFormat="1" ht="33.75" customHeight="1">
      <c r="J67" s="1594"/>
      <c r="K67" s="50"/>
      <c r="L67" s="30" t="s">
        <v>185</v>
      </c>
      <c r="M67" s="31" t="str">
        <f>DATA!J67</f>
        <v>Program Pengembangan dan Pengelolaan Irigasi</v>
      </c>
      <c r="N67" s="51"/>
      <c r="O67" s="197">
        <f>O68+O70+O72+O73+O74+O75+O76+O77+O78+O79+O80</f>
        <v>3257531000</v>
      </c>
      <c r="P67" s="197">
        <f>P68+P70+P72+P73+P74+P75+P77+P78+P79+P80+P76</f>
        <v>3257531000</v>
      </c>
      <c r="Q67" s="1436">
        <f>Q68+Q70+Q72+Q73+Q74+Q75+Q77+Q78+Q79+Q80+Q76</f>
        <v>345159500</v>
      </c>
      <c r="R67" s="1436">
        <f>R68+R70+R72+R73+R74+R75+R77+R78+R79+R80+R76</f>
        <v>0</v>
      </c>
      <c r="S67" s="1559">
        <f t="shared" si="3"/>
        <v>3602690500</v>
      </c>
      <c r="T67" s="2463"/>
      <c r="U67" s="198"/>
      <c r="V67" s="81">
        <f t="shared" ref="V67:AA67" si="4">SUM(V68:V80)</f>
        <v>3257531000</v>
      </c>
      <c r="W67" s="81">
        <f t="shared" si="4"/>
        <v>0</v>
      </c>
      <c r="X67" s="214">
        <f t="shared" si="4"/>
        <v>0</v>
      </c>
      <c r="Y67" s="244">
        <f t="shared" si="4"/>
        <v>3257531000</v>
      </c>
      <c r="Z67" s="81">
        <f t="shared" si="4"/>
        <v>0</v>
      </c>
      <c r="AA67" s="214">
        <f t="shared" si="4"/>
        <v>0</v>
      </c>
      <c r="AB67" s="1505"/>
      <c r="AC67" s="1506"/>
      <c r="AD67" s="169"/>
      <c r="AE67" s="1507"/>
      <c r="AF67" s="1530"/>
    </row>
    <row r="68" spans="1:32" ht="17.25" customHeight="1">
      <c r="A68" s="10">
        <f>DATA!A67</f>
        <v>51</v>
      </c>
      <c r="B68" s="10">
        <f>DATA!B67</f>
        <v>0</v>
      </c>
      <c r="C68" s="10" t="str">
        <f>DATA!D67</f>
        <v>INFRASTRUKTUR</v>
      </c>
      <c r="D68" s="10">
        <f>DATA!E67</f>
        <v>1</v>
      </c>
      <c r="E68" s="10" t="str">
        <f>DATA!F67</f>
        <v>Kementerian Pekerjaan Umum dan Perumahan Rakyat</v>
      </c>
      <c r="F68" s="10" t="str">
        <f>DATA!H67</f>
        <v xml:space="preserve">Development and Management of Irrigation Program </v>
      </c>
      <c r="G68" s="10" t="str">
        <f>DATA!I67</f>
        <v>I</v>
      </c>
      <c r="H68" s="10" t="str">
        <f>DATA!J67</f>
        <v>Program Pengembangan dan Pengelolaan Irigasi</v>
      </c>
      <c r="I68" s="10">
        <f>DATA!K67</f>
        <v>1</v>
      </c>
      <c r="J68" s="254"/>
      <c r="K68" s="34"/>
      <c r="L68" s="34"/>
      <c r="M68" s="3390">
        <v>42</v>
      </c>
      <c r="N68" s="3393" t="str">
        <f>DATA!L67</f>
        <v>Integrated Participatory Development and Management of Irrigation Project - Phase I</v>
      </c>
      <c r="O68" s="3403">
        <f>DATA!T66</f>
        <v>700000000</v>
      </c>
      <c r="P68" s="3403">
        <f>DATA!U66</f>
        <v>700000000</v>
      </c>
      <c r="Q68" s="3443">
        <f>DATA!V66</f>
        <v>70000000</v>
      </c>
      <c r="R68" s="3443">
        <f>DATA!W66</f>
        <v>0</v>
      </c>
      <c r="S68" s="3403">
        <f t="shared" si="3"/>
        <v>770000000</v>
      </c>
      <c r="T68" s="2471"/>
      <c r="U68" s="1449" t="str">
        <f>DATA!Y67</f>
        <v>ADB</v>
      </c>
      <c r="V68" s="77">
        <f>DATA!AA67</f>
        <v>600000000</v>
      </c>
      <c r="W68" s="77">
        <v>0</v>
      </c>
      <c r="X68" s="216" t="str">
        <f>DATA!Y67</f>
        <v>ADB</v>
      </c>
      <c r="Y68" s="245">
        <f>DATA!AT67</f>
        <v>600000000</v>
      </c>
      <c r="Z68" s="109" t="str">
        <f>DATA!AU67</f>
        <v>ADB</v>
      </c>
      <c r="AA68" s="1544" t="str">
        <f>DATA!AW67</f>
        <v>-</v>
      </c>
      <c r="AB68" s="245" t="str">
        <f>DATA!AM67</f>
        <v>2016; 2015</v>
      </c>
      <c r="AC68" s="3495" t="str">
        <f>DATA!AN67</f>
        <v>siap</v>
      </c>
      <c r="AD68" s="3502" t="str">
        <f>DATA!AO67</f>
        <v>belum ada keterangan</v>
      </c>
      <c r="AE68" s="1545">
        <f>DATA!AQ67</f>
        <v>0</v>
      </c>
      <c r="AF68" s="1547" t="str">
        <f>DATA!AR67</f>
        <v>-</v>
      </c>
    </row>
    <row r="69" spans="1:32" ht="19.5" customHeight="1">
      <c r="A69" s="10">
        <f>DATA!A68</f>
        <v>52</v>
      </c>
      <c r="B69" s="10">
        <f>DATA!B68</f>
        <v>0</v>
      </c>
      <c r="C69" s="10" t="str">
        <f>DATA!D68</f>
        <v>INFRASTRUKTUR</v>
      </c>
      <c r="D69" s="10">
        <f>DATA!E68</f>
        <v>1</v>
      </c>
      <c r="E69" s="10" t="str">
        <f>DATA!F68</f>
        <v>Kementerian Pekerjaan Umum dan Perumahan Rakyat</v>
      </c>
      <c r="F69" s="10" t="str">
        <f>DATA!H68</f>
        <v xml:space="preserve">Development and Management of Irrigation Program </v>
      </c>
      <c r="G69" s="10" t="str">
        <f>DATA!I68</f>
        <v>I</v>
      </c>
      <c r="H69" s="10" t="str">
        <f>DATA!J68</f>
        <v>Program Pengembangan dan Pengelolaan Irigasi</v>
      </c>
      <c r="I69" s="10">
        <f>DATA!K68</f>
        <v>1</v>
      </c>
      <c r="J69" s="254"/>
      <c r="K69" s="34"/>
      <c r="L69" s="34">
        <v>1</v>
      </c>
      <c r="M69" s="3391"/>
      <c r="N69" s="3394"/>
      <c r="O69" s="3404"/>
      <c r="P69" s="3404"/>
      <c r="Q69" s="3445"/>
      <c r="R69" s="3445"/>
      <c r="S69" s="3404"/>
      <c r="T69" s="2472"/>
      <c r="U69" s="1449" t="str">
        <f>DATA!Y68</f>
        <v>IFAD</v>
      </c>
      <c r="V69" s="77">
        <f>DATA!AA68</f>
        <v>100000000</v>
      </c>
      <c r="W69" s="77">
        <v>0</v>
      </c>
      <c r="X69" s="216" t="str">
        <f>DATA!Y68</f>
        <v>IFAD</v>
      </c>
      <c r="Y69" s="245">
        <f>DATA!AT68</f>
        <v>100000000</v>
      </c>
      <c r="Z69" s="109" t="str">
        <f>DATA!AU68</f>
        <v>IFAD</v>
      </c>
      <c r="AA69" s="1544" t="str">
        <f>DATA!AW68</f>
        <v>-</v>
      </c>
      <c r="AB69" s="245" t="str">
        <f>DATA!AM68</f>
        <v>2016; 2015</v>
      </c>
      <c r="AC69" s="3497"/>
      <c r="AD69" s="3503"/>
      <c r="AE69" s="1545">
        <f>DATA!AQ68</f>
        <v>0</v>
      </c>
      <c r="AF69" s="1547" t="str">
        <f>DATA!AR68</f>
        <v>-</v>
      </c>
    </row>
    <row r="70" spans="1:32" ht="15.75" customHeight="1">
      <c r="A70" s="10">
        <f>DATA!A70</f>
        <v>53</v>
      </c>
      <c r="B70" s="10">
        <f>DATA!B70</f>
        <v>0</v>
      </c>
      <c r="C70" s="10" t="str">
        <f>DATA!D70</f>
        <v>INFRASTRUKTUR</v>
      </c>
      <c r="D70" s="10">
        <f>DATA!E70</f>
        <v>1</v>
      </c>
      <c r="E70" s="10" t="str">
        <f>DATA!F70</f>
        <v>Kementerian Pekerjaan Umum dan Perumahan Rakyat</v>
      </c>
      <c r="F70" s="10" t="str">
        <f>DATA!H70</f>
        <v xml:space="preserve">Development and Management of Irrigation Program </v>
      </c>
      <c r="G70" s="10" t="str">
        <f>DATA!I70</f>
        <v>I</v>
      </c>
      <c r="H70" s="10" t="str">
        <f>DATA!J70</f>
        <v>Program Pengembangan dan Pengelolaan Irigasi</v>
      </c>
      <c r="I70" s="10">
        <f>DATA!K70</f>
        <v>1</v>
      </c>
      <c r="J70" s="254"/>
      <c r="K70" s="34"/>
      <c r="L70" s="34"/>
      <c r="M70" s="3392">
        <v>43</v>
      </c>
      <c r="N70" s="3393" t="str">
        <f>DATA!L70</f>
        <v>Integrated Participatory Development and Management of Irrigation Project - Phase II</v>
      </c>
      <c r="O70" s="3403">
        <f>DATA!T70</f>
        <v>500000000</v>
      </c>
      <c r="P70" s="3403">
        <f>DATA!U70</f>
        <v>500000000</v>
      </c>
      <c r="Q70" s="3443">
        <f>DATA!V69</f>
        <v>50000000</v>
      </c>
      <c r="R70" s="3443">
        <f>DATA!W69</f>
        <v>0</v>
      </c>
      <c r="S70" s="3403">
        <f>P70+Q70+R70</f>
        <v>550000000</v>
      </c>
      <c r="T70" s="2471"/>
      <c r="U70" s="3488" t="str">
        <f>DATA!Y70</f>
        <v>ADB</v>
      </c>
      <c r="V70" s="3414">
        <f>DATA!AA70</f>
        <v>500000000</v>
      </c>
      <c r="W70" s="3414">
        <v>0</v>
      </c>
      <c r="X70" s="3416" t="str">
        <f>DATA!Y70</f>
        <v>ADB</v>
      </c>
      <c r="Y70" s="245">
        <f>DATA!AT70</f>
        <v>400000000</v>
      </c>
      <c r="Z70" s="109" t="str">
        <f>DATA!AU70</f>
        <v>ADB</v>
      </c>
      <c r="AA70" s="1544" t="str">
        <f>DATA!AW70</f>
        <v>nilai kegiatan yang tercantum dalam COBP ADB sebesar USD 400 juta.</v>
      </c>
      <c r="AB70" s="245">
        <f>DATA!AM70</f>
        <v>0</v>
      </c>
      <c r="AC70" s="3495" t="str">
        <f>DATA!AN70</f>
        <v>belum ada keterangan</v>
      </c>
      <c r="AD70" s="3502" t="str">
        <f>DATA!AO70</f>
        <v>belum ada keterangan</v>
      </c>
      <c r="AE70" s="1545">
        <f>DATA!AQ70</f>
        <v>0</v>
      </c>
      <c r="AF70" s="1547" t="str">
        <f>DATA!AR70</f>
        <v>- untuk yang Phase II: belum ada penyiapan
- belum ada dokumen R/C</v>
      </c>
    </row>
    <row r="71" spans="1:32" ht="24.75" customHeight="1">
      <c r="J71" s="254"/>
      <c r="K71" s="34"/>
      <c r="L71" s="34"/>
      <c r="M71" s="3391"/>
      <c r="N71" s="3394"/>
      <c r="O71" s="3404"/>
      <c r="P71" s="3404"/>
      <c r="Q71" s="3445"/>
      <c r="R71" s="3445"/>
      <c r="S71" s="3404"/>
      <c r="T71" s="2472"/>
      <c r="U71" s="3490"/>
      <c r="V71" s="3415"/>
      <c r="W71" s="3415"/>
      <c r="X71" s="3417"/>
      <c r="Y71" s="245">
        <f>DATA!AT71</f>
        <v>100000000</v>
      </c>
      <c r="Z71" s="109" t="str">
        <f>DATA!AU71</f>
        <v>Belum Ada Indikasi</v>
      </c>
      <c r="AA71" s="1520" t="str">
        <f>DATA!AW71</f>
        <v>-</v>
      </c>
      <c r="AB71" s="245">
        <f>DATA!AM71</f>
        <v>0</v>
      </c>
      <c r="AC71" s="3497"/>
      <c r="AD71" s="3503"/>
      <c r="AE71" s="1545">
        <f>DATA!AQ71</f>
        <v>0</v>
      </c>
      <c r="AF71" s="1547" t="str">
        <f>DATA!AR71</f>
        <v>- untuk yang Phase II: belum ada penyiapan
- belum ada dokumen R/C</v>
      </c>
    </row>
    <row r="72" spans="1:32" ht="37.5" customHeight="1">
      <c r="A72" s="10">
        <f>DATA!A72</f>
        <v>54</v>
      </c>
      <c r="B72" s="10">
        <f>DATA!B72</f>
        <v>0</v>
      </c>
      <c r="C72" s="10" t="str">
        <f>DATA!D72</f>
        <v>INFRASTRUKTUR</v>
      </c>
      <c r="D72" s="10">
        <f>DATA!E72</f>
        <v>1</v>
      </c>
      <c r="E72" s="10" t="str">
        <f>DATA!F72</f>
        <v>Kementerian Pekerjaan Umum dan Perumahan Rakyat</v>
      </c>
      <c r="F72" s="10" t="str">
        <f>DATA!H72</f>
        <v xml:space="preserve">Development and Management of Irrigation Program </v>
      </c>
      <c r="G72" s="10" t="str">
        <f>DATA!I72</f>
        <v>I</v>
      </c>
      <c r="H72" s="10" t="str">
        <f>DATA!J72</f>
        <v>Program Pengembangan dan Pengelolaan Irigasi</v>
      </c>
      <c r="I72" s="10">
        <f>DATA!K72</f>
        <v>2</v>
      </c>
      <c r="J72" s="254"/>
      <c r="K72" s="34"/>
      <c r="L72" s="34">
        <v>3</v>
      </c>
      <c r="M72" s="36">
        <v>44</v>
      </c>
      <c r="N72" s="37" t="str">
        <f>DATA!L72</f>
        <v>The Urgent Rehabilitation of Strategic Irrigation for Western Region of Indonesia</v>
      </c>
      <c r="O72" s="187">
        <f>DATA!T72</f>
        <v>195778000</v>
      </c>
      <c r="P72" s="187">
        <f>DATA!U72</f>
        <v>195778000</v>
      </c>
      <c r="Q72" s="1446">
        <f>BB[[#This Row],[PENDAMPING BB]]</f>
        <v>27149500</v>
      </c>
      <c r="R72" s="1446">
        <f>BB[[#This Row],[HIBAH BB]]</f>
        <v>0</v>
      </c>
      <c r="S72" s="2467">
        <f t="shared" ref="S72:S96" si="5">P72+Q72+R72</f>
        <v>222927500</v>
      </c>
      <c r="T72" s="2468"/>
      <c r="U72" s="1449" t="str">
        <f>DATA!Y72</f>
        <v>Korea</v>
      </c>
      <c r="V72" s="77">
        <f>DATA!AA72</f>
        <v>195778000</v>
      </c>
      <c r="W72" s="77">
        <v>0</v>
      </c>
      <c r="X72" s="216" t="str">
        <f>DATA!Y72</f>
        <v>Korea</v>
      </c>
      <c r="Y72" s="245">
        <f>DATA!AT72</f>
        <v>195778000</v>
      </c>
      <c r="Z72" s="109" t="str">
        <f>DATA!AU72</f>
        <v>Korea</v>
      </c>
      <c r="AA72" s="1544" t="str">
        <f>DATA!AW72</f>
        <v>masuk rolling plan EDCF (Korea)</v>
      </c>
      <c r="AB72" s="1625" t="str">
        <f>DATA!AM72</f>
        <v>2016; 2015</v>
      </c>
      <c r="AC72" s="1510" t="str">
        <f>DATA!AN72</f>
        <v>belum ada keterangan</v>
      </c>
      <c r="AD72" s="1511" t="str">
        <f>DATA!AO72</f>
        <v>belum ada keterangan</v>
      </c>
      <c r="AE72" s="1545">
        <f>DATA!AQ72</f>
        <v>0</v>
      </c>
      <c r="AF72" s="1547" t="str">
        <f>DATA!AR72</f>
        <v>-</v>
      </c>
    </row>
    <row r="73" spans="1:32" ht="25.5" customHeight="1">
      <c r="A73" s="10">
        <f>DATA!A73</f>
        <v>55</v>
      </c>
      <c r="B73" s="10">
        <f>DATA!B73</f>
        <v>0</v>
      </c>
      <c r="C73" s="10" t="str">
        <f>DATA!D73</f>
        <v>INFRASTRUKTUR</v>
      </c>
      <c r="D73" s="10">
        <f>DATA!E73</f>
        <v>1</v>
      </c>
      <c r="E73" s="10" t="str">
        <f>DATA!F73</f>
        <v>Kementerian Pekerjaan Umum dan Perumahan Rakyat</v>
      </c>
      <c r="F73" s="10" t="str">
        <f>DATA!H73</f>
        <v xml:space="preserve">Development and Management of Irrigation Program </v>
      </c>
      <c r="G73" s="10" t="str">
        <f>DATA!I73</f>
        <v>I</v>
      </c>
      <c r="H73" s="10" t="str">
        <f>DATA!J73</f>
        <v>Program Pengembangan dan Pengelolaan Irigasi</v>
      </c>
      <c r="I73" s="10">
        <f>DATA!K73</f>
        <v>3</v>
      </c>
      <c r="J73" s="254"/>
      <c r="K73" s="34"/>
      <c r="L73" s="34">
        <v>4</v>
      </c>
      <c r="M73" s="36">
        <v>45</v>
      </c>
      <c r="N73" s="37" t="str">
        <f>DATA!L73</f>
        <v>Rentang Modernization Strategic Irrigation (RIMP)</v>
      </c>
      <c r="O73" s="187">
        <f>DATA!T73</f>
        <v>480000000</v>
      </c>
      <c r="P73" s="187">
        <f>DATA!U73</f>
        <v>480000000</v>
      </c>
      <c r="Q73" s="1446">
        <f>BB[[#This Row],[PENDAMPING BB]]</f>
        <v>48000000</v>
      </c>
      <c r="R73" s="1446">
        <f>BB[[#This Row],[HIBAH BB]]</f>
        <v>0</v>
      </c>
      <c r="S73" s="2467">
        <f t="shared" si="5"/>
        <v>528000000</v>
      </c>
      <c r="T73" s="2468"/>
      <c r="U73" s="1449" t="str">
        <f>DATA!Y73</f>
        <v>JICA</v>
      </c>
      <c r="V73" s="77">
        <f>DATA!AA73</f>
        <v>480000000</v>
      </c>
      <c r="W73" s="77">
        <v>0</v>
      </c>
      <c r="X73" s="216" t="str">
        <f>DATA!Y73</f>
        <v>JICA</v>
      </c>
      <c r="Y73" s="245">
        <f>DATA!AT73</f>
        <v>480000000</v>
      </c>
      <c r="Z73" s="109" t="str">
        <f>DATA!AU73</f>
        <v>JICA</v>
      </c>
      <c r="AA73" s="1544" t="str">
        <f>DATA!AW73</f>
        <v>-</v>
      </c>
      <c r="AB73" s="1625">
        <f>DATA!AM73</f>
        <v>2016</v>
      </c>
      <c r="AC73" s="1510" t="str">
        <f>DATA!AN73</f>
        <v>siap</v>
      </c>
      <c r="AD73" s="1511" t="str">
        <f>DATA!AO73</f>
        <v>tidak butuh lahan</v>
      </c>
      <c r="AE73" s="1545">
        <f>DATA!AQ73</f>
        <v>0</v>
      </c>
      <c r="AF73" s="1547" t="str">
        <f>DATA!AR73</f>
        <v>-</v>
      </c>
    </row>
    <row r="74" spans="1:32" ht="24.75" customHeight="1">
      <c r="A74" s="10">
        <f>DATA!A74</f>
        <v>56</v>
      </c>
      <c r="B74" s="10">
        <f>DATA!B74</f>
        <v>0</v>
      </c>
      <c r="C74" s="10" t="str">
        <f>DATA!D74</f>
        <v>INFRASTRUKTUR</v>
      </c>
      <c r="D74" s="10">
        <f>DATA!E74</f>
        <v>1</v>
      </c>
      <c r="E74" s="10" t="str">
        <f>DATA!F74</f>
        <v>Kementerian Pekerjaan Umum dan Perumahan Rakyat</v>
      </c>
      <c r="F74" s="10" t="str">
        <f>DATA!H74</f>
        <v xml:space="preserve">Development and Management of Irrigation Program </v>
      </c>
      <c r="G74" s="10" t="str">
        <f>DATA!I74</f>
        <v>I</v>
      </c>
      <c r="H74" s="10" t="str">
        <f>DATA!J74</f>
        <v>Program Pengembangan dan Pengelolaan Irigasi</v>
      </c>
      <c r="I74" s="10">
        <f>DATA!K74</f>
        <v>4</v>
      </c>
      <c r="J74" s="254"/>
      <c r="K74" s="34"/>
      <c r="L74" s="34">
        <v>5</v>
      </c>
      <c r="M74" s="36">
        <v>46</v>
      </c>
      <c r="N74" s="37" t="str">
        <f>DATA!L74</f>
        <v>Komering Irrigation Project Stage III</v>
      </c>
      <c r="O74" s="187">
        <f>DATA!T74</f>
        <v>120000000</v>
      </c>
      <c r="P74" s="187">
        <f>DATA!U74</f>
        <v>120000000</v>
      </c>
      <c r="Q74" s="1446">
        <f>BB[[#This Row],[PENDAMPING BB]]</f>
        <v>12000000</v>
      </c>
      <c r="R74" s="1446">
        <f>BB[[#This Row],[HIBAH BB]]</f>
        <v>0</v>
      </c>
      <c r="S74" s="2467">
        <f t="shared" si="5"/>
        <v>132000000</v>
      </c>
      <c r="T74" s="2468"/>
      <c r="U74" s="1449" t="str">
        <f>DATA!Y74</f>
        <v>JICA</v>
      </c>
      <c r="V74" s="77">
        <f>DATA!AA74</f>
        <v>120000000</v>
      </c>
      <c r="W74" s="77">
        <v>0</v>
      </c>
      <c r="X74" s="216" t="str">
        <f>DATA!Y74</f>
        <v>JICA</v>
      </c>
      <c r="Y74" s="245">
        <f>DATA!AT74</f>
        <v>120000000</v>
      </c>
      <c r="Z74" s="109" t="str">
        <f>DATA!AU74</f>
        <v>JICA</v>
      </c>
      <c r="AA74" s="1544" t="str">
        <f>DATA!AW74</f>
        <v>-</v>
      </c>
      <c r="AB74" s="1625" t="str">
        <f>DATA!AM74</f>
        <v>Rev. 2016; 2016</v>
      </c>
      <c r="AC74" s="1510" t="str">
        <f>DATA!AN74</f>
        <v>siap</v>
      </c>
      <c r="AD74" s="1511" t="str">
        <f>DATA!AO74</f>
        <v>belum ada keterangan</v>
      </c>
      <c r="AE74" s="1545">
        <f>DATA!AQ74</f>
        <v>0</v>
      </c>
      <c r="AF74" s="1547" t="str">
        <f>DATA!AR74</f>
        <v>Nilai pinjaman di:
- Rev. GB 16 USD 145.568 ribu
- GB 16 USD 120.000 ribu</v>
      </c>
    </row>
    <row r="75" spans="1:32" ht="24.75" customHeight="1">
      <c r="A75" s="10">
        <f>DATA!A75</f>
        <v>57</v>
      </c>
      <c r="B75" s="10">
        <f>DATA!B75</f>
        <v>0</v>
      </c>
      <c r="C75" s="10" t="str">
        <f>DATA!D75</f>
        <v>INFRASTRUKTUR</v>
      </c>
      <c r="D75" s="10">
        <f>DATA!E75</f>
        <v>1</v>
      </c>
      <c r="E75" s="10" t="str">
        <f>DATA!F75</f>
        <v>Kementerian Pekerjaan Umum dan Perumahan Rakyat</v>
      </c>
      <c r="F75" s="10" t="str">
        <f>DATA!H75</f>
        <v xml:space="preserve">Development and Management of Irrigation Program </v>
      </c>
      <c r="G75" s="10" t="str">
        <f>DATA!I75</f>
        <v>I</v>
      </c>
      <c r="H75" s="10" t="str">
        <f>DATA!J75</f>
        <v>Program Pengembangan dan Pengelolaan Irigasi</v>
      </c>
      <c r="I75" s="10">
        <f>DATA!K75</f>
        <v>5</v>
      </c>
      <c r="J75" s="254"/>
      <c r="K75" s="34"/>
      <c r="L75" s="34">
        <v>6</v>
      </c>
      <c r="M75" s="36">
        <v>47</v>
      </c>
      <c r="N75" s="37" t="str">
        <f>DATA!L75</f>
        <v>Irrigation Development in North Sumatera</v>
      </c>
      <c r="O75" s="187">
        <f>DATA!T75</f>
        <v>350000000</v>
      </c>
      <c r="P75" s="187">
        <f>DATA!U75</f>
        <v>350000000</v>
      </c>
      <c r="Q75" s="1446">
        <f>BB[[#This Row],[PENDAMPING BB]]</f>
        <v>35000000</v>
      </c>
      <c r="R75" s="1446">
        <f>BB[[#This Row],[HIBAH BB]]</f>
        <v>0</v>
      </c>
      <c r="S75" s="2467">
        <f t="shared" si="5"/>
        <v>385000000</v>
      </c>
      <c r="T75" s="2468"/>
      <c r="U75" s="1449" t="str">
        <f>DATA!Y75</f>
        <v>ADB</v>
      </c>
      <c r="V75" s="77">
        <f>DATA!AA75</f>
        <v>350000000</v>
      </c>
      <c r="W75" s="77">
        <v>0</v>
      </c>
      <c r="X75" s="216" t="str">
        <f>DATA!Y75</f>
        <v>ADB</v>
      </c>
      <c r="Y75" s="245">
        <f>DATA!AT75</f>
        <v>350000000</v>
      </c>
      <c r="Z75" s="109" t="str">
        <f>DATA!AU75</f>
        <v>Belum Ada Indikasi</v>
      </c>
      <c r="AA75" s="1544" t="str">
        <f>DATA!AW75</f>
        <v>- usulan K/L lender: ADB
- tidak masuk COBP ADB</v>
      </c>
      <c r="AB75" s="245">
        <f>DATA!AM75</f>
        <v>0</v>
      </c>
      <c r="AC75" s="1510" t="str">
        <f>DATA!AN75</f>
        <v>dalam proses
(memiliki FS dan DED)</v>
      </c>
      <c r="AD75" s="1511" t="str">
        <f>DATA!AO75</f>
        <v>belum ada keterangan</v>
      </c>
      <c r="AE75" s="1545">
        <f>DATA!AQ75</f>
        <v>0</v>
      </c>
      <c r="AF75" s="1547" t="str">
        <f>DATA!AR75</f>
        <v>belum ada dokumen R/C</v>
      </c>
    </row>
    <row r="76" spans="1:32" ht="39.75" customHeight="1">
      <c r="A76" s="10">
        <f>DATA!A76</f>
        <v>58</v>
      </c>
      <c r="B76" s="10">
        <f>DATA!B76</f>
        <v>0</v>
      </c>
      <c r="C76" s="10" t="str">
        <f>DATA!D76</f>
        <v>INFRASTRUKTUR</v>
      </c>
      <c r="D76" s="10">
        <f>DATA!E76</f>
        <v>1</v>
      </c>
      <c r="E76" s="10" t="str">
        <f>DATA!F76</f>
        <v>Kementerian Pekerjaan Umum dan Perumahan Rakyat</v>
      </c>
      <c r="F76" s="10" t="str">
        <f>DATA!H76</f>
        <v xml:space="preserve">Development and Management of Irrigation Program </v>
      </c>
      <c r="G76" s="10" t="str">
        <f>DATA!I76</f>
        <v>I</v>
      </c>
      <c r="H76" s="10" t="str">
        <f>DATA!J76</f>
        <v>Program Pengembangan dan Pengelolaan Irigasi</v>
      </c>
      <c r="I76" s="10">
        <f>DATA!K76</f>
        <v>6</v>
      </c>
      <c r="J76" s="254"/>
      <c r="K76" s="34"/>
      <c r="L76" s="34">
        <v>7</v>
      </c>
      <c r="M76" s="36">
        <v>48</v>
      </c>
      <c r="N76" s="37" t="str">
        <f>DATA!L76</f>
        <v>Integrated Participatory Development and Management of Lhok Guci and Peureulak Irrigation Project</v>
      </c>
      <c r="O76" s="187">
        <f>DATA!T76</f>
        <v>161298000</v>
      </c>
      <c r="P76" s="187">
        <f>DATA!U76</f>
        <v>161298000</v>
      </c>
      <c r="Q76" s="1446">
        <f>BB[[#This Row],[PENDAMPING BB]]</f>
        <v>24195000</v>
      </c>
      <c r="R76" s="1446">
        <f>BB[[#This Row],[HIBAH BB]]</f>
        <v>0</v>
      </c>
      <c r="S76" s="2467">
        <f t="shared" si="5"/>
        <v>185493000</v>
      </c>
      <c r="T76" s="2468"/>
      <c r="U76" s="1449" t="str">
        <f>DATA!Y76</f>
        <v>ADB</v>
      </c>
      <c r="V76" s="77">
        <f>DATA!AA76</f>
        <v>161298000</v>
      </c>
      <c r="W76" s="77">
        <v>0</v>
      </c>
      <c r="X76" s="216" t="str">
        <f>DATA!Y76</f>
        <v>ADB</v>
      </c>
      <c r="Y76" s="245">
        <f>DATA!AT76</f>
        <v>161298000</v>
      </c>
      <c r="Z76" s="109" t="str">
        <f>DATA!AU76</f>
        <v>Belum Ada Indikasi</v>
      </c>
      <c r="AA76" s="1544" t="str">
        <f>DATA!AW76</f>
        <v>- usulan K/L lender: ADB
- tidak masuk COBP ADB</v>
      </c>
      <c r="AB76" s="245">
        <f>DATA!AM76</f>
        <v>0</v>
      </c>
      <c r="AC76" s="1510" t="str">
        <f>DATA!AN76</f>
        <v>dalam proses
(memiliki FS dan DED)</v>
      </c>
      <c r="AD76" s="1511" t="str">
        <f>DATA!AO76</f>
        <v>belum ada keterangan</v>
      </c>
      <c r="AE76" s="1545">
        <f>DATA!AQ76</f>
        <v>0</v>
      </c>
      <c r="AF76" s="1547" t="str">
        <f>DATA!AR76</f>
        <v>belum ada dokumen R/C</v>
      </c>
    </row>
    <row r="77" spans="1:32" ht="24" customHeight="1">
      <c r="A77" s="10">
        <f>DATA!A77</f>
        <v>59</v>
      </c>
      <c r="B77" s="10">
        <f>DATA!B77</f>
        <v>0</v>
      </c>
      <c r="C77" s="10" t="str">
        <f>DATA!D77</f>
        <v>INFRASTRUKTUR</v>
      </c>
      <c r="D77" s="10">
        <f>DATA!E77</f>
        <v>1</v>
      </c>
      <c r="E77" s="10" t="str">
        <f>DATA!F77</f>
        <v>Kementerian Pekerjaan Umum dan Perumahan Rakyat</v>
      </c>
      <c r="F77" s="10" t="str">
        <f>DATA!H77</f>
        <v xml:space="preserve">Development and Management of Irrigation Program </v>
      </c>
      <c r="G77" s="10" t="str">
        <f>DATA!I77</f>
        <v>I</v>
      </c>
      <c r="H77" s="10" t="str">
        <f>DATA!J77</f>
        <v>Program Pengembangan dan Pengelolaan Irigasi</v>
      </c>
      <c r="I77" s="10">
        <f>DATA!K77</f>
        <v>7</v>
      </c>
      <c r="J77" s="254"/>
      <c r="K77" s="34"/>
      <c r="L77" s="34">
        <v>8</v>
      </c>
      <c r="M77" s="36">
        <v>49</v>
      </c>
      <c r="N77" s="37" t="str">
        <f>DATA!L77</f>
        <v>Modernization Strategic Irrigation Project (MSIP)</v>
      </c>
      <c r="O77" s="187">
        <f>DATA!T77</f>
        <v>278355000</v>
      </c>
      <c r="P77" s="187">
        <f>DATA!U77</f>
        <v>278355000</v>
      </c>
      <c r="Q77" s="1446">
        <f>BB[[#This Row],[PENDAMPING BB]]</f>
        <v>28000000</v>
      </c>
      <c r="R77" s="1446">
        <f>BB[[#This Row],[HIBAH BB]]</f>
        <v>0</v>
      </c>
      <c r="S77" s="2467">
        <f t="shared" si="5"/>
        <v>306355000</v>
      </c>
      <c r="T77" s="2468"/>
      <c r="U77" s="1449" t="str">
        <f>DATA!Y77</f>
        <v>JICA</v>
      </c>
      <c r="V77" s="77">
        <f>DATA!AA77</f>
        <v>278355000</v>
      </c>
      <c r="W77" s="77">
        <v>0</v>
      </c>
      <c r="X77" s="216" t="str">
        <f>DATA!Y77</f>
        <v>JICA</v>
      </c>
      <c r="Y77" s="245">
        <f>DATA!AT77</f>
        <v>278355000</v>
      </c>
      <c r="Z77" s="109" t="str">
        <f>DATA!AU77</f>
        <v>JICA</v>
      </c>
      <c r="AA77" s="1544" t="str">
        <f>DATA!AW77</f>
        <v>-</v>
      </c>
      <c r="AB77" s="245">
        <f>DATA!AM77</f>
        <v>0</v>
      </c>
      <c r="AC77" s="1510" t="str">
        <f>DATA!AN77</f>
        <v>belum ada keterangan</v>
      </c>
      <c r="AD77" s="1511" t="str">
        <f>DATA!AO77</f>
        <v>belum ada keterangan</v>
      </c>
      <c r="AE77" s="1545">
        <f>DATA!AQ77</f>
        <v>0</v>
      </c>
      <c r="AF77" s="1547" t="str">
        <f>DATA!AR77</f>
        <v>belum ada dokumen R/C</v>
      </c>
    </row>
    <row r="78" spans="1:32" ht="36" customHeight="1">
      <c r="A78" s="10">
        <f>DATA!A78</f>
        <v>60</v>
      </c>
      <c r="B78" s="10">
        <f>DATA!B78</f>
        <v>0</v>
      </c>
      <c r="C78" s="10" t="str">
        <f>DATA!D78</f>
        <v>INFRASTRUKTUR</v>
      </c>
      <c r="D78" s="10">
        <f>DATA!E78</f>
        <v>1</v>
      </c>
      <c r="E78" s="10" t="str">
        <f>DATA!F78</f>
        <v>Kementerian Pekerjaan Umum dan Perumahan Rakyat</v>
      </c>
      <c r="F78" s="10" t="str">
        <f>DATA!H78</f>
        <v xml:space="preserve">Development and Management of Irrigation Program </v>
      </c>
      <c r="G78" s="10" t="str">
        <f>DATA!I78</f>
        <v>I</v>
      </c>
      <c r="H78" s="10" t="str">
        <f>DATA!J78</f>
        <v>Program Pengembangan dan Pengelolaan Irigasi</v>
      </c>
      <c r="I78" s="10">
        <f>DATA!K78</f>
        <v>8</v>
      </c>
      <c r="J78" s="254"/>
      <c r="K78" s="34"/>
      <c r="L78" s="34">
        <v>9</v>
      </c>
      <c r="M78" s="36">
        <v>50</v>
      </c>
      <c r="N78" s="37" t="str">
        <f>DATA!L78</f>
        <v>Urgent Rehabilitation of  Irrigation Project in Indonesia (URIP)</v>
      </c>
      <c r="O78" s="187">
        <f>DATA!T78</f>
        <v>272100000</v>
      </c>
      <c r="P78" s="187">
        <f>DATA!U78</f>
        <v>272100000</v>
      </c>
      <c r="Q78" s="1446">
        <f>BB[[#This Row],[PENDAMPING BB]]</f>
        <v>40815000</v>
      </c>
      <c r="R78" s="1446">
        <f>BB[[#This Row],[HIBAH BB]]</f>
        <v>0</v>
      </c>
      <c r="S78" s="2467">
        <f t="shared" si="5"/>
        <v>312915000</v>
      </c>
      <c r="T78" s="2468"/>
      <c r="U78" s="1449" t="str">
        <f>DATA!Y78</f>
        <v>Bank Dunia</v>
      </c>
      <c r="V78" s="77">
        <f>DATA!AA78</f>
        <v>272100000</v>
      </c>
      <c r="W78" s="77">
        <v>0</v>
      </c>
      <c r="X78" s="216" t="str">
        <f>DATA!Y78</f>
        <v>Bank Dunia</v>
      </c>
      <c r="Y78" s="245">
        <f>DATA!AT78</f>
        <v>272100000</v>
      </c>
      <c r="Z78" s="109" t="str">
        <f>DATA!AU78</f>
        <v>Bank Dunia</v>
      </c>
      <c r="AA78" s="1544" t="str">
        <f>DATA!AW78</f>
        <v>-</v>
      </c>
      <c r="AB78" s="245">
        <f>DATA!AM78</f>
        <v>0</v>
      </c>
      <c r="AC78" s="1510" t="str">
        <f>DATA!AN78</f>
        <v>belum ada keterangan</v>
      </c>
      <c r="AD78" s="1511" t="str">
        <f>DATA!AO78</f>
        <v>belum ada keterangan</v>
      </c>
      <c r="AE78" s="1545">
        <f>DATA!AQ78</f>
        <v>0</v>
      </c>
      <c r="AF78" s="1547" t="str">
        <f>DATA!AR78</f>
        <v>belum ada dokumen R/C</v>
      </c>
    </row>
    <row r="79" spans="1:32" ht="27" customHeight="1">
      <c r="A79" s="10">
        <f>DATA!A79</f>
        <v>61</v>
      </c>
      <c r="B79" s="10">
        <f>DATA!B79</f>
        <v>0</v>
      </c>
      <c r="C79" s="10" t="str">
        <f>DATA!D79</f>
        <v>INFRASTRUKTUR</v>
      </c>
      <c r="D79" s="10">
        <f>DATA!E79</f>
        <v>1</v>
      </c>
      <c r="E79" s="10" t="str">
        <f>DATA!F79</f>
        <v>Kementerian Pekerjaan Umum dan Perumahan Rakyat</v>
      </c>
      <c r="F79" s="10" t="str">
        <f>DATA!H79</f>
        <v xml:space="preserve">Development and Management of Irrigation Program </v>
      </c>
      <c r="G79" s="10" t="str">
        <f>DATA!I79</f>
        <v>I</v>
      </c>
      <c r="H79" s="10" t="str">
        <f>DATA!J79</f>
        <v>Program Pengembangan dan Pengelolaan Irigasi</v>
      </c>
      <c r="I79" s="10">
        <f>DATA!K79</f>
        <v>9</v>
      </c>
      <c r="J79" s="254"/>
      <c r="K79" s="34"/>
      <c r="L79" s="34">
        <v>10</v>
      </c>
      <c r="M79" s="36">
        <v>51</v>
      </c>
      <c r="N79" s="37" t="str">
        <f>DATA!L79</f>
        <v>Revitalization Groundwater Irrigation in Indonesia</v>
      </c>
      <c r="O79" s="187">
        <f>DATA!T79</f>
        <v>100000000</v>
      </c>
      <c r="P79" s="187">
        <f>DATA!U79</f>
        <v>100000000</v>
      </c>
      <c r="Q79" s="1446">
        <f>BB[[#This Row],[PENDAMPING BB]]</f>
        <v>10000000</v>
      </c>
      <c r="R79" s="1446">
        <f>BB[[#This Row],[HIBAH BB]]</f>
        <v>0</v>
      </c>
      <c r="S79" s="2467">
        <f t="shared" si="5"/>
        <v>110000000</v>
      </c>
      <c r="T79" s="2468"/>
      <c r="U79" s="1449" t="str">
        <f>DATA!Y79</f>
        <v>JICA</v>
      </c>
      <c r="V79" s="77">
        <f>DATA!AA79</f>
        <v>100000000</v>
      </c>
      <c r="W79" s="77">
        <v>0</v>
      </c>
      <c r="X79" s="216" t="str">
        <f>DATA!Y79</f>
        <v>JICA</v>
      </c>
      <c r="Y79" s="245">
        <f>DATA!AT79</f>
        <v>100000000</v>
      </c>
      <c r="Z79" s="109" t="str">
        <f>DATA!AU79</f>
        <v>JICA</v>
      </c>
      <c r="AA79" s="1544" t="str">
        <f>DATA!AW79</f>
        <v>-</v>
      </c>
      <c r="AB79" s="245">
        <f>DATA!AM79</f>
        <v>0</v>
      </c>
      <c r="AC79" s="1510" t="str">
        <f>DATA!AN79</f>
        <v>belum ada keterangan</v>
      </c>
      <c r="AD79" s="1511" t="str">
        <f>DATA!AO79</f>
        <v>belum ada keterangan</v>
      </c>
      <c r="AE79" s="1545">
        <f>DATA!AQ79</f>
        <v>0</v>
      </c>
      <c r="AF79" s="1547" t="str">
        <f>DATA!AR79</f>
        <v>belum ada dokumen R/C</v>
      </c>
    </row>
    <row r="80" spans="1:32" ht="38.25" customHeight="1">
      <c r="A80" s="10">
        <f>DATA!A80</f>
        <v>62</v>
      </c>
      <c r="B80" s="10">
        <f>DATA!B80</f>
        <v>0</v>
      </c>
      <c r="C80" s="10" t="str">
        <f>DATA!D80</f>
        <v>INFRASTRUKTUR</v>
      </c>
      <c r="D80" s="10">
        <f>DATA!E80</f>
        <v>1</v>
      </c>
      <c r="E80" s="10" t="str">
        <f>DATA!F80</f>
        <v>Kementerian Pekerjaan Umum dan Perumahan Rakyat</v>
      </c>
      <c r="F80" s="10" t="str">
        <f>DATA!H80</f>
        <v xml:space="preserve">Development and Management of Irrigation Program </v>
      </c>
      <c r="G80" s="10" t="str">
        <f>DATA!I80</f>
        <v>I</v>
      </c>
      <c r="H80" s="10" t="str">
        <f>DATA!J80</f>
        <v>Program Pengembangan dan Pengelolaan Irigasi</v>
      </c>
      <c r="I80" s="10">
        <f>DATA!K80</f>
        <v>10</v>
      </c>
      <c r="J80" s="254"/>
      <c r="K80" s="34"/>
      <c r="L80" s="54">
        <v>11</v>
      </c>
      <c r="M80" s="36">
        <v>52</v>
      </c>
      <c r="N80" s="37" t="str">
        <f>DATA!L80</f>
        <v>Engineering Service for Irrigation and Low Land Development Project</v>
      </c>
      <c r="O80" s="187">
        <f>DATA!T80</f>
        <v>100000000</v>
      </c>
      <c r="P80" s="187">
        <f>DATA!U80</f>
        <v>100000000</v>
      </c>
      <c r="Q80" s="1446">
        <f>BB[[#This Row],[PENDAMPING BB]]</f>
        <v>0</v>
      </c>
      <c r="R80" s="1446"/>
      <c r="S80" s="2467">
        <f t="shared" si="5"/>
        <v>100000000</v>
      </c>
      <c r="T80" s="2468"/>
      <c r="U80" s="1449" t="str">
        <f>DATA!Y80</f>
        <v>ADB</v>
      </c>
      <c r="V80" s="77">
        <f>DATA!AA80</f>
        <v>100000000</v>
      </c>
      <c r="W80" s="77">
        <v>0</v>
      </c>
      <c r="X80" s="216" t="str">
        <f>DATA!Y80</f>
        <v>ADB</v>
      </c>
      <c r="Y80" s="245">
        <f>DATA!AT80</f>
        <v>100000000</v>
      </c>
      <c r="Z80" s="109" t="str">
        <f>DATA!AU80</f>
        <v>ADB</v>
      </c>
      <c r="AA80" s="1544" t="str">
        <f>DATA!AW80</f>
        <v>-</v>
      </c>
      <c r="AB80" s="1625" t="str">
        <f>DATA!AM80</f>
        <v>2016; 2015</v>
      </c>
      <c r="AC80" s="1510" t="str">
        <f>DATA!AN80</f>
        <v>siap</v>
      </c>
      <c r="AD80" s="1511" t="str">
        <f>DATA!AO80</f>
        <v>tidak butuh lahan</v>
      </c>
      <c r="AE80" s="1545">
        <f>DATA!AQ80</f>
        <v>0</v>
      </c>
      <c r="AF80" s="1547" t="str">
        <f>DATA!AR80</f>
        <v>- sudah GB 2016  
- Nilai pinjaman di GB 38.100 ribu</v>
      </c>
    </row>
    <row r="81" spans="1:32" s="5" customFormat="1" ht="33.75" customHeight="1">
      <c r="J81" s="1594"/>
      <c r="K81" s="50"/>
      <c r="L81" s="30" t="s">
        <v>194</v>
      </c>
      <c r="M81" s="31" t="str">
        <f>DATA!J81</f>
        <v xml:space="preserve">Program Penyediaan dan Pengelolaan Air Baku </v>
      </c>
      <c r="N81" s="51"/>
      <c r="O81" s="197">
        <f>SUM(O82:O84)</f>
        <v>623862000</v>
      </c>
      <c r="P81" s="197">
        <f>SUM(P82:P84)</f>
        <v>623862000</v>
      </c>
      <c r="Q81" s="1436">
        <f>SUM(Q82:Q84)</f>
        <v>201074000</v>
      </c>
      <c r="R81" s="1436">
        <f>SUM(R82:R84)</f>
        <v>0</v>
      </c>
      <c r="S81" s="1559">
        <f t="shared" si="5"/>
        <v>824936000</v>
      </c>
      <c r="T81" s="2463"/>
      <c r="U81" s="198"/>
      <c r="V81" s="81">
        <f>SUM(V82:V84)</f>
        <v>623862000</v>
      </c>
      <c r="W81" s="81">
        <f>SUM(W82:W84)</f>
        <v>0</v>
      </c>
      <c r="X81" s="214">
        <f>SUM(X82:X84)</f>
        <v>0</v>
      </c>
      <c r="Y81" s="244">
        <f>SUM(Y82:Y84)</f>
        <v>623862000</v>
      </c>
      <c r="Z81" s="81">
        <f>SUM(Z82:Z84)</f>
        <v>0</v>
      </c>
      <c r="AA81" s="214"/>
      <c r="AB81" s="1505"/>
      <c r="AC81" s="1506"/>
      <c r="AD81" s="169"/>
      <c r="AE81" s="1507"/>
      <c r="AF81" s="1530"/>
    </row>
    <row r="82" spans="1:32" ht="38.25" customHeight="1">
      <c r="A82" s="10">
        <f>DATA!A81</f>
        <v>63</v>
      </c>
      <c r="B82" s="10">
        <f>DATA!B81</f>
        <v>0</v>
      </c>
      <c r="C82" s="10" t="str">
        <f>DATA!D81</f>
        <v>INFRASTRUKTUR</v>
      </c>
      <c r="D82" s="10">
        <f>DATA!E81</f>
        <v>1</v>
      </c>
      <c r="E82" s="10" t="str">
        <f>DATA!F81</f>
        <v>Kementerian Pekerjaan Umum dan Perumahan Rakyat</v>
      </c>
      <c r="F82" s="10" t="str">
        <f>DATA!H81</f>
        <v>Provision and Management of Bulk Water Supply Program</v>
      </c>
      <c r="G82" s="10" t="str">
        <f>DATA!I81</f>
        <v>J</v>
      </c>
      <c r="H82" s="10" t="str">
        <f>DATA!J81</f>
        <v xml:space="preserve">Program Penyediaan dan Pengelolaan Air Baku </v>
      </c>
      <c r="I82" s="10">
        <f>DATA!K81</f>
        <v>1</v>
      </c>
      <c r="J82" s="254"/>
      <c r="K82" s="34"/>
      <c r="L82" s="35">
        <v>12</v>
      </c>
      <c r="M82" s="36">
        <v>53</v>
      </c>
      <c r="N82" s="37" t="str">
        <f>DATA!L81</f>
        <v>Integrated Citarum Water Resources Management Investment Program II</v>
      </c>
      <c r="O82" s="187">
        <f>DATA!T81</f>
        <v>200000000</v>
      </c>
      <c r="P82" s="187">
        <f>DATA!U81</f>
        <v>200000000</v>
      </c>
      <c r="Q82" s="1446">
        <f>DATA!V81</f>
        <v>20000000</v>
      </c>
      <c r="R82" s="1446">
        <f>DATA!W81</f>
        <v>0</v>
      </c>
      <c r="S82" s="2467">
        <f t="shared" si="5"/>
        <v>220000000</v>
      </c>
      <c r="T82" s="2468"/>
      <c r="U82" s="1449" t="str">
        <f>DATA!Y81</f>
        <v>ADB</v>
      </c>
      <c r="V82" s="77">
        <f>DATA!AA81</f>
        <v>200000000</v>
      </c>
      <c r="W82" s="77">
        <v>0</v>
      </c>
      <c r="X82" s="216" t="str">
        <f>DATA!Y81</f>
        <v>ADB</v>
      </c>
      <c r="Y82" s="245">
        <f>DATA!AT81</f>
        <v>200000000</v>
      </c>
      <c r="Z82" s="109" t="str">
        <f>DATA!AU81</f>
        <v>ADB</v>
      </c>
      <c r="AA82" s="1544" t="str">
        <f>DATA!AW81</f>
        <v>-</v>
      </c>
      <c r="AB82" s="245">
        <f>DATA!AM81</f>
        <v>0</v>
      </c>
      <c r="AC82" s="1510" t="str">
        <f>DATA!AN81</f>
        <v>dalam proses
(memiliki FS dan DED)</v>
      </c>
      <c r="AD82" s="1511" t="str">
        <f>DATA!AO81</f>
        <v>dalam proses
(perencanaan)</v>
      </c>
      <c r="AE82" s="1545">
        <f>DATA!AQ81</f>
        <v>0</v>
      </c>
      <c r="AF82" s="1547" t="str">
        <f>DATA!AR81</f>
        <v>belum ada dokumen R/C</v>
      </c>
    </row>
    <row r="83" spans="1:32" ht="37.5" customHeight="1">
      <c r="A83" s="10">
        <f>DATA!A82</f>
        <v>64</v>
      </c>
      <c r="B83" s="10">
        <f>DATA!B82</f>
        <v>0</v>
      </c>
      <c r="C83" s="10" t="str">
        <f>DATA!D82</f>
        <v>INFRASTRUKTUR</v>
      </c>
      <c r="D83" s="10">
        <f>DATA!E82</f>
        <v>1</v>
      </c>
      <c r="E83" s="10" t="str">
        <f>DATA!F82</f>
        <v>Kementerian Pekerjaan Umum dan Perumahan Rakyat</v>
      </c>
      <c r="F83" s="10" t="str">
        <f>DATA!H82</f>
        <v>Provision and Management of Bulk Water Supply Program</v>
      </c>
      <c r="G83" s="10" t="str">
        <f>DATA!I82</f>
        <v>I</v>
      </c>
      <c r="H83" s="10" t="str">
        <f>DATA!J82</f>
        <v xml:space="preserve">Program Penyediaan dan Pengelolaan Air Baku </v>
      </c>
      <c r="I83" s="10">
        <f>DATA!K82</f>
        <v>2</v>
      </c>
      <c r="J83" s="254"/>
      <c r="K83" s="34"/>
      <c r="L83" s="34">
        <v>13</v>
      </c>
      <c r="M83" s="36">
        <v>54</v>
      </c>
      <c r="N83" s="37" t="str">
        <f>DATA!L82</f>
        <v>Karian Dam-Serpong Water Conveyance and Supply System Project</v>
      </c>
      <c r="O83" s="187">
        <f>DATA!T82</f>
        <v>373862000</v>
      </c>
      <c r="P83" s="187">
        <f>DATA!U82</f>
        <v>373862000</v>
      </c>
      <c r="Q83" s="1446">
        <f>DATA!V82</f>
        <v>181074000</v>
      </c>
      <c r="R83" s="1446">
        <f>DATA!W82</f>
        <v>0</v>
      </c>
      <c r="S83" s="2467">
        <f t="shared" si="5"/>
        <v>554936000</v>
      </c>
      <c r="T83" s="2468"/>
      <c r="U83" s="1449" t="str">
        <f>DATA!Y82</f>
        <v>Korea</v>
      </c>
      <c r="V83" s="77">
        <f>DATA!AA82</f>
        <v>373862000</v>
      </c>
      <c r="W83" s="77">
        <v>0</v>
      </c>
      <c r="X83" s="216" t="str">
        <f>DATA!Y82</f>
        <v>Korea</v>
      </c>
      <c r="Y83" s="245">
        <f>DATA!AT82</f>
        <v>373862000</v>
      </c>
      <c r="Z83" s="109" t="str">
        <f>DATA!AU82</f>
        <v>Korea</v>
      </c>
      <c r="AA83" s="1544" t="str">
        <f>DATA!AW82</f>
        <v>masuk rolling plan EDCF (Korea)</v>
      </c>
      <c r="AB83" s="245">
        <f>DATA!AM82</f>
        <v>0</v>
      </c>
      <c r="AC83" s="1510" t="str">
        <f>DATA!AN82</f>
        <v>dalam proses
(memiliki FS)</v>
      </c>
      <c r="AD83" s="1511" t="str">
        <f>DATA!AO82</f>
        <v>dalam proses
(perencanaan)</v>
      </c>
      <c r="AE83" s="1545">
        <f>DATA!AQ82</f>
        <v>0</v>
      </c>
      <c r="AF83" s="1547" t="str">
        <f>DATA!AR82</f>
        <v>belum ada dokumen R/C</v>
      </c>
    </row>
    <row r="84" spans="1:32" ht="36" customHeight="1">
      <c r="A84" s="10">
        <f>DATA!A83</f>
        <v>65</v>
      </c>
      <c r="B84" s="10">
        <f>DATA!B83</f>
        <v>0</v>
      </c>
      <c r="C84" s="10" t="str">
        <f>DATA!D83</f>
        <v>INFRASTRUKTUR</v>
      </c>
      <c r="D84" s="10">
        <f>DATA!E83</f>
        <v>1</v>
      </c>
      <c r="E84" s="10" t="str">
        <f>DATA!F83</f>
        <v>Kementerian Pekerjaan Umum dan Perumahan Rakyat</v>
      </c>
      <c r="F84" s="10" t="str">
        <f>DATA!H83</f>
        <v>Provision and Management of Bulk Water Supply Program</v>
      </c>
      <c r="G84" s="10" t="str">
        <f>DATA!I83</f>
        <v>I</v>
      </c>
      <c r="H84" s="10" t="str">
        <f>DATA!J83</f>
        <v xml:space="preserve">Program Penyediaan dan Pengelolaan Air Baku </v>
      </c>
      <c r="I84" s="10">
        <f>DATA!K83</f>
        <v>3</v>
      </c>
      <c r="J84" s="254"/>
      <c r="K84" s="34"/>
      <c r="L84" s="54">
        <v>14</v>
      </c>
      <c r="M84" s="36">
        <v>55</v>
      </c>
      <c r="N84" s="37" t="str">
        <f>DATA!L83</f>
        <v>Engineering Service for Bulk Water and Water Supply Development Project</v>
      </c>
      <c r="O84" s="187">
        <f>DATA!T83</f>
        <v>50000000</v>
      </c>
      <c r="P84" s="187">
        <f>DATA!U83</f>
        <v>50000000</v>
      </c>
      <c r="Q84" s="1446">
        <f>DATA!V83</f>
        <v>0</v>
      </c>
      <c r="R84" s="1446">
        <f>DATA!W83</f>
        <v>0</v>
      </c>
      <c r="S84" s="2467">
        <f t="shared" si="5"/>
        <v>50000000</v>
      </c>
      <c r="T84" s="2468"/>
      <c r="U84" s="1449" t="str">
        <f>DATA!Y83</f>
        <v>ADB</v>
      </c>
      <c r="V84" s="77">
        <f>DATA!AA83</f>
        <v>50000000</v>
      </c>
      <c r="W84" s="77">
        <v>0</v>
      </c>
      <c r="X84" s="216" t="str">
        <f>DATA!Y83</f>
        <v>ADB</v>
      </c>
      <c r="Y84" s="245">
        <f>DATA!AT83</f>
        <v>50000000</v>
      </c>
      <c r="Z84" s="109" t="str">
        <f>DATA!AU83</f>
        <v>ADB</v>
      </c>
      <c r="AA84" s="1544" t="str">
        <f>DATA!AW83</f>
        <v>-</v>
      </c>
      <c r="AB84" s="1625" t="str">
        <f>DATA!AM83</f>
        <v>2016; 2015</v>
      </c>
      <c r="AC84" s="1510" t="str">
        <f>DATA!AN83</f>
        <v>siap</v>
      </c>
      <c r="AD84" s="1511" t="str">
        <f>DATA!AO83</f>
        <v>tidak butuh lahan</v>
      </c>
      <c r="AE84" s="1545">
        <f>DATA!AQ83</f>
        <v>0</v>
      </c>
      <c r="AF84" s="1547" t="str">
        <f>DATA!AR83</f>
        <v>- sudah GB 2016  
- Nilai pinjaman di GB USD 2.000 ribu</v>
      </c>
    </row>
    <row r="85" spans="1:32" s="5" customFormat="1" ht="33.75" customHeight="1">
      <c r="J85" s="1594"/>
      <c r="K85" s="50"/>
      <c r="L85" s="30" t="s">
        <v>219</v>
      </c>
      <c r="M85" s="31" t="str">
        <f>DATA!J84</f>
        <v xml:space="preserve">Program Pembangunan Waduk </v>
      </c>
      <c r="N85" s="51"/>
      <c r="O85" s="197">
        <f>O86+O87+O93+O88+O89+O90+O91+O92+O94+O95+O96</f>
        <v>2133750000</v>
      </c>
      <c r="P85" s="197">
        <f>P86+P87+P93+P88+P89+P90+P91+P92+P94+P95+P96</f>
        <v>2133750000</v>
      </c>
      <c r="Q85" s="197">
        <f>Q86+Q87+Q93+Q88+Q89+Q90+Q91+Q92+Q94+Q95+Q96</f>
        <v>963200000</v>
      </c>
      <c r="R85" s="197">
        <f>R86+R87+R93+R88+R89+R90+R91+R92+R94+R95+R96</f>
        <v>0</v>
      </c>
      <c r="S85" s="197">
        <f>S86+S87+S93+S88+S89+S90+S91+S92+S94+S95+S96</f>
        <v>3096950000</v>
      </c>
      <c r="T85" s="2463"/>
      <c r="U85" s="198"/>
      <c r="V85" s="81">
        <f>V86+V87+V88+V89+V90+V91+V92+V93+V94+V95+V96+V97+V98</f>
        <v>2057358596</v>
      </c>
      <c r="W85" s="81">
        <f>W86+W87+W88+W89+W90+W91+W92+W93+W94+W95+W96+W97+W98</f>
        <v>76391404</v>
      </c>
      <c r="X85" s="214">
        <f>SUM(X88:X95)</f>
        <v>0</v>
      </c>
      <c r="Y85" s="244">
        <f>Y86+Y87+Y88+Y89+Y90+Y91+Y92+Y93+Y94+Y95+Y96+Y97+Y98</f>
        <v>2133750000</v>
      </c>
      <c r="Z85" s="81">
        <f>SUM(Z88:Z95)</f>
        <v>0</v>
      </c>
      <c r="AA85" s="214"/>
      <c r="AB85" s="1505"/>
      <c r="AC85" s="1506"/>
      <c r="AD85" s="169"/>
      <c r="AE85" s="1507"/>
      <c r="AF85" s="1530"/>
    </row>
    <row r="86" spans="1:32" s="1588" customFormat="1" ht="33.75" customHeight="1">
      <c r="J86" s="1594"/>
      <c r="K86" s="1595"/>
      <c r="L86" s="1596">
        <v>15</v>
      </c>
      <c r="M86" s="64">
        <v>56</v>
      </c>
      <c r="N86" s="65" t="str">
        <f>DATA!L84</f>
        <v>Jambo Aye Multipurpose Dam Project</v>
      </c>
      <c r="O86" s="187">
        <f>DATA!T84</f>
        <v>662200000</v>
      </c>
      <c r="P86" s="187">
        <f>DATA!U84</f>
        <v>662200000</v>
      </c>
      <c r="Q86" s="1446">
        <f>DATA!V84</f>
        <v>460700000</v>
      </c>
      <c r="R86" s="1446">
        <f>DATA!W84</f>
        <v>0</v>
      </c>
      <c r="S86" s="2467">
        <f t="shared" si="5"/>
        <v>1122900000</v>
      </c>
      <c r="T86" s="2483"/>
      <c r="U86" s="1606"/>
      <c r="V86" s="77">
        <f>DATA!AA84</f>
        <v>662200000</v>
      </c>
      <c r="W86" s="77">
        <f>DATA!AB84</f>
        <v>0</v>
      </c>
      <c r="X86" s="88" t="str">
        <f>DATA!Y84</f>
        <v>Rupiah Murni</v>
      </c>
      <c r="Y86" s="2485">
        <f>DATA!AT84</f>
        <v>662200000</v>
      </c>
      <c r="Z86" s="260" t="str">
        <f>DATA!AU84</f>
        <v>Belum Ada Indikasi</v>
      </c>
      <c r="AA86" s="1544" t="str">
        <f>DATA!AW84</f>
        <v>-</v>
      </c>
      <c r="AB86" s="245">
        <f>DATA!AM84</f>
        <v>0</v>
      </c>
      <c r="AC86" s="1510" t="str">
        <f>DATA!AN84</f>
        <v>belum ada keterangan</v>
      </c>
      <c r="AD86" s="1510" t="str">
        <f>DATA!AO84</f>
        <v>dalam proses
(perencanaan)</v>
      </c>
      <c r="AE86" s="1545">
        <f>DATA!AQ84</f>
        <v>0</v>
      </c>
      <c r="AF86" s="1547" t="str">
        <f>DATA!AR84</f>
        <v>belum ada dokumen R/C</v>
      </c>
    </row>
    <row r="87" spans="1:32" s="1588" customFormat="1" ht="33.75" customHeight="1">
      <c r="J87" s="1594"/>
      <c r="K87" s="1595"/>
      <c r="L87" s="1596">
        <v>16</v>
      </c>
      <c r="M87" s="64">
        <v>57</v>
      </c>
      <c r="N87" s="65" t="str">
        <f>DATA!L85</f>
        <v>Komering Multipurpose Dam Project - Phase II</v>
      </c>
      <c r="O87" s="187">
        <f>DATA!T85</f>
        <v>200000000</v>
      </c>
      <c r="P87" s="187">
        <f>DATA!U85</f>
        <v>200000000</v>
      </c>
      <c r="Q87" s="1446">
        <f>DATA!V85</f>
        <v>20000000</v>
      </c>
      <c r="R87" s="1446">
        <f>DATA!W85</f>
        <v>0</v>
      </c>
      <c r="S87" s="2467">
        <f t="shared" si="5"/>
        <v>220000000</v>
      </c>
      <c r="T87" s="2483"/>
      <c r="U87" s="1606"/>
      <c r="V87" s="77">
        <f>DATA!AA85</f>
        <v>200000000</v>
      </c>
      <c r="W87" s="1608">
        <v>0</v>
      </c>
      <c r="X87" s="88" t="str">
        <f>DATA!Y85</f>
        <v>Rupiah Murni</v>
      </c>
      <c r="Y87" s="2485">
        <f>DATA!AT85</f>
        <v>200000000</v>
      </c>
      <c r="Z87" s="260" t="str">
        <f>DATA!AU85</f>
        <v>Belum Ada Indikasi</v>
      </c>
      <c r="AA87" s="1544" t="str">
        <f>DATA!AW85</f>
        <v>-</v>
      </c>
      <c r="AB87" s="245">
        <f>DATA!AM85</f>
        <v>0</v>
      </c>
      <c r="AC87" s="1510" t="str">
        <f>DATA!AN85</f>
        <v>dalam proses
(penyusunan FS)</v>
      </c>
      <c r="AD87" s="1510" t="str">
        <f>DATA!AO85</f>
        <v>dalam proses
(perencanaan)</v>
      </c>
      <c r="AE87" s="1545">
        <f>DATA!AQ85</f>
        <v>0</v>
      </c>
      <c r="AF87" s="1547" t="str">
        <f>DATA!AR85</f>
        <v>belum ada dokumen R/C</v>
      </c>
    </row>
    <row r="88" spans="1:32" ht="30.75" customHeight="1">
      <c r="A88" s="10">
        <f>DATA!A86</f>
        <v>68</v>
      </c>
      <c r="B88" s="10">
        <f>DATA!B86</f>
        <v>0</v>
      </c>
      <c r="C88" s="10" t="str">
        <f>DATA!D86</f>
        <v>INFRASTRUKTUR</v>
      </c>
      <c r="D88" s="10">
        <f>DATA!E86</f>
        <v>1</v>
      </c>
      <c r="E88" s="10" t="str">
        <f>DATA!F86</f>
        <v>Kementerian Pekerjaan Umum dan Perumahan Rakyat</v>
      </c>
      <c r="F88" s="10" t="str">
        <f>DATA!H86</f>
        <v>Dam Development Program</v>
      </c>
      <c r="G88" s="10" t="str">
        <f>DATA!I86</f>
        <v>J</v>
      </c>
      <c r="H88" s="10" t="str">
        <f>DATA!J86</f>
        <v xml:space="preserve">Program Pembangunan Waduk </v>
      </c>
      <c r="I88" s="10">
        <f>DATA!K86</f>
        <v>3</v>
      </c>
      <c r="J88" s="254"/>
      <c r="K88" s="34"/>
      <c r="L88" s="34">
        <v>17</v>
      </c>
      <c r="M88" s="64">
        <v>58</v>
      </c>
      <c r="N88" s="37" t="str">
        <f>DATA!L86</f>
        <v>Pelosika Multipurpose Dam Construction Project</v>
      </c>
      <c r="O88" s="187">
        <f>DATA!T86</f>
        <v>200000000</v>
      </c>
      <c r="P88" s="187">
        <f>DATA!U86</f>
        <v>200000000</v>
      </c>
      <c r="Q88" s="187">
        <f>DATA!V86</f>
        <v>170000000</v>
      </c>
      <c r="R88" s="1446">
        <f>BB[[#This Row],[HIBAH BB]]</f>
        <v>0</v>
      </c>
      <c r="S88" s="2467">
        <f t="shared" si="5"/>
        <v>370000000</v>
      </c>
      <c r="T88" s="2468"/>
      <c r="U88" s="1449" t="str">
        <f>DATA!Y86</f>
        <v>Rupiah Murni</v>
      </c>
      <c r="V88" s="77">
        <f>DATA!AA86</f>
        <v>200000000</v>
      </c>
      <c r="W88" s="77">
        <v>0</v>
      </c>
      <c r="X88" s="216" t="str">
        <f>DATA!Y86</f>
        <v>Rupiah Murni</v>
      </c>
      <c r="Y88" s="245">
        <f>DATA!AT86</f>
        <v>200000000</v>
      </c>
      <c r="Z88" s="109" t="str">
        <f>DATA!AU86</f>
        <v>RRT</v>
      </c>
      <c r="AA88" s="1544" t="str">
        <f>DATA!AW86</f>
        <v>-</v>
      </c>
      <c r="AB88" s="245">
        <f>DATA!AM86</f>
        <v>0</v>
      </c>
      <c r="AC88" s="1510" t="str">
        <f>DATA!AN86</f>
        <v>dalam proses
(penyusunan FS)</v>
      </c>
      <c r="AD88" s="1511" t="str">
        <f>DATA!AO86</f>
        <v>dalam proses
(perencanaan)</v>
      </c>
      <c r="AE88" s="1545">
        <f>DATA!AQ86</f>
        <v>0</v>
      </c>
      <c r="AF88" s="1547" t="str">
        <f>DATA!AR86</f>
        <v>belum ada dokumen R/C</v>
      </c>
    </row>
    <row r="89" spans="1:32" ht="25.5">
      <c r="A89" s="10">
        <f>DATA!A87</f>
        <v>69</v>
      </c>
      <c r="B89" s="10">
        <f>DATA!B87</f>
        <v>0</v>
      </c>
      <c r="C89" s="10" t="str">
        <f>DATA!D87</f>
        <v>INFRASTRUKTUR</v>
      </c>
      <c r="D89" s="10">
        <f>DATA!E87</f>
        <v>1</v>
      </c>
      <c r="E89" s="10" t="str">
        <f>DATA!F87</f>
        <v>Kementerian Pekerjaan Umum dan Perumahan Rakyat</v>
      </c>
      <c r="F89" s="10" t="str">
        <f>DATA!H87</f>
        <v>Dam Development Program</v>
      </c>
      <c r="G89" s="10" t="str">
        <f>DATA!I87</f>
        <v>J</v>
      </c>
      <c r="H89" s="10" t="str">
        <f>DATA!J87</f>
        <v xml:space="preserve">Program Pembangunan Waduk </v>
      </c>
      <c r="I89" s="10">
        <f>DATA!K87</f>
        <v>4</v>
      </c>
      <c r="J89" s="254"/>
      <c r="K89" s="34"/>
      <c r="L89" s="34">
        <v>18</v>
      </c>
      <c r="M89" s="64">
        <v>59</v>
      </c>
      <c r="N89" s="37" t="str">
        <f>DATA!L87</f>
        <v>Lambakan  Dam Project</v>
      </c>
      <c r="O89" s="187">
        <f>DATA!T87</f>
        <v>258000000</v>
      </c>
      <c r="P89" s="187">
        <f>DATA!U87</f>
        <v>258000000</v>
      </c>
      <c r="Q89" s="187">
        <f>DATA!V87</f>
        <v>227000000</v>
      </c>
      <c r="R89" s="1446">
        <f>BB[[#This Row],[HIBAH BB]]</f>
        <v>0</v>
      </c>
      <c r="S89" s="2467">
        <f t="shared" si="5"/>
        <v>485000000</v>
      </c>
      <c r="T89" s="2468"/>
      <c r="U89" s="1449" t="str">
        <f>DATA!Y87</f>
        <v>IDB</v>
      </c>
      <c r="V89" s="77">
        <f>DATA!AA87</f>
        <v>258000000</v>
      </c>
      <c r="W89" s="77">
        <v>0</v>
      </c>
      <c r="X89" s="216" t="str">
        <f>DATA!Y87</f>
        <v>IDB</v>
      </c>
      <c r="Y89" s="245">
        <f>DATA!AT87</f>
        <v>258000000</v>
      </c>
      <c r="Z89" s="109" t="str">
        <f>DATA!AU87</f>
        <v>IDB</v>
      </c>
      <c r="AA89" s="1544" t="str">
        <f>DATA!AW87</f>
        <v>-</v>
      </c>
      <c r="AB89" s="245">
        <f>DATA!AM87</f>
        <v>0</v>
      </c>
      <c r="AC89" s="1510" t="str">
        <f>DATA!AN87</f>
        <v>dalam proses
(penyusunan FS)</v>
      </c>
      <c r="AD89" s="1511" t="str">
        <f>DATA!AO87</f>
        <v>dalam proses
(perencanaan)</v>
      </c>
      <c r="AE89" s="1545">
        <f>DATA!AQ87</f>
        <v>0</v>
      </c>
      <c r="AF89" s="1547" t="str">
        <f>DATA!AR87</f>
        <v>belum ada dokumen R/C</v>
      </c>
    </row>
    <row r="90" spans="1:32" ht="25.5">
      <c r="A90" s="10">
        <f>DATA!A88</f>
        <v>70</v>
      </c>
      <c r="B90" s="10">
        <f>DATA!B88</f>
        <v>0</v>
      </c>
      <c r="C90" s="10" t="str">
        <f>DATA!D88</f>
        <v>INFRASTRUKTUR</v>
      </c>
      <c r="D90" s="10">
        <f>DATA!E88</f>
        <v>1</v>
      </c>
      <c r="E90" s="10" t="str">
        <f>DATA!F88</f>
        <v>Kementerian Pekerjaan Umum dan Perumahan Rakyat</v>
      </c>
      <c r="F90" s="10" t="str">
        <f>DATA!H88</f>
        <v>Dam Development Program</v>
      </c>
      <c r="G90" s="10" t="str">
        <f>DATA!I88</f>
        <v>J</v>
      </c>
      <c r="H90" s="10" t="str">
        <f>DATA!J88</f>
        <v xml:space="preserve">Program Pembangunan Waduk </v>
      </c>
      <c r="I90" s="10">
        <f>DATA!K88</f>
        <v>5</v>
      </c>
      <c r="J90" s="254"/>
      <c r="K90" s="34"/>
      <c r="L90" s="34">
        <v>19</v>
      </c>
      <c r="M90" s="64">
        <v>60</v>
      </c>
      <c r="N90" s="37" t="str">
        <f>DATA!L88</f>
        <v>Jenelata Dam Construction Project</v>
      </c>
      <c r="O90" s="187">
        <f>DATA!T88</f>
        <v>200000000</v>
      </c>
      <c r="P90" s="187">
        <f>DATA!U88</f>
        <v>200000000</v>
      </c>
      <c r="Q90" s="187">
        <f>DATA!V88</f>
        <v>20000000</v>
      </c>
      <c r="R90" s="1446">
        <f>BB[[#This Row],[HIBAH BB]]</f>
        <v>0</v>
      </c>
      <c r="S90" s="2467">
        <f t="shared" si="5"/>
        <v>220000000</v>
      </c>
      <c r="T90" s="2468"/>
      <c r="U90" s="1449" t="str">
        <f>DATA!Y88</f>
        <v>RRT</v>
      </c>
      <c r="V90" s="77">
        <f>DATA!AA88</f>
        <v>200000000</v>
      </c>
      <c r="W90" s="77">
        <v>0</v>
      </c>
      <c r="X90" s="216" t="str">
        <f>DATA!Y88</f>
        <v>RRT</v>
      </c>
      <c r="Y90" s="245">
        <f>DATA!AT88</f>
        <v>200000000</v>
      </c>
      <c r="Z90" s="109" t="str">
        <f>DATA!AU88</f>
        <v>RRT</v>
      </c>
      <c r="AA90" s="1544" t="str">
        <f>DATA!AW88</f>
        <v>-</v>
      </c>
      <c r="AB90" s="245">
        <f>DATA!AM88</f>
        <v>0</v>
      </c>
      <c r="AC90" s="1510" t="str">
        <f>DATA!AN88</f>
        <v>siap</v>
      </c>
      <c r="AD90" s="1511" t="str">
        <f>DATA!AO88</f>
        <v>dalam proses
(perencanaan)</v>
      </c>
      <c r="AE90" s="1545">
        <f>DATA!AQ88</f>
        <v>0</v>
      </c>
      <c r="AF90" s="1547" t="str">
        <f>DATA!AR88</f>
        <v>belum ada dokumen R/C</v>
      </c>
    </row>
    <row r="91" spans="1:32" ht="25.5">
      <c r="A91" s="10">
        <f>DATA!A89</f>
        <v>71</v>
      </c>
      <c r="B91" s="10">
        <f>DATA!B89</f>
        <v>0</v>
      </c>
      <c r="C91" s="10" t="str">
        <f>DATA!D89</f>
        <v>INFRASTRUKTUR</v>
      </c>
      <c r="D91" s="10">
        <f>DATA!E89</f>
        <v>1</v>
      </c>
      <c r="E91" s="10" t="str">
        <f>DATA!F89</f>
        <v>Kementerian Pekerjaan Umum dan Perumahan Rakyat</v>
      </c>
      <c r="F91" s="10" t="str">
        <f>DATA!H89</f>
        <v>Dam Development Program</v>
      </c>
      <c r="G91" s="10" t="str">
        <f>DATA!I89</f>
        <v>J</v>
      </c>
      <c r="H91" s="10" t="str">
        <f>DATA!J89</f>
        <v xml:space="preserve">Program Pembangunan Waduk </v>
      </c>
      <c r="I91" s="10">
        <f>DATA!K89</f>
        <v>6</v>
      </c>
      <c r="J91" s="254"/>
      <c r="K91" s="34"/>
      <c r="L91" s="34">
        <v>20</v>
      </c>
      <c r="M91" s="64">
        <v>61</v>
      </c>
      <c r="N91" s="37" t="str">
        <f>DATA!L89</f>
        <v>Bonehulu Dam Construction Project</v>
      </c>
      <c r="O91" s="187">
        <f>DATA!T89</f>
        <v>128250000</v>
      </c>
      <c r="P91" s="187">
        <f>DATA!U89</f>
        <v>128250000</v>
      </c>
      <c r="Q91" s="187">
        <f>DATA!V89</f>
        <v>21000000</v>
      </c>
      <c r="R91" s="1446">
        <f>BB[[#This Row],[HIBAH BB]]</f>
        <v>0</v>
      </c>
      <c r="S91" s="2467">
        <f t="shared" si="5"/>
        <v>149250000</v>
      </c>
      <c r="T91" s="2468"/>
      <c r="U91" s="1449" t="str">
        <f>DATA!Y89</f>
        <v>RRT</v>
      </c>
      <c r="V91" s="77">
        <f>DATA!AA89</f>
        <v>128250000</v>
      </c>
      <c r="W91" s="77">
        <v>0</v>
      </c>
      <c r="X91" s="216" t="str">
        <f>DATA!Y89</f>
        <v>RRT</v>
      </c>
      <c r="Y91" s="245">
        <f>DATA!AT89</f>
        <v>128250000</v>
      </c>
      <c r="Z91" s="109" t="str">
        <f>DATA!AU89</f>
        <v>RRT</v>
      </c>
      <c r="AA91" s="1544" t="str">
        <f>DATA!AW89</f>
        <v>-</v>
      </c>
      <c r="AB91" s="245">
        <f>DATA!AM89</f>
        <v>0</v>
      </c>
      <c r="AC91" s="1510" t="str">
        <f>DATA!AN89</f>
        <v>dalam proses
(penyusunan FS)</v>
      </c>
      <c r="AD91" s="1511" t="str">
        <f>DATA!AO89</f>
        <v>dalam proses
(perencanaan)</v>
      </c>
      <c r="AE91" s="1545">
        <f>DATA!AQ89</f>
        <v>0</v>
      </c>
      <c r="AF91" s="1547" t="str">
        <f>DATA!AR89</f>
        <v>belum ada dokumen R/C</v>
      </c>
    </row>
    <row r="92" spans="1:32" ht="25.5">
      <c r="A92" s="10">
        <f>DATA!A90</f>
        <v>72</v>
      </c>
      <c r="B92" s="10">
        <f>DATA!B90</f>
        <v>0</v>
      </c>
      <c r="C92" s="10" t="str">
        <f>DATA!D90</f>
        <v>INFRASTRUKTUR</v>
      </c>
      <c r="D92" s="10">
        <f>DATA!E90</f>
        <v>1</v>
      </c>
      <c r="E92" s="10" t="str">
        <f>DATA!F90</f>
        <v>Kementerian Pekerjaan Umum dan Perumahan Rakyat</v>
      </c>
      <c r="F92" s="10" t="str">
        <f>DATA!H90</f>
        <v>Dam Development Program</v>
      </c>
      <c r="G92" s="10" t="str">
        <f>DATA!I90</f>
        <v>J</v>
      </c>
      <c r="H92" s="10" t="str">
        <f>DATA!J90</f>
        <v xml:space="preserve">Program Pembangunan Waduk </v>
      </c>
      <c r="I92" s="10">
        <f>DATA!K90</f>
        <v>7</v>
      </c>
      <c r="J92" s="254"/>
      <c r="K92" s="34"/>
      <c r="L92" s="34">
        <v>21</v>
      </c>
      <c r="M92" s="64">
        <v>62</v>
      </c>
      <c r="N92" s="37" t="str">
        <f>DATA!L90</f>
        <v>Ladongi Dam Construction Project</v>
      </c>
      <c r="O92" s="187">
        <f>DATA!T90</f>
        <v>70000000</v>
      </c>
      <c r="P92" s="187">
        <f>DATA!U90</f>
        <v>70000000</v>
      </c>
      <c r="Q92" s="187">
        <f>DATA!V90</f>
        <v>7000000</v>
      </c>
      <c r="R92" s="1446">
        <f>BB[[#This Row],[HIBAH BB]]</f>
        <v>0</v>
      </c>
      <c r="S92" s="2467">
        <f t="shared" si="5"/>
        <v>77000000</v>
      </c>
      <c r="T92" s="2468"/>
      <c r="U92" s="1449" t="str">
        <f>DATA!Y90</f>
        <v>RRT</v>
      </c>
      <c r="V92" s="77">
        <f>DATA!AA90</f>
        <v>70000000</v>
      </c>
      <c r="W92" s="77">
        <v>0</v>
      </c>
      <c r="X92" s="216" t="str">
        <f>DATA!Y90</f>
        <v>RRT</v>
      </c>
      <c r="Y92" s="245">
        <f>DATA!AT90</f>
        <v>70000000</v>
      </c>
      <c r="Z92" s="109" t="str">
        <f>DATA!AU90</f>
        <v>RRT</v>
      </c>
      <c r="AA92" s="1544" t="str">
        <f>DATA!AW90</f>
        <v>-</v>
      </c>
      <c r="AB92" s="245">
        <f>DATA!AM90</f>
        <v>0</v>
      </c>
      <c r="AC92" s="1510" t="str">
        <f>DATA!AN90</f>
        <v>siap</v>
      </c>
      <c r="AD92" s="1511" t="str">
        <f>DATA!AO90</f>
        <v>dalam proses
(perencanaan)</v>
      </c>
      <c r="AE92" s="1545">
        <f>DATA!AQ90</f>
        <v>0</v>
      </c>
      <c r="AF92" s="1547" t="str">
        <f>DATA!AR90</f>
        <v>belum ada dokumen R/C</v>
      </c>
    </row>
    <row r="93" spans="1:32" ht="22.5" customHeight="1">
      <c r="J93" s="254"/>
      <c r="K93" s="34"/>
      <c r="L93" s="34">
        <v>22</v>
      </c>
      <c r="M93" s="64">
        <v>63</v>
      </c>
      <c r="N93" s="37" t="str">
        <f>DATA!L91</f>
        <v>Kuwil Kawangkoan Dam Construction Project</v>
      </c>
      <c r="O93" s="187">
        <f>DATA!T91</f>
        <v>110000000</v>
      </c>
      <c r="P93" s="187">
        <f>DATA!U91</f>
        <v>110000000</v>
      </c>
      <c r="Q93" s="187">
        <f>DATA!V91</f>
        <v>11000000</v>
      </c>
      <c r="R93" s="187">
        <f>DATA!W91</f>
        <v>0</v>
      </c>
      <c r="S93" s="2467">
        <f t="shared" si="5"/>
        <v>121000000</v>
      </c>
      <c r="T93" s="2468"/>
      <c r="U93" s="1449"/>
      <c r="V93" s="77">
        <f>DATA!AA91</f>
        <v>110000000</v>
      </c>
      <c r="W93" s="77"/>
      <c r="X93" s="216" t="str">
        <f>DATA!Y91</f>
        <v>Rupiah Murni</v>
      </c>
      <c r="Y93" s="245">
        <f>DATA!AT91</f>
        <v>110000000</v>
      </c>
      <c r="Z93" s="109" t="str">
        <f>DATA!AU91</f>
        <v>Belum Ada Indikasi</v>
      </c>
      <c r="AA93" s="1544" t="str">
        <f>DATA!AW91</f>
        <v>-</v>
      </c>
      <c r="AB93" s="245">
        <f>DATA!AM91</f>
        <v>0</v>
      </c>
      <c r="AC93" s="1510"/>
      <c r="AD93" s="1511"/>
      <c r="AE93" s="1545">
        <f>DATA!AQ91</f>
        <v>0</v>
      </c>
      <c r="AF93" s="1547" t="str">
        <f>DATA!AR91</f>
        <v>belum ada dokumen R/C</v>
      </c>
    </row>
    <row r="94" spans="1:32" ht="33" customHeight="1">
      <c r="A94" s="10">
        <f>DATA!A92</f>
        <v>74</v>
      </c>
      <c r="B94" s="10">
        <f>DATA!B92</f>
        <v>0</v>
      </c>
      <c r="C94" s="10" t="str">
        <f>DATA!D92</f>
        <v>INFRASTRUKTUR</v>
      </c>
      <c r="D94" s="10">
        <f>DATA!E92</f>
        <v>1</v>
      </c>
      <c r="E94" s="10" t="str">
        <f>DATA!F92</f>
        <v>Kementerian Pekerjaan Umum dan Perumahan Rakyat</v>
      </c>
      <c r="F94" s="10" t="str">
        <f>DATA!H92</f>
        <v>Dam Development Program</v>
      </c>
      <c r="G94" s="10" t="str">
        <f>DATA!I92</f>
        <v>J</v>
      </c>
      <c r="H94" s="10" t="str">
        <f>DATA!J92</f>
        <v xml:space="preserve">Program Pembangunan Waduk </v>
      </c>
      <c r="I94" s="10">
        <f>DATA!K92</f>
        <v>9</v>
      </c>
      <c r="J94" s="254"/>
      <c r="K94" s="34"/>
      <c r="L94" s="34">
        <v>23</v>
      </c>
      <c r="M94" s="64">
        <v>64</v>
      </c>
      <c r="N94" s="37" t="str">
        <f>DATA!L92</f>
        <v>Lompatan Harimau Dam Construction Project (Rokan Kiri Dam Construction Project)</v>
      </c>
      <c r="O94" s="187">
        <f>DATA!T92</f>
        <v>152100000</v>
      </c>
      <c r="P94" s="187">
        <f>DATA!U92</f>
        <v>152100000</v>
      </c>
      <c r="Q94" s="187">
        <f>DATA!V92</f>
        <v>26500000</v>
      </c>
      <c r="R94" s="1446">
        <f>DATA!W92</f>
        <v>0</v>
      </c>
      <c r="S94" s="2467">
        <f t="shared" si="5"/>
        <v>178600000</v>
      </c>
      <c r="T94" s="2468"/>
      <c r="U94" s="1449" t="str">
        <f>DATA!Y92</f>
        <v>RRT</v>
      </c>
      <c r="V94" s="77">
        <f>DATA!AA92</f>
        <v>152100000</v>
      </c>
      <c r="W94" s="77">
        <v>0</v>
      </c>
      <c r="X94" s="216" t="str">
        <f>DATA!Y92</f>
        <v>RRT</v>
      </c>
      <c r="Y94" s="245">
        <f>DATA!AT92</f>
        <v>152100000</v>
      </c>
      <c r="Z94" s="109" t="str">
        <f>DATA!AU92</f>
        <v>RRT</v>
      </c>
      <c r="AA94" s="1544" t="str">
        <f>DATA!AW92</f>
        <v>-</v>
      </c>
      <c r="AB94" s="245">
        <f>DATA!AM92</f>
        <v>0</v>
      </c>
      <c r="AC94" s="1510" t="str">
        <f>DATA!AN92</f>
        <v>dalam proses
(memiliki FS)</v>
      </c>
      <c r="AD94" s="1511" t="str">
        <f>DATA!AO92</f>
        <v>dalam proses
(perencanaan)</v>
      </c>
      <c r="AE94" s="1545">
        <f>DATA!AQ92</f>
        <v>0</v>
      </c>
      <c r="AF94" s="1547" t="str">
        <f>DATA!AR92</f>
        <v>belum ada dokumen R/C</v>
      </c>
    </row>
    <row r="95" spans="1:32" ht="23.25" customHeight="1">
      <c r="A95" s="10">
        <f>DATA!A97</f>
        <v>76</v>
      </c>
      <c r="B95" s="10">
        <f>DATA!B97</f>
        <v>0</v>
      </c>
      <c r="C95" s="10" t="str">
        <f>DATA!D97</f>
        <v>INFRASTRUKTUR</v>
      </c>
      <c r="D95" s="10">
        <f>DATA!E97</f>
        <v>1</v>
      </c>
      <c r="E95" s="10" t="str">
        <f>DATA!F97</f>
        <v>Kementerian Pekerjaan Umum dan Perumahan Rakyat</v>
      </c>
      <c r="F95" s="10" t="str">
        <f>DATA!H97</f>
        <v>Dam Development Program</v>
      </c>
      <c r="G95" s="10" t="str">
        <f>DATA!I97</f>
        <v>J</v>
      </c>
      <c r="H95" s="10" t="str">
        <f>DATA!J97</f>
        <v xml:space="preserve">Program Pembangunan Waduk </v>
      </c>
      <c r="I95" s="10">
        <f>DATA!K97</f>
        <v>11</v>
      </c>
      <c r="J95" s="254"/>
      <c r="K95" s="34"/>
      <c r="L95" s="34">
        <v>24</v>
      </c>
      <c r="M95" s="64">
        <v>65</v>
      </c>
      <c r="N95" s="37" t="str">
        <f>DATA!L97</f>
        <v>Additional Loan for Jatigede Dam Project 2</v>
      </c>
      <c r="O95" s="187">
        <f>DATA!T97</f>
        <v>53200000</v>
      </c>
      <c r="P95" s="187">
        <f>DATA!U97</f>
        <v>53200000</v>
      </c>
      <c r="Q95" s="1446">
        <f>DATA!V97</f>
        <v>0</v>
      </c>
      <c r="R95" s="1446">
        <f>DATA!W97</f>
        <v>0</v>
      </c>
      <c r="S95" s="2467">
        <f t="shared" si="5"/>
        <v>53200000</v>
      </c>
      <c r="T95" s="2468"/>
      <c r="U95" s="1449" t="str">
        <f>DATA!Y97</f>
        <v>RRT</v>
      </c>
      <c r="V95" s="77">
        <f>DATA!AA97</f>
        <v>53200000</v>
      </c>
      <c r="W95" s="77">
        <v>0</v>
      </c>
      <c r="X95" s="216" t="str">
        <f>DATA!Y97</f>
        <v>RRT</v>
      </c>
      <c r="Y95" s="245">
        <f>DATA!AT97</f>
        <v>53200000</v>
      </c>
      <c r="Z95" s="109" t="str">
        <f>DATA!AU97</f>
        <v>RRT</v>
      </c>
      <c r="AA95" s="1544" t="str">
        <f>DATA!AW97</f>
        <v>-</v>
      </c>
      <c r="AB95" s="1625">
        <f>DATA!AM97</f>
        <v>2015</v>
      </c>
      <c r="AC95" s="1510" t="str">
        <f>DATA!AN97</f>
        <v>dalam proses
(memiliki FS dan DED)</v>
      </c>
      <c r="AD95" s="1511" t="str">
        <f>DATA!AO97</f>
        <v>dalam proses
(persiapan)</v>
      </c>
      <c r="AE95" s="1545">
        <f>DATA!AQ97</f>
        <v>0</v>
      </c>
      <c r="AF95" s="1547" t="str">
        <f>DATA!AR97</f>
        <v>-</v>
      </c>
    </row>
    <row r="96" spans="1:32" ht="38.25">
      <c r="J96" s="254"/>
      <c r="K96" s="34"/>
      <c r="L96" s="34">
        <v>25</v>
      </c>
      <c r="M96" s="3390">
        <v>66</v>
      </c>
      <c r="N96" s="3393" t="str">
        <f>DATA!L93</f>
        <v>Engineering Service for Dam Multipurpose Development Project</v>
      </c>
      <c r="O96" s="3403">
        <f>DATA!T93</f>
        <v>100000000</v>
      </c>
      <c r="P96" s="3403">
        <f>DATA!U93</f>
        <v>100000000</v>
      </c>
      <c r="Q96" s="3443">
        <f>DATA!V93</f>
        <v>0</v>
      </c>
      <c r="R96" s="3443">
        <f>DATA!W93</f>
        <v>0</v>
      </c>
      <c r="S96" s="3403">
        <f t="shared" si="5"/>
        <v>100000000</v>
      </c>
      <c r="T96" s="3478"/>
      <c r="U96" s="1509" t="str">
        <f>DATA!Y94</f>
        <v>ADB</v>
      </c>
      <c r="V96" s="77">
        <f>DATA!AA94</f>
        <v>1930000</v>
      </c>
      <c r="W96" s="77">
        <v>0</v>
      </c>
      <c r="X96" s="216" t="str">
        <f>DATA!Y94</f>
        <v>ADB</v>
      </c>
      <c r="Y96" s="245">
        <f>DATA!AT94</f>
        <v>1930000</v>
      </c>
      <c r="Z96" s="109" t="str">
        <f>DATA!AU94</f>
        <v>ADB</v>
      </c>
      <c r="AA96" s="1544" t="str">
        <f>DATA!AW94</f>
        <v>co-financing dengan Korea (USD 21,7 juta) dan belum ada indikasi (USD 76,4 juta)</v>
      </c>
      <c r="AB96" s="245" t="str">
        <f>DATA!AM94</f>
        <v>2016; 2015</v>
      </c>
      <c r="AC96" s="3495" t="str">
        <f>DATA!AN94</f>
        <v>siap</v>
      </c>
      <c r="AD96" s="3502" t="str">
        <f>DATA!AO94</f>
        <v>tidak butuh lahan</v>
      </c>
      <c r="AE96" s="1545">
        <f>DATA!AQ94</f>
        <v>0</v>
      </c>
      <c r="AF96" s="1547" t="str">
        <f>DATA!AR94</f>
        <v>-</v>
      </c>
    </row>
    <row r="97" spans="1:32" ht="63.75">
      <c r="J97" s="254"/>
      <c r="K97" s="34"/>
      <c r="L97" s="34"/>
      <c r="M97" s="3392"/>
      <c r="N97" s="3397"/>
      <c r="O97" s="3405"/>
      <c r="P97" s="3405"/>
      <c r="Q97" s="3444"/>
      <c r="R97" s="3444"/>
      <c r="S97" s="3405"/>
      <c r="T97" s="3479"/>
      <c r="U97" s="1509" t="str">
        <f>DATA!Y95</f>
        <v>Korea</v>
      </c>
      <c r="V97" s="77">
        <f>DATA!AA95</f>
        <v>21678596</v>
      </c>
      <c r="W97" s="77">
        <v>0</v>
      </c>
      <c r="X97" s="216" t="str">
        <f>DATA!Y95</f>
        <v>Korea</v>
      </c>
      <c r="Y97" s="245">
        <f>DATA!AT95</f>
        <v>21678596</v>
      </c>
      <c r="Z97" s="109" t="str">
        <f>DATA!AU95</f>
        <v>Korea</v>
      </c>
      <c r="AA97" s="1544" t="str">
        <f>DATA!AW95</f>
        <v>- co-financing dengan ADB (USD 1,9 juta) dan belum ada indikasi (USD 76,4 juta)
- masuk rolling plan EDCF (Korea)</v>
      </c>
      <c r="AB97" s="1625">
        <f>DATA!AM95</f>
        <v>2016</v>
      </c>
      <c r="AC97" s="3496"/>
      <c r="AD97" s="3519"/>
      <c r="AE97" s="1545">
        <f>DATA!AQ95</f>
        <v>0</v>
      </c>
      <c r="AF97" s="1547" t="str">
        <f>DATA!AR95</f>
        <v>-</v>
      </c>
    </row>
    <row r="98" spans="1:32" ht="35.25" customHeight="1">
      <c r="J98" s="254"/>
      <c r="K98" s="34"/>
      <c r="L98" s="34"/>
      <c r="M98" s="3391"/>
      <c r="N98" s="3394"/>
      <c r="O98" s="3404"/>
      <c r="P98" s="3404"/>
      <c r="Q98" s="3445"/>
      <c r="R98" s="3445"/>
      <c r="S98" s="3404"/>
      <c r="T98" s="3480"/>
      <c r="U98" s="1509" t="str">
        <f>DATA!Y96</f>
        <v>Belum Ada Indikasi</v>
      </c>
      <c r="V98" s="77">
        <v>0</v>
      </c>
      <c r="W98" s="77">
        <f>DATA!AA96</f>
        <v>76391404</v>
      </c>
      <c r="X98" s="216" t="str">
        <f>DATA!Y96</f>
        <v>Belum Ada Indikasi</v>
      </c>
      <c r="Y98" s="245">
        <f>DATA!AT96</f>
        <v>76391404</v>
      </c>
      <c r="Z98" s="109" t="str">
        <f>DATA!AU96</f>
        <v>Belum Ada Indikasi</v>
      </c>
      <c r="AA98" s="1544" t="str">
        <f>DATA!AW96</f>
        <v>co-financing dengan Korea (USD 21,7 juta) dan ADB (USD 1,9 juta)</v>
      </c>
      <c r="AB98" s="245">
        <f>DATA!AM96</f>
        <v>0</v>
      </c>
      <c r="AC98" s="3497"/>
      <c r="AD98" s="3503"/>
      <c r="AE98" s="1545">
        <f>DATA!AQ96</f>
        <v>0</v>
      </c>
      <c r="AF98" s="1547" t="str">
        <f>DATA!AR96</f>
        <v>belum ada dokumen R/C</v>
      </c>
    </row>
    <row r="99" spans="1:32" s="5" customFormat="1" ht="33.75" customHeight="1">
      <c r="J99" s="1594"/>
      <c r="K99" s="50"/>
      <c r="L99" s="30" t="s">
        <v>238</v>
      </c>
      <c r="M99" s="31" t="str">
        <f>DATA!J98</f>
        <v>Program Mitigasi Terhadap Daya Rusak Air</v>
      </c>
      <c r="N99" s="51"/>
      <c r="O99" s="197">
        <f>+O100+O101+O102+O103+O104+O105+O106+O107</f>
        <v>1152636000</v>
      </c>
      <c r="P99" s="197">
        <f>+P100+P101+P102+P103+P104+P105+P106+P107</f>
        <v>1152636000</v>
      </c>
      <c r="Q99" s="197">
        <f>+Q100+Q101+Q102+Q103+Q104+Q105+Q106+Q107</f>
        <v>149840000</v>
      </c>
      <c r="R99" s="197">
        <f>+R100+R101+R102+R103+R104+R105+R106+R107</f>
        <v>0</v>
      </c>
      <c r="S99" s="1559">
        <f t="shared" ref="S99:S107" si="6">P99+Q99+R99</f>
        <v>1302476000</v>
      </c>
      <c r="T99" s="2463"/>
      <c r="U99" s="198"/>
      <c r="V99" s="81">
        <f>+V100+V101+V102+V103+V104+V105+V106+V107+V108+V109</f>
        <v>922756000</v>
      </c>
      <c r="W99" s="81">
        <f>+W100+W101+W102+W103+W104+W105+W106+W107+W108+W109</f>
        <v>229880000</v>
      </c>
      <c r="X99" s="214"/>
      <c r="Y99" s="244">
        <f>+Y100+Y101+Y102+Y103+Y104+Y105+Y106+Y107+Y108+Y109</f>
        <v>1152636000</v>
      </c>
      <c r="Z99" s="81" t="s">
        <v>21</v>
      </c>
      <c r="AA99" s="214"/>
      <c r="AB99" s="1505"/>
      <c r="AC99" s="1506"/>
      <c r="AD99" s="169"/>
      <c r="AE99" s="1507"/>
      <c r="AF99" s="1530"/>
    </row>
    <row r="100" spans="1:32" ht="23.25" customHeight="1">
      <c r="A100" s="10">
        <f>DATA!A98</f>
        <v>77</v>
      </c>
      <c r="B100" s="10">
        <f>DATA!B98</f>
        <v>0</v>
      </c>
      <c r="C100" s="10" t="str">
        <f>DATA!D98</f>
        <v>INFRASTRUKTUR</v>
      </c>
      <c r="D100" s="10">
        <f>DATA!E98</f>
        <v>1</v>
      </c>
      <c r="E100" s="10" t="str">
        <f>DATA!F98</f>
        <v>Kementerian Pekerjaan Umum dan Perumahan Rakyat</v>
      </c>
      <c r="F100" s="10" t="str">
        <f>DATA!H98</f>
        <v>Mitigation of Water Hazards Program</v>
      </c>
      <c r="G100" s="10" t="str">
        <f>DATA!I98</f>
        <v>K</v>
      </c>
      <c r="H100" s="10" t="str">
        <f>DATA!J98</f>
        <v>Program Mitigasi Terhadap Daya Rusak Air</v>
      </c>
      <c r="I100" s="10">
        <f>DATA!K98</f>
        <v>1</v>
      </c>
      <c r="J100" s="254"/>
      <c r="K100" s="34"/>
      <c r="L100" s="35">
        <v>26</v>
      </c>
      <c r="M100" s="36">
        <v>67</v>
      </c>
      <c r="N100" s="37" t="str">
        <f>DATA!L98</f>
        <v>Lower Solo River Improvement Project - Phase II</v>
      </c>
      <c r="O100" s="187">
        <f>DATA!T98</f>
        <v>155836000</v>
      </c>
      <c r="P100" s="187">
        <f>DATA!U98</f>
        <v>155836000</v>
      </c>
      <c r="Q100" s="1446">
        <f>DATA!V98</f>
        <v>22500000</v>
      </c>
      <c r="R100" s="1446">
        <f>DATA!W98</f>
        <v>0</v>
      </c>
      <c r="S100" s="2467">
        <f t="shared" si="6"/>
        <v>178336000</v>
      </c>
      <c r="T100" s="2468"/>
      <c r="U100" s="1449" t="str">
        <f>DATA!Y98</f>
        <v>JICA</v>
      </c>
      <c r="V100" s="77">
        <f>DATA!AA98</f>
        <v>155836000</v>
      </c>
      <c r="W100" s="77">
        <v>0</v>
      </c>
      <c r="X100" s="216" t="str">
        <f>DATA!Y98</f>
        <v>JICA</v>
      </c>
      <c r="Y100" s="245">
        <f>DATA!AT98</f>
        <v>155836000</v>
      </c>
      <c r="Z100" s="109" t="str">
        <f>DATA!AU98</f>
        <v>JICA</v>
      </c>
      <c r="AA100" s="1544" t="str">
        <f>DATA!AW98</f>
        <v>-</v>
      </c>
      <c r="AB100" s="245">
        <f>DATA!AM98</f>
        <v>0</v>
      </c>
      <c r="AC100" s="1510" t="str">
        <f>DATA!AN98</f>
        <v>siap</v>
      </c>
      <c r="AD100" s="1511" t="str">
        <f>DATA!AO98</f>
        <v>dalam proses
(perencanaan)</v>
      </c>
      <c r="AE100" s="1545">
        <f>DATA!AQ98</f>
        <v>0</v>
      </c>
      <c r="AF100" s="1547" t="str">
        <f>DATA!AR98</f>
        <v>belum ada dokumen R/C</v>
      </c>
    </row>
    <row r="101" spans="1:32" ht="42" customHeight="1">
      <c r="A101" s="10">
        <f>DATA!A99</f>
        <v>78</v>
      </c>
      <c r="B101" s="10">
        <f>DATA!B99</f>
        <v>0</v>
      </c>
      <c r="C101" s="10" t="str">
        <f>DATA!D99</f>
        <v>INFRASTRUKTUR</v>
      </c>
      <c r="D101" s="10">
        <f>DATA!E99</f>
        <v>1</v>
      </c>
      <c r="E101" s="10" t="str">
        <f>DATA!F99</f>
        <v>Kementerian Pekerjaan Umum dan Perumahan Rakyat</v>
      </c>
      <c r="F101" s="10" t="str">
        <f>DATA!H99</f>
        <v>Mitigation of Water Hazards Program</v>
      </c>
      <c r="G101" s="10" t="str">
        <f>DATA!I99</f>
        <v>K</v>
      </c>
      <c r="H101" s="10" t="str">
        <f>DATA!J99</f>
        <v>Program Mitigasi Terhadap Daya Rusak Air</v>
      </c>
      <c r="I101" s="10">
        <f>DATA!K99</f>
        <v>2</v>
      </c>
      <c r="J101" s="254"/>
      <c r="K101" s="34"/>
      <c r="L101" s="34">
        <v>27</v>
      </c>
      <c r="M101" s="36">
        <v>68</v>
      </c>
      <c r="N101" s="37" t="str">
        <f>DATA!L99</f>
        <v>Comprehensive Countermeasure for Sediment &amp; Flood Problems in South Sulawesi Province</v>
      </c>
      <c r="O101" s="187">
        <f>DATA!T99</f>
        <v>108100000</v>
      </c>
      <c r="P101" s="187">
        <f>DATA!U99</f>
        <v>108100000</v>
      </c>
      <c r="Q101" s="1446">
        <f>DATA!V99</f>
        <v>3900000</v>
      </c>
      <c r="R101" s="1446">
        <f>DATA!W99</f>
        <v>0</v>
      </c>
      <c r="S101" s="2467">
        <f t="shared" si="6"/>
        <v>112000000</v>
      </c>
      <c r="T101" s="2468"/>
      <c r="U101" s="1449" t="str">
        <f>DATA!Y99</f>
        <v>JICA</v>
      </c>
      <c r="V101" s="77">
        <f>DATA!AA99</f>
        <v>108100000</v>
      </c>
      <c r="W101" s="77">
        <v>0</v>
      </c>
      <c r="X101" s="216" t="str">
        <f>DATA!Y99</f>
        <v>JICA</v>
      </c>
      <c r="Y101" s="245">
        <f>DATA!AT99</f>
        <v>108100000</v>
      </c>
      <c r="Z101" s="109" t="str">
        <f>DATA!AU99</f>
        <v>JICA</v>
      </c>
      <c r="AA101" s="1544" t="str">
        <f>DATA!AW99</f>
        <v>-</v>
      </c>
      <c r="AB101" s="245">
        <f>DATA!AM99</f>
        <v>0</v>
      </c>
      <c r="AC101" s="1510" t="str">
        <f>DATA!AN99</f>
        <v>dalam proses
(memiliki FS dan DED)</v>
      </c>
      <c r="AD101" s="1511" t="str">
        <f>DATA!AO99</f>
        <v>belum ada keterangan</v>
      </c>
      <c r="AE101" s="1545">
        <f>DATA!AQ99</f>
        <v>0</v>
      </c>
      <c r="AF101" s="1547" t="str">
        <f>DATA!AR99</f>
        <v>belum ada dokumen R/C</v>
      </c>
    </row>
    <row r="102" spans="1:32" ht="26.25" customHeight="1">
      <c r="A102" s="10">
        <f>DATA!A100</f>
        <v>79</v>
      </c>
      <c r="B102" s="10">
        <f>DATA!B100</f>
        <v>0</v>
      </c>
      <c r="C102" s="10" t="str">
        <f>DATA!D100</f>
        <v>INFRASTRUKTUR</v>
      </c>
      <c r="D102" s="10">
        <f>DATA!E100</f>
        <v>1</v>
      </c>
      <c r="E102" s="10" t="str">
        <f>DATA!F100</f>
        <v>Kementerian Pekerjaan Umum dan Perumahan Rakyat</v>
      </c>
      <c r="F102" s="10" t="str">
        <f>DATA!H100</f>
        <v>Mitigation of Water Hazards Program</v>
      </c>
      <c r="G102" s="10" t="str">
        <f>DATA!I100</f>
        <v>K</v>
      </c>
      <c r="H102" s="10" t="str">
        <f>DATA!J100</f>
        <v>Program Mitigasi Terhadap Daya Rusak Air</v>
      </c>
      <c r="I102" s="10">
        <f>DATA!K100</f>
        <v>3</v>
      </c>
      <c r="J102" s="254"/>
      <c r="K102" s="34"/>
      <c r="L102" s="34">
        <v>28</v>
      </c>
      <c r="M102" s="36">
        <v>69</v>
      </c>
      <c r="N102" s="37" t="str">
        <f>DATA!L100</f>
        <v>Bali Beach Conservation Project - Phase II</v>
      </c>
      <c r="O102" s="187">
        <f>DATA!T100</f>
        <v>150000000</v>
      </c>
      <c r="P102" s="187">
        <f>DATA!U100</f>
        <v>150000000</v>
      </c>
      <c r="Q102" s="1446">
        <f>DATA!V100</f>
        <v>15000000</v>
      </c>
      <c r="R102" s="1446">
        <f>DATA!W100</f>
        <v>0</v>
      </c>
      <c r="S102" s="2467">
        <f t="shared" si="6"/>
        <v>165000000</v>
      </c>
      <c r="T102" s="2468"/>
      <c r="U102" s="1449" t="str">
        <f>DATA!Y100</f>
        <v>JICA</v>
      </c>
      <c r="V102" s="77">
        <f>DATA!AA100</f>
        <v>150000000</v>
      </c>
      <c r="W102" s="77">
        <v>0</v>
      </c>
      <c r="X102" s="216" t="str">
        <f>DATA!Y100</f>
        <v>JICA</v>
      </c>
      <c r="Y102" s="245">
        <f>DATA!AT100</f>
        <v>150000000</v>
      </c>
      <c r="Z102" s="109" t="str">
        <f>DATA!AU100</f>
        <v>JICA</v>
      </c>
      <c r="AA102" s="1544" t="str">
        <f>DATA!AW100</f>
        <v>-</v>
      </c>
      <c r="AB102" s="245" t="str">
        <f>DATA!AM100</f>
        <v>Rev. 2016</v>
      </c>
      <c r="AC102" s="1510" t="str">
        <f>DATA!AN100</f>
        <v>dalam proses
(memiliki FS)</v>
      </c>
      <c r="AD102" s="1511" t="str">
        <f>DATA!AO100</f>
        <v>belum ada keterangan</v>
      </c>
      <c r="AE102" s="1545">
        <f>DATA!AQ100</f>
        <v>0</v>
      </c>
      <c r="AF102" s="1547" t="str">
        <f>DATA!AR100</f>
        <v>Nilai pinjaman di GB USD 90.247 ribu</v>
      </c>
    </row>
    <row r="103" spans="1:32" ht="40.5" customHeight="1">
      <c r="A103" s="10">
        <f>DATA!A101</f>
        <v>80</v>
      </c>
      <c r="B103" s="10">
        <f>DATA!B101</f>
        <v>0</v>
      </c>
      <c r="C103" s="10" t="str">
        <f>DATA!D101</f>
        <v>INFRASTRUKTUR</v>
      </c>
      <c r="D103" s="10">
        <f>DATA!E101</f>
        <v>1</v>
      </c>
      <c r="E103" s="10" t="str">
        <f>DATA!F101</f>
        <v>Kementerian Pekerjaan Umum dan Perumahan Rakyat</v>
      </c>
      <c r="F103" s="10" t="str">
        <f>DATA!H101</f>
        <v>Mitigation of Water Hazards Program</v>
      </c>
      <c r="G103" s="10" t="str">
        <f>DATA!I101</f>
        <v>K</v>
      </c>
      <c r="H103" s="10" t="str">
        <f>DATA!J101</f>
        <v>Program Mitigasi Terhadap Daya Rusak Air</v>
      </c>
      <c r="I103" s="10">
        <f>DATA!K101</f>
        <v>4</v>
      </c>
      <c r="J103" s="254"/>
      <c r="K103" s="34"/>
      <c r="L103" s="34">
        <v>29</v>
      </c>
      <c r="M103" s="36">
        <v>70</v>
      </c>
      <c r="N103" s="37" t="str">
        <f>DATA!L101</f>
        <v xml:space="preserve">Urgent Disaster Reduction of Mt. Sinabung, Mt. Semeru, Mt. Kelud Mt. Lokon, and Mt. Gamalama </v>
      </c>
      <c r="O103" s="187">
        <f>DATA!T101</f>
        <v>260000000</v>
      </c>
      <c r="P103" s="187">
        <f>DATA!U101</f>
        <v>260000000</v>
      </c>
      <c r="Q103" s="1446">
        <f>DATA!V101</f>
        <v>26000000</v>
      </c>
      <c r="R103" s="1446">
        <f>DATA!W101</f>
        <v>0</v>
      </c>
      <c r="S103" s="2467">
        <f t="shared" si="6"/>
        <v>286000000</v>
      </c>
      <c r="T103" s="2468"/>
      <c r="U103" s="1449" t="str">
        <f>DATA!Y101</f>
        <v>JICA</v>
      </c>
      <c r="V103" s="77">
        <f>DATA!AA101</f>
        <v>260000000</v>
      </c>
      <c r="W103" s="77">
        <v>0</v>
      </c>
      <c r="X103" s="216" t="str">
        <f>DATA!Y101</f>
        <v>JICA</v>
      </c>
      <c r="Y103" s="245">
        <f>DATA!AT101</f>
        <v>260000000</v>
      </c>
      <c r="Z103" s="109" t="str">
        <f>DATA!AU101</f>
        <v>JICA</v>
      </c>
      <c r="AA103" s="1544" t="str">
        <f>DATA!AW101</f>
        <v>-</v>
      </c>
      <c r="AB103" s="245">
        <f>DATA!AM101</f>
        <v>0</v>
      </c>
      <c r="AC103" s="1510" t="str">
        <f>DATA!AN101</f>
        <v>siap</v>
      </c>
      <c r="AD103" s="1511" t="str">
        <f>DATA!AO101</f>
        <v>dalam proses
(persiapan)</v>
      </c>
      <c r="AE103" s="1545">
        <f>DATA!AQ101</f>
        <v>0</v>
      </c>
      <c r="AF103" s="1547" t="str">
        <f>DATA!AR101</f>
        <v>belum ada dokumen R/C</v>
      </c>
    </row>
    <row r="104" spans="1:32" ht="42.75" customHeight="1">
      <c r="A104" s="10">
        <f>DATA!A102</f>
        <v>81</v>
      </c>
      <c r="B104" s="10">
        <f>DATA!B102</f>
        <v>0</v>
      </c>
      <c r="C104" s="10" t="str">
        <f>DATA!D102</f>
        <v>INFRASTRUKTUR</v>
      </c>
      <c r="D104" s="10">
        <f>DATA!E102</f>
        <v>1</v>
      </c>
      <c r="E104" s="10" t="str">
        <f>DATA!F102</f>
        <v>Kementerian Pekerjaan Umum dan Perumahan Rakyat</v>
      </c>
      <c r="F104" s="10" t="str">
        <f>DATA!H102</f>
        <v>Mitigation of Water Hazards Program</v>
      </c>
      <c r="G104" s="10" t="str">
        <f>DATA!I102</f>
        <v>K</v>
      </c>
      <c r="H104" s="10" t="str">
        <f>DATA!J102</f>
        <v>Program Mitigasi Terhadap Daya Rusak Air</v>
      </c>
      <c r="I104" s="10">
        <f>DATA!K102</f>
        <v>5</v>
      </c>
      <c r="J104" s="254"/>
      <c r="K104" s="34"/>
      <c r="L104" s="34">
        <v>30</v>
      </c>
      <c r="M104" s="36">
        <v>71</v>
      </c>
      <c r="N104" s="37" t="str">
        <f>DATA!L102</f>
        <v xml:space="preserve">Urban Flood Control System Improvement in Selected Cities -Phase II  </v>
      </c>
      <c r="O104" s="187">
        <f>DATA!T102</f>
        <v>120000000</v>
      </c>
      <c r="P104" s="187">
        <f>DATA!U102</f>
        <v>120000000</v>
      </c>
      <c r="Q104" s="1446">
        <f>DATA!V102</f>
        <v>12000000</v>
      </c>
      <c r="R104" s="1446">
        <f>DATA!W102</f>
        <v>0</v>
      </c>
      <c r="S104" s="2467">
        <f t="shared" si="6"/>
        <v>132000000</v>
      </c>
      <c r="T104" s="2468"/>
      <c r="U104" s="1449" t="str">
        <f>DATA!Y102</f>
        <v>JICA</v>
      </c>
      <c r="V104" s="77">
        <f>DATA!AA102</f>
        <v>120000000</v>
      </c>
      <c r="W104" s="77">
        <v>0</v>
      </c>
      <c r="X104" s="216" t="str">
        <f>DATA!Y102</f>
        <v>JICA</v>
      </c>
      <c r="Y104" s="245">
        <f>DATA!AT102</f>
        <v>120000000</v>
      </c>
      <c r="Z104" s="109" t="str">
        <f>DATA!AU102</f>
        <v>JICA</v>
      </c>
      <c r="AA104" s="1544" t="str">
        <f>DATA!AW102</f>
        <v>-</v>
      </c>
      <c r="AB104" s="245">
        <f>DATA!AM102</f>
        <v>0</v>
      </c>
      <c r="AC104" s="1510" t="str">
        <f>DATA!AN102</f>
        <v>siap</v>
      </c>
      <c r="AD104" s="1511" t="str">
        <f>DATA!AO102</f>
        <v>dalam proses
(perencanaan)</v>
      </c>
      <c r="AE104" s="1545">
        <f>DATA!AQ102</f>
        <v>0</v>
      </c>
      <c r="AF104" s="1547" t="str">
        <f>DATA!AR102</f>
        <v>belum ada dokumen R/C</v>
      </c>
    </row>
    <row r="105" spans="1:32" ht="28.5" customHeight="1">
      <c r="A105" s="10">
        <f>DATA!A103</f>
        <v>82</v>
      </c>
      <c r="B105" s="10">
        <f>DATA!B103</f>
        <v>0</v>
      </c>
      <c r="C105" s="10" t="str">
        <f>DATA!D103</f>
        <v>INFRASTRUKTUR</v>
      </c>
      <c r="D105" s="10">
        <f>DATA!E103</f>
        <v>1</v>
      </c>
      <c r="E105" s="10" t="str">
        <f>DATA!F103</f>
        <v>Kementerian Pekerjaan Umum dan Perumahan Rakyat</v>
      </c>
      <c r="F105" s="10" t="str">
        <f>DATA!H103</f>
        <v>Mitigation of Water Hazards Program</v>
      </c>
      <c r="G105" s="10" t="str">
        <f>DATA!I103</f>
        <v>K</v>
      </c>
      <c r="H105" s="10" t="str">
        <f>DATA!J103</f>
        <v>Program Mitigasi Terhadap Daya Rusak Air</v>
      </c>
      <c r="I105" s="10">
        <f>DATA!K103</f>
        <v>6</v>
      </c>
      <c r="J105" s="254"/>
      <c r="K105" s="34"/>
      <c r="L105" s="34">
        <v>31</v>
      </c>
      <c r="M105" s="36">
        <v>72</v>
      </c>
      <c r="N105" s="37" t="str">
        <f>DATA!L109</f>
        <v>Flood Management in Selected River Basins</v>
      </c>
      <c r="O105" s="187">
        <f>DATA!T109</f>
        <v>108700000</v>
      </c>
      <c r="P105" s="187">
        <f>DATA!U109</f>
        <v>108700000</v>
      </c>
      <c r="Q105" s="1453">
        <f>DATA!V109</f>
        <v>50440000</v>
      </c>
      <c r="R105" s="1453">
        <f>DATA!W109</f>
        <v>0</v>
      </c>
      <c r="S105" s="2467">
        <f t="shared" si="6"/>
        <v>159140000</v>
      </c>
      <c r="T105" s="2468"/>
      <c r="U105" s="1509" t="str">
        <f>DATA!Y109</f>
        <v>ADB</v>
      </c>
      <c r="V105" s="77">
        <f>DATA!AA109</f>
        <v>108700000</v>
      </c>
      <c r="W105" s="77">
        <v>0</v>
      </c>
      <c r="X105" s="216" t="str">
        <f>DATA!Y109</f>
        <v>ADB</v>
      </c>
      <c r="Y105" s="245">
        <f>DATA!AT109</f>
        <v>108700000</v>
      </c>
      <c r="Z105" s="109" t="str">
        <f>DATA!AU109</f>
        <v>ADB</v>
      </c>
      <c r="AA105" s="1544" t="str">
        <f>DATA!AW109</f>
        <v>-</v>
      </c>
      <c r="AB105" s="245" t="str">
        <f>DATA!AM109</f>
        <v>2016; 2015</v>
      </c>
      <c r="AC105" s="1510" t="str">
        <f>DATA!AN109</f>
        <v>dalam proses
(memiliki FS dan DED)</v>
      </c>
      <c r="AD105" s="1511" t="str">
        <f>DATA!AO109</f>
        <v>dalam proses
(persiapan)</v>
      </c>
      <c r="AE105" s="1545">
        <f>DATA!AQ109</f>
        <v>0</v>
      </c>
      <c r="AF105" s="1547" t="str">
        <f>DATA!AR109</f>
        <v>-</v>
      </c>
    </row>
    <row r="106" spans="1:32" ht="42" customHeight="1">
      <c r="A106" s="10">
        <f>DATA!A104</f>
        <v>0</v>
      </c>
      <c r="B106" s="10">
        <f>DATA!B104</f>
        <v>0</v>
      </c>
      <c r="C106" s="10" t="str">
        <f>DATA!D104</f>
        <v>INFRASTRUKTUR</v>
      </c>
      <c r="D106" s="10">
        <f>DATA!E104</f>
        <v>1</v>
      </c>
      <c r="E106" s="10" t="str">
        <f>DATA!F104</f>
        <v>Kementerian Pekerjaan Umum dan Perumahan Rakyat</v>
      </c>
      <c r="F106" s="10" t="str">
        <f>DATA!H104</f>
        <v>Mitigation of Water Hazards Program</v>
      </c>
      <c r="G106" s="10" t="str">
        <f>DATA!I104</f>
        <v>K</v>
      </c>
      <c r="H106" s="10" t="str">
        <f>DATA!J104</f>
        <v>Program Mitigasi Terhadap Daya Rusak Air</v>
      </c>
      <c r="I106" s="10">
        <f>DATA!K104</f>
        <v>6</v>
      </c>
      <c r="J106" s="254"/>
      <c r="K106" s="34"/>
      <c r="L106" s="34"/>
      <c r="M106" s="36">
        <v>73</v>
      </c>
      <c r="N106" s="37" t="str">
        <f>DATA!L108</f>
        <v>Flood Management in Selected River Basins Sector Project (Additional Financing)</v>
      </c>
      <c r="O106" s="187">
        <f>DATA!T108</f>
        <v>200000000</v>
      </c>
      <c r="P106" s="187">
        <f>DATA!U108</f>
        <v>200000000</v>
      </c>
      <c r="Q106" s="1453">
        <f>DATA!V108</f>
        <v>20000000</v>
      </c>
      <c r="R106" s="1453">
        <f>DATA!W108</f>
        <v>0</v>
      </c>
      <c r="S106" s="2467">
        <f t="shared" si="6"/>
        <v>220000000</v>
      </c>
      <c r="T106" s="2468"/>
      <c r="U106" s="1509" t="str">
        <f>DATA!Y108</f>
        <v>Belum Ada Indikasi</v>
      </c>
      <c r="V106" s="77">
        <v>0</v>
      </c>
      <c r="W106" s="77">
        <f>DATA!AA108</f>
        <v>200000000</v>
      </c>
      <c r="X106" s="216" t="str">
        <f>DATA!Y108</f>
        <v>Belum Ada Indikasi</v>
      </c>
      <c r="Y106" s="245">
        <f>DATA!AT108</f>
        <v>200000000</v>
      </c>
      <c r="Z106" s="109" t="str">
        <f>DATA!AU108</f>
        <v>ADB</v>
      </c>
      <c r="AA106" s="1544" t="str">
        <f>DATA!AW108</f>
        <v>sudah masuk COBP ADB</v>
      </c>
      <c r="AB106" s="245">
        <f>DATA!AM108</f>
        <v>0</v>
      </c>
      <c r="AC106" s="1510" t="str">
        <f>DATA!AN108</f>
        <v>belum ada keterangan</v>
      </c>
      <c r="AD106" s="1511" t="str">
        <f>DATA!AO108</f>
        <v>belum ada keterangan</v>
      </c>
      <c r="AE106" s="1545">
        <f>DATA!AQ108</f>
        <v>0</v>
      </c>
      <c r="AF106" s="1547" t="str">
        <f>DATA!AR108</f>
        <v>belum ada dokumen R/C</v>
      </c>
    </row>
    <row r="107" spans="1:32" ht="18" customHeight="1">
      <c r="A107" s="10">
        <f>DATA!A104</f>
        <v>0</v>
      </c>
      <c r="B107" s="10">
        <f>DATA!B104</f>
        <v>0</v>
      </c>
      <c r="C107" s="10" t="str">
        <f>DATA!D104</f>
        <v>INFRASTRUKTUR</v>
      </c>
      <c r="D107" s="10">
        <f>DATA!E104</f>
        <v>1</v>
      </c>
      <c r="E107" s="10" t="str">
        <f>DATA!F104</f>
        <v>Kementerian Pekerjaan Umum dan Perumahan Rakyat</v>
      </c>
      <c r="F107" s="10" t="str">
        <f>DATA!H104</f>
        <v>Mitigation of Water Hazards Program</v>
      </c>
      <c r="G107" s="10" t="str">
        <f>DATA!I104</f>
        <v>K</v>
      </c>
      <c r="H107" s="10" t="str">
        <f>DATA!J104</f>
        <v>Program Mitigasi Terhadap Daya Rusak Air</v>
      </c>
      <c r="I107" s="10">
        <f>DATA!K104</f>
        <v>6</v>
      </c>
      <c r="J107" s="254"/>
      <c r="K107" s="34"/>
      <c r="L107" s="34">
        <v>33</v>
      </c>
      <c r="M107" s="3390">
        <v>74</v>
      </c>
      <c r="N107" s="3397" t="str">
        <f>DATA!L104</f>
        <v>Engineering Service for Coastal and River Development Project</v>
      </c>
      <c r="O107" s="3405">
        <f>DATA!T104</f>
        <v>50000000</v>
      </c>
      <c r="P107" s="3405">
        <f>DATA!U104</f>
        <v>50000000</v>
      </c>
      <c r="Q107" s="3443">
        <f>DATA!V103</f>
        <v>0</v>
      </c>
      <c r="R107" s="3443">
        <f>DATA!W103</f>
        <v>0</v>
      </c>
      <c r="S107" s="3403">
        <f t="shared" si="6"/>
        <v>50000000</v>
      </c>
      <c r="T107" s="77"/>
      <c r="U107" s="1449" t="str">
        <f>DATA!Y104</f>
        <v>ADB</v>
      </c>
      <c r="V107" s="1458">
        <f>DATA!AA104</f>
        <v>9620000</v>
      </c>
      <c r="W107" s="77">
        <v>0</v>
      </c>
      <c r="X107" s="218" t="str">
        <f>DATA!Y104</f>
        <v>ADB</v>
      </c>
      <c r="Y107" s="245">
        <f>DATA!AT104</f>
        <v>9620000</v>
      </c>
      <c r="Z107" s="109" t="str">
        <f>DATA!AU104</f>
        <v>ADB</v>
      </c>
      <c r="AA107" s="1544" t="str">
        <f>DATA!AW104</f>
        <v>co-financing dengan Korea (USD 10,5 juta) dan belum ada indikasi (USD 29,9 juta)</v>
      </c>
      <c r="AB107" s="245" t="str">
        <f>DATA!AM104</f>
        <v>2016; 2015</v>
      </c>
      <c r="AC107" s="1510" t="str">
        <f>DATA!AN104</f>
        <v>siap</v>
      </c>
      <c r="AD107" s="1511" t="str">
        <f>DATA!AO104</f>
        <v>tidak butuh lahan</v>
      </c>
      <c r="AE107" s="1545">
        <f>DATA!AQ104</f>
        <v>0</v>
      </c>
      <c r="AF107" s="1547" t="str">
        <f>DATA!AR104</f>
        <v>-</v>
      </c>
    </row>
    <row r="108" spans="1:32" ht="18" customHeight="1">
      <c r="J108" s="254"/>
      <c r="K108" s="34"/>
      <c r="L108" s="34"/>
      <c r="M108" s="3392"/>
      <c r="N108" s="3397"/>
      <c r="O108" s="3405"/>
      <c r="P108" s="3405"/>
      <c r="Q108" s="3444"/>
      <c r="R108" s="3444"/>
      <c r="S108" s="3405"/>
      <c r="T108" s="77"/>
      <c r="U108" s="1449" t="str">
        <f>DATA!Y105</f>
        <v>Korea</v>
      </c>
      <c r="V108" s="1458">
        <f>DATA!AA105</f>
        <v>10500000</v>
      </c>
      <c r="W108" s="77"/>
      <c r="X108" s="218" t="str">
        <f>DATA!Y105</f>
        <v>Korea</v>
      </c>
      <c r="Y108" s="245">
        <f>DATA!AT105</f>
        <v>10500000</v>
      </c>
      <c r="Z108" s="109" t="str">
        <f>DATA!AU105</f>
        <v>Korea</v>
      </c>
      <c r="AA108" s="1544" t="str">
        <f>DATA!AW105</f>
        <v>- co-financing dengan ADB (USD 9,6 juta) dan belum ada indikasi (USD 29,9 juta)
- masuk rolling plan EDCF (Korea)</v>
      </c>
      <c r="AB108" s="1625">
        <f>DATA!AM105</f>
        <v>2016</v>
      </c>
      <c r="AC108" s="1510" t="str">
        <f>DATA!AN105</f>
        <v>siap</v>
      </c>
      <c r="AD108" s="1511" t="str">
        <f>DATA!AO105</f>
        <v>tidak butuh lahan</v>
      </c>
      <c r="AE108" s="1545">
        <f>DATA!AQ105</f>
        <v>0</v>
      </c>
      <c r="AF108" s="1547" t="str">
        <f>DATA!AR105</f>
        <v>-</v>
      </c>
    </row>
    <row r="109" spans="1:32" ht="20.25" customHeight="1">
      <c r="J109" s="254"/>
      <c r="K109" s="34"/>
      <c r="L109" s="34"/>
      <c r="M109" s="3391"/>
      <c r="N109" s="3394"/>
      <c r="O109" s="3404"/>
      <c r="P109" s="3404"/>
      <c r="Q109" s="3445"/>
      <c r="R109" s="3445"/>
      <c r="S109" s="3404"/>
      <c r="T109" s="2471"/>
      <c r="U109" s="1449" t="str">
        <f>DATA!Y106</f>
        <v>Belum Ada Indikasi</v>
      </c>
      <c r="V109" s="1458">
        <v>0</v>
      </c>
      <c r="W109" s="1458">
        <f>DATA!AA106</f>
        <v>29880000</v>
      </c>
      <c r="X109" s="218" t="str">
        <f>DATA!Y106</f>
        <v>Belum Ada Indikasi</v>
      </c>
      <c r="Y109" s="245">
        <f>DATA!AT106</f>
        <v>29880000</v>
      </c>
      <c r="Z109" s="109" t="str">
        <f>DATA!AU106</f>
        <v>Belum Ada Indikasi</v>
      </c>
      <c r="AA109" s="1544" t="str">
        <f>DATA!AW106</f>
        <v>co-financing dengan Korea (USD 10,5 juta) dan ADB (USD 29,8 juta)</v>
      </c>
      <c r="AB109" s="245" t="str">
        <f>DATA!AM106</f>
        <v>-</v>
      </c>
      <c r="AC109" s="1510" t="str">
        <f>DATA!AN106</f>
        <v>belum ada keterangan</v>
      </c>
      <c r="AD109" s="1511" t="str">
        <f>DATA!AO106</f>
        <v>belum ada keterangan</v>
      </c>
      <c r="AE109" s="1545">
        <f>DATA!AQ106</f>
        <v>0</v>
      </c>
      <c r="AF109" s="1547" t="str">
        <f>DATA!AR106</f>
        <v>-</v>
      </c>
    </row>
    <row r="110" spans="1:32" s="5" customFormat="1" ht="33.75" customHeight="1">
      <c r="J110" s="1594"/>
      <c r="K110" s="50"/>
      <c r="L110" s="30" t="s">
        <v>244</v>
      </c>
      <c r="M110" s="3427" t="str">
        <f>DATA!J110</f>
        <v xml:space="preserve">Program Pengelolaan Infrastruktur Sumber Daya Air </v>
      </c>
      <c r="N110" s="3428"/>
      <c r="O110" s="197">
        <f>+O111+O113+O114</f>
        <v>650000000</v>
      </c>
      <c r="P110" s="197">
        <f>+P111+P113+P114</f>
        <v>650000000</v>
      </c>
      <c r="Q110" s="1436">
        <f>+Q111+Q113+Q114</f>
        <v>130000000</v>
      </c>
      <c r="R110" s="1436">
        <f>+R111+R113+R114</f>
        <v>0</v>
      </c>
      <c r="S110" s="1559">
        <f t="shared" ref="S110:S165" si="7">P110+Q110+R110</f>
        <v>780000000</v>
      </c>
      <c r="T110" s="2463"/>
      <c r="U110" s="1539"/>
      <c r="V110" s="81">
        <f>+V111+V113+V114</f>
        <v>600000000</v>
      </c>
      <c r="W110" s="81">
        <f>+W111+W113+W114</f>
        <v>50000000</v>
      </c>
      <c r="X110" s="214"/>
      <c r="Y110" s="244">
        <f>+Y111+Y112+Y113+Y114</f>
        <v>650000000</v>
      </c>
      <c r="Z110" s="81" t="s">
        <v>21</v>
      </c>
      <c r="AA110" s="214"/>
      <c r="AB110" s="1505"/>
      <c r="AC110" s="1506"/>
      <c r="AD110" s="169"/>
      <c r="AE110" s="1507"/>
      <c r="AF110" s="1530"/>
    </row>
    <row r="111" spans="1:32" ht="33.75" customHeight="1">
      <c r="A111" s="10">
        <f>DATA!A110</f>
        <v>85</v>
      </c>
      <c r="B111" s="10">
        <f>DATA!B110</f>
        <v>0</v>
      </c>
      <c r="C111" s="10" t="str">
        <f>DATA!D110</f>
        <v>INFRASTRUKTUR</v>
      </c>
      <c r="D111" s="10">
        <f>DATA!E110</f>
        <v>1</v>
      </c>
      <c r="E111" s="10" t="str">
        <f>DATA!F110</f>
        <v>Kementerian Pekerjaan Umum dan Perumahan Rakyat</v>
      </c>
      <c r="F111" s="10" t="str">
        <f>DATA!H110</f>
        <v>Management of Water Resources Infrastructure Program</v>
      </c>
      <c r="G111" s="10" t="str">
        <f>DATA!I110</f>
        <v>L</v>
      </c>
      <c r="H111" s="10" t="str">
        <f>DATA!J110</f>
        <v xml:space="preserve">Program Pengelolaan Infrastruktur Sumber Daya Air </v>
      </c>
      <c r="I111" s="10">
        <f>DATA!K110</f>
        <v>1</v>
      </c>
      <c r="J111" s="254"/>
      <c r="K111" s="34"/>
      <c r="L111" s="35">
        <v>34</v>
      </c>
      <c r="M111" s="3393">
        <v>75</v>
      </c>
      <c r="N111" s="3460" t="str">
        <f>DATA!L110</f>
        <v xml:space="preserve">Dam Operational Improvement and Safety Project (DOISP) - Phase II </v>
      </c>
      <c r="O111" s="3408">
        <f>DATA!T110</f>
        <v>250000000</v>
      </c>
      <c r="P111" s="3408">
        <f>DATA!U110</f>
        <v>250000000</v>
      </c>
      <c r="Q111" s="3468">
        <f>DATA!V110</f>
        <v>50000000</v>
      </c>
      <c r="R111" s="3468">
        <f>DATA!W110</f>
        <v>0</v>
      </c>
      <c r="S111" s="3408">
        <f t="shared" si="7"/>
        <v>300000000</v>
      </c>
      <c r="T111" s="3481"/>
      <c r="U111" s="1449" t="str">
        <f>DATA!Y110</f>
        <v>Bank Dunia</v>
      </c>
      <c r="V111" s="3493">
        <f>DATA!AA110</f>
        <v>250000000</v>
      </c>
      <c r="W111" s="3493">
        <v>0</v>
      </c>
      <c r="X111" s="3416" t="str">
        <f>DATA!Y110</f>
        <v>Bank Dunia</v>
      </c>
      <c r="Y111" s="245">
        <f>DATA!AT111</f>
        <v>125000000</v>
      </c>
      <c r="Z111" s="109" t="str">
        <f>DATA!AU111</f>
        <v>Bank Dunia</v>
      </c>
      <c r="AA111" s="1544" t="str">
        <f>DATA!AW111</f>
        <v>co-financing dengan AIIB (USD 125 juta)</v>
      </c>
      <c r="AB111" s="245" t="str">
        <f>DATA!AM110</f>
        <v>Rev. 2016</v>
      </c>
      <c r="AC111" s="1510" t="str">
        <f>DATA!AN110</f>
        <v>dalam proses
(memiliki FS)</v>
      </c>
      <c r="AD111" s="1511" t="str">
        <f>DATA!AO110</f>
        <v>belum ada keterangan</v>
      </c>
      <c r="AE111" s="1545">
        <f>DATA!AQ110</f>
        <v>0</v>
      </c>
      <c r="AF111" s="1547" t="str">
        <f>DATA!AR110</f>
        <v>-</v>
      </c>
    </row>
    <row r="112" spans="1:32" ht="33.75" customHeight="1">
      <c r="J112" s="254"/>
      <c r="K112" s="34"/>
      <c r="L112" s="34"/>
      <c r="M112" s="3456"/>
      <c r="N112" s="3462"/>
      <c r="O112" s="3463"/>
      <c r="P112" s="3463"/>
      <c r="Q112" s="3463"/>
      <c r="R112" s="3463"/>
      <c r="S112" s="3463"/>
      <c r="T112" s="3482"/>
      <c r="U112" s="1449"/>
      <c r="V112" s="3456"/>
      <c r="W112" s="3456"/>
      <c r="X112" s="3500"/>
      <c r="Y112" s="245">
        <f>DATA!AT112</f>
        <v>125000000</v>
      </c>
      <c r="Z112" s="109" t="str">
        <f>DATA!AU112</f>
        <v>AIIB</v>
      </c>
      <c r="AA112" s="1544" t="str">
        <f>DATA!AW112</f>
        <v>co-financing dengan Bank Dunia (USD 125 juta)</v>
      </c>
      <c r="AB112" s="245" t="str">
        <f>DATA!AM111</f>
        <v>Rev. 2016</v>
      </c>
      <c r="AC112" s="1510" t="str">
        <f>DATA!AN111</f>
        <v>dalam proses
(memiliki FS)</v>
      </c>
      <c r="AD112" s="1511" t="str">
        <f>DATA!AO111</f>
        <v>belum ada keterangan</v>
      </c>
      <c r="AE112" s="1545">
        <f>DATA!AQ111</f>
        <v>0</v>
      </c>
      <c r="AF112" s="1547" t="str">
        <f>DATA!AR111</f>
        <v>-</v>
      </c>
    </row>
    <row r="113" spans="1:34" ht="27" customHeight="1">
      <c r="A113" s="10">
        <f>DATA!A113</f>
        <v>86</v>
      </c>
      <c r="B113" s="10">
        <f>DATA!B113</f>
        <v>0</v>
      </c>
      <c r="C113" s="10" t="str">
        <f>DATA!D113</f>
        <v>INFRASTRUKTUR</v>
      </c>
      <c r="D113" s="10">
        <f>DATA!E113</f>
        <v>1</v>
      </c>
      <c r="E113" s="10" t="str">
        <f>DATA!F113</f>
        <v>Kementerian Pekerjaan Umum dan Perumahan Rakyat</v>
      </c>
      <c r="F113" s="10" t="str">
        <f>DATA!H113</f>
        <v>Management of Water Resources Infrastructure Program</v>
      </c>
      <c r="G113" s="10" t="str">
        <f>DATA!I113</f>
        <v>L</v>
      </c>
      <c r="H113" s="10" t="str">
        <f>DATA!J113</f>
        <v xml:space="preserve">Program Pengelolaan Infrastruktur Sumber Daya Air </v>
      </c>
      <c r="I113" s="10">
        <f>DATA!K113</f>
        <v>2</v>
      </c>
      <c r="J113" s="254"/>
      <c r="K113" s="34"/>
      <c r="L113" s="34">
        <v>35</v>
      </c>
      <c r="M113" s="36">
        <v>76</v>
      </c>
      <c r="N113" s="37" t="str">
        <f>DATA!L113</f>
        <v xml:space="preserve">Enhanced Water Security Investment Program    </v>
      </c>
      <c r="O113" s="187">
        <f>DATA!T113</f>
        <v>350000000</v>
      </c>
      <c r="P113" s="187">
        <f>DATA!U113</f>
        <v>350000000</v>
      </c>
      <c r="Q113" s="1446">
        <f>DATA!V113</f>
        <v>70000000</v>
      </c>
      <c r="R113" s="1446">
        <f>DATA!W113</f>
        <v>0</v>
      </c>
      <c r="S113" s="2467">
        <f t="shared" si="7"/>
        <v>420000000</v>
      </c>
      <c r="T113" s="2468"/>
      <c r="U113" s="1449" t="str">
        <f>DATA!Y113</f>
        <v>ADB</v>
      </c>
      <c r="V113" s="77">
        <f>DATA!AA113</f>
        <v>350000000</v>
      </c>
      <c r="W113" s="77">
        <v>0</v>
      </c>
      <c r="X113" s="216" t="str">
        <f>DATA!Y113</f>
        <v>ADB</v>
      </c>
      <c r="Y113" s="245">
        <f>DATA!AT113</f>
        <v>350000000</v>
      </c>
      <c r="Z113" s="109" t="str">
        <f>DATA!AU113</f>
        <v>ADB</v>
      </c>
      <c r="AA113" s="1544" t="str">
        <f>DATA!AW113</f>
        <v>-</v>
      </c>
      <c r="AB113" s="245">
        <f>DATA!AM113</f>
        <v>0</v>
      </c>
      <c r="AC113" s="1510" t="str">
        <f>DATA!AN113</f>
        <v>belum ada keterangan</v>
      </c>
      <c r="AD113" s="1511" t="str">
        <f>DATA!AO113</f>
        <v>belum ada keterangan</v>
      </c>
      <c r="AE113" s="1545">
        <f>DATA!AQ113</f>
        <v>0</v>
      </c>
      <c r="AF113" s="1547" t="str">
        <f>DATA!AR113</f>
        <v>belum ada dokumen R/C</v>
      </c>
    </row>
    <row r="114" spans="1:34" ht="38.25" customHeight="1">
      <c r="A114" s="10">
        <f>DATA!A114</f>
        <v>87</v>
      </c>
      <c r="B114" s="10">
        <f>DATA!B114</f>
        <v>0</v>
      </c>
      <c r="C114" s="10" t="str">
        <f>DATA!D114</f>
        <v>INFRASTRUKTUR</v>
      </c>
      <c r="D114" s="10">
        <f>DATA!E114</f>
        <v>1</v>
      </c>
      <c r="E114" s="10" t="str">
        <f>DATA!F114</f>
        <v>Kementerian Pekerjaan Umum dan Perumahan Rakyat</v>
      </c>
      <c r="F114" s="10" t="str">
        <f>DATA!H114</f>
        <v>Management of Water Resources Infrastructure Program</v>
      </c>
      <c r="G114" s="10" t="str">
        <f>DATA!I114</f>
        <v>L</v>
      </c>
      <c r="H114" s="10" t="str">
        <f>DATA!J114</f>
        <v xml:space="preserve">Program Pengelolaan Infrastruktur Sumber Daya Air </v>
      </c>
      <c r="I114" s="10">
        <f>DATA!K114</f>
        <v>3</v>
      </c>
      <c r="J114" s="254"/>
      <c r="K114" s="34"/>
      <c r="L114" s="54">
        <v>36</v>
      </c>
      <c r="M114" s="36">
        <v>77</v>
      </c>
      <c r="N114" s="37" t="str">
        <f>DATA!L114</f>
        <v>Engineering Service for Water Resources Infrastructure Management</v>
      </c>
      <c r="O114" s="187">
        <f>DATA!T114</f>
        <v>50000000</v>
      </c>
      <c r="P114" s="187">
        <f>DATA!U114</f>
        <v>50000000</v>
      </c>
      <c r="Q114" s="1446">
        <f>DATA!V114</f>
        <v>10000000</v>
      </c>
      <c r="R114" s="1446">
        <f>DATA!W114</f>
        <v>0</v>
      </c>
      <c r="S114" s="2467">
        <f t="shared" si="7"/>
        <v>60000000</v>
      </c>
      <c r="T114" s="2468"/>
      <c r="U114" s="1449" t="str">
        <f>DATA!Y114</f>
        <v>Belum Ada Indikasi</v>
      </c>
      <c r="V114" s="77">
        <v>0</v>
      </c>
      <c r="W114" s="77">
        <f>DATA!AA114</f>
        <v>50000000</v>
      </c>
      <c r="X114" s="216" t="str">
        <f>DATA!Y114</f>
        <v>Belum Ada Indikasi</v>
      </c>
      <c r="Y114" s="245">
        <f>DATA!AT114</f>
        <v>50000000</v>
      </c>
      <c r="Z114" s="109" t="str">
        <f>DATA!AU114</f>
        <v>ADB</v>
      </c>
      <c r="AA114" s="1544" t="str">
        <f>DATA!AW114</f>
        <v>sudah masuk COBP ADB</v>
      </c>
      <c r="AB114" s="245">
        <f>DATA!AM114</f>
        <v>0</v>
      </c>
      <c r="AC114" s="1510" t="str">
        <f>DATA!AN114</f>
        <v>siap</v>
      </c>
      <c r="AD114" s="1511" t="str">
        <f>DATA!AO114</f>
        <v>tidak butuh lahan</v>
      </c>
      <c r="AE114" s="1545">
        <f>DATA!AQ114</f>
        <v>0</v>
      </c>
      <c r="AF114" s="1547" t="str">
        <f>DATA!AR114</f>
        <v>belum ada dokumen R/C</v>
      </c>
    </row>
    <row r="115" spans="1:34" ht="32.25" customHeight="1">
      <c r="J115" s="254"/>
      <c r="K115" s="34"/>
      <c r="L115" s="30" t="s">
        <v>1093</v>
      </c>
      <c r="M115" s="31" t="s">
        <v>858</v>
      </c>
      <c r="N115" s="51"/>
      <c r="O115" s="197">
        <f>O116</f>
        <v>0</v>
      </c>
      <c r="P115" s="197">
        <f>P116</f>
        <v>300000000</v>
      </c>
      <c r="Q115" s="1436">
        <f>Q116</f>
        <v>40000000</v>
      </c>
      <c r="R115" s="1436">
        <f>R116</f>
        <v>10000000</v>
      </c>
      <c r="S115" s="1559">
        <f t="shared" si="7"/>
        <v>350000000</v>
      </c>
      <c r="T115" s="2463"/>
      <c r="U115" s="1539"/>
      <c r="V115" s="81">
        <f>+V116+V117+V118</f>
        <v>300000000</v>
      </c>
      <c r="W115" s="81">
        <v>0</v>
      </c>
      <c r="X115" s="214"/>
      <c r="Y115" s="81">
        <f>Y116</f>
        <v>300000000</v>
      </c>
      <c r="Z115" s="81" t="s">
        <v>21</v>
      </c>
      <c r="AA115" s="214">
        <v>0</v>
      </c>
      <c r="AB115" s="1505"/>
      <c r="AC115" s="1506"/>
      <c r="AD115" s="169"/>
      <c r="AE115" s="1507"/>
      <c r="AF115" s="1530"/>
    </row>
    <row r="116" spans="1:34" ht="38.25" customHeight="1">
      <c r="J116" s="254"/>
      <c r="K116" s="34"/>
      <c r="L116" s="20"/>
      <c r="M116" s="36">
        <v>78</v>
      </c>
      <c r="N116" s="2411" t="str">
        <f>DATA!L115</f>
        <v>Integrated Infrastructure Development for National Tourism Strategic Areas</v>
      </c>
      <c r="O116" s="187">
        <f>DATA!T115</f>
        <v>0</v>
      </c>
      <c r="P116" s="187">
        <f>DATA!U115</f>
        <v>300000000</v>
      </c>
      <c r="Q116" s="187">
        <f>DATA!V115</f>
        <v>40000000</v>
      </c>
      <c r="R116" s="187">
        <f>DATA!W115</f>
        <v>10000000</v>
      </c>
      <c r="S116" s="2467">
        <f t="shared" si="7"/>
        <v>350000000</v>
      </c>
      <c r="T116" s="2468"/>
      <c r="U116" s="1449"/>
      <c r="V116" s="77">
        <f>DATA!AA115</f>
        <v>300000000</v>
      </c>
      <c r="W116" s="77">
        <v>0</v>
      </c>
      <c r="X116" s="216" t="str">
        <f>DATA!Y115</f>
        <v>Bank Dunia</v>
      </c>
      <c r="Y116" s="245">
        <f>DATA!AT115</f>
        <v>300000000</v>
      </c>
      <c r="Z116" s="1509" t="str">
        <f>DATA!AU115</f>
        <v>Bank Dunia</v>
      </c>
      <c r="AA116" s="1544">
        <f>DATA!AW115</f>
        <v>0</v>
      </c>
      <c r="AB116" s="245" t="str">
        <f>DATA!AM115</f>
        <v>Rev. 2016</v>
      </c>
      <c r="AC116" s="1510">
        <f>DATA!AN115</f>
        <v>0</v>
      </c>
      <c r="AD116" s="1511">
        <f>DATA!AO115</f>
        <v>0</v>
      </c>
      <c r="AE116" s="1545">
        <f>DATA!AQ115</f>
        <v>0</v>
      </c>
      <c r="AF116" s="1547" t="str">
        <f>DATA!AR115</f>
        <v>Nilai pinjaman di GB USD 4.000 ribu</v>
      </c>
    </row>
    <row r="117" spans="1:34" ht="32.25" customHeight="1">
      <c r="J117" s="254"/>
      <c r="K117" s="34"/>
      <c r="L117" s="30" t="s">
        <v>1094</v>
      </c>
      <c r="M117" s="31" t="str">
        <f>DATA!J117</f>
        <v>Program Penyediaaan Perumahan Bagi MBR</v>
      </c>
      <c r="N117" s="51"/>
      <c r="O117" s="197">
        <f>+O118</f>
        <v>300000000</v>
      </c>
      <c r="P117" s="197">
        <f>+P118</f>
        <v>450000000</v>
      </c>
      <c r="Q117" s="1436">
        <f>+Q118</f>
        <v>0</v>
      </c>
      <c r="R117" s="1436">
        <f>+R118</f>
        <v>0</v>
      </c>
      <c r="S117" s="1559">
        <f t="shared" si="7"/>
        <v>450000000</v>
      </c>
      <c r="T117" s="2463"/>
      <c r="U117" s="1539"/>
      <c r="V117" s="81">
        <f>+V118</f>
        <v>0</v>
      </c>
      <c r="W117" s="81">
        <f>+W118</f>
        <v>450000000</v>
      </c>
      <c r="X117" s="214"/>
      <c r="Y117" s="244">
        <f>+Y118</f>
        <v>450000000</v>
      </c>
      <c r="Z117" s="81" t="s">
        <v>21</v>
      </c>
      <c r="AA117" s="214">
        <f>+AA118</f>
        <v>0</v>
      </c>
      <c r="AB117" s="1505"/>
      <c r="AC117" s="1506"/>
      <c r="AD117" s="169"/>
      <c r="AE117" s="1507"/>
      <c r="AF117" s="1530"/>
    </row>
    <row r="118" spans="1:34" ht="28.5" customHeight="1">
      <c r="J118" s="254"/>
      <c r="K118" s="54"/>
      <c r="L118" s="20"/>
      <c r="M118" s="36">
        <v>79</v>
      </c>
      <c r="N118" s="2411" t="str">
        <f>DATA!L116</f>
        <v>National Affordable Housing Project</v>
      </c>
      <c r="O118" s="187">
        <f>DATA!U115</f>
        <v>300000000</v>
      </c>
      <c r="P118" s="187">
        <f>DATA!U116</f>
        <v>450000000</v>
      </c>
      <c r="Q118" s="187">
        <f>DATA!V116</f>
        <v>0</v>
      </c>
      <c r="R118" s="187">
        <f>DATA!W116</f>
        <v>0</v>
      </c>
      <c r="S118" s="2467">
        <f t="shared" si="7"/>
        <v>450000000</v>
      </c>
      <c r="T118" s="2468"/>
      <c r="U118" s="1449"/>
      <c r="V118" s="77">
        <v>0</v>
      </c>
      <c r="W118" s="77">
        <f>DATA!AA116</f>
        <v>450000000</v>
      </c>
      <c r="X118" s="216" t="str">
        <f>DATA!Y116</f>
        <v>Belum Ada Indikasi</v>
      </c>
      <c r="Y118" s="245">
        <f>DATA!AT116</f>
        <v>450000000</v>
      </c>
      <c r="Z118" s="1509" t="str">
        <f>DATA!AU116</f>
        <v>Bank Dunia</v>
      </c>
      <c r="AA118" s="1544">
        <f>DATA!AW116</f>
        <v>0</v>
      </c>
      <c r="AB118" s="245" t="str">
        <f>DATA!AM116</f>
        <v>Rev. 2016</v>
      </c>
      <c r="AC118" s="1510" t="str">
        <f>DATA!AN116</f>
        <v>siap</v>
      </c>
      <c r="AD118" s="1511" t="str">
        <f>DATA!AO116</f>
        <v>belum ada keterangan</v>
      </c>
      <c r="AE118" s="1545">
        <f>DATA!AQ116</f>
        <v>0</v>
      </c>
      <c r="AF118" s="1547" t="str">
        <f>DATA!AR116</f>
        <v>-</v>
      </c>
    </row>
    <row r="119" spans="1:34" s="4" customFormat="1" ht="24.95" customHeight="1">
      <c r="J119" s="2498"/>
      <c r="K119" s="25">
        <f>DATA!E118</f>
        <v>2</v>
      </c>
      <c r="L119" s="108" t="str">
        <f>DATA!F118</f>
        <v>PERUMNAS</v>
      </c>
      <c r="M119" s="26"/>
      <c r="N119" s="27"/>
      <c r="O119" s="194">
        <f t="shared" ref="O119:R120" si="8">+O120</f>
        <v>200000000</v>
      </c>
      <c r="P119" s="194">
        <f t="shared" si="8"/>
        <v>200000000</v>
      </c>
      <c r="Q119" s="194">
        <f t="shared" si="8"/>
        <v>20000000</v>
      </c>
      <c r="R119" s="194">
        <f t="shared" si="8"/>
        <v>0</v>
      </c>
      <c r="S119" s="194">
        <f t="shared" si="7"/>
        <v>220000000</v>
      </c>
      <c r="T119" s="2484"/>
      <c r="U119" s="1549"/>
      <c r="V119" s="80">
        <f t="shared" ref="V119:AA120" si="9">+V120</f>
        <v>200000000</v>
      </c>
      <c r="W119" s="80">
        <f t="shared" si="9"/>
        <v>0</v>
      </c>
      <c r="X119" s="213">
        <f t="shared" si="9"/>
        <v>0</v>
      </c>
      <c r="Y119" s="242">
        <f t="shared" si="9"/>
        <v>200000000</v>
      </c>
      <c r="Z119" s="80" t="str">
        <f t="shared" si="9"/>
        <v>-</v>
      </c>
      <c r="AA119" s="213" t="str">
        <f t="shared" si="9"/>
        <v>-</v>
      </c>
      <c r="AB119" s="1501"/>
      <c r="AC119" s="1502"/>
      <c r="AD119" s="168"/>
      <c r="AE119" s="1503"/>
      <c r="AF119" s="1529"/>
    </row>
    <row r="120" spans="1:34" s="5" customFormat="1" ht="33.75" customHeight="1">
      <c r="J120" s="1594"/>
      <c r="K120" s="29"/>
      <c r="L120" s="30" t="str">
        <f>DATA!I118</f>
        <v>A</v>
      </c>
      <c r="M120" s="31" t="str">
        <f>DATA!J118</f>
        <v>Program Penyediaaan Perumahan Bagi MBR</v>
      </c>
      <c r="N120" s="51"/>
      <c r="O120" s="197">
        <f t="shared" si="8"/>
        <v>200000000</v>
      </c>
      <c r="P120" s="197">
        <f t="shared" si="8"/>
        <v>200000000</v>
      </c>
      <c r="Q120" s="1436">
        <f t="shared" si="8"/>
        <v>20000000</v>
      </c>
      <c r="R120" s="1436">
        <f t="shared" si="8"/>
        <v>0</v>
      </c>
      <c r="S120" s="1559">
        <f t="shared" si="7"/>
        <v>220000000</v>
      </c>
      <c r="T120" s="2463"/>
      <c r="U120" s="1539"/>
      <c r="V120" s="81">
        <f t="shared" si="9"/>
        <v>200000000</v>
      </c>
      <c r="W120" s="81">
        <f t="shared" si="9"/>
        <v>0</v>
      </c>
      <c r="X120" s="214"/>
      <c r="Y120" s="244">
        <f t="shared" si="9"/>
        <v>200000000</v>
      </c>
      <c r="Z120" s="81" t="s">
        <v>21</v>
      </c>
      <c r="AA120" s="214" t="str">
        <f t="shared" si="9"/>
        <v>-</v>
      </c>
      <c r="AB120" s="1505"/>
      <c r="AC120" s="1506"/>
      <c r="AD120" s="169"/>
      <c r="AE120" s="1507"/>
      <c r="AF120" s="1530"/>
    </row>
    <row r="121" spans="1:34" ht="35.25" customHeight="1">
      <c r="A121" s="10">
        <f>DATA!A118</f>
        <v>89</v>
      </c>
      <c r="B121" s="10">
        <f>DATA!B118</f>
        <v>0</v>
      </c>
      <c r="C121" s="10" t="str">
        <f>DATA!D118</f>
        <v>INFRASTRUKTUR</v>
      </c>
      <c r="D121" s="10">
        <f>DATA!E118</f>
        <v>2</v>
      </c>
      <c r="E121" s="10" t="str">
        <f>DATA!F118</f>
        <v>PERUMNAS</v>
      </c>
      <c r="F121" s="10" t="str">
        <f>DATA!H118</f>
        <v>Program for Provision of Housing For Low-Income Households</v>
      </c>
      <c r="G121" s="10" t="str">
        <f>DATA!I118</f>
        <v>A</v>
      </c>
      <c r="H121" s="10" t="str">
        <f>DATA!J118</f>
        <v>Program Penyediaaan Perumahan Bagi MBR</v>
      </c>
      <c r="I121" s="10">
        <f>DATA!K118</f>
        <v>1</v>
      </c>
      <c r="J121" s="254"/>
      <c r="K121" s="54"/>
      <c r="L121" s="20"/>
      <c r="M121" s="36">
        <v>80</v>
      </c>
      <c r="N121" s="37" t="str">
        <f>DATA!L118</f>
        <v>Support for National Housing and Urban Development Cooperation</v>
      </c>
      <c r="O121" s="187">
        <f>DATA!T118</f>
        <v>200000000</v>
      </c>
      <c r="P121" s="187">
        <f>DATA!U118</f>
        <v>200000000</v>
      </c>
      <c r="Q121" s="1446">
        <f>DATA!V118</f>
        <v>20000000</v>
      </c>
      <c r="R121" s="1446"/>
      <c r="S121" s="2467">
        <f t="shared" si="7"/>
        <v>220000000</v>
      </c>
      <c r="T121" s="2468"/>
      <c r="U121" s="1449" t="str">
        <f>DATA!Y118</f>
        <v>JICA</v>
      </c>
      <c r="V121" s="77">
        <f>DATA!AA118</f>
        <v>200000000</v>
      </c>
      <c r="W121" s="77"/>
      <c r="X121" s="216" t="str">
        <f>DATA!Y118</f>
        <v>JICA</v>
      </c>
      <c r="Y121" s="245">
        <f>DATA!AT118</f>
        <v>200000000</v>
      </c>
      <c r="Z121" s="109" t="str">
        <f>DATA!AU118</f>
        <v>JICA</v>
      </c>
      <c r="AA121" s="1544" t="str">
        <f>DATA!AW118</f>
        <v>-</v>
      </c>
      <c r="AB121" s="245">
        <f>DATA!AM118</f>
        <v>0</v>
      </c>
      <c r="AC121" s="1510" t="str">
        <f>DATA!AN118</f>
        <v>dalam proses
(memiliki FS dan DED)</v>
      </c>
      <c r="AD121" s="1511" t="str">
        <f>DATA!AO118</f>
        <v>siap</v>
      </c>
      <c r="AE121" s="1545">
        <f>DATA!AQ118</f>
        <v>0</v>
      </c>
      <c r="AF121" s="1547" t="str">
        <f>DATA!AR118</f>
        <v>belum ada dokumen R/C</v>
      </c>
    </row>
    <row r="122" spans="1:34" s="4" customFormat="1" ht="24.95" customHeight="1">
      <c r="J122" s="2498"/>
      <c r="K122" s="25">
        <f>DATA!E119</f>
        <v>3</v>
      </c>
      <c r="L122" s="108" t="str">
        <f>DATA!F119</f>
        <v>Kementerian Perhubungan</v>
      </c>
      <c r="M122" s="25"/>
      <c r="N122" s="27"/>
      <c r="O122" s="194">
        <f>O123+O133</f>
        <v>5742336700</v>
      </c>
      <c r="P122" s="194">
        <f>P123+P133</f>
        <v>9322613000</v>
      </c>
      <c r="Q122" s="194">
        <f>Q123+Q133</f>
        <v>1525206700</v>
      </c>
      <c r="R122" s="194">
        <f>R123+R133</f>
        <v>0</v>
      </c>
      <c r="S122" s="194">
        <f t="shared" si="7"/>
        <v>10847819700</v>
      </c>
      <c r="T122" s="2484"/>
      <c r="U122" s="1549"/>
      <c r="V122" s="80">
        <f>+V123+V133</f>
        <v>5450000000</v>
      </c>
      <c r="W122" s="80">
        <f>+W123+W133</f>
        <v>3872613000</v>
      </c>
      <c r="X122" s="213"/>
      <c r="Y122" s="242">
        <f>+Y123+Y133</f>
        <v>9322613000</v>
      </c>
      <c r="Z122" s="80" t="s">
        <v>21</v>
      </c>
      <c r="AA122" s="213"/>
      <c r="AB122" s="1501"/>
      <c r="AC122" s="1502"/>
      <c r="AD122" s="168"/>
      <c r="AE122" s="1503"/>
      <c r="AF122" s="1529"/>
    </row>
    <row r="123" spans="1:34" s="5" customFormat="1" ht="33.75" customHeight="1">
      <c r="J123" s="1594"/>
      <c r="K123" s="29"/>
      <c r="L123" s="30" t="str">
        <f>DATA!I119</f>
        <v>A</v>
      </c>
      <c r="M123" s="31" t="str">
        <f>DATA!J119</f>
        <v>Program Pengembangan Perkeretaapian</v>
      </c>
      <c r="N123" s="51"/>
      <c r="O123" s="197">
        <f>O124+O125+O126+O127+O128+O131+O132+O129+O130</f>
        <v>5742336700</v>
      </c>
      <c r="P123" s="1436">
        <f>P124+P125+P126+P127+P128+P131+P132+P129+P130</f>
        <v>7335239900</v>
      </c>
      <c r="Q123" s="197">
        <f>Q124+Q125+Q126+Q127+Q128+Q131+Q132+Q129+Q130</f>
        <v>922906700</v>
      </c>
      <c r="R123" s="197">
        <f>R124+R125+R126+R127+R128+R131+R132+R129+R130</f>
        <v>0</v>
      </c>
      <c r="S123" s="1559">
        <f t="shared" si="7"/>
        <v>8258146600</v>
      </c>
      <c r="T123" s="2463"/>
      <c r="U123" s="1539"/>
      <c r="V123" s="81">
        <f>V124+V125+V126+V127+V128+V131+V132+V129+V130</f>
        <v>5450000000</v>
      </c>
      <c r="W123" s="81">
        <f>W124+W125+W126+W127+W128+W131+W132+W129+W130</f>
        <v>1885239900</v>
      </c>
      <c r="X123" s="214"/>
      <c r="Y123" s="244">
        <f>Y124+Y125+Y126+Y127+Y128+Y131+Y132+Y129+Y130</f>
        <v>7335239900</v>
      </c>
      <c r="Z123" s="81" t="s">
        <v>21</v>
      </c>
      <c r="AA123" s="214"/>
      <c r="AB123" s="1505"/>
      <c r="AC123" s="1506"/>
      <c r="AD123" s="169"/>
      <c r="AE123" s="1507"/>
      <c r="AF123" s="1530"/>
      <c r="AH123" s="253">
        <f>Y123+'[1]BB 15-19 SUDAH LA'!$D$41+'[1]BB 15-19 SUDAH LA'!$D$48</f>
        <v>8408239900</v>
      </c>
    </row>
    <row r="124" spans="1:34" ht="29.25" customHeight="1">
      <c r="A124" s="10">
        <f>DATA!A120</f>
        <v>91</v>
      </c>
      <c r="B124" s="10">
        <f>DATA!B120</f>
        <v>0</v>
      </c>
      <c r="C124" s="10" t="str">
        <f>DATA!D120</f>
        <v>INFRASTRUKTUR</v>
      </c>
      <c r="D124" s="10">
        <f>DATA!E120</f>
        <v>3</v>
      </c>
      <c r="E124" s="10" t="str">
        <f>DATA!F120</f>
        <v>Kementerian Perhubungan</v>
      </c>
      <c r="F124" s="10" t="str">
        <f>DATA!H120</f>
        <v>Railway Development Program</v>
      </c>
      <c r="G124" s="10" t="str">
        <f>DATA!I120</f>
        <v>A</v>
      </c>
      <c r="H124" s="10" t="str">
        <f>DATA!J120</f>
        <v>Program Pengembangan Perkeretaapian</v>
      </c>
      <c r="I124" s="10">
        <f>DATA!K120</f>
        <v>1</v>
      </c>
      <c r="J124" s="254"/>
      <c r="K124" s="34"/>
      <c r="L124" s="34"/>
      <c r="M124" s="172">
        <v>81</v>
      </c>
      <c r="N124" s="37" t="str">
        <f>DATA!L120</f>
        <v>Procurement of Track Material and Turn Out - Phase II</v>
      </c>
      <c r="O124" s="187">
        <f>DATA!T120</f>
        <v>200000000</v>
      </c>
      <c r="P124" s="187">
        <f>DATA!U120</f>
        <v>200000000</v>
      </c>
      <c r="Q124" s="1446">
        <f>DATA!V120</f>
        <v>46369000</v>
      </c>
      <c r="R124" s="1446">
        <f>DATA!W120</f>
        <v>0</v>
      </c>
      <c r="S124" s="2467">
        <f t="shared" si="7"/>
        <v>246369000</v>
      </c>
      <c r="T124" s="2468"/>
      <c r="U124" s="1449" t="str">
        <f>DATA!Y120</f>
        <v>RRT</v>
      </c>
      <c r="V124" s="77">
        <f>DATA!AA120</f>
        <v>200000000</v>
      </c>
      <c r="W124" s="77">
        <v>0</v>
      </c>
      <c r="X124" s="216" t="str">
        <f>DATA!Y120</f>
        <v>RRT</v>
      </c>
      <c r="Y124" s="245">
        <f>DATA!AT120</f>
        <v>200000000</v>
      </c>
      <c r="Z124" s="109" t="str">
        <f>DATA!AU120</f>
        <v>RRT</v>
      </c>
      <c r="AA124" s="1544" t="str">
        <f>DATA!AW120</f>
        <v>sudah kontrak</v>
      </c>
      <c r="AB124" s="245" t="str">
        <f>DATA!AM120</f>
        <v>2016; 2015</v>
      </c>
      <c r="AC124" s="1512" t="str">
        <f>DATA!AN120</f>
        <v>dalam proses</v>
      </c>
      <c r="AD124" s="1522" t="str">
        <f>DATA!AO120</f>
        <v>tidak butuh lahan</v>
      </c>
      <c r="AE124" s="1545">
        <f>DATA!AQ120</f>
        <v>0</v>
      </c>
      <c r="AF124" s="1547" t="str">
        <f>DATA!AR120</f>
        <v>Nilai pinjaman di:
- GB 16 USD 175.056 ribu
- GB 15 USD 185.470 ribu</v>
      </c>
    </row>
    <row r="125" spans="1:34" ht="27" customHeight="1">
      <c r="A125" s="10">
        <f>DATA!A121</f>
        <v>92</v>
      </c>
      <c r="B125" s="10">
        <f>DATA!B121</f>
        <v>0</v>
      </c>
      <c r="C125" s="10" t="str">
        <f>DATA!D121</f>
        <v>INFRASTRUKTUR</v>
      </c>
      <c r="D125" s="10">
        <f>DATA!E121</f>
        <v>3</v>
      </c>
      <c r="E125" s="10" t="str">
        <f>DATA!F121</f>
        <v>Kementerian Perhubungan</v>
      </c>
      <c r="F125" s="10" t="str">
        <f>DATA!H121</f>
        <v>Railway Development Program</v>
      </c>
      <c r="G125" s="10" t="str">
        <f>DATA!I121</f>
        <v>A</v>
      </c>
      <c r="H125" s="10" t="str">
        <f>DATA!J121</f>
        <v>Program Pengembangan Perkeretaapian</v>
      </c>
      <c r="I125" s="10">
        <f>DATA!K121</f>
        <v>1</v>
      </c>
      <c r="J125" s="254"/>
      <c r="K125" s="34"/>
      <c r="L125" s="34"/>
      <c r="M125" s="172">
        <v>82</v>
      </c>
      <c r="N125" s="37" t="str">
        <f>DATA!L121</f>
        <v>Procurement of Track Material and Turn Out - Phase III</v>
      </c>
      <c r="O125" s="187">
        <f>DATA!T121</f>
        <v>292336700</v>
      </c>
      <c r="P125" s="187">
        <f>DATA!U121</f>
        <v>292336700</v>
      </c>
      <c r="Q125" s="1446">
        <f>DATA!V121</f>
        <v>73084200</v>
      </c>
      <c r="R125" s="1446">
        <f>DATA!W121</f>
        <v>0</v>
      </c>
      <c r="S125" s="2467">
        <f t="shared" si="7"/>
        <v>365420900</v>
      </c>
      <c r="T125" s="2468"/>
      <c r="U125" s="1449" t="str">
        <f>DATA!Y121</f>
        <v>Belum Ada Indikasi</v>
      </c>
      <c r="V125" s="77">
        <v>0</v>
      </c>
      <c r="W125" s="77">
        <f>DATA!AA121</f>
        <v>292336700</v>
      </c>
      <c r="X125" s="216" t="str">
        <f>DATA!Y121</f>
        <v>Belum Ada Indikasi</v>
      </c>
      <c r="Y125" s="245">
        <f>DATA!AT121</f>
        <v>292336700</v>
      </c>
      <c r="Z125" s="109" t="str">
        <f>DATA!AU121</f>
        <v>AIIB</v>
      </c>
      <c r="AA125" s="1544" t="str">
        <f>DATA!AW121</f>
        <v>- usulan K/L semula lender: Belum Ada Indikasi
- usulan Dit.Multilateral, diusulkan kepada AIIB.</v>
      </c>
      <c r="AB125" s="245">
        <f>DATA!AM121</f>
        <v>0</v>
      </c>
      <c r="AC125" s="1512" t="str">
        <f>DATA!AN121</f>
        <v>belum ada keterangan</v>
      </c>
      <c r="AD125" s="1522" t="str">
        <f>DATA!AO121</f>
        <v>tidak butuh lahan</v>
      </c>
      <c r="AE125" s="1545">
        <f>DATA!AQ121</f>
        <v>0</v>
      </c>
      <c r="AF125" s="1547" t="str">
        <f>DATA!AR121</f>
        <v>belum ada dokumen R/C</v>
      </c>
    </row>
    <row r="126" spans="1:34" ht="33.75" customHeight="1">
      <c r="J126" s="254"/>
      <c r="K126" s="34"/>
      <c r="L126" s="34"/>
      <c r="M126" s="172">
        <v>83</v>
      </c>
      <c r="N126" s="37" t="str">
        <f>DATA!L122</f>
        <v>Procurement of Track Material and Turn Out - Phase IV</v>
      </c>
      <c r="O126" s="187">
        <f>DATA!T122</f>
        <v>0</v>
      </c>
      <c r="P126" s="187">
        <f>DATA!U122</f>
        <v>126830200</v>
      </c>
      <c r="Q126" s="187">
        <f>DATA!V122</f>
        <v>22381800</v>
      </c>
      <c r="R126" s="187">
        <f>DATA!W122</f>
        <v>0</v>
      </c>
      <c r="S126" s="2467">
        <f t="shared" si="7"/>
        <v>149212000</v>
      </c>
      <c r="T126" s="2468"/>
      <c r="U126" s="1449"/>
      <c r="V126" s="77">
        <v>0</v>
      </c>
      <c r="W126" s="77">
        <f>DATA!AA122</f>
        <v>126830200</v>
      </c>
      <c r="X126" s="88" t="str">
        <f>DATA!Y122</f>
        <v>Belum Ada Indikasi</v>
      </c>
      <c r="Y126" s="245">
        <f>DATA!AT122</f>
        <v>126830200</v>
      </c>
      <c r="Z126" s="109" t="str">
        <f>DATA!AU122</f>
        <v>RRT</v>
      </c>
      <c r="AA126" s="1544">
        <f>DATA!AW122</f>
        <v>0</v>
      </c>
      <c r="AB126" s="245">
        <f>DATA!AM122</f>
        <v>0</v>
      </c>
      <c r="AC126" s="1512"/>
      <c r="AD126" s="1522"/>
      <c r="AE126" s="1545">
        <f>DATA!AQ122</f>
        <v>0</v>
      </c>
      <c r="AF126" s="1547" t="str">
        <f>DATA!AR122</f>
        <v>belum ada dokumen R/C</v>
      </c>
    </row>
    <row r="127" spans="1:34" ht="39.75" customHeight="1">
      <c r="A127" s="10">
        <f>DATA!A123</f>
        <v>93</v>
      </c>
      <c r="B127" s="10">
        <f>DATA!B123</f>
        <v>0</v>
      </c>
      <c r="C127" s="10" t="str">
        <f>DATA!D123</f>
        <v>INFRASTRUKTUR</v>
      </c>
      <c r="D127" s="10">
        <f>DATA!E123</f>
        <v>3</v>
      </c>
      <c r="E127" s="10" t="str">
        <f>DATA!F123</f>
        <v>Kementerian Perhubungan</v>
      </c>
      <c r="F127" s="10" t="str">
        <f>DATA!H123</f>
        <v>Railway Development Program</v>
      </c>
      <c r="G127" s="10" t="str">
        <f>DATA!I123</f>
        <v>A</v>
      </c>
      <c r="H127" s="10" t="str">
        <f>DATA!J123</f>
        <v>Program Pengembangan Perkeretaapian</v>
      </c>
      <c r="I127" s="10">
        <f>DATA!K123</f>
        <v>2</v>
      </c>
      <c r="J127" s="254"/>
      <c r="K127" s="34"/>
      <c r="L127" s="34"/>
      <c r="M127" s="172">
        <v>84</v>
      </c>
      <c r="N127" s="183" t="str">
        <f>DATA!L123</f>
        <v xml:space="preserve">Construction of Jakarta Mass Rapid Transit Project - Phase II </v>
      </c>
      <c r="O127" s="187">
        <f>DATA!T123</f>
        <v>1678000000</v>
      </c>
      <c r="P127" s="187">
        <f>DATA!U123</f>
        <v>1678000000</v>
      </c>
      <c r="Q127" s="1446">
        <f>DATA!V123</f>
        <v>167800000</v>
      </c>
      <c r="R127" s="1446">
        <f>DATA!W123</f>
        <v>0</v>
      </c>
      <c r="S127" s="2467">
        <f t="shared" si="7"/>
        <v>1845800000</v>
      </c>
      <c r="T127" s="2468"/>
      <c r="U127" s="1449" t="str">
        <f>DATA!Y123</f>
        <v>JICA</v>
      </c>
      <c r="V127" s="77">
        <f>DATA!AA123</f>
        <v>1678000000</v>
      </c>
      <c r="W127" s="77">
        <v>0</v>
      </c>
      <c r="X127" s="216" t="str">
        <f>DATA!Y123</f>
        <v>JICA</v>
      </c>
      <c r="Y127" s="245">
        <f>DATA!AT123</f>
        <v>1678000000</v>
      </c>
      <c r="Z127" s="109" t="str">
        <f>DATA!AU123</f>
        <v>JICA</v>
      </c>
      <c r="AA127" s="1544" t="str">
        <f>DATA!AW123</f>
        <v>Belum proses</v>
      </c>
      <c r="AB127" s="245">
        <f>DATA!AM123</f>
        <v>0</v>
      </c>
      <c r="AC127" s="1512" t="str">
        <f>DATA!AN123</f>
        <v>dalam proses
(memiliki FS)</v>
      </c>
      <c r="AD127" s="1522" t="str">
        <f>DATA!AO123</f>
        <v>dalam proses
(perencanaan)</v>
      </c>
      <c r="AE127" s="1545">
        <f>DATA!AQ123</f>
        <v>0</v>
      </c>
      <c r="AF127" s="1547" t="str">
        <f>DATA!AR123</f>
        <v>belum ada dokumen R/C</v>
      </c>
    </row>
    <row r="128" spans="1:34" ht="39.75" customHeight="1">
      <c r="A128" s="10">
        <f>DATA!A124</f>
        <v>94</v>
      </c>
      <c r="B128" s="10">
        <f>DATA!B124</f>
        <v>0</v>
      </c>
      <c r="C128" s="10" t="str">
        <f>DATA!D124</f>
        <v>INFRASTRUKTUR</v>
      </c>
      <c r="D128" s="10">
        <f>DATA!E124</f>
        <v>3</v>
      </c>
      <c r="E128" s="10" t="str">
        <f>DATA!F124</f>
        <v>Kementerian Perhubungan</v>
      </c>
      <c r="F128" s="10" t="str">
        <f>DATA!H124</f>
        <v>Railway Development Program</v>
      </c>
      <c r="G128" s="10" t="str">
        <f>DATA!I124</f>
        <v>A</v>
      </c>
      <c r="H128" s="10" t="str">
        <f>DATA!J124</f>
        <v>Program Pengembangan Perkeretaapian</v>
      </c>
      <c r="I128" s="10">
        <f>DATA!K124</f>
        <v>3</v>
      </c>
      <c r="J128" s="254"/>
      <c r="K128" s="34"/>
      <c r="L128" s="34"/>
      <c r="M128" s="172">
        <v>85</v>
      </c>
      <c r="N128" s="37" t="str">
        <f>DATA!L124</f>
        <v>Construction of Jakarta Mass Rapid Transit East-West Line Project - Phase I</v>
      </c>
      <c r="O128" s="187">
        <f>DATA!T124</f>
        <v>3572000000</v>
      </c>
      <c r="P128" s="187">
        <f>DATA!U124</f>
        <v>3572000000</v>
      </c>
      <c r="Q128" s="1446">
        <f>DATA!V124</f>
        <v>357200000</v>
      </c>
      <c r="R128" s="1446">
        <f>DATA!W124</f>
        <v>0</v>
      </c>
      <c r="S128" s="2467">
        <f t="shared" si="7"/>
        <v>3929200000</v>
      </c>
      <c r="T128" s="2468"/>
      <c r="U128" s="1449" t="str">
        <f>DATA!Y124</f>
        <v>JICA</v>
      </c>
      <c r="V128" s="77">
        <f>DATA!AA124</f>
        <v>3572000000</v>
      </c>
      <c r="W128" s="77">
        <v>0</v>
      </c>
      <c r="X128" s="216" t="str">
        <f>DATA!Y124</f>
        <v>JICA</v>
      </c>
      <c r="Y128" s="245">
        <f>DATA!AT124</f>
        <v>3572000000</v>
      </c>
      <c r="Z128" s="109" t="str">
        <f>DATA!AU124</f>
        <v>JICA</v>
      </c>
      <c r="AA128" s="1544" t="str">
        <f>DATA!AW124</f>
        <v>Sebagian akan diteruspinjamkan kepada Pemprov. DKI Jakarta</v>
      </c>
      <c r="AB128" s="245">
        <f>DATA!AM124</f>
        <v>0</v>
      </c>
      <c r="AC128" s="1512" t="str">
        <f>DATA!AN124</f>
        <v>dalam proses
(memiliki FS)</v>
      </c>
      <c r="AD128" s="1522" t="str">
        <f>DATA!AO124</f>
        <v>dalam proses
(perencanaan)</v>
      </c>
      <c r="AE128" s="1545">
        <f>DATA!AQ124</f>
        <v>0</v>
      </c>
      <c r="AF128" s="1547" t="str">
        <f>DATA!AR124</f>
        <v>belum ada dokumen R/C</v>
      </c>
    </row>
    <row r="129" spans="1:34" ht="24" customHeight="1">
      <c r="J129" s="254"/>
      <c r="K129" s="34"/>
      <c r="L129" s="34"/>
      <c r="M129" s="172">
        <v>86</v>
      </c>
      <c r="N129" s="37" t="str">
        <f>DATA!L126</f>
        <v>Surabaya Regional Railway Line - Phase I</v>
      </c>
      <c r="O129" s="187">
        <f>DATA!T126</f>
        <v>0</v>
      </c>
      <c r="P129" s="187">
        <f>DATA!U126</f>
        <v>100000000</v>
      </c>
      <c r="Q129" s="187">
        <f>DATA!V126</f>
        <v>15000000</v>
      </c>
      <c r="R129" s="187">
        <f>DATA!W126</f>
        <v>0</v>
      </c>
      <c r="S129" s="2467">
        <f t="shared" si="7"/>
        <v>115000000</v>
      </c>
      <c r="T129" s="2468"/>
      <c r="U129" s="1449"/>
      <c r="V129" s="77">
        <v>0</v>
      </c>
      <c r="W129" s="77">
        <f>DATA!AA126</f>
        <v>100000000</v>
      </c>
      <c r="X129" s="216" t="str">
        <f>DATA!Y126</f>
        <v>Belum Ada Indikasi</v>
      </c>
      <c r="Y129" s="245">
        <f>DATA!AT126</f>
        <v>100000000</v>
      </c>
      <c r="Z129" s="109" t="str">
        <f>DATA!AU126</f>
        <v>Belum Ada Indikasi</v>
      </c>
      <c r="AA129" s="1544">
        <f>DATA!AW126</f>
        <v>0</v>
      </c>
      <c r="AB129" s="245">
        <f>DATA!AM126</f>
        <v>0</v>
      </c>
      <c r="AC129" s="1512" t="str">
        <f>DATA!AN126</f>
        <v>belum ada keterangan</v>
      </c>
      <c r="AD129" s="1512" t="str">
        <f>DATA!AO126</f>
        <v>belum ada keterangan</v>
      </c>
      <c r="AE129" s="1545">
        <f>DATA!AQ126</f>
        <v>0</v>
      </c>
      <c r="AF129" s="1664" t="str">
        <f>DATA!AR126</f>
        <v>belum ada dokumen R/C</v>
      </c>
    </row>
    <row r="130" spans="1:34" ht="43.5" customHeight="1">
      <c r="J130" s="254"/>
      <c r="K130" s="34"/>
      <c r="L130" s="34"/>
      <c r="M130" s="172">
        <v>87</v>
      </c>
      <c r="N130" s="37" t="str">
        <f>DATA!L127</f>
        <v>Development of Railway Quality Assurance Facility</v>
      </c>
      <c r="O130" s="187">
        <f>DATA!T127</f>
        <v>0</v>
      </c>
      <c r="P130" s="187">
        <f>DATA!U127</f>
        <v>461428600</v>
      </c>
      <c r="Q130" s="187">
        <f>DATA!V127</f>
        <v>81428600</v>
      </c>
      <c r="R130" s="187">
        <f>DATA!W127</f>
        <v>0</v>
      </c>
      <c r="S130" s="2467">
        <f t="shared" si="7"/>
        <v>542857200</v>
      </c>
      <c r="T130" s="2486" t="s">
        <v>1095</v>
      </c>
      <c r="U130" s="1449"/>
      <c r="V130" s="77">
        <v>0</v>
      </c>
      <c r="W130" s="77">
        <f>DATA!AA127</f>
        <v>461428600</v>
      </c>
      <c r="X130" s="216" t="str">
        <f>DATA!Y127</f>
        <v>Belum Ada Indikasi</v>
      </c>
      <c r="Y130" s="245">
        <f>DATA!AT127</f>
        <v>461428600</v>
      </c>
      <c r="Z130" s="109" t="str">
        <f>DATA!AU127</f>
        <v>Belum Ada Indikasi</v>
      </c>
      <c r="AA130" s="1544">
        <f>DATA!AW127</f>
        <v>0</v>
      </c>
      <c r="AB130" s="245">
        <f>DATA!AM127</f>
        <v>0</v>
      </c>
      <c r="AC130" s="1512" t="str">
        <f>DATA!AN127</f>
        <v>belum ada keterangan</v>
      </c>
      <c r="AD130" s="1512" t="str">
        <f>DATA!AO127</f>
        <v>belum ada keterangan</v>
      </c>
      <c r="AE130" s="1545">
        <f>DATA!AQ127</f>
        <v>0</v>
      </c>
      <c r="AF130" s="1664" t="str">
        <f>DATA!AR127</f>
        <v>belum ada dokumen R/C</v>
      </c>
    </row>
    <row r="131" spans="1:34" ht="39.75" customHeight="1">
      <c r="J131" s="254"/>
      <c r="K131" s="34"/>
      <c r="L131" s="34"/>
      <c r="M131" s="172">
        <v>88</v>
      </c>
      <c r="N131" s="37" t="str">
        <f>DATA!L128</f>
        <v>Construction of Railway line for Bitung - Gorontalo - Isimu</v>
      </c>
      <c r="O131" s="187">
        <f>DATA!T128</f>
        <v>0</v>
      </c>
      <c r="P131" s="187">
        <f>DATA!U128</f>
        <v>505476800</v>
      </c>
      <c r="Q131" s="187">
        <f>DATA!V128</f>
        <v>89201771</v>
      </c>
      <c r="R131" s="187">
        <f>DATA!W128</f>
        <v>0</v>
      </c>
      <c r="S131" s="2467">
        <f t="shared" si="7"/>
        <v>594678571</v>
      </c>
      <c r="T131" s="2468"/>
      <c r="U131" s="1449"/>
      <c r="V131" s="77">
        <v>0</v>
      </c>
      <c r="W131" s="77">
        <f>DATA!AA128</f>
        <v>505476800</v>
      </c>
      <c r="X131" s="216" t="str">
        <f>DATA!Y128</f>
        <v>Belum Ada Indikasi</v>
      </c>
      <c r="Y131" s="245">
        <f>DATA!AT128</f>
        <v>505476800</v>
      </c>
      <c r="Z131" s="109" t="str">
        <f>DATA!AU128</f>
        <v>Belum Ada Indikasi</v>
      </c>
      <c r="AA131" s="1544">
        <f>DATA!AW128</f>
        <v>0</v>
      </c>
      <c r="AB131" s="245">
        <f>DATA!AM128</f>
        <v>0</v>
      </c>
      <c r="AC131" s="1512" t="str">
        <f>DATA!AN128</f>
        <v>belum ada keterangan</v>
      </c>
      <c r="AD131" s="1512" t="str">
        <f>DATA!AO128</f>
        <v>belum ada keterangan</v>
      </c>
      <c r="AE131" s="1545">
        <f>DATA!AQ128</f>
        <v>0</v>
      </c>
      <c r="AF131" s="1664" t="str">
        <f>DATA!AR128</f>
        <v>belum ada dokumen R/C</v>
      </c>
    </row>
    <row r="132" spans="1:34" ht="39.75" customHeight="1">
      <c r="J132" s="254"/>
      <c r="K132" s="34"/>
      <c r="L132" s="34"/>
      <c r="M132" s="172">
        <v>89</v>
      </c>
      <c r="N132" s="37" t="str">
        <f>DATA!L129</f>
        <v>Construction of Railway line for Pare-pare - Mamuju</v>
      </c>
      <c r="O132" s="187">
        <f>DATA!T129</f>
        <v>0</v>
      </c>
      <c r="P132" s="187">
        <f>DATA!U129</f>
        <v>399167600</v>
      </c>
      <c r="Q132" s="187">
        <f>DATA!V129</f>
        <v>70441329</v>
      </c>
      <c r="R132" s="187">
        <f>DATA!W129</f>
        <v>0</v>
      </c>
      <c r="S132" s="2467">
        <f t="shared" si="7"/>
        <v>469608929</v>
      </c>
      <c r="T132" s="2468"/>
      <c r="U132" s="1449"/>
      <c r="V132" s="77">
        <v>0</v>
      </c>
      <c r="W132" s="77">
        <f>DATA!AA129</f>
        <v>399167600</v>
      </c>
      <c r="X132" s="216" t="str">
        <f>DATA!Y129</f>
        <v>Belum Ada Indikasi</v>
      </c>
      <c r="Y132" s="245">
        <f>DATA!AT129</f>
        <v>399167600</v>
      </c>
      <c r="Z132" s="109" t="str">
        <f>DATA!AU129</f>
        <v>Belum Ada Indikasi</v>
      </c>
      <c r="AA132" s="1544">
        <f>DATA!AW129</f>
        <v>0</v>
      </c>
      <c r="AB132" s="245">
        <f>DATA!AM129</f>
        <v>0</v>
      </c>
      <c r="AC132" s="1512" t="str">
        <f>DATA!AN129</f>
        <v>belum ada keterangan</v>
      </c>
      <c r="AD132" s="1512" t="str">
        <f>DATA!AO129</f>
        <v>belum ada keterangan</v>
      </c>
      <c r="AE132" s="1545">
        <f>DATA!AQ129</f>
        <v>0</v>
      </c>
      <c r="AF132" s="1555" t="str">
        <f>DATA!AR129</f>
        <v>belum ada dokumen R/C</v>
      </c>
    </row>
    <row r="133" spans="1:34" ht="30" customHeight="1">
      <c r="J133" s="254"/>
      <c r="K133" s="34"/>
      <c r="L133" s="30" t="s">
        <v>40</v>
      </c>
      <c r="M133" s="31" t="s">
        <v>896</v>
      </c>
      <c r="N133" s="51"/>
      <c r="O133" s="197">
        <f>O134+O135+O136+O137</f>
        <v>0</v>
      </c>
      <c r="P133" s="197">
        <f>P134+P135+P136+P137</f>
        <v>1987373100</v>
      </c>
      <c r="Q133" s="1436">
        <f>Q134+Q135+Q136+Q137</f>
        <v>602300000</v>
      </c>
      <c r="R133" s="1436">
        <f>R134+R135+R136+R137</f>
        <v>0</v>
      </c>
      <c r="S133" s="1559">
        <f t="shared" si="7"/>
        <v>2589673100</v>
      </c>
      <c r="T133" s="2463"/>
      <c r="U133" s="1539"/>
      <c r="V133" s="81">
        <f>V134+V135+V136+V137</f>
        <v>0</v>
      </c>
      <c r="W133" s="81">
        <f>W134+W135+W136+W137</f>
        <v>1987373100</v>
      </c>
      <c r="X133" s="214"/>
      <c r="Y133" s="244">
        <f>Y134+Y135+Y136+Y137</f>
        <v>1987373100</v>
      </c>
      <c r="Z133" s="81" t="s">
        <v>21</v>
      </c>
      <c r="AA133" s="214"/>
      <c r="AB133" s="1505"/>
      <c r="AC133" s="1506"/>
      <c r="AD133" s="169"/>
      <c r="AE133" s="1507"/>
      <c r="AF133" s="1530"/>
      <c r="AH133" s="174">
        <f>AH123+Y133</f>
        <v>10395613000</v>
      </c>
    </row>
    <row r="134" spans="1:34" ht="36" customHeight="1">
      <c r="J134" s="254"/>
      <c r="K134" s="34"/>
      <c r="L134" s="34"/>
      <c r="M134" s="172">
        <v>90</v>
      </c>
      <c r="N134" s="2415" t="str">
        <f>DATA!L131</f>
        <v>Development and Improvement of Indonesian Aids to Navigation</v>
      </c>
      <c r="O134" s="187">
        <f>DATA!T131</f>
        <v>0</v>
      </c>
      <c r="P134" s="187">
        <f>DATA!U131</f>
        <v>27402600</v>
      </c>
      <c r="Q134" s="187">
        <f>DATA!V131</f>
        <v>7300000</v>
      </c>
      <c r="R134" s="187">
        <f>DATA!W131</f>
        <v>0</v>
      </c>
      <c r="S134" s="2467">
        <f t="shared" si="7"/>
        <v>34702600</v>
      </c>
      <c r="T134" s="2486" t="s">
        <v>1096</v>
      </c>
      <c r="U134" s="1449"/>
      <c r="V134" s="77">
        <v>0</v>
      </c>
      <c r="W134" s="77">
        <f>DATA!AA131</f>
        <v>27402600</v>
      </c>
      <c r="X134" s="216" t="str">
        <f>DATA!Y131</f>
        <v>Belum Ada Indikasi</v>
      </c>
      <c r="Y134" s="245">
        <f>DATA!AT131</f>
        <v>27402600</v>
      </c>
      <c r="Z134" s="109" t="str">
        <f>DATA!AU131</f>
        <v>Belum Ada Indikasi</v>
      </c>
      <c r="AA134" s="1544">
        <f>DATA!AW131</f>
        <v>0</v>
      </c>
      <c r="AB134" s="245">
        <f>DATA!AM131</f>
        <v>0</v>
      </c>
      <c r="AC134" s="1512" t="str">
        <f>DATA!AN131</f>
        <v>belum ada keterangan</v>
      </c>
      <c r="AD134" s="1512" t="str">
        <f>DATA!AO131</f>
        <v>belum ada keterangan</v>
      </c>
      <c r="AE134" s="1512">
        <f>DATA!AQ131</f>
        <v>0</v>
      </c>
      <c r="AF134" s="1555">
        <f>DATA!AR131</f>
        <v>0</v>
      </c>
    </row>
    <row r="135" spans="1:34" ht="30.75" customHeight="1">
      <c r="J135" s="254"/>
      <c r="K135" s="34"/>
      <c r="L135" s="34"/>
      <c r="M135" s="172">
        <v>91</v>
      </c>
      <c r="N135" s="2415" t="str">
        <f>DATA!L132</f>
        <v>Procurement of Navigation First Class Vessels</v>
      </c>
      <c r="O135" s="187">
        <f>DATA!T132</f>
        <v>0</v>
      </c>
      <c r="P135" s="187">
        <f>DATA!U132</f>
        <v>186237900</v>
      </c>
      <c r="Q135" s="187">
        <f>DATA!V132</f>
        <v>0</v>
      </c>
      <c r="R135" s="187">
        <f>DATA!W132</f>
        <v>0</v>
      </c>
      <c r="S135" s="2467">
        <f t="shared" si="7"/>
        <v>186237900</v>
      </c>
      <c r="T135" s="2486" t="s">
        <v>1097</v>
      </c>
      <c r="U135" s="1449"/>
      <c r="V135" s="77">
        <v>0</v>
      </c>
      <c r="W135" s="77">
        <f>DATA!AA132</f>
        <v>186237900</v>
      </c>
      <c r="X135" s="216" t="str">
        <f>DATA!Y132</f>
        <v>Belum Ada Indikasi</v>
      </c>
      <c r="Y135" s="245">
        <f>DATA!AT132</f>
        <v>186237900</v>
      </c>
      <c r="Z135" s="109" t="str">
        <f>DATA!AU132</f>
        <v>Belum Ada Indikasi</v>
      </c>
      <c r="AA135" s="1544">
        <f>DATA!AW132</f>
        <v>0</v>
      </c>
      <c r="AB135" s="245">
        <f>DATA!AM132</f>
        <v>0</v>
      </c>
      <c r="AC135" s="1512" t="str">
        <f>DATA!AN132</f>
        <v>belum ada keterangan</v>
      </c>
      <c r="AD135" s="1512" t="str">
        <f>DATA!AO132</f>
        <v>belum ada keterangan</v>
      </c>
      <c r="AE135" s="1512">
        <f>DATA!AQ132</f>
        <v>0</v>
      </c>
      <c r="AF135" s="1555">
        <f>DATA!AR132</f>
        <v>0</v>
      </c>
    </row>
    <row r="136" spans="1:34" ht="31.5" customHeight="1">
      <c r="J136" s="254"/>
      <c r="K136" s="34"/>
      <c r="L136" s="34"/>
      <c r="M136" s="172">
        <v>92</v>
      </c>
      <c r="N136" s="2415" t="str">
        <f>DATA!L133</f>
        <v>Procurement of Navigation Carrier Vessels</v>
      </c>
      <c r="O136" s="187">
        <f>DATA!T133</f>
        <v>0</v>
      </c>
      <c r="P136" s="187">
        <f>DATA!U133</f>
        <v>73732600</v>
      </c>
      <c r="Q136" s="187">
        <f>DATA!V133</f>
        <v>0</v>
      </c>
      <c r="R136" s="187">
        <f>DATA!W133</f>
        <v>0</v>
      </c>
      <c r="S136" s="2467">
        <f t="shared" si="7"/>
        <v>73732600</v>
      </c>
      <c r="T136" s="2486" t="s">
        <v>1098</v>
      </c>
      <c r="U136" s="1449"/>
      <c r="V136" s="77">
        <v>0</v>
      </c>
      <c r="W136" s="77">
        <f>DATA!AA133</f>
        <v>73732600</v>
      </c>
      <c r="X136" s="216" t="str">
        <f>DATA!Y133</f>
        <v>Belum Ada Indikasi</v>
      </c>
      <c r="Y136" s="245">
        <f>DATA!AT133</f>
        <v>73732600</v>
      </c>
      <c r="Z136" s="109" t="str">
        <f>DATA!AU133</f>
        <v>Belum Ada Indikasi</v>
      </c>
      <c r="AA136" s="1544">
        <f>DATA!AW133</f>
        <v>0</v>
      </c>
      <c r="AB136" s="245">
        <f>DATA!AM133</f>
        <v>0</v>
      </c>
      <c r="AC136" s="1512" t="str">
        <f>DATA!AN133</f>
        <v>belum ada keterangan</v>
      </c>
      <c r="AD136" s="1512" t="str">
        <f>DATA!AO133</f>
        <v>belum ada keterangan</v>
      </c>
      <c r="AE136" s="1512">
        <f>DATA!AQ133</f>
        <v>0</v>
      </c>
      <c r="AF136" s="1555">
        <f>DATA!AR133</f>
        <v>0</v>
      </c>
    </row>
    <row r="137" spans="1:34" ht="24.75" customHeight="1">
      <c r="J137" s="254"/>
      <c r="K137" s="34"/>
      <c r="L137" s="34"/>
      <c r="M137" s="172">
        <v>93</v>
      </c>
      <c r="N137" s="2415" t="str">
        <f>DATA!L134</f>
        <v>The Development of Patimban Port - Stage I</v>
      </c>
      <c r="O137" s="187">
        <f>DATA!T134</f>
        <v>0</v>
      </c>
      <c r="P137" s="187">
        <f>DATA!U134</f>
        <v>1700000000</v>
      </c>
      <c r="Q137" s="187">
        <f>DATA!V134</f>
        <v>595000000</v>
      </c>
      <c r="R137" s="187">
        <f>DATA!W134</f>
        <v>0</v>
      </c>
      <c r="S137" s="2467">
        <f t="shared" si="7"/>
        <v>2295000000</v>
      </c>
      <c r="T137" s="2468"/>
      <c r="U137" s="1449"/>
      <c r="V137" s="77">
        <v>0</v>
      </c>
      <c r="W137" s="77">
        <f>DATA!AA134</f>
        <v>1700000000</v>
      </c>
      <c r="X137" s="216" t="str">
        <f>DATA!Y134</f>
        <v>Belum Ada Indikasi</v>
      </c>
      <c r="Y137" s="245">
        <f>DATA!AT134</f>
        <v>1700000000</v>
      </c>
      <c r="Z137" s="109" t="str">
        <f>DATA!AU134</f>
        <v>JICA</v>
      </c>
      <c r="AA137" s="1544">
        <f>DATA!AW134</f>
        <v>0</v>
      </c>
      <c r="AB137" s="245">
        <f>DATA!AM134</f>
        <v>0</v>
      </c>
      <c r="AC137" s="1512" t="str">
        <f>DATA!AN134</f>
        <v>belum ada keterangan</v>
      </c>
      <c r="AD137" s="1512" t="str">
        <f>DATA!AO134</f>
        <v>belum ada keterangan</v>
      </c>
      <c r="AE137" s="1512">
        <f>DATA!AQ134</f>
        <v>0</v>
      </c>
      <c r="AF137" s="1555" t="str">
        <f>DATA!AR134</f>
        <v>belum ada dokumen R/C</v>
      </c>
    </row>
    <row r="138" spans="1:34" s="4" customFormat="1" ht="24.95" customHeight="1">
      <c r="J138" s="2498"/>
      <c r="K138" s="25">
        <v>4</v>
      </c>
      <c r="L138" s="108" t="str">
        <f>DATA!F135</f>
        <v>Kementerian Komunikasi dan Informatika</v>
      </c>
      <c r="M138" s="25"/>
      <c r="N138" s="27"/>
      <c r="O138" s="194">
        <f>+O139</f>
        <v>556000000</v>
      </c>
      <c r="P138" s="194">
        <f>+P139</f>
        <v>556000000</v>
      </c>
      <c r="Q138" s="194">
        <f>+Q139</f>
        <v>61000000</v>
      </c>
      <c r="R138" s="194">
        <f>+R139</f>
        <v>10000000</v>
      </c>
      <c r="S138" s="194">
        <f t="shared" si="7"/>
        <v>627000000</v>
      </c>
      <c r="T138" s="2484"/>
      <c r="U138" s="1549"/>
      <c r="V138" s="80">
        <f>+V139</f>
        <v>145000000</v>
      </c>
      <c r="W138" s="80">
        <f>+W139</f>
        <v>411000000</v>
      </c>
      <c r="X138" s="213"/>
      <c r="Y138" s="242">
        <f>+Y139</f>
        <v>556000000</v>
      </c>
      <c r="Z138" s="80" t="s">
        <v>21</v>
      </c>
      <c r="AA138" s="213"/>
      <c r="AB138" s="1501"/>
      <c r="AC138" s="1502"/>
      <c r="AD138" s="168"/>
      <c r="AE138" s="1503"/>
      <c r="AF138" s="1529"/>
      <c r="AG138" s="5"/>
    </row>
    <row r="139" spans="1:34" s="5" customFormat="1" ht="33.75" customHeight="1">
      <c r="J139" s="1594"/>
      <c r="K139" s="29"/>
      <c r="L139" s="30" t="str">
        <f>DATA!I135</f>
        <v>A</v>
      </c>
      <c r="M139" s="31" t="str">
        <f>DATA!J135</f>
        <v>Program Pengembangan Infrastruktur TIK dan Penyiaran</v>
      </c>
      <c r="N139" s="51"/>
      <c r="O139" s="197">
        <f>+O140+O141</f>
        <v>556000000</v>
      </c>
      <c r="P139" s="197">
        <f>+P140+P141</f>
        <v>556000000</v>
      </c>
      <c r="Q139" s="1436">
        <f>+Q140+Q141</f>
        <v>61000000</v>
      </c>
      <c r="R139" s="1436">
        <f>+R140+R141</f>
        <v>10000000</v>
      </c>
      <c r="S139" s="1559">
        <f t="shared" si="7"/>
        <v>627000000</v>
      </c>
      <c r="T139" s="2463"/>
      <c r="U139" s="1539"/>
      <c r="V139" s="81">
        <f>+V140+V141</f>
        <v>145000000</v>
      </c>
      <c r="W139" s="81">
        <f>+W140+W141</f>
        <v>411000000</v>
      </c>
      <c r="X139" s="214"/>
      <c r="Y139" s="244">
        <f>+Y140+Y141</f>
        <v>556000000</v>
      </c>
      <c r="Z139" s="81" t="s">
        <v>21</v>
      </c>
      <c r="AA139" s="214"/>
      <c r="AB139" s="1505"/>
      <c r="AC139" s="1506"/>
      <c r="AD139" s="169"/>
      <c r="AE139" s="1507"/>
      <c r="AF139" s="1530"/>
      <c r="AG139" s="10"/>
    </row>
    <row r="140" spans="1:34" ht="33" customHeight="1">
      <c r="A140" s="10">
        <f>DATA!A135</f>
        <v>97</v>
      </c>
      <c r="B140" s="10">
        <f>DATA!B135</f>
        <v>0</v>
      </c>
      <c r="C140" s="10" t="str">
        <f>DATA!D135</f>
        <v>INFRASTRUKTUR</v>
      </c>
      <c r="D140" s="10">
        <f>DATA!E135</f>
        <v>5</v>
      </c>
      <c r="E140" s="10" t="str">
        <f>DATA!F135</f>
        <v>Kementerian Komunikasi dan Informatika</v>
      </c>
      <c r="F140" s="10" t="str">
        <f>DATA!H135</f>
        <v>Information Communication And Technology (ICT) And Broadcasting Infrastructure Development Program</v>
      </c>
      <c r="G140" s="10" t="str">
        <f>DATA!I135</f>
        <v>A</v>
      </c>
      <c r="H140" s="10" t="str">
        <f>DATA!J135</f>
        <v>Program Pengembangan Infrastruktur TIK dan Penyiaran</v>
      </c>
      <c r="I140" s="10">
        <f>DATA!K135</f>
        <v>1</v>
      </c>
      <c r="J140" s="254"/>
      <c r="K140" s="34"/>
      <c r="L140" s="35"/>
      <c r="M140" s="36">
        <v>94</v>
      </c>
      <c r="N140" s="37" t="str">
        <f>DATA!L135</f>
        <v>Improvement on TV Transmitting Stations (Digitalization of TVRI) - Phase III</v>
      </c>
      <c r="O140" s="187">
        <f>DATA!T135</f>
        <v>411000000</v>
      </c>
      <c r="P140" s="187">
        <f>DATA!U135</f>
        <v>411000000</v>
      </c>
      <c r="Q140" s="1446">
        <f>DATA!V135</f>
        <v>41000000</v>
      </c>
      <c r="R140" s="1446">
        <f>DATA!W135</f>
        <v>0</v>
      </c>
      <c r="S140" s="2467">
        <f t="shared" si="7"/>
        <v>452000000</v>
      </c>
      <c r="T140" s="2468"/>
      <c r="U140" s="1449" t="str">
        <f>DATA!Y135</f>
        <v>Belum Ada Indikasi</v>
      </c>
      <c r="V140" s="77">
        <v>0</v>
      </c>
      <c r="W140" s="77">
        <f>DATA!AA135</f>
        <v>411000000</v>
      </c>
      <c r="X140" s="216" t="str">
        <f>DATA!Y135</f>
        <v>Belum Ada Indikasi</v>
      </c>
      <c r="Y140" s="245">
        <f>DATA!AT135</f>
        <v>411000000</v>
      </c>
      <c r="Z140" s="109" t="str">
        <f>DATA!AU135</f>
        <v>US EXIM/Perancis</v>
      </c>
      <c r="AA140" s="216" t="str">
        <f>DATA!AW135</f>
        <v>-</v>
      </c>
      <c r="AB140" s="245">
        <f>DATA!AM135</f>
        <v>0</v>
      </c>
      <c r="AC140" s="1510" t="str">
        <f>DATA!AN135</f>
        <v>dalam proses
(penyusunan FS)</v>
      </c>
      <c r="AD140" s="1511" t="str">
        <f>DATA!AO135</f>
        <v>siap</v>
      </c>
      <c r="AE140" s="1512">
        <f>DATA!AQ135</f>
        <v>0</v>
      </c>
      <c r="AF140" s="1555" t="str">
        <f>DATA!AR135</f>
        <v>belum ada dokumen R/C</v>
      </c>
    </row>
    <row r="141" spans="1:34" ht="30.75" customHeight="1">
      <c r="A141" s="10">
        <f>DATA!A136</f>
        <v>98</v>
      </c>
      <c r="B141" s="10">
        <f>DATA!B136</f>
        <v>0</v>
      </c>
      <c r="C141" s="10" t="str">
        <f>DATA!D136</f>
        <v>INFRASTRUKTUR</v>
      </c>
      <c r="D141" s="10">
        <f>DATA!E136</f>
        <v>5</v>
      </c>
      <c r="E141" s="10" t="str">
        <f>DATA!F136</f>
        <v>Kementerian Komunikasi dan Informatika</v>
      </c>
      <c r="F141" s="10" t="str">
        <f>DATA!H136</f>
        <v>Information Communication And Technology (ICT) And Broadcasting Infrastructure Development Program</v>
      </c>
      <c r="G141" s="10" t="str">
        <f>DATA!I136</f>
        <v>A</v>
      </c>
      <c r="H141" s="10" t="str">
        <f>DATA!J136</f>
        <v>Program Pengembangan Infrastruktur TIK dan Penyiaran</v>
      </c>
      <c r="I141" s="10">
        <f>DATA!K136</f>
        <v>2</v>
      </c>
      <c r="J141" s="254"/>
      <c r="K141" s="34"/>
      <c r="L141" s="34"/>
      <c r="M141" s="36">
        <v>95</v>
      </c>
      <c r="N141" s="37" t="str">
        <f>DATA!L136</f>
        <v>Strengthening of e-Government Infrastructure</v>
      </c>
      <c r="O141" s="187">
        <f>DATA!T136</f>
        <v>145000000</v>
      </c>
      <c r="P141" s="187">
        <f>DATA!U136</f>
        <v>145000000</v>
      </c>
      <c r="Q141" s="1446">
        <f>DATA!V136</f>
        <v>20000000</v>
      </c>
      <c r="R141" s="1446">
        <f>DATA!W136</f>
        <v>10000000</v>
      </c>
      <c r="S141" s="2467">
        <f t="shared" si="7"/>
        <v>175000000</v>
      </c>
      <c r="T141" s="2468"/>
      <c r="U141" s="1449" t="str">
        <f>DATA!Y136</f>
        <v>Korea</v>
      </c>
      <c r="V141" s="77">
        <f>DATA!AA136</f>
        <v>145000000</v>
      </c>
      <c r="W141" s="77"/>
      <c r="X141" s="216" t="str">
        <f>DATA!Y136</f>
        <v>Korea</v>
      </c>
      <c r="Y141" s="245">
        <f>DATA!AT136</f>
        <v>145000000</v>
      </c>
      <c r="Z141" s="109" t="str">
        <f>DATA!AU136</f>
        <v>Korea</v>
      </c>
      <c r="AA141" s="1520" t="str">
        <f>DATA!AW136</f>
        <v>masuk rolling plan EDCF (Korea)</v>
      </c>
      <c r="AB141" s="245">
        <f>DATA!AM136</f>
        <v>0</v>
      </c>
      <c r="AC141" s="1510" t="str">
        <f>DATA!AN136</f>
        <v>dalam proses
(penyusunan FS)</v>
      </c>
      <c r="AD141" s="1511" t="str">
        <f>DATA!AO136</f>
        <v>dalam proses
(persiapan)</v>
      </c>
      <c r="AE141" s="1512">
        <f>DATA!AQ136</f>
        <v>0</v>
      </c>
      <c r="AF141" s="1555" t="str">
        <f>DATA!AR136</f>
        <v>penyiapan dokumen R/C</v>
      </c>
      <c r="AG141" s="4"/>
    </row>
    <row r="142" spans="1:34" s="4" customFormat="1" ht="24.95" customHeight="1">
      <c r="J142" s="2498"/>
      <c r="K142" s="25">
        <v>5</v>
      </c>
      <c r="L142" s="108" t="str">
        <f>DATA!F138</f>
        <v>Kepolisian RI</v>
      </c>
      <c r="M142" s="25"/>
      <c r="N142" s="27"/>
      <c r="O142" s="194">
        <f t="shared" ref="O142:R143" si="10">+O143</f>
        <v>20000000</v>
      </c>
      <c r="P142" s="194">
        <f t="shared" si="10"/>
        <v>20000000</v>
      </c>
      <c r="Q142" s="194">
        <f t="shared" si="10"/>
        <v>3500000</v>
      </c>
      <c r="R142" s="194">
        <f t="shared" si="10"/>
        <v>0</v>
      </c>
      <c r="S142" s="194">
        <f t="shared" si="7"/>
        <v>23500000</v>
      </c>
      <c r="T142" s="2487"/>
      <c r="U142" s="1549"/>
      <c r="V142" s="80">
        <f t="shared" ref="V142:Y143" si="11">+V143</f>
        <v>20000000</v>
      </c>
      <c r="W142" s="80">
        <f t="shared" si="11"/>
        <v>0</v>
      </c>
      <c r="X142" s="213"/>
      <c r="Y142" s="242">
        <f t="shared" si="11"/>
        <v>20000000</v>
      </c>
      <c r="Z142" s="80" t="s">
        <v>21</v>
      </c>
      <c r="AA142" s="213"/>
      <c r="AB142" s="1501"/>
      <c r="AC142" s="1502"/>
      <c r="AD142" s="168"/>
      <c r="AE142" s="1503"/>
      <c r="AF142" s="1529"/>
      <c r="AG142" s="5"/>
    </row>
    <row r="143" spans="1:34" s="5" customFormat="1" ht="33.75" customHeight="1">
      <c r="J143" s="1594"/>
      <c r="K143" s="29"/>
      <c r="L143" s="30" t="str">
        <f>DATA!I138</f>
        <v>A</v>
      </c>
      <c r="M143" s="3427" t="str">
        <f>DATA!J138</f>
        <v>Program Pengembangan Infrastruktur TIK dan Penyiaran</v>
      </c>
      <c r="N143" s="3428"/>
      <c r="O143" s="197">
        <f t="shared" si="10"/>
        <v>20000000</v>
      </c>
      <c r="P143" s="197">
        <f t="shared" si="10"/>
        <v>20000000</v>
      </c>
      <c r="Q143" s="1436">
        <f t="shared" si="10"/>
        <v>3500000</v>
      </c>
      <c r="R143" s="1436">
        <f t="shared" si="10"/>
        <v>0</v>
      </c>
      <c r="S143" s="1559">
        <f t="shared" si="7"/>
        <v>23500000</v>
      </c>
      <c r="T143" s="2463"/>
      <c r="U143" s="1539"/>
      <c r="V143" s="81">
        <f t="shared" si="11"/>
        <v>20000000</v>
      </c>
      <c r="W143" s="81">
        <f t="shared" si="11"/>
        <v>0</v>
      </c>
      <c r="X143" s="214"/>
      <c r="Y143" s="244">
        <f t="shared" si="11"/>
        <v>20000000</v>
      </c>
      <c r="Z143" s="81" t="s">
        <v>21</v>
      </c>
      <c r="AA143" s="214"/>
      <c r="AB143" s="1505"/>
      <c r="AC143" s="1506"/>
      <c r="AD143" s="169"/>
      <c r="AE143" s="1507"/>
      <c r="AF143" s="1530"/>
      <c r="AG143" s="9"/>
    </row>
    <row r="144" spans="1:34" s="9" customFormat="1" ht="37.5" customHeight="1">
      <c r="A144" s="9">
        <f>DATA!A138</f>
        <v>100</v>
      </c>
      <c r="B144" s="9">
        <f>DATA!B138</f>
        <v>0</v>
      </c>
      <c r="C144" s="9" t="str">
        <f>DATA!D138</f>
        <v>INFRASTRUKTUR</v>
      </c>
      <c r="D144" s="9">
        <f>DATA!E138</f>
        <v>6</v>
      </c>
      <c r="E144" s="9" t="str">
        <f>DATA!F138</f>
        <v>Kepolisian RI</v>
      </c>
      <c r="F144" s="9" t="str">
        <f>DATA!H138</f>
        <v>Information Communication And Technology (ICT) And Broadcasting Infrastructure Development Program</v>
      </c>
      <c r="G144" s="9" t="str">
        <f>DATA!I138</f>
        <v>A</v>
      </c>
      <c r="H144" s="9" t="str">
        <f>DATA!J138</f>
        <v>Program Pengembangan Infrastruktur TIK dan Penyiaran</v>
      </c>
      <c r="I144" s="9">
        <f>DATA!K138</f>
        <v>1</v>
      </c>
      <c r="J144" s="254"/>
      <c r="K144" s="255"/>
      <c r="L144" s="66"/>
      <c r="M144" s="64">
        <v>96</v>
      </c>
      <c r="N144" s="65" t="str">
        <f>DATA!L138</f>
        <v>National Criminal Information Center for Indonesian National Police - Phase II</v>
      </c>
      <c r="O144" s="258">
        <f>DATA!T138</f>
        <v>20000000</v>
      </c>
      <c r="P144" s="258">
        <f>DATA!U138</f>
        <v>20000000</v>
      </c>
      <c r="Q144" s="1454">
        <f>DATA!V138</f>
        <v>3500000</v>
      </c>
      <c r="R144" s="1454">
        <f>DATA!W138</f>
        <v>0</v>
      </c>
      <c r="S144" s="2467">
        <f t="shared" si="7"/>
        <v>23500000</v>
      </c>
      <c r="T144" s="2468"/>
      <c r="U144" s="1455" t="str">
        <f>DATA!Y138</f>
        <v>Korea</v>
      </c>
      <c r="V144" s="2418">
        <f>DATA!AA138</f>
        <v>20000000</v>
      </c>
      <c r="W144" s="91">
        <v>0</v>
      </c>
      <c r="X144" s="263" t="str">
        <f>DATA!Y138</f>
        <v>Korea</v>
      </c>
      <c r="Y144" s="272">
        <f>DATA!AT138</f>
        <v>20000000</v>
      </c>
      <c r="Z144" s="273" t="str">
        <f>DATA!AU138</f>
        <v>Korea</v>
      </c>
      <c r="AA144" s="2452" t="str">
        <f>DATA!AW138</f>
        <v>masuk rolling plan EDCF (Korea)</v>
      </c>
      <c r="AB144" s="1625">
        <f>DATA!AM138</f>
        <v>2015</v>
      </c>
      <c r="AC144" s="1512" t="str">
        <f>DATA!AN138</f>
        <v>siap</v>
      </c>
      <c r="AD144" s="1522" t="str">
        <f>DATA!AO138</f>
        <v>tidak butuh lahan</v>
      </c>
      <c r="AE144" s="1512">
        <f>DATA!AQ138</f>
        <v>0</v>
      </c>
      <c r="AF144" s="1531" t="str">
        <f>DATA!AR138</f>
        <v>-</v>
      </c>
      <c r="AG144" s="4"/>
    </row>
    <row r="145" spans="1:33" s="4" customFormat="1" ht="24.75" customHeight="1">
      <c r="J145" s="2498"/>
      <c r="K145" s="25">
        <v>6</v>
      </c>
      <c r="L145" s="108" t="str">
        <f>DATA!F139</f>
        <v xml:space="preserve">PT. PLN    </v>
      </c>
      <c r="M145" s="25"/>
      <c r="N145" s="27"/>
      <c r="O145" s="194">
        <f>+O146</f>
        <v>4271000000</v>
      </c>
      <c r="P145" s="194">
        <f>+P146</f>
        <v>4271000000</v>
      </c>
      <c r="Q145" s="194">
        <f>+Q146</f>
        <v>843000000</v>
      </c>
      <c r="R145" s="194">
        <f>+R146</f>
        <v>0</v>
      </c>
      <c r="S145" s="194">
        <f t="shared" si="7"/>
        <v>5114000000</v>
      </c>
      <c r="T145" s="2484"/>
      <c r="U145" s="1549"/>
      <c r="V145" s="80">
        <f>+V146</f>
        <v>4271000000</v>
      </c>
      <c r="W145" s="80">
        <f>+W146</f>
        <v>0</v>
      </c>
      <c r="X145" s="213"/>
      <c r="Y145" s="242">
        <f>+Y146</f>
        <v>4271000000</v>
      </c>
      <c r="Z145" s="80" t="s">
        <v>21</v>
      </c>
      <c r="AA145" s="213"/>
      <c r="AB145" s="1501"/>
      <c r="AC145" s="1502"/>
      <c r="AD145" s="168"/>
      <c r="AE145" s="1503"/>
      <c r="AF145" s="1529"/>
      <c r="AG145" s="5"/>
    </row>
    <row r="146" spans="1:33" s="5" customFormat="1" ht="33.75" customHeight="1">
      <c r="J146" s="1594"/>
      <c r="K146" s="29"/>
      <c r="L146" s="30" t="str">
        <f>DATA!I139</f>
        <v>A</v>
      </c>
      <c r="M146" s="3427" t="str">
        <f>DATA!J139</f>
        <v>Program Pembangunan Infrastruktur Ketenagalistrikan</v>
      </c>
      <c r="N146" s="3428"/>
      <c r="O146" s="197">
        <f>O147+O148+O149+O150+O151+O152+O153+O154</f>
        <v>4271000000</v>
      </c>
      <c r="P146" s="197">
        <f>P147+P148+P149+P150+P151+P152+P153+P154</f>
        <v>4271000000</v>
      </c>
      <c r="Q146" s="1436">
        <f>Q147+Q148+Q149+Q150+Q151+Q152+Q153+Q154</f>
        <v>843000000</v>
      </c>
      <c r="R146" s="1436">
        <f>R147+R148+R149+R150+R151+R152+R153+R154</f>
        <v>0</v>
      </c>
      <c r="S146" s="1559">
        <f t="shared" si="7"/>
        <v>5114000000</v>
      </c>
      <c r="T146" s="2463"/>
      <c r="U146" s="1539"/>
      <c r="V146" s="81">
        <f>V147+V148+V149+V150+V151+V152+V153+V154</f>
        <v>4271000000</v>
      </c>
      <c r="W146" s="81">
        <f>W147+W148+W149+W150+W151+W152+W153+W154</f>
        <v>0</v>
      </c>
      <c r="X146" s="214"/>
      <c r="Y146" s="244">
        <f>Y147+Y148+Y149+Y150+Y151+Y152+Y153+Y154</f>
        <v>4271000000</v>
      </c>
      <c r="Z146" s="81" t="s">
        <v>21</v>
      </c>
      <c r="AA146" s="214"/>
      <c r="AB146" s="1505"/>
      <c r="AC146" s="1506"/>
      <c r="AD146" s="169"/>
      <c r="AE146" s="1507"/>
      <c r="AF146" s="1530"/>
      <c r="AG146" s="10"/>
    </row>
    <row r="147" spans="1:33" ht="40.5" customHeight="1">
      <c r="A147" s="10">
        <f>DATA!A141</f>
        <v>103</v>
      </c>
      <c r="B147" s="10">
        <f>DATA!B141</f>
        <v>0</v>
      </c>
      <c r="C147" s="10" t="str">
        <f>DATA!D141</f>
        <v>INFRASTRUKTUR</v>
      </c>
      <c r="D147" s="10">
        <f>DATA!E141</f>
        <v>7</v>
      </c>
      <c r="E147" s="10" t="str">
        <f>DATA!F141</f>
        <v xml:space="preserve">PT. PLN    </v>
      </c>
      <c r="F147" s="10" t="str">
        <f>DATA!H141</f>
        <v>Electricity Infrastructure Development Program</v>
      </c>
      <c r="G147" s="10" t="str">
        <f>DATA!I141</f>
        <v>A</v>
      </c>
      <c r="H147" s="10" t="str">
        <f>DATA!J141</f>
        <v>Program Pembangunan Infrastruktur Ketenagalistrikan</v>
      </c>
      <c r="I147" s="10">
        <f>DATA!K141</f>
        <v>1</v>
      </c>
      <c r="J147" s="254"/>
      <c r="K147" s="34"/>
      <c r="L147" s="34"/>
      <c r="M147" s="52">
        <v>97</v>
      </c>
      <c r="N147" s="37" t="str">
        <f>DATA!L141</f>
        <v>Construction of Java Sumatera Interconnection 500 kV (HVDC-Phase 3 &amp; 4)</v>
      </c>
      <c r="O147" s="187">
        <f>DATA!T141</f>
        <v>933000000</v>
      </c>
      <c r="P147" s="187">
        <f>DATA!U141</f>
        <v>933000000</v>
      </c>
      <c r="Q147" s="1446">
        <f>DATA!V141</f>
        <v>165000000</v>
      </c>
      <c r="R147" s="1446">
        <f>DATA!W141</f>
        <v>0</v>
      </c>
      <c r="S147" s="2467">
        <f t="shared" si="7"/>
        <v>1098000000</v>
      </c>
      <c r="T147" s="2468"/>
      <c r="U147" s="1449" t="str">
        <f>DATA!Y141</f>
        <v>JICA</v>
      </c>
      <c r="V147" s="77">
        <f>DATA!AA141</f>
        <v>933000000</v>
      </c>
      <c r="W147" s="77">
        <v>0</v>
      </c>
      <c r="X147" s="216" t="str">
        <f>DATA!Y141</f>
        <v>JICA</v>
      </c>
      <c r="Y147" s="245">
        <f>DATA!AT141</f>
        <v>933000000</v>
      </c>
      <c r="Z147" s="109" t="str">
        <f>DATA!AU141</f>
        <v>JICA</v>
      </c>
      <c r="AA147" s="216" t="str">
        <f>DATA!AW141</f>
        <v>-</v>
      </c>
      <c r="AB147" s="245">
        <f>DATA!AM141</f>
        <v>0</v>
      </c>
      <c r="AC147" s="1510" t="str">
        <f>DATA!AN141</f>
        <v>belum ada keterangan</v>
      </c>
      <c r="AD147" s="1511" t="str">
        <f>DATA!AO141</f>
        <v>belum ada keterangan</v>
      </c>
      <c r="AE147" s="1512">
        <f>DATA!AQ141</f>
        <v>0</v>
      </c>
      <c r="AF147" s="1531" t="str">
        <f>DATA!AR141</f>
        <v>penyiapan dokumen R/C</v>
      </c>
    </row>
    <row r="148" spans="1:33" ht="31.5" customHeight="1">
      <c r="A148" s="10">
        <f>DATA!A144</f>
        <v>106</v>
      </c>
      <c r="B148" s="10">
        <f>DATA!B144</f>
        <v>0</v>
      </c>
      <c r="C148" s="10" t="str">
        <f>DATA!D144</f>
        <v>INFRASTRUKTUR</v>
      </c>
      <c r="D148" s="10">
        <f>DATA!E144</f>
        <v>7</v>
      </c>
      <c r="E148" s="10" t="str">
        <f>DATA!F144</f>
        <v xml:space="preserve">PT. PLN    </v>
      </c>
      <c r="F148" s="10" t="str">
        <f>DATA!H144</f>
        <v>Electricity Infrastructure Development Program</v>
      </c>
      <c r="G148" s="10" t="str">
        <f>DATA!I144</f>
        <v>A</v>
      </c>
      <c r="H148" s="10" t="str">
        <f>DATA!J144</f>
        <v>Program Pembangunan Infrastruktur Ketenagalistrikan</v>
      </c>
      <c r="I148" s="10">
        <f>DATA!K144</f>
        <v>2</v>
      </c>
      <c r="J148" s="254"/>
      <c r="K148" s="34"/>
      <c r="L148" s="34"/>
      <c r="M148" s="52">
        <v>98</v>
      </c>
      <c r="N148" s="37" t="str">
        <f>DATA!L144</f>
        <v>Hululais Geothermal Power Plant  1&amp;2 (2x55MW)</v>
      </c>
      <c r="O148" s="187">
        <f>DATA!T144</f>
        <v>204000000</v>
      </c>
      <c r="P148" s="187">
        <f>DATA!U144</f>
        <v>204000000</v>
      </c>
      <c r="Q148" s="1446">
        <f>DATA!V144</f>
        <v>42000000</v>
      </c>
      <c r="R148" s="1446">
        <f>DATA!W144</f>
        <v>0</v>
      </c>
      <c r="S148" s="2467">
        <f t="shared" si="7"/>
        <v>246000000</v>
      </c>
      <c r="T148" s="2468"/>
      <c r="U148" s="1449" t="str">
        <f>DATA!Y144</f>
        <v>JICA</v>
      </c>
      <c r="V148" s="77">
        <f>DATA!AA144</f>
        <v>204000000</v>
      </c>
      <c r="W148" s="77">
        <v>0</v>
      </c>
      <c r="X148" s="216" t="str">
        <f>DATA!Y144</f>
        <v>JICA</v>
      </c>
      <c r="Y148" s="245">
        <f>DATA!AT144</f>
        <v>204000000</v>
      </c>
      <c r="Z148" s="109" t="str">
        <f>DATA!AU144</f>
        <v>JICA</v>
      </c>
      <c r="AA148" s="216" t="str">
        <f>DATA!AW144</f>
        <v>-</v>
      </c>
      <c r="AB148" s="245">
        <f>DATA!AM144</f>
        <v>0</v>
      </c>
      <c r="AC148" s="1510" t="str">
        <f>DATA!AN144</f>
        <v>belum ada keterangan</v>
      </c>
      <c r="AD148" s="1511" t="str">
        <f>DATA!AO144</f>
        <v>belum ada keterangan</v>
      </c>
      <c r="AE148" s="1512">
        <f>DATA!AQ144</f>
        <v>0</v>
      </c>
      <c r="AF148" s="1531" t="str">
        <f>DATA!AR144</f>
        <v>belum ada dokumen R/C</v>
      </c>
    </row>
    <row r="149" spans="1:33" ht="39" customHeight="1">
      <c r="A149" s="10">
        <f>DATA!A145</f>
        <v>107</v>
      </c>
      <c r="B149" s="10">
        <f>DATA!B145</f>
        <v>0</v>
      </c>
      <c r="C149" s="10" t="str">
        <f>DATA!D145</f>
        <v>INFRASTRUKTUR</v>
      </c>
      <c r="D149" s="10">
        <f>DATA!E145</f>
        <v>7</v>
      </c>
      <c r="E149" s="10" t="str">
        <f>DATA!F145</f>
        <v xml:space="preserve">PT. PLN    </v>
      </c>
      <c r="F149" s="10" t="str">
        <f>DATA!H145</f>
        <v>Electricity Infrastructure Development Program</v>
      </c>
      <c r="G149" s="10" t="str">
        <f>DATA!I145</f>
        <v>A</v>
      </c>
      <c r="H149" s="10" t="str">
        <f>DATA!J145</f>
        <v>Program Pembangunan Infrastruktur Ketenagalistrikan</v>
      </c>
      <c r="I149" s="10">
        <f>DATA!K145</f>
        <v>3</v>
      </c>
      <c r="J149" s="254"/>
      <c r="K149" s="34"/>
      <c r="L149" s="34"/>
      <c r="M149" s="52">
        <v>99</v>
      </c>
      <c r="N149" s="37" t="str">
        <f>DATA!L145</f>
        <v>Bakaru II Hydro Electrical Power Plant (2x63MW)</v>
      </c>
      <c r="O149" s="187">
        <f>DATA!T145</f>
        <v>280000000</v>
      </c>
      <c r="P149" s="187">
        <f>DATA!U145</f>
        <v>280000000</v>
      </c>
      <c r="Q149" s="1446">
        <f>DATA!V145</f>
        <v>20000000</v>
      </c>
      <c r="R149" s="1446">
        <f>DATA!W145</f>
        <v>0</v>
      </c>
      <c r="S149" s="2467">
        <f t="shared" si="7"/>
        <v>300000000</v>
      </c>
      <c r="T149" s="2468"/>
      <c r="U149" s="1449" t="str">
        <f>DATA!Y145</f>
        <v>Jerman (KfW)</v>
      </c>
      <c r="V149" s="77">
        <f>DATA!AA145</f>
        <v>280000000</v>
      </c>
      <c r="W149" s="77">
        <v>0</v>
      </c>
      <c r="X149" s="216" t="str">
        <f>DATA!Y145</f>
        <v>Jerman (KfW)</v>
      </c>
      <c r="Y149" s="245">
        <f>DATA!AT145</f>
        <v>280000000</v>
      </c>
      <c r="Z149" s="109" t="str">
        <f>DATA!AU145</f>
        <v>Jerman (KfW)</v>
      </c>
      <c r="AA149" s="216" t="str">
        <f>DATA!AW145</f>
        <v>-</v>
      </c>
      <c r="AB149" s="245">
        <f>DATA!AM145</f>
        <v>0</v>
      </c>
      <c r="AC149" s="1512" t="str">
        <f>DATA!AN145</f>
        <v>dalam proses</v>
      </c>
      <c r="AD149" s="1522" t="str">
        <f>DATA!AO145</f>
        <v>dalam proses
(perencanaan)</v>
      </c>
      <c r="AE149" s="1512">
        <f>DATA!AQ145</f>
        <v>0</v>
      </c>
      <c r="AF149" s="1531" t="str">
        <f>DATA!AR145</f>
        <v>- tidak diketahui dalam proses apa
- belum ada dokumen R/C</v>
      </c>
    </row>
    <row r="150" spans="1:33" ht="42.75" customHeight="1">
      <c r="A150" s="10">
        <f>DATA!A146</f>
        <v>108</v>
      </c>
      <c r="B150" s="10">
        <f>DATA!B146</f>
        <v>0</v>
      </c>
      <c r="C150" s="10" t="str">
        <f>DATA!D146</f>
        <v>INFRASTRUKTUR</v>
      </c>
      <c r="D150" s="10">
        <f>DATA!E146</f>
        <v>7</v>
      </c>
      <c r="E150" s="10" t="str">
        <f>DATA!F146</f>
        <v xml:space="preserve">PT. PLN    </v>
      </c>
      <c r="F150" s="10" t="str">
        <f>DATA!H146</f>
        <v>Electricity Infrastructure Development Program</v>
      </c>
      <c r="G150" s="10" t="str">
        <f>DATA!I146</f>
        <v>A</v>
      </c>
      <c r="H150" s="10" t="str">
        <f>DATA!J146</f>
        <v>Program Pembangunan Infrastruktur Ketenagalistrikan</v>
      </c>
      <c r="I150" s="10">
        <f>DATA!K146</f>
        <v>4</v>
      </c>
      <c r="J150" s="254"/>
      <c r="K150" s="34"/>
      <c r="L150" s="34"/>
      <c r="M150" s="52">
        <v>100</v>
      </c>
      <c r="N150" s="37" t="str">
        <f>DATA!L146</f>
        <v>Tulehu Geothermal Power Plant Project Unit 1&amp;2 (2x10MW)</v>
      </c>
      <c r="O150" s="187">
        <f>DATA!T146</f>
        <v>104000000</v>
      </c>
      <c r="P150" s="187">
        <f>DATA!U146</f>
        <v>104000000</v>
      </c>
      <c r="Q150" s="1446">
        <f>DATA!V146</f>
        <v>18000000</v>
      </c>
      <c r="R150" s="1446">
        <v>0</v>
      </c>
      <c r="S150" s="2467">
        <f t="shared" si="7"/>
        <v>122000000</v>
      </c>
      <c r="T150" s="2468"/>
      <c r="U150" s="1449" t="str">
        <f>DATA!Y146</f>
        <v>JICA</v>
      </c>
      <c r="V150" s="77">
        <f>DATA!AA146</f>
        <v>104000000</v>
      </c>
      <c r="W150" s="77">
        <v>0</v>
      </c>
      <c r="X150" s="216" t="str">
        <f>DATA!Y146</f>
        <v>JICA</v>
      </c>
      <c r="Y150" s="245">
        <f>DATA!AT146</f>
        <v>104000000</v>
      </c>
      <c r="Z150" s="109" t="str">
        <f>DATA!AU146</f>
        <v>JICA</v>
      </c>
      <c r="AA150" s="216" t="str">
        <f>DATA!AW146</f>
        <v>-</v>
      </c>
      <c r="AB150" s="245">
        <f>DATA!AM146</f>
        <v>0</v>
      </c>
      <c r="AC150" s="1510" t="str">
        <f>DATA!AN146</f>
        <v>dalam proses
(penyusunan FS)</v>
      </c>
      <c r="AD150" s="1511" t="str">
        <f>DATA!AO146</f>
        <v>dalam proses
(pelaksanaan 63%)</v>
      </c>
      <c r="AE150" s="1512">
        <f>DATA!AQ146</f>
        <v>0</v>
      </c>
      <c r="AF150" s="1531" t="str">
        <f>DATA!AR146</f>
        <v>belum ada dokumen R/C</v>
      </c>
    </row>
    <row r="151" spans="1:33" ht="39.75" customHeight="1">
      <c r="A151" s="10">
        <f>DATA!A147</f>
        <v>109</v>
      </c>
      <c r="B151" s="10">
        <f>DATA!B147</f>
        <v>0</v>
      </c>
      <c r="C151" s="10" t="str">
        <f>DATA!D147</f>
        <v>INFRASTRUKTUR</v>
      </c>
      <c r="D151" s="10">
        <f>DATA!E147</f>
        <v>7</v>
      </c>
      <c r="E151" s="10" t="str">
        <f>DATA!F147</f>
        <v xml:space="preserve">PT. PLN    </v>
      </c>
      <c r="F151" s="10" t="str">
        <f>DATA!H147</f>
        <v>Electricity Infrastructure Development Program</v>
      </c>
      <c r="G151" s="10" t="str">
        <f>DATA!I147</f>
        <v>A</v>
      </c>
      <c r="H151" s="10" t="str">
        <f>DATA!J147</f>
        <v>Program Pembangunan Infrastruktur Ketenagalistrikan</v>
      </c>
      <c r="I151" s="10">
        <f>DATA!K147</f>
        <v>5</v>
      </c>
      <c r="J151" s="254"/>
      <c r="K151" s="34"/>
      <c r="L151" s="34"/>
      <c r="M151" s="52">
        <v>101</v>
      </c>
      <c r="N151" s="37" t="str">
        <f>DATA!L147</f>
        <v>Indramayu Coal Fired Power Plant  #4 (1x1000MW)</v>
      </c>
      <c r="O151" s="187">
        <f>DATA!T147</f>
        <v>1845000000</v>
      </c>
      <c r="P151" s="187">
        <f>DATA!U147</f>
        <v>1845000000</v>
      </c>
      <c r="Q151" s="1446">
        <f>DATA!V147</f>
        <v>333000000</v>
      </c>
      <c r="R151" s="1446">
        <v>0</v>
      </c>
      <c r="S151" s="2467">
        <f t="shared" si="7"/>
        <v>2178000000</v>
      </c>
      <c r="T151" s="2468"/>
      <c r="U151" s="1449" t="str">
        <f>DATA!Y147</f>
        <v>JICA</v>
      </c>
      <c r="V151" s="77">
        <f>DATA!AA147</f>
        <v>1845000000</v>
      </c>
      <c r="W151" s="77">
        <v>0</v>
      </c>
      <c r="X151" s="216" t="str">
        <f>DATA!Y147</f>
        <v>JICA</v>
      </c>
      <c r="Y151" s="245">
        <f>DATA!AT147</f>
        <v>1845000000</v>
      </c>
      <c r="Z151" s="109" t="str">
        <f>DATA!AU147</f>
        <v>JICA</v>
      </c>
      <c r="AA151" s="216" t="str">
        <f>DATA!AW147</f>
        <v>-</v>
      </c>
      <c r="AB151" s="245">
        <f>DATA!AM147</f>
        <v>0</v>
      </c>
      <c r="AC151" s="1510" t="str">
        <f>DATA!AN147</f>
        <v>siap</v>
      </c>
      <c r="AD151" s="1511" t="str">
        <f>DATA!AO147</f>
        <v>dalam proses
(perencanaan)</v>
      </c>
      <c r="AE151" s="1512">
        <f>DATA!AQ147</f>
        <v>0</v>
      </c>
      <c r="AF151" s="1531" t="str">
        <f>DATA!AR147</f>
        <v>belum ada dokumen R/C</v>
      </c>
    </row>
    <row r="152" spans="1:33" ht="46.5" customHeight="1">
      <c r="A152" s="10">
        <f>DATA!A148</f>
        <v>110</v>
      </c>
      <c r="B152" s="10">
        <f>DATA!B148</f>
        <v>0</v>
      </c>
      <c r="C152" s="10" t="str">
        <f>DATA!D148</f>
        <v>INFRASTRUKTUR</v>
      </c>
      <c r="D152" s="10">
        <f>DATA!E148</f>
        <v>7</v>
      </c>
      <c r="E152" s="10" t="str">
        <f>DATA!F148</f>
        <v xml:space="preserve">PT. PLN    </v>
      </c>
      <c r="F152" s="10" t="str">
        <f>DATA!H148</f>
        <v>Electricity Infrastructure Development Program</v>
      </c>
      <c r="G152" s="10" t="str">
        <f>DATA!I148</f>
        <v>A</v>
      </c>
      <c r="H152" s="10" t="str">
        <f>DATA!J148</f>
        <v>Program Pembangunan Infrastruktur Ketenagalistrikan</v>
      </c>
      <c r="I152" s="10">
        <f>DATA!K148</f>
        <v>6</v>
      </c>
      <c r="J152" s="254"/>
      <c r="K152" s="34"/>
      <c r="L152" s="34"/>
      <c r="M152" s="52">
        <v>102</v>
      </c>
      <c r="N152" s="37" t="str">
        <f>DATA!L148</f>
        <v>Additional Loan for Upper Cisokan Pumped Storage Hydro Electrical Power Plant (4x260MW)</v>
      </c>
      <c r="O152" s="187">
        <f>DATA!T148</f>
        <v>200000000</v>
      </c>
      <c r="P152" s="187">
        <f>DATA!U148</f>
        <v>200000000</v>
      </c>
      <c r="Q152" s="1446">
        <f>DATA!V148</f>
        <v>0</v>
      </c>
      <c r="R152" s="1446">
        <v>0</v>
      </c>
      <c r="S152" s="2467">
        <f t="shared" si="7"/>
        <v>200000000</v>
      </c>
      <c r="T152" s="2468"/>
      <c r="U152" s="1449" t="str">
        <f>DATA!Y148</f>
        <v>Bank Dunia</v>
      </c>
      <c r="V152" s="77">
        <f>DATA!AA148</f>
        <v>200000000</v>
      </c>
      <c r="W152" s="77">
        <v>0</v>
      </c>
      <c r="X152" s="216" t="str">
        <f>DATA!Y148</f>
        <v>Bank Dunia</v>
      </c>
      <c r="Y152" s="245">
        <f>DATA!AT148</f>
        <v>200000000</v>
      </c>
      <c r="Z152" s="109" t="str">
        <f>DATA!AU148</f>
        <v>Bank Dunia</v>
      </c>
      <c r="AA152" s="216" t="str">
        <f>DATA!AW148</f>
        <v>-</v>
      </c>
      <c r="AB152" s="245">
        <f>DATA!AM148</f>
        <v>0</v>
      </c>
      <c r="AC152" s="1510" t="str">
        <f>DATA!AN148</f>
        <v>siap</v>
      </c>
      <c r="AD152" s="1511" t="str">
        <f>DATA!AO148</f>
        <v>dalam proses
(pelaksanaan 95%)</v>
      </c>
      <c r="AE152" s="1512">
        <f>DATA!AQ148</f>
        <v>0</v>
      </c>
      <c r="AF152" s="1531" t="str">
        <f>DATA!AR148</f>
        <v>belum ada dokumen R/C</v>
      </c>
    </row>
    <row r="153" spans="1:33" ht="43.5" customHeight="1">
      <c r="A153" s="10">
        <f>DATA!A149</f>
        <v>111</v>
      </c>
      <c r="B153" s="10">
        <f>DATA!B149</f>
        <v>0</v>
      </c>
      <c r="C153" s="10" t="str">
        <f>DATA!D149</f>
        <v>INFRASTRUKTUR</v>
      </c>
      <c r="D153" s="10">
        <f>DATA!E149</f>
        <v>7</v>
      </c>
      <c r="E153" s="10" t="str">
        <f>DATA!F149</f>
        <v xml:space="preserve">PT. PLN    </v>
      </c>
      <c r="F153" s="10" t="str">
        <f>DATA!H149</f>
        <v>Electricity Infrastructure Development Program</v>
      </c>
      <c r="G153" s="10" t="str">
        <f>DATA!I149</f>
        <v>A</v>
      </c>
      <c r="H153" s="10" t="str">
        <f>DATA!J149</f>
        <v>Program Pembangunan Infrastruktur Ketenagalistrikan</v>
      </c>
      <c r="I153" s="10">
        <f>DATA!K149</f>
        <v>7</v>
      </c>
      <c r="J153" s="254"/>
      <c r="K153" s="34"/>
      <c r="L153" s="34"/>
      <c r="M153" s="52">
        <v>103</v>
      </c>
      <c r="N153" s="37" t="str">
        <f>DATA!L149</f>
        <v>Sungai Penuh Geothermal Power Plant 1&amp;2 (2x55MW)</v>
      </c>
      <c r="O153" s="187">
        <f>DATA!T149</f>
        <v>205000000</v>
      </c>
      <c r="P153" s="187">
        <f>DATA!U149</f>
        <v>205000000</v>
      </c>
      <c r="Q153" s="1446">
        <f>DATA!V149</f>
        <v>45000000</v>
      </c>
      <c r="R153" s="1446">
        <v>0</v>
      </c>
      <c r="S153" s="2467">
        <f t="shared" si="7"/>
        <v>250000000</v>
      </c>
      <c r="T153" s="2468"/>
      <c r="U153" s="1449" t="str">
        <f>DATA!Y149</f>
        <v>ADB</v>
      </c>
      <c r="V153" s="77">
        <f>DATA!AA149</f>
        <v>205000000</v>
      </c>
      <c r="W153" s="77">
        <v>0</v>
      </c>
      <c r="X153" s="216" t="str">
        <f>DATA!Y149</f>
        <v>ADB</v>
      </c>
      <c r="Y153" s="245">
        <f>DATA!AT149</f>
        <v>205000000</v>
      </c>
      <c r="Z153" s="109" t="str">
        <f>DATA!AU149</f>
        <v>ADB</v>
      </c>
      <c r="AA153" s="216" t="str">
        <f>DATA!AW149</f>
        <v>-</v>
      </c>
      <c r="AB153" s="245">
        <f>DATA!AM149</f>
        <v>0</v>
      </c>
      <c r="AC153" s="1510" t="str">
        <f>DATA!AN149</f>
        <v>siap</v>
      </c>
      <c r="AD153" s="1511" t="str">
        <f>DATA!AO149</f>
        <v>belum ada keterangan</v>
      </c>
      <c r="AE153" s="1512">
        <f>DATA!AQ149</f>
        <v>0</v>
      </c>
      <c r="AF153" s="1531" t="str">
        <f>DATA!AR149</f>
        <v>belum ada dokumen R/C</v>
      </c>
    </row>
    <row r="154" spans="1:33" ht="40.5" customHeight="1">
      <c r="A154" s="10">
        <f>DATA!A150</f>
        <v>112</v>
      </c>
      <c r="B154" s="10">
        <f>DATA!B150</f>
        <v>0</v>
      </c>
      <c r="C154" s="10" t="str">
        <f>DATA!D150</f>
        <v>INFRASTRUKTUR</v>
      </c>
      <c r="D154" s="10">
        <f>DATA!E150</f>
        <v>7</v>
      </c>
      <c r="E154" s="10" t="str">
        <f>DATA!F150</f>
        <v xml:space="preserve">PT. PLN    </v>
      </c>
      <c r="F154" s="10" t="str">
        <f>DATA!H150</f>
        <v>Electricity Infrastructure Development Program</v>
      </c>
      <c r="G154" s="10" t="str">
        <f>DATA!I150</f>
        <v>A</v>
      </c>
      <c r="H154" s="10" t="str">
        <f>DATA!J150</f>
        <v>Program Pembangunan Infrastruktur Ketenagalistrikan</v>
      </c>
      <c r="I154" s="10">
        <f>DATA!K150</f>
        <v>8</v>
      </c>
      <c r="J154" s="254"/>
      <c r="K154" s="54"/>
      <c r="L154" s="54"/>
      <c r="M154" s="52">
        <v>104</v>
      </c>
      <c r="N154" s="37" t="str">
        <f>DATA!L150</f>
        <v>Matenggeng Pumped Storage Hydro Electrical Power Plant (4x225MW)</v>
      </c>
      <c r="O154" s="187">
        <f>DATA!T150</f>
        <v>500000000</v>
      </c>
      <c r="P154" s="187">
        <f>DATA!U150</f>
        <v>500000000</v>
      </c>
      <c r="Q154" s="1446">
        <f>DATA!V150</f>
        <v>220000000</v>
      </c>
      <c r="R154" s="1446">
        <v>0</v>
      </c>
      <c r="S154" s="2467">
        <f t="shared" si="7"/>
        <v>720000000</v>
      </c>
      <c r="T154" s="2468"/>
      <c r="U154" s="1449" t="str">
        <f>DATA!Y150</f>
        <v>Bank Dunia</v>
      </c>
      <c r="V154" s="77">
        <f>DATA!AA150</f>
        <v>500000000</v>
      </c>
      <c r="W154" s="77">
        <v>0</v>
      </c>
      <c r="X154" s="216" t="str">
        <f>DATA!Y150</f>
        <v>Bank Dunia</v>
      </c>
      <c r="Y154" s="245">
        <f>DATA!AT150</f>
        <v>500000000</v>
      </c>
      <c r="Z154" s="109" t="str">
        <f>DATA!AU150</f>
        <v>Bank Dunia</v>
      </c>
      <c r="AA154" s="216" t="str">
        <f>DATA!AW150</f>
        <v>-</v>
      </c>
      <c r="AB154" s="245">
        <f>DATA!AM150</f>
        <v>0</v>
      </c>
      <c r="AC154" s="1510" t="str">
        <f>DATA!AN150</f>
        <v>dalam proses
(penyusunan FS)</v>
      </c>
      <c r="AD154" s="1511" t="str">
        <f>DATA!AO150</f>
        <v>belum ada keterangan</v>
      </c>
      <c r="AE154" s="1512">
        <f>DATA!AQ150</f>
        <v>0</v>
      </c>
      <c r="AF154" s="1531" t="str">
        <f>DATA!AR150</f>
        <v>belum ada dokumen R/C</v>
      </c>
    </row>
    <row r="155" spans="1:33" ht="24" customHeight="1">
      <c r="J155" s="254"/>
      <c r="K155" s="25">
        <v>7</v>
      </c>
      <c r="L155" s="108" t="s">
        <v>426</v>
      </c>
      <c r="M155" s="25"/>
      <c r="N155" s="27"/>
      <c r="O155" s="194">
        <f>+O156</f>
        <v>0</v>
      </c>
      <c r="P155" s="194">
        <f>+P156</f>
        <v>61600000</v>
      </c>
      <c r="Q155" s="194">
        <f>+Q156</f>
        <v>106510000</v>
      </c>
      <c r="R155" s="194">
        <f>+R156</f>
        <v>7700000</v>
      </c>
      <c r="S155" s="194">
        <f t="shared" si="7"/>
        <v>175810000</v>
      </c>
      <c r="T155" s="2484">
        <f>P155+P202</f>
        <v>168400000</v>
      </c>
      <c r="U155" s="1549"/>
      <c r="V155" s="80">
        <f>+V156</f>
        <v>0</v>
      </c>
      <c r="W155" s="80">
        <f>+W156</f>
        <v>61600000</v>
      </c>
      <c r="X155" s="213"/>
      <c r="Y155" s="242">
        <f>+Y156</f>
        <v>61600000</v>
      </c>
      <c r="Z155" s="80" t="s">
        <v>21</v>
      </c>
      <c r="AA155" s="213"/>
      <c r="AB155" s="1501"/>
      <c r="AC155" s="1502"/>
      <c r="AD155" s="168"/>
      <c r="AE155" s="1503"/>
      <c r="AF155" s="1529"/>
    </row>
    <row r="156" spans="1:33" ht="23.25" customHeight="1">
      <c r="J156" s="254"/>
      <c r="K156" s="35"/>
      <c r="L156" s="30" t="str">
        <f>DATA!I149</f>
        <v>A</v>
      </c>
      <c r="M156" s="3427" t="str">
        <f>DATA!J149</f>
        <v>Program Pembangunan Infrastruktur Ketenagalistrikan</v>
      </c>
      <c r="N156" s="3428"/>
      <c r="O156" s="197">
        <f>O157</f>
        <v>0</v>
      </c>
      <c r="P156" s="1559">
        <f>+P157</f>
        <v>61600000</v>
      </c>
      <c r="Q156" s="1567">
        <f>+Q157</f>
        <v>106510000</v>
      </c>
      <c r="R156" s="1567">
        <f>+R157</f>
        <v>7700000</v>
      </c>
      <c r="S156" s="1559">
        <f t="shared" si="7"/>
        <v>175810000</v>
      </c>
      <c r="T156" s="2463"/>
      <c r="U156" s="1539"/>
      <c r="V156" s="81">
        <f>V157</f>
        <v>0</v>
      </c>
      <c r="W156" s="81">
        <f>W157</f>
        <v>61600000</v>
      </c>
      <c r="X156" s="214"/>
      <c r="Y156" s="244">
        <f>Y157</f>
        <v>61600000</v>
      </c>
      <c r="Z156" s="81" t="s">
        <v>21</v>
      </c>
      <c r="AA156" s="214"/>
      <c r="AB156" s="1505"/>
      <c r="AC156" s="1506"/>
      <c r="AD156" s="169"/>
      <c r="AE156" s="1507"/>
      <c r="AF156" s="1530"/>
    </row>
    <row r="157" spans="1:33" ht="48" customHeight="1">
      <c r="J157" s="254"/>
      <c r="K157" s="54"/>
      <c r="L157" s="54"/>
      <c r="M157" s="52">
        <v>105</v>
      </c>
      <c r="N157" s="37" t="str">
        <f>DATA!L151</f>
        <v>Development of Seulawah Agam Geothermal Working Area for 55 MW-Capacity Geothermal Power Plant in Aceh</v>
      </c>
      <c r="O157" s="187">
        <f>DATA!T151</f>
        <v>0</v>
      </c>
      <c r="P157" s="187">
        <f>DATA!U151</f>
        <v>61600000</v>
      </c>
      <c r="Q157" s="187">
        <f>DATA!V151</f>
        <v>106510000</v>
      </c>
      <c r="R157" s="187">
        <f>DATA!W151</f>
        <v>7700000</v>
      </c>
      <c r="S157" s="2467">
        <f t="shared" si="7"/>
        <v>175810000</v>
      </c>
      <c r="T157" s="2468"/>
      <c r="U157" s="1449"/>
      <c r="V157" s="77">
        <v>0</v>
      </c>
      <c r="W157" s="77">
        <f>DATA!AA151</f>
        <v>61600000</v>
      </c>
      <c r="X157" s="216" t="str">
        <f>DATA!Y151</f>
        <v>Belum Ada Indikasi</v>
      </c>
      <c r="Y157" s="245">
        <f>DATA!AT151</f>
        <v>61600000</v>
      </c>
      <c r="Z157" s="109" t="str">
        <f>DATA!AU151</f>
        <v>Jerman (KfW)</v>
      </c>
      <c r="AA157" s="216">
        <f>DATA!AW151</f>
        <v>0</v>
      </c>
      <c r="AB157" s="245">
        <f>DATA!AM151</f>
        <v>0</v>
      </c>
      <c r="AC157" s="1510" t="str">
        <f>DATA!AN151</f>
        <v>belum ada keterangan</v>
      </c>
      <c r="AD157" s="1511" t="str">
        <f>DATA!AO151</f>
        <v>belum ada keterangan</v>
      </c>
      <c r="AE157" s="1512">
        <f>DATA!AQ151</f>
        <v>0</v>
      </c>
      <c r="AF157" s="1531" t="str">
        <f>DATA!AR151</f>
        <v>belum ada dokumen R/C</v>
      </c>
    </row>
    <row r="158" spans="1:33" ht="24" customHeight="1">
      <c r="J158" s="254"/>
      <c r="K158" s="25">
        <v>8</v>
      </c>
      <c r="L158" s="108" t="s">
        <v>946</v>
      </c>
      <c r="M158" s="25"/>
      <c r="N158" s="27"/>
      <c r="O158" s="194">
        <f>+O159</f>
        <v>0</v>
      </c>
      <c r="P158" s="1558">
        <f>+P159</f>
        <v>225000000</v>
      </c>
      <c r="Q158" s="1565">
        <f>+Q159</f>
        <v>0</v>
      </c>
      <c r="R158" s="1565">
        <f>+R159</f>
        <v>0</v>
      </c>
      <c r="S158" s="2488">
        <f t="shared" si="7"/>
        <v>225000000</v>
      </c>
      <c r="T158" s="2484"/>
      <c r="U158" s="1549"/>
      <c r="V158" s="80">
        <f>+V159</f>
        <v>0</v>
      </c>
      <c r="W158" s="80">
        <f>+W159</f>
        <v>225000000</v>
      </c>
      <c r="X158" s="213"/>
      <c r="Y158" s="242">
        <f>+Y159</f>
        <v>225000000</v>
      </c>
      <c r="Z158" s="80" t="s">
        <v>21</v>
      </c>
      <c r="AA158" s="213"/>
      <c r="AB158" s="1501"/>
      <c r="AC158" s="1502"/>
      <c r="AD158" s="168"/>
      <c r="AE158" s="1503"/>
      <c r="AF158" s="1529"/>
    </row>
    <row r="159" spans="1:33" ht="36" customHeight="1">
      <c r="J159" s="254"/>
      <c r="K159" s="35"/>
      <c r="L159" s="30" t="str">
        <f>DATA!I161</f>
        <v>A</v>
      </c>
      <c r="M159" s="3427" t="s">
        <v>948</v>
      </c>
      <c r="N159" s="3428"/>
      <c r="O159" s="197">
        <f>O160</f>
        <v>0</v>
      </c>
      <c r="P159" s="1559">
        <f>+P160</f>
        <v>225000000</v>
      </c>
      <c r="Q159" s="1567">
        <f>+Q160</f>
        <v>0</v>
      </c>
      <c r="R159" s="1567">
        <f>+R160</f>
        <v>0</v>
      </c>
      <c r="S159" s="1559">
        <f t="shared" si="7"/>
        <v>225000000</v>
      </c>
      <c r="T159" s="2463"/>
      <c r="U159" s="1539"/>
      <c r="V159" s="81">
        <f>V160</f>
        <v>0</v>
      </c>
      <c r="W159" s="81">
        <f>W160</f>
        <v>225000000</v>
      </c>
      <c r="X159" s="214"/>
      <c r="Y159" s="244">
        <f>Y160</f>
        <v>225000000</v>
      </c>
      <c r="Z159" s="81" t="s">
        <v>21</v>
      </c>
      <c r="AA159" s="214"/>
      <c r="AB159" s="1505"/>
      <c r="AC159" s="1506"/>
      <c r="AD159" s="169"/>
      <c r="AE159" s="1507"/>
      <c r="AF159" s="1530"/>
    </row>
    <row r="160" spans="1:33" ht="33.75" customHeight="1">
      <c r="J160" s="2499"/>
      <c r="K160" s="54"/>
      <c r="L160" s="54"/>
      <c r="M160" s="52">
        <v>106</v>
      </c>
      <c r="N160" s="37" t="str">
        <f>DATA!L152</f>
        <v>Development and Improvement of Lampung Provincial Roads Project</v>
      </c>
      <c r="O160" s="187">
        <f>DATA!T152</f>
        <v>0</v>
      </c>
      <c r="P160" s="187">
        <f>DATA!U152</f>
        <v>225000000</v>
      </c>
      <c r="Q160" s="187">
        <f>DATA!V152</f>
        <v>0</v>
      </c>
      <c r="R160" s="187">
        <f>DATA!W152</f>
        <v>0</v>
      </c>
      <c r="S160" s="2467">
        <f t="shared" si="7"/>
        <v>225000000</v>
      </c>
      <c r="T160" s="2468"/>
      <c r="U160" s="1449"/>
      <c r="V160" s="77">
        <v>0</v>
      </c>
      <c r="W160" s="77">
        <f>DATA!AA152</f>
        <v>225000000</v>
      </c>
      <c r="X160" s="216" t="str">
        <f>DATA!Y152</f>
        <v>Belum Ada Indikasi</v>
      </c>
      <c r="Y160" s="245">
        <f>DATA!AT152</f>
        <v>225000000</v>
      </c>
      <c r="Z160" s="109" t="str">
        <f>DATA!AU152</f>
        <v>Belum Ada Indikasi</v>
      </c>
      <c r="AA160" s="216">
        <f>DATA!AW152</f>
        <v>0</v>
      </c>
      <c r="AB160" s="245">
        <f>DATA!AM152</f>
        <v>0</v>
      </c>
      <c r="AC160" s="1510" t="str">
        <f>DATA!AN152</f>
        <v>belum ada keterangan</v>
      </c>
      <c r="AD160" s="1511" t="str">
        <f>DATA!AO152</f>
        <v>belum ada keterangan</v>
      </c>
      <c r="AE160" s="1512">
        <f>DATA!AQ152</f>
        <v>0</v>
      </c>
      <c r="AF160" s="1531" t="str">
        <f>DATA!AR152</f>
        <v>belum ada dokumen R/C</v>
      </c>
    </row>
    <row r="161" spans="1:33" ht="24" customHeight="1">
      <c r="J161" s="254"/>
      <c r="K161" s="1405">
        <v>9</v>
      </c>
      <c r="L161" s="1406" t="s">
        <v>950</v>
      </c>
      <c r="M161" s="1405"/>
      <c r="N161" s="2416"/>
      <c r="O161" s="194">
        <f>O162</f>
        <v>0</v>
      </c>
      <c r="P161" s="194">
        <f>P162</f>
        <v>800000000</v>
      </c>
      <c r="Q161" s="194">
        <f>Q162</f>
        <v>0</v>
      </c>
      <c r="R161" s="194">
        <f>R162</f>
        <v>0</v>
      </c>
      <c r="S161" s="194">
        <f t="shared" si="7"/>
        <v>800000000</v>
      </c>
      <c r="T161" s="2484"/>
      <c r="U161" s="1435"/>
      <c r="V161" s="80">
        <f>V162</f>
        <v>0</v>
      </c>
      <c r="W161" s="80">
        <f>W162</f>
        <v>800000000</v>
      </c>
      <c r="X161" s="213"/>
      <c r="Y161" s="242">
        <f>Y162</f>
        <v>800000000</v>
      </c>
      <c r="Z161" s="80" t="s">
        <v>21</v>
      </c>
      <c r="AA161" s="213"/>
      <c r="AB161" s="1501"/>
      <c r="AC161" s="1502"/>
      <c r="AD161" s="168"/>
      <c r="AE161" s="1503"/>
      <c r="AF161" s="1529"/>
    </row>
    <row r="162" spans="1:33" ht="26.25" customHeight="1">
      <c r="J162" s="254"/>
      <c r="K162" s="29"/>
      <c r="L162" s="30" t="s">
        <v>23</v>
      </c>
      <c r="M162" s="3448" t="s">
        <v>952</v>
      </c>
      <c r="N162" s="3449"/>
      <c r="O162" s="197">
        <f>O163+O165</f>
        <v>0</v>
      </c>
      <c r="P162" s="197">
        <f>P163+P165</f>
        <v>800000000</v>
      </c>
      <c r="Q162" s="1436">
        <f>Q163+Q165</f>
        <v>0</v>
      </c>
      <c r="R162" s="1436">
        <f>R163+R165</f>
        <v>0</v>
      </c>
      <c r="S162" s="1559">
        <f t="shared" si="7"/>
        <v>800000000</v>
      </c>
      <c r="T162" s="2463"/>
      <c r="U162" s="198"/>
      <c r="V162" s="81">
        <f>V163+V165+V166</f>
        <v>0</v>
      </c>
      <c r="W162" s="81">
        <f>W163+W165+W166</f>
        <v>800000000</v>
      </c>
      <c r="X162" s="214"/>
      <c r="Y162" s="244">
        <f>Y163+Y164+Y165+Y166+Y167</f>
        <v>800000000</v>
      </c>
      <c r="Z162" s="81" t="s">
        <v>21</v>
      </c>
      <c r="AA162" s="214"/>
      <c r="AB162" s="1505"/>
      <c r="AC162" s="1506"/>
      <c r="AD162" s="169"/>
      <c r="AE162" s="1507"/>
      <c r="AF162" s="1530"/>
    </row>
    <row r="163" spans="1:33" ht="23.25" customHeight="1">
      <c r="J163" s="254"/>
      <c r="K163" s="34"/>
      <c r="L163" s="172"/>
      <c r="M163" s="3390">
        <v>107</v>
      </c>
      <c r="N163" s="3460" t="str">
        <f>DATA!L154</f>
        <v>Increasing PT Indonesia Infrastructure Finance Financing Capacity in Accelerating Infrastructure Development in Indonesia</v>
      </c>
      <c r="O163" s="3403">
        <f>DATA!T154</f>
        <v>0</v>
      </c>
      <c r="P163" s="3403">
        <f>DATA!U154</f>
        <v>300000000</v>
      </c>
      <c r="Q163" s="3403">
        <f>DATA!V154</f>
        <v>0</v>
      </c>
      <c r="R163" s="3403">
        <f>DATA!W154</f>
        <v>0</v>
      </c>
      <c r="S163" s="3403">
        <f t="shared" si="7"/>
        <v>300000000</v>
      </c>
      <c r="T163" s="3478"/>
      <c r="U163" s="1440"/>
      <c r="V163" s="3414">
        <v>0</v>
      </c>
      <c r="W163" s="3414">
        <f>DATA!AA154</f>
        <v>300000000</v>
      </c>
      <c r="X163" s="3416" t="str">
        <f>DATA!Y154</f>
        <v>Belum Ada Indikasi</v>
      </c>
      <c r="Y163" s="245">
        <f>DATA!AT154</f>
        <v>200000000</v>
      </c>
      <c r="Z163" s="109" t="str">
        <f>DATA!AU154</f>
        <v>Bank Dunia</v>
      </c>
      <c r="AA163" s="216" t="str">
        <f>DATA!AW154</f>
        <v>co-financing dengan ADB (USD 100 juta)</v>
      </c>
      <c r="AB163" s="245" t="str">
        <f>DATA!AM154</f>
        <v>Rev. 2016</v>
      </c>
      <c r="AC163" s="1510" t="str">
        <f>DATA!AN154</f>
        <v>siap</v>
      </c>
      <c r="AD163" s="1511" t="str">
        <f>DATA!AO154</f>
        <v>siap</v>
      </c>
      <c r="AE163" s="1512">
        <f>DATA!AQ154</f>
        <v>0</v>
      </c>
      <c r="AF163" s="1531" t="str">
        <f>DATA!AR154</f>
        <v>-</v>
      </c>
    </row>
    <row r="164" spans="1:33" ht="30" customHeight="1">
      <c r="J164" s="254"/>
      <c r="K164" s="34"/>
      <c r="L164" s="33"/>
      <c r="M164" s="3391"/>
      <c r="N164" s="3462"/>
      <c r="O164" s="3404"/>
      <c r="P164" s="3404"/>
      <c r="Q164" s="3404"/>
      <c r="R164" s="3404"/>
      <c r="S164" s="3404"/>
      <c r="T164" s="3480"/>
      <c r="U164" s="1440"/>
      <c r="V164" s="3415"/>
      <c r="W164" s="3415"/>
      <c r="X164" s="3417"/>
      <c r="Y164" s="245">
        <f>DATA!AT155</f>
        <v>100000000</v>
      </c>
      <c r="Z164" s="109" t="str">
        <f>DATA!AU155</f>
        <v>ADB</v>
      </c>
      <c r="AA164" s="216" t="str">
        <f>DATA!AW155</f>
        <v>co-financing dengan Bank Dunia (USD 200 juta)</v>
      </c>
      <c r="AB164" s="245" t="str">
        <f>DATA!AM155</f>
        <v>Rev. 2016</v>
      </c>
      <c r="AC164" s="1510" t="str">
        <f>DATA!AN155</f>
        <v>siap</v>
      </c>
      <c r="AD164" s="1511" t="str">
        <f>DATA!AO155</f>
        <v>siap</v>
      </c>
      <c r="AE164" s="1512">
        <f>DATA!AQ155</f>
        <v>0</v>
      </c>
      <c r="AF164" s="1531" t="str">
        <f>DATA!AR155</f>
        <v>-</v>
      </c>
    </row>
    <row r="165" spans="1:33" ht="21.75" customHeight="1">
      <c r="J165" s="254"/>
      <c r="K165" s="34"/>
      <c r="L165" s="33"/>
      <c r="M165" s="3390">
        <v>108</v>
      </c>
      <c r="N165" s="3460" t="str">
        <f>DATA!L157</f>
        <v>Financial Regional Infrastructure Projects through Regional Infrastructure Development Fund (RIDF)</v>
      </c>
      <c r="O165" s="3403">
        <f>DATA!T157</f>
        <v>0</v>
      </c>
      <c r="P165" s="3403">
        <f>DATA!U157</f>
        <v>500000000</v>
      </c>
      <c r="Q165" s="3403">
        <f>DATA!V157</f>
        <v>0</v>
      </c>
      <c r="R165" s="3403">
        <f>DATA!W157</f>
        <v>0</v>
      </c>
      <c r="S165" s="3403">
        <f t="shared" si="7"/>
        <v>500000000</v>
      </c>
      <c r="T165" s="3478"/>
      <c r="U165" s="1440"/>
      <c r="V165" s="3414">
        <v>0</v>
      </c>
      <c r="W165" s="3414">
        <f>DATA!AA157</f>
        <v>500000000</v>
      </c>
      <c r="X165" s="3416" t="str">
        <f>DATA!Y154</f>
        <v>Belum Ada Indikasi</v>
      </c>
      <c r="Y165" s="245">
        <f>DATA!AT157</f>
        <v>100000000</v>
      </c>
      <c r="Z165" s="109" t="str">
        <f>DATA!AU157</f>
        <v>Bank Dunia</v>
      </c>
      <c r="AA165" s="216" t="str">
        <f>DATA!AW157</f>
        <v>co-financing dengan AIIB (USD 100 juta) dan belum ada indikasi (USD 300 juta)</v>
      </c>
      <c r="AB165" s="245" t="str">
        <f>DATA!AM157</f>
        <v>Rev. 2016</v>
      </c>
      <c r="AC165" s="1510" t="str">
        <f>DATA!AN157</f>
        <v>siap</v>
      </c>
      <c r="AD165" s="1511" t="str">
        <f>DATA!AO157</f>
        <v>siap</v>
      </c>
      <c r="AE165" s="1512">
        <f>DATA!AQ157</f>
        <v>0</v>
      </c>
      <c r="AF165" s="1531" t="str">
        <f>DATA!AR157</f>
        <v>-</v>
      </c>
    </row>
    <row r="166" spans="1:33" ht="20.25" customHeight="1">
      <c r="J166" s="254"/>
      <c r="K166" s="34"/>
      <c r="L166" s="33"/>
      <c r="M166" s="3392"/>
      <c r="N166" s="3461"/>
      <c r="O166" s="3405"/>
      <c r="P166" s="3405"/>
      <c r="Q166" s="3405"/>
      <c r="R166" s="3405"/>
      <c r="S166" s="3405"/>
      <c r="T166" s="3479"/>
      <c r="U166" s="1440"/>
      <c r="V166" s="3494"/>
      <c r="W166" s="3494"/>
      <c r="X166" s="3501"/>
      <c r="Y166" s="245">
        <f>DATA!AT158</f>
        <v>100000000</v>
      </c>
      <c r="Z166" s="109" t="str">
        <f>DATA!AU158</f>
        <v>AIIB</v>
      </c>
      <c r="AA166" s="216" t="str">
        <f>DATA!AW158</f>
        <v>co-financing dengan Bank Dunia (USD 100 juta) dan belum ada indikasi (USD 300 juta)</v>
      </c>
      <c r="AB166" s="245" t="str">
        <f>DATA!AM158</f>
        <v>Rev. 2016</v>
      </c>
      <c r="AC166" s="1510" t="str">
        <f>DATA!AN158</f>
        <v>siap</v>
      </c>
      <c r="AD166" s="1511" t="str">
        <f>DATA!AO158</f>
        <v>siap</v>
      </c>
      <c r="AE166" s="1512">
        <f>DATA!AQ158</f>
        <v>0</v>
      </c>
      <c r="AF166" s="1531" t="str">
        <f>DATA!AR158</f>
        <v>-</v>
      </c>
    </row>
    <row r="167" spans="1:33" ht="24.75" customHeight="1">
      <c r="J167" s="2499"/>
      <c r="K167" s="54"/>
      <c r="L167" s="52"/>
      <c r="M167" s="3391"/>
      <c r="N167" s="3462"/>
      <c r="O167" s="3404"/>
      <c r="P167" s="3404"/>
      <c r="Q167" s="3404"/>
      <c r="R167" s="3404"/>
      <c r="S167" s="3404"/>
      <c r="T167" s="3480"/>
      <c r="U167" s="1440"/>
      <c r="V167" s="3415"/>
      <c r="W167" s="3415"/>
      <c r="X167" s="3417"/>
      <c r="Y167" s="245">
        <f>DATA!AT159</f>
        <v>300000000</v>
      </c>
      <c r="Z167" s="109" t="str">
        <f>DATA!AU159</f>
        <v>Belum Ada Indikasi</v>
      </c>
      <c r="AA167" s="216" t="str">
        <f>DATA!AW159</f>
        <v>co-financing dengan Bank Dunia (USD 100 juta) dan AIIB (USD 100 juta)</v>
      </c>
      <c r="AB167" s="245">
        <f>DATA!AM159</f>
        <v>0</v>
      </c>
      <c r="AC167" s="1510" t="str">
        <f>DATA!AN159</f>
        <v>belum ada keterangan</v>
      </c>
      <c r="AD167" s="1511" t="str">
        <f>DATA!AO159</f>
        <v>belum ada keterangan</v>
      </c>
      <c r="AE167" s="1512">
        <f>DATA!AQ159</f>
        <v>0</v>
      </c>
      <c r="AF167" s="1531" t="str">
        <f>DATA!AR159</f>
        <v>-</v>
      </c>
      <c r="AG167" s="3"/>
    </row>
    <row r="168" spans="1:33" s="3" customFormat="1" ht="30" customHeight="1">
      <c r="J168" s="2500" t="s">
        <v>960</v>
      </c>
      <c r="K168" s="112" t="str">
        <f>DATA!D160</f>
        <v>NON-INFRASTRUKTUR</v>
      </c>
      <c r="L168" s="22"/>
      <c r="M168" s="22"/>
      <c r="N168" s="23"/>
      <c r="O168" s="191">
        <f>+O169+O179+O188+O191+O202+O205+O216+O219+O228+O231+O222+O234+O240</f>
        <v>4413998600</v>
      </c>
      <c r="P168" s="191">
        <f>P169+P179+P188+P191+P202+P205+P216+P219+P228+P231+P222+P234+P240+P237</f>
        <v>5456888700</v>
      </c>
      <c r="Q168" s="191">
        <f>Q169+Q179+Q188+Q191+Q202+Q205+Q216+Q219+Q228+Q231+Q222+Q234+Q240+Q237</f>
        <v>492119100</v>
      </c>
      <c r="R168" s="191">
        <f>+R169+R179+R188+R191+R202+R205+R216+R219+R228+R231+R222+R234+R240</f>
        <v>2660000</v>
      </c>
      <c r="S168" s="191">
        <f>+S169+S179+S188+S191+S202+S205+S216+S219+S228+S231+S222+S234+S240</f>
        <v>5786862800</v>
      </c>
      <c r="T168" s="2489"/>
      <c r="U168" s="192"/>
      <c r="V168" s="79">
        <f>+V169+V179+V188+V191+V202+V205+V216+V219+V222+V228+V231+V234+V240</f>
        <v>2804556000</v>
      </c>
      <c r="W168" s="79">
        <f>+W169+W179+W188+W191+W202+W205+W216+W219+W222+W228+W231+W234+W240</f>
        <v>2504187700</v>
      </c>
      <c r="X168" s="79">
        <f>+X169+X179+X188+X191+X202+X205+X216+X219+X222+X228+X231+X234+X240</f>
        <v>0</v>
      </c>
      <c r="Y168" s="240">
        <f>Y169+Y179+Y188+Y191+Y202+Y205+Y216+Y219+Y222+Y228+Y231+Y234+Y240</f>
        <v>5308743700</v>
      </c>
      <c r="Z168" s="79" t="s">
        <v>21</v>
      </c>
      <c r="AA168" s="79" t="s">
        <v>21</v>
      </c>
      <c r="AB168" s="1496"/>
      <c r="AC168" s="1516"/>
      <c r="AD168" s="1517"/>
      <c r="AE168" s="1518"/>
      <c r="AF168" s="1532"/>
      <c r="AG168" s="4"/>
    </row>
    <row r="169" spans="1:33" s="4" customFormat="1" ht="24.95" customHeight="1">
      <c r="J169" s="2497"/>
      <c r="K169" s="25">
        <v>10</v>
      </c>
      <c r="L169" s="108" t="str">
        <f>DATA!F160</f>
        <v>Kementerian Riset, Teknologi, dan Pendidikan Tinggi</v>
      </c>
      <c r="M169" s="25"/>
      <c r="N169" s="27"/>
      <c r="O169" s="194">
        <f>+O170</f>
        <v>113538000</v>
      </c>
      <c r="P169" s="194">
        <f>+P170</f>
        <v>350397600</v>
      </c>
      <c r="Q169" s="194">
        <f>+Q170</f>
        <v>38932400</v>
      </c>
      <c r="R169" s="194">
        <f>+R170</f>
        <v>0</v>
      </c>
      <c r="S169" s="194">
        <f t="shared" ref="S169:S199" si="12">P169+Q169+R169</f>
        <v>389330000</v>
      </c>
      <c r="T169" s="2484"/>
      <c r="U169" s="195"/>
      <c r="V169" s="80">
        <f>+V170</f>
        <v>113538000</v>
      </c>
      <c r="W169" s="80">
        <f>+W170</f>
        <v>236859600</v>
      </c>
      <c r="X169" s="80">
        <f>+X170</f>
        <v>0</v>
      </c>
      <c r="Y169" s="242">
        <f>+Y170</f>
        <v>350397600</v>
      </c>
      <c r="Z169" s="80" t="s">
        <v>21</v>
      </c>
      <c r="AA169" s="213"/>
      <c r="AB169" s="1501"/>
      <c r="AC169" s="1502"/>
      <c r="AD169" s="168"/>
      <c r="AE169" s="1503"/>
      <c r="AF169" s="1529"/>
      <c r="AG169" s="5"/>
    </row>
    <row r="170" spans="1:33" s="5" customFormat="1" ht="33.75" customHeight="1">
      <c r="J170" s="1594"/>
      <c r="K170" s="29"/>
      <c r="L170" s="30" t="str">
        <f>DATA!I160</f>
        <v>A</v>
      </c>
      <c r="M170" s="3427" t="str">
        <f>DATA!J160</f>
        <v xml:space="preserve">Program Peningkatan Akses, Kualitas, Relevansi, dan Daya Saing Pendidikan Tinggi </v>
      </c>
      <c r="N170" s="3428"/>
      <c r="O170" s="197">
        <f>O171+O172+O173+O174+O175+O176+O177+O178</f>
        <v>113538000</v>
      </c>
      <c r="P170" s="197">
        <f>P171+P172+P173+P174+P175+P176+P177+P178</f>
        <v>350397600</v>
      </c>
      <c r="Q170" s="1436">
        <f>Q171+Q172+Q173+Q174+Q175+Q176+Q177+Q178</f>
        <v>38932400</v>
      </c>
      <c r="R170" s="1436">
        <f>R171+R172+R173+R174+R175+R176+R177+R178</f>
        <v>0</v>
      </c>
      <c r="S170" s="1559">
        <f t="shared" si="12"/>
        <v>389330000</v>
      </c>
      <c r="T170" s="2463"/>
      <c r="U170" s="198"/>
      <c r="V170" s="81">
        <f>V171+V172+V173+V174+V175+V176+V177+V178</f>
        <v>113538000</v>
      </c>
      <c r="W170" s="81">
        <f>W171+W172+W173+W174+W175+W176+W177+W178</f>
        <v>236859600</v>
      </c>
      <c r="X170" s="214"/>
      <c r="Y170" s="244">
        <f>Y171+Y172+Y173+Y174+Y175+Y176+Y177+Y178</f>
        <v>350397600</v>
      </c>
      <c r="Z170" s="81" t="s">
        <v>21</v>
      </c>
      <c r="AA170" s="214"/>
      <c r="AB170" s="1505"/>
      <c r="AC170" s="1506"/>
      <c r="AD170" s="169"/>
      <c r="AE170" s="1507"/>
      <c r="AF170" s="1530"/>
      <c r="AG170" s="10"/>
    </row>
    <row r="171" spans="1:33" ht="37.5" customHeight="1">
      <c r="A171" s="10">
        <f>DATA!A165</f>
        <v>118</v>
      </c>
      <c r="B171" s="10">
        <f>DATA!B165</f>
        <v>0</v>
      </c>
      <c r="C171" s="10" t="str">
        <f>DATA!D165</f>
        <v>NON-INFRASTRUKTUR</v>
      </c>
      <c r="D171" s="10">
        <f>DATA!E165</f>
        <v>8</v>
      </c>
      <c r="E171" s="10" t="str">
        <f>DATA!F165</f>
        <v>Kementerian Riset, Teknologi, dan Pendidikan Tinggi</v>
      </c>
      <c r="F171" s="10" t="str">
        <f>DATA!H165</f>
        <v>Improving Access, Quality, Relevance, and Competitiveness of Higher Education Program</v>
      </c>
      <c r="G171" s="10" t="str">
        <f>DATA!I165</f>
        <v>A</v>
      </c>
      <c r="H171" s="10" t="str">
        <f>DATA!J165</f>
        <v xml:space="preserve">Program Peningkatan Akses, Kualitas, Relevansi, dan Daya Saing Pendidikan Tinggi </v>
      </c>
      <c r="I171" s="10">
        <f>DATA!K165</f>
        <v>1</v>
      </c>
      <c r="J171" s="254"/>
      <c r="K171" s="34"/>
      <c r="L171" s="34"/>
      <c r="M171" s="172">
        <v>109</v>
      </c>
      <c r="N171" s="37" t="str">
        <f>DATA!L165</f>
        <v>The Plan of Hasanuddin University Hospital Development</v>
      </c>
      <c r="O171" s="187">
        <f>DATA!T165</f>
        <v>31565800</v>
      </c>
      <c r="P171" s="187">
        <f>DATA!U165</f>
        <v>31565800</v>
      </c>
      <c r="Q171" s="1446">
        <f>DATA!V165</f>
        <v>2586200</v>
      </c>
      <c r="R171" s="1446">
        <v>0</v>
      </c>
      <c r="S171" s="2467">
        <f t="shared" si="12"/>
        <v>34152000</v>
      </c>
      <c r="T171" s="2468"/>
      <c r="U171" s="1449" t="str">
        <f>DATA!Y165</f>
        <v>Jerman (KfW)</v>
      </c>
      <c r="V171" s="77">
        <f>DATA!AA165</f>
        <v>31565800</v>
      </c>
      <c r="W171" s="77">
        <v>0</v>
      </c>
      <c r="X171" s="216" t="str">
        <f>DATA!Y165</f>
        <v>Jerman (KfW)</v>
      </c>
      <c r="Y171" s="245">
        <f>DATA!AT165</f>
        <v>31565800</v>
      </c>
      <c r="Z171" s="109" t="str">
        <f>DATA!AU165</f>
        <v>Jerman (KfW)</v>
      </c>
      <c r="AA171" s="2455" t="str">
        <f>DATA!AW165</f>
        <v>-</v>
      </c>
      <c r="AB171" s="1625">
        <f>DATA!AM165</f>
        <v>2016</v>
      </c>
      <c r="AC171" s="1510" t="str">
        <f>DATA!AN165</f>
        <v>siap</v>
      </c>
      <c r="AD171" s="1511" t="str">
        <f>DATA!AO165</f>
        <v>siap</v>
      </c>
      <c r="AE171" s="1512">
        <f>DATA!AQ165</f>
        <v>0</v>
      </c>
      <c r="AF171" s="1531" t="str">
        <f>DATA!AR165</f>
        <v>-</v>
      </c>
    </row>
    <row r="172" spans="1:33" ht="26.25" customHeight="1">
      <c r="A172" s="10">
        <f>DATA!A166</f>
        <v>119</v>
      </c>
      <c r="B172" s="10">
        <f>DATA!B166</f>
        <v>0</v>
      </c>
      <c r="C172" s="10" t="str">
        <f>DATA!D166</f>
        <v>NON-INFRASTRUKTUR</v>
      </c>
      <c r="D172" s="10">
        <f>DATA!E166</f>
        <v>8</v>
      </c>
      <c r="E172" s="10" t="str">
        <f>DATA!F166</f>
        <v>Kementerian Riset, Teknologi, dan Pendidikan Tinggi</v>
      </c>
      <c r="F172" s="10" t="str">
        <f>DATA!H166</f>
        <v>Improving Access, Quality, Relevance, and Competitiveness of Higher Education Program</v>
      </c>
      <c r="G172" s="10" t="str">
        <f>DATA!I166</f>
        <v>A</v>
      </c>
      <c r="H172" s="10" t="str">
        <f>DATA!J166</f>
        <v xml:space="preserve">Program Peningkatan Akses, Kualitas, Relevansi, dan Daya Saing Pendidikan Tinggi </v>
      </c>
      <c r="I172" s="10">
        <f>DATA!K166</f>
        <v>1</v>
      </c>
      <c r="J172" s="254"/>
      <c r="K172" s="34"/>
      <c r="L172" s="34"/>
      <c r="M172" s="172">
        <v>110</v>
      </c>
      <c r="N172" s="37" t="str">
        <f>DATA!L166</f>
        <v>Establishment of University of Bengkulu’s Hospital</v>
      </c>
      <c r="O172" s="187">
        <f>DATA!T166</f>
        <v>10278200</v>
      </c>
      <c r="P172" s="187">
        <f>DATA!U166</f>
        <v>10278200</v>
      </c>
      <c r="Q172" s="1446">
        <f>DATA!V166</f>
        <v>182000</v>
      </c>
      <c r="R172" s="1446">
        <v>0</v>
      </c>
      <c r="S172" s="2467">
        <f t="shared" si="12"/>
        <v>10460200</v>
      </c>
      <c r="T172" s="2468"/>
      <c r="U172" s="1449" t="str">
        <f>DATA!Y166</f>
        <v>JICA</v>
      </c>
      <c r="V172" s="77">
        <f>DATA!AA166</f>
        <v>10278200</v>
      </c>
      <c r="W172" s="77">
        <v>0</v>
      </c>
      <c r="X172" s="216" t="str">
        <f>DATA!Y166</f>
        <v>JICA</v>
      </c>
      <c r="Y172" s="245">
        <f>DATA!AT166</f>
        <v>10278200</v>
      </c>
      <c r="Z172" s="109" t="str">
        <f>DATA!AU166</f>
        <v>JICA</v>
      </c>
      <c r="AA172" s="2455" t="str">
        <f>DATA!AW166</f>
        <v>-</v>
      </c>
      <c r="AB172" s="245">
        <f>DATA!AM166</f>
        <v>0</v>
      </c>
      <c r="AC172" s="1510" t="str">
        <f>DATA!AN166</f>
        <v>siap</v>
      </c>
      <c r="AD172" s="1511" t="str">
        <f>DATA!AO166</f>
        <v>siap</v>
      </c>
      <c r="AE172" s="1512">
        <f>DATA!AQ166</f>
        <v>0</v>
      </c>
      <c r="AF172" s="1531" t="str">
        <f>DATA!AR166</f>
        <v>penyiapan dokumen R/C</v>
      </c>
    </row>
    <row r="173" spans="1:33" ht="39" customHeight="1">
      <c r="A173" s="10">
        <f>DATA!A167</f>
        <v>120</v>
      </c>
      <c r="B173" s="10">
        <f>DATA!B167</f>
        <v>0</v>
      </c>
      <c r="C173" s="10" t="str">
        <f>DATA!D167</f>
        <v>NON-INFRASTRUKTUR</v>
      </c>
      <c r="D173" s="10">
        <f>DATA!E167</f>
        <v>8</v>
      </c>
      <c r="E173" s="10" t="str">
        <f>DATA!F167</f>
        <v>Kementerian Riset, Teknologi, dan Pendidikan Tinggi</v>
      </c>
      <c r="F173" s="10" t="str">
        <f>DATA!H167</f>
        <v>Improving Access, Quality, Relevance, and Competitiveness of Higher Education Program</v>
      </c>
      <c r="G173" s="10" t="str">
        <f>DATA!I167</f>
        <v>A</v>
      </c>
      <c r="H173" s="10" t="str">
        <f>DATA!J167</f>
        <v xml:space="preserve">Program Peningkatan Akses, Kualitas, Relevansi, dan Daya Saing Pendidikan Tinggi </v>
      </c>
      <c r="I173" s="10">
        <f>DATA!K167</f>
        <v>1</v>
      </c>
      <c r="J173" s="254"/>
      <c r="K173" s="34"/>
      <c r="L173" s="34"/>
      <c r="M173" s="172">
        <v>111</v>
      </c>
      <c r="N173" s="37" t="str">
        <f>DATA!L167</f>
        <v>University of Gadjah Mada Achieving World Class University with Socio-Entrepreneurial Spirit</v>
      </c>
      <c r="O173" s="187">
        <f>DATA!T167</f>
        <v>71694000</v>
      </c>
      <c r="P173" s="187">
        <f>DATA!U167</f>
        <v>71694000</v>
      </c>
      <c r="Q173" s="1446">
        <f>DATA!V167</f>
        <v>7041900</v>
      </c>
      <c r="R173" s="1446">
        <v>0</v>
      </c>
      <c r="S173" s="2467">
        <f t="shared" si="12"/>
        <v>78735900</v>
      </c>
      <c r="T173" s="2468"/>
      <c r="U173" s="1449" t="str">
        <f>DATA!Y167</f>
        <v>JICA</v>
      </c>
      <c r="V173" s="77">
        <f>DATA!AA167</f>
        <v>71694000</v>
      </c>
      <c r="W173" s="77">
        <v>0</v>
      </c>
      <c r="X173" s="216" t="str">
        <f>DATA!Y167</f>
        <v>JICA</v>
      </c>
      <c r="Y173" s="245">
        <f>DATA!AT167</f>
        <v>71694000</v>
      </c>
      <c r="Z173" s="109" t="str">
        <f>DATA!AU167</f>
        <v>JICA</v>
      </c>
      <c r="AA173" s="2455" t="str">
        <f>DATA!AW167</f>
        <v>-</v>
      </c>
      <c r="AB173" s="1625">
        <f>DATA!AM167</f>
        <v>2016</v>
      </c>
      <c r="AC173" s="1510" t="str">
        <f>DATA!AN167</f>
        <v>siap</v>
      </c>
      <c r="AD173" s="1511" t="str">
        <f>DATA!AO167</f>
        <v>siap</v>
      </c>
      <c r="AE173" s="1512">
        <f>DATA!AQ167</f>
        <v>0</v>
      </c>
      <c r="AF173" s="1531" t="str">
        <f>DATA!AR167</f>
        <v>-</v>
      </c>
    </row>
    <row r="174" spans="1:33" ht="40.5" customHeight="1">
      <c r="J174" s="254"/>
      <c r="K174" s="34"/>
      <c r="L174" s="34"/>
      <c r="M174" s="172">
        <v>112</v>
      </c>
      <c r="N174" s="37" t="str">
        <f>DATA!L168</f>
        <v>Capacity Building Programmes for Infrastructure in Malikussaleh University</v>
      </c>
      <c r="O174" s="187">
        <f>DATA!T168</f>
        <v>0</v>
      </c>
      <c r="P174" s="187">
        <f>DATA!U168</f>
        <v>48543100</v>
      </c>
      <c r="Q174" s="187">
        <f>DATA!V168</f>
        <v>6552200</v>
      </c>
      <c r="R174" s="187">
        <f>DATA!W168</f>
        <v>0</v>
      </c>
      <c r="S174" s="2467">
        <f t="shared" si="12"/>
        <v>55095300</v>
      </c>
      <c r="T174" s="2486" t="s">
        <v>1099</v>
      </c>
      <c r="U174" s="1449"/>
      <c r="V174" s="77">
        <v>0</v>
      </c>
      <c r="W174" s="77">
        <f>DATA!AA168</f>
        <v>48543100</v>
      </c>
      <c r="X174" s="216" t="str">
        <f>DATA!Y168</f>
        <v>Belum Ada Indikasi</v>
      </c>
      <c r="Y174" s="245">
        <f>DATA!AT168</f>
        <v>48543100</v>
      </c>
      <c r="Z174" s="109" t="str">
        <f>DATA!AU168</f>
        <v>Belum Ada Indikasi</v>
      </c>
      <c r="AA174" s="216">
        <f>DATA!AW168</f>
        <v>0</v>
      </c>
      <c r="AB174" s="245">
        <f>DATA!AM168</f>
        <v>0</v>
      </c>
      <c r="AC174" s="1510" t="str">
        <f>DATA!AN168</f>
        <v>belum ada keterangan</v>
      </c>
      <c r="AD174" s="1511" t="str">
        <f>DATA!AO168</f>
        <v>belum ada keterangan</v>
      </c>
      <c r="AE174" s="1512">
        <f>DATA!AQ168</f>
        <v>0</v>
      </c>
      <c r="AF174" s="1531" t="str">
        <f>DATA!AR168</f>
        <v>belum ada dokumen R/C</v>
      </c>
    </row>
    <row r="175" spans="1:33" ht="37.5" customHeight="1">
      <c r="J175" s="254"/>
      <c r="K175" s="34"/>
      <c r="L175" s="34"/>
      <c r="M175" s="172">
        <v>113</v>
      </c>
      <c r="N175" s="37" t="str">
        <f>DATA!L169</f>
        <v>Development and Upgrading of University of Jambi</v>
      </c>
      <c r="O175" s="187">
        <f>DATA!T169</f>
        <v>0</v>
      </c>
      <c r="P175" s="187">
        <f>DATA!U169</f>
        <v>53879300</v>
      </c>
      <c r="Q175" s="187">
        <f>DATA!V169</f>
        <v>4967200</v>
      </c>
      <c r="R175" s="187">
        <f>DATA!W169</f>
        <v>0</v>
      </c>
      <c r="S175" s="2467">
        <f t="shared" si="12"/>
        <v>58846500</v>
      </c>
      <c r="T175" s="2486" t="s">
        <v>1100</v>
      </c>
      <c r="U175" s="1449"/>
      <c r="V175" s="77">
        <v>0</v>
      </c>
      <c r="W175" s="77">
        <f>DATA!AA169</f>
        <v>53879300</v>
      </c>
      <c r="X175" s="216" t="str">
        <f>DATA!Y169</f>
        <v>Belum Ada Indikasi</v>
      </c>
      <c r="Y175" s="245">
        <f>DATA!AT169</f>
        <v>53879300</v>
      </c>
      <c r="Z175" s="109" t="str">
        <f>DATA!AU169</f>
        <v>Belum Ada Indikasi</v>
      </c>
      <c r="AA175" s="216">
        <f>DATA!AW169</f>
        <v>0</v>
      </c>
      <c r="AB175" s="245">
        <f>DATA!AM169</f>
        <v>0</v>
      </c>
      <c r="AC175" s="1510" t="str">
        <f>DATA!AN169</f>
        <v>belum ada keterangan</v>
      </c>
      <c r="AD175" s="1511" t="str">
        <f>DATA!AO169</f>
        <v>belum ada keterangan</v>
      </c>
      <c r="AE175" s="1512">
        <f>DATA!AQ169</f>
        <v>0</v>
      </c>
      <c r="AF175" s="1531" t="str">
        <f>DATA!AR169</f>
        <v>belum ada dokumen R/C</v>
      </c>
    </row>
    <row r="176" spans="1:33" ht="42" customHeight="1">
      <c r="J176" s="254"/>
      <c r="K176" s="34"/>
      <c r="L176" s="34"/>
      <c r="M176" s="172">
        <v>114</v>
      </c>
      <c r="N176" s="37" t="str">
        <f>DATA!L170</f>
        <v>Development and Upgrading of the State University of Jakarta - Phase 2</v>
      </c>
      <c r="O176" s="187">
        <f>DATA!T170</f>
        <v>0</v>
      </c>
      <c r="P176" s="187">
        <f>DATA!U170</f>
        <v>32709400</v>
      </c>
      <c r="Q176" s="187">
        <f>DATA!V170</f>
        <v>5567500</v>
      </c>
      <c r="R176" s="187">
        <f>DATA!W170</f>
        <v>0</v>
      </c>
      <c r="S176" s="2467">
        <f t="shared" si="12"/>
        <v>38276900</v>
      </c>
      <c r="T176" s="2486" t="s">
        <v>1101</v>
      </c>
      <c r="U176" s="1449"/>
      <c r="V176" s="77">
        <v>0</v>
      </c>
      <c r="W176" s="77">
        <f>DATA!AA170</f>
        <v>32709400</v>
      </c>
      <c r="X176" s="216" t="str">
        <f>DATA!Y170</f>
        <v>Belum Ada Indikasi</v>
      </c>
      <c r="Y176" s="245">
        <f>DATA!AT170</f>
        <v>32709400</v>
      </c>
      <c r="Z176" s="109" t="str">
        <f>DATA!AU170</f>
        <v>Belum Ada Indikasi</v>
      </c>
      <c r="AA176" s="216">
        <f>DATA!AW170</f>
        <v>0</v>
      </c>
      <c r="AB176" s="245">
        <f>DATA!AM170</f>
        <v>0</v>
      </c>
      <c r="AC176" s="1510" t="str">
        <f>DATA!AN170</f>
        <v>belum ada keterangan</v>
      </c>
      <c r="AD176" s="1511" t="str">
        <f>DATA!AO170</f>
        <v>belum ada keterangan</v>
      </c>
      <c r="AE176" s="1512">
        <f>DATA!AQ170</f>
        <v>0</v>
      </c>
      <c r="AF176" s="1531" t="str">
        <f>DATA!AR170</f>
        <v>belum ada dokumen R/C</v>
      </c>
    </row>
    <row r="177" spans="1:33" ht="43.5" customHeight="1">
      <c r="J177" s="254"/>
      <c r="K177" s="34"/>
      <c r="L177" s="34"/>
      <c r="M177" s="172">
        <v>115</v>
      </c>
      <c r="N177" s="37" t="str">
        <f>DATA!L171</f>
        <v xml:space="preserve">Integrated Multi Campus-University for Tomorrow’s Education in Indonesia University of Education </v>
      </c>
      <c r="O177" s="187">
        <f>DATA!T171</f>
        <v>0</v>
      </c>
      <c r="P177" s="187">
        <f>DATA!U171</f>
        <v>51777700</v>
      </c>
      <c r="Q177" s="187">
        <f>DATA!V171</f>
        <v>6994700</v>
      </c>
      <c r="R177" s="187">
        <f>DATA!W171</f>
        <v>0</v>
      </c>
      <c r="S177" s="2467">
        <f t="shared" si="12"/>
        <v>58772400</v>
      </c>
      <c r="T177" s="2486" t="s">
        <v>1102</v>
      </c>
      <c r="U177" s="1449"/>
      <c r="V177" s="77">
        <v>0</v>
      </c>
      <c r="W177" s="77">
        <f>DATA!AA171</f>
        <v>51777700</v>
      </c>
      <c r="X177" s="216" t="str">
        <f>DATA!Y171</f>
        <v>Belum Ada Indikasi</v>
      </c>
      <c r="Y177" s="245">
        <f>DATA!AT171</f>
        <v>51777700</v>
      </c>
      <c r="Z177" s="109" t="str">
        <f>DATA!AU171</f>
        <v>Belum Ada Indikasi</v>
      </c>
      <c r="AA177" s="216">
        <f>DATA!AW171</f>
        <v>0</v>
      </c>
      <c r="AB177" s="245">
        <f>DATA!AM171</f>
        <v>0</v>
      </c>
      <c r="AC177" s="1510" t="str">
        <f>DATA!AN171</f>
        <v>belum ada keterangan</v>
      </c>
      <c r="AD177" s="1511" t="str">
        <f>DATA!AO171</f>
        <v>belum ada keterangan</v>
      </c>
      <c r="AE177" s="1512">
        <f>DATA!AQ171</f>
        <v>0</v>
      </c>
      <c r="AF177" s="1531" t="str">
        <f>DATA!AR171</f>
        <v>belum ada dokumen R/C</v>
      </c>
    </row>
    <row r="178" spans="1:33" ht="46.5" customHeight="1">
      <c r="J178" s="254"/>
      <c r="K178" s="54"/>
      <c r="L178" s="54"/>
      <c r="M178" s="172">
        <v>116</v>
      </c>
      <c r="N178" s="37" t="str">
        <f>DATA!L172</f>
        <v xml:space="preserve">Higher Education Quality Improvement of the University of Riau </v>
      </c>
      <c r="O178" s="187">
        <f>DATA!T172</f>
        <v>0</v>
      </c>
      <c r="P178" s="187">
        <f>DATA!U172</f>
        <v>49950100</v>
      </c>
      <c r="Q178" s="187">
        <f>DATA!V172</f>
        <v>5040700</v>
      </c>
      <c r="R178" s="187">
        <f>DATA!W172</f>
        <v>0</v>
      </c>
      <c r="S178" s="2467">
        <f t="shared" si="12"/>
        <v>54990800</v>
      </c>
      <c r="T178" s="2486" t="s">
        <v>1103</v>
      </c>
      <c r="U178" s="1449"/>
      <c r="V178" s="77">
        <v>0</v>
      </c>
      <c r="W178" s="77">
        <f>DATA!AA172</f>
        <v>49950100</v>
      </c>
      <c r="X178" s="216" t="str">
        <f>DATA!Y172</f>
        <v>Belum Ada Indikasi</v>
      </c>
      <c r="Y178" s="245">
        <f>DATA!AT172</f>
        <v>49950100</v>
      </c>
      <c r="Z178" s="109" t="str">
        <f>DATA!AU172</f>
        <v>Belum Ada Indikasi</v>
      </c>
      <c r="AA178" s="216">
        <f>DATA!AW172</f>
        <v>0</v>
      </c>
      <c r="AB178" s="245">
        <f>DATA!AM172</f>
        <v>0</v>
      </c>
      <c r="AC178" s="1510" t="str">
        <f>DATA!AN172</f>
        <v>belum ada keterangan</v>
      </c>
      <c r="AD178" s="1511" t="str">
        <f>DATA!AO172</f>
        <v>belum ada keterangan</v>
      </c>
      <c r="AE178" s="1512">
        <f>DATA!AQ172</f>
        <v>0</v>
      </c>
      <c r="AF178" s="1531" t="str">
        <f>DATA!AR172</f>
        <v>belum ada dokumen R/C</v>
      </c>
      <c r="AG178" s="4"/>
    </row>
    <row r="179" spans="1:33" s="4" customFormat="1" ht="24.95" customHeight="1">
      <c r="J179" s="2498"/>
      <c r="K179" s="25">
        <v>11</v>
      </c>
      <c r="L179" s="108" t="str">
        <f>DATA!F173</f>
        <v>Kementerian Agama</v>
      </c>
      <c r="M179" s="25"/>
      <c r="N179" s="27"/>
      <c r="O179" s="194">
        <f>+O180</f>
        <v>238210000</v>
      </c>
      <c r="P179" s="194">
        <f>+P180</f>
        <v>298145500</v>
      </c>
      <c r="Q179" s="194">
        <f>+Q180</f>
        <v>60851400</v>
      </c>
      <c r="R179" s="194">
        <f>+R180</f>
        <v>0</v>
      </c>
      <c r="S179" s="194">
        <f t="shared" si="12"/>
        <v>358996900</v>
      </c>
      <c r="T179" s="2484"/>
      <c r="U179" s="195"/>
      <c r="V179" s="80">
        <f>+V180</f>
        <v>238210000</v>
      </c>
      <c r="W179" s="80">
        <f>+W180</f>
        <v>59935500</v>
      </c>
      <c r="X179" s="213"/>
      <c r="Y179" s="242">
        <f>+Y180</f>
        <v>298145500</v>
      </c>
      <c r="Z179" s="80" t="s">
        <v>21</v>
      </c>
      <c r="AA179" s="213"/>
      <c r="AB179" s="1501"/>
      <c r="AC179" s="1502"/>
      <c r="AD179" s="168"/>
      <c r="AE179" s="1503"/>
      <c r="AF179" s="1529"/>
      <c r="AG179" s="5"/>
    </row>
    <row r="180" spans="1:33" s="5" customFormat="1" ht="33.75" customHeight="1">
      <c r="J180" s="1594"/>
      <c r="K180" s="29"/>
      <c r="L180" s="30" t="str">
        <f>DATA!I173</f>
        <v>A</v>
      </c>
      <c r="M180" s="3427" t="str">
        <f>DATA!J173</f>
        <v>Program Peningkatan Akses, Kualitas, Relevansi, dan Daya Saing Pendidikan Tinggi Islam</v>
      </c>
      <c r="N180" s="3428"/>
      <c r="O180" s="197">
        <f>O181+O182+O183+O184+O185+O186+O187</f>
        <v>238210000</v>
      </c>
      <c r="P180" s="197">
        <f>P181+P182+P183+P184+P185+P186+P187</f>
        <v>298145500</v>
      </c>
      <c r="Q180" s="1436">
        <f>Q181+Q182+Q183+Q184+Q185+Q186+Q187</f>
        <v>60851400</v>
      </c>
      <c r="R180" s="1436">
        <f>R181+R182+R183+R184+R185+R186+R187</f>
        <v>0</v>
      </c>
      <c r="S180" s="1559">
        <f t="shared" si="12"/>
        <v>358996900</v>
      </c>
      <c r="T180" s="2463"/>
      <c r="U180" s="198"/>
      <c r="V180" s="81">
        <f>V181+V182+V183+V184+V185+V186+V187</f>
        <v>238210000</v>
      </c>
      <c r="W180" s="81">
        <f>W181+W182+W183+W184+W185+W186+W187</f>
        <v>59935500</v>
      </c>
      <c r="X180" s="214"/>
      <c r="Y180" s="244">
        <f>Y181+Y182+Y183+Y184+Y185+Y186+Y187</f>
        <v>298145500</v>
      </c>
      <c r="Z180" s="81" t="s">
        <v>21</v>
      </c>
      <c r="AA180" s="214"/>
      <c r="AB180" s="1505"/>
      <c r="AC180" s="1506"/>
      <c r="AD180" s="169"/>
      <c r="AE180" s="1507"/>
      <c r="AF180" s="1530"/>
      <c r="AG180" s="10"/>
    </row>
    <row r="181" spans="1:33" ht="36" customHeight="1">
      <c r="A181" s="10">
        <f>DATA!A174</f>
        <v>124</v>
      </c>
      <c r="B181" s="10">
        <f>DATA!B174</f>
        <v>0</v>
      </c>
      <c r="C181" s="10" t="str">
        <f>DATA!D174</f>
        <v>NON-INFRASTRUKTUR</v>
      </c>
      <c r="D181" s="10">
        <f>DATA!E174</f>
        <v>9</v>
      </c>
      <c r="E181" s="10" t="str">
        <f>DATA!F174</f>
        <v>Kementerian Agama</v>
      </c>
      <c r="F181" s="10" t="str">
        <f>DATA!H174</f>
        <v>Improving Access, Quality, Relevance, and Competitiveness of Islamic Higher Education Program</v>
      </c>
      <c r="G181" s="10" t="str">
        <f>DATA!I174</f>
        <v>A</v>
      </c>
      <c r="H181" s="10" t="str">
        <f>DATA!J174</f>
        <v>Program Peningkatan Akses, Kualitas, Relevansi, dan Daya Saing Pendidikan Tinggi Islam</v>
      </c>
      <c r="I181" s="10">
        <f>DATA!K174</f>
        <v>1</v>
      </c>
      <c r="J181" s="254"/>
      <c r="K181" s="34"/>
      <c r="L181" s="34"/>
      <c r="M181" s="172">
        <v>117</v>
      </c>
      <c r="N181" s="37" t="str">
        <f>DATA!L174</f>
        <v>Improvement and Optimalization of Sunan Ampel Surabaya State Islamic University</v>
      </c>
      <c r="O181" s="187">
        <f>DATA!T174</f>
        <v>40000000</v>
      </c>
      <c r="P181" s="187">
        <f>DATA!U174</f>
        <v>40000000</v>
      </c>
      <c r="Q181" s="1453">
        <f>DATA!V174</f>
        <v>10000000</v>
      </c>
      <c r="R181" s="1453">
        <f>DATA!W174</f>
        <v>0</v>
      </c>
      <c r="S181" s="2467">
        <f t="shared" si="12"/>
        <v>50000000</v>
      </c>
      <c r="T181" s="2468"/>
      <c r="U181" s="1449" t="str">
        <f>DATA!Y174</f>
        <v>IDB</v>
      </c>
      <c r="V181" s="77">
        <f>DATA!AA174</f>
        <v>40000000</v>
      </c>
      <c r="W181" s="77">
        <v>0</v>
      </c>
      <c r="X181" s="216" t="str">
        <f>DATA!Y174</f>
        <v>IDB</v>
      </c>
      <c r="Y181" s="245">
        <f>DATA!AT174</f>
        <v>40000000</v>
      </c>
      <c r="Z181" s="109" t="str">
        <f>DATA!AU174</f>
        <v>IDB</v>
      </c>
      <c r="AA181" s="216" t="str">
        <f>DATA!AW174</f>
        <v>-</v>
      </c>
      <c r="AB181" s="1625">
        <f>DATA!AM174</f>
        <v>2016</v>
      </c>
      <c r="AC181" s="1510" t="str">
        <f>DATA!AN174</f>
        <v>siap</v>
      </c>
      <c r="AD181" s="1511" t="str">
        <f>DATA!AO174</f>
        <v>siap</v>
      </c>
      <c r="AE181" s="1519">
        <f>DATA!AQ174</f>
        <v>0</v>
      </c>
      <c r="AF181" s="1531" t="str">
        <f>DATA!AR174</f>
        <v>-</v>
      </c>
    </row>
    <row r="182" spans="1:33" ht="42.75" customHeight="1">
      <c r="A182" s="10">
        <f>DATA!A175</f>
        <v>125</v>
      </c>
      <c r="B182" s="10">
        <f>DATA!B175</f>
        <v>0</v>
      </c>
      <c r="C182" s="10" t="str">
        <f>DATA!D175</f>
        <v>NON-INFRASTRUKTUR</v>
      </c>
      <c r="D182" s="10">
        <f>DATA!E175</f>
        <v>9</v>
      </c>
      <c r="E182" s="10" t="str">
        <f>DATA!F175</f>
        <v>Kementerian Agama</v>
      </c>
      <c r="F182" s="10" t="str">
        <f>DATA!H175</f>
        <v>Improving Access, Quality, Relevance, and Competitiveness of Islamic Higher Education Program</v>
      </c>
      <c r="G182" s="10" t="str">
        <f>DATA!I175</f>
        <v>A</v>
      </c>
      <c r="H182" s="10" t="str">
        <f>DATA!J175</f>
        <v>Program Peningkatan Akses, Kualitas, Relevansi, dan Daya Saing Pendidikan Tinggi Islam</v>
      </c>
      <c r="I182" s="10">
        <f>DATA!K175</f>
        <v>1</v>
      </c>
      <c r="J182" s="254"/>
      <c r="K182" s="34"/>
      <c r="L182" s="34"/>
      <c r="M182" s="172">
        <v>118</v>
      </c>
      <c r="N182" s="37" t="str">
        <f>DATA!L175</f>
        <v>Improvement Access and Quality of State Islamic Institute  Suthan Maulana Hasanuddin Banten</v>
      </c>
      <c r="O182" s="187">
        <f>DATA!T175</f>
        <v>40000000</v>
      </c>
      <c r="P182" s="187">
        <f>DATA!U175</f>
        <v>40000000</v>
      </c>
      <c r="Q182" s="1453">
        <f>DATA!V175</f>
        <v>5985000</v>
      </c>
      <c r="R182" s="1453">
        <f>DATA!W175</f>
        <v>0</v>
      </c>
      <c r="S182" s="2467">
        <f t="shared" si="12"/>
        <v>45985000</v>
      </c>
      <c r="T182" s="2468"/>
      <c r="U182" s="1449" t="str">
        <f>DATA!Y175</f>
        <v>IDB</v>
      </c>
      <c r="V182" s="77">
        <f>DATA!AA175</f>
        <v>40000000</v>
      </c>
      <c r="W182" s="77">
        <v>0</v>
      </c>
      <c r="X182" s="216" t="str">
        <f>DATA!Y175</f>
        <v>IDB</v>
      </c>
      <c r="Y182" s="245">
        <f>DATA!AT175</f>
        <v>40000000</v>
      </c>
      <c r="Z182" s="109" t="str">
        <f>DATA!AU175</f>
        <v>IDB</v>
      </c>
      <c r="AA182" s="216" t="str">
        <f>DATA!AW175</f>
        <v>-</v>
      </c>
      <c r="AB182" s="1625">
        <f>DATA!AM175</f>
        <v>2016</v>
      </c>
      <c r="AC182" s="1510" t="str">
        <f>DATA!AN175</f>
        <v>siap</v>
      </c>
      <c r="AD182" s="1511" t="str">
        <f>DATA!AO175</f>
        <v>siap</v>
      </c>
      <c r="AE182" s="1519">
        <f>DATA!AQ175</f>
        <v>0</v>
      </c>
      <c r="AF182" s="1531" t="str">
        <f>DATA!AR175</f>
        <v>-</v>
      </c>
    </row>
    <row r="183" spans="1:33" ht="35.25" customHeight="1">
      <c r="A183" s="10">
        <f>DATA!A176</f>
        <v>126</v>
      </c>
      <c r="B183" s="10">
        <f>DATA!B176</f>
        <v>0</v>
      </c>
      <c r="C183" s="10" t="str">
        <f>DATA!D176</f>
        <v>NON-INFRASTRUKTUR</v>
      </c>
      <c r="D183" s="10">
        <f>DATA!E176</f>
        <v>9</v>
      </c>
      <c r="E183" s="10" t="str">
        <f>DATA!F176</f>
        <v>Kementerian Agama</v>
      </c>
      <c r="F183" s="10" t="str">
        <f>DATA!H176</f>
        <v>Improving Access, Quality, Relevance, and Competitiveness of Islamic Higher Education Program</v>
      </c>
      <c r="G183" s="10" t="str">
        <f>DATA!I176</f>
        <v>A</v>
      </c>
      <c r="H183" s="10" t="str">
        <f>DATA!J176</f>
        <v>Program Peningkatan Akses, Kualitas, Relevansi, dan Daya Saing Pendidikan Tinggi Islam</v>
      </c>
      <c r="I183" s="10">
        <f>DATA!K176</f>
        <v>1</v>
      </c>
      <c r="J183" s="254"/>
      <c r="K183" s="34"/>
      <c r="L183" s="34"/>
      <c r="M183" s="172">
        <v>119</v>
      </c>
      <c r="N183" s="37" t="str">
        <f>DATA!L176</f>
        <v xml:space="preserve">Development and Quality Improvement  of Antasari State Islamic Institute </v>
      </c>
      <c r="O183" s="187">
        <f>DATA!T176</f>
        <v>39908600</v>
      </c>
      <c r="P183" s="187">
        <f>DATA!U176</f>
        <v>39908600</v>
      </c>
      <c r="Q183" s="1453">
        <f>DATA!V176</f>
        <v>10290700</v>
      </c>
      <c r="R183" s="1453">
        <f>DATA!W176</f>
        <v>0</v>
      </c>
      <c r="S183" s="2467">
        <f t="shared" si="12"/>
        <v>50199300</v>
      </c>
      <c r="T183" s="2468"/>
      <c r="U183" s="1449" t="str">
        <f>DATA!Y176</f>
        <v>IDB</v>
      </c>
      <c r="V183" s="77">
        <f>DATA!AA176</f>
        <v>39900000</v>
      </c>
      <c r="W183" s="77">
        <v>0</v>
      </c>
      <c r="X183" s="216" t="str">
        <f>DATA!Y176</f>
        <v>IDB</v>
      </c>
      <c r="Y183" s="245">
        <f>DATA!AT176</f>
        <v>39900000</v>
      </c>
      <c r="Z183" s="109" t="str">
        <f>DATA!AU176</f>
        <v>IDB</v>
      </c>
      <c r="AA183" s="216" t="str">
        <f>DATA!AW176</f>
        <v>-</v>
      </c>
      <c r="AB183" s="1625">
        <f>DATA!AM176</f>
        <v>2016</v>
      </c>
      <c r="AC183" s="1510" t="str">
        <f>DATA!AN176</f>
        <v>siap</v>
      </c>
      <c r="AD183" s="1511" t="str">
        <f>DATA!AO176</f>
        <v>siap</v>
      </c>
      <c r="AE183" s="1519">
        <f>DATA!AQ176</f>
        <v>0</v>
      </c>
      <c r="AF183" s="1531" t="str">
        <f>DATA!AR176</f>
        <v>-</v>
      </c>
    </row>
    <row r="184" spans="1:33" ht="39.75" customHeight="1">
      <c r="A184" s="10">
        <f>DATA!A177</f>
        <v>127</v>
      </c>
      <c r="B184" s="10">
        <f>DATA!B177</f>
        <v>0</v>
      </c>
      <c r="C184" s="10" t="str">
        <f>DATA!D177</f>
        <v>NON-INFRASTRUKTUR</v>
      </c>
      <c r="D184" s="10" t="str">
        <f>DATA!E177</f>
        <v>z</v>
      </c>
      <c r="E184" s="10" t="str">
        <f>DATA!F177</f>
        <v>Kementerian Agama</v>
      </c>
      <c r="F184" s="10" t="str">
        <f>DATA!H177</f>
        <v>Improving Access, Quality, Relevance, and Competitiveness of Islamic Higher Education Program</v>
      </c>
      <c r="G184" s="10" t="str">
        <f>DATA!I177</f>
        <v>A</v>
      </c>
      <c r="H184" s="10" t="str">
        <f>DATA!J177</f>
        <v>Program Peningkatan Akses, Kualitas, Relevansi, dan Daya Saing Pendidikan Tinggi Islam</v>
      </c>
      <c r="I184" s="10">
        <f>DATA!K177</f>
        <v>1</v>
      </c>
      <c r="J184" s="254"/>
      <c r="K184" s="34"/>
      <c r="L184" s="34"/>
      <c r="M184" s="172">
        <v>120</v>
      </c>
      <c r="N184" s="37" t="str">
        <f>DATA!L177</f>
        <v xml:space="preserve">Tranformation of State Islamic Institute  Sulthan Thaha Saifuddin to State Islamic University </v>
      </c>
      <c r="O184" s="187">
        <f>DATA!T177</f>
        <v>40000000</v>
      </c>
      <c r="P184" s="187">
        <f>DATA!U177</f>
        <v>40000000</v>
      </c>
      <c r="Q184" s="1453">
        <f>DATA!V177</f>
        <v>10000000</v>
      </c>
      <c r="R184" s="1453">
        <f>DATA!W177</f>
        <v>0</v>
      </c>
      <c r="S184" s="2467">
        <f t="shared" si="12"/>
        <v>50000000</v>
      </c>
      <c r="T184" s="2468"/>
      <c r="U184" s="1449" t="str">
        <f>DATA!Y177</f>
        <v>IDB</v>
      </c>
      <c r="V184" s="77">
        <f>DATA!AA177</f>
        <v>40000000</v>
      </c>
      <c r="W184" s="77">
        <v>0</v>
      </c>
      <c r="X184" s="216" t="str">
        <f>DATA!Y177</f>
        <v>IDB</v>
      </c>
      <c r="Y184" s="245">
        <f>DATA!AT177</f>
        <v>40000000</v>
      </c>
      <c r="Z184" s="109" t="str">
        <f>DATA!AU177</f>
        <v>IDB</v>
      </c>
      <c r="AA184" s="216" t="str">
        <f>DATA!AW177</f>
        <v>-</v>
      </c>
      <c r="AB184" s="1625">
        <f>DATA!AM177</f>
        <v>2016</v>
      </c>
      <c r="AC184" s="1510" t="str">
        <f>DATA!AN177</f>
        <v>siap</v>
      </c>
      <c r="AD184" s="1511" t="str">
        <f>DATA!AO177</f>
        <v>siap</v>
      </c>
      <c r="AE184" s="1519">
        <f>DATA!AQ177</f>
        <v>0</v>
      </c>
      <c r="AF184" s="1531" t="str">
        <f>DATA!AR177</f>
        <v>-</v>
      </c>
    </row>
    <row r="185" spans="1:33" ht="42" customHeight="1">
      <c r="A185" s="10">
        <f>DATA!A178</f>
        <v>128</v>
      </c>
      <c r="B185" s="10">
        <f>DATA!B178</f>
        <v>0</v>
      </c>
      <c r="C185" s="10" t="str">
        <f>DATA!D178</f>
        <v>NON-INFRASTRUKTUR</v>
      </c>
      <c r="D185" s="10">
        <f>DATA!E178</f>
        <v>9</v>
      </c>
      <c r="E185" s="10" t="str">
        <f>DATA!F178</f>
        <v>Kementerian Agama</v>
      </c>
      <c r="F185" s="10" t="str">
        <f>DATA!H178</f>
        <v>Improving Access, Quality, Relevance, and Competitiveness of Islamic Higher Education Program</v>
      </c>
      <c r="G185" s="10" t="str">
        <f>DATA!I178</f>
        <v>A</v>
      </c>
      <c r="H185" s="10" t="str">
        <f>DATA!J178</f>
        <v>Program Peningkatan Akses, Kualitas, Relevansi, dan Daya Saing Pendidikan Tinggi Islam</v>
      </c>
      <c r="I185" s="10">
        <f>DATA!K178</f>
        <v>1</v>
      </c>
      <c r="J185" s="254"/>
      <c r="K185" s="34"/>
      <c r="L185" s="34"/>
      <c r="M185" s="172">
        <v>121</v>
      </c>
      <c r="N185" s="37" t="str">
        <f>DATA!L178</f>
        <v>Development and Institutional Transformation of State Islamic Institute  Raden Intan Lampung</v>
      </c>
      <c r="O185" s="187">
        <f>DATA!T178</f>
        <v>40000000</v>
      </c>
      <c r="P185" s="187">
        <f>DATA!U178</f>
        <v>40000000</v>
      </c>
      <c r="Q185" s="1453">
        <f>DATA!V178</f>
        <v>10000000</v>
      </c>
      <c r="R185" s="1453">
        <f>DATA!W178</f>
        <v>0</v>
      </c>
      <c r="S185" s="2467">
        <f t="shared" si="12"/>
        <v>50000000</v>
      </c>
      <c r="T185" s="2468"/>
      <c r="U185" s="1449" t="str">
        <f>DATA!Y178</f>
        <v>IDB</v>
      </c>
      <c r="V185" s="77">
        <f>DATA!AA178</f>
        <v>40000000</v>
      </c>
      <c r="W185" s="77">
        <v>0</v>
      </c>
      <c r="X185" s="216" t="str">
        <f>DATA!Y178</f>
        <v>IDB</v>
      </c>
      <c r="Y185" s="245">
        <f>DATA!AT178</f>
        <v>40000000</v>
      </c>
      <c r="Z185" s="109" t="str">
        <f>DATA!AU178</f>
        <v>IDB</v>
      </c>
      <c r="AA185" s="216" t="str">
        <f>DATA!AW178</f>
        <v>-</v>
      </c>
      <c r="AB185" s="1625">
        <f>DATA!AM178</f>
        <v>2016</v>
      </c>
      <c r="AC185" s="1510" t="str">
        <f>DATA!AN178</f>
        <v>siap</v>
      </c>
      <c r="AD185" s="1511" t="str">
        <f>DATA!AO178</f>
        <v>siap</v>
      </c>
      <c r="AE185" s="1519">
        <f>DATA!AQ178</f>
        <v>0</v>
      </c>
      <c r="AF185" s="1531" t="str">
        <f>DATA!AR178</f>
        <v>-</v>
      </c>
    </row>
    <row r="186" spans="1:33" ht="36" customHeight="1">
      <c r="A186" s="10">
        <f>DATA!A179</f>
        <v>123</v>
      </c>
      <c r="B186" s="10">
        <f>DATA!B179</f>
        <v>0</v>
      </c>
      <c r="C186" s="10" t="str">
        <f>DATA!D179</f>
        <v>NON-INFRASTRUKTUR</v>
      </c>
      <c r="D186" s="10">
        <f>DATA!E179</f>
        <v>9</v>
      </c>
      <c r="E186" s="10" t="str">
        <f>DATA!F179</f>
        <v>Kementerian Agama</v>
      </c>
      <c r="F186" s="10" t="str">
        <f>DATA!H179</f>
        <v>Improving Access, Quality, Relevance, and Competitiveness of Islamic Higher Education Program</v>
      </c>
      <c r="G186" s="10" t="str">
        <f>DATA!I179</f>
        <v>A</v>
      </c>
      <c r="H186" s="10" t="str">
        <f>DATA!J179</f>
        <v>Program Peningkatan Akses, Kualitas, Relevansi, dan Daya Saing Pendidikan Tinggi Islam</v>
      </c>
      <c r="I186" s="10">
        <f>DATA!K179</f>
        <v>1</v>
      </c>
      <c r="J186" s="254"/>
      <c r="K186" s="34"/>
      <c r="L186" s="34"/>
      <c r="M186" s="172">
        <v>122</v>
      </c>
      <c r="N186" s="37" t="str">
        <f>DATA!L179</f>
        <v xml:space="preserve">Development of Imam Bonjol State Islamic Institute Project </v>
      </c>
      <c r="O186" s="187">
        <f>DATA!T179</f>
        <v>38301400</v>
      </c>
      <c r="P186" s="187">
        <f>DATA!U179</f>
        <v>38301400</v>
      </c>
      <c r="Q186" s="1453">
        <f>DATA!V179</f>
        <v>4171400</v>
      </c>
      <c r="R186" s="1453">
        <f>DATA!W179</f>
        <v>0</v>
      </c>
      <c r="S186" s="2467">
        <f t="shared" si="12"/>
        <v>42472800</v>
      </c>
      <c r="T186" s="2468"/>
      <c r="U186" s="1449" t="str">
        <f>DATA!Y179</f>
        <v>IDB</v>
      </c>
      <c r="V186" s="77">
        <f>DATA!AA179</f>
        <v>38310000</v>
      </c>
      <c r="W186" s="77">
        <v>0</v>
      </c>
      <c r="X186" s="216" t="str">
        <f>DATA!Y179</f>
        <v>IDB</v>
      </c>
      <c r="Y186" s="245">
        <f>DATA!AT179</f>
        <v>38310000</v>
      </c>
      <c r="Z186" s="109" t="str">
        <f>DATA!AU179</f>
        <v>IDB</v>
      </c>
      <c r="AA186" s="216" t="str">
        <f>DATA!AW179</f>
        <v>-</v>
      </c>
      <c r="AB186" s="1625">
        <f>DATA!AM179</f>
        <v>2016</v>
      </c>
      <c r="AC186" s="1510" t="str">
        <f>DATA!AN179</f>
        <v>siap</v>
      </c>
      <c r="AD186" s="1511" t="str">
        <f>DATA!AO179</f>
        <v>siap</v>
      </c>
      <c r="AE186" s="1519">
        <f>DATA!AQ179</f>
        <v>0</v>
      </c>
      <c r="AF186" s="1531" t="str">
        <f>DATA!AR179</f>
        <v>-</v>
      </c>
    </row>
    <row r="187" spans="1:33" ht="45.75" customHeight="1">
      <c r="J187" s="254"/>
      <c r="K187" s="54"/>
      <c r="L187" s="54"/>
      <c r="M187" s="172">
        <v>123</v>
      </c>
      <c r="N187" s="37" t="str">
        <f>DATA!L180</f>
        <v>The Development of UIN Maulana Malik Ibrahim Malang - Phase II</v>
      </c>
      <c r="O187" s="187">
        <f>DATA!T180</f>
        <v>0</v>
      </c>
      <c r="P187" s="187">
        <f>DATA!U180</f>
        <v>59935500</v>
      </c>
      <c r="Q187" s="1453">
        <f>DATA!V180</f>
        <v>10404300</v>
      </c>
      <c r="R187" s="1453">
        <f>DATA!W180</f>
        <v>0</v>
      </c>
      <c r="S187" s="2467">
        <f t="shared" si="12"/>
        <v>70339800</v>
      </c>
      <c r="T187" s="2486" t="s">
        <v>1104</v>
      </c>
      <c r="U187" s="1449"/>
      <c r="V187" s="77">
        <v>0</v>
      </c>
      <c r="W187" s="77">
        <f>DATA!AA180</f>
        <v>59935500</v>
      </c>
      <c r="X187" s="216" t="str">
        <f>DATA!Y180</f>
        <v>Belum Ada Indikasi</v>
      </c>
      <c r="Y187" s="245">
        <f>DATA!AT180</f>
        <v>59935500</v>
      </c>
      <c r="Z187" s="109" t="str">
        <f>DATA!AU180</f>
        <v>Belum Ada Indikasi</v>
      </c>
      <c r="AA187" s="216">
        <f>DATA!AW180</f>
        <v>0</v>
      </c>
      <c r="AB187" s="245">
        <f>DATA!AM180</f>
        <v>0</v>
      </c>
      <c r="AC187" s="1510" t="str">
        <f>DATA!AN180</f>
        <v>belum ada keterangan</v>
      </c>
      <c r="AD187" s="1511" t="str">
        <f>DATA!AO180</f>
        <v>belum ada keterangan</v>
      </c>
      <c r="AE187" s="1519">
        <f>DATA!AQ180</f>
        <v>0</v>
      </c>
      <c r="AF187" s="1531">
        <f>DATA!AR180</f>
        <v>0</v>
      </c>
      <c r="AG187" s="4"/>
    </row>
    <row r="188" spans="1:33" s="4" customFormat="1" ht="24.95" customHeight="1">
      <c r="J188" s="2498"/>
      <c r="K188" s="25">
        <v>12</v>
      </c>
      <c r="L188" s="108" t="str">
        <f>DATA!F181</f>
        <v>Kementerian PPN/Bappenas</v>
      </c>
      <c r="M188" s="25"/>
      <c r="N188" s="27"/>
      <c r="O188" s="194">
        <f>O189</f>
        <v>300000000</v>
      </c>
      <c r="P188" s="194">
        <f>P189</f>
        <v>300000000</v>
      </c>
      <c r="Q188" s="194">
        <f t="shared" ref="O188:R189" si="13">+Q189</f>
        <v>0</v>
      </c>
      <c r="R188" s="194">
        <f t="shared" si="13"/>
        <v>0</v>
      </c>
      <c r="S188" s="194">
        <f t="shared" si="12"/>
        <v>300000000</v>
      </c>
      <c r="T188" s="2484"/>
      <c r="U188" s="195"/>
      <c r="V188" s="80">
        <f t="shared" ref="V188:Y189" si="14">+V189</f>
        <v>300000000</v>
      </c>
      <c r="W188" s="80">
        <f t="shared" si="14"/>
        <v>0</v>
      </c>
      <c r="X188" s="213"/>
      <c r="Y188" s="242">
        <f t="shared" si="14"/>
        <v>300000000</v>
      </c>
      <c r="Z188" s="80" t="s">
        <v>21</v>
      </c>
      <c r="AA188" s="213"/>
      <c r="AB188" s="1501"/>
      <c r="AC188" s="1502"/>
      <c r="AD188" s="168"/>
      <c r="AE188" s="1503"/>
      <c r="AF188" s="1529"/>
      <c r="AG188" s="5"/>
    </row>
    <row r="189" spans="1:33" s="5" customFormat="1" ht="33.75" customHeight="1">
      <c r="J189" s="1594"/>
      <c r="K189" s="29"/>
      <c r="L189" s="30" t="str">
        <f>DATA!I181</f>
        <v>A</v>
      </c>
      <c r="M189" s="3427" t="str">
        <f>DATA!J181</f>
        <v>Program Pengembangan Sumber Daya Aparatur  dalam Rangka Reformasi Birokrasi</v>
      </c>
      <c r="N189" s="3428"/>
      <c r="O189" s="197">
        <f t="shared" si="13"/>
        <v>300000000</v>
      </c>
      <c r="P189" s="197">
        <f t="shared" si="13"/>
        <v>300000000</v>
      </c>
      <c r="Q189" s="1436">
        <f t="shared" si="13"/>
        <v>0</v>
      </c>
      <c r="R189" s="1436">
        <f t="shared" si="13"/>
        <v>0</v>
      </c>
      <c r="S189" s="1559">
        <f t="shared" si="12"/>
        <v>300000000</v>
      </c>
      <c r="T189" s="2463"/>
      <c r="U189" s="198"/>
      <c r="V189" s="81">
        <f t="shared" si="14"/>
        <v>300000000</v>
      </c>
      <c r="W189" s="81">
        <f t="shared" si="14"/>
        <v>0</v>
      </c>
      <c r="X189" s="214"/>
      <c r="Y189" s="244">
        <f t="shared" si="14"/>
        <v>300000000</v>
      </c>
      <c r="Z189" s="81" t="s">
        <v>21</v>
      </c>
      <c r="AA189" s="214"/>
      <c r="AB189" s="1505"/>
      <c r="AC189" s="1506"/>
      <c r="AD189" s="169"/>
      <c r="AE189" s="1507"/>
      <c r="AF189" s="1530"/>
      <c r="AG189" s="10"/>
    </row>
    <row r="190" spans="1:33" ht="47.25" customHeight="1">
      <c r="A190" s="10">
        <f>DATA!A181</f>
        <v>129</v>
      </c>
      <c r="B190" s="10">
        <f>DATA!B181</f>
        <v>0</v>
      </c>
      <c r="C190" s="10" t="str">
        <f>DATA!D181</f>
        <v>NON-INFRASTRUKTUR</v>
      </c>
      <c r="D190" s="10">
        <f>DATA!E181</f>
        <v>10</v>
      </c>
      <c r="E190" s="10" t="str">
        <f>DATA!F181</f>
        <v>Kementerian PPN/Bappenas</v>
      </c>
      <c r="F190" s="10" t="str">
        <f>DATA!H181</f>
        <v>Human Resources Development for Bureaucracy Reform Program</v>
      </c>
      <c r="G190" s="10" t="str">
        <f>DATA!I181</f>
        <v>A</v>
      </c>
      <c r="H190" s="10" t="str">
        <f>DATA!J181</f>
        <v>Program Pengembangan Sumber Daya Aparatur  dalam Rangka Reformasi Birokrasi</v>
      </c>
      <c r="I190" s="10">
        <f>DATA!K181</f>
        <v>1</v>
      </c>
      <c r="J190" s="254"/>
      <c r="K190" s="54"/>
      <c r="L190" s="34"/>
      <c r="M190" s="33">
        <v>124</v>
      </c>
      <c r="N190" s="37" t="str">
        <f>DATA!L181</f>
        <v>Development of Capacity, Quality, and Competency of Human Resources for Government Officer</v>
      </c>
      <c r="O190" s="187">
        <f>DATA!T181</f>
        <v>300000000</v>
      </c>
      <c r="P190" s="187">
        <f>DATA!U181</f>
        <v>300000000</v>
      </c>
      <c r="Q190" s="1446">
        <f>DATA!V181</f>
        <v>0</v>
      </c>
      <c r="R190" s="1446">
        <f>DATA!W181</f>
        <v>0</v>
      </c>
      <c r="S190" s="2467">
        <f t="shared" si="12"/>
        <v>300000000</v>
      </c>
      <c r="T190" s="2468"/>
      <c r="U190" s="1449" t="str">
        <f>DATA!Y181</f>
        <v>Bank Dunia</v>
      </c>
      <c r="V190" s="77">
        <f>DATA!AA181</f>
        <v>300000000</v>
      </c>
      <c r="W190" s="77"/>
      <c r="X190" s="216" t="str">
        <f>DATA!Y181</f>
        <v>Bank Dunia</v>
      </c>
      <c r="Y190" s="245">
        <f>DATA!AT181</f>
        <v>300000000</v>
      </c>
      <c r="Z190" s="109" t="str">
        <f>DATA!AU181</f>
        <v>Bank Dunia</v>
      </c>
      <c r="AA190" s="216" t="str">
        <f>DATA!AW181</f>
        <v>-</v>
      </c>
      <c r="AB190" s="245">
        <f>DATA!AM181</f>
        <v>0</v>
      </c>
      <c r="AC190" s="1510" t="str">
        <f>DATA!AN181</f>
        <v>dalam proses
(penyusunan FS)</v>
      </c>
      <c r="AD190" s="1511" t="str">
        <f>DATA!AO181</f>
        <v>tidak butuh lahan</v>
      </c>
      <c r="AE190" s="1519">
        <f>DATA!AQ181</f>
        <v>0</v>
      </c>
      <c r="AF190" s="1531" t="str">
        <f>DATA!AR181</f>
        <v>belum ada dokumen R/C</v>
      </c>
      <c r="AG190" s="4"/>
    </row>
    <row r="191" spans="1:33" s="4" customFormat="1" ht="24.95" customHeight="1">
      <c r="J191" s="2498"/>
      <c r="K191" s="25">
        <v>13</v>
      </c>
      <c r="L191" s="108" t="str">
        <f>DATA!F182</f>
        <v>Kementerian Kesehatan</v>
      </c>
      <c r="M191" s="25"/>
      <c r="N191" s="27"/>
      <c r="O191" s="194">
        <f>+O192+O194+O196+O198</f>
        <v>1746000000</v>
      </c>
      <c r="P191" s="194">
        <f>+P192+P194+P196+P198</f>
        <v>1746000000</v>
      </c>
      <c r="Q191" s="2442">
        <f>+Q192+Q194+Q196+Q198</f>
        <v>174600000</v>
      </c>
      <c r="R191" s="2442">
        <f>+R192+R194+R196+R198</f>
        <v>0</v>
      </c>
      <c r="S191" s="194">
        <f t="shared" si="12"/>
        <v>1920600000</v>
      </c>
      <c r="T191" s="2484"/>
      <c r="U191" s="195"/>
      <c r="V191" s="80">
        <f>+V192+V194+V196+V198</f>
        <v>990400000</v>
      </c>
      <c r="W191" s="80">
        <f>+W192+W194+W196+W198</f>
        <v>755600000</v>
      </c>
      <c r="X191" s="213">
        <f>+X192+X194+X196+X198</f>
        <v>0</v>
      </c>
      <c r="Y191" s="242">
        <f>+Y192+Y194+Y196+Y198</f>
        <v>1746000000</v>
      </c>
      <c r="Z191" s="80" t="s">
        <v>21</v>
      </c>
      <c r="AA191" s="213"/>
      <c r="AB191" s="1501"/>
      <c r="AC191" s="1502"/>
      <c r="AD191" s="168"/>
      <c r="AE191" s="1503"/>
      <c r="AF191" s="1529"/>
      <c r="AG191" s="5"/>
    </row>
    <row r="192" spans="1:33" s="5" customFormat="1" ht="33.75" customHeight="1">
      <c r="J192" s="1594"/>
      <c r="K192" s="29"/>
      <c r="L192" s="30" t="str">
        <f>DATA!I181</f>
        <v>A</v>
      </c>
      <c r="M192" s="31" t="str">
        <f>DATA!J182</f>
        <v>Program Pelayanan Kesehatan Dasar</v>
      </c>
      <c r="N192" s="51"/>
      <c r="O192" s="197">
        <f>+O193</f>
        <v>150000000</v>
      </c>
      <c r="P192" s="197">
        <f>+P193</f>
        <v>150000000</v>
      </c>
      <c r="Q192" s="1436">
        <f>+Q193</f>
        <v>15000000</v>
      </c>
      <c r="R192" s="1436">
        <f>+R193</f>
        <v>0</v>
      </c>
      <c r="S192" s="1559">
        <f t="shared" si="12"/>
        <v>165000000</v>
      </c>
      <c r="T192" s="2463"/>
      <c r="U192" s="198"/>
      <c r="V192" s="81">
        <f>+V193</f>
        <v>150000000</v>
      </c>
      <c r="W192" s="81">
        <f>+W193</f>
        <v>0</v>
      </c>
      <c r="X192" s="214"/>
      <c r="Y192" s="244">
        <f>+Y193</f>
        <v>150000000</v>
      </c>
      <c r="Z192" s="81" t="s">
        <v>21</v>
      </c>
      <c r="AA192" s="214"/>
      <c r="AB192" s="1505"/>
      <c r="AC192" s="1506"/>
      <c r="AD192" s="169"/>
      <c r="AE192" s="1507"/>
      <c r="AF192" s="1530"/>
      <c r="AG192" s="10"/>
    </row>
    <row r="193" spans="1:33" ht="24" customHeight="1">
      <c r="A193" s="10">
        <f>DATA!A182</f>
        <v>130</v>
      </c>
      <c r="B193" s="10">
        <f>DATA!B182</f>
        <v>0</v>
      </c>
      <c r="C193" s="10" t="str">
        <f>DATA!D182</f>
        <v>NON-INFRASTRUKTUR</v>
      </c>
      <c r="D193" s="10">
        <f>DATA!E182</f>
        <v>11</v>
      </c>
      <c r="E193" s="10" t="str">
        <f>DATA!F182</f>
        <v>Kementerian Kesehatan</v>
      </c>
      <c r="F193" s="10" t="str">
        <f>DATA!H182</f>
        <v>Basic Health Care Program</v>
      </c>
      <c r="G193" s="10" t="str">
        <f>DATA!I182</f>
        <v>A</v>
      </c>
      <c r="H193" s="10" t="str">
        <f>DATA!J182</f>
        <v>Program Pelayanan Kesehatan Dasar</v>
      </c>
      <c r="I193" s="10">
        <f>DATA!K182</f>
        <v>1</v>
      </c>
      <c r="J193" s="254"/>
      <c r="K193" s="34"/>
      <c r="L193" s="54"/>
      <c r="M193" s="52">
        <v>125</v>
      </c>
      <c r="N193" s="37" t="str">
        <f>DATA!L182</f>
        <v>Improvement of Primary Health Care</v>
      </c>
      <c r="O193" s="187">
        <f>DATA!T182</f>
        <v>150000000</v>
      </c>
      <c r="P193" s="187">
        <f>DATA!U182</f>
        <v>150000000</v>
      </c>
      <c r="Q193" s="1446">
        <f>DATA!V182</f>
        <v>15000000</v>
      </c>
      <c r="R193" s="1446">
        <f>DATA!W182</f>
        <v>0</v>
      </c>
      <c r="S193" s="2467">
        <f t="shared" si="12"/>
        <v>165000000</v>
      </c>
      <c r="T193" s="2468"/>
      <c r="U193" s="1449" t="str">
        <f>DATA!Y182</f>
        <v>Bank Dunia</v>
      </c>
      <c r="V193" s="77">
        <f>DATA!AA182</f>
        <v>150000000</v>
      </c>
      <c r="W193" s="77"/>
      <c r="X193" s="216" t="str">
        <f>DATA!Y182</f>
        <v>Bank Dunia</v>
      </c>
      <c r="Y193" s="245">
        <f>DATA!AT182</f>
        <v>150000000</v>
      </c>
      <c r="Z193" s="109" t="str">
        <f>DATA!AU182</f>
        <v>Bank Dunia</v>
      </c>
      <c r="AA193" s="216" t="str">
        <f>DATA!AW182</f>
        <v>-</v>
      </c>
      <c r="AB193" s="245">
        <f>DATA!AM182</f>
        <v>0</v>
      </c>
      <c r="AC193" s="1510" t="str">
        <f>DATA!AN182</f>
        <v>belum ada keterangan</v>
      </c>
      <c r="AD193" s="1511" t="str">
        <f>DATA!AO182</f>
        <v>tidak butuh lahan</v>
      </c>
      <c r="AE193" s="1519">
        <f>DATA!AQ182</f>
        <v>0</v>
      </c>
      <c r="AF193" s="1531" t="str">
        <f>DATA!AR182</f>
        <v>belum ada dokumen R/C</v>
      </c>
      <c r="AG193" s="5"/>
    </row>
    <row r="194" spans="1:33" s="5" customFormat="1" ht="33.75" customHeight="1">
      <c r="J194" s="1594"/>
      <c r="K194" s="50"/>
      <c r="L194" s="30" t="str">
        <f>DATA!I183</f>
        <v>B</v>
      </c>
      <c r="M194" s="3427" t="str">
        <f>DATA!J183</f>
        <v>Program Pengembangan Sumber Daya Manusia Kesehatan</v>
      </c>
      <c r="N194" s="3428"/>
      <c r="O194" s="197">
        <f>+O195</f>
        <v>240000000</v>
      </c>
      <c r="P194" s="197">
        <f>+P195</f>
        <v>240000000</v>
      </c>
      <c r="Q194" s="1436">
        <f>+Q195</f>
        <v>24000000</v>
      </c>
      <c r="R194" s="1436">
        <f>+R195</f>
        <v>0</v>
      </c>
      <c r="S194" s="1559">
        <f t="shared" si="12"/>
        <v>264000000</v>
      </c>
      <c r="T194" s="2463"/>
      <c r="U194" s="198"/>
      <c r="V194" s="81">
        <f>+V195</f>
        <v>240000000</v>
      </c>
      <c r="W194" s="81">
        <f>+W195</f>
        <v>0</v>
      </c>
      <c r="X194" s="214"/>
      <c r="Y194" s="244">
        <f>+Y195</f>
        <v>240000000</v>
      </c>
      <c r="Z194" s="81" t="s">
        <v>21</v>
      </c>
      <c r="AA194" s="214"/>
      <c r="AB194" s="1505"/>
      <c r="AC194" s="1506"/>
      <c r="AD194" s="169"/>
      <c r="AE194" s="1507"/>
      <c r="AF194" s="1530"/>
      <c r="AG194" s="10"/>
    </row>
    <row r="195" spans="1:33" ht="37.5" customHeight="1">
      <c r="A195" s="10">
        <f>DATA!A183</f>
        <v>131</v>
      </c>
      <c r="B195" s="10">
        <f>DATA!B183</f>
        <v>0</v>
      </c>
      <c r="C195" s="10" t="str">
        <f>DATA!D183</f>
        <v>NON-INFRASTRUKTUR</v>
      </c>
      <c r="D195" s="10">
        <f>DATA!E183</f>
        <v>11</v>
      </c>
      <c r="E195" s="10" t="str">
        <f>DATA!F183</f>
        <v>Kementerian Kesehatan</v>
      </c>
      <c r="F195" s="10" t="str">
        <f>DATA!H183</f>
        <v>Program for Human Resources Development in Health Sector</v>
      </c>
      <c r="G195" s="10" t="str">
        <f>DATA!I183</f>
        <v>B</v>
      </c>
      <c r="H195" s="10" t="str">
        <f>DATA!J183</f>
        <v>Program Pengembangan Sumber Daya Manusia Kesehatan</v>
      </c>
      <c r="I195" s="10">
        <f>DATA!K183</f>
        <v>1</v>
      </c>
      <c r="J195" s="254"/>
      <c r="K195" s="34"/>
      <c r="L195" s="20"/>
      <c r="M195" s="36">
        <v>126</v>
      </c>
      <c r="N195" s="37" t="str">
        <f>DATA!L183</f>
        <v>Improvement of Facilities and Infrastructure for Teaching and Learning Activities in Health Sector</v>
      </c>
      <c r="O195" s="187">
        <f>DATA!T183</f>
        <v>240000000</v>
      </c>
      <c r="P195" s="187">
        <f>DATA!U183</f>
        <v>240000000</v>
      </c>
      <c r="Q195" s="1446">
        <f>DATA!V183</f>
        <v>24000000</v>
      </c>
      <c r="R195" s="1446">
        <f>DATA!W183</f>
        <v>0</v>
      </c>
      <c r="S195" s="2467">
        <f t="shared" si="12"/>
        <v>264000000</v>
      </c>
      <c r="T195" s="2468"/>
      <c r="U195" s="1449" t="str">
        <f>DATA!Y183</f>
        <v>IDB</v>
      </c>
      <c r="V195" s="77">
        <f>DATA!AA183</f>
        <v>240000000</v>
      </c>
      <c r="W195" s="77">
        <f>DATA!AG183</f>
        <v>0</v>
      </c>
      <c r="X195" s="216" t="str">
        <f>DATA!Y183</f>
        <v>IDB</v>
      </c>
      <c r="Y195" s="245">
        <f>DATA!AT183</f>
        <v>240000000</v>
      </c>
      <c r="Z195" s="109" t="str">
        <f>DATA!AU183</f>
        <v>IDB</v>
      </c>
      <c r="AA195" s="216" t="str">
        <f>DATA!AW183</f>
        <v>-</v>
      </c>
      <c r="AB195" s="245">
        <f>DATA!AM183</f>
        <v>0</v>
      </c>
      <c r="AC195" s="1510" t="str">
        <f>DATA!AN183</f>
        <v>dalam proses
(memiliki FS dan DED)</v>
      </c>
      <c r="AD195" s="1511" t="str">
        <f>DATA!AO183</f>
        <v>siap</v>
      </c>
      <c r="AE195" s="1519">
        <f>DATA!AQ183</f>
        <v>0</v>
      </c>
      <c r="AF195" s="1533" t="str">
        <f>DATA!AR183</f>
        <v>penyiapan dokumen R/C</v>
      </c>
      <c r="AG195" s="5"/>
    </row>
    <row r="196" spans="1:33" s="5" customFormat="1" ht="37.5" customHeight="1">
      <c r="J196" s="1594"/>
      <c r="K196" s="50"/>
      <c r="L196" s="30" t="str">
        <f>DATA!I184</f>
        <v>C</v>
      </c>
      <c r="M196" s="3427" t="str">
        <f>DATA!J184</f>
        <v>Program Pengendalian Penyakit, Penyehatan Lingkungan, dan Penguatan Litbang Kesehatan</v>
      </c>
      <c r="N196" s="3428"/>
      <c r="O196" s="197">
        <f>+O197</f>
        <v>100400000</v>
      </c>
      <c r="P196" s="197">
        <f>+P197</f>
        <v>100400000</v>
      </c>
      <c r="Q196" s="1436">
        <f>+Q197</f>
        <v>10040000</v>
      </c>
      <c r="R196" s="1436">
        <f>+R197</f>
        <v>0</v>
      </c>
      <c r="S196" s="1559">
        <f t="shared" si="12"/>
        <v>110440000</v>
      </c>
      <c r="T196" s="2463"/>
      <c r="U196" s="198"/>
      <c r="V196" s="81">
        <f>+V197</f>
        <v>100400000</v>
      </c>
      <c r="W196" s="81">
        <f>+W197</f>
        <v>0</v>
      </c>
      <c r="X196" s="214"/>
      <c r="Y196" s="244">
        <f>+Y197</f>
        <v>100400000</v>
      </c>
      <c r="Z196" s="81" t="s">
        <v>21</v>
      </c>
      <c r="AA196" s="214"/>
      <c r="AB196" s="1505"/>
      <c r="AC196" s="1506"/>
      <c r="AD196" s="169"/>
      <c r="AE196" s="1507"/>
      <c r="AF196" s="1530"/>
      <c r="AG196" s="10"/>
    </row>
    <row r="197" spans="1:33" ht="48.75" customHeight="1">
      <c r="A197" s="10">
        <f>DATA!A184</f>
        <v>132</v>
      </c>
      <c r="B197" s="10">
        <f>DATA!B184</f>
        <v>0</v>
      </c>
      <c r="C197" s="10" t="str">
        <f>DATA!D184</f>
        <v>NON-INFRASTRUKTUR</v>
      </c>
      <c r="D197" s="10">
        <f>DATA!E184</f>
        <v>11</v>
      </c>
      <c r="E197" s="10" t="str">
        <f>DATA!F184</f>
        <v>Kementerian Kesehatan</v>
      </c>
      <c r="F197" s="10" t="str">
        <f>DATA!H184</f>
        <v>Program for Disease Control, Environmental Health, and Strengthening Health Research and Development</v>
      </c>
      <c r="G197" s="10" t="str">
        <f>DATA!I184</f>
        <v>C</v>
      </c>
      <c r="H197" s="10" t="str">
        <f>DATA!J184</f>
        <v>Program Pengendalian Penyakit, Penyehatan Lingkungan, dan Penguatan Litbang Kesehatan</v>
      </c>
      <c r="I197" s="10">
        <f>DATA!K184</f>
        <v>1</v>
      </c>
      <c r="J197" s="254"/>
      <c r="K197" s="34"/>
      <c r="L197" s="20"/>
      <c r="M197" s="36">
        <v>127</v>
      </c>
      <c r="N197" s="37" t="str">
        <f>DATA!L184</f>
        <v>Improvement of Capacity on Disease Control, Environmental Health, and Strengthening Health’s Research and Development</v>
      </c>
      <c r="O197" s="187">
        <f>DATA!T184</f>
        <v>100400000</v>
      </c>
      <c r="P197" s="187">
        <f>DATA!U184</f>
        <v>100400000</v>
      </c>
      <c r="Q197" s="1446">
        <f>DATA!V184</f>
        <v>10040000</v>
      </c>
      <c r="R197" s="1446">
        <f>DATA!W184</f>
        <v>0</v>
      </c>
      <c r="S197" s="2467">
        <f t="shared" si="12"/>
        <v>110440000</v>
      </c>
      <c r="T197" s="2468"/>
      <c r="U197" s="1449" t="str">
        <f>DATA!Y184</f>
        <v>Jerman (KfW)</v>
      </c>
      <c r="V197" s="77">
        <f>DATA!AA184</f>
        <v>100400000</v>
      </c>
      <c r="W197" s="77">
        <f>DATA!AG184</f>
        <v>0</v>
      </c>
      <c r="X197" s="216" t="str">
        <f>DATA!Y184</f>
        <v>Jerman (KfW)</v>
      </c>
      <c r="Y197" s="245">
        <f>DATA!AT184</f>
        <v>100400000</v>
      </c>
      <c r="Z197" s="109" t="str">
        <f>DATA!AU184</f>
        <v>Jerman (KfW)</v>
      </c>
      <c r="AA197" s="216" t="str">
        <f>DATA!AW184</f>
        <v>-</v>
      </c>
      <c r="AB197" s="245">
        <f>DATA!AM184</f>
        <v>0</v>
      </c>
      <c r="AC197" s="1510" t="str">
        <f>DATA!AN184</f>
        <v>dalam proses
(memiliki)</v>
      </c>
      <c r="AD197" s="1511" t="str">
        <f>DATA!AO184</f>
        <v>dalam proses
(pelaksanaan)</v>
      </c>
      <c r="AE197" s="1519">
        <f>DATA!AQ184</f>
        <v>0</v>
      </c>
      <c r="AF197" s="1533" t="str">
        <f>DATA!AR184</f>
        <v>- tidak diketahui berapa persen proses pelaksanaannya
- penyiapan dokumen R/C</v>
      </c>
      <c r="AG197" s="5"/>
    </row>
    <row r="198" spans="1:33" s="5" customFormat="1" ht="33.75" customHeight="1">
      <c r="J198" s="1594"/>
      <c r="K198" s="50"/>
      <c r="L198" s="30" t="str">
        <f>DATA!I185</f>
        <v>D</v>
      </c>
      <c r="M198" s="31" t="str">
        <f>DATA!J185</f>
        <v>Program Pelayanan Kesehatan Rujukan</v>
      </c>
      <c r="N198" s="51"/>
      <c r="O198" s="197">
        <f>O199</f>
        <v>1255600000</v>
      </c>
      <c r="P198" s="197">
        <f>P199</f>
        <v>1255600000</v>
      </c>
      <c r="Q198" s="1436">
        <f>Q199</f>
        <v>125560000</v>
      </c>
      <c r="R198" s="1436">
        <f>R199</f>
        <v>0</v>
      </c>
      <c r="S198" s="1559">
        <f t="shared" si="12"/>
        <v>1381160000</v>
      </c>
      <c r="T198" s="2463"/>
      <c r="U198" s="198"/>
      <c r="V198" s="81">
        <f>V199+V200+V201</f>
        <v>500000000</v>
      </c>
      <c r="W198" s="81">
        <f>W199+W200+W201</f>
        <v>755600000</v>
      </c>
      <c r="X198" s="214"/>
      <c r="Y198" s="244">
        <f>Y199+Y200+Y201</f>
        <v>1255600000</v>
      </c>
      <c r="Z198" s="81" t="s">
        <v>21</v>
      </c>
      <c r="AA198" s="214"/>
      <c r="AB198" s="1505"/>
      <c r="AC198" s="1506"/>
      <c r="AD198" s="169"/>
      <c r="AE198" s="1507"/>
      <c r="AF198" s="1530"/>
      <c r="AG198" s="10"/>
    </row>
    <row r="199" spans="1:33" ht="17.25" customHeight="1">
      <c r="A199" s="10">
        <f>DATA!A186</f>
        <v>133</v>
      </c>
      <c r="B199" s="10">
        <f>DATA!B186</f>
        <v>0</v>
      </c>
      <c r="C199" s="10" t="str">
        <f>DATA!D186</f>
        <v>NON-INFRASTRUKTUR</v>
      </c>
      <c r="D199" s="10">
        <f>DATA!E186</f>
        <v>11</v>
      </c>
      <c r="E199" s="10" t="str">
        <f>DATA!F186</f>
        <v>Kementerian Kesehatan</v>
      </c>
      <c r="F199" s="10" t="str">
        <f>DATA!H186</f>
        <v>Referral Health Services Program</v>
      </c>
      <c r="G199" s="10" t="str">
        <f>DATA!I186</f>
        <v>D</v>
      </c>
      <c r="H199" s="10" t="str">
        <f>DATA!J186</f>
        <v>Program Pelayanan Kesehatan Rujukan</v>
      </c>
      <c r="I199" s="10">
        <f>DATA!K186</f>
        <v>1</v>
      </c>
      <c r="J199" s="254"/>
      <c r="K199" s="34"/>
      <c r="L199" s="34"/>
      <c r="M199" s="3390">
        <v>128</v>
      </c>
      <c r="N199" s="3393" t="str">
        <f>DATA!L186</f>
        <v>Strengthening of National Referral Hospitals, Province Referral Hospital and Vertical Technical Units</v>
      </c>
      <c r="O199" s="3408">
        <f>DATA!T185</f>
        <v>1255600000</v>
      </c>
      <c r="P199" s="3408">
        <f>DATA!U185</f>
        <v>1255600000</v>
      </c>
      <c r="Q199" s="3436">
        <f>DATA!V185</f>
        <v>125560000</v>
      </c>
      <c r="R199" s="3436">
        <f>DATA!W185</f>
        <v>0</v>
      </c>
      <c r="S199" s="3411">
        <f t="shared" si="12"/>
        <v>1381160000</v>
      </c>
      <c r="T199" s="2465"/>
      <c r="U199" s="1449" t="str">
        <f>DATA!Y186</f>
        <v>IDB</v>
      </c>
      <c r="V199" s="77">
        <f>DATA!AA186</f>
        <v>250000000</v>
      </c>
      <c r="W199" s="77"/>
      <c r="X199" s="216" t="str">
        <f>DATA!Y186</f>
        <v>IDB</v>
      </c>
      <c r="Y199" s="245">
        <f>DATA!AT186</f>
        <v>250000000</v>
      </c>
      <c r="Z199" s="109" t="str">
        <f>DATA!AU186</f>
        <v>IDB</v>
      </c>
      <c r="AA199" s="216" t="str">
        <f>DATA!AW186</f>
        <v>co-financing dengan Jerman (KfW) (USD 250 juta) dan belum ada indikasi (USD 755,6 juta)</v>
      </c>
      <c r="AB199" s="245">
        <f>DATA!AM186</f>
        <v>0</v>
      </c>
      <c r="AC199" s="3495" t="str">
        <f>DATA!AN186</f>
        <v>belum ada keterangan</v>
      </c>
      <c r="AD199" s="3502" t="str">
        <f>DATA!AO186</f>
        <v>belum ada keterangan</v>
      </c>
      <c r="AE199" s="1519">
        <f>DATA!AQ186</f>
        <v>0</v>
      </c>
      <c r="AF199" s="3504" t="str">
        <f>DATA!AR186</f>
        <v>belum ada dokumen R/C</v>
      </c>
    </row>
    <row r="200" spans="1:33" ht="21.75" customHeight="1">
      <c r="A200" s="10">
        <f>DATA!A187</f>
        <v>134</v>
      </c>
      <c r="B200" s="10">
        <f>DATA!B187</f>
        <v>0</v>
      </c>
      <c r="C200" s="10" t="str">
        <f>DATA!D187</f>
        <v>NON-INFRASTRUKTUR</v>
      </c>
      <c r="D200" s="10">
        <f>DATA!E187</f>
        <v>11</v>
      </c>
      <c r="E200" s="10" t="str">
        <f>DATA!F187</f>
        <v>Kementerian Kesehatan</v>
      </c>
      <c r="F200" s="10" t="str">
        <f>DATA!H187</f>
        <v>Referral Health Services Program</v>
      </c>
      <c r="G200" s="10" t="str">
        <f>DATA!I187</f>
        <v>D</v>
      </c>
      <c r="H200" s="10" t="str">
        <f>DATA!J187</f>
        <v>Program Pelayanan Kesehatan Rujukan</v>
      </c>
      <c r="I200" s="10">
        <f>DATA!K187</f>
        <v>1</v>
      </c>
      <c r="J200" s="254"/>
      <c r="K200" s="34"/>
      <c r="L200" s="34"/>
      <c r="M200" s="3392"/>
      <c r="N200" s="3397"/>
      <c r="O200" s="3464"/>
      <c r="P200" s="3464"/>
      <c r="Q200" s="3469"/>
      <c r="R200" s="3469"/>
      <c r="S200" s="3412"/>
      <c r="T200" s="2491"/>
      <c r="U200" s="1449" t="str">
        <f>DATA!Y187</f>
        <v>Jerman (KfW)</v>
      </c>
      <c r="V200" s="77">
        <f>DATA!AA187</f>
        <v>250000000</v>
      </c>
      <c r="W200" s="77"/>
      <c r="X200" s="216" t="str">
        <f>DATA!Y187</f>
        <v>Jerman (KfW)</v>
      </c>
      <c r="Y200" s="245">
        <f>DATA!AT187</f>
        <v>250000000</v>
      </c>
      <c r="Z200" s="109" t="str">
        <f>DATA!AU187</f>
        <v>Jerman (KfW)</v>
      </c>
      <c r="AA200" s="216" t="str">
        <f>DATA!AW187</f>
        <v>co-financing dengan IDB (USD 250 juta) dan belum ada indikasi (USD 755,6 juta)</v>
      </c>
      <c r="AB200" s="245">
        <f>DATA!AM187</f>
        <v>0</v>
      </c>
      <c r="AC200" s="3496"/>
      <c r="AD200" s="3519"/>
      <c r="AE200" s="1519">
        <f>DATA!AQ187</f>
        <v>0</v>
      </c>
      <c r="AF200" s="3509"/>
    </row>
    <row r="201" spans="1:33" ht="20.25" customHeight="1">
      <c r="A201" s="10">
        <f>DATA!A188</f>
        <v>135</v>
      </c>
      <c r="B201" s="10">
        <f>DATA!B188</f>
        <v>0</v>
      </c>
      <c r="C201" s="10" t="str">
        <f>DATA!D188</f>
        <v>NON-INFRASTRUKTUR</v>
      </c>
      <c r="D201" s="10">
        <f>DATA!E188</f>
        <v>11</v>
      </c>
      <c r="E201" s="10" t="str">
        <f>DATA!F188</f>
        <v>Kementerian Kesehatan</v>
      </c>
      <c r="F201" s="10" t="str">
        <f>DATA!H188</f>
        <v>Referral Health Services Program</v>
      </c>
      <c r="G201" s="10" t="str">
        <f>DATA!I188</f>
        <v>D</v>
      </c>
      <c r="H201" s="10" t="str">
        <f>DATA!J188</f>
        <v>Program Pelayanan Kesehatan Rujukan</v>
      </c>
      <c r="I201" s="10">
        <f>DATA!K188</f>
        <v>1</v>
      </c>
      <c r="J201" s="254"/>
      <c r="K201" s="54"/>
      <c r="L201" s="54"/>
      <c r="M201" s="3391"/>
      <c r="N201" s="3394"/>
      <c r="O201" s="3465"/>
      <c r="P201" s="3465"/>
      <c r="Q201" s="3437"/>
      <c r="R201" s="3437"/>
      <c r="S201" s="3413"/>
      <c r="T201" s="2466"/>
      <c r="U201" s="1449" t="str">
        <f>DATA!Y188</f>
        <v>Belum Ada Indikasi</v>
      </c>
      <c r="V201" s="77">
        <v>0</v>
      </c>
      <c r="W201" s="77">
        <f>DATA!AA188</f>
        <v>755600000</v>
      </c>
      <c r="X201" s="216" t="str">
        <f>DATA!Y188</f>
        <v>Belum Ada Indikasi</v>
      </c>
      <c r="Y201" s="245">
        <f>DATA!AT188</f>
        <v>755600000</v>
      </c>
      <c r="Z201" s="109" t="str">
        <f>DATA!AU188</f>
        <v>Belum Ada Indikasi</v>
      </c>
      <c r="AA201" s="216" t="str">
        <f>DATA!AW188</f>
        <v>co-financing dengan IDB (USD 250 juta) dan Jerman (KfW) (USD 250 juta)</v>
      </c>
      <c r="AB201" s="245">
        <f>DATA!AM188</f>
        <v>0</v>
      </c>
      <c r="AC201" s="3497"/>
      <c r="AD201" s="3503"/>
      <c r="AE201" s="1519">
        <f>DATA!AQ188</f>
        <v>0</v>
      </c>
      <c r="AF201" s="3510"/>
      <c r="AG201" s="4"/>
    </row>
    <row r="202" spans="1:33" s="4" customFormat="1" ht="24.95" customHeight="1">
      <c r="J202" s="2498"/>
      <c r="K202" s="25">
        <v>14</v>
      </c>
      <c r="L202" s="108" t="str">
        <f>DATA!F189</f>
        <v>Pemprov. Aceh</v>
      </c>
      <c r="M202" s="25"/>
      <c r="N202" s="27"/>
      <c r="O202" s="194">
        <f t="shared" ref="O202:R203" si="15">+O203</f>
        <v>106800000</v>
      </c>
      <c r="P202" s="194">
        <f t="shared" si="15"/>
        <v>106800000</v>
      </c>
      <c r="Q202" s="194">
        <f t="shared" si="15"/>
        <v>10700000</v>
      </c>
      <c r="R202" s="194">
        <f t="shared" si="15"/>
        <v>0</v>
      </c>
      <c r="S202" s="194">
        <f t="shared" ref="S202:S207" si="16">P202+Q202+R202</f>
        <v>117500000</v>
      </c>
      <c r="T202" s="2484"/>
      <c r="U202" s="195"/>
      <c r="V202" s="80">
        <f t="shared" ref="V202:Z203" si="17">+V203</f>
        <v>106800000</v>
      </c>
      <c r="W202" s="80">
        <f t="shared" si="17"/>
        <v>0</v>
      </c>
      <c r="X202" s="213">
        <f t="shared" si="17"/>
        <v>0</v>
      </c>
      <c r="Y202" s="242">
        <f t="shared" si="17"/>
        <v>106800000</v>
      </c>
      <c r="Z202" s="80" t="str">
        <f t="shared" si="17"/>
        <v>-</v>
      </c>
      <c r="AA202" s="213"/>
      <c r="AB202" s="1501"/>
      <c r="AC202" s="1502"/>
      <c r="AD202" s="168"/>
      <c r="AE202" s="1503"/>
      <c r="AF202" s="1529"/>
      <c r="AG202" s="5"/>
    </row>
    <row r="203" spans="1:33" s="5" customFormat="1" ht="33.75" customHeight="1">
      <c r="J203" s="1594"/>
      <c r="K203" s="29"/>
      <c r="L203" s="30" t="str">
        <f>DATA!I189</f>
        <v>A</v>
      </c>
      <c r="M203" s="31" t="str">
        <f>DATA!J189</f>
        <v>Program Pelayanan Kesehatan Rujukan</v>
      </c>
      <c r="N203" s="51"/>
      <c r="O203" s="197">
        <f t="shared" si="15"/>
        <v>106800000</v>
      </c>
      <c r="P203" s="197">
        <f t="shared" si="15"/>
        <v>106800000</v>
      </c>
      <c r="Q203" s="1436">
        <f t="shared" si="15"/>
        <v>10700000</v>
      </c>
      <c r="R203" s="1436">
        <f t="shared" si="15"/>
        <v>0</v>
      </c>
      <c r="S203" s="1559">
        <f t="shared" si="16"/>
        <v>117500000</v>
      </c>
      <c r="T203" s="2463"/>
      <c r="U203" s="198"/>
      <c r="V203" s="81">
        <f t="shared" si="17"/>
        <v>106800000</v>
      </c>
      <c r="W203" s="81">
        <f t="shared" si="17"/>
        <v>0</v>
      </c>
      <c r="X203" s="214"/>
      <c r="Y203" s="244">
        <f t="shared" si="17"/>
        <v>106800000</v>
      </c>
      <c r="Z203" s="81" t="s">
        <v>21</v>
      </c>
      <c r="AA203" s="214"/>
      <c r="AB203" s="1505"/>
      <c r="AC203" s="1506"/>
      <c r="AD203" s="169"/>
      <c r="AE203" s="1507"/>
      <c r="AF203" s="1530"/>
      <c r="AG203" s="10"/>
    </row>
    <row r="204" spans="1:33" ht="36.75" customHeight="1">
      <c r="A204" s="10">
        <f>DATA!A189</f>
        <v>136</v>
      </c>
      <c r="B204" s="10">
        <f>DATA!B189</f>
        <v>0</v>
      </c>
      <c r="C204" s="10" t="str">
        <f>DATA!D189</f>
        <v>NON-INFRASTRUKTUR</v>
      </c>
      <c r="D204" s="10">
        <f>DATA!E189</f>
        <v>12</v>
      </c>
      <c r="E204" s="10" t="str">
        <f>DATA!F189</f>
        <v>Pemprov. Aceh</v>
      </c>
      <c r="F204" s="10" t="str">
        <f>DATA!H189</f>
        <v>Health Services Referral Program</v>
      </c>
      <c r="G204" s="10" t="str">
        <f>DATA!I189</f>
        <v>A</v>
      </c>
      <c r="H204" s="10" t="str">
        <f>DATA!J189</f>
        <v>Program Pelayanan Kesehatan Rujukan</v>
      </c>
      <c r="I204" s="10">
        <f>DATA!K189</f>
        <v>1</v>
      </c>
      <c r="J204" s="254"/>
      <c r="K204" s="54"/>
      <c r="L204" s="20"/>
      <c r="M204" s="36">
        <v>129</v>
      </c>
      <c r="N204" s="37" t="str">
        <f>DATA!L189</f>
        <v>Reengineering and Improving The Hospital and Referral System in Selected Aceh Districts</v>
      </c>
      <c r="O204" s="187">
        <f>DATA!T189</f>
        <v>106800000</v>
      </c>
      <c r="P204" s="187">
        <f>DATA!U189</f>
        <v>106800000</v>
      </c>
      <c r="Q204" s="1446">
        <f>DATA!V189</f>
        <v>10700000</v>
      </c>
      <c r="R204" s="1446">
        <f>DATA!W189</f>
        <v>0</v>
      </c>
      <c r="S204" s="2467">
        <f t="shared" si="16"/>
        <v>117500000</v>
      </c>
      <c r="T204" s="2468"/>
      <c r="U204" s="1449" t="str">
        <f>DATA!Y189</f>
        <v>Jerman (KfW)</v>
      </c>
      <c r="V204" s="77">
        <f>DATA!AA189</f>
        <v>106800000</v>
      </c>
      <c r="W204" s="77">
        <v>0</v>
      </c>
      <c r="X204" s="216" t="str">
        <f>DATA!Y189</f>
        <v>Jerman (KfW)</v>
      </c>
      <c r="Y204" s="245">
        <f>DATA!AT189</f>
        <v>106800000</v>
      </c>
      <c r="Z204" s="109" t="str">
        <f>DATA!AU189</f>
        <v>Jerman (KfW)</v>
      </c>
      <c r="AA204" s="216" t="str">
        <f>DATA!AW189</f>
        <v>-</v>
      </c>
      <c r="AB204" s="245" t="str">
        <f>DATA!AM189</f>
        <v>2016; 2015</v>
      </c>
      <c r="AC204" s="1510" t="str">
        <f>DATA!AN189</f>
        <v>dalam proses
(memiliki FS dan DED)</v>
      </c>
      <c r="AD204" s="1511" t="str">
        <f>DATA!AO189</f>
        <v>siap</v>
      </c>
      <c r="AE204" s="1519">
        <f>DATA!AQ189</f>
        <v>0</v>
      </c>
      <c r="AF204" s="1533" t="str">
        <f>DATA!AR189</f>
        <v>-</v>
      </c>
      <c r="AG204" s="4"/>
    </row>
    <row r="205" spans="1:33" s="4" customFormat="1" ht="24.95" customHeight="1">
      <c r="J205" s="2498"/>
      <c r="K205" s="25">
        <v>15</v>
      </c>
      <c r="L205" s="108" t="str">
        <f>DATA!F190</f>
        <v>Kementerian Pertanian</v>
      </c>
      <c r="M205" s="25"/>
      <c r="N205" s="27"/>
      <c r="O205" s="194">
        <f>+O206+O213</f>
        <v>1445742600</v>
      </c>
      <c r="P205" s="194">
        <f>+P206+P213</f>
        <v>1445742600</v>
      </c>
      <c r="Q205" s="194">
        <f>+Q206+Q213</f>
        <v>154464300</v>
      </c>
      <c r="R205" s="194">
        <f>+R206+R213</f>
        <v>500000</v>
      </c>
      <c r="S205" s="194">
        <f t="shared" si="16"/>
        <v>1600706900</v>
      </c>
      <c r="T205" s="2484"/>
      <c r="U205" s="195"/>
      <c r="V205" s="80">
        <f>+V206+V213</f>
        <v>698900000</v>
      </c>
      <c r="W205" s="80">
        <f>+W206+W213</f>
        <v>746842600</v>
      </c>
      <c r="X205" s="213"/>
      <c r="Y205" s="242">
        <f>+Y206+Y213</f>
        <v>1445742600</v>
      </c>
      <c r="Z205" s="80" t="s">
        <v>21</v>
      </c>
      <c r="AA205" s="213"/>
      <c r="AB205" s="1501"/>
      <c r="AC205" s="1502"/>
      <c r="AD205" s="168"/>
      <c r="AE205" s="1503"/>
      <c r="AF205" s="1529"/>
      <c r="AG205" s="5"/>
    </row>
    <row r="206" spans="1:33" s="5" customFormat="1" ht="33.75" customHeight="1">
      <c r="J206" s="1594"/>
      <c r="K206" s="29"/>
      <c r="L206" s="30" t="str">
        <f>DATA!I190</f>
        <v>A</v>
      </c>
      <c r="M206" s="3427" t="str">
        <f>DATA!J190</f>
        <v>Program Penyediaan dan Pengembangan Prasarana dan Sarana Pertanian</v>
      </c>
      <c r="N206" s="3428"/>
      <c r="O206" s="197">
        <f>O207+O210</f>
        <v>1346842600</v>
      </c>
      <c r="P206" s="197">
        <f>P207+P210</f>
        <v>1346842600</v>
      </c>
      <c r="Q206" s="197">
        <f>Q207+Q210</f>
        <v>134684300</v>
      </c>
      <c r="R206" s="197">
        <f>R207+R210</f>
        <v>0</v>
      </c>
      <c r="S206" s="1559">
        <f t="shared" si="16"/>
        <v>1481526900</v>
      </c>
      <c r="T206" s="2463"/>
      <c r="U206" s="198"/>
      <c r="V206" s="81">
        <f>V207+V208+V209+V210+V211+V212</f>
        <v>600000000</v>
      </c>
      <c r="W206" s="81">
        <f>W207+W208+W209+W210+W211+W212</f>
        <v>746842600</v>
      </c>
      <c r="X206" s="214"/>
      <c r="Y206" s="244">
        <f>Y207+Y208+Y209+Y210+Y211+Y212</f>
        <v>1346842600</v>
      </c>
      <c r="Z206" s="81" t="s">
        <v>21</v>
      </c>
      <c r="AA206" s="214"/>
      <c r="AB206" s="1505"/>
      <c r="AC206" s="1506"/>
      <c r="AD206" s="169"/>
      <c r="AE206" s="1507"/>
      <c r="AF206" s="1530"/>
      <c r="AG206" s="10"/>
    </row>
    <row r="207" spans="1:33" ht="24.75" customHeight="1">
      <c r="J207" s="254"/>
      <c r="K207" s="34"/>
      <c r="L207" s="34"/>
      <c r="M207" s="3390">
        <v>130</v>
      </c>
      <c r="N207" s="3460" t="str">
        <f>DATA!L190</f>
        <v>Extensification of New Paddy Field Area</v>
      </c>
      <c r="O207" s="3411">
        <f>DATA!T190</f>
        <v>811166600</v>
      </c>
      <c r="P207" s="3411">
        <f>DATA!T190</f>
        <v>811166600</v>
      </c>
      <c r="Q207" s="3436">
        <f>DATA!V190</f>
        <v>81116700</v>
      </c>
      <c r="R207" s="3436">
        <f>DATA!W190</f>
        <v>0</v>
      </c>
      <c r="S207" s="3470">
        <f t="shared" si="16"/>
        <v>892283300</v>
      </c>
      <c r="T207" s="3483"/>
      <c r="U207" s="1509" t="str">
        <f>DATA!Y191</f>
        <v>Bank Dunia</v>
      </c>
      <c r="V207" s="1509">
        <f>DATA!AA191</f>
        <v>225000000</v>
      </c>
      <c r="W207" s="77">
        <v>0</v>
      </c>
      <c r="X207" s="216" t="str">
        <f>DATA!Y191</f>
        <v>Bank Dunia</v>
      </c>
      <c r="Y207" s="245">
        <f>DATA!AT191</f>
        <v>225000000</v>
      </c>
      <c r="Z207" s="109" t="str">
        <f>DATA!AU191</f>
        <v>Belum Ada Indikasi</v>
      </c>
      <c r="AA207" s="1520" t="str">
        <f>DATA!AW191</f>
        <v xml:space="preserve">- co-financing dengan IDB (USD 125 juta) dan belum ada indikasi (USD 686,2 juta)
- Bank Dunia tidak berminat mendanai kegiatan ini. </v>
      </c>
      <c r="AB207" s="245">
        <f>DATA!AM191</f>
        <v>0</v>
      </c>
      <c r="AC207" s="3495" t="str">
        <f>DATA!AN191</f>
        <v>dalam proses
(penyusunan FS)</v>
      </c>
      <c r="AD207" s="3502" t="str">
        <f>DATA!AO191</f>
        <v>belum ada keterangan</v>
      </c>
      <c r="AE207" s="1519">
        <f>DATA!AQ191</f>
        <v>0</v>
      </c>
      <c r="AF207" s="3504" t="str">
        <f>DATA!AR191</f>
        <v>belum ada dokumen R/C</v>
      </c>
    </row>
    <row r="208" spans="1:33" ht="18.75" customHeight="1">
      <c r="J208" s="254"/>
      <c r="K208" s="34"/>
      <c r="L208" s="34"/>
      <c r="M208" s="3392"/>
      <c r="N208" s="3461"/>
      <c r="O208" s="3412"/>
      <c r="P208" s="3412"/>
      <c r="Q208" s="3469"/>
      <c r="R208" s="3469"/>
      <c r="S208" s="3471"/>
      <c r="T208" s="3484"/>
      <c r="U208" s="1509" t="str">
        <f>DATA!Y192</f>
        <v>IDB</v>
      </c>
      <c r="V208" s="1509">
        <f>DATA!AA192</f>
        <v>125000000</v>
      </c>
      <c r="W208" s="77">
        <v>0</v>
      </c>
      <c r="X208" s="216" t="str">
        <f>DATA!Y192</f>
        <v>IDB</v>
      </c>
      <c r="Y208" s="245">
        <f>DATA!AT192</f>
        <v>125000000</v>
      </c>
      <c r="Z208" s="109" t="str">
        <f>DATA!AU192</f>
        <v>IDB</v>
      </c>
      <c r="AA208" s="1520" t="str">
        <f>DATA!AW192</f>
        <v xml:space="preserve">terdapat sisa pendanaan yang belum ada indikasi lender (USD 686,2 juta)
</v>
      </c>
      <c r="AB208" s="245">
        <f>DATA!AM192</f>
        <v>0</v>
      </c>
      <c r="AC208" s="3496"/>
      <c r="AD208" s="3519"/>
      <c r="AE208" s="1519">
        <f>DATA!AQ192</f>
        <v>0</v>
      </c>
      <c r="AF208" s="3509"/>
    </row>
    <row r="209" spans="1:34" ht="16.5" customHeight="1">
      <c r="J209" s="254"/>
      <c r="K209" s="34"/>
      <c r="L209" s="34"/>
      <c r="M209" s="3391"/>
      <c r="N209" s="3462"/>
      <c r="O209" s="3413"/>
      <c r="P209" s="3413"/>
      <c r="Q209" s="3437"/>
      <c r="R209" s="3437"/>
      <c r="S209" s="3472"/>
      <c r="T209" s="3485"/>
      <c r="U209" s="1509" t="str">
        <f>DATA!Y193</f>
        <v>Belum Ada Indikasi</v>
      </c>
      <c r="V209" s="1509">
        <v>0</v>
      </c>
      <c r="W209" s="77">
        <f>DATA!AA193</f>
        <v>461166600</v>
      </c>
      <c r="X209" s="216" t="str">
        <f>DATA!Y193</f>
        <v>Belum Ada Indikasi</v>
      </c>
      <c r="Y209" s="245">
        <f>DATA!AT193</f>
        <v>461166600</v>
      </c>
      <c r="Z209" s="109" t="str">
        <f>DATA!AU193</f>
        <v>Belum Ada Indikasi</v>
      </c>
      <c r="AA209" s="1520" t="str">
        <f>DATA!AW193</f>
        <v>total belum ada indikasi menjadi USD 686,2 juta karena ditambahkan USD 125 juta yang sebelumnya Bank Dunia.</v>
      </c>
      <c r="AB209" s="245">
        <f>DATA!AM193</f>
        <v>0</v>
      </c>
      <c r="AC209" s="3497"/>
      <c r="AD209" s="3503"/>
      <c r="AE209" s="1519">
        <f>DATA!AQ193</f>
        <v>0</v>
      </c>
      <c r="AF209" s="3510"/>
    </row>
    <row r="210" spans="1:34" ht="21" customHeight="1">
      <c r="A210" s="10">
        <f>DATA!A195</f>
        <v>140</v>
      </c>
      <c r="B210" s="10">
        <f>DATA!B195</f>
        <v>0</v>
      </c>
      <c r="C210" s="10" t="str">
        <f>DATA!D195</f>
        <v>NON-INFRASTRUKTUR</v>
      </c>
      <c r="D210" s="10">
        <f>DATA!E195</f>
        <v>13</v>
      </c>
      <c r="E210" s="10" t="str">
        <f>DATA!F195</f>
        <v>Kementerian Pertanian</v>
      </c>
      <c r="F210" s="10" t="str">
        <f>DATA!H195</f>
        <v>Provision and Development of Agriculture Infrastructure Program</v>
      </c>
      <c r="G210" s="10" t="str">
        <f>DATA!I195</f>
        <v>A</v>
      </c>
      <c r="H210" s="10" t="str">
        <f>DATA!J195</f>
        <v>Program Penyediaan dan Pengembangan Prasarana dan Sarana Pertanian</v>
      </c>
      <c r="I210" s="10">
        <f>DATA!K195</f>
        <v>2</v>
      </c>
      <c r="J210" s="254"/>
      <c r="K210" s="34"/>
      <c r="L210" s="34"/>
      <c r="M210" s="3390">
        <v>131</v>
      </c>
      <c r="N210" s="3393" t="str">
        <f>DATA!L194</f>
        <v>Upland Development for National Food Security</v>
      </c>
      <c r="O210" s="3408">
        <f>DATA!T194</f>
        <v>535676000</v>
      </c>
      <c r="P210" s="3408">
        <f>DATA!U194</f>
        <v>535676000</v>
      </c>
      <c r="Q210" s="3436">
        <f>DATA!V194</f>
        <v>53567600</v>
      </c>
      <c r="R210" s="3436">
        <f>DATA!W194</f>
        <v>0</v>
      </c>
      <c r="S210" s="3473">
        <f>P210+Q210+R210</f>
        <v>589243600</v>
      </c>
      <c r="T210" s="3483"/>
      <c r="U210" s="1449" t="str">
        <f>DATA!Y195</f>
        <v>Bank Dunia</v>
      </c>
      <c r="V210" s="77">
        <f>DATA!AA195</f>
        <v>125000000</v>
      </c>
      <c r="W210" s="77">
        <v>0</v>
      </c>
      <c r="X210" s="216" t="str">
        <f>DATA!Y195</f>
        <v>Bank Dunia</v>
      </c>
      <c r="Y210" s="245">
        <f>DATA!AT195</f>
        <v>125000000</v>
      </c>
      <c r="Z210" s="109" t="str">
        <f>DATA!AU195</f>
        <v>Belum Ada Indikasi</v>
      </c>
      <c r="AA210" s="1520" t="str">
        <f>DATA!AW195</f>
        <v xml:space="preserve">- co-financing dengan IDB (USD 125 juta) dan belum ada indikasi (USD 410,7 juta)
Bank Dunia tidak berminat mendanai kegiatan ini. </v>
      </c>
      <c r="AB210" s="245">
        <f>DATA!AM195</f>
        <v>0</v>
      </c>
      <c r="AC210" s="3495" t="str">
        <f>DATA!AN195</f>
        <v>dalam proses
(penyusunan FS)</v>
      </c>
      <c r="AD210" s="3502" t="str">
        <f>DATA!AO195</f>
        <v>belum ada keterangan</v>
      </c>
      <c r="AE210" s="1519">
        <f>DATA!AQ195</f>
        <v>0</v>
      </c>
      <c r="AF210" s="3504" t="str">
        <f>DATA!AR195</f>
        <v>belum ada dokumen R/C</v>
      </c>
      <c r="AH210" s="174">
        <f>P210+Q210</f>
        <v>589243600</v>
      </c>
    </row>
    <row r="211" spans="1:34" ht="17.25" customHeight="1">
      <c r="A211" s="10">
        <f>DATA!A196</f>
        <v>141</v>
      </c>
      <c r="B211" s="10">
        <f>DATA!B196</f>
        <v>0</v>
      </c>
      <c r="C211" s="10" t="str">
        <f>DATA!D196</f>
        <v>NON-INFRASTRUKTUR</v>
      </c>
      <c r="D211" s="10">
        <f>DATA!E196</f>
        <v>13</v>
      </c>
      <c r="E211" s="10" t="str">
        <f>DATA!F196</f>
        <v>Kementerian Pertanian</v>
      </c>
      <c r="F211" s="10" t="str">
        <f>DATA!H196</f>
        <v>Provision and Development of Agriculture Infrastructure Program</v>
      </c>
      <c r="G211" s="10" t="str">
        <f>DATA!I196</f>
        <v>A</v>
      </c>
      <c r="H211" s="10" t="str">
        <f>DATA!J196</f>
        <v>Program Penyediaan dan Pengembangan Prasarana dan Sarana Pertanian</v>
      </c>
      <c r="I211" s="10">
        <f>DATA!K196</f>
        <v>2</v>
      </c>
      <c r="J211" s="254"/>
      <c r="K211" s="34"/>
      <c r="L211" s="34"/>
      <c r="M211" s="3392"/>
      <c r="N211" s="3397"/>
      <c r="O211" s="3464"/>
      <c r="P211" s="3464"/>
      <c r="Q211" s="3469"/>
      <c r="R211" s="3469"/>
      <c r="S211" s="3474"/>
      <c r="T211" s="3484"/>
      <c r="U211" s="1449" t="str">
        <f>DATA!Y196</f>
        <v>IDB</v>
      </c>
      <c r="V211" s="77">
        <f>DATA!AA196</f>
        <v>125000000</v>
      </c>
      <c r="W211" s="77">
        <v>0</v>
      </c>
      <c r="X211" s="216" t="str">
        <f>DATA!Y196</f>
        <v>IDB</v>
      </c>
      <c r="Y211" s="245">
        <f>DATA!AT196</f>
        <v>125000000</v>
      </c>
      <c r="Z211" s="109" t="str">
        <f>DATA!AU196</f>
        <v>IDB</v>
      </c>
      <c r="AA211" s="1520" t="str">
        <f>DATA!AW196</f>
        <v xml:space="preserve">terdapat sisa pendanaan yang belum ada indikasi lender (USD 410,7 juta)
</v>
      </c>
      <c r="AB211" s="245">
        <f>DATA!AM196</f>
        <v>0</v>
      </c>
      <c r="AC211" s="3496"/>
      <c r="AD211" s="3519"/>
      <c r="AE211" s="1519">
        <f>DATA!AQ196</f>
        <v>0</v>
      </c>
      <c r="AF211" s="3509"/>
    </row>
    <row r="212" spans="1:34" ht="23.25" customHeight="1">
      <c r="A212" s="10">
        <f>DATA!A197</f>
        <v>142</v>
      </c>
      <c r="B212" s="10">
        <f>DATA!B197</f>
        <v>0</v>
      </c>
      <c r="C212" s="10" t="str">
        <f>DATA!D197</f>
        <v>NON-INFRASTRUKTUR</v>
      </c>
      <c r="D212" s="10">
        <f>DATA!E197</f>
        <v>13</v>
      </c>
      <c r="E212" s="10" t="str">
        <f>DATA!F197</f>
        <v>Kementerian Pertanian</v>
      </c>
      <c r="F212" s="10" t="str">
        <f>DATA!H197</f>
        <v>Provision and Development of Agriculture Infrastructure Program</v>
      </c>
      <c r="G212" s="10" t="str">
        <f>DATA!I197</f>
        <v>A</v>
      </c>
      <c r="H212" s="10" t="str">
        <f>DATA!J197</f>
        <v>Program Penyediaan dan Pengembangan Prasarana dan Sarana Pertanian</v>
      </c>
      <c r="I212" s="10">
        <f>DATA!K197</f>
        <v>2</v>
      </c>
      <c r="J212" s="254"/>
      <c r="K212" s="34"/>
      <c r="L212" s="54"/>
      <c r="M212" s="3391"/>
      <c r="N212" s="3394"/>
      <c r="O212" s="3465"/>
      <c r="P212" s="3465"/>
      <c r="Q212" s="3437"/>
      <c r="R212" s="3437"/>
      <c r="S212" s="3475"/>
      <c r="T212" s="3485"/>
      <c r="U212" s="1449" t="str">
        <f>DATA!Y197</f>
        <v>Belum Ada Indikasi</v>
      </c>
      <c r="V212" s="77">
        <v>0</v>
      </c>
      <c r="W212" s="77">
        <f>DATA!AA197</f>
        <v>285676000</v>
      </c>
      <c r="X212" s="216" t="str">
        <f>DATA!Y197</f>
        <v>Belum Ada Indikasi</v>
      </c>
      <c r="Y212" s="245">
        <f>DATA!AT197</f>
        <v>285676000</v>
      </c>
      <c r="Z212" s="109" t="str">
        <f>DATA!AU197</f>
        <v>Belum Ada Indikasi</v>
      </c>
      <c r="AA212" s="1520" t="str">
        <f>DATA!AW197</f>
        <v>total belum ada indikasi menjadi USD 410,7 juta karena ditambahkan USD 125 juta yang sebelumnya Bank Dunia.</v>
      </c>
      <c r="AB212" s="245">
        <f>DATA!AM197</f>
        <v>0</v>
      </c>
      <c r="AC212" s="3497"/>
      <c r="AD212" s="3503"/>
      <c r="AE212" s="1519">
        <f>DATA!AQ197</f>
        <v>0</v>
      </c>
      <c r="AF212" s="3510"/>
      <c r="AG212" s="5"/>
    </row>
    <row r="213" spans="1:34" s="5" customFormat="1" ht="33.75" customHeight="1">
      <c r="J213" s="1594"/>
      <c r="K213" s="50"/>
      <c r="L213" s="30" t="str">
        <f>DATA!I198</f>
        <v>B</v>
      </c>
      <c r="M213" s="3427" t="str">
        <f>DATA!J198</f>
        <v>Program Peningkatan Penyuluhan, Pendidikan, dan Pelatihan Pertanian</v>
      </c>
      <c r="N213" s="3428"/>
      <c r="O213" s="197">
        <f>+O214+O215</f>
        <v>98900000</v>
      </c>
      <c r="P213" s="197">
        <f>+P214+P215</f>
        <v>98900000</v>
      </c>
      <c r="Q213" s="1436">
        <f>+Q214+Q215</f>
        <v>19780000</v>
      </c>
      <c r="R213" s="1436">
        <f>+R214+R215</f>
        <v>500000</v>
      </c>
      <c r="S213" s="1559">
        <f t="shared" ref="S213:S236" si="18">P213+Q213+R213</f>
        <v>119180000</v>
      </c>
      <c r="T213" s="2463"/>
      <c r="U213" s="198"/>
      <c r="V213" s="81">
        <f>+V214+V215</f>
        <v>98900000</v>
      </c>
      <c r="W213" s="81">
        <f>+W214+W215</f>
        <v>0</v>
      </c>
      <c r="X213" s="214"/>
      <c r="Y213" s="244">
        <f>+Y214+Y215</f>
        <v>98900000</v>
      </c>
      <c r="Z213" s="81" t="s">
        <v>21</v>
      </c>
      <c r="AA213" s="214"/>
      <c r="AB213" s="1505"/>
      <c r="AC213" s="1506"/>
      <c r="AD213" s="169"/>
      <c r="AE213" s="1507"/>
      <c r="AF213" s="1530"/>
      <c r="AG213" s="10"/>
    </row>
    <row r="214" spans="1:34" ht="36" customHeight="1">
      <c r="A214" s="10">
        <f>DATA!A198</f>
        <v>143</v>
      </c>
      <c r="B214" s="10">
        <f>DATA!B198</f>
        <v>0</v>
      </c>
      <c r="C214" s="10" t="str">
        <f>DATA!D198</f>
        <v>NON-INFRASTRUKTUR</v>
      </c>
      <c r="D214" s="10">
        <f>DATA!E198</f>
        <v>13</v>
      </c>
      <c r="E214" s="10" t="str">
        <f>DATA!F198</f>
        <v>Kementerian Pertanian</v>
      </c>
      <c r="F214" s="10" t="str">
        <f>DATA!H198</f>
        <v>Agriculture Extention, Education, and Training Improvement Program</v>
      </c>
      <c r="G214" s="10" t="str">
        <f>DATA!I198</f>
        <v>B</v>
      </c>
      <c r="H214" s="10" t="str">
        <f>DATA!J198</f>
        <v>Program Peningkatan Penyuluhan, Pendidikan, dan Pelatihan Pertanian</v>
      </c>
      <c r="I214" s="10">
        <f>DATA!K198</f>
        <v>1</v>
      </c>
      <c r="J214" s="254"/>
      <c r="K214" s="34"/>
      <c r="L214" s="35"/>
      <c r="M214" s="36">
        <v>132</v>
      </c>
      <c r="N214" s="37" t="str">
        <f>DATA!L198</f>
        <v>Young Enterpreneur Growth and Development for Sustainable Agricultural Development</v>
      </c>
      <c r="O214" s="187">
        <f>DATA!T198</f>
        <v>68900000</v>
      </c>
      <c r="P214" s="187">
        <f>DATA!U198</f>
        <v>68900000</v>
      </c>
      <c r="Q214" s="1446">
        <f>DATA!V198</f>
        <v>13780000</v>
      </c>
      <c r="R214" s="1446">
        <f>DATA!W198</f>
        <v>0</v>
      </c>
      <c r="S214" s="2467">
        <f t="shared" si="18"/>
        <v>82680000</v>
      </c>
      <c r="T214" s="2468"/>
      <c r="U214" s="1449" t="str">
        <f>DATA!Y198</f>
        <v>IFAD</v>
      </c>
      <c r="V214" s="77">
        <f>DATA!AA198</f>
        <v>68900000</v>
      </c>
      <c r="W214" s="77">
        <v>0</v>
      </c>
      <c r="X214" s="216" t="str">
        <f>DATA!Y198</f>
        <v>IFAD</v>
      </c>
      <c r="Y214" s="245">
        <f>DATA!AT198</f>
        <v>68900000</v>
      </c>
      <c r="Z214" s="109" t="str">
        <f>DATA!AU198</f>
        <v>IFAD</v>
      </c>
      <c r="AA214" s="216" t="str">
        <f>DATA!AW198</f>
        <v>-</v>
      </c>
      <c r="AB214" s="245">
        <f>DATA!AM198</f>
        <v>0</v>
      </c>
      <c r="AC214" s="1510" t="str">
        <f>DATA!AN198</f>
        <v>belum ada keterangan</v>
      </c>
      <c r="AD214" s="1511" t="str">
        <f>DATA!AO198</f>
        <v>belum ada keterangan</v>
      </c>
      <c r="AE214" s="1519">
        <f>DATA!AQ198</f>
        <v>0</v>
      </c>
      <c r="AF214" s="1533" t="str">
        <f>DATA!AR198</f>
        <v>belum ada dokumen R/C</v>
      </c>
    </row>
    <row r="215" spans="1:34" ht="40.5" customHeight="1">
      <c r="A215" s="10">
        <f>DATA!A199</f>
        <v>144</v>
      </c>
      <c r="B215" s="10">
        <f>DATA!B199</f>
        <v>0</v>
      </c>
      <c r="C215" s="10" t="str">
        <f>DATA!D199</f>
        <v>NON-INFRASTRUKTUR</v>
      </c>
      <c r="D215" s="10">
        <f>DATA!E199</f>
        <v>13</v>
      </c>
      <c r="E215" s="10" t="str">
        <f>DATA!F199</f>
        <v>Kementerian Pertanian</v>
      </c>
      <c r="F215" s="10" t="str">
        <f>DATA!H199</f>
        <v>Agriculture Extention, Education, and Training Improvement Program</v>
      </c>
      <c r="G215" s="10" t="str">
        <f>DATA!I199</f>
        <v>B</v>
      </c>
      <c r="H215" s="10" t="str">
        <f>DATA!J199</f>
        <v>Program Peningkatan Penyuluhan, Pendidikan, dan Pelatihan Pertanian</v>
      </c>
      <c r="I215" s="10">
        <f>DATA!K199</f>
        <v>2</v>
      </c>
      <c r="J215" s="254"/>
      <c r="K215" s="54"/>
      <c r="L215" s="54"/>
      <c r="M215" s="36">
        <v>133</v>
      </c>
      <c r="N215" s="37" t="str">
        <f>DATA!L199</f>
        <v>Rural Empowerment and Agricultural Development (READ) Programme in Sulawesi Island – Phase II</v>
      </c>
      <c r="O215" s="187">
        <f>DATA!T199</f>
        <v>30000000</v>
      </c>
      <c r="P215" s="187">
        <f>DATA!U199</f>
        <v>30000000</v>
      </c>
      <c r="Q215" s="1446">
        <f>DATA!V199</f>
        <v>6000000</v>
      </c>
      <c r="R215" s="1446">
        <f>DATA!W199</f>
        <v>500000</v>
      </c>
      <c r="S215" s="2467">
        <f t="shared" si="18"/>
        <v>36500000</v>
      </c>
      <c r="T215" s="2468"/>
      <c r="U215" s="1449" t="str">
        <f>DATA!Y199</f>
        <v>IFAD</v>
      </c>
      <c r="V215" s="77">
        <f>DATA!AA199</f>
        <v>30000000</v>
      </c>
      <c r="W215" s="77">
        <v>0</v>
      </c>
      <c r="X215" s="216" t="str">
        <f>DATA!Y199</f>
        <v>IFAD</v>
      </c>
      <c r="Y215" s="245">
        <f>DATA!AT199</f>
        <v>30000000</v>
      </c>
      <c r="Z215" s="109" t="str">
        <f>DATA!AU199</f>
        <v>IFAD</v>
      </c>
      <c r="AA215" s="216" t="str">
        <f>DATA!AW199</f>
        <v>-</v>
      </c>
      <c r="AB215" s="245">
        <f>DATA!AM199</f>
        <v>0</v>
      </c>
      <c r="AC215" s="1510" t="str">
        <f>DATA!AN199</f>
        <v>belum ada keterangan</v>
      </c>
      <c r="AD215" s="1511" t="str">
        <f>DATA!AO199</f>
        <v>belum ada keterangan</v>
      </c>
      <c r="AE215" s="1519">
        <f>DATA!AQ199</f>
        <v>0</v>
      </c>
      <c r="AF215" s="1533" t="str">
        <f>DATA!AR199</f>
        <v>belum ada dokumen R/C</v>
      </c>
      <c r="AG215" s="4"/>
    </row>
    <row r="216" spans="1:34" s="4" customFormat="1" ht="24.95" customHeight="1">
      <c r="J216" s="2498"/>
      <c r="K216" s="25">
        <v>16</v>
      </c>
      <c r="L216" s="108" t="str">
        <f>DATA!F200</f>
        <v>Kementerian Ketenagakerjaan</v>
      </c>
      <c r="M216" s="25"/>
      <c r="N216" s="27"/>
      <c r="O216" s="194">
        <f t="shared" ref="O216:R217" si="19">+O217</f>
        <v>92308000</v>
      </c>
      <c r="P216" s="194">
        <f t="shared" si="19"/>
        <v>92308000</v>
      </c>
      <c r="Q216" s="194">
        <f t="shared" si="19"/>
        <v>2500000</v>
      </c>
      <c r="R216" s="194">
        <f t="shared" si="19"/>
        <v>0</v>
      </c>
      <c r="S216" s="194">
        <f t="shared" si="18"/>
        <v>94808000</v>
      </c>
      <c r="T216" s="2484"/>
      <c r="U216" s="1451" t="str">
        <f t="shared" ref="U216:W217" si="20">+U217</f>
        <v>-</v>
      </c>
      <c r="V216" s="80">
        <f t="shared" si="20"/>
        <v>92308000</v>
      </c>
      <c r="W216" s="80">
        <f t="shared" si="20"/>
        <v>0</v>
      </c>
      <c r="X216" s="213"/>
      <c r="Y216" s="242">
        <f>+Y217</f>
        <v>92308000</v>
      </c>
      <c r="Z216" s="80" t="s">
        <v>21</v>
      </c>
      <c r="AA216" s="213"/>
      <c r="AB216" s="1501"/>
      <c r="AC216" s="1502"/>
      <c r="AD216" s="168"/>
      <c r="AE216" s="1503"/>
      <c r="AF216" s="1529"/>
      <c r="AG216" s="5"/>
    </row>
    <row r="217" spans="1:34" s="5" customFormat="1" ht="37.5" customHeight="1">
      <c r="J217" s="1594"/>
      <c r="K217" s="29"/>
      <c r="L217" s="30" t="str">
        <f>DATA!I206</f>
        <v>A</v>
      </c>
      <c r="M217" s="3427" t="str">
        <f>DATA!J200</f>
        <v>Program Peningkatan Daya Saing Tenaga Kerja</v>
      </c>
      <c r="N217" s="3428"/>
      <c r="O217" s="197">
        <f t="shared" si="19"/>
        <v>92308000</v>
      </c>
      <c r="P217" s="197">
        <f t="shared" si="19"/>
        <v>92308000</v>
      </c>
      <c r="Q217" s="1436">
        <f t="shared" si="19"/>
        <v>2500000</v>
      </c>
      <c r="R217" s="1436">
        <f t="shared" si="19"/>
        <v>0</v>
      </c>
      <c r="S217" s="1559">
        <f t="shared" si="18"/>
        <v>94808000</v>
      </c>
      <c r="T217" s="2463"/>
      <c r="U217" s="1452" t="s">
        <v>21</v>
      </c>
      <c r="V217" s="81">
        <f t="shared" si="20"/>
        <v>92308000</v>
      </c>
      <c r="W217" s="81">
        <f t="shared" si="20"/>
        <v>0</v>
      </c>
      <c r="X217" s="214"/>
      <c r="Y217" s="244">
        <f>+Y218</f>
        <v>92308000</v>
      </c>
      <c r="Z217" s="81" t="s">
        <v>21</v>
      </c>
      <c r="AA217" s="214"/>
      <c r="AB217" s="1505"/>
      <c r="AC217" s="1506"/>
      <c r="AD217" s="169"/>
      <c r="AE217" s="1507"/>
      <c r="AF217" s="1530"/>
      <c r="AG217" s="10"/>
    </row>
    <row r="218" spans="1:34" ht="29.25" customHeight="1">
      <c r="A218" s="10">
        <f>DATA!A200</f>
        <v>145</v>
      </c>
      <c r="B218" s="10">
        <f>DATA!B200</f>
        <v>0</v>
      </c>
      <c r="C218" s="10" t="str">
        <f>DATA!D200</f>
        <v>NON-INFRASTRUKTUR</v>
      </c>
      <c r="D218" s="10">
        <f>DATA!E200</f>
        <v>14</v>
      </c>
      <c r="E218" s="10" t="str">
        <f>DATA!F200</f>
        <v>Kementerian Ketenagakerjaan</v>
      </c>
      <c r="F218" s="10" t="str">
        <f>DATA!H200</f>
        <v>Improving Labor Competitiveness Program</v>
      </c>
      <c r="G218" s="10" t="str">
        <f>DATA!I200</f>
        <v>A</v>
      </c>
      <c r="H218" s="10" t="str">
        <f>DATA!J200</f>
        <v>Program Peningkatan Daya Saing Tenaga Kerja</v>
      </c>
      <c r="I218" s="10">
        <f>DATA!K200</f>
        <v>1</v>
      </c>
      <c r="J218" s="254"/>
      <c r="K218" s="54"/>
      <c r="L218" s="20"/>
      <c r="M218" s="36">
        <v>134</v>
      </c>
      <c r="N218" s="37" t="str">
        <f>DATA!L200</f>
        <v>Development of Maritime Vocational Training Centers</v>
      </c>
      <c r="O218" s="187">
        <f>DATA!T200</f>
        <v>92308000</v>
      </c>
      <c r="P218" s="187">
        <f>DATA!U200</f>
        <v>92308000</v>
      </c>
      <c r="Q218" s="1453">
        <f>DATA!V200</f>
        <v>2500000</v>
      </c>
      <c r="R218" s="1453">
        <f>DATA!W200</f>
        <v>0</v>
      </c>
      <c r="S218" s="2467">
        <f t="shared" si="18"/>
        <v>94808000</v>
      </c>
      <c r="T218" s="2468"/>
      <c r="U218" s="1449" t="str">
        <f>DATA!Y200</f>
        <v>Austria/ JICA/ Singapura</v>
      </c>
      <c r="V218" s="77">
        <f>DATA!AA200</f>
        <v>92308000</v>
      </c>
      <c r="W218" s="77">
        <f>DATA!AG200</f>
        <v>0</v>
      </c>
      <c r="X218" s="216" t="str">
        <f>DATA!Y200</f>
        <v>Austria/ JICA/ Singapura</v>
      </c>
      <c r="Y218" s="245">
        <f>DATA!AT200</f>
        <v>92308000</v>
      </c>
      <c r="Z218" s="109" t="str">
        <f>DATA!AU200</f>
        <v>Austria/ JICA/ Singapura</v>
      </c>
      <c r="AA218" s="1520" t="str">
        <f>DATA!AW200</f>
        <v>belum ada konfirmasi lender yang berminat</v>
      </c>
      <c r="AB218" s="245">
        <f>DATA!AM200</f>
        <v>0</v>
      </c>
      <c r="AC218" s="1510" t="str">
        <f>DATA!AN200</f>
        <v>belum ada keterangan</v>
      </c>
      <c r="AD218" s="1511" t="str">
        <f>DATA!AO200</f>
        <v>belum ada keterangan</v>
      </c>
      <c r="AE218" s="1519">
        <f>DATA!AQ200</f>
        <v>0</v>
      </c>
      <c r="AF218" s="1533" t="str">
        <f>DATA!AR200</f>
        <v>belum ada dokumen R/C</v>
      </c>
      <c r="AG218" s="4"/>
    </row>
    <row r="219" spans="1:34" s="4" customFormat="1" ht="24.95" customHeight="1">
      <c r="J219" s="2498"/>
      <c r="K219" s="25">
        <v>17</v>
      </c>
      <c r="L219" s="108" t="str">
        <f>DATA!F201</f>
        <v>Kementerian Kelautan dan Perikanan</v>
      </c>
      <c r="M219" s="25"/>
      <c r="N219" s="27"/>
      <c r="O219" s="194">
        <f t="shared" ref="O219:R220" si="21">+O220</f>
        <v>107000000</v>
      </c>
      <c r="P219" s="194">
        <f t="shared" si="21"/>
        <v>107000000</v>
      </c>
      <c r="Q219" s="194">
        <f t="shared" si="21"/>
        <v>4261000</v>
      </c>
      <c r="R219" s="194">
        <f t="shared" si="21"/>
        <v>2160000</v>
      </c>
      <c r="S219" s="194">
        <f t="shared" si="18"/>
        <v>113421000</v>
      </c>
      <c r="T219" s="2484"/>
      <c r="U219" s="195"/>
      <c r="V219" s="80">
        <f t="shared" ref="V219:Y220" si="22">+V220</f>
        <v>0</v>
      </c>
      <c r="W219" s="80">
        <f t="shared" si="22"/>
        <v>107000000</v>
      </c>
      <c r="X219" s="213"/>
      <c r="Y219" s="242">
        <f t="shared" si="22"/>
        <v>107000000</v>
      </c>
      <c r="Z219" s="80" t="s">
        <v>21</v>
      </c>
      <c r="AA219" s="213"/>
      <c r="AB219" s="1501"/>
      <c r="AC219" s="1502"/>
      <c r="AD219" s="168"/>
      <c r="AE219" s="1503"/>
      <c r="AF219" s="1529"/>
      <c r="AG219" s="5"/>
    </row>
    <row r="220" spans="1:34" s="5" customFormat="1" ht="33.75" customHeight="1">
      <c r="J220" s="1594"/>
      <c r="K220" s="29"/>
      <c r="L220" s="30" t="str">
        <f>DATA!I201</f>
        <v>A</v>
      </c>
      <c r="M220" s="31" t="str">
        <f>DATA!J201</f>
        <v>Program Peningkatan Fasilitas Perikanan</v>
      </c>
      <c r="N220" s="51"/>
      <c r="O220" s="197">
        <f t="shared" si="21"/>
        <v>107000000</v>
      </c>
      <c r="P220" s="197">
        <f t="shared" si="21"/>
        <v>107000000</v>
      </c>
      <c r="Q220" s="1436">
        <f t="shared" si="21"/>
        <v>4261000</v>
      </c>
      <c r="R220" s="1436">
        <f t="shared" si="21"/>
        <v>2160000</v>
      </c>
      <c r="S220" s="1559">
        <f t="shared" si="18"/>
        <v>113421000</v>
      </c>
      <c r="T220" s="2463"/>
      <c r="U220" s="198"/>
      <c r="V220" s="81">
        <f>V221</f>
        <v>0</v>
      </c>
      <c r="W220" s="81">
        <f t="shared" si="22"/>
        <v>107000000</v>
      </c>
      <c r="X220" s="214"/>
      <c r="Y220" s="244">
        <f t="shared" si="22"/>
        <v>107000000</v>
      </c>
      <c r="Z220" s="81" t="s">
        <v>21</v>
      </c>
      <c r="AA220" s="214"/>
      <c r="AB220" s="1505"/>
      <c r="AC220" s="1506"/>
      <c r="AD220" s="169"/>
      <c r="AE220" s="1507"/>
      <c r="AF220" s="1530"/>
      <c r="AG220" s="9"/>
    </row>
    <row r="221" spans="1:34" s="9" customFormat="1" ht="25.5" customHeight="1">
      <c r="A221" s="9">
        <f>DATA!A201</f>
        <v>146</v>
      </c>
      <c r="B221" s="9">
        <f>DATA!B201</f>
        <v>0</v>
      </c>
      <c r="C221" s="9" t="str">
        <f>DATA!D201</f>
        <v>NON-INFRASTRUKTUR</v>
      </c>
      <c r="D221" s="9">
        <f>DATA!E201</f>
        <v>15</v>
      </c>
      <c r="E221" s="9" t="str">
        <f>DATA!F201</f>
        <v>Kementerian Kelautan dan Perikanan</v>
      </c>
      <c r="F221" s="9" t="str">
        <f>DATA!H201</f>
        <v>Improvement of Fisheries Facilities Program</v>
      </c>
      <c r="G221" s="9" t="str">
        <f>DATA!I201</f>
        <v>A</v>
      </c>
      <c r="H221" s="9" t="str">
        <f>DATA!J201</f>
        <v>Program Peningkatan Fasilitas Perikanan</v>
      </c>
      <c r="I221" s="9">
        <f>DATA!K201</f>
        <v>1</v>
      </c>
      <c r="J221" s="254"/>
      <c r="K221" s="255"/>
      <c r="L221" s="66"/>
      <c r="M221" s="64">
        <v>135</v>
      </c>
      <c r="N221" s="65" t="s">
        <v>453</v>
      </c>
      <c r="O221" s="258">
        <f>DATA!T201</f>
        <v>107000000</v>
      </c>
      <c r="P221" s="258">
        <f>DATA!U201</f>
        <v>107000000</v>
      </c>
      <c r="Q221" s="1454">
        <f>DATA!V201</f>
        <v>4261000</v>
      </c>
      <c r="R221" s="1454">
        <f>DATA!W201</f>
        <v>2160000</v>
      </c>
      <c r="S221" s="2467">
        <f t="shared" si="18"/>
        <v>113421000</v>
      </c>
      <c r="T221" s="2468"/>
      <c r="U221" s="1455" t="str">
        <f>DATA!Y201</f>
        <v>-</v>
      </c>
      <c r="V221" s="91">
        <v>0</v>
      </c>
      <c r="W221" s="77">
        <f>DATA!AA201</f>
        <v>107000000</v>
      </c>
      <c r="X221" s="216" t="str">
        <f>DATA!Y201</f>
        <v>-</v>
      </c>
      <c r="Y221" s="245">
        <f>DATA!AT201</f>
        <v>107000000</v>
      </c>
      <c r="Z221" s="109" t="str">
        <f>DATA!AU201</f>
        <v>Belum Ada Indikasi</v>
      </c>
      <c r="AA221" s="1521" t="s">
        <v>1043</v>
      </c>
      <c r="AB221" s="245">
        <f>DATA!AM201</f>
        <v>0</v>
      </c>
      <c r="AC221" s="1512" t="str">
        <f>DATA!AN201</f>
        <v>dalam proses
(memiliki FS)</v>
      </c>
      <c r="AD221" s="1522" t="str">
        <f>DATA!AO201</f>
        <v>belum ada keterangan</v>
      </c>
      <c r="AE221" s="1519">
        <f>DATA!AQ201</f>
        <v>0</v>
      </c>
      <c r="AF221" s="1531" t="str">
        <f>DATA!AR201</f>
        <v>Dibatalkan oleh KKP</v>
      </c>
    </row>
    <row r="222" spans="1:34" s="9" customFormat="1" ht="27.75" customHeight="1">
      <c r="J222" s="254"/>
      <c r="K222" s="25">
        <v>18</v>
      </c>
      <c r="L222" s="108" t="s">
        <v>1047</v>
      </c>
      <c r="M222" s="25"/>
      <c r="N222" s="27"/>
      <c r="O222" s="194">
        <f>O223</f>
        <v>0</v>
      </c>
      <c r="P222" s="194">
        <f>P223</f>
        <v>290000000</v>
      </c>
      <c r="Q222" s="194">
        <f>Q223</f>
        <v>0</v>
      </c>
      <c r="R222" s="194">
        <f>R223</f>
        <v>0</v>
      </c>
      <c r="S222" s="194">
        <f t="shared" si="18"/>
        <v>290000000</v>
      </c>
      <c r="T222" s="2484"/>
      <c r="U222" s="1435"/>
      <c r="V222" s="80">
        <f>V223</f>
        <v>0</v>
      </c>
      <c r="W222" s="80">
        <f>W223</f>
        <v>290000000</v>
      </c>
      <c r="X222" s="213"/>
      <c r="Y222" s="242">
        <f>Y223</f>
        <v>290000000</v>
      </c>
      <c r="Z222" s="80" t="s">
        <v>21</v>
      </c>
      <c r="AA222" s="213"/>
      <c r="AB222" s="1501"/>
      <c r="AC222" s="1502"/>
      <c r="AD222" s="168"/>
      <c r="AE222" s="1503"/>
      <c r="AF222" s="1529"/>
    </row>
    <row r="223" spans="1:34" s="9" customFormat="1" ht="25.5" customHeight="1">
      <c r="J223" s="254"/>
      <c r="K223" s="29"/>
      <c r="L223" s="30" t="s">
        <v>23</v>
      </c>
      <c r="M223" s="3427" t="s">
        <v>1049</v>
      </c>
      <c r="N223" s="3446"/>
      <c r="O223" s="197">
        <f>O224+O225+O226+O227</f>
        <v>0</v>
      </c>
      <c r="P223" s="197">
        <f>P224+P225+P226+P227</f>
        <v>290000000</v>
      </c>
      <c r="Q223" s="1436">
        <f>Q224+Q225+Q226+Q227</f>
        <v>0</v>
      </c>
      <c r="R223" s="1436">
        <f>R224+R225+R226+R227</f>
        <v>0</v>
      </c>
      <c r="S223" s="1559">
        <f t="shared" si="18"/>
        <v>290000000</v>
      </c>
      <c r="T223" s="2463"/>
      <c r="U223" s="198"/>
      <c r="V223" s="81">
        <f>V224+V225+V226+V227</f>
        <v>0</v>
      </c>
      <c r="W223" s="81">
        <f>W224+W225+W226+W227</f>
        <v>290000000</v>
      </c>
      <c r="X223" s="214"/>
      <c r="Y223" s="244">
        <f>Y224+Y225+Y226+Y227</f>
        <v>290000000</v>
      </c>
      <c r="Z223" s="81" t="s">
        <v>21</v>
      </c>
      <c r="AA223" s="214"/>
      <c r="AB223" s="1505"/>
      <c r="AC223" s="1506"/>
      <c r="AD223" s="169"/>
      <c r="AE223" s="1507"/>
      <c r="AF223" s="1530"/>
    </row>
    <row r="224" spans="1:34" s="9" customFormat="1" ht="32.25" customHeight="1">
      <c r="J224" s="254"/>
      <c r="K224" s="1690"/>
      <c r="L224" s="35"/>
      <c r="M224" s="36">
        <v>136</v>
      </c>
      <c r="N224" s="2299" t="str">
        <f>DATA!L202</f>
        <v>Upgrading Medical Equipments for Army Hospital of Gatot Subroto</v>
      </c>
      <c r="O224" s="1414">
        <f>DATA!T202</f>
        <v>0</v>
      </c>
      <c r="P224" s="1414">
        <f>DATA!U202</f>
        <v>150000000</v>
      </c>
      <c r="Q224" s="1414">
        <f>DATA!V202</f>
        <v>0</v>
      </c>
      <c r="R224" s="1414">
        <f>DATA!W202</f>
        <v>0</v>
      </c>
      <c r="S224" s="2467">
        <f t="shared" si="18"/>
        <v>150000000</v>
      </c>
      <c r="T224" s="2470"/>
      <c r="U224" s="1440"/>
      <c r="V224" s="1458">
        <v>0</v>
      </c>
      <c r="W224" s="77">
        <f>DATA!AA202</f>
        <v>150000000</v>
      </c>
      <c r="X224" s="216" t="str">
        <f>DATA!Y202</f>
        <v>Belum Ada Indikasi</v>
      </c>
      <c r="Y224" s="245">
        <f>DATA!AT202</f>
        <v>150000000</v>
      </c>
      <c r="Z224" s="109" t="str">
        <f>DATA!AU202</f>
        <v>Austria</v>
      </c>
      <c r="AA224" s="1520">
        <f>DATA!AW202</f>
        <v>0</v>
      </c>
      <c r="AB224" s="245">
        <f>DATA!AM202</f>
        <v>0</v>
      </c>
      <c r="AC224" s="1512" t="str">
        <f>DATA!AN202</f>
        <v>dalam proses
(penyusunan FS)</v>
      </c>
      <c r="AD224" s="1512" t="str">
        <f>DATA!AO202</f>
        <v>belum ada keterangan</v>
      </c>
      <c r="AE224" s="1519">
        <f>DATA!AQ202</f>
        <v>0</v>
      </c>
      <c r="AF224" s="1531" t="str">
        <f>DATA!AR202</f>
        <v>penyiapan dokumen R/C</v>
      </c>
    </row>
    <row r="225" spans="1:33" s="9" customFormat="1" ht="23.25" customHeight="1">
      <c r="J225" s="254"/>
      <c r="K225" s="1690"/>
      <c r="L225" s="34"/>
      <c r="M225" s="36">
        <v>137</v>
      </c>
      <c r="N225" s="2299" t="str">
        <f>DATA!L203</f>
        <v>Upgrading Medical Equipments for Army Hospitals</v>
      </c>
      <c r="O225" s="1414">
        <f>DATA!T203</f>
        <v>0</v>
      </c>
      <c r="P225" s="1414">
        <f>DATA!U203</f>
        <v>55000000</v>
      </c>
      <c r="Q225" s="1414">
        <f>DATA!V203</f>
        <v>0</v>
      </c>
      <c r="R225" s="1414">
        <f>DATA!W203</f>
        <v>0</v>
      </c>
      <c r="S225" s="2467">
        <f t="shared" si="18"/>
        <v>55000000</v>
      </c>
      <c r="T225" s="2470"/>
      <c r="U225" s="1440"/>
      <c r="V225" s="1458">
        <v>0</v>
      </c>
      <c r="W225" s="77">
        <f>DATA!AA203</f>
        <v>55000000</v>
      </c>
      <c r="X225" s="216" t="str">
        <f>DATA!Y203</f>
        <v>Belum Ada Indikasi</v>
      </c>
      <c r="Y225" s="245">
        <f>DATA!AT203</f>
        <v>55000000</v>
      </c>
      <c r="Z225" s="109" t="str">
        <f>DATA!AU203</f>
        <v>Austria</v>
      </c>
      <c r="AA225" s="1520">
        <f>DATA!AW203</f>
        <v>0</v>
      </c>
      <c r="AB225" s="245">
        <f>DATA!AM203</f>
        <v>0</v>
      </c>
      <c r="AC225" s="1512" t="str">
        <f>DATA!AN203</f>
        <v>dalam proses
(penyusunan FS)</v>
      </c>
      <c r="AD225" s="1512" t="str">
        <f>DATA!AO203</f>
        <v>belum ada keterangan</v>
      </c>
      <c r="AE225" s="1519">
        <f>DATA!AQ203</f>
        <v>0</v>
      </c>
      <c r="AF225" s="1531" t="str">
        <f>DATA!AR203</f>
        <v>penyiapan dokumen R/C</v>
      </c>
    </row>
    <row r="226" spans="1:33" s="9" customFormat="1" ht="20.25" customHeight="1">
      <c r="J226" s="254"/>
      <c r="K226" s="1690"/>
      <c r="L226" s="34"/>
      <c r="M226" s="36">
        <v>138</v>
      </c>
      <c r="N226" s="2299" t="str">
        <f>DATA!L204</f>
        <v>Upgrading Medical Equipments for Naval Hospitals</v>
      </c>
      <c r="O226" s="1414">
        <f>DATA!T204</f>
        <v>0</v>
      </c>
      <c r="P226" s="1414">
        <f>DATA!U204</f>
        <v>45000000</v>
      </c>
      <c r="Q226" s="1414">
        <f>DATA!V204</f>
        <v>0</v>
      </c>
      <c r="R226" s="1414">
        <f>DATA!W204</f>
        <v>0</v>
      </c>
      <c r="S226" s="2467">
        <f t="shared" si="18"/>
        <v>45000000</v>
      </c>
      <c r="T226" s="2470"/>
      <c r="U226" s="1440"/>
      <c r="V226" s="1458">
        <v>0</v>
      </c>
      <c r="W226" s="77">
        <f>DATA!AA204</f>
        <v>45000000</v>
      </c>
      <c r="X226" s="216" t="str">
        <f>DATA!Y204</f>
        <v>Belum Ada Indikasi</v>
      </c>
      <c r="Y226" s="245">
        <f>DATA!AT204</f>
        <v>45000000</v>
      </c>
      <c r="Z226" s="109" t="str">
        <f>DATA!AU204</f>
        <v>Austria</v>
      </c>
      <c r="AA226" s="1520">
        <f>DATA!AW204</f>
        <v>0</v>
      </c>
      <c r="AB226" s="245">
        <f>DATA!AM204</f>
        <v>0</v>
      </c>
      <c r="AC226" s="1512" t="str">
        <f>DATA!AN204</f>
        <v>dalam proses
(penyusunan FS)</v>
      </c>
      <c r="AD226" s="1512" t="str">
        <f>DATA!AO204</f>
        <v>belum ada keterangan</v>
      </c>
      <c r="AE226" s="1519">
        <f>DATA!AQ204</f>
        <v>0</v>
      </c>
      <c r="AF226" s="1531" t="str">
        <f>DATA!AR204</f>
        <v>penyiapan dokumen R/C</v>
      </c>
    </row>
    <row r="227" spans="1:33" s="9" customFormat="1" ht="21.75" customHeight="1">
      <c r="J227" s="254"/>
      <c r="K227" s="1690"/>
      <c r="L227" s="54"/>
      <c r="M227" s="36">
        <v>139</v>
      </c>
      <c r="N227" s="2299" t="str">
        <f>DATA!L205</f>
        <v>Upgrading Medical Equipments for Air Force Hospitals</v>
      </c>
      <c r="O227" s="1414">
        <f>DATA!T205</f>
        <v>0</v>
      </c>
      <c r="P227" s="1414">
        <f>DATA!U205</f>
        <v>40000000</v>
      </c>
      <c r="Q227" s="1414">
        <f>DATA!V205</f>
        <v>0</v>
      </c>
      <c r="R227" s="1414">
        <f>DATA!W205</f>
        <v>0</v>
      </c>
      <c r="S227" s="2467">
        <f t="shared" si="18"/>
        <v>40000000</v>
      </c>
      <c r="T227" s="2470"/>
      <c r="U227" s="1440"/>
      <c r="V227" s="1458">
        <v>0</v>
      </c>
      <c r="W227" s="77">
        <f>DATA!AA205</f>
        <v>40000000</v>
      </c>
      <c r="X227" s="216" t="str">
        <f>DATA!Y205</f>
        <v>Belum Ada Indikasi</v>
      </c>
      <c r="Y227" s="245">
        <f>DATA!AT205</f>
        <v>40000000</v>
      </c>
      <c r="Z227" s="109" t="str">
        <f>DATA!AU205</f>
        <v>Austria</v>
      </c>
      <c r="AA227" s="1520">
        <f>DATA!AW205</f>
        <v>0</v>
      </c>
      <c r="AB227" s="245">
        <f>DATA!AM205</f>
        <v>0</v>
      </c>
      <c r="AC227" s="1512" t="str">
        <f>DATA!AN205</f>
        <v>dalam proses
(penyusunan FS)</v>
      </c>
      <c r="AD227" s="1512" t="str">
        <f>DATA!AO205</f>
        <v>belum ada keterangan</v>
      </c>
      <c r="AE227" s="1519">
        <f>DATA!AQ205</f>
        <v>0</v>
      </c>
      <c r="AF227" s="1531" t="str">
        <f>DATA!AR205</f>
        <v>penyiapan dokumen R/C</v>
      </c>
      <c r="AG227" s="4"/>
    </row>
    <row r="228" spans="1:33" s="4" customFormat="1" ht="24.95" customHeight="1">
      <c r="J228" s="2498"/>
      <c r="K228" s="25">
        <v>19</v>
      </c>
      <c r="L228" s="108" t="str">
        <f>DATA!F206</f>
        <v>Badan Meteorologi, Klimatologi dan Geofisika (BMKG)</v>
      </c>
      <c r="M228" s="25"/>
      <c r="N228" s="27"/>
      <c r="O228" s="194">
        <f t="shared" ref="O228:R229" si="23">+O229</f>
        <v>150000000</v>
      </c>
      <c r="P228" s="194">
        <f t="shared" si="23"/>
        <v>150000000</v>
      </c>
      <c r="Q228" s="194">
        <f t="shared" si="23"/>
        <v>9000000</v>
      </c>
      <c r="R228" s="194">
        <f t="shared" si="23"/>
        <v>0</v>
      </c>
      <c r="S228" s="194">
        <f t="shared" si="18"/>
        <v>159000000</v>
      </c>
      <c r="T228" s="2484"/>
      <c r="U228" s="195"/>
      <c r="V228" s="80">
        <f t="shared" ref="V228:Y229" si="24">+V229</f>
        <v>150000000</v>
      </c>
      <c r="W228" s="80">
        <f t="shared" si="24"/>
        <v>0</v>
      </c>
      <c r="X228" s="213"/>
      <c r="Y228" s="242">
        <f t="shared" si="24"/>
        <v>150000000</v>
      </c>
      <c r="Z228" s="80" t="s">
        <v>21</v>
      </c>
      <c r="AA228" s="213"/>
      <c r="AB228" s="1501"/>
      <c r="AC228" s="1502"/>
      <c r="AD228" s="168"/>
      <c r="AE228" s="1503"/>
      <c r="AF228" s="1529"/>
      <c r="AG228" s="5"/>
    </row>
    <row r="229" spans="1:33" s="5" customFormat="1" ht="33.75" customHeight="1">
      <c r="J229" s="1594"/>
      <c r="K229" s="29"/>
      <c r="L229" s="30" t="str">
        <f>DATA!I206</f>
        <v>A</v>
      </c>
      <c r="M229" s="3447" t="str">
        <f>DATA!J206</f>
        <v>Program Pengembangan dan Pembinaan Meteorologi, Klimatologi, dan Geofisika</v>
      </c>
      <c r="N229" s="3428"/>
      <c r="O229" s="197">
        <f t="shared" si="23"/>
        <v>150000000</v>
      </c>
      <c r="P229" s="197">
        <f t="shared" si="23"/>
        <v>150000000</v>
      </c>
      <c r="Q229" s="1436">
        <f t="shared" si="23"/>
        <v>9000000</v>
      </c>
      <c r="R229" s="1436">
        <f t="shared" si="23"/>
        <v>0</v>
      </c>
      <c r="S229" s="1559">
        <f t="shared" si="18"/>
        <v>159000000</v>
      </c>
      <c r="T229" s="2463"/>
      <c r="U229" s="1456"/>
      <c r="V229" s="81">
        <f t="shared" si="24"/>
        <v>150000000</v>
      </c>
      <c r="W229" s="81">
        <f t="shared" si="24"/>
        <v>0</v>
      </c>
      <c r="X229" s="214"/>
      <c r="Y229" s="244">
        <f t="shared" si="24"/>
        <v>150000000</v>
      </c>
      <c r="Z229" s="81" t="s">
        <v>21</v>
      </c>
      <c r="AA229" s="214"/>
      <c r="AB229" s="1505"/>
      <c r="AC229" s="1506"/>
      <c r="AD229" s="169"/>
      <c r="AE229" s="1507"/>
      <c r="AF229" s="1530"/>
      <c r="AG229" s="10"/>
    </row>
    <row r="230" spans="1:33" ht="86.25" customHeight="1">
      <c r="A230" s="10">
        <f>DATA!A206</f>
        <v>147</v>
      </c>
      <c r="B230" s="10">
        <f>DATA!B206</f>
        <v>0</v>
      </c>
      <c r="C230" s="10" t="str">
        <f>DATA!D206</f>
        <v>NON-INFRASTRUKTUR</v>
      </c>
      <c r="D230" s="10">
        <f>DATA!E206</f>
        <v>16</v>
      </c>
      <c r="E230" s="10" t="str">
        <f>DATA!F206</f>
        <v>Badan Meteorologi, Klimatologi dan Geofisika (BMKG)</v>
      </c>
      <c r="F230" s="10" t="str">
        <f>DATA!H206</f>
        <v>Program for Capacity Development and Guidance of Meteorology, Climatology, and Geophysics</v>
      </c>
      <c r="G230" s="10" t="str">
        <f>DATA!I206</f>
        <v>A</v>
      </c>
      <c r="H230" s="10" t="str">
        <f>DATA!J206</f>
        <v>Program Pengembangan dan Pembinaan Meteorologi, Klimatologi, dan Geofisika</v>
      </c>
      <c r="I230" s="10">
        <f>DATA!K206</f>
        <v>1</v>
      </c>
      <c r="J230" s="254"/>
      <c r="K230" s="54"/>
      <c r="L230" s="36"/>
      <c r="M230" s="36">
        <v>141</v>
      </c>
      <c r="N230" s="37" t="str">
        <f>DATA!L206</f>
        <v xml:space="preserve">Strengthening Climate and Weather Service Capacity – Phase II:
a) Kegiatan lanjutan dari kegiatan Strengthening BMKG Climate and Weather Services Capacity Phase I
b) Kegiatan pengembangan sistem Layanan Informasi Meteorologi Maritim </v>
      </c>
      <c r="O230" s="187">
        <f>DATA!T206</f>
        <v>150000000</v>
      </c>
      <c r="P230" s="187">
        <f>DATA!U206</f>
        <v>150000000</v>
      </c>
      <c r="Q230" s="1446">
        <f>DATA!V206</f>
        <v>9000000</v>
      </c>
      <c r="R230" s="1446">
        <f>DATA!W206</f>
        <v>0</v>
      </c>
      <c r="S230" s="2467">
        <f t="shared" si="18"/>
        <v>159000000</v>
      </c>
      <c r="T230" s="2468"/>
      <c r="U230" s="1449" t="str">
        <f>DATA!Y206</f>
        <v>US EXIM</v>
      </c>
      <c r="V230" s="77">
        <f>DATA!AA206</f>
        <v>150000000</v>
      </c>
      <c r="W230" s="77">
        <f>DATA!AG206</f>
        <v>0</v>
      </c>
      <c r="X230" s="216" t="str">
        <f>DATA!Y206</f>
        <v>US EXIM</v>
      </c>
      <c r="Y230" s="245">
        <f>DATA!AT206</f>
        <v>150000000</v>
      </c>
      <c r="Z230" s="109" t="str">
        <f>DATA!AU206</f>
        <v>US EXIM</v>
      </c>
      <c r="AA230" s="216" t="str">
        <f>DATA!AW206</f>
        <v>-</v>
      </c>
      <c r="AB230" s="245">
        <f>DATA!AM206</f>
        <v>0</v>
      </c>
      <c r="AC230" s="1510" t="str">
        <f>DATA!AN206</f>
        <v>dalam proses
(penyusunan FS)</v>
      </c>
      <c r="AD230" s="1511" t="str">
        <f>DATA!AO206</f>
        <v>siap</v>
      </c>
      <c r="AE230" s="1519">
        <f>DATA!AQ206</f>
        <v>0</v>
      </c>
      <c r="AF230" s="1533" t="str">
        <f>DATA!AR206</f>
        <v>belum ada dokumen R/C</v>
      </c>
      <c r="AG230" s="4"/>
    </row>
    <row r="231" spans="1:33" s="4" customFormat="1" ht="24.95" customHeight="1">
      <c r="J231" s="2498"/>
      <c r="K231" s="25">
        <v>20</v>
      </c>
      <c r="L231" s="108" t="str">
        <f>DATA!F207</f>
        <v>Badan Pengkajian dan Penerapan Teknologi (BPPT)</v>
      </c>
      <c r="M231" s="25"/>
      <c r="N231" s="27"/>
      <c r="O231" s="194">
        <f t="shared" ref="O231:R232" si="25">+O232</f>
        <v>114400000</v>
      </c>
      <c r="P231" s="194">
        <f t="shared" si="25"/>
        <v>114400000</v>
      </c>
      <c r="Q231" s="194">
        <f t="shared" si="25"/>
        <v>17200000</v>
      </c>
      <c r="R231" s="194">
        <f t="shared" si="25"/>
        <v>0</v>
      </c>
      <c r="S231" s="194">
        <f t="shared" si="18"/>
        <v>131600000</v>
      </c>
      <c r="T231" s="2484"/>
      <c r="U231" s="1435"/>
      <c r="V231" s="80">
        <f t="shared" ref="V231:Y232" si="26">+V232</f>
        <v>114400000</v>
      </c>
      <c r="W231" s="80">
        <f t="shared" si="26"/>
        <v>0</v>
      </c>
      <c r="X231" s="213"/>
      <c r="Y231" s="242">
        <f t="shared" si="26"/>
        <v>114400000</v>
      </c>
      <c r="Z231" s="80" t="s">
        <v>21</v>
      </c>
      <c r="AA231" s="213"/>
      <c r="AB231" s="1501"/>
      <c r="AC231" s="1502"/>
      <c r="AD231" s="168"/>
      <c r="AE231" s="1503"/>
      <c r="AF231" s="1529"/>
      <c r="AG231" s="5"/>
    </row>
    <row r="232" spans="1:33" s="5" customFormat="1" ht="33.75" customHeight="1">
      <c r="J232" s="1594"/>
      <c r="K232" s="29"/>
      <c r="L232" s="30" t="str">
        <f>DATA!I207</f>
        <v>A</v>
      </c>
      <c r="M232" s="3427" t="str">
        <f>DATA!J207</f>
        <v>Program Pembangunan Science Park dan Technopark</v>
      </c>
      <c r="N232" s="3446"/>
      <c r="O232" s="197">
        <f t="shared" si="25"/>
        <v>114400000</v>
      </c>
      <c r="P232" s="197">
        <f t="shared" si="25"/>
        <v>114400000</v>
      </c>
      <c r="Q232" s="1436">
        <f t="shared" si="25"/>
        <v>17200000</v>
      </c>
      <c r="R232" s="1436">
        <f t="shared" si="25"/>
        <v>0</v>
      </c>
      <c r="S232" s="1559">
        <f t="shared" si="18"/>
        <v>131600000</v>
      </c>
      <c r="T232" s="2463"/>
      <c r="U232" s="198"/>
      <c r="V232" s="81">
        <f t="shared" si="26"/>
        <v>114400000</v>
      </c>
      <c r="W232" s="81">
        <f t="shared" si="26"/>
        <v>0</v>
      </c>
      <c r="X232" s="214"/>
      <c r="Y232" s="244">
        <f t="shared" si="26"/>
        <v>114400000</v>
      </c>
      <c r="Z232" s="81" t="s">
        <v>21</v>
      </c>
      <c r="AA232" s="214"/>
      <c r="AB232" s="1505"/>
      <c r="AC232" s="1506"/>
      <c r="AD232" s="169"/>
      <c r="AE232" s="1507"/>
      <c r="AF232" s="1530"/>
      <c r="AG232" s="10"/>
    </row>
    <row r="233" spans="1:33" ht="59.25" customHeight="1">
      <c r="A233" s="10">
        <f>DATA!A207</f>
        <v>148</v>
      </c>
      <c r="B233" s="10">
        <f>DATA!B207</f>
        <v>0</v>
      </c>
      <c r="C233" s="10" t="str">
        <f>DATA!D207</f>
        <v>NON-INFRASTRUKTUR</v>
      </c>
      <c r="D233" s="10">
        <f>DATA!E207</f>
        <v>17</v>
      </c>
      <c r="E233" s="10" t="str">
        <f>DATA!F207</f>
        <v>Badan Pengkajian dan Penerapan Teknologi (BPPT)</v>
      </c>
      <c r="F233" s="10" t="str">
        <f>DATA!H207</f>
        <v>Science Park and Technopark Development Program</v>
      </c>
      <c r="G233" s="10" t="str">
        <f>DATA!I207</f>
        <v>A</v>
      </c>
      <c r="H233" s="10" t="str">
        <f>DATA!J207</f>
        <v>Program Pembangunan Science Park dan Technopark</v>
      </c>
      <c r="I233" s="10">
        <f>DATA!K207</f>
        <v>1</v>
      </c>
      <c r="J233" s="254"/>
      <c r="K233" s="54"/>
      <c r="L233" s="36"/>
      <c r="M233" s="36">
        <v>142</v>
      </c>
      <c r="N233" s="37" t="str">
        <f>DATA!L207</f>
        <v>Development of Maritime National Science and Technology Park (NTSP) in the Northern Penajam Paser and Revitalization Infrastructure Marine Survey</v>
      </c>
      <c r="O233" s="187">
        <f>DATA!T207</f>
        <v>114400000</v>
      </c>
      <c r="P233" s="187">
        <f>DATA!U207</f>
        <v>114400000</v>
      </c>
      <c r="Q233" s="1446">
        <f>DATA!V207</f>
        <v>17200000</v>
      </c>
      <c r="R233" s="1446">
        <f>DATA!W207</f>
        <v>0</v>
      </c>
      <c r="S233" s="2467">
        <f t="shared" si="18"/>
        <v>131600000</v>
      </c>
      <c r="T233" s="2468"/>
      <c r="U233" s="1449" t="str">
        <f>DATA!Y207</f>
        <v xml:space="preserve">Perancis (AFD)  </v>
      </c>
      <c r="V233" s="77">
        <f>DATA!AA207</f>
        <v>114400000</v>
      </c>
      <c r="W233" s="77">
        <f>DATA!AG207</f>
        <v>0</v>
      </c>
      <c r="X233" s="216" t="str">
        <f>DATA!Y207</f>
        <v xml:space="preserve">Perancis (AFD)  </v>
      </c>
      <c r="Y233" s="245">
        <f>DATA!AT207</f>
        <v>114400000</v>
      </c>
      <c r="Z233" s="109" t="str">
        <f>DATA!AU207</f>
        <v xml:space="preserve">Perancis (AFD)  </v>
      </c>
      <c r="AA233" s="216" t="str">
        <f>DATA!AW207</f>
        <v>-</v>
      </c>
      <c r="AB233" s="245">
        <f>DATA!AM207</f>
        <v>0</v>
      </c>
      <c r="AC233" s="1510" t="str">
        <f>DATA!AN207</f>
        <v>dalam proses
(penyusunan FS)</v>
      </c>
      <c r="AD233" s="1511" t="str">
        <f>DATA!AO207</f>
        <v>dalam proses
(pelaksanaan)</v>
      </c>
      <c r="AE233" s="1519">
        <f>DATA!AQ207</f>
        <v>0</v>
      </c>
      <c r="AF233" s="1533" t="str">
        <f>DATA!AR207</f>
        <v>- tidak diketahui berapa persen proses pelaksanaannya
- belum ada dokumen R/C</v>
      </c>
    </row>
    <row r="234" spans="1:33" ht="24.75" customHeight="1">
      <c r="J234" s="254"/>
      <c r="K234" s="1421">
        <v>21</v>
      </c>
      <c r="L234" s="1422" t="s">
        <v>1105</v>
      </c>
      <c r="M234" s="1421"/>
      <c r="N234" s="2490"/>
      <c r="O234" s="194">
        <f t="shared" ref="O234:R235" si="27">O235</f>
        <v>0</v>
      </c>
      <c r="P234" s="194">
        <f t="shared" si="27"/>
        <v>200000000</v>
      </c>
      <c r="Q234" s="194">
        <f t="shared" si="27"/>
        <v>0</v>
      </c>
      <c r="R234" s="194">
        <f t="shared" si="27"/>
        <v>0</v>
      </c>
      <c r="S234" s="194">
        <f t="shared" si="18"/>
        <v>200000000</v>
      </c>
      <c r="T234" s="2484"/>
      <c r="U234" s="1435"/>
      <c r="V234" s="80">
        <f>V235</f>
        <v>0</v>
      </c>
      <c r="W234" s="80">
        <f>W235</f>
        <v>200000000</v>
      </c>
      <c r="X234" s="213"/>
      <c r="Y234" s="242">
        <f>Y235</f>
        <v>200000000</v>
      </c>
      <c r="Z234" s="80" t="s">
        <v>21</v>
      </c>
      <c r="AA234" s="213"/>
      <c r="AB234" s="1501"/>
      <c r="AC234" s="1502"/>
      <c r="AD234" s="168"/>
      <c r="AE234" s="1503"/>
      <c r="AF234" s="1529"/>
    </row>
    <row r="235" spans="1:33" ht="25.5" customHeight="1">
      <c r="J235" s="254"/>
      <c r="K235" s="29"/>
      <c r="L235" s="30" t="s">
        <v>23</v>
      </c>
      <c r="M235" s="3448" t="s">
        <v>1106</v>
      </c>
      <c r="N235" s="3449"/>
      <c r="O235" s="197">
        <f t="shared" si="27"/>
        <v>0</v>
      </c>
      <c r="P235" s="197">
        <f t="shared" si="27"/>
        <v>200000000</v>
      </c>
      <c r="Q235" s="1436">
        <f t="shared" si="27"/>
        <v>0</v>
      </c>
      <c r="R235" s="1436">
        <f t="shared" si="27"/>
        <v>0</v>
      </c>
      <c r="S235" s="1559">
        <f t="shared" si="18"/>
        <v>200000000</v>
      </c>
      <c r="T235" s="2463"/>
      <c r="U235" s="198"/>
      <c r="V235" s="81">
        <f>V236</f>
        <v>0</v>
      </c>
      <c r="W235" s="81">
        <f>W236</f>
        <v>200000000</v>
      </c>
      <c r="X235" s="214"/>
      <c r="Y235" s="244">
        <f>Y236</f>
        <v>200000000</v>
      </c>
      <c r="Z235" s="81" t="s">
        <v>21</v>
      </c>
      <c r="AA235" s="214"/>
      <c r="AB235" s="1505"/>
      <c r="AC235" s="1506"/>
      <c r="AD235" s="169"/>
      <c r="AE235" s="1507"/>
      <c r="AF235" s="1530"/>
    </row>
    <row r="236" spans="1:33" ht="33" customHeight="1">
      <c r="J236" s="254"/>
      <c r="K236" s="34"/>
      <c r="L236" s="172"/>
      <c r="M236" s="172">
        <v>143</v>
      </c>
      <c r="N236" s="2501" t="s">
        <v>1107</v>
      </c>
      <c r="O236" s="187">
        <f>DATA!T208</f>
        <v>0</v>
      </c>
      <c r="P236" s="187">
        <f>DATA!U208</f>
        <v>200000000</v>
      </c>
      <c r="Q236" s="187">
        <f>DATA!V208</f>
        <v>0</v>
      </c>
      <c r="R236" s="187">
        <f>DATA!W208</f>
        <v>0</v>
      </c>
      <c r="S236" s="2467">
        <f t="shared" si="18"/>
        <v>200000000</v>
      </c>
      <c r="T236" s="2470"/>
      <c r="U236" s="1440"/>
      <c r="V236" s="1458">
        <v>0</v>
      </c>
      <c r="W236" s="77">
        <f>DATA!AA208</f>
        <v>200000000</v>
      </c>
      <c r="X236" s="216" t="str">
        <f>DATA!Y208</f>
        <v>Belum Ada Indikasi</v>
      </c>
      <c r="Y236" s="245">
        <f>DATA!AT208</f>
        <v>200000000</v>
      </c>
      <c r="Z236" s="109" t="str">
        <f>DATA!AU208</f>
        <v>Belum Ada Indikasi</v>
      </c>
      <c r="AA236" s="216">
        <f>DATA!AW208</f>
        <v>0</v>
      </c>
      <c r="AB236" s="245">
        <f>DATA!AM208</f>
        <v>0</v>
      </c>
      <c r="AC236" s="1510" t="str">
        <f>DATA!AN208</f>
        <v>belum ada keterangan</v>
      </c>
      <c r="AD236" s="1511" t="str">
        <f>DATA!AO208</f>
        <v>belum ada keterangan</v>
      </c>
      <c r="AE236" s="1519">
        <f>DATA!AQ208</f>
        <v>0</v>
      </c>
      <c r="AF236" s="1533" t="str">
        <f>DATA!AR208</f>
        <v>belum ada dokumen R/C</v>
      </c>
    </row>
    <row r="237" spans="1:33" ht="21.75" customHeight="1">
      <c r="J237" s="2502"/>
      <c r="K237" s="1421">
        <v>22</v>
      </c>
      <c r="L237" s="1422" t="s">
        <v>1108</v>
      </c>
      <c r="M237" s="1421"/>
      <c r="N237" s="2490"/>
      <c r="O237" s="194"/>
      <c r="P237" s="194">
        <v>148145000</v>
      </c>
      <c r="Q237" s="194">
        <v>16660000</v>
      </c>
      <c r="R237" s="187"/>
      <c r="S237" s="2467"/>
      <c r="T237" s="2470"/>
      <c r="U237" s="1440"/>
      <c r="V237" s="1458"/>
      <c r="W237" s="77"/>
      <c r="X237" s="216"/>
      <c r="Y237" s="245"/>
      <c r="Z237" s="109"/>
      <c r="AA237" s="216"/>
      <c r="AB237" s="245"/>
      <c r="AC237" s="1510"/>
      <c r="AD237" s="1511"/>
      <c r="AE237" s="1519"/>
      <c r="AF237" s="1533"/>
    </row>
    <row r="238" spans="1:33" ht="33" customHeight="1">
      <c r="J238" s="2502"/>
      <c r="K238" s="29"/>
      <c r="L238" s="30" t="s">
        <v>23</v>
      </c>
      <c r="M238" s="3448" t="s">
        <v>1109</v>
      </c>
      <c r="N238" s="3449"/>
      <c r="O238" s="197"/>
      <c r="P238" s="197">
        <v>148145000</v>
      </c>
      <c r="Q238" s="1436">
        <v>16660000</v>
      </c>
      <c r="R238" s="187"/>
      <c r="S238" s="2467"/>
      <c r="T238" s="2470"/>
      <c r="U238" s="1440"/>
      <c r="V238" s="1458"/>
      <c r="W238" s="77"/>
      <c r="X238" s="216"/>
      <c r="Y238" s="245"/>
      <c r="Z238" s="109"/>
      <c r="AA238" s="216"/>
      <c r="AB238" s="245"/>
      <c r="AC238" s="1510"/>
      <c r="AD238" s="1511"/>
      <c r="AE238" s="1519"/>
      <c r="AF238" s="1533"/>
    </row>
    <row r="239" spans="1:33" ht="33" customHeight="1">
      <c r="J239" s="2502"/>
      <c r="K239" s="34"/>
      <c r="L239" s="172"/>
      <c r="M239" s="172">
        <v>144</v>
      </c>
      <c r="N239" s="2501" t="s">
        <v>1110</v>
      </c>
      <c r="O239" s="187"/>
      <c r="P239" s="187">
        <v>148145000</v>
      </c>
      <c r="Q239" s="187">
        <v>16660000</v>
      </c>
      <c r="R239" s="187"/>
      <c r="S239" s="2467"/>
      <c r="T239" s="2470"/>
      <c r="U239" s="1440"/>
      <c r="V239" s="1458"/>
      <c r="W239" s="77"/>
      <c r="X239" s="216"/>
      <c r="Y239" s="245"/>
      <c r="Z239" s="109"/>
      <c r="AA239" s="216"/>
      <c r="AB239" s="245"/>
      <c r="AC239" s="1510"/>
      <c r="AD239" s="1511"/>
      <c r="AE239" s="1519"/>
      <c r="AF239" s="1533"/>
    </row>
    <row r="240" spans="1:33" ht="24" customHeight="1">
      <c r="J240" s="254"/>
      <c r="K240" s="1421">
        <v>23</v>
      </c>
      <c r="L240" s="1422" t="str">
        <f>DATA!F209</f>
        <v>Lembaga Ilmu Pengetahuan Indonesia (LIPI)</v>
      </c>
      <c r="M240" s="1421"/>
      <c r="N240" s="2490"/>
      <c r="O240" s="194">
        <f t="shared" ref="O240:R241" si="28">O241</f>
        <v>0</v>
      </c>
      <c r="P240" s="194">
        <f t="shared" si="28"/>
        <v>107950000</v>
      </c>
      <c r="Q240" s="194">
        <f t="shared" si="28"/>
        <v>2950000</v>
      </c>
      <c r="R240" s="194">
        <f t="shared" si="28"/>
        <v>0</v>
      </c>
      <c r="S240" s="194">
        <f>P240+Q240+R240</f>
        <v>110900000</v>
      </c>
      <c r="T240" s="2484"/>
      <c r="U240" s="1435"/>
      <c r="V240" s="80">
        <f>V241</f>
        <v>0</v>
      </c>
      <c r="W240" s="80">
        <f>W241</f>
        <v>107950000</v>
      </c>
      <c r="X240" s="213"/>
      <c r="Y240" s="242">
        <f>Y241</f>
        <v>107950000</v>
      </c>
      <c r="Z240" s="80" t="s">
        <v>21</v>
      </c>
      <c r="AA240" s="213"/>
      <c r="AB240" s="1501"/>
      <c r="AC240" s="1502"/>
      <c r="AD240" s="168"/>
      <c r="AE240" s="1503"/>
      <c r="AF240" s="1529"/>
    </row>
    <row r="241" spans="1:33" ht="23.25" customHeight="1">
      <c r="A241" s="1397"/>
      <c r="B241" s="20"/>
      <c r="C241" s="20"/>
      <c r="D241" s="20"/>
      <c r="E241" s="20"/>
      <c r="F241" s="20"/>
      <c r="G241" s="20"/>
      <c r="H241" s="20"/>
      <c r="I241" s="186"/>
      <c r="J241" s="254"/>
      <c r="K241" s="29"/>
      <c r="L241" s="30" t="s">
        <v>23</v>
      </c>
      <c r="M241" s="3448" t="str">
        <f>DATA!J209</f>
        <v xml:space="preserve">Program Pengembangan Penelitian Kelautan </v>
      </c>
      <c r="N241" s="3449"/>
      <c r="O241" s="197">
        <f t="shared" si="28"/>
        <v>0</v>
      </c>
      <c r="P241" s="197">
        <f t="shared" si="28"/>
        <v>107950000</v>
      </c>
      <c r="Q241" s="1436">
        <f t="shared" si="28"/>
        <v>2950000</v>
      </c>
      <c r="R241" s="1436">
        <f t="shared" si="28"/>
        <v>0</v>
      </c>
      <c r="S241" s="1559">
        <f>P241+Q241+R241</f>
        <v>110900000</v>
      </c>
      <c r="T241" s="2463"/>
      <c r="U241" s="198"/>
      <c r="V241" s="81">
        <f>V242</f>
        <v>0</v>
      </c>
      <c r="W241" s="81">
        <f>W242</f>
        <v>107950000</v>
      </c>
      <c r="X241" s="214"/>
      <c r="Y241" s="244">
        <f>Y242</f>
        <v>107950000</v>
      </c>
      <c r="Z241" s="81" t="s">
        <v>21</v>
      </c>
      <c r="AA241" s="214"/>
      <c r="AB241" s="1505"/>
      <c r="AC241" s="1506"/>
      <c r="AD241" s="169"/>
      <c r="AE241" s="1507"/>
      <c r="AF241" s="1530"/>
      <c r="AG241" s="1533"/>
    </row>
    <row r="242" spans="1:33" ht="28.5" customHeight="1">
      <c r="A242" s="1397"/>
      <c r="B242" s="20"/>
      <c r="C242" s="20"/>
      <c r="D242" s="20"/>
      <c r="E242" s="20"/>
      <c r="F242" s="20"/>
      <c r="G242" s="20"/>
      <c r="H242" s="20"/>
      <c r="I242" s="186"/>
      <c r="J242" s="254"/>
      <c r="K242" s="54"/>
      <c r="L242" s="36"/>
      <c r="M242" s="36">
        <v>145</v>
      </c>
      <c r="N242" s="2428" t="s">
        <v>1078</v>
      </c>
      <c r="O242" s="1414">
        <v>0</v>
      </c>
      <c r="P242" s="1424">
        <v>107950000</v>
      </c>
      <c r="Q242" s="1459">
        <v>2950000</v>
      </c>
      <c r="R242" s="1459">
        <v>0</v>
      </c>
      <c r="S242" s="2467">
        <f>P242+Q242+R242</f>
        <v>110900000</v>
      </c>
      <c r="T242" s="2470"/>
      <c r="U242" s="1440"/>
      <c r="V242" s="1458">
        <v>0</v>
      </c>
      <c r="W242" s="77">
        <f>DATA!AA209</f>
        <v>107950000</v>
      </c>
      <c r="X242" s="216" t="str">
        <f>DATA!Y209</f>
        <v>Belum Ada Indikasi</v>
      </c>
      <c r="Y242" s="245">
        <f>DATA!AT209</f>
        <v>107950000</v>
      </c>
      <c r="Z242" s="109" t="str">
        <f>DATA!AU209</f>
        <v>Belum Ada Indikasi</v>
      </c>
      <c r="AA242" s="216">
        <f>DATA!AW209</f>
        <v>0</v>
      </c>
      <c r="AB242" s="245">
        <f>DATA!AM209</f>
        <v>0</v>
      </c>
      <c r="AC242" s="1510" t="str">
        <f>DATA!AN209</f>
        <v>belum ada keterangan</v>
      </c>
      <c r="AD242" s="1511" t="str">
        <f>DATA!AO209</f>
        <v>belum ada keterangan</v>
      </c>
      <c r="AE242" s="1519">
        <f>DATA!AQ209</f>
        <v>0</v>
      </c>
      <c r="AF242" s="1533" t="str">
        <f>DATA!AR209</f>
        <v>belum ada dokumen R/C</v>
      </c>
      <c r="AG242" s="3"/>
    </row>
    <row r="243" spans="1:33" s="3" customFormat="1" ht="30" customHeight="1">
      <c r="J243" s="3450" t="s">
        <v>477</v>
      </c>
      <c r="K243" s="3451"/>
      <c r="L243" s="3451"/>
      <c r="M243" s="3451"/>
      <c r="N243" s="3452"/>
      <c r="O243" s="278">
        <f>+O9+O168</f>
        <v>36036774300</v>
      </c>
      <c r="P243" s="278">
        <f>+P9+P168</f>
        <v>42421540700</v>
      </c>
      <c r="Q243" s="1460">
        <f>+Q9+Q168</f>
        <v>5946030300</v>
      </c>
      <c r="R243" s="1460">
        <f>+R9+R168</f>
        <v>30360000</v>
      </c>
      <c r="S243" s="2492">
        <f>P243+Q243+R243</f>
        <v>48397931000</v>
      </c>
      <c r="T243" s="2493"/>
      <c r="U243" s="279"/>
      <c r="V243" s="280">
        <f>+V9+V168</f>
        <v>33151223596</v>
      </c>
      <c r="W243" s="280">
        <f>+W9+W168</f>
        <v>8905672104</v>
      </c>
      <c r="X243" s="280"/>
      <c r="Y243" s="288">
        <f>+Y9+Y168</f>
        <v>42273395700</v>
      </c>
      <c r="Z243" s="280" t="s">
        <v>21</v>
      </c>
      <c r="AA243" s="280" t="s">
        <v>21</v>
      </c>
      <c r="AB243" s="1523"/>
      <c r="AC243" s="1524"/>
      <c r="AD243" s="1525"/>
      <c r="AE243" s="1526"/>
      <c r="AF243" s="1534"/>
      <c r="AG243" s="12"/>
    </row>
    <row r="244" spans="1:33" s="12" customFormat="1">
      <c r="A244" s="10"/>
      <c r="B244" s="10"/>
      <c r="C244" s="10"/>
      <c r="D244" s="10"/>
      <c r="E244" s="10"/>
      <c r="F244" s="10"/>
      <c r="G244" s="10"/>
      <c r="H244" s="10"/>
      <c r="I244" s="10"/>
      <c r="J244" s="11"/>
      <c r="K244" s="10"/>
      <c r="L244" s="10"/>
      <c r="M244" s="10"/>
      <c r="O244" s="13"/>
      <c r="P244" s="13"/>
      <c r="Q244" s="1395"/>
      <c r="R244" s="1395"/>
      <c r="S244" s="13"/>
      <c r="T244" s="13"/>
      <c r="U244" s="14"/>
      <c r="V244" s="13"/>
      <c r="W244" s="13"/>
      <c r="X244" s="13"/>
      <c r="AB244" s="14"/>
      <c r="AC244" s="14"/>
      <c r="AD244" s="14"/>
      <c r="AE244" s="14"/>
      <c r="AF244" s="175"/>
    </row>
    <row r="245" spans="1:33" s="12" customFormat="1">
      <c r="A245" s="10"/>
      <c r="B245" s="10"/>
      <c r="C245" s="10"/>
      <c r="D245" s="10"/>
      <c r="E245" s="10"/>
      <c r="F245" s="10"/>
      <c r="G245" s="10"/>
      <c r="H245" s="10"/>
      <c r="I245" s="10"/>
      <c r="J245" s="11"/>
      <c r="K245" s="10" t="s">
        <v>1111</v>
      </c>
      <c r="L245" s="10"/>
      <c r="M245" s="10"/>
      <c r="O245" s="13"/>
      <c r="P245" s="13"/>
      <c r="Q245" s="1395"/>
      <c r="R245" s="1395"/>
      <c r="S245" s="13"/>
      <c r="T245" s="13"/>
      <c r="U245" s="14"/>
      <c r="V245" s="13">
        <f>V243+W243</f>
        <v>42056895700</v>
      </c>
      <c r="W245" s="13"/>
      <c r="X245" s="13"/>
      <c r="Y245" s="289"/>
      <c r="AB245" s="14"/>
      <c r="AC245" s="14"/>
      <c r="AD245" s="14"/>
      <c r="AE245" s="14"/>
      <c r="AF245" s="175"/>
      <c r="AG245" s="10"/>
    </row>
    <row r="246" spans="1:33">
      <c r="V246" s="13">
        <f>V245-Y243</f>
        <v>-216500000</v>
      </c>
    </row>
    <row r="248" spans="1:33">
      <c r="Y248" s="289"/>
    </row>
    <row r="249" spans="1:33">
      <c r="AG249" s="12"/>
    </row>
    <row r="250" spans="1:33" s="12" customFormat="1">
      <c r="A250" s="10"/>
      <c r="B250" s="10"/>
      <c r="C250" s="10"/>
      <c r="D250" s="10"/>
      <c r="E250" s="10"/>
      <c r="F250" s="10"/>
      <c r="G250" s="10"/>
      <c r="H250" s="10"/>
      <c r="I250" s="10"/>
      <c r="J250" s="11"/>
      <c r="K250" s="10"/>
      <c r="L250" s="10"/>
      <c r="M250" s="10"/>
      <c r="O250" s="13"/>
      <c r="P250" s="13"/>
      <c r="Q250" s="1395"/>
      <c r="R250" s="1395"/>
      <c r="S250" s="13"/>
      <c r="T250" s="13"/>
      <c r="U250" s="14"/>
      <c r="V250" s="13"/>
      <c r="W250" s="13"/>
      <c r="X250" s="13"/>
      <c r="Z250" s="289"/>
      <c r="AB250" s="14"/>
      <c r="AC250" s="14"/>
      <c r="AD250" s="14"/>
      <c r="AE250" s="14"/>
      <c r="AF250" s="175"/>
    </row>
    <row r="251" spans="1:33" s="12" customFormat="1">
      <c r="A251" s="10"/>
      <c r="B251" s="10"/>
      <c r="C251" s="10"/>
      <c r="D251" s="10"/>
      <c r="E251" s="10"/>
      <c r="F251" s="10"/>
      <c r="G251" s="10"/>
      <c r="H251" s="10"/>
      <c r="I251" s="10"/>
      <c r="J251" s="11"/>
      <c r="K251" s="10"/>
      <c r="L251" s="10"/>
      <c r="M251" s="10"/>
      <c r="O251" s="13"/>
      <c r="P251" s="13"/>
      <c r="Q251" s="1395"/>
      <c r="R251" s="1395"/>
      <c r="S251" s="13"/>
      <c r="T251" s="13"/>
      <c r="U251" s="14"/>
      <c r="V251" s="13"/>
      <c r="W251" s="13"/>
      <c r="X251" s="13"/>
      <c r="Y251" s="289"/>
      <c r="AB251" s="14"/>
      <c r="AC251" s="14"/>
      <c r="AD251" s="14"/>
      <c r="AE251" s="14"/>
      <c r="AF251" s="175"/>
    </row>
    <row r="252" spans="1:33" s="12" customFormat="1">
      <c r="A252" s="10"/>
      <c r="B252" s="10"/>
      <c r="C252" s="10"/>
      <c r="D252" s="10"/>
      <c r="E252" s="10"/>
      <c r="F252" s="10"/>
      <c r="G252" s="10"/>
      <c r="H252" s="10"/>
      <c r="I252" s="10"/>
      <c r="J252" s="11"/>
      <c r="K252" s="10"/>
      <c r="L252" s="10"/>
      <c r="M252" s="10"/>
      <c r="O252" s="13"/>
      <c r="P252" s="13"/>
      <c r="Q252" s="1395"/>
      <c r="R252" s="1395"/>
      <c r="S252" s="13"/>
      <c r="T252" s="13"/>
      <c r="U252" s="14"/>
      <c r="V252" s="13"/>
      <c r="W252" s="13"/>
      <c r="X252" s="13"/>
      <c r="AB252" s="14"/>
      <c r="AC252" s="14"/>
      <c r="AD252" s="14"/>
      <c r="AE252" s="14"/>
      <c r="AF252" s="175"/>
      <c r="AG252" s="10"/>
    </row>
  </sheetData>
  <autoFilter ref="A8:AF243"/>
  <mergeCells count="184">
    <mergeCell ref="AE12:AE13"/>
    <mergeCell ref="AF12:AF13"/>
    <mergeCell ref="AF48:AF51"/>
    <mergeCell ref="AF199:AF201"/>
    <mergeCell ref="AF207:AF209"/>
    <mergeCell ref="AF210:AF212"/>
    <mergeCell ref="J6:N7"/>
    <mergeCell ref="AC210:AC212"/>
    <mergeCell ref="AD12:AD13"/>
    <mergeCell ref="AD44:AD45"/>
    <mergeCell ref="AD48:AD51"/>
    <mergeCell ref="AD68:AD69"/>
    <mergeCell ref="AD70:AD71"/>
    <mergeCell ref="AD96:AD98"/>
    <mergeCell ref="AD199:AD201"/>
    <mergeCell ref="AD207:AD209"/>
    <mergeCell ref="AD210:AD212"/>
    <mergeCell ref="AB12:AB13"/>
    <mergeCell ref="AC12:AC13"/>
    <mergeCell ref="AC44:AC45"/>
    <mergeCell ref="AC48:AC51"/>
    <mergeCell ref="AC68:AC69"/>
    <mergeCell ref="AC70:AC71"/>
    <mergeCell ref="AC96:AC98"/>
    <mergeCell ref="AC199:AC201"/>
    <mergeCell ref="AC207:AC209"/>
    <mergeCell ref="W48:W49"/>
    <mergeCell ref="W70:W71"/>
    <mergeCell ref="W111:W112"/>
    <mergeCell ref="W163:W164"/>
    <mergeCell ref="W165:W167"/>
    <mergeCell ref="X48:X49"/>
    <mergeCell ref="X70:X71"/>
    <mergeCell ref="X111:X112"/>
    <mergeCell ref="X163:X164"/>
    <mergeCell ref="X165:X167"/>
    <mergeCell ref="U48:U49"/>
    <mergeCell ref="U60:U62"/>
    <mergeCell ref="U70:U71"/>
    <mergeCell ref="V12:V13"/>
    <mergeCell ref="V48:V49"/>
    <mergeCell ref="V70:V71"/>
    <mergeCell ref="V111:V112"/>
    <mergeCell ref="V163:V164"/>
    <mergeCell ref="V165:V167"/>
    <mergeCell ref="S111:S112"/>
    <mergeCell ref="S163:S164"/>
    <mergeCell ref="S165:S167"/>
    <mergeCell ref="S199:S201"/>
    <mergeCell ref="S207:S209"/>
    <mergeCell ref="S210:S212"/>
    <mergeCell ref="T6:T7"/>
    <mergeCell ref="T96:T98"/>
    <mergeCell ref="T111:T112"/>
    <mergeCell ref="T163:T164"/>
    <mergeCell ref="T165:T167"/>
    <mergeCell ref="T207:T209"/>
    <mergeCell ref="T210:T212"/>
    <mergeCell ref="S6:S7"/>
    <mergeCell ref="S12:S13"/>
    <mergeCell ref="S44:S45"/>
    <mergeCell ref="S48:S51"/>
    <mergeCell ref="S60:S62"/>
    <mergeCell ref="S68:S69"/>
    <mergeCell ref="S70:S71"/>
    <mergeCell ref="S96:S98"/>
    <mergeCell ref="S107:S109"/>
    <mergeCell ref="R70:R71"/>
    <mergeCell ref="R96:R98"/>
    <mergeCell ref="R107:R109"/>
    <mergeCell ref="R111:R112"/>
    <mergeCell ref="R163:R164"/>
    <mergeCell ref="R165:R167"/>
    <mergeCell ref="R199:R201"/>
    <mergeCell ref="R207:R209"/>
    <mergeCell ref="R210:R212"/>
    <mergeCell ref="P111:P112"/>
    <mergeCell ref="P163:P164"/>
    <mergeCell ref="P165:P167"/>
    <mergeCell ref="P199:P201"/>
    <mergeCell ref="P207:P209"/>
    <mergeCell ref="P210:P212"/>
    <mergeCell ref="Q6:Q7"/>
    <mergeCell ref="Q12:Q13"/>
    <mergeCell ref="Q44:Q45"/>
    <mergeCell ref="Q48:Q51"/>
    <mergeCell ref="Q60:Q62"/>
    <mergeCell ref="Q68:Q69"/>
    <mergeCell ref="Q70:Q71"/>
    <mergeCell ref="Q96:Q98"/>
    <mergeCell ref="Q107:Q109"/>
    <mergeCell ref="Q111:Q112"/>
    <mergeCell ref="Q163:Q164"/>
    <mergeCell ref="Q165:Q167"/>
    <mergeCell ref="Q199:Q201"/>
    <mergeCell ref="Q207:Q209"/>
    <mergeCell ref="Q210:Q212"/>
    <mergeCell ref="N111:N112"/>
    <mergeCell ref="N163:N164"/>
    <mergeCell ref="N165:N167"/>
    <mergeCell ref="N199:N201"/>
    <mergeCell ref="N207:N209"/>
    <mergeCell ref="N210:N212"/>
    <mergeCell ref="O6:O7"/>
    <mergeCell ref="O12:O13"/>
    <mergeCell ref="O44:O45"/>
    <mergeCell ref="O48:O51"/>
    <mergeCell ref="O60:O62"/>
    <mergeCell ref="O68:O69"/>
    <mergeCell ref="O70:O71"/>
    <mergeCell ref="O96:O98"/>
    <mergeCell ref="O107:O109"/>
    <mergeCell ref="O111:O112"/>
    <mergeCell ref="O163:O164"/>
    <mergeCell ref="O165:O167"/>
    <mergeCell ref="O199:O201"/>
    <mergeCell ref="O207:O209"/>
    <mergeCell ref="O210:O212"/>
    <mergeCell ref="M196:N196"/>
    <mergeCell ref="M206:N206"/>
    <mergeCell ref="M241:N241"/>
    <mergeCell ref="J243:N243"/>
    <mergeCell ref="M12:M13"/>
    <mergeCell ref="M44:M45"/>
    <mergeCell ref="M48:M51"/>
    <mergeCell ref="M60:M62"/>
    <mergeCell ref="M68:M69"/>
    <mergeCell ref="M70:M71"/>
    <mergeCell ref="M96:M98"/>
    <mergeCell ref="M107:M109"/>
    <mergeCell ref="M111:M112"/>
    <mergeCell ref="M163:M164"/>
    <mergeCell ref="M165:M167"/>
    <mergeCell ref="M199:M201"/>
    <mergeCell ref="M207:M209"/>
    <mergeCell ref="M210:M212"/>
    <mergeCell ref="N12:N13"/>
    <mergeCell ref="N44:N45"/>
    <mergeCell ref="N48:N51"/>
    <mergeCell ref="N60:N62"/>
    <mergeCell ref="N68:N69"/>
    <mergeCell ref="N70:N71"/>
    <mergeCell ref="N96:N98"/>
    <mergeCell ref="N107:N109"/>
    <mergeCell ref="M213:N213"/>
    <mergeCell ref="M217:N217"/>
    <mergeCell ref="M223:N223"/>
    <mergeCell ref="M229:N229"/>
    <mergeCell ref="M232:N232"/>
    <mergeCell ref="M235:N235"/>
    <mergeCell ref="M238:N238"/>
    <mergeCell ref="M143:N143"/>
    <mergeCell ref="M146:N146"/>
    <mergeCell ref="M156:N156"/>
    <mergeCell ref="M159:N159"/>
    <mergeCell ref="M162:N162"/>
    <mergeCell ref="M170:N170"/>
    <mergeCell ref="M180:N180"/>
    <mergeCell ref="M189:N189"/>
    <mergeCell ref="M194:N194"/>
    <mergeCell ref="J1:AF1"/>
    <mergeCell ref="U5:AA5"/>
    <mergeCell ref="AB5:AF5"/>
    <mergeCell ref="U6:X6"/>
    <mergeCell ref="Y6:AA6"/>
    <mergeCell ref="AB6:AF6"/>
    <mergeCell ref="M43:N43"/>
    <mergeCell ref="M55:N55"/>
    <mergeCell ref="M110:N110"/>
    <mergeCell ref="P6:P7"/>
    <mergeCell ref="P12:P13"/>
    <mergeCell ref="P44:P45"/>
    <mergeCell ref="P48:P51"/>
    <mergeCell ref="P60:P62"/>
    <mergeCell ref="P68:P69"/>
    <mergeCell ref="P70:P71"/>
    <mergeCell ref="P96:P98"/>
    <mergeCell ref="P107:P109"/>
    <mergeCell ref="R6:R7"/>
    <mergeCell ref="R12:R13"/>
    <mergeCell ref="R44:R45"/>
    <mergeCell ref="R48:R51"/>
    <mergeCell ref="R60:R62"/>
    <mergeCell ref="R68:R69"/>
  </mergeCells>
  <printOptions horizontalCentered="1"/>
  <pageMargins left="0.39305555555555599" right="0.39305555555555599" top="0.39305555555555599" bottom="0.39305555555555599" header="0.31458333333333299" footer="0.196527777777778"/>
  <pageSetup paperSize="9" scale="76" fitToHeight="0" orientation="portrait"/>
  <headerFooter>
    <oddFooter>&amp;R&amp;"Cambria,Italic"&amp;9&amp;P/&amp;N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B221"/>
  <sheetViews>
    <sheetView topLeftCell="J1" zoomScale="60" zoomScaleNormal="60" workbookViewId="0">
      <pane ySplit="9" topLeftCell="A10" activePane="bottomLeft" state="frozen"/>
      <selection pane="bottomLeft" activeCell="N51" sqref="N51:N52"/>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3.7109375" style="12" customWidth="1"/>
    <col min="15" max="16" width="9.140625" style="10" hidden="1" customWidth="1"/>
    <col min="17" max="17" width="19.85546875" style="10" hidden="1" customWidth="1"/>
    <col min="18" max="18" width="21" style="13" customWidth="1"/>
    <col min="19" max="19" width="24.85546875" style="14" customWidth="1"/>
    <col min="20" max="20" width="21.85546875" style="13" customWidth="1"/>
    <col min="21" max="21" width="21" style="13" customWidth="1"/>
    <col min="22" max="22" width="28.5703125" style="13" hidden="1" customWidth="1"/>
    <col min="23" max="23" width="21.42578125" style="12" hidden="1" customWidth="1"/>
    <col min="24" max="24" width="23.7109375" style="12" hidden="1" customWidth="1"/>
    <col min="25" max="25" width="51.28515625" style="12" hidden="1" customWidth="1"/>
    <col min="26" max="26" width="21.5703125" style="14" customWidth="1"/>
    <col min="27" max="27" width="22.42578125" style="14" customWidth="1"/>
    <col min="28" max="28" width="21.5703125" style="14" customWidth="1"/>
    <col min="29" max="16384" width="9.140625" style="10"/>
  </cols>
  <sheetData>
    <row r="1" spans="1:28" s="1" customFormat="1" ht="18">
      <c r="J1" s="3356" t="s">
        <v>1112</v>
      </c>
      <c r="K1" s="3356"/>
      <c r="L1" s="3356"/>
      <c r="M1" s="3356"/>
      <c r="N1" s="3356"/>
      <c r="O1" s="3356"/>
      <c r="P1" s="3356"/>
      <c r="Q1" s="3356"/>
      <c r="R1" s="3356"/>
      <c r="S1" s="3356"/>
      <c r="T1" s="3356"/>
      <c r="U1" s="3356"/>
      <c r="V1" s="3356"/>
      <c r="W1" s="3356"/>
      <c r="X1" s="3356"/>
      <c r="Y1" s="3356"/>
      <c r="Z1" s="3356"/>
      <c r="AA1" s="3356"/>
      <c r="AB1" s="3356"/>
    </row>
    <row r="2" spans="1:28" s="1" customFormat="1" ht="18" hidden="1">
      <c r="J2" s="3356" t="s">
        <v>1113</v>
      </c>
      <c r="K2" s="3356"/>
      <c r="L2" s="3356"/>
      <c r="M2" s="3356"/>
      <c r="N2" s="3356"/>
      <c r="O2" s="3356"/>
      <c r="P2" s="3356"/>
      <c r="Q2" s="3356"/>
      <c r="R2" s="3356"/>
      <c r="S2" s="3356"/>
      <c r="T2" s="3356"/>
      <c r="U2" s="3356"/>
      <c r="V2" s="3356"/>
      <c r="W2" s="3356"/>
      <c r="X2" s="3356"/>
      <c r="Y2" s="3356"/>
      <c r="Z2" s="3356"/>
      <c r="AA2" s="3356"/>
      <c r="AB2" s="3356"/>
    </row>
    <row r="3" spans="1:28" s="1" customFormat="1" ht="18" hidden="1">
      <c r="J3" s="3357" t="s">
        <v>1114</v>
      </c>
      <c r="K3" s="3357"/>
      <c r="L3" s="3357"/>
      <c r="M3" s="3357"/>
      <c r="N3" s="3357"/>
      <c r="O3" s="3357"/>
      <c r="P3" s="3357"/>
      <c r="Q3" s="3357"/>
      <c r="R3" s="3357"/>
      <c r="S3" s="3357"/>
      <c r="T3" s="3357"/>
      <c r="U3" s="3357"/>
      <c r="V3" s="3357"/>
      <c r="W3" s="3357"/>
      <c r="X3" s="3357"/>
      <c r="Y3" s="3357"/>
      <c r="Z3" s="3357"/>
      <c r="AA3" s="3357"/>
      <c r="AB3" s="3357"/>
    </row>
    <row r="4" spans="1:28" s="1" customFormat="1" ht="15.75" customHeight="1">
      <c r="J4" s="15"/>
      <c r="K4" s="15"/>
      <c r="L4" s="15"/>
      <c r="M4" s="15"/>
      <c r="N4" s="15"/>
      <c r="O4" s="15"/>
      <c r="P4" s="15"/>
      <c r="Q4" s="15"/>
      <c r="R4" s="73"/>
      <c r="S4" s="15"/>
      <c r="T4" s="15"/>
      <c r="U4" s="15"/>
      <c r="V4" s="15"/>
      <c r="W4" s="236"/>
      <c r="X4" s="236"/>
      <c r="Y4" s="236"/>
      <c r="Z4" s="146"/>
      <c r="AA4" s="146"/>
      <c r="AB4" s="146"/>
    </row>
    <row r="6" spans="1:28" s="2" customFormat="1" ht="24.95" customHeight="1">
      <c r="J6" s="3388" t="s">
        <v>2</v>
      </c>
      <c r="K6" s="3372"/>
      <c r="L6" s="3372"/>
      <c r="M6" s="3372"/>
      <c r="N6" s="3372"/>
      <c r="O6" s="176"/>
      <c r="P6" s="176"/>
      <c r="Q6" s="185"/>
      <c r="R6" s="3380" t="s">
        <v>485</v>
      </c>
      <c r="S6" s="3527" t="s">
        <v>7</v>
      </c>
      <c r="T6" s="3423"/>
      <c r="U6" s="3423"/>
      <c r="V6" s="3423"/>
      <c r="W6" s="3423"/>
      <c r="X6" s="3423"/>
      <c r="Y6" s="3528"/>
      <c r="Z6" s="3542" t="s">
        <v>1086</v>
      </c>
      <c r="AA6" s="3543"/>
      <c r="AB6" s="3544"/>
    </row>
    <row r="7" spans="1:28" s="2" customFormat="1" ht="24.95" customHeight="1">
      <c r="J7" s="3540"/>
      <c r="K7" s="3541"/>
      <c r="L7" s="3541"/>
      <c r="M7" s="3541"/>
      <c r="N7" s="3541"/>
      <c r="O7" s="2384"/>
      <c r="P7" s="2384"/>
      <c r="Q7" s="2385"/>
      <c r="R7" s="3430"/>
      <c r="S7" s="3529" t="s">
        <v>1088</v>
      </c>
      <c r="T7" s="3364"/>
      <c r="U7" s="3364"/>
      <c r="V7" s="3530"/>
      <c r="W7" s="3531" t="s">
        <v>1089</v>
      </c>
      <c r="X7" s="3361"/>
      <c r="Y7" s="3532"/>
      <c r="Z7" s="3545"/>
      <c r="AA7" s="3546"/>
      <c r="AB7" s="3547"/>
    </row>
    <row r="8" spans="1:28" s="2" customFormat="1" ht="68.25" customHeight="1">
      <c r="J8" s="3389"/>
      <c r="K8" s="3359"/>
      <c r="L8" s="3359"/>
      <c r="M8" s="3359"/>
      <c r="N8" s="3359"/>
      <c r="O8" s="16"/>
      <c r="P8" s="16"/>
      <c r="Q8" s="117"/>
      <c r="R8" s="3381"/>
      <c r="S8" s="76" t="s">
        <v>11</v>
      </c>
      <c r="T8" s="74" t="s">
        <v>1115</v>
      </c>
      <c r="U8" s="74" t="s">
        <v>1116</v>
      </c>
      <c r="V8" s="207" t="s">
        <v>509</v>
      </c>
      <c r="W8" s="237" t="s">
        <v>507</v>
      </c>
      <c r="X8" s="76" t="s">
        <v>510</v>
      </c>
      <c r="Y8" s="238" t="s">
        <v>511</v>
      </c>
      <c r="Z8" s="2393" t="s">
        <v>1091</v>
      </c>
      <c r="AA8" s="2394" t="s">
        <v>15</v>
      </c>
      <c r="AB8" s="2395" t="s">
        <v>511</v>
      </c>
    </row>
    <row r="9" spans="1:28">
      <c r="J9" s="177"/>
      <c r="K9" s="18"/>
      <c r="L9" s="18"/>
      <c r="M9" s="18"/>
      <c r="N9" s="19"/>
      <c r="O9" s="20"/>
      <c r="P9" s="20"/>
      <c r="Q9" s="186"/>
      <c r="R9" s="187"/>
      <c r="S9" s="189"/>
      <c r="T9" s="209"/>
      <c r="U9" s="209"/>
      <c r="V9" s="210"/>
      <c r="W9" s="209"/>
      <c r="X9" s="209"/>
      <c r="Y9" s="223"/>
    </row>
    <row r="10" spans="1:28" s="3" customFormat="1" ht="30" customHeight="1">
      <c r="A10" s="3" t="s">
        <v>21</v>
      </c>
      <c r="B10" s="3" t="s">
        <v>21</v>
      </c>
      <c r="C10" s="3" t="s">
        <v>21</v>
      </c>
      <c r="D10" s="3" t="s">
        <v>21</v>
      </c>
      <c r="E10" s="3" t="s">
        <v>21</v>
      </c>
      <c r="F10" s="3" t="s">
        <v>21</v>
      </c>
      <c r="G10" s="3" t="s">
        <v>21</v>
      </c>
      <c r="H10" s="3" t="s">
        <v>21</v>
      </c>
      <c r="I10" s="3" t="s">
        <v>21</v>
      </c>
      <c r="J10" s="178" t="str">
        <f>[2]DATA!B2</f>
        <v>I</v>
      </c>
      <c r="K10" s="22" t="str">
        <f>[2]DATA!C2</f>
        <v>INFRASTRUKTUR</v>
      </c>
      <c r="L10" s="22"/>
      <c r="M10" s="22"/>
      <c r="N10" s="23"/>
      <c r="O10" s="22"/>
      <c r="P10" s="22"/>
      <c r="Q10" s="190"/>
      <c r="R10" s="191">
        <f t="shared" ref="R10:W10" si="0">+R11+R119+R122+R129+R132+R137+R140</f>
        <v>35286135700</v>
      </c>
      <c r="S10" s="79"/>
      <c r="T10" s="79">
        <f t="shared" si="0"/>
        <v>34256407596</v>
      </c>
      <c r="U10" s="79">
        <f t="shared" si="0"/>
        <v>1029728104</v>
      </c>
      <c r="V10" s="212">
        <f t="shared" si="0"/>
        <v>0</v>
      </c>
      <c r="W10" s="240">
        <f t="shared" si="0"/>
        <v>35286135700</v>
      </c>
      <c r="X10" s="79" t="s">
        <v>21</v>
      </c>
      <c r="Y10" s="225"/>
      <c r="Z10" s="2396"/>
      <c r="AA10" s="2396"/>
      <c r="AB10" s="2396"/>
    </row>
    <row r="11" spans="1:28" s="4" customFormat="1" ht="24.95" customHeight="1">
      <c r="J11" s="179"/>
      <c r="K11" s="25">
        <f>[2]DATA!D2</f>
        <v>1</v>
      </c>
      <c r="L11" s="26" t="str">
        <f>[2]DATA!E2</f>
        <v>Kementerian Pekerjaan Umum dan Perumahan Rakyat</v>
      </c>
      <c r="M11" s="26"/>
      <c r="N11" s="27"/>
      <c r="O11" s="26"/>
      <c r="P11" s="26"/>
      <c r="Q11" s="193"/>
      <c r="R11" s="194">
        <f t="shared" ref="R11:W11" si="1">+R12+R19+R25+R35+R50+R62+R65+R72+R86+R90+R104+R113+R117</f>
        <v>22288199000</v>
      </c>
      <c r="S11" s="80"/>
      <c r="T11" s="80">
        <f t="shared" si="1"/>
        <v>21961807596</v>
      </c>
      <c r="U11" s="80">
        <f t="shared" si="1"/>
        <v>326391404</v>
      </c>
      <c r="V11" s="213">
        <f t="shared" si="1"/>
        <v>0</v>
      </c>
      <c r="W11" s="242">
        <f t="shared" si="1"/>
        <v>22288199000</v>
      </c>
      <c r="X11" s="80" t="s">
        <v>21</v>
      </c>
      <c r="Y11" s="227"/>
      <c r="Z11" s="2398"/>
      <c r="AA11" s="2398"/>
      <c r="AB11" s="2398"/>
    </row>
    <row r="12" spans="1:28" s="5" customFormat="1" ht="24.95" customHeight="1">
      <c r="J12" s="180"/>
      <c r="K12" s="29"/>
      <c r="L12" s="30" t="str">
        <f>[2]DATA!G2</f>
        <v>A</v>
      </c>
      <c r="M12" s="31" t="str">
        <f>[2]DATA!H2</f>
        <v>Program Pembangunan Jalan Tol</v>
      </c>
      <c r="N12" s="32"/>
      <c r="O12" s="31"/>
      <c r="P12" s="31"/>
      <c r="Q12" s="196"/>
      <c r="R12" s="197">
        <f>R13+R15+R16+R17+R18</f>
        <v>2025000000</v>
      </c>
      <c r="S12" s="81"/>
      <c r="T12" s="81">
        <f t="shared" ref="T12:U12" si="2">T13+T15+T16+T17+T18</f>
        <v>2025000000</v>
      </c>
      <c r="U12" s="81">
        <f t="shared" si="2"/>
        <v>0</v>
      </c>
      <c r="V12" s="214"/>
      <c r="W12" s="244">
        <f>W13+W14+W15+W16+W17+W18</f>
        <v>2025000000</v>
      </c>
      <c r="X12" s="81" t="s">
        <v>21</v>
      </c>
      <c r="Y12" s="229"/>
      <c r="Z12" s="2400"/>
      <c r="AA12" s="2400"/>
      <c r="AB12" s="2400"/>
    </row>
    <row r="13" spans="1:28" ht="49.5" customHeight="1">
      <c r="A13" s="10">
        <f>[2]DATA!A3</f>
        <v>1</v>
      </c>
      <c r="B13" s="10">
        <f>[2]DATA!B3</f>
        <v>0</v>
      </c>
      <c r="C13" s="10" t="str">
        <f>[2]DATA!C3</f>
        <v>INFRASTRUKTUR</v>
      </c>
      <c r="D13" s="10">
        <f>[2]DATA!D3</f>
        <v>1</v>
      </c>
      <c r="E13" s="10" t="str">
        <f>[2]DATA!E3</f>
        <v>Kementerian Pekerjaan Umum dan Perumahan Rakyat</v>
      </c>
      <c r="F13" s="10" t="str">
        <f>[2]DATA!F3</f>
        <v>Toll Road Development Program</v>
      </c>
      <c r="G13" s="10" t="str">
        <f>[2]DATA!G3</f>
        <v>A</v>
      </c>
      <c r="H13" s="10" t="str">
        <f>[2]DATA!H3</f>
        <v>Program Pembangunan Jalan Tol</v>
      </c>
      <c r="I13" s="10">
        <f>[2]DATA!I3</f>
        <v>1</v>
      </c>
      <c r="J13" s="181"/>
      <c r="K13" s="34"/>
      <c r="L13" s="34"/>
      <c r="M13" s="3390">
        <v>1</v>
      </c>
      <c r="N13" s="3393" t="str">
        <f>[2]DATA!J2</f>
        <v>Toll Road Development in Kalimantan, Sumatera, and Java Islands</v>
      </c>
      <c r="O13" s="20">
        <f>[2]DATA!O3</f>
        <v>0.5</v>
      </c>
      <c r="P13" s="20">
        <f>[2]DATA!P3</f>
        <v>0</v>
      </c>
      <c r="Q13" s="186">
        <f>[2]DATA!Q3</f>
        <v>0</v>
      </c>
      <c r="R13" s="3408">
        <f>[2]DATA!R2</f>
        <v>1250000000</v>
      </c>
      <c r="S13" s="78" t="str">
        <f>[2]DATA!W3</f>
        <v>RRT</v>
      </c>
      <c r="T13" s="3414">
        <f>[2]DATA!Z2</f>
        <v>1250000000</v>
      </c>
      <c r="U13" s="77">
        <v>0</v>
      </c>
      <c r="V13" s="216" t="str">
        <f>[2]DATA!W3</f>
        <v>RRT</v>
      </c>
      <c r="W13" s="245">
        <f>[2]DATA!AN3</f>
        <v>1000000000</v>
      </c>
      <c r="X13" s="109" t="str">
        <f>[2]DATA!AO3</f>
        <v>RRT</v>
      </c>
      <c r="Y13" s="246" t="str">
        <f>[2]DATA!AP3</f>
        <v>-</v>
      </c>
      <c r="Z13" s="3535" t="s">
        <v>568</v>
      </c>
      <c r="AA13" s="3535" t="s">
        <v>686</v>
      </c>
      <c r="AB13" s="3535"/>
    </row>
    <row r="14" spans="1:28" ht="39.75" customHeight="1">
      <c r="A14" s="10">
        <f>[2]DATA!A4</f>
        <v>2</v>
      </c>
      <c r="B14" s="10">
        <f>[2]DATA!B4</f>
        <v>0</v>
      </c>
      <c r="C14" s="10" t="str">
        <f>[2]DATA!C4</f>
        <v>INFRASTRUKTUR</v>
      </c>
      <c r="D14" s="10">
        <f>[2]DATA!D4</f>
        <v>1</v>
      </c>
      <c r="E14" s="10" t="str">
        <f>[2]DATA!E4</f>
        <v>Kementerian Pekerjaan Umum dan Perumahan Rakyat</v>
      </c>
      <c r="F14" s="10" t="str">
        <f>[2]DATA!F4</f>
        <v>Toll Road Development Program</v>
      </c>
      <c r="G14" s="10" t="str">
        <f>[2]DATA!G4</f>
        <v>A</v>
      </c>
      <c r="H14" s="10" t="str">
        <f>[2]DATA!H4</f>
        <v>Program Pembangunan Jalan Tol</v>
      </c>
      <c r="I14" s="10">
        <f>[2]DATA!I4</f>
        <v>1</v>
      </c>
      <c r="J14" s="181"/>
      <c r="K14" s="34"/>
      <c r="L14" s="34"/>
      <c r="M14" s="3391"/>
      <c r="N14" s="3394"/>
      <c r="O14" s="20">
        <f>[2]DATA!O4</f>
        <v>0.5</v>
      </c>
      <c r="P14" s="20">
        <f>[2]DATA!P4</f>
        <v>0</v>
      </c>
      <c r="Q14" s="186">
        <f>[2]DATA!Q4</f>
        <v>0</v>
      </c>
      <c r="R14" s="3409"/>
      <c r="S14" s="78" t="str">
        <f>[2]DATA!W4</f>
        <v>Korea</v>
      </c>
      <c r="T14" s="3415"/>
      <c r="U14" s="77">
        <v>0</v>
      </c>
      <c r="V14" s="216" t="str">
        <f>[2]DATA!W4</f>
        <v>Korea</v>
      </c>
      <c r="W14" s="245">
        <f>[2]DATA!AN4</f>
        <v>250000000</v>
      </c>
      <c r="X14" s="109" t="str">
        <f>[2]DATA!AO4</f>
        <v>Korea</v>
      </c>
      <c r="Y14" s="246" t="str">
        <f>[2]DATA!AP4</f>
        <v>belum masuk rolling plan EDCF (Korea)</v>
      </c>
      <c r="Z14" s="3536"/>
      <c r="AA14" s="3536"/>
      <c r="AB14" s="3536"/>
    </row>
    <row r="15" spans="1:28" ht="25.5">
      <c r="A15" s="10">
        <f>[2]DATA!A6</f>
        <v>4</v>
      </c>
      <c r="B15" s="10">
        <f>[2]DATA!B6</f>
        <v>0</v>
      </c>
      <c r="C15" s="10" t="str">
        <f>[2]DATA!C6</f>
        <v>INFRASTRUKTUR</v>
      </c>
      <c r="D15" s="10">
        <f>[2]DATA!D6</f>
        <v>1</v>
      </c>
      <c r="E15" s="10" t="str">
        <f>[2]DATA!E6</f>
        <v>Kementerian Pekerjaan Umum dan Perumahan Rakyat</v>
      </c>
      <c r="F15" s="10" t="str">
        <f>[2]DATA!F6</f>
        <v>Toll Road Development Program</v>
      </c>
      <c r="G15" s="10" t="str">
        <f>[2]DATA!G6</f>
        <v>A</v>
      </c>
      <c r="H15" s="10" t="str">
        <f>[2]DATA!H6</f>
        <v>Program Pembangunan Jalan Tol</v>
      </c>
      <c r="I15" s="10">
        <f>[2]DATA!I6</f>
        <v>2</v>
      </c>
      <c r="J15" s="181"/>
      <c r="K15" s="34"/>
      <c r="L15" s="34"/>
      <c r="M15" s="36">
        <v>2</v>
      </c>
      <c r="N15" s="56" t="str">
        <f>[2]DATA!J6</f>
        <v>Development of Cileunyi - Sumedang - Dawuan Toll Road Phase II</v>
      </c>
      <c r="O15" s="20">
        <f>[2]DATA!O6</f>
        <v>1</v>
      </c>
      <c r="P15" s="20">
        <f>[2]DATA!P6</f>
        <v>1</v>
      </c>
      <c r="Q15" s="186">
        <f>[2]DATA!Q6</f>
        <v>2</v>
      </c>
      <c r="R15" s="187">
        <f>[2]DATA!R6</f>
        <v>330000000</v>
      </c>
      <c r="S15" s="78" t="str">
        <f>[2]DATA!W6</f>
        <v>RRT</v>
      </c>
      <c r="T15" s="77">
        <f>[2]DATA!Z6</f>
        <v>330000000</v>
      </c>
      <c r="U15" s="77">
        <v>0</v>
      </c>
      <c r="V15" s="216" t="str">
        <f>[2]DATA!W6</f>
        <v>RRT</v>
      </c>
      <c r="W15" s="245">
        <f>[2]DATA!AN6</f>
        <v>330000000</v>
      </c>
      <c r="X15" s="109" t="str">
        <f>[2]DATA!AO6</f>
        <v>RRT</v>
      </c>
      <c r="Y15" s="246" t="str">
        <f>[2]DATA!AP6</f>
        <v>-</v>
      </c>
      <c r="Z15" s="2405" t="s">
        <v>582</v>
      </c>
      <c r="AA15" s="2405" t="s">
        <v>583</v>
      </c>
      <c r="AB15" s="2405"/>
    </row>
    <row r="16" spans="1:28" ht="24.75" customHeight="1">
      <c r="A16" s="10">
        <f>[2]DATA!A7</f>
        <v>5</v>
      </c>
      <c r="B16" s="10">
        <f>[2]DATA!B7</f>
        <v>0</v>
      </c>
      <c r="C16" s="10" t="str">
        <f>[2]DATA!C7</f>
        <v>INFRASTRUKTUR</v>
      </c>
      <c r="D16" s="10">
        <f>[2]DATA!D7</f>
        <v>1</v>
      </c>
      <c r="E16" s="10" t="str">
        <f>[2]DATA!E7</f>
        <v>Kementerian Pekerjaan Umum dan Perumahan Rakyat</v>
      </c>
      <c r="F16" s="10" t="str">
        <f>[2]DATA!F7</f>
        <v>Toll Road Development Program</v>
      </c>
      <c r="G16" s="10" t="str">
        <f>[2]DATA!G7</f>
        <v>A</v>
      </c>
      <c r="H16" s="10" t="str">
        <f>[2]DATA!H7</f>
        <v>Program Pembangunan Jalan Tol</v>
      </c>
      <c r="I16" s="10">
        <f>[2]DATA!I7</f>
        <v>2</v>
      </c>
      <c r="J16" s="181"/>
      <c r="K16" s="34"/>
      <c r="L16" s="34"/>
      <c r="M16" s="36">
        <v>3</v>
      </c>
      <c r="N16" s="56" t="str">
        <f>[2]DATA!J7</f>
        <v>Toll Road Development of Balikpapan - Samarinda</v>
      </c>
      <c r="O16" s="20">
        <f>[2]DATA!O7</f>
        <v>1</v>
      </c>
      <c r="P16" s="20">
        <f>[2]DATA!P7</f>
        <v>1</v>
      </c>
      <c r="Q16" s="186">
        <f>[2]DATA!Q7</f>
        <v>3</v>
      </c>
      <c r="R16" s="187">
        <f>[2]DATA!R7</f>
        <v>65000000</v>
      </c>
      <c r="S16" s="78" t="str">
        <f>[2]DATA!W7</f>
        <v>RRT</v>
      </c>
      <c r="T16" s="77">
        <f>[2]DATA!Z7</f>
        <v>65000000</v>
      </c>
      <c r="U16" s="77">
        <v>0</v>
      </c>
      <c r="V16" s="216" t="str">
        <f>[2]DATA!W7</f>
        <v>RRT</v>
      </c>
      <c r="W16" s="245">
        <f>[2]DATA!AN7</f>
        <v>65000000</v>
      </c>
      <c r="X16" s="109" t="str">
        <f>[2]DATA!AO7</f>
        <v>RRT</v>
      </c>
      <c r="Y16" s="246" t="str">
        <f>[2]DATA!AP7</f>
        <v>-</v>
      </c>
      <c r="Z16" s="2405" t="s">
        <v>582</v>
      </c>
      <c r="AA16" s="2405" t="s">
        <v>590</v>
      </c>
      <c r="AB16" s="2405"/>
    </row>
    <row r="17" spans="1:28" ht="23.25" customHeight="1">
      <c r="A17" s="10">
        <f>[2]DATA!A8</f>
        <v>6</v>
      </c>
      <c r="B17" s="10">
        <f>[2]DATA!B8</f>
        <v>0</v>
      </c>
      <c r="C17" s="10" t="str">
        <f>[2]DATA!C8</f>
        <v>INFRASTRUKTUR</v>
      </c>
      <c r="D17" s="10">
        <f>[2]DATA!D8</f>
        <v>1</v>
      </c>
      <c r="E17" s="10" t="str">
        <f>[2]DATA!E8</f>
        <v>Kementerian Pekerjaan Umum dan Perumahan Rakyat</v>
      </c>
      <c r="F17" s="10" t="str">
        <f>[2]DATA!F8</f>
        <v>Toll Road Development Program</v>
      </c>
      <c r="G17" s="10" t="str">
        <f>[2]DATA!G8</f>
        <v>A</v>
      </c>
      <c r="H17" s="10" t="str">
        <f>[2]DATA!H8</f>
        <v>Program Pembangunan Jalan Tol</v>
      </c>
      <c r="I17" s="10">
        <f>[2]DATA!I8</f>
        <v>2</v>
      </c>
      <c r="J17" s="181"/>
      <c r="K17" s="34"/>
      <c r="L17" s="34"/>
      <c r="M17" s="36">
        <v>4</v>
      </c>
      <c r="N17" s="56" t="str">
        <f>[2]DATA!J8</f>
        <v>Toll Road Development of Manado - Bitung</v>
      </c>
      <c r="O17" s="20">
        <f>[2]DATA!O8</f>
        <v>1</v>
      </c>
      <c r="P17" s="20">
        <f>[2]DATA!P8</f>
        <v>1</v>
      </c>
      <c r="Q17" s="186">
        <f>[2]DATA!Q8</f>
        <v>4</v>
      </c>
      <c r="R17" s="187">
        <f>[2]DATA!R8</f>
        <v>80000000</v>
      </c>
      <c r="S17" s="78" t="str">
        <f>[2]DATA!W8</f>
        <v>RRT</v>
      </c>
      <c r="T17" s="77">
        <f>[2]DATA!Z8</f>
        <v>80000000</v>
      </c>
      <c r="U17" s="77">
        <v>0</v>
      </c>
      <c r="V17" s="216" t="str">
        <f>[2]DATA!W8</f>
        <v>RRT</v>
      </c>
      <c r="W17" s="245">
        <f>[2]DATA!AN8</f>
        <v>80000000</v>
      </c>
      <c r="X17" s="109" t="str">
        <f>[2]DATA!AO8</f>
        <v>RRT</v>
      </c>
      <c r="Y17" s="246" t="str">
        <f>[2]DATA!AP8</f>
        <v>-</v>
      </c>
      <c r="Z17" s="2405" t="s">
        <v>582</v>
      </c>
      <c r="AA17" s="2405" t="s">
        <v>594</v>
      </c>
      <c r="AB17" s="2405"/>
    </row>
    <row r="18" spans="1:28" ht="42" customHeight="1">
      <c r="A18" s="10">
        <f>[2]DATA!A9</f>
        <v>7</v>
      </c>
      <c r="B18" s="10">
        <f>[2]DATA!B9</f>
        <v>0</v>
      </c>
      <c r="C18" s="10" t="str">
        <f>[2]DATA!C9</f>
        <v>INFRASTRUKTUR</v>
      </c>
      <c r="D18" s="10">
        <f>[2]DATA!D9</f>
        <v>1</v>
      </c>
      <c r="E18" s="10" t="str">
        <f>[2]DATA!E9</f>
        <v>Kementerian Pekerjaan Umum dan Perumahan Rakyat</v>
      </c>
      <c r="F18" s="10" t="str">
        <f>[2]DATA!F9</f>
        <v>Toll Road Development Program</v>
      </c>
      <c r="G18" s="10" t="str">
        <f>[2]DATA!G9</f>
        <v>A</v>
      </c>
      <c r="H18" s="10" t="str">
        <f>[2]DATA!H9</f>
        <v>Program Pembangunan Jalan Tol</v>
      </c>
      <c r="I18" s="10">
        <f>[2]DATA!I9</f>
        <v>2</v>
      </c>
      <c r="J18" s="181"/>
      <c r="K18" s="34"/>
      <c r="L18" s="34"/>
      <c r="M18" s="172">
        <v>5</v>
      </c>
      <c r="N18" s="173" t="str">
        <f>[2]DATA!J9</f>
        <v>Toll Road Development of Solo - Kertosono</v>
      </c>
      <c r="O18" s="20">
        <f>[2]DATA!O9</f>
        <v>1</v>
      </c>
      <c r="P18" s="20">
        <f>[2]DATA!P9</f>
        <v>1</v>
      </c>
      <c r="Q18" s="186">
        <f>[2]DATA!Q9</f>
        <v>5</v>
      </c>
      <c r="R18" s="187">
        <f>[2]DATA!R9</f>
        <v>300000000</v>
      </c>
      <c r="S18" s="78" t="str">
        <f>[2]DATA!W9</f>
        <v>RRT</v>
      </c>
      <c r="T18" s="77">
        <f>[2]DATA!Z9</f>
        <v>300000000</v>
      </c>
      <c r="U18" s="77">
        <v>0</v>
      </c>
      <c r="V18" s="216" t="str">
        <f>[2]DATA!W9</f>
        <v>RRT</v>
      </c>
      <c r="W18" s="245">
        <f>[2]DATA!AN9</f>
        <v>300000000</v>
      </c>
      <c r="X18" s="109" t="str">
        <f>[2]DATA!AO9</f>
        <v>RRT</v>
      </c>
      <c r="Y18" s="246" t="str">
        <f>[2]DATA!AP9</f>
        <v>-</v>
      </c>
      <c r="Z18" s="2405" t="s">
        <v>582</v>
      </c>
      <c r="AA18" s="2405" t="s">
        <v>598</v>
      </c>
      <c r="AB18" s="2405"/>
    </row>
    <row r="19" spans="1:28" s="5" customFormat="1" ht="33.75" customHeight="1">
      <c r="J19" s="180"/>
      <c r="K19" s="50"/>
      <c r="L19" s="30" t="str">
        <f>[2]DATA!G10</f>
        <v>B</v>
      </c>
      <c r="M19" s="31" t="str">
        <f>[2]DATA!H10</f>
        <v>Program Pembangunan / Peningkatan Jembatan</v>
      </c>
      <c r="N19" s="51"/>
      <c r="O19" s="31"/>
      <c r="P19" s="31"/>
      <c r="Q19" s="196"/>
      <c r="R19" s="197">
        <f>SUM(R20:R24)</f>
        <v>1500000000</v>
      </c>
      <c r="S19" s="81"/>
      <c r="T19" s="81">
        <f t="shared" ref="T19:W19" si="3">SUM(T20:T24)</f>
        <v>1500000000</v>
      </c>
      <c r="U19" s="81">
        <f t="shared" si="3"/>
        <v>0</v>
      </c>
      <c r="V19" s="214">
        <f t="shared" si="3"/>
        <v>0</v>
      </c>
      <c r="W19" s="244">
        <f t="shared" si="3"/>
        <v>1500000000</v>
      </c>
      <c r="X19" s="81" t="s">
        <v>21</v>
      </c>
      <c r="Y19" s="229"/>
      <c r="Z19" s="2400"/>
      <c r="AA19" s="2400"/>
      <c r="AB19" s="2400"/>
    </row>
    <row r="20" spans="1:28" ht="50.25" customHeight="1">
      <c r="A20" s="10">
        <f>[2]DATA!A10</f>
        <v>8</v>
      </c>
      <c r="B20" s="10">
        <f>[2]DATA!B10</f>
        <v>0</v>
      </c>
      <c r="C20" s="10" t="str">
        <f>[2]DATA!C10</f>
        <v>INFRASTRUKTUR</v>
      </c>
      <c r="D20" s="10">
        <f>[2]DATA!D10</f>
        <v>1</v>
      </c>
      <c r="E20" s="10" t="str">
        <f>[2]DATA!E10</f>
        <v>Kementerian Pekerjaan Umum dan Perumahan Rakyat</v>
      </c>
      <c r="F20" s="10" t="str">
        <f>[2]DATA!F10</f>
        <v>Development and Improvement of National Bridges Program</v>
      </c>
      <c r="G20" s="10" t="str">
        <f>[2]DATA!G10</f>
        <v>B</v>
      </c>
      <c r="H20" s="10" t="str">
        <f>[2]DATA!H10</f>
        <v>Program Pembangunan / Peningkatan Jembatan</v>
      </c>
      <c r="I20" s="10">
        <f>[2]DATA!I10</f>
        <v>1</v>
      </c>
      <c r="J20" s="181"/>
      <c r="K20" s="34"/>
      <c r="L20" s="35"/>
      <c r="M20" s="52">
        <v>6</v>
      </c>
      <c r="N20" s="53" t="str">
        <f>[2]DATA!J10</f>
        <v>Material Procurement for Construction and Bridge Rehabilitation</v>
      </c>
      <c r="O20" s="20">
        <f>[2]DATA!O10</f>
        <v>1</v>
      </c>
      <c r="P20" s="20">
        <f>[2]DATA!P10</f>
        <v>1</v>
      </c>
      <c r="Q20" s="186">
        <f>[2]DATA!Q10</f>
        <v>6</v>
      </c>
      <c r="R20" s="187">
        <f>[2]DATA!R10</f>
        <v>450000000</v>
      </c>
      <c r="S20" s="78" t="str">
        <f>[2]DATA!W10</f>
        <v>Spanyol/RRT</v>
      </c>
      <c r="T20" s="77">
        <f>[2]DATA!Z10</f>
        <v>450000000</v>
      </c>
      <c r="U20" s="77">
        <v>0</v>
      </c>
      <c r="V20" s="216" t="str">
        <f>[2]DATA!W10</f>
        <v>Spanyol/RRT</v>
      </c>
      <c r="W20" s="245">
        <f>[2]DATA!AN10</f>
        <v>450000000</v>
      </c>
      <c r="X20" s="109" t="str">
        <f>[2]DATA!AO10</f>
        <v>Spanyol/RRT</v>
      </c>
      <c r="Y20" s="246" t="str">
        <f>[2]DATA!AP10</f>
        <v>- Spanyol berminat mendanai sebagian (USD 50-100 juta), tetapi setelah permasalahan proyek LIPI selesai.
- RRT belum ada keputusan.</v>
      </c>
      <c r="Z20" s="2405" t="s">
        <v>603</v>
      </c>
      <c r="AA20" s="2405" t="s">
        <v>603</v>
      </c>
      <c r="AB20" s="2405"/>
    </row>
    <row r="21" spans="1:28" ht="25.5">
      <c r="A21" s="10">
        <f>[2]DATA!A11</f>
        <v>9</v>
      </c>
      <c r="B21" s="10">
        <f>[2]DATA!B11</f>
        <v>0</v>
      </c>
      <c r="C21" s="10" t="str">
        <f>[2]DATA!C11</f>
        <v>INFRASTRUKTUR</v>
      </c>
      <c r="D21" s="10">
        <f>[2]DATA!D11</f>
        <v>1</v>
      </c>
      <c r="E21" s="10" t="str">
        <f>[2]DATA!E11</f>
        <v>Kementerian Pekerjaan Umum dan Perumahan Rakyat</v>
      </c>
      <c r="F21" s="10" t="str">
        <f>[2]DATA!F11</f>
        <v>Development and Improvement of National Bridges Program</v>
      </c>
      <c r="G21" s="10" t="str">
        <f>[2]DATA!G11</f>
        <v>B</v>
      </c>
      <c r="H21" s="10" t="str">
        <f>[2]DATA!H11</f>
        <v>Program Pembangunan / Peningkatan Jembatan</v>
      </c>
      <c r="I21" s="10">
        <f>[2]DATA!I11</f>
        <v>2</v>
      </c>
      <c r="J21" s="181"/>
      <c r="K21" s="34"/>
      <c r="L21" s="34"/>
      <c r="M21" s="52">
        <v>7</v>
      </c>
      <c r="N21" s="37" t="str">
        <f>[2]DATA!J11</f>
        <v>Development of Fly Over/ Under Pass for Railways Crossing</v>
      </c>
      <c r="O21" s="20">
        <f>[2]DATA!O11</f>
        <v>1</v>
      </c>
      <c r="P21" s="20">
        <f>[2]DATA!P11</f>
        <v>1</v>
      </c>
      <c r="Q21" s="186">
        <f>[2]DATA!Q11</f>
        <v>7</v>
      </c>
      <c r="R21" s="187">
        <f>[2]DATA!R11</f>
        <v>250000000</v>
      </c>
      <c r="S21" s="78" t="str">
        <f>[2]DATA!W11</f>
        <v>JICA</v>
      </c>
      <c r="T21" s="77">
        <f>[2]DATA!Z11</f>
        <v>250000000</v>
      </c>
      <c r="U21" s="77">
        <v>0</v>
      </c>
      <c r="V21" s="216" t="str">
        <f>[2]DATA!W11</f>
        <v>JICA</v>
      </c>
      <c r="W21" s="245">
        <f>[2]DATA!AN11</f>
        <v>250000000</v>
      </c>
      <c r="X21" s="109" t="str">
        <f>[2]DATA!AO11</f>
        <v>JICA</v>
      </c>
      <c r="Y21" s="246" t="str">
        <f>[2]DATA!AP11</f>
        <v>-</v>
      </c>
      <c r="Z21" s="2405" t="s">
        <v>608</v>
      </c>
      <c r="AA21" s="2405" t="s">
        <v>603</v>
      </c>
      <c r="AB21" s="2405"/>
    </row>
    <row r="22" spans="1:28" ht="25.5">
      <c r="A22" s="10">
        <f>[2]DATA!A12</f>
        <v>10</v>
      </c>
      <c r="B22" s="10">
        <f>[2]DATA!B12</f>
        <v>0</v>
      </c>
      <c r="C22" s="10" t="str">
        <f>[2]DATA!C12</f>
        <v>INFRASTRUKTUR</v>
      </c>
      <c r="D22" s="10">
        <f>[2]DATA!D12</f>
        <v>1</v>
      </c>
      <c r="E22" s="10" t="str">
        <f>[2]DATA!E12</f>
        <v>Kementerian Pekerjaan Umum dan Perumahan Rakyat</v>
      </c>
      <c r="F22" s="10" t="str">
        <f>[2]DATA!F12</f>
        <v>Development and Improvement of National Bridges Program</v>
      </c>
      <c r="G22" s="10" t="str">
        <f>[2]DATA!G12</f>
        <v>B</v>
      </c>
      <c r="H22" s="10" t="str">
        <f>[2]DATA!H12</f>
        <v>Program Pembangunan / Peningkatan Jembatan</v>
      </c>
      <c r="I22" s="10">
        <f>[2]DATA!I12</f>
        <v>3</v>
      </c>
      <c r="J22" s="181"/>
      <c r="K22" s="34"/>
      <c r="L22" s="34"/>
      <c r="M22" s="52">
        <v>8</v>
      </c>
      <c r="N22" s="37" t="str">
        <f>[2]DATA!J12</f>
        <v>Development of Fly Over/ Under Pass in Major Cities</v>
      </c>
      <c r="O22" s="20">
        <f>[2]DATA!O12</f>
        <v>1</v>
      </c>
      <c r="P22" s="20">
        <f>[2]DATA!P12</f>
        <v>1</v>
      </c>
      <c r="Q22" s="186">
        <f>[2]DATA!Q12</f>
        <v>8</v>
      </c>
      <c r="R22" s="187">
        <f>[2]DATA!R12</f>
        <v>270000000</v>
      </c>
      <c r="S22" s="78" t="str">
        <f>[2]DATA!W12</f>
        <v>JICA</v>
      </c>
      <c r="T22" s="77">
        <f>[2]DATA!Z12</f>
        <v>270000000</v>
      </c>
      <c r="U22" s="77">
        <v>0</v>
      </c>
      <c r="V22" s="216" t="str">
        <f>[2]DATA!W12</f>
        <v>JICA</v>
      </c>
      <c r="W22" s="245">
        <f>[2]DATA!AN12</f>
        <v>270000000</v>
      </c>
      <c r="X22" s="109" t="str">
        <f>[2]DATA!AO12</f>
        <v>JICA</v>
      </c>
      <c r="Y22" s="246" t="str">
        <f>[2]DATA!AP12</f>
        <v>-</v>
      </c>
      <c r="Z22" s="2405" t="s">
        <v>611</v>
      </c>
      <c r="AA22" s="2405" t="s">
        <v>603</v>
      </c>
      <c r="AB22" s="2405"/>
    </row>
    <row r="23" spans="1:28" ht="35.25" customHeight="1">
      <c r="A23" s="10">
        <f>[2]DATA!A13</f>
        <v>11</v>
      </c>
      <c r="B23" s="10">
        <f>[2]DATA!B13</f>
        <v>0</v>
      </c>
      <c r="C23" s="10" t="str">
        <f>[2]DATA!C13</f>
        <v>INFRASTRUKTUR</v>
      </c>
      <c r="D23" s="10">
        <f>[2]DATA!D13</f>
        <v>1</v>
      </c>
      <c r="E23" s="10" t="str">
        <f>[2]DATA!E13</f>
        <v>Kementerian Pekerjaan Umum dan Perumahan Rakyat</v>
      </c>
      <c r="F23" s="10" t="str">
        <f>[2]DATA!F13</f>
        <v>Development and Improvement of National Bridges Program</v>
      </c>
      <c r="G23" s="10" t="str">
        <f>[2]DATA!G13</f>
        <v>B</v>
      </c>
      <c r="H23" s="10" t="str">
        <f>[2]DATA!H13</f>
        <v>Program Pembangunan / Peningkatan Jembatan</v>
      </c>
      <c r="I23" s="10">
        <f>[2]DATA!I13</f>
        <v>4</v>
      </c>
      <c r="J23" s="181"/>
      <c r="K23" s="34"/>
      <c r="L23" s="34"/>
      <c r="M23" s="52">
        <v>9</v>
      </c>
      <c r="N23" s="37" t="str">
        <f>[2]DATA!J13</f>
        <v>Balinka - Matur - Ngarai Sianok Tunnel Construction</v>
      </c>
      <c r="O23" s="20">
        <f>[2]DATA!O13</f>
        <v>1</v>
      </c>
      <c r="P23" s="20">
        <f>[2]DATA!P13</f>
        <v>1</v>
      </c>
      <c r="Q23" s="186">
        <f>[2]DATA!Q13</f>
        <v>9</v>
      </c>
      <c r="R23" s="187">
        <f>[2]DATA!R13</f>
        <v>175000000</v>
      </c>
      <c r="S23" s="78" t="str">
        <f>[2]DATA!W13</f>
        <v>Korea/RRT</v>
      </c>
      <c r="T23" s="77">
        <f>[2]DATA!Z13</f>
        <v>175000000</v>
      </c>
      <c r="U23" s="77">
        <v>0</v>
      </c>
      <c r="V23" s="216" t="str">
        <f>[2]DATA!W13</f>
        <v>Korea/RRT</v>
      </c>
      <c r="W23" s="245">
        <f>[2]DATA!AN13</f>
        <v>175000000</v>
      </c>
      <c r="X23" s="109" t="str">
        <f>[2]DATA!AO13</f>
        <v>Korea/RRT</v>
      </c>
      <c r="Y23" s="246" t="str">
        <f>[2]DATA!AP13</f>
        <v>- RRT dan Korea belum ada keputusan</v>
      </c>
      <c r="Z23" s="2405" t="s">
        <v>614</v>
      </c>
      <c r="AA23" s="2405" t="s">
        <v>603</v>
      </c>
      <c r="AB23" s="2405"/>
    </row>
    <row r="24" spans="1:28" ht="30.75" customHeight="1">
      <c r="A24" s="10">
        <f>[2]DATA!A14</f>
        <v>12</v>
      </c>
      <c r="B24" s="10">
        <f>[2]DATA!B14</f>
        <v>0</v>
      </c>
      <c r="C24" s="10" t="str">
        <f>[2]DATA!C14</f>
        <v>INFRASTRUKTUR</v>
      </c>
      <c r="D24" s="10">
        <f>[2]DATA!D14</f>
        <v>1</v>
      </c>
      <c r="E24" s="10" t="str">
        <f>[2]DATA!E14</f>
        <v>Kementerian Pekerjaan Umum dan Perumahan Rakyat</v>
      </c>
      <c r="F24" s="10" t="str">
        <f>[2]DATA!F14</f>
        <v>Development and Improvement of National Bridges Program</v>
      </c>
      <c r="G24" s="10" t="str">
        <f>[2]DATA!G14</f>
        <v>B</v>
      </c>
      <c r="H24" s="10" t="str">
        <f>[2]DATA!H14</f>
        <v>Program Pembangunan / Peningkatan Jembatan</v>
      </c>
      <c r="I24" s="10">
        <f>[2]DATA!I14</f>
        <v>5</v>
      </c>
      <c r="J24" s="181"/>
      <c r="K24" s="34"/>
      <c r="L24" s="54"/>
      <c r="M24" s="52">
        <v>10</v>
      </c>
      <c r="N24" s="37" t="str">
        <f>[2]DATA!J14</f>
        <v>Long Span Bridge Development for Selected Area</v>
      </c>
      <c r="O24" s="20">
        <f>[2]DATA!O14</f>
        <v>1</v>
      </c>
      <c r="P24" s="20">
        <f>[2]DATA!P14</f>
        <v>1</v>
      </c>
      <c r="Q24" s="186">
        <f>[2]DATA!Q14</f>
        <v>10</v>
      </c>
      <c r="R24" s="187">
        <f>[2]DATA!R14</f>
        <v>355000000</v>
      </c>
      <c r="S24" s="78" t="str">
        <f>[2]DATA!W14</f>
        <v>Korea/RRT</v>
      </c>
      <c r="T24" s="77">
        <f>[2]DATA!Z14</f>
        <v>355000000</v>
      </c>
      <c r="U24" s="77">
        <v>0</v>
      </c>
      <c r="V24" s="216" t="str">
        <f>[2]DATA!W14</f>
        <v>Korea/RRT</v>
      </c>
      <c r="W24" s="245">
        <f>[2]DATA!AN14</f>
        <v>355000000</v>
      </c>
      <c r="X24" s="109" t="str">
        <f>[2]DATA!AO14</f>
        <v>Korea/RRT</v>
      </c>
      <c r="Y24" s="246" t="str">
        <f>[2]DATA!AP14</f>
        <v>- RRT dan Korea belum ada keputusan</v>
      </c>
      <c r="Z24" s="2405" t="s">
        <v>603</v>
      </c>
      <c r="AA24" s="2405" t="s">
        <v>603</v>
      </c>
      <c r="AB24" s="2405"/>
    </row>
    <row r="25" spans="1:28" s="5" customFormat="1" ht="33.75" customHeight="1">
      <c r="J25" s="180"/>
      <c r="K25" s="50"/>
      <c r="L25" s="30" t="str">
        <f>[2]DATA!G15</f>
        <v>C</v>
      </c>
      <c r="M25" s="31" t="str">
        <f>[2]DATA!H16</f>
        <v>Program Pembangunan / Peningkatan Jalan</v>
      </c>
      <c r="N25" s="51"/>
      <c r="O25" s="31"/>
      <c r="P25" s="31"/>
      <c r="Q25" s="196"/>
      <c r="R25" s="197">
        <f>SUM(R26:R34)</f>
        <v>2000000000</v>
      </c>
      <c r="S25" s="81"/>
      <c r="T25" s="81">
        <f>SUM(T26:T34)</f>
        <v>2000000000</v>
      </c>
      <c r="U25" s="81">
        <f t="shared" ref="U25:Y25" si="4">SUM(U26:U34)</f>
        <v>0</v>
      </c>
      <c r="V25" s="214">
        <f t="shared" si="4"/>
        <v>0</v>
      </c>
      <c r="W25" s="244">
        <f t="shared" si="4"/>
        <v>2000000000</v>
      </c>
      <c r="X25" s="81" t="s">
        <v>21</v>
      </c>
      <c r="Y25" s="229">
        <f t="shared" si="4"/>
        <v>0</v>
      </c>
      <c r="Z25" s="2400"/>
      <c r="AA25" s="2400"/>
      <c r="AB25" s="2400"/>
    </row>
    <row r="26" spans="1:28" s="5" customFormat="1" ht="30" customHeight="1">
      <c r="J26" s="180"/>
      <c r="K26" s="50"/>
      <c r="L26" s="55"/>
      <c r="M26" s="36">
        <v>11</v>
      </c>
      <c r="N26" s="37" t="str">
        <f>[2]DATA!J15</f>
        <v>Urban Arterial Road Improvement Project</v>
      </c>
      <c r="O26" s="37">
        <f>[2]DATA!O15</f>
        <v>1</v>
      </c>
      <c r="P26" s="37">
        <f>[2]DATA!P15</f>
        <v>1</v>
      </c>
      <c r="Q26" s="199">
        <f>[2]DATA!Q15</f>
        <v>0</v>
      </c>
      <c r="R26" s="200">
        <f>[2]DATA!R15</f>
        <v>250000000</v>
      </c>
      <c r="S26" s="78" t="str">
        <f>[2]DATA!W15</f>
        <v>JICA</v>
      </c>
      <c r="T26" s="87">
        <f>[2]DATA!Z15</f>
        <v>205000000</v>
      </c>
      <c r="U26" s="87">
        <v>0</v>
      </c>
      <c r="V26" s="216" t="str">
        <f>[2]DATA!W15</f>
        <v>JICA</v>
      </c>
      <c r="W26" s="245">
        <f>[2]DATA!AN15</f>
        <v>205000000</v>
      </c>
      <c r="X26" s="109" t="str">
        <f>[2]DATA!AO15</f>
        <v>JICA</v>
      </c>
      <c r="Y26" s="246" t="str">
        <f>[2]DATA!AP15</f>
        <v>-</v>
      </c>
      <c r="Z26" s="2405" t="s">
        <v>568</v>
      </c>
      <c r="AA26" s="2405" t="s">
        <v>603</v>
      </c>
      <c r="AB26" s="2405" t="s">
        <v>1117</v>
      </c>
    </row>
    <row r="27" spans="1:28" ht="33.75" customHeight="1">
      <c r="A27" s="10">
        <f>[2]DATA!A16</f>
        <v>14</v>
      </c>
      <c r="B27" s="10">
        <f>[2]DATA!B16</f>
        <v>0</v>
      </c>
      <c r="C27" s="10" t="str">
        <f>[2]DATA!C16</f>
        <v>INFRASTRUKTUR</v>
      </c>
      <c r="D27" s="10">
        <f>[2]DATA!D16</f>
        <v>1</v>
      </c>
      <c r="E27" s="10" t="str">
        <f>[2]DATA!E16</f>
        <v>Kementerian Pekerjaan Umum dan Perumahan Rakyat</v>
      </c>
      <c r="F27" s="10" t="str">
        <f>[2]DATA!F16</f>
        <v>Development and Improvement of National Roads Program</v>
      </c>
      <c r="G27" s="10" t="str">
        <f>[2]DATA!G16</f>
        <v>C</v>
      </c>
      <c r="H27" s="10" t="str">
        <f>[2]DATA!H16</f>
        <v>Program Pembangunan / Peningkatan Jalan</v>
      </c>
      <c r="I27" s="10">
        <f>[2]DATA!I16</f>
        <v>2</v>
      </c>
      <c r="J27" s="181"/>
      <c r="K27" s="34"/>
      <c r="L27" s="34"/>
      <c r="M27" s="36">
        <v>12</v>
      </c>
      <c r="N27" s="37" t="str">
        <f>[2]DATA!J16</f>
        <v>Construction of Development of Trans South-South, Eastern Java</v>
      </c>
      <c r="O27" s="20">
        <f>[2]DATA!O16</f>
        <v>1</v>
      </c>
      <c r="P27" s="20">
        <f>[2]DATA!P16</f>
        <v>1</v>
      </c>
      <c r="Q27" s="186">
        <f>[2]DATA!Q16</f>
        <v>12</v>
      </c>
      <c r="R27" s="187">
        <f>[2]DATA!R16</f>
        <v>250000000</v>
      </c>
      <c r="S27" s="88" t="str">
        <f>[2]DATA!W16</f>
        <v>IDB</v>
      </c>
      <c r="T27" s="77">
        <f>[2]DATA!Z16</f>
        <v>250000000</v>
      </c>
      <c r="U27" s="77">
        <v>0</v>
      </c>
      <c r="V27" s="216" t="str">
        <f>[2]DATA!W16</f>
        <v>IDB</v>
      </c>
      <c r="W27" s="245">
        <f>[2]DATA!AN16</f>
        <v>250000000</v>
      </c>
      <c r="X27" s="109" t="str">
        <f>[2]DATA!AO16</f>
        <v>IDB</v>
      </c>
      <c r="Y27" s="246" t="str">
        <f>[2]DATA!AP16</f>
        <v>-</v>
      </c>
      <c r="Z27" s="2405" t="s">
        <v>568</v>
      </c>
      <c r="AA27" s="2405" t="s">
        <v>603</v>
      </c>
      <c r="AB27" s="2405"/>
    </row>
    <row r="28" spans="1:28" ht="39.75" customHeight="1">
      <c r="A28" s="10">
        <f>[2]DATA!A17</f>
        <v>15</v>
      </c>
      <c r="B28" s="10">
        <f>[2]DATA!B17</f>
        <v>0</v>
      </c>
      <c r="C28" s="10" t="str">
        <f>[2]DATA!C17</f>
        <v>INFRASTRUKTUR</v>
      </c>
      <c r="D28" s="10">
        <f>[2]DATA!D17</f>
        <v>1</v>
      </c>
      <c r="E28" s="10" t="str">
        <f>[2]DATA!E17</f>
        <v>Kementerian Pekerjaan Umum dan Perumahan Rakyat</v>
      </c>
      <c r="F28" s="10" t="str">
        <f>[2]DATA!F17</f>
        <v>Development and Improvement of National Roads Program</v>
      </c>
      <c r="G28" s="10" t="str">
        <f>[2]DATA!G17</f>
        <v>C</v>
      </c>
      <c r="H28" s="10" t="str">
        <f>[2]DATA!H17</f>
        <v>Program Pembangunan / Peningkatan Jalan</v>
      </c>
      <c r="I28" s="10">
        <f>[2]DATA!I17</f>
        <v>3</v>
      </c>
      <c r="J28" s="181"/>
      <c r="K28" s="34"/>
      <c r="L28" s="34"/>
      <c r="M28" s="36">
        <v>13</v>
      </c>
      <c r="N28" s="37" t="str">
        <f>[2]DATA!J17</f>
        <v>Road Improvement Project to Support Integrated Land and Sea Toll Way - Northern Area</v>
      </c>
      <c r="O28" s="20">
        <f>[2]DATA!O17</f>
        <v>1</v>
      </c>
      <c r="P28" s="20">
        <f>[2]DATA!P17</f>
        <v>1</v>
      </c>
      <c r="Q28" s="186">
        <f>[2]DATA!Q17</f>
        <v>13</v>
      </c>
      <c r="R28" s="187">
        <f>[2]DATA!R17</f>
        <v>250000000</v>
      </c>
      <c r="S28" s="78" t="str">
        <f>[2]DATA!W17</f>
        <v>Bank Dunia</v>
      </c>
      <c r="T28" s="77">
        <f>[2]DATA!Z17</f>
        <v>250000000</v>
      </c>
      <c r="U28" s="77">
        <v>0</v>
      </c>
      <c r="V28" s="216" t="str">
        <f>[2]DATA!W17</f>
        <v>Bank Dunia</v>
      </c>
      <c r="W28" s="245">
        <f>[2]DATA!AN17</f>
        <v>250000000</v>
      </c>
      <c r="X28" s="109" t="str">
        <f>[2]DATA!AO17</f>
        <v>Bank Dunia</v>
      </c>
      <c r="Y28" s="246" t="str">
        <f>[2]DATA!AP17</f>
        <v>-</v>
      </c>
      <c r="Z28" s="2405" t="s">
        <v>603</v>
      </c>
      <c r="AA28" s="2405" t="s">
        <v>603</v>
      </c>
      <c r="AB28" s="2405"/>
    </row>
    <row r="29" spans="1:28" ht="38.25" customHeight="1">
      <c r="A29" s="10">
        <f>[2]DATA!A18</f>
        <v>16</v>
      </c>
      <c r="B29" s="10">
        <f>[2]DATA!B18</f>
        <v>0</v>
      </c>
      <c r="C29" s="10" t="str">
        <f>[2]DATA!C18</f>
        <v>INFRASTRUKTUR</v>
      </c>
      <c r="D29" s="10">
        <f>[2]DATA!D18</f>
        <v>1</v>
      </c>
      <c r="E29" s="10" t="str">
        <f>[2]DATA!E18</f>
        <v>Kementerian Pekerjaan Umum dan Perumahan Rakyat</v>
      </c>
      <c r="F29" s="10" t="str">
        <f>[2]DATA!F18</f>
        <v>Development and Improvement of National Roads Program</v>
      </c>
      <c r="G29" s="10" t="str">
        <f>[2]DATA!G18</f>
        <v>C</v>
      </c>
      <c r="H29" s="10" t="str">
        <f>[2]DATA!H18</f>
        <v>Program Pembangunan / Peningkatan Jalan</v>
      </c>
      <c r="I29" s="10">
        <f>[2]DATA!I18</f>
        <v>4</v>
      </c>
      <c r="J29" s="181"/>
      <c r="K29" s="34"/>
      <c r="L29" s="34"/>
      <c r="M29" s="36">
        <v>14</v>
      </c>
      <c r="N29" s="37" t="str">
        <f>[2]DATA!J18</f>
        <v>Road Improvement Project to Support Integrated Land and Sea Toll Way - Southern Area</v>
      </c>
      <c r="O29" s="20">
        <f>[2]DATA!O18</f>
        <v>1</v>
      </c>
      <c r="P29" s="20">
        <f>[2]DATA!P18</f>
        <v>1</v>
      </c>
      <c r="Q29" s="186">
        <f>[2]DATA!Q18</f>
        <v>14</v>
      </c>
      <c r="R29" s="187">
        <f>[2]DATA!R18</f>
        <v>250000000</v>
      </c>
      <c r="S29" s="78" t="str">
        <f>[2]DATA!W18</f>
        <v>Bank Dunia/ADB</v>
      </c>
      <c r="T29" s="77">
        <f>[2]DATA!Z18</f>
        <v>250000000</v>
      </c>
      <c r="U29" s="77">
        <v>0</v>
      </c>
      <c r="V29" s="216" t="str">
        <f>[2]DATA!W18</f>
        <v>Bank Dunia/ADB</v>
      </c>
      <c r="W29" s="245">
        <f>[2]DATA!AN18</f>
        <v>250000000</v>
      </c>
      <c r="X29" s="109" t="str">
        <f>[2]DATA!AO18</f>
        <v>Bank Dunia</v>
      </c>
      <c r="Y29" s="246" t="str">
        <f>[2]DATA!AP18</f>
        <v>- usulan K/L lender: Bank Dunia/ADB. 
- Hanya Bank Dunia saja yang berminat.</v>
      </c>
      <c r="Z29" s="2405" t="s">
        <v>603</v>
      </c>
      <c r="AA29" s="2405" t="s">
        <v>603</v>
      </c>
      <c r="AB29" s="2405"/>
    </row>
    <row r="30" spans="1:28" ht="46.5" customHeight="1">
      <c r="A30" s="10">
        <f>[2]DATA!A19</f>
        <v>17</v>
      </c>
      <c r="B30" s="10">
        <f>[2]DATA!B19</f>
        <v>0</v>
      </c>
      <c r="C30" s="10" t="str">
        <f>[2]DATA!C19</f>
        <v>INFRASTRUKTUR</v>
      </c>
      <c r="D30" s="10">
        <f>[2]DATA!D19</f>
        <v>1</v>
      </c>
      <c r="E30" s="10" t="str">
        <f>[2]DATA!E19</f>
        <v>Kementerian Pekerjaan Umum dan Perumahan Rakyat</v>
      </c>
      <c r="F30" s="10" t="str">
        <f>[2]DATA!F19</f>
        <v>Development and Improvement of National Roads Program</v>
      </c>
      <c r="G30" s="10" t="str">
        <f>[2]DATA!G19</f>
        <v>C</v>
      </c>
      <c r="H30" s="10" t="str">
        <f>[2]DATA!H19</f>
        <v>Program Pembangunan / Peningkatan Jalan</v>
      </c>
      <c r="I30" s="10">
        <f>[2]DATA!I19</f>
        <v>5</v>
      </c>
      <c r="J30" s="181"/>
      <c r="K30" s="34"/>
      <c r="L30" s="34"/>
      <c r="M30" s="36">
        <v>15</v>
      </c>
      <c r="N30" s="37" t="str">
        <f>[2]DATA!J19</f>
        <v>National Road Improvement in West and South Kalimantan</v>
      </c>
      <c r="O30" s="20">
        <f>[2]DATA!O19</f>
        <v>1</v>
      </c>
      <c r="P30" s="20">
        <f>[2]DATA!P19</f>
        <v>1</v>
      </c>
      <c r="Q30" s="186">
        <f>[2]DATA!Q19</f>
        <v>15</v>
      </c>
      <c r="R30" s="187">
        <f>[2]DATA!R19</f>
        <v>250000000</v>
      </c>
      <c r="S30" s="78" t="str">
        <f>[2]DATA!W19</f>
        <v>IDB</v>
      </c>
      <c r="T30" s="77">
        <f>[2]DATA!Z19</f>
        <v>250000000</v>
      </c>
      <c r="U30" s="77">
        <v>0</v>
      </c>
      <c r="V30" s="216" t="str">
        <f>[2]DATA!W19</f>
        <v>IDB</v>
      </c>
      <c r="W30" s="245">
        <f>[2]DATA!AN19</f>
        <v>250000000</v>
      </c>
      <c r="X30" s="109" t="str">
        <f>[2]DATA!AO19</f>
        <v>IDB</v>
      </c>
      <c r="Y30" s="246" t="str">
        <f>[2]DATA!AP19</f>
        <v>-</v>
      </c>
      <c r="Z30" s="2405" t="s">
        <v>603</v>
      </c>
      <c r="AA30" s="2405" t="s">
        <v>603</v>
      </c>
      <c r="AB30" s="2405"/>
    </row>
    <row r="31" spans="1:28" ht="47.25" customHeight="1">
      <c r="A31" s="10">
        <f>[2]DATA!A20</f>
        <v>18</v>
      </c>
      <c r="B31" s="10">
        <f>[2]DATA!B20</f>
        <v>0</v>
      </c>
      <c r="C31" s="10" t="str">
        <f>[2]DATA!C20</f>
        <v>INFRASTRUKTUR</v>
      </c>
      <c r="D31" s="10">
        <f>[2]DATA!D20</f>
        <v>1</v>
      </c>
      <c r="E31" s="10" t="str">
        <f>[2]DATA!E20</f>
        <v>Kementerian Pekerjaan Umum dan Perumahan Rakyat</v>
      </c>
      <c r="F31" s="10" t="str">
        <f>[2]DATA!F20</f>
        <v>Development and Improvement of National Roads Program</v>
      </c>
      <c r="G31" s="10" t="str">
        <f>[2]DATA!G20</f>
        <v>C</v>
      </c>
      <c r="H31" s="10" t="str">
        <f>[2]DATA!H20</f>
        <v>Program Pembangunan / Peningkatan Jalan</v>
      </c>
      <c r="I31" s="10">
        <f>[2]DATA!I20</f>
        <v>6</v>
      </c>
      <c r="J31" s="181"/>
      <c r="K31" s="34"/>
      <c r="L31" s="34"/>
      <c r="M31" s="36">
        <v>16</v>
      </c>
      <c r="N31" s="37" t="str">
        <f>[2]DATA!J20</f>
        <v>National Road Improvement in Central Kalimantan</v>
      </c>
      <c r="O31" s="20">
        <f>[2]DATA!O20</f>
        <v>1</v>
      </c>
      <c r="P31" s="20">
        <f>[2]DATA!P20</f>
        <v>1</v>
      </c>
      <c r="Q31" s="186">
        <f>[2]DATA!Q20</f>
        <v>16</v>
      </c>
      <c r="R31" s="187">
        <f>[2]DATA!R20</f>
        <v>250000000</v>
      </c>
      <c r="S31" s="78" t="str">
        <f>[2]DATA!W20</f>
        <v>Bank Dunia/ADB</v>
      </c>
      <c r="T31" s="77">
        <f>[2]DATA!Z20</f>
        <v>250000000</v>
      </c>
      <c r="U31" s="77">
        <v>0</v>
      </c>
      <c r="V31" s="216" t="str">
        <f>[2]DATA!W20</f>
        <v>Bank Dunia/ADB</v>
      </c>
      <c r="W31" s="245">
        <f>[2]DATA!AN20</f>
        <v>250000000</v>
      </c>
      <c r="X31" s="109" t="str">
        <f>[2]DATA!AO20</f>
        <v>Belum Ada Indikasi</v>
      </c>
      <c r="Y31" s="246" t="str">
        <f>[2]DATA!AP20</f>
        <v>usulan K/L lender: Bank Dunia/ADB. Kedua calon lender tidak berminat mendanai proyek ini.</v>
      </c>
      <c r="Z31" s="2405" t="s">
        <v>568</v>
      </c>
      <c r="AA31" s="2405" t="s">
        <v>603</v>
      </c>
      <c r="AB31" s="2405"/>
    </row>
    <row r="32" spans="1:28" ht="58.5" customHeight="1">
      <c r="A32" s="10">
        <f>[2]DATA!A21</f>
        <v>19</v>
      </c>
      <c r="B32" s="10">
        <f>[2]DATA!B21</f>
        <v>0</v>
      </c>
      <c r="C32" s="10" t="str">
        <f>[2]DATA!C21</f>
        <v>INFRASTRUKTUR</v>
      </c>
      <c r="D32" s="10">
        <f>[2]DATA!D21</f>
        <v>1</v>
      </c>
      <c r="E32" s="10" t="str">
        <f>[2]DATA!E21</f>
        <v>Kementerian Pekerjaan Umum dan Perumahan Rakyat</v>
      </c>
      <c r="F32" s="10" t="str">
        <f>[2]DATA!F21</f>
        <v>Development and Improvement of National Roads Program</v>
      </c>
      <c r="G32" s="10" t="str">
        <f>[2]DATA!G21</f>
        <v>C</v>
      </c>
      <c r="H32" s="10" t="str">
        <f>[2]DATA!H21</f>
        <v>Program Pembangunan / Peningkatan Jalan</v>
      </c>
      <c r="I32" s="10">
        <f>[2]DATA!I21</f>
        <v>7</v>
      </c>
      <c r="J32" s="181"/>
      <c r="K32" s="34"/>
      <c r="L32" s="34"/>
      <c r="M32" s="36">
        <v>17</v>
      </c>
      <c r="N32" s="37" t="str">
        <f>[2]DATA!J21</f>
        <v>National Road Improvement in North and East Kalimantan</v>
      </c>
      <c r="O32" s="20">
        <f>[2]DATA!O21</f>
        <v>1</v>
      </c>
      <c r="P32" s="20">
        <f>[2]DATA!P21</f>
        <v>1</v>
      </c>
      <c r="Q32" s="186">
        <f>[2]DATA!Q21</f>
        <v>17</v>
      </c>
      <c r="R32" s="187">
        <f>[2]DATA!R21</f>
        <v>250000000</v>
      </c>
      <c r="S32" s="78" t="str">
        <f>[2]DATA!W21</f>
        <v>IDB</v>
      </c>
      <c r="T32" s="77">
        <f>[2]DATA!Z21</f>
        <v>250000000</v>
      </c>
      <c r="U32" s="77">
        <v>0</v>
      </c>
      <c r="V32" s="216" t="str">
        <f>[2]DATA!W21</f>
        <v>IDB</v>
      </c>
      <c r="W32" s="245">
        <f>[2]DATA!AN21</f>
        <v>250000000</v>
      </c>
      <c r="X32" s="109" t="str">
        <f>[2]DATA!AO21</f>
        <v>AIIB</v>
      </c>
      <c r="Y32" s="246" t="str">
        <f>[2]DATA!AP21</f>
        <v>- usulan K/L semula lender: IDB. 
- Pihak IDB tidak berminat mendanai kegiatan ini, diusulkan kepada AIIB.</v>
      </c>
      <c r="Z32" s="2405" t="s">
        <v>568</v>
      </c>
      <c r="AA32" s="2405" t="s">
        <v>603</v>
      </c>
      <c r="AB32" s="2405"/>
    </row>
    <row r="33" spans="1:28" ht="36" customHeight="1">
      <c r="A33" s="10">
        <f>[2]DATA!A22</f>
        <v>20</v>
      </c>
      <c r="B33" s="10">
        <f>[2]DATA!B22</f>
        <v>0</v>
      </c>
      <c r="C33" s="10" t="str">
        <f>[2]DATA!C22</f>
        <v>INFRASTRUKTUR</v>
      </c>
      <c r="D33" s="10">
        <f>[2]DATA!D22</f>
        <v>1</v>
      </c>
      <c r="E33" s="10" t="str">
        <f>[2]DATA!E22</f>
        <v>Kementerian Pekerjaan Umum dan Perumahan Rakyat</v>
      </c>
      <c r="F33" s="10" t="str">
        <f>[2]DATA!F22</f>
        <v>Development and Improvement of National Roads Program</v>
      </c>
      <c r="G33" s="10" t="str">
        <f>[2]DATA!G22</f>
        <v>C</v>
      </c>
      <c r="H33" s="10" t="str">
        <f>[2]DATA!H22</f>
        <v>Program Pembangunan / Peningkatan Jalan</v>
      </c>
      <c r="I33" s="10">
        <f>[2]DATA!I22</f>
        <v>8</v>
      </c>
      <c r="J33" s="181"/>
      <c r="K33" s="34"/>
      <c r="L33" s="54"/>
      <c r="M33" s="36">
        <v>18</v>
      </c>
      <c r="N33" s="37" t="str">
        <f>[2]DATA!J22</f>
        <v>Road Improvement Project in Sulawesi Island and Major Cities</v>
      </c>
      <c r="O33" s="20">
        <f>[2]DATA!O22</f>
        <v>1</v>
      </c>
      <c r="P33" s="20">
        <f>[2]DATA!P22</f>
        <v>1</v>
      </c>
      <c r="Q33" s="186">
        <f>[2]DATA!Q22</f>
        <v>18</v>
      </c>
      <c r="R33" s="187">
        <f>[2]DATA!R22</f>
        <v>250000000</v>
      </c>
      <c r="S33" s="78" t="str">
        <f>[2]DATA!W22</f>
        <v>IDB</v>
      </c>
      <c r="T33" s="77">
        <f>[2]DATA!Z22</f>
        <v>250000000</v>
      </c>
      <c r="U33" s="77">
        <v>0</v>
      </c>
      <c r="V33" s="216" t="str">
        <f>[2]DATA!W22</f>
        <v>IDB</v>
      </c>
      <c r="W33" s="245">
        <f>[2]DATA!AN22</f>
        <v>250000000</v>
      </c>
      <c r="X33" s="109" t="str">
        <f>[2]DATA!AO22</f>
        <v>IDB</v>
      </c>
      <c r="Y33" s="246" t="str">
        <f>[2]DATA!AP22</f>
        <v>-</v>
      </c>
      <c r="Z33" s="2405" t="s">
        <v>568</v>
      </c>
      <c r="AA33" s="2405" t="s">
        <v>603</v>
      </c>
      <c r="AB33" s="2405"/>
    </row>
    <row r="34" spans="1:28" ht="38.25" customHeight="1">
      <c r="J34" s="181"/>
      <c r="K34" s="34"/>
      <c r="L34" s="54"/>
      <c r="M34" s="36">
        <v>19</v>
      </c>
      <c r="N34" s="56" t="str">
        <f>[2]DATA!J23</f>
        <v>Engineering Service for National Roads Development Project</v>
      </c>
      <c r="O34" s="36">
        <f>[2]DATA!O23</f>
        <v>0</v>
      </c>
      <c r="P34" s="36">
        <f>[2]DATA!P23</f>
        <v>0</v>
      </c>
      <c r="Q34" s="17">
        <f>[2]DATA!Q23</f>
        <v>0</v>
      </c>
      <c r="R34" s="202">
        <f>[2]DATA!R23</f>
        <v>0</v>
      </c>
      <c r="S34" s="88" t="str">
        <f>[2]DATA!W23</f>
        <v>ADB</v>
      </c>
      <c r="T34" s="88">
        <f>[2]DATA!Z23</f>
        <v>45000000</v>
      </c>
      <c r="U34" s="88">
        <v>0</v>
      </c>
      <c r="V34" s="216" t="str">
        <f>[2]DATA!W23</f>
        <v>ADB</v>
      </c>
      <c r="W34" s="245">
        <f>[2]DATA!AN23</f>
        <v>45000000</v>
      </c>
      <c r="X34" s="109" t="str">
        <f>[2]DATA!AO23</f>
        <v>ADB</v>
      </c>
      <c r="Y34" s="246" t="str">
        <f>[2]DATA!AP23</f>
        <v>-</v>
      </c>
      <c r="Z34" s="2405" t="s">
        <v>603</v>
      </c>
      <c r="AA34" s="2405" t="s">
        <v>603</v>
      </c>
      <c r="AB34" s="2405"/>
    </row>
    <row r="35" spans="1:28" s="5" customFormat="1" ht="33.75" customHeight="1">
      <c r="J35" s="180"/>
      <c r="K35" s="50"/>
      <c r="L35" s="30" t="str">
        <f>[2]DATA!G24</f>
        <v>D</v>
      </c>
      <c r="M35" s="31" t="str">
        <f>[2]DATA!H24</f>
        <v>Program Pembangunan Air Minum</v>
      </c>
      <c r="N35" s="51"/>
      <c r="O35" s="31"/>
      <c r="P35" s="31"/>
      <c r="Q35" s="196"/>
      <c r="R35" s="197">
        <f>+R36+R37+R38+R39+R40+R41+R42+R43+R44+R45+R46+R47+R49</f>
        <v>1197680000</v>
      </c>
      <c r="S35" s="81"/>
      <c r="T35" s="81">
        <f>+T36+T37+T38+T39+T40+T41+T42+T43+T44+T45+T46+T47+T48+T49</f>
        <v>1197680000</v>
      </c>
      <c r="U35" s="81">
        <f t="shared" ref="U35" si="5">+U36+U37+U38+U39+U40+U41+U42+U43+U44+U45+U46+U47+U49</f>
        <v>0</v>
      </c>
      <c r="V35" s="214"/>
      <c r="W35" s="244">
        <f>+W36+W37+W38+W39+W40+W41+W42+W43+W44+W45+W46+W47+W48+W49</f>
        <v>1197680000</v>
      </c>
      <c r="X35" s="81" t="s">
        <v>21</v>
      </c>
      <c r="Y35" s="229"/>
      <c r="Z35" s="2400"/>
      <c r="AA35" s="2400"/>
      <c r="AB35" s="2400"/>
    </row>
    <row r="36" spans="1:28" ht="42" customHeight="1">
      <c r="A36" s="10">
        <f>[2]DATA!A24</f>
        <v>21</v>
      </c>
      <c r="B36" s="10">
        <f>[2]DATA!B24</f>
        <v>0</v>
      </c>
      <c r="C36" s="10" t="str">
        <f>[2]DATA!C24</f>
        <v>INFRASTRUKTUR</v>
      </c>
      <c r="D36" s="10">
        <f>[2]DATA!D24</f>
        <v>1</v>
      </c>
      <c r="E36" s="10" t="str">
        <f>[2]DATA!E24</f>
        <v>Kementerian Pekerjaan Umum dan Perumahan Rakyat</v>
      </c>
      <c r="F36" s="10" t="str">
        <f>[2]DATA!F24</f>
        <v>Drinking Water Development Program</v>
      </c>
      <c r="G36" s="10" t="str">
        <f>[2]DATA!G24</f>
        <v>D</v>
      </c>
      <c r="H36" s="10" t="str">
        <f>[2]DATA!H24</f>
        <v>Program Pembangunan Air Minum</v>
      </c>
      <c r="I36" s="10">
        <f>[2]DATA!I24</f>
        <v>1</v>
      </c>
      <c r="J36" s="181"/>
      <c r="K36" s="34"/>
      <c r="L36" s="35"/>
      <c r="M36" s="36">
        <v>20</v>
      </c>
      <c r="N36" s="37" t="str">
        <f>[2]DATA!J24</f>
        <v>Community Based Water and Sanitation Program  (PAMSIMAS)</v>
      </c>
      <c r="O36" s="20">
        <f>[2]DATA!O24</f>
        <v>1</v>
      </c>
      <c r="P36" s="20">
        <f>[2]DATA!P24</f>
        <v>1</v>
      </c>
      <c r="Q36" s="186">
        <f>[2]DATA!Q24</f>
        <v>19</v>
      </c>
      <c r="R36" s="187">
        <f>[2]DATA!R24</f>
        <v>300000000</v>
      </c>
      <c r="S36" s="78" t="str">
        <f>[2]DATA!W24</f>
        <v>Bank Dunia</v>
      </c>
      <c r="T36" s="77">
        <f>[2]DATA!Z24</f>
        <v>300000000</v>
      </c>
      <c r="U36" s="77">
        <v>0</v>
      </c>
      <c r="V36" s="216" t="str">
        <f>[2]DATA!W24</f>
        <v>Bank Dunia</v>
      </c>
      <c r="W36" s="245">
        <f>[2]DATA!AN24</f>
        <v>300000000</v>
      </c>
      <c r="X36" s="109" t="str">
        <f>[2]DATA!AO24</f>
        <v>Bank Dunia</v>
      </c>
      <c r="Y36" s="246" t="str">
        <f>[2]DATA!AP24</f>
        <v>-</v>
      </c>
      <c r="Z36" s="2405" t="s">
        <v>614</v>
      </c>
      <c r="AA36" s="2405" t="s">
        <v>603</v>
      </c>
      <c r="AB36" s="2405"/>
    </row>
    <row r="37" spans="1:28" ht="31.5" customHeight="1">
      <c r="A37" s="10">
        <f>[2]DATA!A25</f>
        <v>22</v>
      </c>
      <c r="B37" s="10">
        <f>[2]DATA!B25</f>
        <v>0</v>
      </c>
      <c r="C37" s="10" t="str">
        <f>[2]DATA!C25</f>
        <v>INFRASTRUKTUR</v>
      </c>
      <c r="D37" s="10">
        <f>[2]DATA!D25</f>
        <v>1</v>
      </c>
      <c r="E37" s="10" t="str">
        <f>[2]DATA!E25</f>
        <v>Kementerian Pekerjaan Umum dan Perumahan Rakyat</v>
      </c>
      <c r="F37" s="10" t="str">
        <f>[2]DATA!F25</f>
        <v>Drinking Water Development Program</v>
      </c>
      <c r="G37" s="10" t="str">
        <f>[2]DATA!G25</f>
        <v>D</v>
      </c>
      <c r="H37" s="10" t="str">
        <f>[2]DATA!H25</f>
        <v>Program Pembangunan Air Minum</v>
      </c>
      <c r="I37" s="10">
        <f>[2]DATA!I25</f>
        <v>2</v>
      </c>
      <c r="J37" s="181"/>
      <c r="K37" s="34"/>
      <c r="L37" s="34"/>
      <c r="M37" s="36">
        <v>21</v>
      </c>
      <c r="N37" s="37" t="str">
        <f>[2]DATA!J25</f>
        <v>National Urban Water Supply</v>
      </c>
      <c r="O37" s="20">
        <f>[2]DATA!O25</f>
        <v>1</v>
      </c>
      <c r="P37" s="20">
        <f>[2]DATA!P25</f>
        <v>1</v>
      </c>
      <c r="Q37" s="186">
        <f>[2]DATA!Q25</f>
        <v>20</v>
      </c>
      <c r="R37" s="187">
        <f>[2]DATA!R25</f>
        <v>100000000</v>
      </c>
      <c r="S37" s="78" t="str">
        <f>[2]DATA!W25</f>
        <v>Bank Dunia</v>
      </c>
      <c r="T37" s="77">
        <f>[2]DATA!Z25</f>
        <v>100000000</v>
      </c>
      <c r="U37" s="77">
        <v>0</v>
      </c>
      <c r="V37" s="216" t="str">
        <f>[2]DATA!W25</f>
        <v>Bank Dunia</v>
      </c>
      <c r="W37" s="245">
        <f>[2]DATA!AN25</f>
        <v>100000000</v>
      </c>
      <c r="X37" s="109" t="str">
        <f>[2]DATA!AO25</f>
        <v>Bank Dunia</v>
      </c>
      <c r="Y37" s="246" t="str">
        <f>[2]DATA!AP25</f>
        <v>-</v>
      </c>
      <c r="Z37" s="2405" t="s">
        <v>603</v>
      </c>
      <c r="AA37" s="2405" t="s">
        <v>603</v>
      </c>
      <c r="AB37" s="2405"/>
    </row>
    <row r="38" spans="1:28" ht="33.75" customHeight="1">
      <c r="A38" s="10">
        <f>[2]DATA!A27</f>
        <v>24</v>
      </c>
      <c r="B38" s="10">
        <f>[2]DATA!B27</f>
        <v>0</v>
      </c>
      <c r="C38" s="10" t="str">
        <f>[2]DATA!C27</f>
        <v>INFRASTRUKTUR</v>
      </c>
      <c r="D38" s="10">
        <f>[2]DATA!D27</f>
        <v>1</v>
      </c>
      <c r="E38" s="10" t="str">
        <f>[2]DATA!E27</f>
        <v>Kementerian Pekerjaan Umum dan Perumahan Rakyat</v>
      </c>
      <c r="F38" s="10" t="str">
        <f>[2]DATA!F27</f>
        <v>Drinking Water Development Program</v>
      </c>
      <c r="G38" s="10" t="str">
        <f>[2]DATA!G27</f>
        <v>D</v>
      </c>
      <c r="H38" s="10" t="str">
        <f>[2]DATA!H27</f>
        <v>Program Pembangunan Air Minum</v>
      </c>
      <c r="I38" s="10">
        <f>[2]DATA!I27</f>
        <v>3</v>
      </c>
      <c r="J38" s="181"/>
      <c r="K38" s="34"/>
      <c r="L38" s="34"/>
      <c r="M38" s="36">
        <v>22</v>
      </c>
      <c r="N38" s="37" t="str">
        <f>[2]DATA!J27</f>
        <v>Maminasata Water Supply Development Project</v>
      </c>
      <c r="O38" s="20">
        <f>[2]DATA!O27</f>
        <v>1</v>
      </c>
      <c r="P38" s="20">
        <f>[2]DATA!P27</f>
        <v>1</v>
      </c>
      <c r="Q38" s="186">
        <f>[2]DATA!Q27</f>
        <v>21</v>
      </c>
      <c r="R38" s="187">
        <f>[2]DATA!R27</f>
        <v>100000000</v>
      </c>
      <c r="S38" s="78" t="str">
        <f>[2]DATA!W27</f>
        <v>JICA</v>
      </c>
      <c r="T38" s="77">
        <f>[2]DATA!Z27</f>
        <v>100000000</v>
      </c>
      <c r="U38" s="77">
        <v>0</v>
      </c>
      <c r="V38" s="216" t="str">
        <f>[2]DATA!W27</f>
        <v>JICA</v>
      </c>
      <c r="W38" s="245">
        <f>[2]DATA!AN27</f>
        <v>100000000</v>
      </c>
      <c r="X38" s="109" t="str">
        <f>[2]DATA!AO27</f>
        <v>JICA</v>
      </c>
      <c r="Y38" s="246" t="str">
        <f>[2]DATA!AP27</f>
        <v>-</v>
      </c>
      <c r="Z38" s="2405" t="s">
        <v>568</v>
      </c>
      <c r="AA38" s="2405" t="s">
        <v>654</v>
      </c>
      <c r="AB38" s="2405"/>
    </row>
    <row r="39" spans="1:28" ht="46.5" customHeight="1">
      <c r="A39" s="10">
        <f>[2]DATA!A28</f>
        <v>25</v>
      </c>
      <c r="B39" s="10">
        <f>[2]DATA!B28</f>
        <v>0</v>
      </c>
      <c r="C39" s="10" t="str">
        <f>[2]DATA!C28</f>
        <v>INFRASTRUKTUR</v>
      </c>
      <c r="D39" s="10">
        <f>[2]DATA!D28</f>
        <v>1</v>
      </c>
      <c r="E39" s="10" t="str">
        <f>[2]DATA!E28</f>
        <v>Kementerian Pekerjaan Umum dan Perumahan Rakyat</v>
      </c>
      <c r="F39" s="10" t="str">
        <f>[2]DATA!F28</f>
        <v>Drinking Water Development Program</v>
      </c>
      <c r="G39" s="10" t="str">
        <f>[2]DATA!G28</f>
        <v>D</v>
      </c>
      <c r="H39" s="10" t="str">
        <f>[2]DATA!H28</f>
        <v>Program Pembangunan Air Minum</v>
      </c>
      <c r="I39" s="10">
        <f>[2]DATA!I28</f>
        <v>3</v>
      </c>
      <c r="J39" s="181"/>
      <c r="K39" s="34"/>
      <c r="L39" s="34"/>
      <c r="M39" s="52">
        <v>23</v>
      </c>
      <c r="N39" s="37" t="str">
        <f>[2]DATA!J28</f>
        <v>The Development of Regional Water Supply System in Benteng Kobema</v>
      </c>
      <c r="O39" s="20">
        <f>[2]DATA!O28</f>
        <v>1</v>
      </c>
      <c r="P39" s="20">
        <f>[2]DATA!P28</f>
        <v>1</v>
      </c>
      <c r="Q39" s="186">
        <f>[2]DATA!Q28</f>
        <v>22</v>
      </c>
      <c r="R39" s="187">
        <f>[2]DATA!R28</f>
        <v>74300000</v>
      </c>
      <c r="S39" s="78" t="str">
        <f>[2]DATA!W28</f>
        <v>Bank Dunia/JICA/ADB</v>
      </c>
      <c r="T39" s="77">
        <f>[2]DATA!Z28</f>
        <v>74300000</v>
      </c>
      <c r="U39" s="77">
        <v>0</v>
      </c>
      <c r="V39" s="216" t="str">
        <f>[2]DATA!W28</f>
        <v>Bank Dunia/JICA/ADB</v>
      </c>
      <c r="W39" s="245">
        <f>[2]DATA!AN28</f>
        <v>74300000</v>
      </c>
      <c r="X39" s="109" t="str">
        <f>[2]DATA!AO28</f>
        <v>Bank Dunia</v>
      </c>
      <c r="Y39" s="246" t="str">
        <f>[2]DATA!AP28</f>
        <v>- usulan K/L lender: Bank Dunia/JICA/ADB. 
- Pihak Bank Dunia berminat, ADB dan JICA tidak minat.</v>
      </c>
      <c r="Z39" s="2405" t="s">
        <v>608</v>
      </c>
      <c r="AA39" s="2405" t="s">
        <v>654</v>
      </c>
      <c r="AB39" s="2405"/>
    </row>
    <row r="40" spans="1:28" ht="40.5" customHeight="1">
      <c r="A40" s="10">
        <f>[2]DATA!A29</f>
        <v>26</v>
      </c>
      <c r="B40" s="10">
        <f>[2]DATA!B29</f>
        <v>0</v>
      </c>
      <c r="C40" s="10" t="str">
        <f>[2]DATA!C29</f>
        <v>INFRASTRUKTUR</v>
      </c>
      <c r="D40" s="10">
        <f>[2]DATA!D29</f>
        <v>1</v>
      </c>
      <c r="E40" s="10" t="str">
        <f>[2]DATA!E29</f>
        <v>Kementerian Pekerjaan Umum dan Perumahan Rakyat</v>
      </c>
      <c r="F40" s="10" t="str">
        <f>[2]DATA!F29</f>
        <v>Drinking Water Development Program</v>
      </c>
      <c r="G40" s="10" t="str">
        <f>[2]DATA!G29</f>
        <v>D</v>
      </c>
      <c r="H40" s="10" t="str">
        <f>[2]DATA!H29</f>
        <v>Program Pembangunan Air Minum</v>
      </c>
      <c r="I40" s="10">
        <f>[2]DATA!I29</f>
        <v>3</v>
      </c>
      <c r="J40" s="181"/>
      <c r="K40" s="34"/>
      <c r="L40" s="34"/>
      <c r="M40" s="36">
        <v>24</v>
      </c>
      <c r="N40" s="37" t="str">
        <f>[2]DATA!J29</f>
        <v>The Development of Regional Water Supply System in Wosusokas</v>
      </c>
      <c r="O40" s="20">
        <f>[2]DATA!O29</f>
        <v>1</v>
      </c>
      <c r="P40" s="20">
        <f>[2]DATA!P29</f>
        <v>1</v>
      </c>
      <c r="Q40" s="186">
        <f>[2]DATA!Q29</f>
        <v>23</v>
      </c>
      <c r="R40" s="187">
        <f>[2]DATA!R29</f>
        <v>106200000</v>
      </c>
      <c r="S40" s="78" t="str">
        <f>[2]DATA!W29</f>
        <v>Jerman (KfW)</v>
      </c>
      <c r="T40" s="77">
        <f>[2]DATA!Z29</f>
        <v>106200000</v>
      </c>
      <c r="U40" s="77">
        <v>0</v>
      </c>
      <c r="V40" s="216" t="str">
        <f>[2]DATA!W29</f>
        <v>Jerman (KfW)</v>
      </c>
      <c r="W40" s="245">
        <f>[2]DATA!AN29</f>
        <v>106200000</v>
      </c>
      <c r="X40" s="109" t="str">
        <f>[2]DATA!AO29</f>
        <v>Jerman (KfW)</v>
      </c>
      <c r="Y40" s="246" t="str">
        <f>[2]DATA!AP29</f>
        <v>-</v>
      </c>
      <c r="Z40" s="2405" t="s">
        <v>608</v>
      </c>
      <c r="AA40" s="2405" t="s">
        <v>654</v>
      </c>
      <c r="AB40" s="2405"/>
    </row>
    <row r="41" spans="1:28" ht="79.5" customHeight="1">
      <c r="A41" s="10">
        <f>[2]DATA!A30</f>
        <v>27</v>
      </c>
      <c r="B41" s="10">
        <f>[2]DATA!B30</f>
        <v>0</v>
      </c>
      <c r="C41" s="10" t="str">
        <f>[2]DATA!C30</f>
        <v>INFRASTRUKTUR</v>
      </c>
      <c r="D41" s="10">
        <f>[2]DATA!D30</f>
        <v>1</v>
      </c>
      <c r="E41" s="10" t="str">
        <f>[2]DATA!E30</f>
        <v>Kementerian Pekerjaan Umum dan Perumahan Rakyat</v>
      </c>
      <c r="F41" s="10" t="str">
        <f>[2]DATA!F30</f>
        <v>Drinking Water Development Program</v>
      </c>
      <c r="G41" s="10" t="str">
        <f>[2]DATA!G30</f>
        <v>D</v>
      </c>
      <c r="H41" s="10" t="str">
        <f>[2]DATA!H30</f>
        <v>Program Pembangunan Air Minum</v>
      </c>
      <c r="I41" s="10">
        <f>[2]DATA!I30</f>
        <v>3</v>
      </c>
      <c r="J41" s="181"/>
      <c r="K41" s="34"/>
      <c r="L41" s="34"/>
      <c r="M41" s="36">
        <v>25</v>
      </c>
      <c r="N41" s="37" t="str">
        <f>[2]DATA!J30</f>
        <v>The Development of Regional Water Supply System of Jatigede</v>
      </c>
      <c r="O41" s="20">
        <f>[2]DATA!O30</f>
        <v>1</v>
      </c>
      <c r="P41" s="20">
        <f>[2]DATA!P30</f>
        <v>1</v>
      </c>
      <c r="Q41" s="186">
        <f>[2]DATA!Q30</f>
        <v>24</v>
      </c>
      <c r="R41" s="187">
        <f>[2]DATA!R30</f>
        <v>167000000</v>
      </c>
      <c r="S41" s="78" t="str">
        <f>[2]DATA!W30</f>
        <v>Bank Dunia/JICA/ADB</v>
      </c>
      <c r="T41" s="77">
        <f>[2]DATA!Z30</f>
        <v>140620000</v>
      </c>
      <c r="U41" s="77">
        <v>0</v>
      </c>
      <c r="V41" s="216" t="str">
        <f>[2]DATA!W30</f>
        <v>Bank Dunia/JICA/ADB</v>
      </c>
      <c r="W41" s="245">
        <f>[2]DATA!AN30</f>
        <v>140620000</v>
      </c>
      <c r="X41" s="109" t="str">
        <f>[2]DATA!AO30</f>
        <v>Belum Ada Indikasi</v>
      </c>
      <c r="Y41" s="246" t="str">
        <f>[2]DATA!AP30</f>
        <v>- terdapat pengurangan nilai pinjaman sebesar USD 26,38 juta yang dialihkan untuk membiayai kegiatan ES.
- usulan K/L lender: Bank Dunia/JICA/ADB. 
- Pihak Bank Dunia, ADB, dan JICA tidak berminat.</v>
      </c>
      <c r="Z41" s="2405" t="s">
        <v>603</v>
      </c>
      <c r="AA41" s="2405" t="s">
        <v>603</v>
      </c>
      <c r="AB41" s="2405" t="s">
        <v>1118</v>
      </c>
    </row>
    <row r="42" spans="1:28" ht="51" customHeight="1">
      <c r="A42" s="10">
        <f>[2]DATA!A31</f>
        <v>28</v>
      </c>
      <c r="B42" s="10">
        <f>[2]DATA!B31</f>
        <v>0</v>
      </c>
      <c r="C42" s="10" t="str">
        <f>[2]DATA!C31</f>
        <v>INFRASTRUKTUR</v>
      </c>
      <c r="D42" s="10">
        <f>[2]DATA!D31</f>
        <v>1</v>
      </c>
      <c r="E42" s="10" t="str">
        <f>[2]DATA!E31</f>
        <v>Kementerian Pekerjaan Umum dan Perumahan Rakyat</v>
      </c>
      <c r="F42" s="10" t="str">
        <f>[2]DATA!F31</f>
        <v>Drinking Water Development Program</v>
      </c>
      <c r="G42" s="10" t="str">
        <f>[2]DATA!G31</f>
        <v>D</v>
      </c>
      <c r="H42" s="10" t="str">
        <f>[2]DATA!H31</f>
        <v>Program Pembangunan Air Minum</v>
      </c>
      <c r="I42" s="10">
        <f>[2]DATA!I31</f>
        <v>3</v>
      </c>
      <c r="J42" s="181"/>
      <c r="K42" s="34"/>
      <c r="L42" s="34"/>
      <c r="M42" s="36">
        <v>26</v>
      </c>
      <c r="N42" s="37" t="str">
        <f>[2]DATA!J31</f>
        <v>The Development of Regional Water Supply System of Petanglong</v>
      </c>
      <c r="O42" s="20">
        <f>[2]DATA!O31</f>
        <v>1</v>
      </c>
      <c r="P42" s="20">
        <f>[2]DATA!P31</f>
        <v>1</v>
      </c>
      <c r="Q42" s="186">
        <f>[2]DATA!Q31</f>
        <v>25</v>
      </c>
      <c r="R42" s="187">
        <f>[2]DATA!R31</f>
        <v>95380000</v>
      </c>
      <c r="S42" s="78" t="str">
        <f>[2]DATA!W31</f>
        <v>Bank Dunia/JICA/ADB</v>
      </c>
      <c r="T42" s="77">
        <f>[2]DATA!Z31</f>
        <v>95380000</v>
      </c>
      <c r="U42" s="77">
        <v>0</v>
      </c>
      <c r="V42" s="216" t="str">
        <f>[2]DATA!W31</f>
        <v>Bank Dunia/JICA/ADB</v>
      </c>
      <c r="W42" s="245">
        <f>[2]DATA!AN31</f>
        <v>95380000</v>
      </c>
      <c r="X42" s="109" t="str">
        <f>[2]DATA!AO31</f>
        <v>Belum Ada Indikasi</v>
      </c>
      <c r="Y42" s="246" t="str">
        <f>[2]DATA!AP31</f>
        <v>- usulan K/L lender: Bank Dunia/JICA/ADB. 
- Pihak Bank Dunia, ADB, dan JICA tidak berminat.</v>
      </c>
      <c r="Z42" s="2405" t="s">
        <v>603</v>
      </c>
      <c r="AA42" s="2405" t="s">
        <v>603</v>
      </c>
      <c r="AB42" s="2405"/>
    </row>
    <row r="43" spans="1:28" ht="51" customHeight="1">
      <c r="A43" s="10">
        <f>[2]DATA!A32</f>
        <v>29</v>
      </c>
      <c r="B43" s="10">
        <f>[2]DATA!B32</f>
        <v>0</v>
      </c>
      <c r="C43" s="10" t="str">
        <f>[2]DATA!C32</f>
        <v>INFRASTRUKTUR</v>
      </c>
      <c r="D43" s="10">
        <f>[2]DATA!D32</f>
        <v>1</v>
      </c>
      <c r="E43" s="10" t="str">
        <f>[2]DATA!E32</f>
        <v>Kementerian Pekerjaan Umum dan Perumahan Rakyat</v>
      </c>
      <c r="F43" s="10" t="str">
        <f>[2]DATA!F32</f>
        <v>Drinking Water Development Program</v>
      </c>
      <c r="G43" s="10" t="str">
        <f>[2]DATA!G32</f>
        <v>D</v>
      </c>
      <c r="H43" s="10" t="str">
        <f>[2]DATA!H32</f>
        <v>Program Pembangunan Air Minum</v>
      </c>
      <c r="I43" s="10">
        <f>[2]DATA!I32</f>
        <v>3</v>
      </c>
      <c r="J43" s="181"/>
      <c r="K43" s="34"/>
      <c r="L43" s="34"/>
      <c r="M43" s="36">
        <v>27</v>
      </c>
      <c r="N43" s="37" t="str">
        <f>[2]DATA!J32</f>
        <v>The Development of Regional Water Supply System of Durolis</v>
      </c>
      <c r="O43" s="20">
        <f>[2]DATA!O32</f>
        <v>1</v>
      </c>
      <c r="P43" s="20">
        <f>[2]DATA!P32</f>
        <v>1</v>
      </c>
      <c r="Q43" s="186">
        <f>[2]DATA!Q32</f>
        <v>26</v>
      </c>
      <c r="R43" s="187">
        <f>[2]DATA!R32</f>
        <v>33400000</v>
      </c>
      <c r="S43" s="78" t="str">
        <f>[2]DATA!W32</f>
        <v>Bank Dunia/JICA/ADB</v>
      </c>
      <c r="T43" s="77">
        <f>[2]DATA!Z32</f>
        <v>33400000</v>
      </c>
      <c r="U43" s="77">
        <v>0</v>
      </c>
      <c r="V43" s="216" t="str">
        <f>[2]DATA!W32</f>
        <v>Bank Dunia/JICA/ADB</v>
      </c>
      <c r="W43" s="245">
        <f>[2]DATA!AN32</f>
        <v>33400000</v>
      </c>
      <c r="X43" s="109" t="str">
        <f>[2]DATA!AO32</f>
        <v>Belum Ada Indikasi</v>
      </c>
      <c r="Y43" s="246" t="str">
        <f>[2]DATA!AP32</f>
        <v>- usulan K/L lender: Bank Dunia/JICA/ADB.
- Pihak Bank Dunia, ADB, dan JICA tidak berminat.</v>
      </c>
      <c r="Z43" s="2405" t="s">
        <v>568</v>
      </c>
      <c r="AA43" s="2405" t="s">
        <v>568</v>
      </c>
      <c r="AB43" s="2405"/>
    </row>
    <row r="44" spans="1:28" ht="38.25" customHeight="1">
      <c r="A44" s="10">
        <f>[2]DATA!A33</f>
        <v>30</v>
      </c>
      <c r="B44" s="10">
        <f>[2]DATA!B33</f>
        <v>0</v>
      </c>
      <c r="C44" s="10" t="str">
        <f>[2]DATA!C33</f>
        <v>INFRASTRUKTUR</v>
      </c>
      <c r="D44" s="10">
        <f>[2]DATA!D33</f>
        <v>1</v>
      </c>
      <c r="E44" s="10" t="str">
        <f>[2]DATA!E33</f>
        <v>Kementerian Pekerjaan Umum dan Perumahan Rakyat</v>
      </c>
      <c r="F44" s="10" t="str">
        <f>[2]DATA!F33</f>
        <v>Drinking Water Development Program</v>
      </c>
      <c r="G44" s="10" t="str">
        <f>[2]DATA!G33</f>
        <v>D</v>
      </c>
      <c r="H44" s="10" t="str">
        <f>[2]DATA!H33</f>
        <v>Program Pembangunan Air Minum</v>
      </c>
      <c r="I44" s="10">
        <f>[2]DATA!I33</f>
        <v>3</v>
      </c>
      <c r="J44" s="181"/>
      <c r="K44" s="34"/>
      <c r="L44" s="34"/>
      <c r="M44" s="36">
        <v>28</v>
      </c>
      <c r="N44" s="37" t="str">
        <f>[2]DATA!J33</f>
        <v>The Development of Regional Water Supply System of  Banten - Jakarta from Karian Dam</v>
      </c>
      <c r="O44" s="20">
        <f>[2]DATA!O33</f>
        <v>1</v>
      </c>
      <c r="P44" s="20">
        <f>[2]DATA!P33</f>
        <v>1</v>
      </c>
      <c r="Q44" s="186">
        <f>[2]DATA!Q33</f>
        <v>27</v>
      </c>
      <c r="R44" s="187">
        <f>[2]DATA!R33</f>
        <v>40000000</v>
      </c>
      <c r="S44" s="78" t="str">
        <f>[2]DATA!W33</f>
        <v>Korea</v>
      </c>
      <c r="T44" s="77">
        <f>[2]DATA!Z33</f>
        <v>40000000</v>
      </c>
      <c r="U44" s="77">
        <v>0</v>
      </c>
      <c r="V44" s="216" t="str">
        <f>[2]DATA!W33</f>
        <v>Korea</v>
      </c>
      <c r="W44" s="245">
        <f>[2]DATA!AN33</f>
        <v>40000000</v>
      </c>
      <c r="X44" s="109" t="str">
        <f>[2]DATA!AO33</f>
        <v>Korea</v>
      </c>
      <c r="Y44" s="246" t="str">
        <f>[2]DATA!AP33</f>
        <v>belum masuk rolling plan EDCF (Korea)</v>
      </c>
      <c r="Z44" s="2405" t="s">
        <v>675</v>
      </c>
      <c r="AA44" s="2405" t="s">
        <v>675</v>
      </c>
      <c r="AB44" s="2405"/>
    </row>
    <row r="45" spans="1:28" ht="41.25" customHeight="1">
      <c r="A45" s="10">
        <f>[2]DATA!A34</f>
        <v>31</v>
      </c>
      <c r="B45" s="10">
        <f>[2]DATA!B34</f>
        <v>0</v>
      </c>
      <c r="C45" s="10" t="str">
        <f>[2]DATA!C34</f>
        <v>INFRASTRUKTUR</v>
      </c>
      <c r="D45" s="10">
        <f>[2]DATA!D34</f>
        <v>1</v>
      </c>
      <c r="E45" s="10" t="str">
        <f>[2]DATA!E34</f>
        <v>Kementerian Pekerjaan Umum dan Perumahan Rakyat</v>
      </c>
      <c r="F45" s="10" t="str">
        <f>[2]DATA!F34</f>
        <v>Drinking Water Development Program</v>
      </c>
      <c r="G45" s="10" t="str">
        <f>[2]DATA!G34</f>
        <v>D</v>
      </c>
      <c r="H45" s="10" t="str">
        <f>[2]DATA!H34</f>
        <v>Program Pembangunan Air Minum</v>
      </c>
      <c r="I45" s="10">
        <f>[2]DATA!I34</f>
        <v>3</v>
      </c>
      <c r="J45" s="181"/>
      <c r="K45" s="34"/>
      <c r="L45" s="34"/>
      <c r="M45" s="36">
        <v>29</v>
      </c>
      <c r="N45" s="37" t="str">
        <f>[2]DATA!J34</f>
        <v>The Development of Regional Water Supply System of Mebidang</v>
      </c>
      <c r="O45" s="20">
        <f>[2]DATA!O34</f>
        <v>1</v>
      </c>
      <c r="P45" s="20">
        <f>[2]DATA!P34</f>
        <v>1</v>
      </c>
      <c r="Q45" s="186">
        <f>[2]DATA!Q34</f>
        <v>28</v>
      </c>
      <c r="R45" s="187">
        <f>[2]DATA!R34</f>
        <v>56400000</v>
      </c>
      <c r="S45" s="78" t="str">
        <f>[2]DATA!W34</f>
        <v>Jerman (KfW)</v>
      </c>
      <c r="T45" s="77">
        <f>[2]DATA!Z34</f>
        <v>56400000</v>
      </c>
      <c r="U45" s="77">
        <v>0</v>
      </c>
      <c r="V45" s="216" t="str">
        <f>[2]DATA!W34</f>
        <v>Jerman (KfW)</v>
      </c>
      <c r="W45" s="245">
        <f>[2]DATA!AN34</f>
        <v>56400000</v>
      </c>
      <c r="X45" s="109" t="str">
        <f>[2]DATA!AO34</f>
        <v>Jerman (KfW)</v>
      </c>
      <c r="Y45" s="246" t="str">
        <f>[2]DATA!AP34</f>
        <v>-</v>
      </c>
      <c r="Z45" s="2405" t="s">
        <v>614</v>
      </c>
      <c r="AA45" s="2405" t="s">
        <v>614</v>
      </c>
      <c r="AB45" s="2405"/>
    </row>
    <row r="46" spans="1:28" ht="40.5" customHeight="1">
      <c r="A46" s="10">
        <f>[2]DATA!A36</f>
        <v>33</v>
      </c>
      <c r="B46" s="10">
        <f>[2]DATA!B36</f>
        <v>0</v>
      </c>
      <c r="C46" s="10" t="str">
        <f>[2]DATA!C36</f>
        <v>INFRASTRUKTUR</v>
      </c>
      <c r="D46" s="10">
        <f>[2]DATA!D36</f>
        <v>1</v>
      </c>
      <c r="E46" s="10" t="str">
        <f>[2]DATA!E36</f>
        <v>Kementerian Pekerjaan Umum dan Perumahan Rakyat</v>
      </c>
      <c r="F46" s="10" t="str">
        <f>[2]DATA!F36</f>
        <v>Drinking Water Development Program</v>
      </c>
      <c r="G46" s="10" t="str">
        <f>[2]DATA!G36</f>
        <v>D</v>
      </c>
      <c r="H46" s="10" t="str">
        <f>[2]DATA!H36</f>
        <v>Program Pembangunan Air Minum</v>
      </c>
      <c r="I46" s="10">
        <f>[2]DATA!I36</f>
        <v>4</v>
      </c>
      <c r="J46" s="181"/>
      <c r="K46" s="34"/>
      <c r="L46" s="34"/>
      <c r="M46" s="36">
        <v>30</v>
      </c>
      <c r="N46" s="37" t="str">
        <f>[2]DATA!J36</f>
        <v>Small Scale Water Treatment Plants for Emergency Relief</v>
      </c>
      <c r="O46" s="20">
        <f>[2]DATA!O36</f>
        <v>1</v>
      </c>
      <c r="P46" s="20">
        <f>[2]DATA!P36</f>
        <v>1</v>
      </c>
      <c r="Q46" s="186">
        <f>[2]DATA!Q36</f>
        <v>29</v>
      </c>
      <c r="R46" s="187">
        <f>[2]DATA!R36</f>
        <v>25000000</v>
      </c>
      <c r="S46" s="78" t="str">
        <f>[2]DATA!W36</f>
        <v>Spanyol</v>
      </c>
      <c r="T46" s="77">
        <f>[2]DATA!Z36</f>
        <v>25000000</v>
      </c>
      <c r="U46" s="77">
        <v>0</v>
      </c>
      <c r="V46" s="216" t="str">
        <f>[2]DATA!W36</f>
        <v>Spanyol</v>
      </c>
      <c r="W46" s="245">
        <f>[2]DATA!AN36</f>
        <v>25000000</v>
      </c>
      <c r="X46" s="109" t="str">
        <f>[2]DATA!AO36</f>
        <v>Spanyol</v>
      </c>
      <c r="Y46" s="246" t="str">
        <f>[2]DATA!AP36</f>
        <v>-</v>
      </c>
      <c r="Z46" s="2405" t="s">
        <v>568</v>
      </c>
      <c r="AA46" s="2405" t="s">
        <v>654</v>
      </c>
      <c r="AB46" s="2405"/>
    </row>
    <row r="47" spans="1:28" ht="41.25" customHeight="1">
      <c r="A47" s="10">
        <f>[2]DATA!A38</f>
        <v>34</v>
      </c>
      <c r="B47" s="10">
        <f>[2]DATA!B38</f>
        <v>0</v>
      </c>
      <c r="C47" s="10" t="str">
        <f>[2]DATA!C38</f>
        <v>INFRASTRUKTUR</v>
      </c>
      <c r="D47" s="10">
        <f>[2]DATA!D38</f>
        <v>1</v>
      </c>
      <c r="E47" s="10" t="str">
        <f>[2]DATA!E38</f>
        <v>Kementerian Pekerjaan Umum dan Perumahan Rakyat</v>
      </c>
      <c r="F47" s="10" t="str">
        <f>[2]DATA!F38</f>
        <v>Drinking Water Development Program</v>
      </c>
      <c r="G47" s="10" t="str">
        <f>[2]DATA!G38</f>
        <v>D</v>
      </c>
      <c r="H47" s="10" t="str">
        <f>[2]DATA!H38</f>
        <v>Program Pembangunan Air Minum</v>
      </c>
      <c r="I47" s="10">
        <f>[2]DATA!I38</f>
        <v>4</v>
      </c>
      <c r="J47" s="181"/>
      <c r="K47" s="34"/>
      <c r="L47" s="34"/>
      <c r="M47" s="3398">
        <v>31</v>
      </c>
      <c r="N47" s="3393" t="str">
        <f>[2]DATA!J38</f>
        <v>IKK Water Supply Program and Small Water Treatment Plant for Water Scarcity Area</v>
      </c>
      <c r="O47" s="20">
        <f>[2]DATA!O38</f>
        <v>0.5</v>
      </c>
      <c r="P47" s="20">
        <f>[2]DATA!P38</f>
        <v>1</v>
      </c>
      <c r="Q47" s="186">
        <f>[2]DATA!Q38</f>
        <v>0</v>
      </c>
      <c r="R47" s="3403">
        <f>[2]DATA!R37</f>
        <v>100000000</v>
      </c>
      <c r="S47" s="78" t="str">
        <f>[2]DATA!W38</f>
        <v>Hungaria</v>
      </c>
      <c r="T47" s="77">
        <f>[2]DATA!Z38</f>
        <v>50000000</v>
      </c>
      <c r="U47" s="77">
        <v>0</v>
      </c>
      <c r="V47" s="216" t="str">
        <f>[2]DATA!W38</f>
        <v>Hungaria</v>
      </c>
      <c r="W47" s="245">
        <f>[2]DATA!AN38</f>
        <v>50000000</v>
      </c>
      <c r="X47" s="109" t="str">
        <f>[2]DATA!AO38</f>
        <v>Hungaria</v>
      </c>
      <c r="Y47" s="246" t="str">
        <f>[2]DATA!AP38</f>
        <v>-</v>
      </c>
      <c r="Z47" s="3535" t="s">
        <v>568</v>
      </c>
      <c r="AA47" s="3535" t="s">
        <v>1119</v>
      </c>
      <c r="AB47" s="3535"/>
    </row>
    <row r="48" spans="1:28" ht="54" customHeight="1">
      <c r="J48" s="181"/>
      <c r="K48" s="34"/>
      <c r="L48" s="54"/>
      <c r="M48" s="3398"/>
      <c r="N48" s="3394"/>
      <c r="O48" s="20">
        <f>[2]DATA!O39</f>
        <v>0.5</v>
      </c>
      <c r="P48" s="20">
        <f>[2]DATA!P39</f>
        <v>0</v>
      </c>
      <c r="Q48" s="186">
        <f>[2]DATA!Q39</f>
        <v>0</v>
      </c>
      <c r="R48" s="3404"/>
      <c r="S48" s="78" t="str">
        <f>[2]DATA!W39</f>
        <v>IDB</v>
      </c>
      <c r="T48" s="77">
        <f>[2]DATA!Z39</f>
        <v>50000000</v>
      </c>
      <c r="U48" s="77">
        <v>0</v>
      </c>
      <c r="V48" s="216" t="str">
        <f>[2]DATA!W39</f>
        <v>IDB</v>
      </c>
      <c r="W48" s="245">
        <f>[2]DATA!AN39</f>
        <v>50000000</v>
      </c>
      <c r="X48" s="109" t="str">
        <f>[2]DATA!AO39</f>
        <v>AIIB</v>
      </c>
      <c r="Y48" s="246" t="str">
        <f>[2]DATA!AP39</f>
        <v>- usulan K/L lender:IDB.
- pihak IDB tidak berminat mendanai kegiatan ini, diusulkan kepada AIIB.</v>
      </c>
      <c r="Z48" s="3537"/>
      <c r="AA48" s="3537"/>
      <c r="AB48" s="3537"/>
    </row>
    <row r="49" spans="1:28" ht="45.75" customHeight="1">
      <c r="J49" s="181"/>
      <c r="K49" s="34"/>
      <c r="L49" s="54"/>
      <c r="M49" s="36">
        <v>32</v>
      </c>
      <c r="N49" s="37" t="str">
        <f>[2]DATA!J40</f>
        <v>Engineering Service for Water Supply Development Project</v>
      </c>
      <c r="O49" s="20">
        <f>[2]DATA!O40</f>
        <v>0</v>
      </c>
      <c r="P49" s="20">
        <f>[2]DATA!P40</f>
        <v>0</v>
      </c>
      <c r="Q49" s="186">
        <f>[2]DATA!Q40</f>
        <v>0</v>
      </c>
      <c r="R49" s="187">
        <f>[2]DATA!R40</f>
        <v>0</v>
      </c>
      <c r="S49" s="78" t="str">
        <f>[2]DATA!W40</f>
        <v>ADB</v>
      </c>
      <c r="T49" s="77">
        <f>[2]DATA!Z40</f>
        <v>26380000</v>
      </c>
      <c r="U49" s="77">
        <v>0</v>
      </c>
      <c r="V49" s="216" t="str">
        <f>[2]DATA!W40</f>
        <v>ADB</v>
      </c>
      <c r="W49" s="245">
        <f>[2]DATA!AN40</f>
        <v>26380000</v>
      </c>
      <c r="X49" s="109" t="str">
        <f>[2]DATA!AO40</f>
        <v>ADB</v>
      </c>
      <c r="Y49" s="246" t="str">
        <f>[2]DATA!AP40</f>
        <v>-</v>
      </c>
      <c r="Z49" s="2405" t="s">
        <v>603</v>
      </c>
      <c r="AA49" s="2405" t="s">
        <v>603</v>
      </c>
      <c r="AB49" s="2405"/>
    </row>
    <row r="50" spans="1:28" s="5" customFormat="1" ht="39.75" customHeight="1">
      <c r="J50" s="180"/>
      <c r="K50" s="50"/>
      <c r="L50" s="30" t="str">
        <f>[2]DATA!G41</f>
        <v>E</v>
      </c>
      <c r="M50" s="3427" t="str">
        <f>[2]DATA!H41</f>
        <v>Program Pembangunan Sistem Pengelolaan Air Limbah</v>
      </c>
      <c r="N50" s="3428"/>
      <c r="O50" s="31"/>
      <c r="P50" s="31"/>
      <c r="Q50" s="196"/>
      <c r="R50" s="197">
        <f>R51+R53+R54+R55+R59+R60+R61</f>
        <v>3583000000</v>
      </c>
      <c r="S50" s="81"/>
      <c r="T50" s="81">
        <f>SUM(T51:T61)</f>
        <v>3583000000</v>
      </c>
      <c r="U50" s="81">
        <f t="shared" ref="U50:Y50" si="6">SUM(U51:U61)</f>
        <v>0</v>
      </c>
      <c r="V50" s="214">
        <f t="shared" si="6"/>
        <v>0</v>
      </c>
      <c r="W50" s="244">
        <f t="shared" si="6"/>
        <v>3583000000</v>
      </c>
      <c r="X50" s="81" t="s">
        <v>21</v>
      </c>
      <c r="Y50" s="229">
        <f t="shared" si="6"/>
        <v>0</v>
      </c>
      <c r="Z50" s="2407">
        <f>T55+T57+T58</f>
        <v>949800000</v>
      </c>
      <c r="AA50" s="2407"/>
      <c r="AB50" s="2407"/>
    </row>
    <row r="51" spans="1:28" ht="30" customHeight="1">
      <c r="J51" s="181"/>
      <c r="K51" s="34"/>
      <c r="L51" s="34"/>
      <c r="M51" s="3399">
        <v>33</v>
      </c>
      <c r="N51" s="3395" t="str">
        <f>[2]DATA!J42</f>
        <v>Community Based Sanitation Program (SANIMAS)</v>
      </c>
      <c r="O51" s="183">
        <f>[2]DATA!O42</f>
        <v>0.5</v>
      </c>
      <c r="P51" s="183">
        <f>[2]DATA!P42</f>
        <v>1</v>
      </c>
      <c r="Q51" s="206">
        <f>[2]DATA!Q42</f>
        <v>31</v>
      </c>
      <c r="R51" s="3410">
        <f>[2]DATA!R41</f>
        <v>250000000</v>
      </c>
      <c r="S51" s="78" t="str">
        <f>[2]DATA!W42</f>
        <v>ADB</v>
      </c>
      <c r="T51" s="37">
        <f>[2]DATA!Z42</f>
        <v>125000000</v>
      </c>
      <c r="U51" s="77">
        <v>0</v>
      </c>
      <c r="V51" s="216" t="str">
        <f>[2]DATA!W42</f>
        <v>ADB</v>
      </c>
      <c r="W51" s="245">
        <f>[2]DATA!AN42</f>
        <v>125000000</v>
      </c>
      <c r="X51" s="109" t="str">
        <f>[2]DATA!AO42</f>
        <v>ADB</v>
      </c>
      <c r="Y51" s="246" t="str">
        <f>[2]DATA!AP42</f>
        <v>-</v>
      </c>
      <c r="Z51" s="3538" t="s">
        <v>603</v>
      </c>
      <c r="AA51" s="3538" t="s">
        <v>645</v>
      </c>
      <c r="AB51" s="3538"/>
    </row>
    <row r="52" spans="1:28" ht="27.75" customHeight="1">
      <c r="J52" s="181"/>
      <c r="K52" s="34"/>
      <c r="L52" s="34"/>
      <c r="M52" s="3400"/>
      <c r="N52" s="3396"/>
      <c r="O52" s="183"/>
      <c r="P52" s="183"/>
      <c r="Q52" s="206"/>
      <c r="R52" s="3409"/>
      <c r="S52" s="78" t="str">
        <f>[2]DATA!W43</f>
        <v>IDB</v>
      </c>
      <c r="T52" s="37">
        <f>[2]DATA!Z43</f>
        <v>125000000</v>
      </c>
      <c r="U52" s="77">
        <v>0</v>
      </c>
      <c r="V52" s="216" t="str">
        <f>[2]DATA!W43</f>
        <v>IDB</v>
      </c>
      <c r="W52" s="245">
        <f>[2]DATA!AN43</f>
        <v>125000000</v>
      </c>
      <c r="X52" s="109" t="str">
        <f>[2]DATA!AO43</f>
        <v>IDB</v>
      </c>
      <c r="Y52" s="246" t="str">
        <f>[2]DATA!AP43</f>
        <v>-</v>
      </c>
      <c r="Z52" s="3539"/>
      <c r="AA52" s="3539"/>
      <c r="AB52" s="3539"/>
    </row>
    <row r="53" spans="1:28" ht="33" customHeight="1">
      <c r="A53" s="10">
        <f>[2]DATA!A44</f>
        <v>36</v>
      </c>
      <c r="B53" s="10">
        <f>[2]DATA!B44</f>
        <v>0</v>
      </c>
      <c r="C53" s="10" t="str">
        <f>[2]DATA!C44</f>
        <v>INFRASTRUKTUR</v>
      </c>
      <c r="D53" s="10">
        <f>[2]DATA!D44</f>
        <v>1</v>
      </c>
      <c r="E53" s="10" t="str">
        <f>[2]DATA!E44</f>
        <v>Kementerian Pekerjaan Umum dan Perumahan Rakyat</v>
      </c>
      <c r="F53" s="10" t="str">
        <f>[2]DATA!F44</f>
        <v>Development of Waste Water Management Program</v>
      </c>
      <c r="G53" s="10" t="str">
        <f>[2]DATA!G44</f>
        <v>E</v>
      </c>
      <c r="H53" s="10" t="str">
        <f>[2]DATA!H44</f>
        <v>Program Pembangunan Sistem Pengelolaan Air Limbah</v>
      </c>
      <c r="I53" s="10">
        <f>[2]DATA!I44</f>
        <v>2</v>
      </c>
      <c r="J53" s="181"/>
      <c r="K53" s="34"/>
      <c r="L53" s="34"/>
      <c r="M53" s="36">
        <v>34</v>
      </c>
      <c r="N53" s="37" t="str">
        <f>[2]DATA!J44</f>
        <v>Jakarta Sewerage Development Project - Zone 1 and Zone 6</v>
      </c>
      <c r="O53" s="20">
        <f>[2]DATA!O44</f>
        <v>1</v>
      </c>
      <c r="P53" s="20">
        <f>[2]DATA!P44</f>
        <v>1</v>
      </c>
      <c r="Q53" s="186">
        <f>[2]DATA!Q44</f>
        <v>32</v>
      </c>
      <c r="R53" s="187">
        <f>[2]DATA!R44</f>
        <v>1950000000</v>
      </c>
      <c r="S53" s="78" t="str">
        <f>[2]DATA!W44</f>
        <v>JICA</v>
      </c>
      <c r="T53" s="77">
        <f>[2]DATA!Z44</f>
        <v>1950000000</v>
      </c>
      <c r="U53" s="77">
        <v>0</v>
      </c>
      <c r="V53" s="216" t="str">
        <f>[2]DATA!W44</f>
        <v>JICA</v>
      </c>
      <c r="W53" s="245">
        <f>[2]DATA!AN44</f>
        <v>1950000000</v>
      </c>
      <c r="X53" s="109" t="str">
        <f>[2]DATA!AO44</f>
        <v>JICA</v>
      </c>
      <c r="Y53" s="246" t="str">
        <f>[2]DATA!AP44</f>
        <v>-</v>
      </c>
      <c r="Z53" s="2408" t="s">
        <v>675</v>
      </c>
      <c r="AA53" s="2409" t="s">
        <v>702</v>
      </c>
      <c r="AB53" s="2409" t="s">
        <v>1120</v>
      </c>
    </row>
    <row r="54" spans="1:28" ht="90.75" customHeight="1">
      <c r="A54" s="10">
        <f>[2]DATA!A45</f>
        <v>37</v>
      </c>
      <c r="B54" s="10">
        <f>[2]DATA!B45</f>
        <v>0</v>
      </c>
      <c r="C54" s="10" t="str">
        <f>[2]DATA!C45</f>
        <v>INFRASTRUKTUR</v>
      </c>
      <c r="D54" s="10">
        <f>[2]DATA!D45</f>
        <v>1</v>
      </c>
      <c r="E54" s="10" t="str">
        <f>[2]DATA!E45</f>
        <v>Kementerian Pekerjaan Umum dan Perumahan Rakyat</v>
      </c>
      <c r="F54" s="10" t="str">
        <f>[2]DATA!F45</f>
        <v>Development of Waste Water Management Program</v>
      </c>
      <c r="G54" s="10" t="str">
        <f>[2]DATA!G45</f>
        <v>E</v>
      </c>
      <c r="H54" s="10" t="str">
        <f>[2]DATA!H45</f>
        <v>Program Pembangunan Sistem Pengelolaan Air Limbah</v>
      </c>
      <c r="I54" s="10">
        <f>[2]DATA!I45</f>
        <v>3</v>
      </c>
      <c r="J54" s="181"/>
      <c r="K54" s="34"/>
      <c r="L54" s="34"/>
      <c r="M54" s="36">
        <v>35</v>
      </c>
      <c r="N54" s="37" t="str">
        <f>[2]DATA!J45</f>
        <v>The Development of Sewage Treatment Plant Facility in Priority Area</v>
      </c>
      <c r="O54" s="20">
        <f>[2]DATA!O45</f>
        <v>1</v>
      </c>
      <c r="P54" s="20">
        <f>[2]DATA!P45</f>
        <v>1</v>
      </c>
      <c r="Q54" s="186">
        <f>[2]DATA!Q45</f>
        <v>33</v>
      </c>
      <c r="R54" s="187">
        <f>[2]DATA!R45</f>
        <v>75000000</v>
      </c>
      <c r="S54" s="78" t="str">
        <f>[2]DATA!W45</f>
        <v>Bank Dunia/JICA</v>
      </c>
      <c r="T54" s="77">
        <f>[2]DATA!Z45</f>
        <v>75000000</v>
      </c>
      <c r="U54" s="77">
        <v>0</v>
      </c>
      <c r="V54" s="216" t="str">
        <f>[2]DATA!W45</f>
        <v>Bank Dunia/JICA</v>
      </c>
      <c r="W54" s="245">
        <f>[2]DATA!AN45</f>
        <v>75000000</v>
      </c>
      <c r="X54" s="109" t="str">
        <f>[2]DATA!AO45</f>
        <v>Bank Dunia</v>
      </c>
      <c r="Y54" s="246" t="str">
        <f>[2]DATA!AP45</f>
        <v>- usulan K/L lender: Bank Dunia/JICA/ADB. 
- pihak Bank Dunia berminat, ADB dan JICA tidak berminat
- dalam rencana pembiayaan Bank Dunia, kegiatan ini dijadikan satu paket dengan kegiatan "Sewerage System Development in Indonesia"</v>
      </c>
      <c r="Z54" s="2408" t="s">
        <v>675</v>
      </c>
      <c r="AA54" s="2408" t="s">
        <v>603</v>
      </c>
      <c r="AB54" s="2408"/>
    </row>
    <row r="55" spans="1:28" ht="57" customHeight="1">
      <c r="A55" s="10">
        <f>[2]DATA!A47</f>
        <v>38</v>
      </c>
      <c r="B55" s="10">
        <f>[2]DATA!B47</f>
        <v>0</v>
      </c>
      <c r="C55" s="10" t="str">
        <f>[2]DATA!C47</f>
        <v>INFRASTRUKTUR</v>
      </c>
      <c r="D55" s="10">
        <f>[2]DATA!D47</f>
        <v>1</v>
      </c>
      <c r="E55" s="10" t="str">
        <f>[2]DATA!E47</f>
        <v>Kementerian Pekerjaan Umum dan Perumahan Rakyat</v>
      </c>
      <c r="F55" s="10" t="str">
        <f>[2]DATA!F47</f>
        <v>Development of Waste Water Management Program</v>
      </c>
      <c r="G55" s="10" t="str">
        <f>[2]DATA!G47</f>
        <v>E</v>
      </c>
      <c r="H55" s="10" t="str">
        <f>[2]DATA!H47</f>
        <v>Program Pembangunan Sistem Pengelolaan Air Limbah</v>
      </c>
      <c r="I55" s="10">
        <f>[2]DATA!I47</f>
        <v>4</v>
      </c>
      <c r="J55" s="181"/>
      <c r="K55" s="34"/>
      <c r="L55" s="34"/>
      <c r="M55" s="3390">
        <v>36</v>
      </c>
      <c r="N55" s="3393" t="str">
        <f>[2]DATA!J47</f>
        <v>Sewerage System Development in Indonesia</v>
      </c>
      <c r="O55" s="20">
        <f>[2]DATA!O47</f>
        <v>0.33333333333333298</v>
      </c>
      <c r="P55" s="20">
        <f>[2]DATA!P47</f>
        <v>0</v>
      </c>
      <c r="Q55" s="186">
        <f>[2]DATA!Q47</f>
        <v>0</v>
      </c>
      <c r="R55" s="3403">
        <f>[2]DATA!R46</f>
        <v>975000000</v>
      </c>
      <c r="S55" s="3533" t="str">
        <f>[2]DATA!W47</f>
        <v>ADB</v>
      </c>
      <c r="T55" s="3414">
        <f>[2]DATA!Z47</f>
        <v>424800000</v>
      </c>
      <c r="U55" s="3414">
        <v>0</v>
      </c>
      <c r="V55" s="3416" t="str">
        <f>[2]DATA!W47</f>
        <v>ADB</v>
      </c>
      <c r="W55" s="245">
        <f>[2]DATA!AN47</f>
        <v>400000000</v>
      </c>
      <c r="X55" s="109" t="str">
        <f>[2]DATA!AO47</f>
        <v>ADB</v>
      </c>
      <c r="Y55" s="246" t="str">
        <f>[2]DATA!AP47</f>
        <v>- nilai kegiatan yang tercantum dalam COBP ADB sebesar USD 400 juta.
- nilai kegiatan berkurang sebesar USD 25,2 yang dialihkan untuk membiayai kegiatan ES</v>
      </c>
      <c r="Z55" s="3411" t="s">
        <v>603</v>
      </c>
      <c r="AA55" s="3411" t="s">
        <v>603</v>
      </c>
      <c r="AB55" s="3411" t="s">
        <v>1121</v>
      </c>
    </row>
    <row r="56" spans="1:28" ht="29.25" customHeight="1">
      <c r="J56" s="181"/>
      <c r="K56" s="34"/>
      <c r="L56" s="34"/>
      <c r="M56" s="3392"/>
      <c r="N56" s="3397"/>
      <c r="O56" s="20"/>
      <c r="P56" s="20"/>
      <c r="Q56" s="186"/>
      <c r="R56" s="3405"/>
      <c r="S56" s="3534"/>
      <c r="T56" s="3415"/>
      <c r="U56" s="3415"/>
      <c r="V56" s="3417"/>
      <c r="W56" s="245">
        <f>[2]DATA!AN50</f>
        <v>24800000</v>
      </c>
      <c r="X56" s="109" t="str">
        <f>[2]DATA!AO50</f>
        <v>Belum Ada Indikasi</v>
      </c>
      <c r="Y56" s="248" t="str">
        <f>[2]DATA!AP50</f>
        <v>-</v>
      </c>
      <c r="Z56" s="3412"/>
      <c r="AA56" s="3412"/>
      <c r="AB56" s="3412"/>
    </row>
    <row r="57" spans="1:28" ht="30.75" customHeight="1">
      <c r="A57" s="10">
        <f>[2]DATA!A48</f>
        <v>39</v>
      </c>
      <c r="B57" s="10">
        <f>[2]DATA!B48</f>
        <v>0</v>
      </c>
      <c r="C57" s="10" t="str">
        <f>[2]DATA!C48</f>
        <v>INFRASTRUKTUR</v>
      </c>
      <c r="D57" s="10">
        <f>[2]DATA!D48</f>
        <v>1</v>
      </c>
      <c r="E57" s="10" t="str">
        <f>[2]DATA!E48</f>
        <v>Kementerian Pekerjaan Umum dan Perumahan Rakyat</v>
      </c>
      <c r="F57" s="10" t="str">
        <f>[2]DATA!F48</f>
        <v>Development of Waste Water Management Program</v>
      </c>
      <c r="G57" s="10" t="str">
        <f>[2]DATA!G48</f>
        <v>E</v>
      </c>
      <c r="H57" s="10" t="str">
        <f>[2]DATA!H48</f>
        <v>Program Pembangunan Sistem Pengelolaan Air Limbah</v>
      </c>
      <c r="I57" s="10">
        <f>[2]DATA!I48</f>
        <v>4</v>
      </c>
      <c r="J57" s="181"/>
      <c r="K57" s="34"/>
      <c r="L57" s="34"/>
      <c r="M57" s="3392"/>
      <c r="N57" s="3397"/>
      <c r="O57" s="20"/>
      <c r="P57" s="20"/>
      <c r="Q57" s="186"/>
      <c r="R57" s="3405"/>
      <c r="S57" s="78" t="str">
        <f>[2]DATA!W48</f>
        <v>IDB</v>
      </c>
      <c r="T57" s="77">
        <f>[2]DATA!Z48</f>
        <v>325000000</v>
      </c>
      <c r="U57" s="77">
        <v>0</v>
      </c>
      <c r="V57" s="216" t="str">
        <f>[2]DATA!W48</f>
        <v>IDB</v>
      </c>
      <c r="W57" s="245">
        <f>[2]DATA!AN48</f>
        <v>325000000</v>
      </c>
      <c r="X57" s="109" t="str">
        <f>[2]DATA!AO48</f>
        <v>IDB</v>
      </c>
      <c r="Y57" s="246" t="str">
        <f>[2]DATA!AP48</f>
        <v>-</v>
      </c>
      <c r="Z57" s="3412"/>
      <c r="AA57" s="3412"/>
      <c r="AB57" s="3412"/>
    </row>
    <row r="58" spans="1:28" ht="29.25" customHeight="1">
      <c r="A58" s="10">
        <f>[2]DATA!A49</f>
        <v>40</v>
      </c>
      <c r="B58" s="10">
        <f>[2]DATA!B49</f>
        <v>0</v>
      </c>
      <c r="C58" s="10" t="str">
        <f>[2]DATA!C49</f>
        <v>INFRASTRUKTUR</v>
      </c>
      <c r="D58" s="10">
        <f>[2]DATA!D49</f>
        <v>1</v>
      </c>
      <c r="E58" s="10" t="str">
        <f>[2]DATA!E49</f>
        <v>Kementerian Pekerjaan Umum dan Perumahan Rakyat</v>
      </c>
      <c r="F58" s="10" t="str">
        <f>[2]DATA!F49</f>
        <v>Development of Waste Water Management Program</v>
      </c>
      <c r="G58" s="10" t="str">
        <f>[2]DATA!G49</f>
        <v>E</v>
      </c>
      <c r="H58" s="10" t="str">
        <f>[2]DATA!H49</f>
        <v>Program Pembangunan Sistem Pengelolaan Air Limbah</v>
      </c>
      <c r="I58" s="10">
        <f>[2]DATA!I49</f>
        <v>4</v>
      </c>
      <c r="J58" s="181"/>
      <c r="K58" s="34"/>
      <c r="L58" s="34"/>
      <c r="M58" s="3391"/>
      <c r="N58" s="3394"/>
      <c r="O58" s="20"/>
      <c r="P58" s="20"/>
      <c r="Q58" s="186"/>
      <c r="R58" s="3404"/>
      <c r="S58" s="78" t="str">
        <f>[2]DATA!W49</f>
        <v>Bank Dunia</v>
      </c>
      <c r="T58" s="77">
        <f>[2]DATA!Z49</f>
        <v>200000000</v>
      </c>
      <c r="U58" s="77">
        <v>0</v>
      </c>
      <c r="V58" s="216" t="str">
        <f>[2]DATA!W49</f>
        <v>Bank Dunia</v>
      </c>
      <c r="W58" s="245">
        <f>[2]DATA!AN49</f>
        <v>200000000</v>
      </c>
      <c r="X58" s="109" t="str">
        <f>[2]DATA!AO49</f>
        <v>Bank Dunia</v>
      </c>
      <c r="Y58" s="246" t="str">
        <f>[2]DATA!AP49</f>
        <v>-</v>
      </c>
      <c r="Z58" s="3413"/>
      <c r="AA58" s="3413"/>
      <c r="AB58" s="3413"/>
    </row>
    <row r="59" spans="1:28" ht="39.75" customHeight="1">
      <c r="A59" s="10">
        <f>[2]DATA!A51</f>
        <v>41</v>
      </c>
      <c r="B59" s="10">
        <f>[2]DATA!B51</f>
        <v>0</v>
      </c>
      <c r="C59" s="10" t="str">
        <f>[2]DATA!C51</f>
        <v>INFRASTRUKTUR</v>
      </c>
      <c r="D59" s="10">
        <f>[2]DATA!D51</f>
        <v>1</v>
      </c>
      <c r="E59" s="10" t="str">
        <f>[2]DATA!E51</f>
        <v>Kementerian Pekerjaan Umum dan Perumahan Rakyat</v>
      </c>
      <c r="F59" s="10" t="str">
        <f>[2]DATA!F51</f>
        <v>Development of Waste Water Management Program</v>
      </c>
      <c r="G59" s="10" t="str">
        <f>[2]DATA!G51</f>
        <v>E</v>
      </c>
      <c r="H59" s="10" t="str">
        <f>[2]DATA!H51</f>
        <v>Program Pembangunan Sistem Pengelolaan Air Limbah</v>
      </c>
      <c r="I59" s="10">
        <f>[2]DATA!I51</f>
        <v>5</v>
      </c>
      <c r="J59" s="181"/>
      <c r="K59" s="34"/>
      <c r="L59" s="34"/>
      <c r="M59" s="36">
        <v>37</v>
      </c>
      <c r="N59" s="37" t="str">
        <f>[2]DATA!J51</f>
        <v>Denpasar Sewerage Development Project - Phase III</v>
      </c>
      <c r="O59" s="20">
        <f>[2]DATA!O51</f>
        <v>1</v>
      </c>
      <c r="P59" s="20">
        <f>[2]DATA!P51</f>
        <v>1</v>
      </c>
      <c r="Q59" s="186">
        <f>[2]DATA!Q51</f>
        <v>35</v>
      </c>
      <c r="R59" s="187">
        <f>[2]DATA!R51</f>
        <v>233000000</v>
      </c>
      <c r="S59" s="78" t="str">
        <f>[2]DATA!W51</f>
        <v>JICA</v>
      </c>
      <c r="T59" s="77">
        <f>[2]DATA!Z51</f>
        <v>233000000</v>
      </c>
      <c r="U59" s="77">
        <v>0</v>
      </c>
      <c r="V59" s="216" t="str">
        <f>[2]DATA!W51</f>
        <v>JICA</v>
      </c>
      <c r="W59" s="245">
        <f>[2]DATA!AN51</f>
        <v>233000000</v>
      </c>
      <c r="X59" s="109" t="str">
        <f>[2]DATA!AO51</f>
        <v>JICA</v>
      </c>
      <c r="Y59" s="246" t="str">
        <f>[2]DATA!AP51</f>
        <v>-</v>
      </c>
      <c r="Z59" s="2408" t="s">
        <v>675</v>
      </c>
      <c r="AA59" s="2408" t="s">
        <v>603</v>
      </c>
      <c r="AB59" s="2408"/>
    </row>
    <row r="60" spans="1:28" ht="37.5" customHeight="1">
      <c r="A60" s="10">
        <f>[2]DATA!A52</f>
        <v>42</v>
      </c>
      <c r="B60" s="10">
        <f>[2]DATA!B52</f>
        <v>0</v>
      </c>
      <c r="C60" s="10" t="str">
        <f>[2]DATA!C52</f>
        <v>INFRASTRUKTUR</v>
      </c>
      <c r="D60" s="10">
        <f>[2]DATA!D52</f>
        <v>1</v>
      </c>
      <c r="E60" s="10" t="str">
        <f>[2]DATA!E52</f>
        <v>Kementerian Pekerjaan Umum dan Perumahan Rakyat</v>
      </c>
      <c r="F60" s="10" t="str">
        <f>[2]DATA!F52</f>
        <v>Development of Waste Water Management Program</v>
      </c>
      <c r="G60" s="10" t="str">
        <f>[2]DATA!G52</f>
        <v>E</v>
      </c>
      <c r="H60" s="10" t="str">
        <f>[2]DATA!H52</f>
        <v>Program Pembangunan Sistem Pengelolaan Air Limbah</v>
      </c>
      <c r="I60" s="10">
        <f>[2]DATA!I52</f>
        <v>6</v>
      </c>
      <c r="J60" s="181"/>
      <c r="K60" s="34"/>
      <c r="L60" s="54"/>
      <c r="M60" s="36">
        <v>38</v>
      </c>
      <c r="N60" s="37" t="str">
        <f>[2]DATA!J52</f>
        <v>The Development and Optimization of Wastewater Treatment in Greater Bandung</v>
      </c>
      <c r="O60" s="20">
        <f>[2]DATA!O52</f>
        <v>1</v>
      </c>
      <c r="P60" s="20">
        <f>[2]DATA!P52</f>
        <v>1</v>
      </c>
      <c r="Q60" s="186">
        <f>[2]DATA!Q52</f>
        <v>36</v>
      </c>
      <c r="R60" s="187">
        <f>[2]DATA!R52</f>
        <v>100000000</v>
      </c>
      <c r="S60" s="78" t="str">
        <f>[2]DATA!W52</f>
        <v>Jerman (KfW)</v>
      </c>
      <c r="T60" s="77">
        <f>[2]DATA!Z52</f>
        <v>100000000</v>
      </c>
      <c r="U60" s="77">
        <v>0</v>
      </c>
      <c r="V60" s="216" t="str">
        <f>[2]DATA!W52</f>
        <v>Jerman (KfW)</v>
      </c>
      <c r="W60" s="245">
        <f>[2]DATA!AN52</f>
        <v>100000000</v>
      </c>
      <c r="X60" s="109" t="str">
        <f>[2]DATA!AO52</f>
        <v>Jerman (KfW)</v>
      </c>
      <c r="Y60" s="246" t="str">
        <f>[2]DATA!AP52</f>
        <v>-</v>
      </c>
      <c r="Z60" s="2408" t="s">
        <v>608</v>
      </c>
      <c r="AA60" s="2408" t="s">
        <v>603</v>
      </c>
      <c r="AB60" s="2408"/>
    </row>
    <row r="61" spans="1:28" ht="42" customHeight="1">
      <c r="J61" s="181"/>
      <c r="K61" s="34"/>
      <c r="L61" s="54"/>
      <c r="M61" s="36">
        <v>39</v>
      </c>
      <c r="N61" s="56" t="str">
        <f>[2]DATA!J53</f>
        <v>Engineering Service for Sanitation Improvement Project</v>
      </c>
      <c r="O61" s="36">
        <f>[2]DATA!O53</f>
        <v>0</v>
      </c>
      <c r="P61" s="36">
        <f>[2]DATA!P53</f>
        <v>0</v>
      </c>
      <c r="Q61" s="17">
        <f>[2]DATA!Q53</f>
        <v>0</v>
      </c>
      <c r="R61" s="202">
        <f>[2]DATA!R53</f>
        <v>0</v>
      </c>
      <c r="S61" s="88" t="str">
        <f>[2]DATA!W53</f>
        <v>ADB</v>
      </c>
      <c r="T61" s="88">
        <f>[2]DATA!Z53</f>
        <v>25200000</v>
      </c>
      <c r="U61" s="88">
        <v>0</v>
      </c>
      <c r="V61" s="216" t="str">
        <f>[2]DATA!W53</f>
        <v>ADB</v>
      </c>
      <c r="W61" s="245">
        <f>[2]DATA!AN53</f>
        <v>25200000</v>
      </c>
      <c r="X61" s="109" t="str">
        <f>[2]DATA!AO53</f>
        <v>ADB</v>
      </c>
      <c r="Y61" s="246" t="str">
        <f>[2]DATA!AP53</f>
        <v>pada konfirmasi K/L nilai ES sebesar USD 26,38 juta, seharusnya USD 25,2 juta.</v>
      </c>
      <c r="Z61" s="2408" t="s">
        <v>603</v>
      </c>
      <c r="AA61" s="2408" t="s">
        <v>645</v>
      </c>
      <c r="AB61" s="2408"/>
    </row>
    <row r="62" spans="1:28" s="5" customFormat="1" ht="33.75" customHeight="1">
      <c r="J62" s="180"/>
      <c r="K62" s="50"/>
      <c r="L62" s="30" t="str">
        <f>[2]DATA!G54</f>
        <v>F</v>
      </c>
      <c r="M62" s="3427" t="str">
        <f>[2]DATA!H54</f>
        <v>Program Pembangunan Sistem Pengelolaan Persampahan</v>
      </c>
      <c r="N62" s="3428"/>
      <c r="O62" s="31"/>
      <c r="P62" s="31"/>
      <c r="Q62" s="196"/>
      <c r="R62" s="197">
        <f>+R63+R64</f>
        <v>250000000</v>
      </c>
      <c r="S62" s="81"/>
      <c r="T62" s="81">
        <f t="shared" ref="T62:U62" si="7">+T63+T64</f>
        <v>250000000</v>
      </c>
      <c r="U62" s="81">
        <f t="shared" si="7"/>
        <v>0</v>
      </c>
      <c r="V62" s="214"/>
      <c r="W62" s="244">
        <f>+W63+W64</f>
        <v>250000000</v>
      </c>
      <c r="X62" s="81" t="s">
        <v>21</v>
      </c>
      <c r="Y62" s="229"/>
      <c r="Z62" s="2407"/>
      <c r="AA62" s="2407"/>
      <c r="AB62" s="2407"/>
    </row>
    <row r="63" spans="1:28" ht="46.5" customHeight="1">
      <c r="A63" s="10">
        <f>[2]DATA!A54</f>
        <v>43</v>
      </c>
      <c r="B63" s="10">
        <f>[2]DATA!B54</f>
        <v>0</v>
      </c>
      <c r="C63" s="10" t="str">
        <f>[2]DATA!C54</f>
        <v>INFRASTRUKTUR</v>
      </c>
      <c r="D63" s="10">
        <f>[2]DATA!D54</f>
        <v>1</v>
      </c>
      <c r="E63" s="10" t="str">
        <f>[2]DATA!E54</f>
        <v>Kementerian Pekerjaan Umum dan Perumahan Rakyat</v>
      </c>
      <c r="F63" s="10" t="str">
        <f>[2]DATA!F54</f>
        <v>Development of Solid Waste Management Program</v>
      </c>
      <c r="G63" s="10" t="str">
        <f>[2]DATA!G54</f>
        <v>F</v>
      </c>
      <c r="H63" s="10" t="str">
        <f>[2]DATA!H54</f>
        <v>Program Pembangunan Sistem Pengelolaan Persampahan</v>
      </c>
      <c r="I63" s="10">
        <f>[2]DATA!I54</f>
        <v>1</v>
      </c>
      <c r="J63" s="181"/>
      <c r="K63" s="34"/>
      <c r="L63" s="35"/>
      <c r="M63" s="36">
        <v>40</v>
      </c>
      <c r="N63" s="37" t="str">
        <f>[2]DATA!J54</f>
        <v>Advanced Solid Waste Management for Sustainable Urban Development (Advance SWM-SUD)</v>
      </c>
      <c r="O63" s="20">
        <f>[2]DATA!O54</f>
        <v>1</v>
      </c>
      <c r="P63" s="20">
        <f>[2]DATA!P54</f>
        <v>1</v>
      </c>
      <c r="Q63" s="186">
        <f>[2]DATA!Q54</f>
        <v>37</v>
      </c>
      <c r="R63" s="187">
        <f>[2]DATA!R54</f>
        <v>150000000</v>
      </c>
      <c r="S63" s="78" t="str">
        <f>[2]DATA!W54</f>
        <v>Jerman (KfW)</v>
      </c>
      <c r="T63" s="77">
        <f>[2]DATA!Z54</f>
        <v>150000000</v>
      </c>
      <c r="U63" s="77">
        <v>0</v>
      </c>
      <c r="V63" s="216" t="str">
        <f>[2]DATA!W54</f>
        <v>Jerman (KfW)</v>
      </c>
      <c r="W63" s="245">
        <f>[2]DATA!AN54</f>
        <v>150000000</v>
      </c>
      <c r="X63" s="109" t="str">
        <f>[2]DATA!AO54</f>
        <v>Jerman (KfW)</v>
      </c>
      <c r="Y63" s="246" t="str">
        <f>[2]DATA!AP54</f>
        <v>-</v>
      </c>
      <c r="Z63" s="2408" t="s">
        <v>608</v>
      </c>
      <c r="AA63" s="2408" t="s">
        <v>603</v>
      </c>
      <c r="AB63" s="2408"/>
    </row>
    <row r="64" spans="1:28" ht="46.5" customHeight="1">
      <c r="A64" s="10">
        <f>[2]DATA!A55</f>
        <v>44</v>
      </c>
      <c r="B64" s="10">
        <f>[2]DATA!B55</f>
        <v>0</v>
      </c>
      <c r="C64" s="10" t="str">
        <f>[2]DATA!C55</f>
        <v>INFRASTRUKTUR</v>
      </c>
      <c r="D64" s="10">
        <f>[2]DATA!D55</f>
        <v>1</v>
      </c>
      <c r="E64" s="10" t="str">
        <f>[2]DATA!E55</f>
        <v>Kementerian Pekerjaan Umum dan Perumahan Rakyat</v>
      </c>
      <c r="F64" s="10" t="str">
        <f>[2]DATA!F55</f>
        <v>Development of Solid Waste Management Program</v>
      </c>
      <c r="G64" s="10" t="str">
        <f>[2]DATA!G55</f>
        <v>F</v>
      </c>
      <c r="H64" s="10" t="str">
        <f>[2]DATA!H55</f>
        <v>Program Pembangunan Sistem Pengelolaan Persampahan</v>
      </c>
      <c r="I64" s="10">
        <f>[2]DATA!I55</f>
        <v>2</v>
      </c>
      <c r="J64" s="181"/>
      <c r="K64" s="34"/>
      <c r="L64" s="54"/>
      <c r="M64" s="36">
        <v>41</v>
      </c>
      <c r="N64" s="37" t="str">
        <f>[2]DATA!J55</f>
        <v>The Improvement of Solid Waste Management to Support Regional Area and Metropolitan Cities</v>
      </c>
      <c r="O64" s="20">
        <f>[2]DATA!O55</f>
        <v>1</v>
      </c>
      <c r="P64" s="20">
        <f>[2]DATA!P55</f>
        <v>1</v>
      </c>
      <c r="Q64" s="186">
        <f>[2]DATA!Q55</f>
        <v>38</v>
      </c>
      <c r="R64" s="187">
        <f>[2]DATA!R55</f>
        <v>100000000</v>
      </c>
      <c r="S64" s="78" t="str">
        <f>[2]DATA!W55</f>
        <v>Bank Dunia</v>
      </c>
      <c r="T64" s="77">
        <f>[2]DATA!Z55</f>
        <v>100000000</v>
      </c>
      <c r="U64" s="77">
        <v>0</v>
      </c>
      <c r="V64" s="216" t="str">
        <f>[2]DATA!W55</f>
        <v>Bank Dunia</v>
      </c>
      <c r="W64" s="245">
        <f>[2]DATA!AN55</f>
        <v>100000000</v>
      </c>
      <c r="X64" s="109" t="str">
        <f>[2]DATA!AO55</f>
        <v>Bank Dunia</v>
      </c>
      <c r="Y64" s="246" t="str">
        <f>[2]DATA!AP55</f>
        <v>-</v>
      </c>
      <c r="Z64" s="2409" t="s">
        <v>675</v>
      </c>
      <c r="AA64" s="2408" t="s">
        <v>654</v>
      </c>
      <c r="AB64" s="2409" t="s">
        <v>1122</v>
      </c>
    </row>
    <row r="65" spans="1:28" s="5" customFormat="1" ht="33.75" customHeight="1">
      <c r="J65" s="180"/>
      <c r="K65" s="50"/>
      <c r="L65" s="30" t="str">
        <f>[2]DATA!G56</f>
        <v>G</v>
      </c>
      <c r="M65" s="31" t="str">
        <f>[2]DATA!H56</f>
        <v>Program Penanganan Kumuh</v>
      </c>
      <c r="N65" s="51"/>
      <c r="O65" s="31"/>
      <c r="P65" s="31"/>
      <c r="Q65" s="196"/>
      <c r="R65" s="197">
        <f>R66+R67+R70+R71</f>
        <v>3614740000</v>
      </c>
      <c r="S65" s="81"/>
      <c r="T65" s="81">
        <f>T66+T67+T68+T70+T71</f>
        <v>3614740000</v>
      </c>
      <c r="U65" s="81">
        <f t="shared" ref="U65" si="8">U66+U67+U70+U71</f>
        <v>0</v>
      </c>
      <c r="V65" s="214"/>
      <c r="W65" s="244">
        <f>W66+W67+W68+W69+W70+W71</f>
        <v>3614740000</v>
      </c>
      <c r="X65" s="81" t="s">
        <v>21</v>
      </c>
      <c r="Y65" s="229"/>
      <c r="Z65" s="2407"/>
      <c r="AA65" s="2407"/>
      <c r="AB65" s="2407"/>
    </row>
    <row r="66" spans="1:28" ht="46.5" customHeight="1">
      <c r="A66" s="10">
        <f>[2]DATA!A56</f>
        <v>45</v>
      </c>
      <c r="B66" s="10">
        <f>[2]DATA!B56</f>
        <v>0</v>
      </c>
      <c r="C66" s="10" t="str">
        <f>[2]DATA!C56</f>
        <v>INFRASTRUKTUR</v>
      </c>
      <c r="D66" s="10">
        <f>[2]DATA!D56</f>
        <v>1</v>
      </c>
      <c r="E66" s="10" t="str">
        <f>[2]DATA!E56</f>
        <v>Kementerian Pekerjaan Umum dan Perumahan Rakyat</v>
      </c>
      <c r="F66" s="10" t="str">
        <f>[2]DATA!F56</f>
        <v>Slum Alleviation Program</v>
      </c>
      <c r="G66" s="10" t="str">
        <f>[2]DATA!G56</f>
        <v>G</v>
      </c>
      <c r="H66" s="10" t="str">
        <f>[2]DATA!H56</f>
        <v>Program Penanganan Kumuh</v>
      </c>
      <c r="I66" s="10">
        <f>[2]DATA!I56</f>
        <v>1</v>
      </c>
      <c r="J66" s="181"/>
      <c r="K66" s="34"/>
      <c r="L66" s="35"/>
      <c r="M66" s="36">
        <v>42</v>
      </c>
      <c r="N66" s="37" t="str">
        <f>[2]DATA!J56</f>
        <v>Slum Improvement in Strategic Human Settlements Area (SISHA)</v>
      </c>
      <c r="O66" s="20">
        <f>[2]DATA!O56</f>
        <v>1</v>
      </c>
      <c r="P66" s="20">
        <f>[2]DATA!P56</f>
        <v>1</v>
      </c>
      <c r="Q66" s="186">
        <f>[2]DATA!Q56</f>
        <v>39</v>
      </c>
      <c r="R66" s="187">
        <f>[2]DATA!R56</f>
        <v>2100000000</v>
      </c>
      <c r="S66" s="109" t="str">
        <f>[2]DATA!W56</f>
        <v>Bank Dunia/JICA/ADB</v>
      </c>
      <c r="T66" s="77">
        <f>[2]DATA!Z56</f>
        <v>2100000000</v>
      </c>
      <c r="U66" s="77">
        <v>0</v>
      </c>
      <c r="V66" s="216" t="str">
        <f>[2]DATA!W56</f>
        <v>Bank Dunia/JICA/ADB</v>
      </c>
      <c r="W66" s="245">
        <f>[2]DATA!AN56</f>
        <v>2100000000</v>
      </c>
      <c r="X66" s="109" t="str">
        <f>[2]DATA!AO56</f>
        <v>Belum Ada Indikasi</v>
      </c>
      <c r="Y66" s="246" t="str">
        <f>[2]DATA!AP56</f>
        <v>- usulan K/L lender: Bank Dunia/JICA/ADB.
- Pihak Bank Dunia, ADB dan JICA tidak berminat.</v>
      </c>
      <c r="Z66" s="2408" t="s">
        <v>608</v>
      </c>
      <c r="AA66" s="2408" t="s">
        <v>729</v>
      </c>
      <c r="AB66" s="2408"/>
    </row>
    <row r="67" spans="1:28" ht="36.75" customHeight="1">
      <c r="A67" s="10">
        <f>[2]DATA!A58</f>
        <v>46</v>
      </c>
      <c r="B67" s="10">
        <f>[2]DATA!B58</f>
        <v>0</v>
      </c>
      <c r="C67" s="10" t="str">
        <f>[2]DATA!C58</f>
        <v>INFRASTRUKTUR</v>
      </c>
      <c r="D67" s="10">
        <f>[2]DATA!D58</f>
        <v>1</v>
      </c>
      <c r="E67" s="10" t="str">
        <f>[2]DATA!E58</f>
        <v>Kementerian Pekerjaan Umum dan Perumahan Rakyat</v>
      </c>
      <c r="F67" s="10" t="str">
        <f>[2]DATA!F58</f>
        <v>Slum Alleviation Program</v>
      </c>
      <c r="G67" s="10" t="str">
        <f>[2]DATA!G58</f>
        <v>G</v>
      </c>
      <c r="H67" s="10" t="str">
        <f>[2]DATA!H58</f>
        <v>Program Penanganan Kumuh</v>
      </c>
      <c r="I67" s="10">
        <f>[2]DATA!I58</f>
        <v>2</v>
      </c>
      <c r="J67" s="181"/>
      <c r="K67" s="34"/>
      <c r="L67" s="34"/>
      <c r="M67" s="3399">
        <v>43</v>
      </c>
      <c r="N67" s="3393" t="str">
        <f>[2]DATA!J58</f>
        <v>National Slum Upgrading</v>
      </c>
      <c r="O67" s="20">
        <f>[2]DATA!O58</f>
        <v>0.5</v>
      </c>
      <c r="P67" s="20">
        <f>[2]DATA!P58</f>
        <v>0</v>
      </c>
      <c r="Q67" s="186">
        <f>[2]DATA!Q58</f>
        <v>0</v>
      </c>
      <c r="R67" s="3411">
        <f>[2]DATA!R57</f>
        <v>1052640000</v>
      </c>
      <c r="S67" s="78" t="str">
        <f>[2]DATA!W58</f>
        <v>IDB</v>
      </c>
      <c r="T67" s="77">
        <f>[2]DATA!Z58</f>
        <v>329750000</v>
      </c>
      <c r="U67" s="77">
        <v>0</v>
      </c>
      <c r="V67" s="216" t="str">
        <f>[2]DATA!W58</f>
        <v>IDB</v>
      </c>
      <c r="W67" s="245">
        <f>[2]DATA!AN58</f>
        <v>329750000</v>
      </c>
      <c r="X67" s="109" t="str">
        <f>[2]DATA!AO58</f>
        <v>IDB</v>
      </c>
      <c r="Y67" s="246" t="str">
        <f>[2]DATA!AP58</f>
        <v>-</v>
      </c>
      <c r="Z67" s="3411" t="s">
        <v>608</v>
      </c>
      <c r="AA67" s="3411" t="s">
        <v>654</v>
      </c>
      <c r="AB67" s="3411"/>
    </row>
    <row r="68" spans="1:28" ht="65.25" customHeight="1">
      <c r="A68" s="10">
        <f>[2]DATA!A59</f>
        <v>47</v>
      </c>
      <c r="B68" s="10">
        <f>[2]DATA!B59</f>
        <v>0</v>
      </c>
      <c r="C68" s="10" t="str">
        <f>[2]DATA!C59</f>
        <v>INFRASTRUKTUR</v>
      </c>
      <c r="D68" s="10">
        <f>[2]DATA!D59</f>
        <v>1</v>
      </c>
      <c r="E68" s="10" t="str">
        <f>[2]DATA!E59</f>
        <v>Kementerian Pekerjaan Umum dan Perumahan Rakyat</v>
      </c>
      <c r="F68" s="10" t="str">
        <f>[2]DATA!F59</f>
        <v>Slum Alleviation Program</v>
      </c>
      <c r="G68" s="10" t="str">
        <f>[2]DATA!G59</f>
        <v>G</v>
      </c>
      <c r="H68" s="10" t="str">
        <f>[2]DATA!H59</f>
        <v>Program Penanganan Kumuh</v>
      </c>
      <c r="I68" s="10">
        <f>[2]DATA!I59</f>
        <v>2</v>
      </c>
      <c r="J68" s="181"/>
      <c r="K68" s="34"/>
      <c r="L68" s="34"/>
      <c r="M68" s="3401"/>
      <c r="N68" s="3397"/>
      <c r="O68" s="20"/>
      <c r="P68" s="20"/>
      <c r="Q68" s="186"/>
      <c r="R68" s="3412"/>
      <c r="S68" s="3533" t="str">
        <f>[2]DATA!W59</f>
        <v>Bank Dunia</v>
      </c>
      <c r="T68" s="3414">
        <f>[2]DATA!Z59</f>
        <v>722890000</v>
      </c>
      <c r="U68" s="3414">
        <v>0</v>
      </c>
      <c r="V68" s="3416" t="str">
        <f>[2]DATA!W59</f>
        <v>Bank Dunia</v>
      </c>
      <c r="W68" s="245">
        <f>[2]DATA!AN59</f>
        <v>433000000</v>
      </c>
      <c r="X68" s="109" t="str">
        <f>[2]DATA!AO59</f>
        <v>Bank Dunia</v>
      </c>
      <c r="Y68" s="246" t="str">
        <f>[2]DATA!AP59</f>
        <v>- Bank Dunia berminat sebesar USD 433 juta.
- Ada informasi dari hasil rapat dengan K/L, bahwa nilai proyek turun menjadi USD 700 juta-an (pendanaan IDB dan Bank Dunia).</v>
      </c>
      <c r="Z68" s="3412"/>
      <c r="AA68" s="3412"/>
      <c r="AB68" s="3412"/>
    </row>
    <row r="69" spans="1:28" ht="41.25" customHeight="1">
      <c r="J69" s="181"/>
      <c r="K69" s="34"/>
      <c r="L69" s="34"/>
      <c r="M69" s="3402"/>
      <c r="N69" s="3394"/>
      <c r="O69" s="20"/>
      <c r="P69" s="20"/>
      <c r="Q69" s="186"/>
      <c r="R69" s="3413"/>
      <c r="S69" s="3534"/>
      <c r="T69" s="3415"/>
      <c r="U69" s="3415"/>
      <c r="V69" s="3417"/>
      <c r="W69" s="245">
        <f>[2]DATA!AN60</f>
        <v>289890000</v>
      </c>
      <c r="X69" s="109" t="str">
        <f>[2]DATA!AO60</f>
        <v>Belum Ada Indikasi</v>
      </c>
      <c r="Y69" s="252">
        <f>[2]DATA!AP60</f>
        <v>0</v>
      </c>
      <c r="Z69" s="3413"/>
      <c r="AA69" s="3413"/>
      <c r="AB69" s="3413"/>
    </row>
    <row r="70" spans="1:28" ht="39" customHeight="1">
      <c r="A70" s="10">
        <f>[2]DATA!A61</f>
        <v>48</v>
      </c>
      <c r="B70" s="10">
        <f>[2]DATA!B61</f>
        <v>0</v>
      </c>
      <c r="C70" s="10" t="str">
        <f>[2]DATA!C61</f>
        <v>INFRASTRUKTUR</v>
      </c>
      <c r="D70" s="10">
        <f>[2]DATA!D61</f>
        <v>1</v>
      </c>
      <c r="E70" s="10" t="str">
        <f>[2]DATA!E61</f>
        <v>Kementerian Pekerjaan Umum dan Perumahan Rakyat</v>
      </c>
      <c r="F70" s="10" t="str">
        <f>[2]DATA!F61</f>
        <v>Slum Alleviation Program</v>
      </c>
      <c r="G70" s="10" t="str">
        <f>[2]DATA!G61</f>
        <v>G</v>
      </c>
      <c r="H70" s="10" t="str">
        <f>[2]DATA!H61</f>
        <v>Program Penanganan Kumuh</v>
      </c>
      <c r="I70" s="10">
        <f>[2]DATA!I61</f>
        <v>3</v>
      </c>
      <c r="J70" s="181"/>
      <c r="K70" s="34"/>
      <c r="L70" s="34"/>
      <c r="M70" s="36">
        <v>44</v>
      </c>
      <c r="N70" s="37" t="str">
        <f>[2]DATA!J61</f>
        <v>Rural Settlement Infrastructure Development (RSID)</v>
      </c>
      <c r="O70" s="20">
        <f>[2]DATA!O61</f>
        <v>1</v>
      </c>
      <c r="P70" s="20">
        <f>[2]DATA!P61</f>
        <v>1</v>
      </c>
      <c r="Q70" s="186">
        <f>[2]DATA!Q61</f>
        <v>41</v>
      </c>
      <c r="R70" s="187">
        <f>[2]DATA!R61</f>
        <v>201000000</v>
      </c>
      <c r="S70" s="78" t="str">
        <f>[2]DATA!W61</f>
        <v>JICA</v>
      </c>
      <c r="T70" s="77">
        <f>[2]DATA!Z61</f>
        <v>201000000</v>
      </c>
      <c r="U70" s="77">
        <v>0</v>
      </c>
      <c r="V70" s="216" t="str">
        <f>[2]DATA!W61</f>
        <v>JICA</v>
      </c>
      <c r="W70" s="245">
        <f>[2]DATA!AN61</f>
        <v>201000000</v>
      </c>
      <c r="X70" s="109" t="str">
        <f>[2]DATA!AO61</f>
        <v>JICA</v>
      </c>
      <c r="Y70" s="246" t="str">
        <f>[2]DATA!AP61</f>
        <v>-</v>
      </c>
      <c r="Z70" s="2408" t="s">
        <v>608</v>
      </c>
      <c r="AA70" s="2408" t="s">
        <v>729</v>
      </c>
      <c r="AB70" s="2408"/>
    </row>
    <row r="71" spans="1:28" ht="45" customHeight="1">
      <c r="A71" s="10">
        <f>[2]DATA!A62</f>
        <v>49</v>
      </c>
      <c r="B71" s="10">
        <f>[2]DATA!B62</f>
        <v>0</v>
      </c>
      <c r="C71" s="10" t="str">
        <f>[2]DATA!C62</f>
        <v>INFRASTRUKTUR</v>
      </c>
      <c r="D71" s="10">
        <f>[2]DATA!D62</f>
        <v>1</v>
      </c>
      <c r="E71" s="10" t="str">
        <f>[2]DATA!E62</f>
        <v>Kementerian Pekerjaan Umum dan Perumahan Rakyat</v>
      </c>
      <c r="F71" s="10" t="str">
        <f>[2]DATA!F62</f>
        <v>Slum Alleviation Program</v>
      </c>
      <c r="G71" s="10" t="str">
        <f>[2]DATA!G62</f>
        <v>G</v>
      </c>
      <c r="H71" s="10" t="str">
        <f>[2]DATA!H62</f>
        <v>Program Penanganan Kumuh</v>
      </c>
      <c r="I71" s="10">
        <f>[2]DATA!I62</f>
        <v>4</v>
      </c>
      <c r="J71" s="181"/>
      <c r="K71" s="34"/>
      <c r="L71" s="54"/>
      <c r="M71" s="36">
        <v>45</v>
      </c>
      <c r="N71" s="37" t="str">
        <f>[2]DATA!J62</f>
        <v>Building Administration and Capacity Enforcement Development for Seismic Resilience</v>
      </c>
      <c r="O71" s="20">
        <f>[2]DATA!O62</f>
        <v>1</v>
      </c>
      <c r="P71" s="20">
        <f>[2]DATA!P62</f>
        <v>1</v>
      </c>
      <c r="Q71" s="186">
        <f>[2]DATA!Q62</f>
        <v>42</v>
      </c>
      <c r="R71" s="187">
        <f>[2]DATA!R62</f>
        <v>261100000</v>
      </c>
      <c r="S71" s="78" t="str">
        <f>[2]DATA!W62</f>
        <v>JICA</v>
      </c>
      <c r="T71" s="77">
        <f>[2]DATA!Z62</f>
        <v>261100000</v>
      </c>
      <c r="U71" s="77">
        <v>0</v>
      </c>
      <c r="V71" s="216" t="str">
        <f>[2]DATA!W62</f>
        <v>JICA</v>
      </c>
      <c r="W71" s="245">
        <f>[2]DATA!AN62</f>
        <v>261100000</v>
      </c>
      <c r="X71" s="109" t="str">
        <f>[2]DATA!AO62</f>
        <v>JICA</v>
      </c>
      <c r="Y71" s="246" t="str">
        <f>[2]DATA!AP62</f>
        <v>-</v>
      </c>
      <c r="Z71" s="2408" t="s">
        <v>608</v>
      </c>
      <c r="AA71" s="2408" t="s">
        <v>645</v>
      </c>
      <c r="AB71" s="2408"/>
    </row>
    <row r="72" spans="1:28" s="5" customFormat="1" ht="33.75" customHeight="1">
      <c r="J72" s="180"/>
      <c r="K72" s="50"/>
      <c r="L72" s="30" t="str">
        <f>[2]DATA!G64</f>
        <v>H</v>
      </c>
      <c r="M72" s="31" t="str">
        <f>[2]DATA!H64</f>
        <v>Program Pengembangan dan Pengelolaan Irigasi</v>
      </c>
      <c r="N72" s="51"/>
      <c r="O72" s="31"/>
      <c r="P72" s="31"/>
      <c r="Q72" s="196"/>
      <c r="R72" s="197">
        <f>SUM(R73:R85)</f>
        <v>3257531000</v>
      </c>
      <c r="S72" s="81"/>
      <c r="T72" s="81">
        <f>SUM(T73:T85)</f>
        <v>3257531000</v>
      </c>
      <c r="U72" s="81">
        <f t="shared" ref="U72:Y72" si="9">SUM(U73:U85)</f>
        <v>0</v>
      </c>
      <c r="V72" s="214">
        <f t="shared" si="9"/>
        <v>0</v>
      </c>
      <c r="W72" s="244">
        <f t="shared" si="9"/>
        <v>3257531000</v>
      </c>
      <c r="X72" s="81">
        <f t="shared" si="9"/>
        <v>0</v>
      </c>
      <c r="Y72" s="229">
        <f t="shared" si="9"/>
        <v>0</v>
      </c>
      <c r="Z72" s="2407"/>
      <c r="AA72" s="2407"/>
      <c r="AB72" s="2407"/>
    </row>
    <row r="73" spans="1:28" ht="30" customHeight="1">
      <c r="A73" s="10">
        <f>[2]DATA!A64</f>
        <v>51</v>
      </c>
      <c r="B73" s="10">
        <f>[2]DATA!B64</f>
        <v>0</v>
      </c>
      <c r="C73" s="10" t="str">
        <f>[2]DATA!C64</f>
        <v>INFRASTRUKTUR</v>
      </c>
      <c r="D73" s="10">
        <f>[2]DATA!D64</f>
        <v>1</v>
      </c>
      <c r="E73" s="10" t="str">
        <f>[2]DATA!E64</f>
        <v>Kementerian Pekerjaan Umum dan Perumahan Rakyat</v>
      </c>
      <c r="F73" s="10" t="str">
        <f>[2]DATA!F64</f>
        <v>Development and Management of Irrigation Program</v>
      </c>
      <c r="G73" s="10" t="str">
        <f>[2]DATA!G64</f>
        <v>H</v>
      </c>
      <c r="H73" s="10" t="str">
        <f>[2]DATA!H64</f>
        <v>Program Pengembangan dan Pengelolaan Irigasi</v>
      </c>
      <c r="I73" s="10">
        <f>[2]DATA!I64</f>
        <v>1</v>
      </c>
      <c r="J73" s="181"/>
      <c r="K73" s="34"/>
      <c r="L73" s="34"/>
      <c r="M73" s="3390">
        <v>46</v>
      </c>
      <c r="N73" s="3393" t="str">
        <f>[2]DATA!J64</f>
        <v>Integrated Participatory Development and Management of Irrigation Project - Phase I</v>
      </c>
      <c r="O73" s="20">
        <f>[2]DATA!O64</f>
        <v>0.5</v>
      </c>
      <c r="P73" s="20">
        <f>[2]DATA!P64</f>
        <v>1</v>
      </c>
      <c r="Q73" s="186">
        <f>[2]DATA!Q64</f>
        <v>43</v>
      </c>
      <c r="R73" s="3403">
        <f>[2]DATA!R64</f>
        <v>700000000</v>
      </c>
      <c r="S73" s="78" t="str">
        <f>[2]DATA!W64</f>
        <v>ADB</v>
      </c>
      <c r="T73" s="77">
        <f>[2]DATA!Z64</f>
        <v>600000000</v>
      </c>
      <c r="U73" s="77">
        <v>0</v>
      </c>
      <c r="V73" s="216" t="str">
        <f>[2]DATA!W64</f>
        <v>ADB</v>
      </c>
      <c r="W73" s="245">
        <f>[2]DATA!AN64</f>
        <v>600000000</v>
      </c>
      <c r="X73" s="109" t="str">
        <f>[2]DATA!AO64</f>
        <v>ADB</v>
      </c>
      <c r="Y73" s="246" t="str">
        <f>[2]DATA!AP64</f>
        <v>-</v>
      </c>
      <c r="Z73" s="3411" t="s">
        <v>568</v>
      </c>
      <c r="AA73" s="3411" t="s">
        <v>603</v>
      </c>
      <c r="AB73" s="3411" t="s">
        <v>1123</v>
      </c>
    </row>
    <row r="74" spans="1:28" ht="32.25" customHeight="1">
      <c r="A74" s="10">
        <f>[2]DATA!A65</f>
        <v>52</v>
      </c>
      <c r="B74" s="10">
        <f>[2]DATA!B65</f>
        <v>0</v>
      </c>
      <c r="C74" s="10" t="str">
        <f>[2]DATA!C65</f>
        <v>INFRASTRUKTUR</v>
      </c>
      <c r="D74" s="10">
        <f>[2]DATA!D65</f>
        <v>1</v>
      </c>
      <c r="E74" s="10" t="str">
        <f>[2]DATA!E65</f>
        <v>Kementerian Pekerjaan Umum dan Perumahan Rakyat</v>
      </c>
      <c r="F74" s="10" t="str">
        <f>[2]DATA!F65</f>
        <v>Development and Management of Irrigation Program</v>
      </c>
      <c r="G74" s="10" t="str">
        <f>[2]DATA!G65</f>
        <v>H</v>
      </c>
      <c r="H74" s="10" t="str">
        <f>[2]DATA!H65</f>
        <v>Program Pengembangan dan Pengelolaan Irigasi</v>
      </c>
      <c r="I74" s="10">
        <f>[2]DATA!I65</f>
        <v>1</v>
      </c>
      <c r="J74" s="181"/>
      <c r="K74" s="34"/>
      <c r="L74" s="34"/>
      <c r="M74" s="3391"/>
      <c r="N74" s="3394"/>
      <c r="O74" s="20"/>
      <c r="P74" s="20"/>
      <c r="Q74" s="186"/>
      <c r="R74" s="3404"/>
      <c r="S74" s="78" t="str">
        <f>[2]DATA!W65</f>
        <v>IFAD</v>
      </c>
      <c r="T74" s="77">
        <f>[2]DATA!Z65</f>
        <v>100000000</v>
      </c>
      <c r="U74" s="77">
        <v>0</v>
      </c>
      <c r="V74" s="216" t="str">
        <f>[2]DATA!W65</f>
        <v>IFAD</v>
      </c>
      <c r="W74" s="245">
        <f>[2]DATA!AN65</f>
        <v>100000000</v>
      </c>
      <c r="X74" s="109" t="str">
        <f>[2]DATA!AO65</f>
        <v>IFAD</v>
      </c>
      <c r="Y74" s="246" t="str">
        <f>[2]DATA!AP65</f>
        <v>-</v>
      </c>
      <c r="Z74" s="3413"/>
      <c r="AA74" s="3413"/>
      <c r="AB74" s="3413"/>
    </row>
    <row r="75" spans="1:28" ht="38.25" customHeight="1">
      <c r="A75" s="10">
        <f>[2]DATA!A66</f>
        <v>53</v>
      </c>
      <c r="B75" s="10">
        <f>[2]DATA!B66</f>
        <v>0</v>
      </c>
      <c r="C75" s="10" t="str">
        <f>[2]DATA!C66</f>
        <v>INFRASTRUKTUR</v>
      </c>
      <c r="D75" s="10">
        <f>[2]DATA!D66</f>
        <v>1</v>
      </c>
      <c r="E75" s="10" t="str">
        <f>[2]DATA!E66</f>
        <v>Kementerian Pekerjaan Umum dan Perumahan Rakyat</v>
      </c>
      <c r="F75" s="10" t="str">
        <f>[2]DATA!F66</f>
        <v>Development and Management of Irrigation Program</v>
      </c>
      <c r="G75" s="10" t="str">
        <f>[2]DATA!G66</f>
        <v>H</v>
      </c>
      <c r="H75" s="10" t="str">
        <f>[2]DATA!H66</f>
        <v>Program Pengembangan dan Pengelolaan Irigasi</v>
      </c>
      <c r="I75" s="10">
        <f>[2]DATA!I66</f>
        <v>1</v>
      </c>
      <c r="J75" s="181"/>
      <c r="K75" s="34"/>
      <c r="L75" s="34"/>
      <c r="M75" s="3392">
        <v>47</v>
      </c>
      <c r="N75" s="3393" t="str">
        <f>[2]DATA!J66</f>
        <v>Integrated Participatory Development and Management of Irrigation Project - Phase II</v>
      </c>
      <c r="O75" s="20">
        <f>[2]DATA!O66</f>
        <v>1</v>
      </c>
      <c r="P75" s="20">
        <f>[2]DATA!P66</f>
        <v>1</v>
      </c>
      <c r="Q75" s="186">
        <f>[2]DATA!Q66</f>
        <v>44</v>
      </c>
      <c r="R75" s="3403">
        <f>[2]DATA!R66</f>
        <v>500000000</v>
      </c>
      <c r="S75" s="3533" t="str">
        <f>[2]DATA!W66</f>
        <v>ADB</v>
      </c>
      <c r="T75" s="3414">
        <f>[2]DATA!Z66</f>
        <v>500000000</v>
      </c>
      <c r="U75" s="3414">
        <v>0</v>
      </c>
      <c r="V75" s="3416" t="str">
        <f>[2]DATA!W66</f>
        <v>ADB</v>
      </c>
      <c r="W75" s="245">
        <f>[2]DATA!AN66</f>
        <v>400000000</v>
      </c>
      <c r="X75" s="109" t="str">
        <f>[2]DATA!AO66</f>
        <v>ADB</v>
      </c>
      <c r="Y75" s="246" t="str">
        <f>[2]DATA!AP66</f>
        <v>nilai kegiatan yang tercantum dalam COBP ADB sebesar USD 400 juta.</v>
      </c>
      <c r="Z75" s="3411" t="s">
        <v>603</v>
      </c>
      <c r="AA75" s="3411" t="s">
        <v>603</v>
      </c>
      <c r="AB75" s="3411"/>
    </row>
    <row r="76" spans="1:28" ht="44.25" customHeight="1">
      <c r="J76" s="181"/>
      <c r="K76" s="34"/>
      <c r="L76" s="34"/>
      <c r="M76" s="3391"/>
      <c r="N76" s="3394"/>
      <c r="O76" s="20"/>
      <c r="P76" s="20"/>
      <c r="Q76" s="186"/>
      <c r="R76" s="3404"/>
      <c r="S76" s="3534"/>
      <c r="T76" s="3415"/>
      <c r="U76" s="3415"/>
      <c r="V76" s="3417"/>
      <c r="W76" s="245">
        <f>[2]DATA!AN67</f>
        <v>100000000</v>
      </c>
      <c r="X76" s="109" t="str">
        <f>[2]DATA!AO67</f>
        <v>Belum Ada Indikasi</v>
      </c>
      <c r="Y76" s="252" t="str">
        <f>[2]DATA!AP67</f>
        <v>-</v>
      </c>
      <c r="Z76" s="3413"/>
      <c r="AA76" s="3413"/>
      <c r="AB76" s="3413"/>
    </row>
    <row r="77" spans="1:28" ht="37.5" customHeight="1">
      <c r="A77" s="10">
        <f>[2]DATA!A68</f>
        <v>54</v>
      </c>
      <c r="B77" s="10">
        <f>[2]DATA!B68</f>
        <v>0</v>
      </c>
      <c r="C77" s="10" t="str">
        <f>[2]DATA!C68</f>
        <v>INFRASTRUKTUR</v>
      </c>
      <c r="D77" s="10">
        <f>[2]DATA!D68</f>
        <v>1</v>
      </c>
      <c r="E77" s="10" t="str">
        <f>[2]DATA!E68</f>
        <v>Kementerian Pekerjaan Umum dan Perumahan Rakyat</v>
      </c>
      <c r="F77" s="10" t="str">
        <f>[2]DATA!F68</f>
        <v>Development and Management of Irrigation Program</v>
      </c>
      <c r="G77" s="10" t="str">
        <f>[2]DATA!G68</f>
        <v>H</v>
      </c>
      <c r="H77" s="10" t="str">
        <f>[2]DATA!H68</f>
        <v>Program Pengembangan dan Pengelolaan Irigasi</v>
      </c>
      <c r="I77" s="10">
        <f>[2]DATA!I68</f>
        <v>2</v>
      </c>
      <c r="J77" s="181"/>
      <c r="K77" s="34"/>
      <c r="L77" s="34"/>
      <c r="M77" s="36">
        <v>48</v>
      </c>
      <c r="N77" s="37" t="str">
        <f>[2]DATA!J68</f>
        <v>The Urgent Rehabilitation of Strategic Irrigation for Western Region of Indonesia</v>
      </c>
      <c r="O77" s="20">
        <f>[2]DATA!O68</f>
        <v>1</v>
      </c>
      <c r="P77" s="20">
        <f>[2]DATA!P68</f>
        <v>1</v>
      </c>
      <c r="Q77" s="186">
        <f>[2]DATA!Q68</f>
        <v>45</v>
      </c>
      <c r="R77" s="187">
        <f>[2]DATA!R68</f>
        <v>195778000</v>
      </c>
      <c r="S77" s="78" t="str">
        <f>[2]DATA!W68</f>
        <v>Korea</v>
      </c>
      <c r="T77" s="77">
        <f>[2]DATA!Z68</f>
        <v>195778000</v>
      </c>
      <c r="U77" s="77">
        <v>0</v>
      </c>
      <c r="V77" s="216" t="str">
        <f>[2]DATA!W68</f>
        <v>Korea</v>
      </c>
      <c r="W77" s="245">
        <f>[2]DATA!AN68</f>
        <v>195778000</v>
      </c>
      <c r="X77" s="109" t="str">
        <f>[2]DATA!AO68</f>
        <v>Korea</v>
      </c>
      <c r="Y77" s="246" t="str">
        <f>[2]DATA!AP68</f>
        <v>masuk rolling plan EDCF (Korea)</v>
      </c>
      <c r="Z77" s="2408" t="s">
        <v>603</v>
      </c>
      <c r="AA77" s="2408" t="s">
        <v>603</v>
      </c>
      <c r="AB77" s="2408"/>
    </row>
    <row r="78" spans="1:28" ht="39" customHeight="1">
      <c r="A78" s="10">
        <f>[2]DATA!A69</f>
        <v>55</v>
      </c>
      <c r="B78" s="10">
        <f>[2]DATA!B69</f>
        <v>0</v>
      </c>
      <c r="C78" s="10" t="str">
        <f>[2]DATA!C69</f>
        <v>INFRASTRUKTUR</v>
      </c>
      <c r="D78" s="10">
        <f>[2]DATA!D69</f>
        <v>1</v>
      </c>
      <c r="E78" s="10" t="str">
        <f>[2]DATA!E69</f>
        <v>Kementerian Pekerjaan Umum dan Perumahan Rakyat</v>
      </c>
      <c r="F78" s="10" t="str">
        <f>[2]DATA!F69</f>
        <v>Development and Management of Irrigation Program</v>
      </c>
      <c r="G78" s="10" t="str">
        <f>[2]DATA!G69</f>
        <v>H</v>
      </c>
      <c r="H78" s="10" t="str">
        <f>[2]DATA!H69</f>
        <v>Program Pengembangan dan Pengelolaan Irigasi</v>
      </c>
      <c r="I78" s="10">
        <f>[2]DATA!I69</f>
        <v>3</v>
      </c>
      <c r="J78" s="181"/>
      <c r="K78" s="34"/>
      <c r="L78" s="34"/>
      <c r="M78" s="36">
        <v>49</v>
      </c>
      <c r="N78" s="37" t="str">
        <f>[2]DATA!J69</f>
        <v>Rentang Modernization Strategic Irrigation (RIMP)</v>
      </c>
      <c r="O78" s="20">
        <f>[2]DATA!O69</f>
        <v>1</v>
      </c>
      <c r="P78" s="20">
        <f>[2]DATA!P69</f>
        <v>1</v>
      </c>
      <c r="Q78" s="186">
        <f>[2]DATA!Q69</f>
        <v>46</v>
      </c>
      <c r="R78" s="187">
        <f>[2]DATA!R69</f>
        <v>480000000</v>
      </c>
      <c r="S78" s="78" t="str">
        <f>[2]DATA!W69</f>
        <v>JICA</v>
      </c>
      <c r="T78" s="77">
        <f>[2]DATA!Z69</f>
        <v>480000000</v>
      </c>
      <c r="U78" s="77">
        <v>0</v>
      </c>
      <c r="V78" s="216" t="str">
        <f>[2]DATA!W69</f>
        <v>JICA</v>
      </c>
      <c r="W78" s="245">
        <f>[2]DATA!AN69</f>
        <v>480000000</v>
      </c>
      <c r="X78" s="109" t="str">
        <f>[2]DATA!AO69</f>
        <v>JICA</v>
      </c>
      <c r="Y78" s="246" t="str">
        <f>[2]DATA!AP69</f>
        <v>-</v>
      </c>
      <c r="Z78" s="2408" t="s">
        <v>568</v>
      </c>
      <c r="AA78" s="2408" t="s">
        <v>645</v>
      </c>
      <c r="AB78" s="2408"/>
    </row>
    <row r="79" spans="1:28" ht="32.25" customHeight="1">
      <c r="A79" s="10">
        <f>[2]DATA!A70</f>
        <v>56</v>
      </c>
      <c r="B79" s="10">
        <f>[2]DATA!B70</f>
        <v>0</v>
      </c>
      <c r="C79" s="10" t="str">
        <f>[2]DATA!C70</f>
        <v>INFRASTRUKTUR</v>
      </c>
      <c r="D79" s="10">
        <f>[2]DATA!D70</f>
        <v>1</v>
      </c>
      <c r="E79" s="10" t="str">
        <f>[2]DATA!E70</f>
        <v>Kementerian Pekerjaan Umum dan Perumahan Rakyat</v>
      </c>
      <c r="F79" s="10" t="str">
        <f>[2]DATA!F70</f>
        <v>Development and Management of Irrigation Program</v>
      </c>
      <c r="G79" s="10" t="str">
        <f>[2]DATA!G70</f>
        <v>H</v>
      </c>
      <c r="H79" s="10" t="str">
        <f>[2]DATA!H70</f>
        <v>Program Pengembangan dan Pengelolaan Irigasi</v>
      </c>
      <c r="I79" s="10">
        <f>[2]DATA!I70</f>
        <v>4</v>
      </c>
      <c r="J79" s="181"/>
      <c r="K79" s="34"/>
      <c r="L79" s="34"/>
      <c r="M79" s="36">
        <v>50</v>
      </c>
      <c r="N79" s="37" t="str">
        <f>[2]DATA!J70</f>
        <v>Komering Irrigation Project Stage III</v>
      </c>
      <c r="O79" s="20">
        <f>[2]DATA!O70</f>
        <v>1</v>
      </c>
      <c r="P79" s="20">
        <f>[2]DATA!P70</f>
        <v>1</v>
      </c>
      <c r="Q79" s="186">
        <f>[2]DATA!Q70</f>
        <v>47</v>
      </c>
      <c r="R79" s="187">
        <f>[2]DATA!R70</f>
        <v>120000000</v>
      </c>
      <c r="S79" s="78" t="str">
        <f>[2]DATA!W70</f>
        <v>JICA</v>
      </c>
      <c r="T79" s="77">
        <f>[2]DATA!Z70</f>
        <v>120000000</v>
      </c>
      <c r="U79" s="77">
        <v>0</v>
      </c>
      <c r="V79" s="216" t="str">
        <f>[2]DATA!W70</f>
        <v>JICA</v>
      </c>
      <c r="W79" s="245">
        <f>[2]DATA!AN70</f>
        <v>120000000</v>
      </c>
      <c r="X79" s="109" t="str">
        <f>[2]DATA!AO70</f>
        <v>JICA</v>
      </c>
      <c r="Y79" s="246" t="str">
        <f>[2]DATA!AP70</f>
        <v>-</v>
      </c>
      <c r="Z79" s="2408" t="s">
        <v>568</v>
      </c>
      <c r="AA79" s="2408" t="s">
        <v>603</v>
      </c>
      <c r="AB79" s="2408"/>
    </row>
    <row r="80" spans="1:28" ht="39" customHeight="1">
      <c r="A80" s="10">
        <f>[2]DATA!A71</f>
        <v>57</v>
      </c>
      <c r="B80" s="10">
        <f>[2]DATA!B71</f>
        <v>0</v>
      </c>
      <c r="C80" s="10" t="str">
        <f>[2]DATA!C71</f>
        <v>INFRASTRUKTUR</v>
      </c>
      <c r="D80" s="10">
        <f>[2]DATA!D71</f>
        <v>1</v>
      </c>
      <c r="E80" s="10" t="str">
        <f>[2]DATA!E71</f>
        <v>Kementerian Pekerjaan Umum dan Perumahan Rakyat</v>
      </c>
      <c r="F80" s="10" t="str">
        <f>[2]DATA!F71</f>
        <v>Development and Management of Irrigation Program</v>
      </c>
      <c r="G80" s="10" t="str">
        <f>[2]DATA!G71</f>
        <v>H</v>
      </c>
      <c r="H80" s="10" t="str">
        <f>[2]DATA!H71</f>
        <v>Program Pengembangan dan Pengelolaan Irigasi</v>
      </c>
      <c r="I80" s="10">
        <f>[2]DATA!I71</f>
        <v>5</v>
      </c>
      <c r="J80" s="181"/>
      <c r="K80" s="34"/>
      <c r="L80" s="34"/>
      <c r="M80" s="36">
        <v>51</v>
      </c>
      <c r="N80" s="37" t="str">
        <f>[2]DATA!J71</f>
        <v>Irrigation Development in North Sumatera</v>
      </c>
      <c r="O80" s="20">
        <f>[2]DATA!O71</f>
        <v>1</v>
      </c>
      <c r="P80" s="20">
        <f>[2]DATA!P71</f>
        <v>1</v>
      </c>
      <c r="Q80" s="186">
        <f>[2]DATA!Q71</f>
        <v>48</v>
      </c>
      <c r="R80" s="187">
        <f>[2]DATA!R71</f>
        <v>350000000</v>
      </c>
      <c r="S80" s="78" t="str">
        <f>[2]DATA!W71</f>
        <v>ADB</v>
      </c>
      <c r="T80" s="77">
        <f>[2]DATA!Z71</f>
        <v>350000000</v>
      </c>
      <c r="U80" s="77">
        <v>0</v>
      </c>
      <c r="V80" s="216" t="str">
        <f>[2]DATA!W71</f>
        <v>ADB</v>
      </c>
      <c r="W80" s="245">
        <f>[2]DATA!AN71</f>
        <v>350000000</v>
      </c>
      <c r="X80" s="109" t="str">
        <f>[2]DATA!AO71</f>
        <v>Belum Ada Indikasi</v>
      </c>
      <c r="Y80" s="246" t="str">
        <f>[2]DATA!AP71</f>
        <v>- usulan K/L lender: ADB
- tidak masuk COBP ADB</v>
      </c>
      <c r="Z80" s="2408" t="s">
        <v>614</v>
      </c>
      <c r="AA80" s="2408" t="s">
        <v>603</v>
      </c>
      <c r="AB80" s="2408"/>
    </row>
    <row r="81" spans="1:28" ht="49.5" customHeight="1">
      <c r="A81" s="10">
        <f>[2]DATA!A72</f>
        <v>58</v>
      </c>
      <c r="B81" s="10">
        <f>[2]DATA!B72</f>
        <v>0</v>
      </c>
      <c r="C81" s="10" t="str">
        <f>[2]DATA!C72</f>
        <v>INFRASTRUKTUR</v>
      </c>
      <c r="D81" s="10">
        <f>[2]DATA!D72</f>
        <v>1</v>
      </c>
      <c r="E81" s="10" t="str">
        <f>[2]DATA!E72</f>
        <v>Kementerian Pekerjaan Umum dan Perumahan Rakyat</v>
      </c>
      <c r="F81" s="10" t="str">
        <f>[2]DATA!F72</f>
        <v>Development and Management of Irrigation Program</v>
      </c>
      <c r="G81" s="10" t="str">
        <f>[2]DATA!G72</f>
        <v>H</v>
      </c>
      <c r="H81" s="10" t="str">
        <f>[2]DATA!H72</f>
        <v>Program Pengembangan dan Pengelolaan Irigasi</v>
      </c>
      <c r="I81" s="10">
        <f>[2]DATA!I72</f>
        <v>6</v>
      </c>
      <c r="J81" s="181"/>
      <c r="K81" s="34"/>
      <c r="L81" s="34"/>
      <c r="M81" s="36">
        <v>52</v>
      </c>
      <c r="N81" s="37" t="str">
        <f>[2]DATA!J72</f>
        <v>Integrated Participatory Development and Management of Lhok Guci and Peureulak Irrigation Project</v>
      </c>
      <c r="O81" s="20">
        <f>[2]DATA!O72</f>
        <v>1</v>
      </c>
      <c r="P81" s="20">
        <f>[2]DATA!P72</f>
        <v>1</v>
      </c>
      <c r="Q81" s="186">
        <f>[2]DATA!Q72</f>
        <v>49</v>
      </c>
      <c r="R81" s="187">
        <f>[2]DATA!R72</f>
        <v>161298000</v>
      </c>
      <c r="S81" s="78" t="str">
        <f>[2]DATA!W72</f>
        <v>ADB</v>
      </c>
      <c r="T81" s="77">
        <f>[2]DATA!Z72</f>
        <v>161298000</v>
      </c>
      <c r="U81" s="77">
        <v>0</v>
      </c>
      <c r="V81" s="216" t="str">
        <f>[2]DATA!W72</f>
        <v>ADB</v>
      </c>
      <c r="W81" s="245">
        <f>[2]DATA!AN72</f>
        <v>161298000</v>
      </c>
      <c r="X81" s="109" t="str">
        <f>[2]DATA!AO72</f>
        <v>Belum Ada Indikasi</v>
      </c>
      <c r="Y81" s="246" t="str">
        <f>[2]DATA!AP72</f>
        <v>- usulan K/L lender: ADB
- tidak masuk COBP ADB</v>
      </c>
      <c r="Z81" s="2408" t="s">
        <v>614</v>
      </c>
      <c r="AA81" s="2408" t="s">
        <v>603</v>
      </c>
      <c r="AB81" s="2408"/>
    </row>
    <row r="82" spans="1:28" ht="30" customHeight="1">
      <c r="A82" s="10">
        <f>[2]DATA!A73</f>
        <v>59</v>
      </c>
      <c r="B82" s="10">
        <f>[2]DATA!B73</f>
        <v>0</v>
      </c>
      <c r="C82" s="10" t="str">
        <f>[2]DATA!C73</f>
        <v>INFRASTRUKTUR</v>
      </c>
      <c r="D82" s="10">
        <f>[2]DATA!D73</f>
        <v>1</v>
      </c>
      <c r="E82" s="10" t="str">
        <f>[2]DATA!E73</f>
        <v>Kementerian Pekerjaan Umum dan Perumahan Rakyat</v>
      </c>
      <c r="F82" s="10" t="str">
        <f>[2]DATA!F73</f>
        <v>Development and Management of Irrigation Program</v>
      </c>
      <c r="G82" s="10" t="str">
        <f>[2]DATA!G73</f>
        <v>H</v>
      </c>
      <c r="H82" s="10" t="str">
        <f>[2]DATA!H73</f>
        <v>Program Pengembangan dan Pengelolaan Irigasi</v>
      </c>
      <c r="I82" s="10">
        <f>[2]DATA!I73</f>
        <v>7</v>
      </c>
      <c r="J82" s="181"/>
      <c r="K82" s="34"/>
      <c r="L82" s="34"/>
      <c r="M82" s="36">
        <v>53</v>
      </c>
      <c r="N82" s="37" t="str">
        <f>[2]DATA!J73</f>
        <v>Modernization Strategic Irrigation Project (MSIP)</v>
      </c>
      <c r="O82" s="20">
        <f>[2]DATA!O73</f>
        <v>1</v>
      </c>
      <c r="P82" s="20">
        <f>[2]DATA!P73</f>
        <v>1</v>
      </c>
      <c r="Q82" s="186">
        <f>[2]DATA!Q73</f>
        <v>50</v>
      </c>
      <c r="R82" s="187">
        <f>[2]DATA!R73</f>
        <v>278355000</v>
      </c>
      <c r="S82" s="78" t="str">
        <f>[2]DATA!W73</f>
        <v>JICA</v>
      </c>
      <c r="T82" s="77">
        <f>[2]DATA!Z73</f>
        <v>278355000</v>
      </c>
      <c r="U82" s="77">
        <v>0</v>
      </c>
      <c r="V82" s="216" t="str">
        <f>[2]DATA!W73</f>
        <v>JICA</v>
      </c>
      <c r="W82" s="245">
        <f>[2]DATA!AN73</f>
        <v>278355000</v>
      </c>
      <c r="X82" s="109" t="str">
        <f>[2]DATA!AO73</f>
        <v>JICA</v>
      </c>
      <c r="Y82" s="246" t="str">
        <f>[2]DATA!AP73</f>
        <v>-</v>
      </c>
      <c r="Z82" s="2408" t="s">
        <v>603</v>
      </c>
      <c r="AA82" s="2408" t="s">
        <v>603</v>
      </c>
      <c r="AB82" s="2408"/>
    </row>
    <row r="83" spans="1:28" ht="36" customHeight="1">
      <c r="A83" s="10">
        <f>[2]DATA!A74</f>
        <v>60</v>
      </c>
      <c r="B83" s="10">
        <f>[2]DATA!B74</f>
        <v>0</v>
      </c>
      <c r="C83" s="10" t="str">
        <f>[2]DATA!C74</f>
        <v>INFRASTRUKTUR</v>
      </c>
      <c r="D83" s="10">
        <f>[2]DATA!D74</f>
        <v>1</v>
      </c>
      <c r="E83" s="10" t="str">
        <f>[2]DATA!E74</f>
        <v>Kementerian Pekerjaan Umum dan Perumahan Rakyat</v>
      </c>
      <c r="F83" s="10" t="str">
        <f>[2]DATA!F74</f>
        <v>Development and Management of Irrigation Program</v>
      </c>
      <c r="G83" s="10" t="str">
        <f>[2]DATA!G74</f>
        <v>H</v>
      </c>
      <c r="H83" s="10" t="str">
        <f>[2]DATA!H74</f>
        <v>Program Pengembangan dan Pengelolaan Irigasi</v>
      </c>
      <c r="I83" s="10">
        <f>[2]DATA!I74</f>
        <v>8</v>
      </c>
      <c r="J83" s="181"/>
      <c r="K83" s="34"/>
      <c r="L83" s="34"/>
      <c r="M83" s="36">
        <v>54</v>
      </c>
      <c r="N83" s="37" t="str">
        <f>[2]DATA!J74</f>
        <v>Urgent Rehabilitation of  Irrigation Project in Indonesia (URIP)</v>
      </c>
      <c r="O83" s="20">
        <f>[2]DATA!O74</f>
        <v>1</v>
      </c>
      <c r="P83" s="20">
        <f>[2]DATA!P74</f>
        <v>1</v>
      </c>
      <c r="Q83" s="186">
        <f>[2]DATA!Q74</f>
        <v>51</v>
      </c>
      <c r="R83" s="187">
        <f>[2]DATA!R74</f>
        <v>272100000</v>
      </c>
      <c r="S83" s="78" t="str">
        <f>[2]DATA!W74</f>
        <v>Bank Dunia</v>
      </c>
      <c r="T83" s="77">
        <f>[2]DATA!Z74</f>
        <v>272100000</v>
      </c>
      <c r="U83" s="77">
        <v>0</v>
      </c>
      <c r="V83" s="216" t="str">
        <f>[2]DATA!W74</f>
        <v>Bank Dunia</v>
      </c>
      <c r="W83" s="245">
        <f>[2]DATA!AN74</f>
        <v>272100000</v>
      </c>
      <c r="X83" s="109" t="str">
        <f>[2]DATA!AO74</f>
        <v>Bank Dunia</v>
      </c>
      <c r="Y83" s="246" t="str">
        <f>[2]DATA!AP74</f>
        <v>-</v>
      </c>
      <c r="Z83" s="2408" t="s">
        <v>603</v>
      </c>
      <c r="AA83" s="2408" t="s">
        <v>603</v>
      </c>
      <c r="AB83" s="2408"/>
    </row>
    <row r="84" spans="1:28" ht="27" customHeight="1">
      <c r="A84" s="10">
        <f>[2]DATA!A75</f>
        <v>61</v>
      </c>
      <c r="B84" s="10">
        <f>[2]DATA!B75</f>
        <v>0</v>
      </c>
      <c r="C84" s="10" t="str">
        <f>[2]DATA!C75</f>
        <v>INFRASTRUKTUR</v>
      </c>
      <c r="D84" s="10">
        <f>[2]DATA!D75</f>
        <v>1</v>
      </c>
      <c r="E84" s="10" t="str">
        <f>[2]DATA!E75</f>
        <v>Kementerian Pekerjaan Umum dan Perumahan Rakyat</v>
      </c>
      <c r="F84" s="10" t="str">
        <f>[2]DATA!F75</f>
        <v>Development and Management of Irrigation Program</v>
      </c>
      <c r="G84" s="10" t="str">
        <f>[2]DATA!G75</f>
        <v>H</v>
      </c>
      <c r="H84" s="10" t="str">
        <f>[2]DATA!H75</f>
        <v>Program Pengembangan dan Pengelolaan Irigasi</v>
      </c>
      <c r="I84" s="10">
        <f>[2]DATA!I75</f>
        <v>9</v>
      </c>
      <c r="J84" s="181"/>
      <c r="K84" s="34"/>
      <c r="L84" s="34"/>
      <c r="M84" s="36">
        <v>55</v>
      </c>
      <c r="N84" s="37" t="str">
        <f>[2]DATA!J75</f>
        <v>Revitalition Groundwater Irrigation in Indonesia</v>
      </c>
      <c r="O84" s="20">
        <f>[2]DATA!O75</f>
        <v>1</v>
      </c>
      <c r="P84" s="20">
        <f>[2]DATA!P75</f>
        <v>1</v>
      </c>
      <c r="Q84" s="186">
        <f>[2]DATA!Q75</f>
        <v>52</v>
      </c>
      <c r="R84" s="187">
        <f>[2]DATA!R75</f>
        <v>100000000</v>
      </c>
      <c r="S84" s="78" t="str">
        <f>[2]DATA!W75</f>
        <v>JICA</v>
      </c>
      <c r="T84" s="77">
        <f>[2]DATA!Z75</f>
        <v>100000000</v>
      </c>
      <c r="U84" s="77">
        <v>0</v>
      </c>
      <c r="V84" s="216" t="str">
        <f>[2]DATA!W75</f>
        <v>JICA</v>
      </c>
      <c r="W84" s="245">
        <f>[2]DATA!AN75</f>
        <v>100000000</v>
      </c>
      <c r="X84" s="109" t="str">
        <f>[2]DATA!AO75</f>
        <v>JICA</v>
      </c>
      <c r="Y84" s="246" t="str">
        <f>[2]DATA!AP75</f>
        <v>-</v>
      </c>
      <c r="Z84" s="2408" t="s">
        <v>603</v>
      </c>
      <c r="AA84" s="2408" t="s">
        <v>603</v>
      </c>
      <c r="AB84" s="2408"/>
    </row>
    <row r="85" spans="1:28" ht="38.25" customHeight="1">
      <c r="A85" s="10">
        <f>[2]DATA!A76</f>
        <v>62</v>
      </c>
      <c r="B85" s="10">
        <f>[2]DATA!B76</f>
        <v>0</v>
      </c>
      <c r="C85" s="10" t="str">
        <f>[2]DATA!C76</f>
        <v>INFRASTRUKTUR</v>
      </c>
      <c r="D85" s="10">
        <f>[2]DATA!D76</f>
        <v>1</v>
      </c>
      <c r="E85" s="10" t="str">
        <f>[2]DATA!E76</f>
        <v>Kementerian Pekerjaan Umum dan Perumahan Rakyat</v>
      </c>
      <c r="F85" s="10" t="str">
        <f>[2]DATA!F76</f>
        <v>Development and Management of Irrigation Program</v>
      </c>
      <c r="G85" s="10" t="str">
        <f>[2]DATA!G76</f>
        <v>H</v>
      </c>
      <c r="H85" s="10" t="str">
        <f>[2]DATA!H76</f>
        <v>Program Pengembangan dan Pengelolaan Irigasi</v>
      </c>
      <c r="I85" s="10">
        <f>[2]DATA!I76</f>
        <v>10</v>
      </c>
      <c r="J85" s="181"/>
      <c r="K85" s="34"/>
      <c r="L85" s="54"/>
      <c r="M85" s="36">
        <v>56</v>
      </c>
      <c r="N85" s="37" t="str">
        <f>[2]DATA!J76</f>
        <v>Engineering Service for Irrigation and Low Land Development Project</v>
      </c>
      <c r="O85" s="20">
        <f>[2]DATA!O76</f>
        <v>1</v>
      </c>
      <c r="P85" s="20">
        <f>[2]DATA!P76</f>
        <v>1</v>
      </c>
      <c r="Q85" s="186">
        <f>[2]DATA!Q76</f>
        <v>53</v>
      </c>
      <c r="R85" s="187">
        <f>[2]DATA!R76</f>
        <v>100000000</v>
      </c>
      <c r="S85" s="78" t="str">
        <f>[2]DATA!W76</f>
        <v>ADB</v>
      </c>
      <c r="T85" s="77">
        <f>[2]DATA!Z76</f>
        <v>100000000</v>
      </c>
      <c r="U85" s="77">
        <v>0</v>
      </c>
      <c r="V85" s="216" t="str">
        <f>[2]DATA!W76</f>
        <v>ADB</v>
      </c>
      <c r="W85" s="245">
        <f>[2]DATA!AN76</f>
        <v>100000000</v>
      </c>
      <c r="X85" s="109" t="str">
        <f>[2]DATA!AO76</f>
        <v>ADB</v>
      </c>
      <c r="Y85" s="246" t="str">
        <f>[2]DATA!AP76</f>
        <v>-</v>
      </c>
      <c r="Z85" s="2408" t="s">
        <v>568</v>
      </c>
      <c r="AA85" s="2408" t="s">
        <v>645</v>
      </c>
      <c r="AB85" s="2408"/>
    </row>
    <row r="86" spans="1:28" s="5" customFormat="1" ht="33.75" customHeight="1">
      <c r="J86" s="180"/>
      <c r="K86" s="50"/>
      <c r="L86" s="30" t="str">
        <f>[2]DATA!G77</f>
        <v>I</v>
      </c>
      <c r="M86" s="31" t="str">
        <f>[2]DATA!H77</f>
        <v>Program Penyediaan Air Baku</v>
      </c>
      <c r="N86" s="51"/>
      <c r="O86" s="31"/>
      <c r="P86" s="31"/>
      <c r="Q86" s="196"/>
      <c r="R86" s="197">
        <f>SUM(R87:R89)</f>
        <v>623862000</v>
      </c>
      <c r="S86" s="81"/>
      <c r="T86" s="81">
        <f t="shared" ref="T86:X86" si="10">SUM(T87:T89)</f>
        <v>623862000</v>
      </c>
      <c r="U86" s="81">
        <f t="shared" si="10"/>
        <v>0</v>
      </c>
      <c r="V86" s="214">
        <f t="shared" si="10"/>
        <v>0</v>
      </c>
      <c r="W86" s="244">
        <f t="shared" si="10"/>
        <v>623862000</v>
      </c>
      <c r="X86" s="81">
        <f t="shared" si="10"/>
        <v>0</v>
      </c>
      <c r="Y86" s="229"/>
      <c r="Z86" s="2407"/>
      <c r="AA86" s="2407"/>
      <c r="AB86" s="2407"/>
    </row>
    <row r="87" spans="1:28" ht="38.25" customHeight="1">
      <c r="A87" s="10">
        <f>[2]DATA!A77</f>
        <v>63</v>
      </c>
      <c r="B87" s="10">
        <f>[2]DATA!B77</f>
        <v>0</v>
      </c>
      <c r="C87" s="10" t="str">
        <f>[2]DATA!C77</f>
        <v>INFRASTRUKTUR</v>
      </c>
      <c r="D87" s="10">
        <f>[2]DATA!D77</f>
        <v>1</v>
      </c>
      <c r="E87" s="10" t="str">
        <f>[2]DATA!E77</f>
        <v>Kementerian Pekerjaan Umum dan Perumahan Rakyat</v>
      </c>
      <c r="F87" s="10" t="str">
        <f>[2]DATA!F77</f>
        <v>Provision and Management of Bulk Water Supply Program</v>
      </c>
      <c r="G87" s="10" t="str">
        <f>[2]DATA!G77</f>
        <v>I</v>
      </c>
      <c r="H87" s="10" t="str">
        <f>[2]DATA!H77</f>
        <v>Program Penyediaan Air Baku</v>
      </c>
      <c r="I87" s="10">
        <f>[2]DATA!I77</f>
        <v>1</v>
      </c>
      <c r="J87" s="181"/>
      <c r="K87" s="34"/>
      <c r="L87" s="35"/>
      <c r="M87" s="36">
        <v>57</v>
      </c>
      <c r="N87" s="37" t="str">
        <f>[2]DATA!J77</f>
        <v>Integrated Citarum Water Resources Management Investment Program II</v>
      </c>
      <c r="O87" s="20">
        <f>[2]DATA!O77</f>
        <v>1</v>
      </c>
      <c r="P87" s="20">
        <f>[2]DATA!P77</f>
        <v>1</v>
      </c>
      <c r="Q87" s="186">
        <f>[2]DATA!Q77</f>
        <v>54</v>
      </c>
      <c r="R87" s="187">
        <f>[2]DATA!R77</f>
        <v>200000000</v>
      </c>
      <c r="S87" s="78" t="str">
        <f>[2]DATA!W77</f>
        <v>ADB</v>
      </c>
      <c r="T87" s="77">
        <f>[2]DATA!Z77</f>
        <v>200000000</v>
      </c>
      <c r="U87" s="77">
        <v>0</v>
      </c>
      <c r="V87" s="216" t="str">
        <f>[2]DATA!W77</f>
        <v>ADB</v>
      </c>
      <c r="W87" s="245">
        <f>[2]DATA!AN77</f>
        <v>200000000</v>
      </c>
      <c r="X87" s="109" t="str">
        <f>[2]DATA!AO77</f>
        <v>ADB</v>
      </c>
      <c r="Y87" s="246" t="str">
        <f>[2]DATA!AP77</f>
        <v>-</v>
      </c>
      <c r="Z87" s="2408" t="s">
        <v>614</v>
      </c>
      <c r="AA87" s="2408" t="s">
        <v>729</v>
      </c>
      <c r="AB87" s="2408"/>
    </row>
    <row r="88" spans="1:28" ht="46.5" customHeight="1">
      <c r="A88" s="10">
        <f>[2]DATA!A78</f>
        <v>64</v>
      </c>
      <c r="B88" s="10">
        <f>[2]DATA!B78</f>
        <v>0</v>
      </c>
      <c r="C88" s="10" t="str">
        <f>[2]DATA!C78</f>
        <v>INFRASTRUKTUR</v>
      </c>
      <c r="D88" s="10">
        <f>[2]DATA!D78</f>
        <v>1</v>
      </c>
      <c r="E88" s="10" t="str">
        <f>[2]DATA!E78</f>
        <v>Kementerian Pekerjaan Umum dan Perumahan Rakyat</v>
      </c>
      <c r="F88" s="10" t="str">
        <f>[2]DATA!F78</f>
        <v>Provision and Management of Bulk Water Supply Program</v>
      </c>
      <c r="G88" s="10" t="str">
        <f>[2]DATA!G78</f>
        <v>I</v>
      </c>
      <c r="H88" s="10" t="str">
        <f>[2]DATA!H78</f>
        <v>Program Penyediaan Air Baku</v>
      </c>
      <c r="I88" s="10">
        <f>[2]DATA!I78</f>
        <v>2</v>
      </c>
      <c r="J88" s="181"/>
      <c r="K88" s="34"/>
      <c r="L88" s="34"/>
      <c r="M88" s="36">
        <v>58</v>
      </c>
      <c r="N88" s="37" t="str">
        <f>[2]DATA!J78</f>
        <v>Karian Dam-Serpong Water Conveyance and Supply System Project</v>
      </c>
      <c r="O88" s="20">
        <f>[2]DATA!O78</f>
        <v>1</v>
      </c>
      <c r="P88" s="20">
        <f>[2]DATA!P78</f>
        <v>1</v>
      </c>
      <c r="Q88" s="186">
        <f>[2]DATA!Q78</f>
        <v>55</v>
      </c>
      <c r="R88" s="187">
        <f>[2]DATA!R78</f>
        <v>373862000</v>
      </c>
      <c r="S88" s="78" t="str">
        <f>[2]DATA!W78</f>
        <v>Korea</v>
      </c>
      <c r="T88" s="77">
        <f>[2]DATA!Z78</f>
        <v>373862000</v>
      </c>
      <c r="U88" s="77">
        <v>0</v>
      </c>
      <c r="V88" s="216" t="str">
        <f>[2]DATA!W78</f>
        <v>Korea</v>
      </c>
      <c r="W88" s="245">
        <f>[2]DATA!AN78</f>
        <v>373862000</v>
      </c>
      <c r="X88" s="109" t="str">
        <f>[2]DATA!AO78</f>
        <v>Korea</v>
      </c>
      <c r="Y88" s="246" t="str">
        <f>[2]DATA!AP78</f>
        <v>masuk rolling plan EDCF (Korea)</v>
      </c>
      <c r="Z88" s="2408" t="s">
        <v>675</v>
      </c>
      <c r="AA88" s="2408" t="s">
        <v>729</v>
      </c>
      <c r="AB88" s="2408"/>
    </row>
    <row r="89" spans="1:28" ht="48" customHeight="1">
      <c r="A89" s="10">
        <f>[2]DATA!A79</f>
        <v>65</v>
      </c>
      <c r="B89" s="10">
        <f>[2]DATA!B79</f>
        <v>0</v>
      </c>
      <c r="C89" s="10" t="str">
        <f>[2]DATA!C79</f>
        <v>INFRASTRUKTUR</v>
      </c>
      <c r="D89" s="10">
        <f>[2]DATA!D79</f>
        <v>1</v>
      </c>
      <c r="E89" s="10" t="str">
        <f>[2]DATA!E79</f>
        <v>Kementerian Pekerjaan Umum dan Perumahan Rakyat</v>
      </c>
      <c r="F89" s="10" t="str">
        <f>[2]DATA!F79</f>
        <v>Provision and Management of Bulk Water Supply Program</v>
      </c>
      <c r="G89" s="10" t="str">
        <f>[2]DATA!G79</f>
        <v>I</v>
      </c>
      <c r="H89" s="10" t="str">
        <f>[2]DATA!H79</f>
        <v>Program Penyediaan Air Baku</v>
      </c>
      <c r="I89" s="10">
        <f>[2]DATA!I79</f>
        <v>3</v>
      </c>
      <c r="J89" s="181"/>
      <c r="K89" s="34"/>
      <c r="L89" s="54"/>
      <c r="M89" s="36">
        <v>59</v>
      </c>
      <c r="N89" s="37" t="str">
        <f>[2]DATA!J79</f>
        <v>Engineering Service for Bulk Water and Water Supply Development Project</v>
      </c>
      <c r="O89" s="20">
        <f>[2]DATA!O79</f>
        <v>1</v>
      </c>
      <c r="P89" s="20">
        <f>[2]DATA!P79</f>
        <v>1</v>
      </c>
      <c r="Q89" s="186">
        <f>[2]DATA!Q79</f>
        <v>56</v>
      </c>
      <c r="R89" s="187">
        <f>[2]DATA!R79</f>
        <v>50000000</v>
      </c>
      <c r="S89" s="78" t="str">
        <f>[2]DATA!W79</f>
        <v>ADB</v>
      </c>
      <c r="T89" s="77">
        <f>[2]DATA!Z79</f>
        <v>50000000</v>
      </c>
      <c r="U89" s="77">
        <v>0</v>
      </c>
      <c r="V89" s="216" t="str">
        <f>[2]DATA!W79</f>
        <v>ADB</v>
      </c>
      <c r="W89" s="245">
        <f>[2]DATA!AN79</f>
        <v>50000000</v>
      </c>
      <c r="X89" s="109" t="str">
        <f>[2]DATA!AO79</f>
        <v>ADB</v>
      </c>
      <c r="Y89" s="246" t="str">
        <f>[2]DATA!AP79</f>
        <v>-</v>
      </c>
      <c r="Z89" s="2408" t="s">
        <v>568</v>
      </c>
      <c r="AA89" s="2408" t="s">
        <v>645</v>
      </c>
      <c r="AB89" s="2408"/>
    </row>
    <row r="90" spans="1:28" s="5" customFormat="1" ht="33.75" customHeight="1">
      <c r="J90" s="180"/>
      <c r="K90" s="50"/>
      <c r="L90" s="30" t="str">
        <f>[2]DATA!G80</f>
        <v>J</v>
      </c>
      <c r="M90" s="31" t="str">
        <f>[2]DATA!H80</f>
        <v>Program Pembangunan Waduk</v>
      </c>
      <c r="N90" s="51"/>
      <c r="O90" s="31"/>
      <c r="P90" s="31"/>
      <c r="Q90" s="196"/>
      <c r="R90" s="197">
        <f t="shared" ref="R90:X90" si="11">SUM(R91:R103)</f>
        <v>2133750000</v>
      </c>
      <c r="S90" s="81"/>
      <c r="T90" s="81">
        <f t="shared" si="11"/>
        <v>2057358596</v>
      </c>
      <c r="U90" s="81">
        <f t="shared" si="11"/>
        <v>76391404</v>
      </c>
      <c r="V90" s="214">
        <f t="shared" si="11"/>
        <v>0</v>
      </c>
      <c r="W90" s="244">
        <f t="shared" si="11"/>
        <v>2133750000</v>
      </c>
      <c r="X90" s="81">
        <f t="shared" si="11"/>
        <v>0</v>
      </c>
      <c r="Y90" s="229"/>
      <c r="Z90" s="2407"/>
      <c r="AA90" s="2407"/>
      <c r="AB90" s="2407"/>
    </row>
    <row r="91" spans="1:28" ht="30" customHeight="1">
      <c r="A91" s="10">
        <f>[2]DATA!A80</f>
        <v>66</v>
      </c>
      <c r="B91" s="10">
        <f>[2]DATA!B80</f>
        <v>0</v>
      </c>
      <c r="C91" s="10" t="str">
        <f>[2]DATA!C80</f>
        <v>INFRASTRUKTUR</v>
      </c>
      <c r="D91" s="10">
        <f>[2]DATA!D80</f>
        <v>1</v>
      </c>
      <c r="E91" s="10" t="str">
        <f>[2]DATA!E80</f>
        <v>Kementerian Pekerjaan Umum dan Perumahan Rakyat</v>
      </c>
      <c r="F91" s="10" t="str">
        <f>[2]DATA!F80</f>
        <v>Dam Development Program</v>
      </c>
      <c r="G91" s="10" t="str">
        <f>[2]DATA!G80</f>
        <v>J</v>
      </c>
      <c r="H91" s="10" t="str">
        <f>[2]DATA!H80</f>
        <v>Program Pembangunan Waduk</v>
      </c>
      <c r="I91" s="10">
        <f>[2]DATA!I80</f>
        <v>1</v>
      </c>
      <c r="J91" s="181"/>
      <c r="K91" s="34"/>
      <c r="L91" s="35"/>
      <c r="M91" s="36">
        <v>60</v>
      </c>
      <c r="N91" s="37" t="str">
        <f>[2]DATA!J80</f>
        <v>Jambo Aye Multipurpose Dam Project</v>
      </c>
      <c r="O91" s="20">
        <f>[2]DATA!O80</f>
        <v>1</v>
      </c>
      <c r="P91" s="20">
        <f>[2]DATA!P80</f>
        <v>1</v>
      </c>
      <c r="Q91" s="186">
        <f>[2]DATA!Q80</f>
        <v>57</v>
      </c>
      <c r="R91" s="187">
        <f>[2]DATA!R80</f>
        <v>662200000</v>
      </c>
      <c r="S91" s="78" t="str">
        <f>[2]DATA!W80</f>
        <v>Rupiah Murni</v>
      </c>
      <c r="T91" s="77">
        <f>[2]DATA!Z80</f>
        <v>662200000</v>
      </c>
      <c r="U91" s="77">
        <v>0</v>
      </c>
      <c r="V91" s="216" t="str">
        <f>[2]DATA!W80</f>
        <v>Rupiah Murni</v>
      </c>
      <c r="W91" s="245">
        <f>[2]DATA!AN80</f>
        <v>662200000</v>
      </c>
      <c r="X91" s="109" t="str">
        <f>[2]DATA!AO80</f>
        <v>Rupiah Murni</v>
      </c>
      <c r="Y91" s="246" t="str">
        <f>[2]DATA!AP80</f>
        <v>-</v>
      </c>
      <c r="Z91" s="2408" t="s">
        <v>603</v>
      </c>
      <c r="AA91" s="2408" t="s">
        <v>729</v>
      </c>
      <c r="AB91" s="2408">
        <f>T90+U90-W90</f>
        <v>0</v>
      </c>
    </row>
    <row r="92" spans="1:28" ht="30" customHeight="1">
      <c r="A92" s="10">
        <f>[2]DATA!A81</f>
        <v>67</v>
      </c>
      <c r="B92" s="10">
        <f>[2]DATA!B81</f>
        <v>0</v>
      </c>
      <c r="C92" s="10" t="str">
        <f>[2]DATA!C81</f>
        <v>INFRASTRUKTUR</v>
      </c>
      <c r="D92" s="10">
        <f>[2]DATA!D81</f>
        <v>1</v>
      </c>
      <c r="E92" s="10" t="str">
        <f>[2]DATA!E81</f>
        <v>Kementerian Pekerjaan Umum dan Perumahan Rakyat</v>
      </c>
      <c r="F92" s="10" t="str">
        <f>[2]DATA!F81</f>
        <v>Dam Development Program</v>
      </c>
      <c r="G92" s="10" t="str">
        <f>[2]DATA!G81</f>
        <v>J</v>
      </c>
      <c r="H92" s="10" t="str">
        <f>[2]DATA!H81</f>
        <v>Program Pembangunan Waduk</v>
      </c>
      <c r="I92" s="10">
        <f>[2]DATA!I81</f>
        <v>2</v>
      </c>
      <c r="J92" s="181"/>
      <c r="K92" s="34"/>
      <c r="L92" s="34"/>
      <c r="M92" s="36">
        <v>61</v>
      </c>
      <c r="N92" s="37" t="str">
        <f>[2]DATA!J81</f>
        <v>Komering Multipurpose Dam Project - Phase II</v>
      </c>
      <c r="O92" s="20">
        <f>[2]DATA!O81</f>
        <v>1</v>
      </c>
      <c r="P92" s="20">
        <f>[2]DATA!P81</f>
        <v>1</v>
      </c>
      <c r="Q92" s="186">
        <f>[2]DATA!Q81</f>
        <v>58</v>
      </c>
      <c r="R92" s="187">
        <f>[2]DATA!R81</f>
        <v>200000000</v>
      </c>
      <c r="S92" s="78" t="str">
        <f>[2]DATA!W81</f>
        <v>Rupiah Murni</v>
      </c>
      <c r="T92" s="77">
        <f>[2]DATA!Z81</f>
        <v>200000000</v>
      </c>
      <c r="U92" s="77">
        <v>0</v>
      </c>
      <c r="V92" s="216" t="str">
        <f>[2]DATA!W81</f>
        <v>Rupiah Murni</v>
      </c>
      <c r="W92" s="245">
        <f>[2]DATA!AN81</f>
        <v>200000000</v>
      </c>
      <c r="X92" s="109" t="str">
        <f>[2]DATA!AO81</f>
        <v>Rupiah Murni</v>
      </c>
      <c r="Y92" s="246" t="str">
        <f>[2]DATA!AP81</f>
        <v>-</v>
      </c>
      <c r="Z92" s="2408" t="s">
        <v>608</v>
      </c>
      <c r="AA92" s="2408" t="s">
        <v>729</v>
      </c>
      <c r="AB92" s="2409" t="s">
        <v>1124</v>
      </c>
    </row>
    <row r="93" spans="1:28" ht="30.75" customHeight="1">
      <c r="A93" s="10">
        <f>[2]DATA!A82</f>
        <v>68</v>
      </c>
      <c r="B93" s="10">
        <f>[2]DATA!B82</f>
        <v>0</v>
      </c>
      <c r="C93" s="10" t="str">
        <f>[2]DATA!C82</f>
        <v>INFRASTRUKTUR</v>
      </c>
      <c r="D93" s="10">
        <f>[2]DATA!D82</f>
        <v>1</v>
      </c>
      <c r="E93" s="10" t="str">
        <f>[2]DATA!E82</f>
        <v>Kementerian Pekerjaan Umum dan Perumahan Rakyat</v>
      </c>
      <c r="F93" s="10" t="str">
        <f>[2]DATA!F82</f>
        <v>Dam Development Program</v>
      </c>
      <c r="G93" s="10" t="str">
        <f>[2]DATA!G82</f>
        <v>J</v>
      </c>
      <c r="H93" s="10" t="str">
        <f>[2]DATA!H82</f>
        <v>Program Pembangunan Waduk</v>
      </c>
      <c r="I93" s="10">
        <f>[2]DATA!I82</f>
        <v>3</v>
      </c>
      <c r="J93" s="181"/>
      <c r="K93" s="34"/>
      <c r="L93" s="34"/>
      <c r="M93" s="36">
        <v>62</v>
      </c>
      <c r="N93" s="37" t="str">
        <f>[2]DATA!J82</f>
        <v>Pelosika Multipurpose Dam Construction Project</v>
      </c>
      <c r="O93" s="20">
        <f>[2]DATA!O82</f>
        <v>1</v>
      </c>
      <c r="P93" s="20">
        <f>[2]DATA!P82</f>
        <v>1</v>
      </c>
      <c r="Q93" s="186">
        <f>[2]DATA!Q82</f>
        <v>59</v>
      </c>
      <c r="R93" s="187">
        <f>[2]DATA!R82</f>
        <v>200000000</v>
      </c>
      <c r="S93" s="78" t="str">
        <f>[2]DATA!W82</f>
        <v>Rupiah Murni</v>
      </c>
      <c r="T93" s="77">
        <f>[2]DATA!Z82</f>
        <v>200000000</v>
      </c>
      <c r="U93" s="77">
        <v>0</v>
      </c>
      <c r="V93" s="216" t="str">
        <f>[2]DATA!W82</f>
        <v>Rupiah Murni</v>
      </c>
      <c r="W93" s="245">
        <f>[2]DATA!AN82</f>
        <v>200000000</v>
      </c>
      <c r="X93" s="109" t="str">
        <f>[2]DATA!AO82</f>
        <v>Rupiah Murni</v>
      </c>
      <c r="Y93" s="246" t="str">
        <f>[2]DATA!AP82</f>
        <v>-</v>
      </c>
      <c r="Z93" s="2408" t="s">
        <v>608</v>
      </c>
      <c r="AA93" s="2408" t="s">
        <v>729</v>
      </c>
      <c r="AB93" s="2409" t="s">
        <v>1124</v>
      </c>
    </row>
    <row r="94" spans="1:28" ht="26.25" customHeight="1">
      <c r="A94" s="10">
        <f>[2]DATA!A83</f>
        <v>69</v>
      </c>
      <c r="B94" s="10">
        <f>[2]DATA!B83</f>
        <v>0</v>
      </c>
      <c r="C94" s="10" t="str">
        <f>[2]DATA!C83</f>
        <v>INFRASTRUKTUR</v>
      </c>
      <c r="D94" s="10">
        <f>[2]DATA!D83</f>
        <v>1</v>
      </c>
      <c r="E94" s="10" t="str">
        <f>[2]DATA!E83</f>
        <v>Kementerian Pekerjaan Umum dan Perumahan Rakyat</v>
      </c>
      <c r="F94" s="10" t="str">
        <f>[2]DATA!F83</f>
        <v>Dam Development Program</v>
      </c>
      <c r="G94" s="10" t="str">
        <f>[2]DATA!G83</f>
        <v>J</v>
      </c>
      <c r="H94" s="10" t="str">
        <f>[2]DATA!H83</f>
        <v>Program Pembangunan Waduk</v>
      </c>
      <c r="I94" s="10">
        <f>[2]DATA!I83</f>
        <v>4</v>
      </c>
      <c r="J94" s="181"/>
      <c r="K94" s="34"/>
      <c r="L94" s="34"/>
      <c r="M94" s="36">
        <v>63</v>
      </c>
      <c r="N94" s="37" t="str">
        <f>[2]DATA!J83</f>
        <v>Lambakan  Dam Project</v>
      </c>
      <c r="O94" s="20">
        <f>[2]DATA!O83</f>
        <v>1</v>
      </c>
      <c r="P94" s="20">
        <f>[2]DATA!P83</f>
        <v>1</v>
      </c>
      <c r="Q94" s="186">
        <f>[2]DATA!Q83</f>
        <v>60</v>
      </c>
      <c r="R94" s="187">
        <f>[2]DATA!R83</f>
        <v>258000000</v>
      </c>
      <c r="S94" s="78" t="str">
        <f>[2]DATA!W83</f>
        <v>IDB</v>
      </c>
      <c r="T94" s="77">
        <f>[2]DATA!Z83</f>
        <v>258000000</v>
      </c>
      <c r="U94" s="77">
        <v>0</v>
      </c>
      <c r="V94" s="216" t="str">
        <f>[2]DATA!W83</f>
        <v>IDB</v>
      </c>
      <c r="W94" s="245">
        <f>[2]DATA!AN83</f>
        <v>258000000</v>
      </c>
      <c r="X94" s="109" t="str">
        <f>[2]DATA!AO83</f>
        <v>IDB</v>
      </c>
      <c r="Y94" s="246" t="str">
        <f>[2]DATA!AP83</f>
        <v>-</v>
      </c>
      <c r="Z94" s="2408" t="s">
        <v>608</v>
      </c>
      <c r="AA94" s="2408" t="s">
        <v>729</v>
      </c>
      <c r="AB94" s="2409" t="s">
        <v>1124</v>
      </c>
    </row>
    <row r="95" spans="1:28" ht="31.5" customHeight="1">
      <c r="A95" s="10">
        <f>[2]DATA!A84</f>
        <v>70</v>
      </c>
      <c r="B95" s="10">
        <f>[2]DATA!B84</f>
        <v>0</v>
      </c>
      <c r="C95" s="10" t="str">
        <f>[2]DATA!C84</f>
        <v>INFRASTRUKTUR</v>
      </c>
      <c r="D95" s="10">
        <f>[2]DATA!D84</f>
        <v>1</v>
      </c>
      <c r="E95" s="10" t="str">
        <f>[2]DATA!E84</f>
        <v>Kementerian Pekerjaan Umum dan Perumahan Rakyat</v>
      </c>
      <c r="F95" s="10" t="str">
        <f>[2]DATA!F84</f>
        <v>Dam Development Program</v>
      </c>
      <c r="G95" s="10" t="str">
        <f>[2]DATA!G84</f>
        <v>J</v>
      </c>
      <c r="H95" s="10" t="str">
        <f>[2]DATA!H84</f>
        <v>Program Pembangunan Waduk</v>
      </c>
      <c r="I95" s="10">
        <f>[2]DATA!I84</f>
        <v>5</v>
      </c>
      <c r="J95" s="181"/>
      <c r="K95" s="34"/>
      <c r="L95" s="34"/>
      <c r="M95" s="36">
        <v>64</v>
      </c>
      <c r="N95" s="37" t="str">
        <f>[2]DATA!J84</f>
        <v>Jenelata Dam Construction Project</v>
      </c>
      <c r="O95" s="20">
        <f>[2]DATA!O84</f>
        <v>1</v>
      </c>
      <c r="P95" s="20">
        <f>[2]DATA!P84</f>
        <v>1</v>
      </c>
      <c r="Q95" s="186">
        <f>[2]DATA!Q84</f>
        <v>61</v>
      </c>
      <c r="R95" s="187">
        <f>[2]DATA!R84</f>
        <v>200000000</v>
      </c>
      <c r="S95" s="78" t="str">
        <f>[2]DATA!W84</f>
        <v>RRT</v>
      </c>
      <c r="T95" s="77">
        <f>[2]DATA!Z84</f>
        <v>200000000</v>
      </c>
      <c r="U95" s="77">
        <v>0</v>
      </c>
      <c r="V95" s="216" t="str">
        <f>[2]DATA!W84</f>
        <v>RRT</v>
      </c>
      <c r="W95" s="245">
        <f>[2]DATA!AN84</f>
        <v>200000000</v>
      </c>
      <c r="X95" s="109" t="str">
        <f>[2]DATA!AO84</f>
        <v>RRT</v>
      </c>
      <c r="Y95" s="246" t="str">
        <f>[2]DATA!AP84</f>
        <v>-</v>
      </c>
      <c r="Z95" s="2408" t="s">
        <v>568</v>
      </c>
      <c r="AA95" s="2408" t="s">
        <v>729</v>
      </c>
      <c r="AB95" s="2408"/>
    </row>
    <row r="96" spans="1:28" ht="27.75" customHeight="1">
      <c r="A96" s="10">
        <f>[2]DATA!A85</f>
        <v>71</v>
      </c>
      <c r="B96" s="10">
        <f>[2]DATA!B85</f>
        <v>0</v>
      </c>
      <c r="C96" s="10" t="str">
        <f>[2]DATA!C85</f>
        <v>INFRASTRUKTUR</v>
      </c>
      <c r="D96" s="10">
        <f>[2]DATA!D85</f>
        <v>1</v>
      </c>
      <c r="E96" s="10" t="str">
        <f>[2]DATA!E85</f>
        <v>Kementerian Pekerjaan Umum dan Perumahan Rakyat</v>
      </c>
      <c r="F96" s="10" t="str">
        <f>[2]DATA!F85</f>
        <v>Dam Development Program</v>
      </c>
      <c r="G96" s="10" t="str">
        <f>[2]DATA!G85</f>
        <v>J</v>
      </c>
      <c r="H96" s="10" t="str">
        <f>[2]DATA!H85</f>
        <v>Program Pembangunan Waduk</v>
      </c>
      <c r="I96" s="10">
        <f>[2]DATA!I85</f>
        <v>6</v>
      </c>
      <c r="J96" s="181"/>
      <c r="K96" s="34"/>
      <c r="L96" s="34"/>
      <c r="M96" s="36">
        <v>65</v>
      </c>
      <c r="N96" s="37" t="str">
        <f>[2]DATA!J85</f>
        <v>Bonehulu Dam Construction Project</v>
      </c>
      <c r="O96" s="20">
        <f>[2]DATA!O85</f>
        <v>1</v>
      </c>
      <c r="P96" s="20">
        <f>[2]DATA!P85</f>
        <v>1</v>
      </c>
      <c r="Q96" s="186">
        <f>[2]DATA!Q85</f>
        <v>62</v>
      </c>
      <c r="R96" s="187">
        <f>[2]DATA!R85</f>
        <v>128250000</v>
      </c>
      <c r="S96" s="78" t="str">
        <f>[2]DATA!W85</f>
        <v>RRT</v>
      </c>
      <c r="T96" s="77">
        <f>[2]DATA!Z85</f>
        <v>128250000</v>
      </c>
      <c r="U96" s="77">
        <v>0</v>
      </c>
      <c r="V96" s="216" t="str">
        <f>[2]DATA!W85</f>
        <v>RRT</v>
      </c>
      <c r="W96" s="245">
        <f>[2]DATA!AN85</f>
        <v>128250000</v>
      </c>
      <c r="X96" s="109" t="str">
        <f>[2]DATA!AO85</f>
        <v>RRT</v>
      </c>
      <c r="Y96" s="246" t="str">
        <f>[2]DATA!AP85</f>
        <v>-</v>
      </c>
      <c r="Z96" s="2408" t="s">
        <v>608</v>
      </c>
      <c r="AA96" s="2408" t="s">
        <v>729</v>
      </c>
      <c r="AB96" s="2408"/>
    </row>
    <row r="97" spans="1:28" ht="28.5" customHeight="1">
      <c r="A97" s="10">
        <f>[2]DATA!A86</f>
        <v>72</v>
      </c>
      <c r="B97" s="10">
        <f>[2]DATA!B86</f>
        <v>0</v>
      </c>
      <c r="C97" s="10" t="str">
        <f>[2]DATA!C86</f>
        <v>INFRASTRUKTUR</v>
      </c>
      <c r="D97" s="10">
        <f>[2]DATA!D86</f>
        <v>1</v>
      </c>
      <c r="E97" s="10" t="str">
        <f>[2]DATA!E86</f>
        <v>Kementerian Pekerjaan Umum dan Perumahan Rakyat</v>
      </c>
      <c r="F97" s="10" t="str">
        <f>[2]DATA!F86</f>
        <v>Dam Development Program</v>
      </c>
      <c r="G97" s="10" t="str">
        <f>[2]DATA!G86</f>
        <v>J</v>
      </c>
      <c r="H97" s="10" t="str">
        <f>[2]DATA!H86</f>
        <v>Program Pembangunan Waduk</v>
      </c>
      <c r="I97" s="10">
        <f>[2]DATA!I86</f>
        <v>7</v>
      </c>
      <c r="J97" s="181"/>
      <c r="K97" s="34"/>
      <c r="L97" s="34"/>
      <c r="M97" s="36">
        <v>66</v>
      </c>
      <c r="N97" s="37" t="str">
        <f>[2]DATA!J86</f>
        <v>Ladongi Dam Construction Project</v>
      </c>
      <c r="O97" s="20">
        <f>[2]DATA!O86</f>
        <v>1</v>
      </c>
      <c r="P97" s="20">
        <f>[2]DATA!P86</f>
        <v>1</v>
      </c>
      <c r="Q97" s="186">
        <f>[2]DATA!Q86</f>
        <v>63</v>
      </c>
      <c r="R97" s="187">
        <f>[2]DATA!R86</f>
        <v>70000000</v>
      </c>
      <c r="S97" s="78" t="str">
        <f>[2]DATA!W86</f>
        <v>RRT</v>
      </c>
      <c r="T97" s="77">
        <f>[2]DATA!Z86</f>
        <v>70000000</v>
      </c>
      <c r="U97" s="77">
        <v>0</v>
      </c>
      <c r="V97" s="216" t="str">
        <f>[2]DATA!W86</f>
        <v>RRT</v>
      </c>
      <c r="W97" s="245">
        <f>[2]DATA!AN86</f>
        <v>70000000</v>
      </c>
      <c r="X97" s="109" t="str">
        <f>[2]DATA!AO86</f>
        <v>RRT</v>
      </c>
      <c r="Y97" s="246" t="str">
        <f>[2]DATA!AP86</f>
        <v>-</v>
      </c>
      <c r="Z97" s="2408" t="s">
        <v>568</v>
      </c>
      <c r="AA97" s="2408" t="s">
        <v>729</v>
      </c>
      <c r="AB97" s="2408"/>
    </row>
    <row r="98" spans="1:28" ht="30.75" customHeight="1">
      <c r="A98" s="10">
        <f>[2]DATA!A87</f>
        <v>73</v>
      </c>
      <c r="B98" s="10">
        <f>[2]DATA!B87</f>
        <v>0</v>
      </c>
      <c r="C98" s="10" t="str">
        <f>[2]DATA!C87</f>
        <v>INFRASTRUKTUR</v>
      </c>
      <c r="D98" s="10">
        <f>[2]DATA!D87</f>
        <v>1</v>
      </c>
      <c r="E98" s="10" t="str">
        <f>[2]DATA!E87</f>
        <v>Kementerian Pekerjaan Umum dan Perumahan Rakyat</v>
      </c>
      <c r="F98" s="10" t="str">
        <f>[2]DATA!F87</f>
        <v>Dam Development Program</v>
      </c>
      <c r="G98" s="10" t="str">
        <f>[2]DATA!G87</f>
        <v>J</v>
      </c>
      <c r="H98" s="10" t="str">
        <f>[2]DATA!H87</f>
        <v>Program Pembangunan Waduk</v>
      </c>
      <c r="I98" s="10">
        <f>[2]DATA!I87</f>
        <v>8</v>
      </c>
      <c r="J98" s="181"/>
      <c r="K98" s="34"/>
      <c r="L98" s="34"/>
      <c r="M98" s="36">
        <v>67</v>
      </c>
      <c r="N98" s="37" t="str">
        <f>[2]DATA!J87</f>
        <v>Kuwil Kawangkoan Dam Construction Project</v>
      </c>
      <c r="O98" s="20">
        <f>[2]DATA!O87</f>
        <v>1</v>
      </c>
      <c r="P98" s="20">
        <f>[2]DATA!P87</f>
        <v>1</v>
      </c>
      <c r="Q98" s="186">
        <f>[2]DATA!Q87</f>
        <v>64</v>
      </c>
      <c r="R98" s="187">
        <f>[2]DATA!R87</f>
        <v>110000000</v>
      </c>
      <c r="S98" s="78" t="str">
        <f>[2]DATA!W87</f>
        <v>Rupiah Murni</v>
      </c>
      <c r="T98" s="77">
        <f>[2]DATA!Z87</f>
        <v>110000000</v>
      </c>
      <c r="U98" s="77">
        <v>0</v>
      </c>
      <c r="V98" s="216" t="str">
        <f>[2]DATA!W87</f>
        <v>Rupiah Murni</v>
      </c>
      <c r="W98" s="245">
        <f>[2]DATA!AN87</f>
        <v>110000000</v>
      </c>
      <c r="X98" s="109" t="str">
        <f>[2]DATA!AO87</f>
        <v>Rupiah Murni</v>
      </c>
      <c r="Y98" s="246" t="str">
        <f>[2]DATA!AP87</f>
        <v>-</v>
      </c>
      <c r="Z98" s="2408" t="s">
        <v>608</v>
      </c>
      <c r="AA98" s="2408" t="s">
        <v>729</v>
      </c>
      <c r="AB98" s="2409" t="s">
        <v>1124</v>
      </c>
    </row>
    <row r="99" spans="1:28" ht="42.75" customHeight="1">
      <c r="A99" s="10">
        <f>[2]DATA!A88</f>
        <v>74</v>
      </c>
      <c r="B99" s="10">
        <f>[2]DATA!B88</f>
        <v>0</v>
      </c>
      <c r="C99" s="10" t="str">
        <f>[2]DATA!C88</f>
        <v>INFRASTRUKTUR</v>
      </c>
      <c r="D99" s="10">
        <f>[2]DATA!D88</f>
        <v>1</v>
      </c>
      <c r="E99" s="10" t="str">
        <f>[2]DATA!E88</f>
        <v>Kementerian Pekerjaan Umum dan Perumahan Rakyat</v>
      </c>
      <c r="F99" s="10" t="str">
        <f>[2]DATA!F88</f>
        <v>Dam Development Program</v>
      </c>
      <c r="G99" s="10" t="str">
        <f>[2]DATA!G88</f>
        <v>J</v>
      </c>
      <c r="H99" s="10" t="str">
        <f>[2]DATA!H88</f>
        <v>Program Pembangunan Waduk</v>
      </c>
      <c r="I99" s="10">
        <f>[2]DATA!I88</f>
        <v>9</v>
      </c>
      <c r="J99" s="181"/>
      <c r="K99" s="34"/>
      <c r="L99" s="34"/>
      <c r="M99" s="36">
        <v>68</v>
      </c>
      <c r="N99" s="37" t="str">
        <f>[2]DATA!J88</f>
        <v>Lompatan Harimau Dam Construction Project (Rokan Kiri Dam Construction Project)</v>
      </c>
      <c r="O99" s="20">
        <f>[2]DATA!O88</f>
        <v>1</v>
      </c>
      <c r="P99" s="20">
        <f>[2]DATA!P88</f>
        <v>1</v>
      </c>
      <c r="Q99" s="186">
        <f>[2]DATA!Q88</f>
        <v>65</v>
      </c>
      <c r="R99" s="187">
        <f>[2]DATA!R88</f>
        <v>152100000</v>
      </c>
      <c r="S99" s="78" t="str">
        <f>[2]DATA!W88</f>
        <v>RRT</v>
      </c>
      <c r="T99" s="77">
        <f>[2]DATA!Z88</f>
        <v>152100000</v>
      </c>
      <c r="U99" s="77">
        <v>0</v>
      </c>
      <c r="V99" s="216" t="str">
        <f>[2]DATA!W88</f>
        <v>RRT</v>
      </c>
      <c r="W99" s="245">
        <f>[2]DATA!AN88</f>
        <v>152100000</v>
      </c>
      <c r="X99" s="109" t="str">
        <f>[2]DATA!AO88</f>
        <v>RRT</v>
      </c>
      <c r="Y99" s="246" t="str">
        <f>[2]DATA!AP88</f>
        <v>-</v>
      </c>
      <c r="Z99" s="2408" t="s">
        <v>675</v>
      </c>
      <c r="AA99" s="2408" t="s">
        <v>729</v>
      </c>
      <c r="AB99" s="2408"/>
    </row>
    <row r="100" spans="1:28" ht="29.25" customHeight="1">
      <c r="J100" s="181"/>
      <c r="K100" s="34"/>
      <c r="L100" s="34"/>
      <c r="M100" s="3390">
        <v>69</v>
      </c>
      <c r="N100" s="3393" t="str">
        <f>[2]DATA!J90</f>
        <v>Engineering Service for Dam Multipurpose Development Project</v>
      </c>
      <c r="O100" s="20">
        <f>[2]DATA!O90</f>
        <v>0.33333333333333298</v>
      </c>
      <c r="P100" s="20">
        <f>[2]DATA!P90</f>
        <v>0</v>
      </c>
      <c r="Q100" s="186">
        <f>[2]DATA!Q90</f>
        <v>66</v>
      </c>
      <c r="R100" s="3403">
        <f>[2]DATA!R89</f>
        <v>100000000</v>
      </c>
      <c r="S100" s="78" t="str">
        <f>[2]DATA!W90</f>
        <v>ADB</v>
      </c>
      <c r="T100" s="77">
        <f>[2]DATA!Z90</f>
        <v>1930000</v>
      </c>
      <c r="U100" s="77">
        <v>0</v>
      </c>
      <c r="V100" s="216" t="str">
        <f>[2]DATA!W90</f>
        <v>ADB</v>
      </c>
      <c r="W100" s="245">
        <f>[2]DATA!AN90</f>
        <v>1930000</v>
      </c>
      <c r="X100" s="109" t="str">
        <f>[2]DATA!AO90</f>
        <v>ADB</v>
      </c>
      <c r="Y100" s="246" t="str">
        <f>[2]DATA!AP90</f>
        <v>-</v>
      </c>
      <c r="Z100" s="3411" t="s">
        <v>568</v>
      </c>
      <c r="AA100" s="3411" t="s">
        <v>645</v>
      </c>
      <c r="AB100" s="3411"/>
    </row>
    <row r="101" spans="1:28" ht="25.5" customHeight="1">
      <c r="J101" s="181"/>
      <c r="K101" s="34"/>
      <c r="L101" s="34"/>
      <c r="M101" s="3392"/>
      <c r="N101" s="3397"/>
      <c r="O101" s="20"/>
      <c r="P101" s="20"/>
      <c r="Q101" s="186"/>
      <c r="R101" s="3405"/>
      <c r="S101" s="78" t="str">
        <f>[2]DATA!W91</f>
        <v>Korea</v>
      </c>
      <c r="T101" s="77">
        <f>[2]DATA!Z91</f>
        <v>21678596</v>
      </c>
      <c r="U101" s="77">
        <v>0</v>
      </c>
      <c r="V101" s="216" t="str">
        <f>[2]DATA!W91</f>
        <v>Korea</v>
      </c>
      <c r="W101" s="245">
        <f>[2]DATA!AN91</f>
        <v>21678596</v>
      </c>
      <c r="X101" s="109" t="str">
        <f>[2]DATA!AO91</f>
        <v>Korea</v>
      </c>
      <c r="Y101" s="246" t="str">
        <f>[2]DATA!AP91</f>
        <v>masuk rolling plan EDCF (Korea)</v>
      </c>
      <c r="Z101" s="3412"/>
      <c r="AA101" s="3412"/>
      <c r="AB101" s="3412"/>
    </row>
    <row r="102" spans="1:28" ht="25.5" customHeight="1">
      <c r="J102" s="181"/>
      <c r="K102" s="34"/>
      <c r="L102" s="34"/>
      <c r="M102" s="3391"/>
      <c r="N102" s="3394"/>
      <c r="O102" s="20"/>
      <c r="P102" s="20"/>
      <c r="Q102" s="186"/>
      <c r="R102" s="3404"/>
      <c r="S102" s="78" t="str">
        <f>[2]DATA!W92</f>
        <v>Belum Ada Indikasi</v>
      </c>
      <c r="T102" s="77">
        <v>0</v>
      </c>
      <c r="U102" s="77">
        <f>[2]DATA!Z92</f>
        <v>76391404</v>
      </c>
      <c r="V102" s="216" t="str">
        <f>[2]DATA!W92</f>
        <v>Belum Ada Indikasi</v>
      </c>
      <c r="W102" s="245">
        <f>[2]DATA!AN92</f>
        <v>76391404</v>
      </c>
      <c r="X102" s="109" t="str">
        <f>[2]DATA!AO92</f>
        <v>Belum Ada Indikasi</v>
      </c>
      <c r="Y102" s="246" t="str">
        <f>[2]DATA!AP92</f>
        <v>-</v>
      </c>
      <c r="Z102" s="3413"/>
      <c r="AA102" s="3413"/>
      <c r="AB102" s="3413"/>
    </row>
    <row r="103" spans="1:28" ht="42.75" customHeight="1">
      <c r="A103" s="10">
        <f>[2]DATA!A93</f>
        <v>76</v>
      </c>
      <c r="B103" s="10">
        <f>[2]DATA!B93</f>
        <v>0</v>
      </c>
      <c r="C103" s="10" t="str">
        <f>[2]DATA!C93</f>
        <v>INFRASTRUKTUR</v>
      </c>
      <c r="D103" s="10">
        <f>[2]DATA!D93</f>
        <v>1</v>
      </c>
      <c r="E103" s="10" t="str">
        <f>[2]DATA!E93</f>
        <v>Kementerian Pekerjaan Umum dan Perumahan Rakyat</v>
      </c>
      <c r="F103" s="10" t="str">
        <f>[2]DATA!F93</f>
        <v>Dam Development Program</v>
      </c>
      <c r="G103" s="10" t="str">
        <f>[2]DATA!G93</f>
        <v>J</v>
      </c>
      <c r="H103" s="10" t="str">
        <f>[2]DATA!H93</f>
        <v>Program Pembangunan Waduk</v>
      </c>
      <c r="I103" s="10">
        <f>[2]DATA!I93</f>
        <v>11</v>
      </c>
      <c r="J103" s="181"/>
      <c r="K103" s="34"/>
      <c r="L103" s="54"/>
      <c r="M103" s="36">
        <v>70</v>
      </c>
      <c r="N103" s="37" t="str">
        <f>[2]DATA!J93</f>
        <v>Additional Loan for Jatigede Dam Project 2</v>
      </c>
      <c r="O103" s="20">
        <f>[2]DATA!O93</f>
        <v>1</v>
      </c>
      <c r="P103" s="20">
        <f>[2]DATA!P93</f>
        <v>1</v>
      </c>
      <c r="Q103" s="186">
        <f>[2]DATA!Q93</f>
        <v>67</v>
      </c>
      <c r="R103" s="187">
        <f>[2]DATA!R93</f>
        <v>53200000</v>
      </c>
      <c r="S103" s="78" t="str">
        <f>[2]DATA!W93</f>
        <v>RRT</v>
      </c>
      <c r="T103" s="77">
        <f>[2]DATA!Z93</f>
        <v>53200000</v>
      </c>
      <c r="U103" s="77">
        <v>0</v>
      </c>
      <c r="V103" s="216" t="str">
        <f>[2]DATA!W93</f>
        <v>RRT</v>
      </c>
      <c r="W103" s="245">
        <f>[2]DATA!AN93</f>
        <v>53200000</v>
      </c>
      <c r="X103" s="109" t="str">
        <f>[2]DATA!AO93</f>
        <v>RRT</v>
      </c>
      <c r="Y103" s="246" t="str">
        <f>[2]DATA!AP93</f>
        <v>-</v>
      </c>
      <c r="Z103" s="2408" t="s">
        <v>614</v>
      </c>
      <c r="AA103" s="2408" t="s">
        <v>654</v>
      </c>
      <c r="AB103" s="2408"/>
    </row>
    <row r="104" spans="1:28" s="5" customFormat="1" ht="33.75" customHeight="1">
      <c r="J104" s="180"/>
      <c r="K104" s="50"/>
      <c r="L104" s="30" t="str">
        <f>[2]DATA!G94</f>
        <v>K</v>
      </c>
      <c r="M104" s="31" t="str">
        <f>[2]DATA!H94</f>
        <v>Program Mitigasi Terhadap Daya Rusak Air</v>
      </c>
      <c r="N104" s="51"/>
      <c r="O104" s="31"/>
      <c r="P104" s="31"/>
      <c r="Q104" s="196"/>
      <c r="R104" s="197">
        <f>+R105+R106+R107+R108+R109+R110+R111+R112</f>
        <v>1152636000</v>
      </c>
      <c r="S104" s="81"/>
      <c r="T104" s="81">
        <f>+T105+T106+T107+T108+T109+T110+T111+T112</f>
        <v>952636000</v>
      </c>
      <c r="U104" s="81">
        <f>+U105+U106+U107+U108+U109+U110+U111+U112</f>
        <v>200000000</v>
      </c>
      <c r="V104" s="214"/>
      <c r="W104" s="244">
        <f>+W105+W106+W107+W108+W109+W110+W111+W112</f>
        <v>1152636000</v>
      </c>
      <c r="X104" s="81" t="s">
        <v>21</v>
      </c>
      <c r="Y104" s="229"/>
      <c r="Z104" s="2407"/>
      <c r="AA104" s="2407"/>
      <c r="AB104" s="2407"/>
    </row>
    <row r="105" spans="1:28" ht="32.25" customHeight="1">
      <c r="A105" s="10">
        <f>[2]DATA!A94</f>
        <v>77</v>
      </c>
      <c r="B105" s="10">
        <f>[2]DATA!B94</f>
        <v>0</v>
      </c>
      <c r="C105" s="10" t="str">
        <f>[2]DATA!C94</f>
        <v>INFRASTRUKTUR</v>
      </c>
      <c r="D105" s="10">
        <f>[2]DATA!D94</f>
        <v>1</v>
      </c>
      <c r="E105" s="10" t="str">
        <f>[2]DATA!E94</f>
        <v>Kementerian Pekerjaan Umum dan Perumahan Rakyat</v>
      </c>
      <c r="F105" s="10" t="str">
        <f>[2]DATA!F94</f>
        <v>Mitigation of Water Hazards Program</v>
      </c>
      <c r="G105" s="10" t="str">
        <f>[2]DATA!G94</f>
        <v>K</v>
      </c>
      <c r="H105" s="10" t="str">
        <f>[2]DATA!H94</f>
        <v>Program Mitigasi Terhadap Daya Rusak Air</v>
      </c>
      <c r="I105" s="10">
        <f>[2]DATA!I94</f>
        <v>1</v>
      </c>
      <c r="J105" s="181"/>
      <c r="K105" s="34"/>
      <c r="L105" s="35"/>
      <c r="M105" s="36">
        <v>71</v>
      </c>
      <c r="N105" s="37" t="str">
        <f>[2]DATA!J94</f>
        <v>Lower Solo River Improvement Project - Phase II</v>
      </c>
      <c r="O105" s="20">
        <f>[2]DATA!O94</f>
        <v>1</v>
      </c>
      <c r="P105" s="20">
        <f>[2]DATA!P94</f>
        <v>1</v>
      </c>
      <c r="Q105" s="186">
        <f>[2]DATA!Q94</f>
        <v>68</v>
      </c>
      <c r="R105" s="187">
        <f>[2]DATA!R94</f>
        <v>155836000</v>
      </c>
      <c r="S105" s="78" t="str">
        <f>[2]DATA!W94</f>
        <v>JICA</v>
      </c>
      <c r="T105" s="77">
        <f>[2]DATA!Z94</f>
        <v>155836000</v>
      </c>
      <c r="U105" s="77">
        <v>0</v>
      </c>
      <c r="V105" s="216" t="str">
        <f>[2]DATA!W94</f>
        <v>JICA</v>
      </c>
      <c r="W105" s="245">
        <f>[2]DATA!AN94</f>
        <v>155836000</v>
      </c>
      <c r="X105" s="109" t="str">
        <f>[2]DATA!AO94</f>
        <v>JICA</v>
      </c>
      <c r="Y105" s="246" t="str">
        <f>[2]DATA!AP94</f>
        <v>-</v>
      </c>
      <c r="Z105" s="2408" t="s">
        <v>568</v>
      </c>
      <c r="AA105" s="2408" t="s">
        <v>729</v>
      </c>
      <c r="AB105" s="2408"/>
    </row>
    <row r="106" spans="1:28" ht="42" customHeight="1">
      <c r="A106" s="10">
        <f>[2]DATA!A95</f>
        <v>78</v>
      </c>
      <c r="B106" s="10">
        <f>[2]DATA!B95</f>
        <v>0</v>
      </c>
      <c r="C106" s="10" t="str">
        <f>[2]DATA!C95</f>
        <v>INFRASTRUKTUR</v>
      </c>
      <c r="D106" s="10">
        <f>[2]DATA!D95</f>
        <v>1</v>
      </c>
      <c r="E106" s="10" t="str">
        <f>[2]DATA!E95</f>
        <v>Kementerian Pekerjaan Umum dan Perumahan Rakyat</v>
      </c>
      <c r="F106" s="10" t="str">
        <f>[2]DATA!F95</f>
        <v>Mitigation of Water Hazards Program</v>
      </c>
      <c r="G106" s="10" t="str">
        <f>[2]DATA!G95</f>
        <v>K</v>
      </c>
      <c r="H106" s="10" t="str">
        <f>[2]DATA!H95</f>
        <v>Program Mitigasi Terhadap Daya Rusak Air</v>
      </c>
      <c r="I106" s="10">
        <f>[2]DATA!I95</f>
        <v>2</v>
      </c>
      <c r="J106" s="181"/>
      <c r="K106" s="34"/>
      <c r="L106" s="34"/>
      <c r="M106" s="36">
        <v>72</v>
      </c>
      <c r="N106" s="37" t="str">
        <f>[2]DATA!J95</f>
        <v>Comprehensive Countermeasure for Sediment &amp; Flood Problems in South Sulawesi Province</v>
      </c>
      <c r="O106" s="20">
        <f>[2]DATA!O95</f>
        <v>1</v>
      </c>
      <c r="P106" s="20">
        <f>[2]DATA!P95</f>
        <v>1</v>
      </c>
      <c r="Q106" s="186">
        <f>[2]DATA!Q95</f>
        <v>69</v>
      </c>
      <c r="R106" s="187">
        <f>[2]DATA!R95</f>
        <v>108100000</v>
      </c>
      <c r="S106" s="78" t="str">
        <f>[2]DATA!W95</f>
        <v>JICA</v>
      </c>
      <c r="T106" s="77">
        <f>[2]DATA!Z95</f>
        <v>108100000</v>
      </c>
      <c r="U106" s="77">
        <v>0</v>
      </c>
      <c r="V106" s="216" t="str">
        <f>[2]DATA!W95</f>
        <v>JICA</v>
      </c>
      <c r="W106" s="245">
        <f>[2]DATA!AN95</f>
        <v>108100000</v>
      </c>
      <c r="X106" s="109" t="str">
        <f>[2]DATA!AO95</f>
        <v>JICA</v>
      </c>
      <c r="Y106" s="246" t="str">
        <f>[2]DATA!AP95</f>
        <v>-</v>
      </c>
      <c r="Z106" s="2408" t="s">
        <v>614</v>
      </c>
      <c r="AA106" s="2408" t="s">
        <v>603</v>
      </c>
      <c r="AB106" s="2408"/>
    </row>
    <row r="107" spans="1:28" ht="35.25" customHeight="1">
      <c r="A107" s="10">
        <f>[2]DATA!A96</f>
        <v>79</v>
      </c>
      <c r="B107" s="10">
        <f>[2]DATA!B96</f>
        <v>0</v>
      </c>
      <c r="C107" s="10" t="str">
        <f>[2]DATA!C96</f>
        <v>INFRASTRUKTUR</v>
      </c>
      <c r="D107" s="10">
        <f>[2]DATA!D96</f>
        <v>1</v>
      </c>
      <c r="E107" s="10" t="str">
        <f>[2]DATA!E96</f>
        <v>Kementerian Pekerjaan Umum dan Perumahan Rakyat</v>
      </c>
      <c r="F107" s="10" t="str">
        <f>[2]DATA!F96</f>
        <v>Mitigation of Water Hazards Program</v>
      </c>
      <c r="G107" s="10" t="str">
        <f>[2]DATA!G96</f>
        <v>K</v>
      </c>
      <c r="H107" s="10" t="str">
        <f>[2]DATA!H96</f>
        <v>Program Mitigasi Terhadap Daya Rusak Air</v>
      </c>
      <c r="I107" s="10">
        <f>[2]DATA!I96</f>
        <v>3</v>
      </c>
      <c r="J107" s="181"/>
      <c r="K107" s="34"/>
      <c r="L107" s="34"/>
      <c r="M107" s="36">
        <v>73</v>
      </c>
      <c r="N107" s="37" t="str">
        <f>[2]DATA!J96</f>
        <v>Bali Beach Conservation Project - Phase II</v>
      </c>
      <c r="O107" s="20">
        <f>[2]DATA!O96</f>
        <v>1</v>
      </c>
      <c r="P107" s="20">
        <f>[2]DATA!P96</f>
        <v>1</v>
      </c>
      <c r="Q107" s="186">
        <f>[2]DATA!Q96</f>
        <v>70</v>
      </c>
      <c r="R107" s="187">
        <f>[2]DATA!R96</f>
        <v>150000000</v>
      </c>
      <c r="S107" s="78" t="str">
        <f>[2]DATA!W96</f>
        <v>JICA</v>
      </c>
      <c r="T107" s="77">
        <f>[2]DATA!Z96</f>
        <v>150000000</v>
      </c>
      <c r="U107" s="77">
        <v>0</v>
      </c>
      <c r="V107" s="216" t="str">
        <f>[2]DATA!W96</f>
        <v>JICA</v>
      </c>
      <c r="W107" s="245">
        <f>[2]DATA!AN96</f>
        <v>150000000</v>
      </c>
      <c r="X107" s="109" t="str">
        <f>[2]DATA!AO96</f>
        <v>JICA</v>
      </c>
      <c r="Y107" s="246" t="str">
        <f>[2]DATA!AP96</f>
        <v>-</v>
      </c>
      <c r="Z107" s="2408" t="s">
        <v>675</v>
      </c>
      <c r="AA107" s="2408" t="s">
        <v>603</v>
      </c>
      <c r="AB107" s="2408"/>
    </row>
    <row r="108" spans="1:28" ht="40.5" customHeight="1">
      <c r="A108" s="10">
        <f>[2]DATA!A97</f>
        <v>80</v>
      </c>
      <c r="B108" s="10">
        <f>[2]DATA!B97</f>
        <v>0</v>
      </c>
      <c r="C108" s="10" t="str">
        <f>[2]DATA!C97</f>
        <v>INFRASTRUKTUR</v>
      </c>
      <c r="D108" s="10">
        <f>[2]DATA!D97</f>
        <v>1</v>
      </c>
      <c r="E108" s="10" t="str">
        <f>[2]DATA!E97</f>
        <v>Kementerian Pekerjaan Umum dan Perumahan Rakyat</v>
      </c>
      <c r="F108" s="10" t="str">
        <f>[2]DATA!F97</f>
        <v>Mitigation of Water Hazards Program</v>
      </c>
      <c r="G108" s="10" t="str">
        <f>[2]DATA!G97</f>
        <v>K</v>
      </c>
      <c r="H108" s="10" t="str">
        <f>[2]DATA!H97</f>
        <v>Program Mitigasi Terhadap Daya Rusak Air</v>
      </c>
      <c r="I108" s="10">
        <f>[2]DATA!I97</f>
        <v>4</v>
      </c>
      <c r="J108" s="181"/>
      <c r="K108" s="34"/>
      <c r="L108" s="34"/>
      <c r="M108" s="36">
        <v>74</v>
      </c>
      <c r="N108" s="37" t="str">
        <f>[2]DATA!J97</f>
        <v>Urgent Disaster Reduction of Mt. Sinabung, Mt. Semeru, Mt. Kelud Mt. Lokon, and Mt. Gamalama</v>
      </c>
      <c r="O108" s="20">
        <f>[2]DATA!O97</f>
        <v>1</v>
      </c>
      <c r="P108" s="20">
        <f>[2]DATA!P97</f>
        <v>1</v>
      </c>
      <c r="Q108" s="186">
        <f>[2]DATA!Q97</f>
        <v>71</v>
      </c>
      <c r="R108" s="187">
        <f>[2]DATA!R97</f>
        <v>260000000</v>
      </c>
      <c r="S108" s="78" t="str">
        <f>[2]DATA!W97</f>
        <v>JICA</v>
      </c>
      <c r="T108" s="77">
        <f>[2]DATA!Z97</f>
        <v>260000000</v>
      </c>
      <c r="U108" s="77">
        <v>0</v>
      </c>
      <c r="V108" s="216" t="str">
        <f>[2]DATA!W97</f>
        <v>JICA</v>
      </c>
      <c r="W108" s="245">
        <f>[2]DATA!AN97</f>
        <v>260000000</v>
      </c>
      <c r="X108" s="109" t="str">
        <f>[2]DATA!AO97</f>
        <v>JICA</v>
      </c>
      <c r="Y108" s="246" t="str">
        <f>[2]DATA!AP97</f>
        <v>-</v>
      </c>
      <c r="Z108" s="2408" t="s">
        <v>568</v>
      </c>
      <c r="AA108" s="2408" t="s">
        <v>654</v>
      </c>
      <c r="AB108" s="2408"/>
    </row>
    <row r="109" spans="1:28" ht="42.75" customHeight="1">
      <c r="A109" s="10">
        <f>[2]DATA!A98</f>
        <v>81</v>
      </c>
      <c r="B109" s="10">
        <f>[2]DATA!B98</f>
        <v>0</v>
      </c>
      <c r="C109" s="10" t="str">
        <f>[2]DATA!C98</f>
        <v>INFRASTRUKTUR</v>
      </c>
      <c r="D109" s="10">
        <f>[2]DATA!D98</f>
        <v>1</v>
      </c>
      <c r="E109" s="10" t="str">
        <f>[2]DATA!E98</f>
        <v>Kementerian Pekerjaan Umum dan Perumahan Rakyat</v>
      </c>
      <c r="F109" s="10" t="str">
        <f>[2]DATA!F98</f>
        <v>Mitigation of Water Hazards Program</v>
      </c>
      <c r="G109" s="10" t="str">
        <f>[2]DATA!G98</f>
        <v>K</v>
      </c>
      <c r="H109" s="10" t="str">
        <f>[2]DATA!H98</f>
        <v>Program Mitigasi Terhadap Daya Rusak Air</v>
      </c>
      <c r="I109" s="10">
        <f>[2]DATA!I98</f>
        <v>5</v>
      </c>
      <c r="J109" s="181"/>
      <c r="K109" s="34"/>
      <c r="L109" s="34"/>
      <c r="M109" s="36">
        <v>75</v>
      </c>
      <c r="N109" s="37" t="str">
        <f>[2]DATA!J98</f>
        <v>Urban Flood Control System Improvement in Selected Cities -Phase II</v>
      </c>
      <c r="O109" s="20">
        <f>[2]DATA!O98</f>
        <v>1</v>
      </c>
      <c r="P109" s="20">
        <f>[2]DATA!P98</f>
        <v>1</v>
      </c>
      <c r="Q109" s="186">
        <f>[2]DATA!Q98</f>
        <v>72</v>
      </c>
      <c r="R109" s="187">
        <f>[2]DATA!R98</f>
        <v>120000000</v>
      </c>
      <c r="S109" s="78" t="str">
        <f>[2]DATA!W98</f>
        <v>JICA</v>
      </c>
      <c r="T109" s="77">
        <f>[2]DATA!Z98</f>
        <v>120000000</v>
      </c>
      <c r="U109" s="77">
        <v>0</v>
      </c>
      <c r="V109" s="216" t="str">
        <f>[2]DATA!W98</f>
        <v>JICA</v>
      </c>
      <c r="W109" s="245">
        <f>[2]DATA!AN98</f>
        <v>120000000</v>
      </c>
      <c r="X109" s="109" t="str">
        <f>[2]DATA!AO98</f>
        <v>JICA</v>
      </c>
      <c r="Y109" s="246" t="str">
        <f>[2]DATA!AP98</f>
        <v>-</v>
      </c>
      <c r="Z109" s="2408" t="s">
        <v>568</v>
      </c>
      <c r="AA109" s="2408" t="s">
        <v>729</v>
      </c>
      <c r="AB109" s="2408"/>
    </row>
    <row r="110" spans="1:28" ht="46.5" customHeight="1">
      <c r="A110" s="10">
        <f>[2]DATA!A99</f>
        <v>82</v>
      </c>
      <c r="B110" s="10">
        <f>[2]DATA!B99</f>
        <v>0</v>
      </c>
      <c r="C110" s="10" t="str">
        <f>[2]DATA!C99</f>
        <v>INFRASTRUKTUR</v>
      </c>
      <c r="D110" s="10">
        <f>[2]DATA!D99</f>
        <v>1</v>
      </c>
      <c r="E110" s="10" t="str">
        <f>[2]DATA!E99</f>
        <v>Kementerian Pekerjaan Umum dan Perumahan Rakyat</v>
      </c>
      <c r="F110" s="10" t="str">
        <f>[2]DATA!F99</f>
        <v>Mitigation of Water Hazards Program</v>
      </c>
      <c r="G110" s="10" t="str">
        <f>[2]DATA!G99</f>
        <v>K</v>
      </c>
      <c r="H110" s="10" t="str">
        <f>[2]DATA!H99</f>
        <v>Program Mitigasi Terhadap Daya Rusak Air</v>
      </c>
      <c r="I110" s="10">
        <f>[2]DATA!I99</f>
        <v>6</v>
      </c>
      <c r="J110" s="181"/>
      <c r="K110" s="34"/>
      <c r="L110" s="34"/>
      <c r="M110" s="36">
        <v>76</v>
      </c>
      <c r="N110" s="37" t="str">
        <f>[2]DATA!J99</f>
        <v>Engineering Service for Coastal and River Development Project</v>
      </c>
      <c r="O110" s="20">
        <f>[2]DATA!O99</f>
        <v>1</v>
      </c>
      <c r="P110" s="20">
        <f>[2]DATA!P99</f>
        <v>1</v>
      </c>
      <c r="Q110" s="186">
        <f>[2]DATA!Q99</f>
        <v>73</v>
      </c>
      <c r="R110" s="187">
        <f>[2]DATA!R99</f>
        <v>50000000</v>
      </c>
      <c r="S110" s="78" t="str">
        <f>[2]DATA!W99</f>
        <v>ADB</v>
      </c>
      <c r="T110" s="77">
        <f>[2]DATA!Z99</f>
        <v>50000000</v>
      </c>
      <c r="U110" s="77">
        <v>0</v>
      </c>
      <c r="V110" s="216" t="str">
        <f>[2]DATA!W99</f>
        <v>ADB</v>
      </c>
      <c r="W110" s="245">
        <f>[2]DATA!AN99</f>
        <v>50000000</v>
      </c>
      <c r="X110" s="109" t="str">
        <f>[2]DATA!AO99</f>
        <v>ADB</v>
      </c>
      <c r="Y110" s="246" t="str">
        <f>[2]DATA!AP99</f>
        <v>masuk rolling plan EDCF (Korea)</v>
      </c>
      <c r="Z110" s="2408" t="s">
        <v>568</v>
      </c>
      <c r="AA110" s="2408" t="s">
        <v>645</v>
      </c>
      <c r="AB110" s="2408"/>
    </row>
    <row r="111" spans="1:28" ht="42.75" customHeight="1">
      <c r="A111" s="10">
        <f>[2]DATA!A101</f>
        <v>83</v>
      </c>
      <c r="B111" s="10">
        <f>[2]DATA!B101</f>
        <v>0</v>
      </c>
      <c r="C111" s="10" t="str">
        <f>[2]DATA!C101</f>
        <v>INFRASTRUKTUR</v>
      </c>
      <c r="D111" s="10">
        <f>[2]DATA!D101</f>
        <v>1</v>
      </c>
      <c r="E111" s="10" t="str">
        <f>[2]DATA!E101</f>
        <v>Kementerian Pekerjaan Umum dan Perumahan Rakyat</v>
      </c>
      <c r="F111" s="10" t="str">
        <f>[2]DATA!F101</f>
        <v>Mitigation of Water Hazards Program</v>
      </c>
      <c r="G111" s="10" t="str">
        <f>[2]DATA!G101</f>
        <v>K</v>
      </c>
      <c r="H111" s="10" t="str">
        <f>[2]DATA!H101</f>
        <v>Program Mitigasi Terhadap Daya Rusak Air</v>
      </c>
      <c r="I111" s="10">
        <f>[2]DATA!I101</f>
        <v>7</v>
      </c>
      <c r="J111" s="181"/>
      <c r="K111" s="34"/>
      <c r="L111" s="34"/>
      <c r="M111" s="36">
        <v>77</v>
      </c>
      <c r="N111" s="37" t="str">
        <f>[2]DATA!J101</f>
        <v>Flood Management in Selected River Basins Sector Project (Additional Financing)</v>
      </c>
      <c r="O111" s="20">
        <f>[2]DATA!O101</f>
        <v>1</v>
      </c>
      <c r="P111" s="20">
        <f>[2]DATA!P101</f>
        <v>1</v>
      </c>
      <c r="Q111" s="186">
        <f>[2]DATA!Q101</f>
        <v>74</v>
      </c>
      <c r="R111" s="187">
        <f>[2]DATA!R101</f>
        <v>200000000</v>
      </c>
      <c r="S111" s="78" t="str">
        <f>[2]DATA!W101</f>
        <v>Belum Ada Indikasi</v>
      </c>
      <c r="T111" s="77">
        <v>0</v>
      </c>
      <c r="U111" s="77">
        <f>[2]DATA!Z101</f>
        <v>200000000</v>
      </c>
      <c r="V111" s="216" t="str">
        <f>[2]DATA!W101</f>
        <v>Belum Ada Indikasi</v>
      </c>
      <c r="W111" s="245">
        <f>[2]DATA!AN101</f>
        <v>200000000</v>
      </c>
      <c r="X111" s="109" t="str">
        <f>[2]DATA!AO101</f>
        <v>ADB</v>
      </c>
      <c r="Y111" s="246" t="str">
        <f>[2]DATA!AP101</f>
        <v>sudah masuk COBP ADB</v>
      </c>
      <c r="Z111" s="2408" t="s">
        <v>603</v>
      </c>
      <c r="AA111" s="2408" t="s">
        <v>603</v>
      </c>
      <c r="AB111" s="2408"/>
    </row>
    <row r="112" spans="1:28" ht="36" customHeight="1">
      <c r="A112" s="10">
        <f>[2]DATA!A102</f>
        <v>84</v>
      </c>
      <c r="B112" s="10">
        <f>[2]DATA!B102</f>
        <v>0</v>
      </c>
      <c r="C112" s="10" t="str">
        <f>[2]DATA!C102</f>
        <v>INFRASTRUKTUR</v>
      </c>
      <c r="D112" s="10">
        <f>[2]DATA!D102</f>
        <v>1</v>
      </c>
      <c r="E112" s="10" t="str">
        <f>[2]DATA!E102</f>
        <v>Kementerian Pekerjaan Umum dan Perumahan Rakyat</v>
      </c>
      <c r="F112" s="10" t="str">
        <f>[2]DATA!F102</f>
        <v>Mitigation of Water Hazards Program</v>
      </c>
      <c r="G112" s="10" t="str">
        <f>[2]DATA!G102</f>
        <v>K</v>
      </c>
      <c r="H112" s="10" t="str">
        <f>[2]DATA!H102</f>
        <v>Program Mitigasi Terhadap Daya Rusak Air</v>
      </c>
      <c r="I112" s="10">
        <f>[2]DATA!I102</f>
        <v>7</v>
      </c>
      <c r="J112" s="181"/>
      <c r="K112" s="34"/>
      <c r="L112" s="54"/>
      <c r="M112" s="36">
        <v>78</v>
      </c>
      <c r="N112" s="37" t="str">
        <f>[2]DATA!J102</f>
        <v>Flood Management in Selected River Basins</v>
      </c>
      <c r="O112" s="20">
        <f>[2]DATA!O102</f>
        <v>1</v>
      </c>
      <c r="P112" s="20">
        <f>[2]DATA!P102</f>
        <v>1</v>
      </c>
      <c r="Q112" s="186">
        <f>[2]DATA!Q102</f>
        <v>75</v>
      </c>
      <c r="R112" s="187">
        <f>[2]DATA!R102</f>
        <v>108700000</v>
      </c>
      <c r="S112" s="78" t="str">
        <f>[2]DATA!W102</f>
        <v>ADB</v>
      </c>
      <c r="T112" s="77">
        <f>[2]DATA!Z102</f>
        <v>108700000</v>
      </c>
      <c r="U112" s="77">
        <v>0</v>
      </c>
      <c r="V112" s="216" t="str">
        <f>[2]DATA!W102</f>
        <v>ADB</v>
      </c>
      <c r="W112" s="245">
        <f>[2]DATA!AN102</f>
        <v>108700000</v>
      </c>
      <c r="X112" s="109" t="str">
        <f>[2]DATA!AO102</f>
        <v>ADB</v>
      </c>
      <c r="Y112" s="246" t="str">
        <f>[2]DATA!AP102</f>
        <v>-</v>
      </c>
      <c r="Z112" s="2408" t="s">
        <v>614</v>
      </c>
      <c r="AA112" s="2408" t="s">
        <v>654</v>
      </c>
      <c r="AB112" s="2408"/>
    </row>
    <row r="113" spans="1:28" s="5" customFormat="1" ht="33.75" customHeight="1">
      <c r="J113" s="180"/>
      <c r="K113" s="50"/>
      <c r="L113" s="30" t="str">
        <f>[2]DATA!G103</f>
        <v>L</v>
      </c>
      <c r="M113" s="3427" t="str">
        <f>[2]DATA!H103</f>
        <v>Program Pengelolaan Infrastruktur Sumber Daya Air</v>
      </c>
      <c r="N113" s="3428"/>
      <c r="O113" s="31"/>
      <c r="P113" s="31"/>
      <c r="Q113" s="196"/>
      <c r="R113" s="197">
        <f>+R114+R115+R116</f>
        <v>650000000</v>
      </c>
      <c r="S113" s="2494"/>
      <c r="T113" s="81">
        <f t="shared" ref="T113:W113" si="12">+T114+T115+T116</f>
        <v>600000000</v>
      </c>
      <c r="U113" s="81">
        <f t="shared" si="12"/>
        <v>50000000</v>
      </c>
      <c r="V113" s="214"/>
      <c r="W113" s="244">
        <f t="shared" si="12"/>
        <v>650000000</v>
      </c>
      <c r="X113" s="81" t="s">
        <v>21</v>
      </c>
      <c r="Y113" s="229"/>
      <c r="Z113" s="2407"/>
      <c r="AA113" s="2407"/>
      <c r="AB113" s="2407"/>
    </row>
    <row r="114" spans="1:28" ht="45.75" customHeight="1">
      <c r="A114" s="10">
        <f>[2]DATA!A103</f>
        <v>85</v>
      </c>
      <c r="B114" s="10">
        <f>[2]DATA!B103</f>
        <v>0</v>
      </c>
      <c r="C114" s="10" t="str">
        <f>[2]DATA!C103</f>
        <v>INFRASTRUKTUR</v>
      </c>
      <c r="D114" s="10">
        <f>[2]DATA!D103</f>
        <v>1</v>
      </c>
      <c r="E114" s="10" t="str">
        <f>[2]DATA!E103</f>
        <v>Kementerian Pekerjaan Umum dan Perumahan Rakyat</v>
      </c>
      <c r="F114" s="10" t="str">
        <f>[2]DATA!F103</f>
        <v>Management of Water Resources Infrastructure Program</v>
      </c>
      <c r="G114" s="10" t="str">
        <f>[2]DATA!G103</f>
        <v>L</v>
      </c>
      <c r="H114" s="10" t="str">
        <f>[2]DATA!H103</f>
        <v>Program Pengelolaan Infrastruktur Sumber Daya Air</v>
      </c>
      <c r="I114" s="10">
        <f>[2]DATA!I103</f>
        <v>1</v>
      </c>
      <c r="J114" s="181"/>
      <c r="K114" s="34"/>
      <c r="L114" s="35"/>
      <c r="M114" s="36">
        <v>79</v>
      </c>
      <c r="N114" s="37" t="str">
        <f>[2]DATA!J103</f>
        <v>Dam Operational Improvement and Safety Project (DOISP) - Phase II</v>
      </c>
      <c r="O114" s="20">
        <f>[2]DATA!O103</f>
        <v>1</v>
      </c>
      <c r="P114" s="20">
        <f>[2]DATA!P103</f>
        <v>1</v>
      </c>
      <c r="Q114" s="186">
        <f>[2]DATA!Q103</f>
        <v>76</v>
      </c>
      <c r="R114" s="187">
        <f>[2]DATA!R103</f>
        <v>250000000</v>
      </c>
      <c r="S114" s="78" t="str">
        <f>[2]DATA!W103</f>
        <v>Bank Dunia</v>
      </c>
      <c r="T114" s="77">
        <f>[2]DATA!Z103</f>
        <v>250000000</v>
      </c>
      <c r="U114" s="77">
        <v>0</v>
      </c>
      <c r="V114" s="216" t="str">
        <f>[2]DATA!W103</f>
        <v>Bank Dunia</v>
      </c>
      <c r="W114" s="245">
        <f>[2]DATA!AN103</f>
        <v>250000000</v>
      </c>
      <c r="X114" s="109" t="str">
        <f>[2]DATA!AO103</f>
        <v>Bank Dunia</v>
      </c>
      <c r="Y114" s="246" t="str">
        <f>[2]DATA!AP103</f>
        <v>-</v>
      </c>
      <c r="Z114" s="2408" t="s">
        <v>675</v>
      </c>
      <c r="AA114" s="2408" t="s">
        <v>603</v>
      </c>
      <c r="AB114" s="2408"/>
    </row>
    <row r="115" spans="1:28" ht="39.75" customHeight="1">
      <c r="A115" s="10">
        <f>[2]DATA!A104</f>
        <v>86</v>
      </c>
      <c r="B115" s="10">
        <f>[2]DATA!B104</f>
        <v>0</v>
      </c>
      <c r="C115" s="10" t="str">
        <f>[2]DATA!C104</f>
        <v>INFRASTRUKTUR</v>
      </c>
      <c r="D115" s="10">
        <f>[2]DATA!D104</f>
        <v>1</v>
      </c>
      <c r="E115" s="10" t="str">
        <f>[2]DATA!E104</f>
        <v>Kementerian Pekerjaan Umum dan Perumahan Rakyat</v>
      </c>
      <c r="F115" s="10" t="str">
        <f>[2]DATA!F104</f>
        <v>Management of Water Resources Infrastructure Program</v>
      </c>
      <c r="G115" s="10" t="str">
        <f>[2]DATA!G104</f>
        <v>L</v>
      </c>
      <c r="H115" s="10" t="str">
        <f>[2]DATA!H104</f>
        <v>Program Pengelolaan Infrastruktur Sumber Daya Air</v>
      </c>
      <c r="I115" s="10">
        <f>[2]DATA!I104</f>
        <v>2</v>
      </c>
      <c r="J115" s="181"/>
      <c r="K115" s="34"/>
      <c r="L115" s="34"/>
      <c r="M115" s="36">
        <v>80</v>
      </c>
      <c r="N115" s="37" t="str">
        <f>[2]DATA!J104</f>
        <v>Enhanced Water Security Investment Program</v>
      </c>
      <c r="O115" s="20">
        <f>[2]DATA!O104</f>
        <v>1</v>
      </c>
      <c r="P115" s="20">
        <f>[2]DATA!P104</f>
        <v>1</v>
      </c>
      <c r="Q115" s="186">
        <f>[2]DATA!Q104</f>
        <v>77</v>
      </c>
      <c r="R115" s="187">
        <f>[2]DATA!R104</f>
        <v>350000000</v>
      </c>
      <c r="S115" s="78" t="str">
        <f>[2]DATA!W104</f>
        <v>ADB</v>
      </c>
      <c r="T115" s="77">
        <f>[2]DATA!Z104</f>
        <v>350000000</v>
      </c>
      <c r="U115" s="77">
        <v>0</v>
      </c>
      <c r="V115" s="216" t="str">
        <f>[2]DATA!W104</f>
        <v>ADB</v>
      </c>
      <c r="W115" s="245">
        <f>[2]DATA!AN104</f>
        <v>350000000</v>
      </c>
      <c r="X115" s="109" t="str">
        <f>[2]DATA!AO104</f>
        <v>ADB</v>
      </c>
      <c r="Y115" s="246" t="str">
        <f>[2]DATA!AP104</f>
        <v>-</v>
      </c>
      <c r="Z115" s="2408" t="s">
        <v>603</v>
      </c>
      <c r="AA115" s="2408" t="s">
        <v>603</v>
      </c>
      <c r="AB115" s="2408"/>
    </row>
    <row r="116" spans="1:28" ht="44.25" customHeight="1">
      <c r="A116" s="10">
        <f>[2]DATA!A105</f>
        <v>87</v>
      </c>
      <c r="B116" s="10">
        <f>[2]DATA!B105</f>
        <v>0</v>
      </c>
      <c r="C116" s="10" t="str">
        <f>[2]DATA!C105</f>
        <v>INFRASTRUKTUR</v>
      </c>
      <c r="D116" s="10">
        <f>[2]DATA!D105</f>
        <v>1</v>
      </c>
      <c r="E116" s="10" t="str">
        <f>[2]DATA!E105</f>
        <v>Kementerian Pekerjaan Umum dan Perumahan Rakyat</v>
      </c>
      <c r="F116" s="10" t="str">
        <f>[2]DATA!F105</f>
        <v>Management of Water Resources Infrastructure Program</v>
      </c>
      <c r="G116" s="10" t="str">
        <f>[2]DATA!G105</f>
        <v>L</v>
      </c>
      <c r="H116" s="10" t="str">
        <f>[2]DATA!H105</f>
        <v>Program Pengelolaan Infrastruktur Sumber Daya Air</v>
      </c>
      <c r="I116" s="10">
        <f>[2]DATA!I105</f>
        <v>3</v>
      </c>
      <c r="J116" s="181"/>
      <c r="K116" s="34"/>
      <c r="L116" s="54"/>
      <c r="M116" s="36">
        <v>81</v>
      </c>
      <c r="N116" s="37" t="str">
        <f>[2]DATA!J105</f>
        <v>Engineering Service for Water Resources Infrastructure Management</v>
      </c>
      <c r="O116" s="20">
        <f>[2]DATA!O105</f>
        <v>1</v>
      </c>
      <c r="P116" s="20">
        <f>[2]DATA!P105</f>
        <v>1</v>
      </c>
      <c r="Q116" s="186">
        <f>[2]DATA!Q105</f>
        <v>78</v>
      </c>
      <c r="R116" s="187">
        <f>[2]DATA!R105</f>
        <v>50000000</v>
      </c>
      <c r="S116" s="78" t="str">
        <f>[2]DATA!W105</f>
        <v>Belum Ada Indikasi</v>
      </c>
      <c r="T116" s="77">
        <v>0</v>
      </c>
      <c r="U116" s="77">
        <f>[2]DATA!Z105</f>
        <v>50000000</v>
      </c>
      <c r="V116" s="216" t="str">
        <f>[2]DATA!W105</f>
        <v>Belum Ada Indikasi</v>
      </c>
      <c r="W116" s="245">
        <f>[2]DATA!AN105</f>
        <v>50000000</v>
      </c>
      <c r="X116" s="109" t="str">
        <f>[2]DATA!AO105</f>
        <v>ADB</v>
      </c>
      <c r="Y116" s="246" t="str">
        <f>[2]DATA!AP105</f>
        <v>sudah masuk COBP ADB</v>
      </c>
      <c r="Z116" s="2408" t="s">
        <v>603</v>
      </c>
      <c r="AA116" s="2408" t="s">
        <v>603</v>
      </c>
      <c r="AB116" s="2408"/>
    </row>
    <row r="117" spans="1:28" s="5" customFormat="1" ht="33.75" customHeight="1">
      <c r="J117" s="180"/>
      <c r="K117" s="50"/>
      <c r="L117" s="30" t="str">
        <f>[2]DATA!G106</f>
        <v>M</v>
      </c>
      <c r="M117" s="31" t="str">
        <f>[2]DATA!H106</f>
        <v>Program Penyediaaan Perumahan Bagi MBR</v>
      </c>
      <c r="N117" s="51"/>
      <c r="O117" s="31"/>
      <c r="P117" s="31"/>
      <c r="Q117" s="196"/>
      <c r="R117" s="197">
        <f>+R118</f>
        <v>300000000</v>
      </c>
      <c r="S117" s="2494"/>
      <c r="T117" s="81">
        <f t="shared" ref="T117:Y117" si="13">+T118</f>
        <v>300000000</v>
      </c>
      <c r="U117" s="81">
        <f t="shared" si="13"/>
        <v>0</v>
      </c>
      <c r="V117" s="214"/>
      <c r="W117" s="244">
        <f t="shared" si="13"/>
        <v>300000000</v>
      </c>
      <c r="X117" s="81" t="s">
        <v>21</v>
      </c>
      <c r="Y117" s="229" t="str">
        <f t="shared" si="13"/>
        <v>-</v>
      </c>
      <c r="Z117" s="2407"/>
      <c r="AA117" s="2407"/>
      <c r="AB117" s="2407"/>
    </row>
    <row r="118" spans="1:28" ht="45.75" customHeight="1">
      <c r="A118" s="10">
        <f>[2]DATA!A106</f>
        <v>88</v>
      </c>
      <c r="B118" s="10">
        <f>[2]DATA!B106</f>
        <v>0</v>
      </c>
      <c r="C118" s="10" t="str">
        <f>[2]DATA!C106</f>
        <v>INFRASTRUKTUR</v>
      </c>
      <c r="D118" s="10">
        <f>[2]DATA!D106</f>
        <v>1</v>
      </c>
      <c r="E118" s="10" t="str">
        <f>[2]DATA!E106</f>
        <v>Kementerian Pekerjaan Umum dan Perumahan Rakyat</v>
      </c>
      <c r="F118" s="10" t="str">
        <f>[2]DATA!F106</f>
        <v>Program for Provision of Housing For Low-Income Households</v>
      </c>
      <c r="G118" s="10" t="str">
        <f>[2]DATA!G106</f>
        <v>M</v>
      </c>
      <c r="H118" s="10" t="str">
        <f>[2]DATA!H106</f>
        <v>Program Penyediaaan Perumahan Bagi MBR</v>
      </c>
      <c r="I118" s="10">
        <f>[2]DATA!I106</f>
        <v>1</v>
      </c>
      <c r="J118" s="181"/>
      <c r="K118" s="54"/>
      <c r="L118" s="20"/>
      <c r="M118" s="36">
        <v>82</v>
      </c>
      <c r="N118" s="37" t="str">
        <f>[2]DATA!J106</f>
        <v>Financial Support for Low Income Households</v>
      </c>
      <c r="O118" s="20">
        <f>[2]DATA!O106</f>
        <v>1</v>
      </c>
      <c r="P118" s="20">
        <f>[2]DATA!P106</f>
        <v>1</v>
      </c>
      <c r="Q118" s="186">
        <f>[2]DATA!Q106</f>
        <v>79</v>
      </c>
      <c r="R118" s="187">
        <f>[2]DATA!R106</f>
        <v>300000000</v>
      </c>
      <c r="S118" s="78" t="str">
        <f>[2]DATA!W106</f>
        <v>Bank Dunia</v>
      </c>
      <c r="T118" s="77">
        <f>[2]DATA!Z106</f>
        <v>300000000</v>
      </c>
      <c r="U118" s="77">
        <v>0</v>
      </c>
      <c r="V118" s="216" t="str">
        <f>[2]DATA!W106</f>
        <v>Bank Dunia</v>
      </c>
      <c r="W118" s="245">
        <f>[2]DATA!AN106</f>
        <v>300000000</v>
      </c>
      <c r="X118" s="109" t="str">
        <f>[2]DATA!AO106</f>
        <v>Bank Dunia</v>
      </c>
      <c r="Y118" s="246" t="str">
        <f>[2]DATA!AP106</f>
        <v>-</v>
      </c>
      <c r="Z118" s="2408" t="s">
        <v>603</v>
      </c>
      <c r="AA118" s="2408" t="s">
        <v>603</v>
      </c>
      <c r="AB118" s="2408"/>
    </row>
    <row r="119" spans="1:28" s="4" customFormat="1" ht="24.95" customHeight="1">
      <c r="J119" s="250"/>
      <c r="K119" s="25">
        <f>[2]DATA!D107</f>
        <v>2</v>
      </c>
      <c r="L119" s="108" t="str">
        <f>[2]DATA!E107</f>
        <v>PERUMNAS</v>
      </c>
      <c r="M119" s="26"/>
      <c r="N119" s="27"/>
      <c r="O119" s="26"/>
      <c r="P119" s="26"/>
      <c r="Q119" s="193"/>
      <c r="R119" s="194">
        <f>+R120</f>
        <v>200000000</v>
      </c>
      <c r="S119" s="2495"/>
      <c r="T119" s="80">
        <f t="shared" ref="T119:Y120" si="14">+T120</f>
        <v>200000000</v>
      </c>
      <c r="U119" s="80">
        <f t="shared" si="14"/>
        <v>0</v>
      </c>
      <c r="V119" s="213">
        <f t="shared" si="14"/>
        <v>0</v>
      </c>
      <c r="W119" s="242">
        <f t="shared" si="14"/>
        <v>200000000</v>
      </c>
      <c r="X119" s="80" t="str">
        <f t="shared" si="14"/>
        <v>-</v>
      </c>
      <c r="Y119" s="227" t="str">
        <f t="shared" si="14"/>
        <v>-</v>
      </c>
      <c r="Z119" s="2413"/>
      <c r="AA119" s="2413"/>
      <c r="AB119" s="2413"/>
    </row>
    <row r="120" spans="1:28" s="5" customFormat="1" ht="33.75" customHeight="1">
      <c r="J120" s="180"/>
      <c r="K120" s="29"/>
      <c r="L120" s="30" t="str">
        <f>[2]DATA!G107</f>
        <v>A</v>
      </c>
      <c r="M120" s="31" t="str">
        <f>[2]DATA!H107</f>
        <v>Program Penyediaaan Perumahan Bagi MBR</v>
      </c>
      <c r="N120" s="51"/>
      <c r="O120" s="31"/>
      <c r="P120" s="31"/>
      <c r="Q120" s="196"/>
      <c r="R120" s="197">
        <f>+R121</f>
        <v>200000000</v>
      </c>
      <c r="S120" s="2494"/>
      <c r="T120" s="81">
        <f t="shared" si="14"/>
        <v>200000000</v>
      </c>
      <c r="U120" s="81">
        <f t="shared" si="14"/>
        <v>0</v>
      </c>
      <c r="V120" s="214"/>
      <c r="W120" s="244">
        <f t="shared" si="14"/>
        <v>200000000</v>
      </c>
      <c r="X120" s="81" t="s">
        <v>21</v>
      </c>
      <c r="Y120" s="229" t="str">
        <f t="shared" si="14"/>
        <v>-</v>
      </c>
      <c r="Z120" s="2407"/>
      <c r="AA120" s="2407"/>
      <c r="AB120" s="2407"/>
    </row>
    <row r="121" spans="1:28" ht="60.75" customHeight="1">
      <c r="A121" s="10">
        <f>[2]DATA!A107</f>
        <v>89</v>
      </c>
      <c r="B121" s="10">
        <f>[2]DATA!B107</f>
        <v>0</v>
      </c>
      <c r="C121" s="10" t="str">
        <f>[2]DATA!C107</f>
        <v>INFRASTRUKTUR</v>
      </c>
      <c r="D121" s="10">
        <f>[2]DATA!D107</f>
        <v>2</v>
      </c>
      <c r="E121" s="10" t="str">
        <f>[2]DATA!E107</f>
        <v>PERUMNAS</v>
      </c>
      <c r="F121" s="10" t="str">
        <f>[2]DATA!F107</f>
        <v>Program for Provision of Housing For Low-Income Households</v>
      </c>
      <c r="G121" s="10" t="str">
        <f>[2]DATA!G107</f>
        <v>A</v>
      </c>
      <c r="H121" s="10" t="str">
        <f>[2]DATA!H107</f>
        <v>Program Penyediaaan Perumahan Bagi MBR</v>
      </c>
      <c r="I121" s="10">
        <f>[2]DATA!I107</f>
        <v>1</v>
      </c>
      <c r="J121" s="181"/>
      <c r="K121" s="54"/>
      <c r="L121" s="20"/>
      <c r="M121" s="36">
        <v>83</v>
      </c>
      <c r="N121" s="37" t="str">
        <f>[2]DATA!J107</f>
        <v>Support for National Housing and Urban Development Cooperation</v>
      </c>
      <c r="O121" s="20">
        <f>[2]DATA!O107</f>
        <v>1</v>
      </c>
      <c r="P121" s="20">
        <f>[2]DATA!P107</f>
        <v>1</v>
      </c>
      <c r="Q121" s="186">
        <f>[2]DATA!Q107</f>
        <v>80</v>
      </c>
      <c r="R121" s="187">
        <f>[2]DATA!R107</f>
        <v>200000000</v>
      </c>
      <c r="S121" s="78" t="str">
        <f>[2]DATA!W107</f>
        <v>JICA</v>
      </c>
      <c r="T121" s="77">
        <f>[2]DATA!Z107</f>
        <v>200000000</v>
      </c>
      <c r="U121" s="77"/>
      <c r="V121" s="216" t="str">
        <f>[2]DATA!W107</f>
        <v>JICA</v>
      </c>
      <c r="W121" s="245">
        <f>[2]DATA!AN107</f>
        <v>200000000</v>
      </c>
      <c r="X121" s="109" t="str">
        <f>[2]DATA!AO107</f>
        <v>JICA</v>
      </c>
      <c r="Y121" s="246" t="str">
        <f>[2]DATA!AP107</f>
        <v>-</v>
      </c>
      <c r="Z121" s="2408" t="s">
        <v>614</v>
      </c>
      <c r="AA121" s="2408" t="s">
        <v>568</v>
      </c>
      <c r="AB121" s="2408"/>
    </row>
    <row r="122" spans="1:28" s="4" customFormat="1" ht="24.95" customHeight="1">
      <c r="J122" s="250"/>
      <c r="K122" s="25">
        <f>[2]DATA!D108</f>
        <v>3</v>
      </c>
      <c r="L122" s="108" t="str">
        <f>[2]DATA!E108</f>
        <v>Kementerian Perhubungan</v>
      </c>
      <c r="M122" s="25"/>
      <c r="N122" s="27"/>
      <c r="O122" s="26"/>
      <c r="P122" s="26"/>
      <c r="Q122" s="193"/>
      <c r="R122" s="194">
        <f>+R123</f>
        <v>5765336700</v>
      </c>
      <c r="S122" s="2495"/>
      <c r="T122" s="80">
        <f t="shared" ref="T122:W122" si="15">+T123</f>
        <v>5473000000</v>
      </c>
      <c r="U122" s="80">
        <f t="shared" si="15"/>
        <v>292336700</v>
      </c>
      <c r="V122" s="213"/>
      <c r="W122" s="242">
        <f t="shared" si="15"/>
        <v>5765336700</v>
      </c>
      <c r="X122" s="80" t="s">
        <v>21</v>
      </c>
      <c r="Y122" s="227"/>
      <c r="Z122" s="2413"/>
      <c r="AA122" s="2413"/>
      <c r="AB122" s="2413"/>
    </row>
    <row r="123" spans="1:28" s="5" customFormat="1" ht="33.75" customHeight="1">
      <c r="J123" s="180"/>
      <c r="K123" s="29"/>
      <c r="L123" s="30" t="str">
        <f>[2]DATA!G108</f>
        <v>A</v>
      </c>
      <c r="M123" s="31" t="str">
        <f>[2]DATA!H108</f>
        <v>Program Pengembangan Perkeretaapian</v>
      </c>
      <c r="N123" s="51"/>
      <c r="O123" s="31"/>
      <c r="P123" s="31"/>
      <c r="Q123" s="196"/>
      <c r="R123" s="197">
        <f>R124+R125+R126+R127+R128</f>
        <v>5765336700</v>
      </c>
      <c r="S123" s="2494"/>
      <c r="T123" s="81">
        <f t="shared" ref="T123:W123" si="16">T124+T125+T126+T127+T128</f>
        <v>5473000000</v>
      </c>
      <c r="U123" s="81">
        <f t="shared" si="16"/>
        <v>292336700</v>
      </c>
      <c r="V123" s="214"/>
      <c r="W123" s="244">
        <f t="shared" si="16"/>
        <v>5765336700</v>
      </c>
      <c r="X123" s="81" t="s">
        <v>21</v>
      </c>
      <c r="Y123" s="229"/>
      <c r="Z123" s="2407"/>
      <c r="AA123" s="2407"/>
      <c r="AB123" s="2407">
        <f>T123+U123</f>
        <v>5765336700</v>
      </c>
    </row>
    <row r="124" spans="1:28" ht="49.5" customHeight="1">
      <c r="A124" s="10">
        <f>[2]DATA!A109</f>
        <v>91</v>
      </c>
      <c r="B124" s="10">
        <f>[2]DATA!B109</f>
        <v>0</v>
      </c>
      <c r="C124" s="10" t="str">
        <f>[2]DATA!C109</f>
        <v>INFRASTRUKTUR</v>
      </c>
      <c r="D124" s="10">
        <f>[2]DATA!D109</f>
        <v>3</v>
      </c>
      <c r="E124" s="10" t="str">
        <f>[2]DATA!E109</f>
        <v>Kementerian Perhubungan</v>
      </c>
      <c r="F124" s="10" t="str">
        <f>[2]DATA!F109</f>
        <v>Railway Development Program</v>
      </c>
      <c r="G124" s="10" t="str">
        <f>[2]DATA!G109</f>
        <v>A</v>
      </c>
      <c r="H124" s="10" t="str">
        <f>[2]DATA!H109</f>
        <v>Program Pengembangan Perkeretaapian</v>
      </c>
      <c r="I124" s="10">
        <f>[2]DATA!I109</f>
        <v>1</v>
      </c>
      <c r="J124" s="181"/>
      <c r="K124" s="34"/>
      <c r="L124" s="34"/>
      <c r="M124" s="172">
        <v>84</v>
      </c>
      <c r="N124" s="37" t="str">
        <f>[2]DATA!J109</f>
        <v>Procurement of Track Material and Turn Out - Phase II</v>
      </c>
      <c r="O124" s="20">
        <f>[2]DATA!O109</f>
        <v>1</v>
      </c>
      <c r="P124" s="20">
        <f>[2]DATA!P109</f>
        <v>1</v>
      </c>
      <c r="Q124" s="186">
        <f>[2]DATA!Q109</f>
        <v>81</v>
      </c>
      <c r="R124" s="187">
        <f>[2]DATA!R109</f>
        <v>200000000</v>
      </c>
      <c r="S124" s="78" t="str">
        <f>[2]DATA!W109</f>
        <v>RRT</v>
      </c>
      <c r="T124" s="77">
        <f>[2]DATA!Z109</f>
        <v>200000000</v>
      </c>
      <c r="U124" s="77">
        <v>0</v>
      </c>
      <c r="V124" s="216" t="str">
        <f>[2]DATA!W109</f>
        <v>RRT</v>
      </c>
      <c r="W124" s="245">
        <f>[2]DATA!AN109</f>
        <v>200000000</v>
      </c>
      <c r="X124" s="109" t="str">
        <f>[2]DATA!AO109</f>
        <v>RRT</v>
      </c>
      <c r="Y124" s="246" t="str">
        <f>[2]DATA!AP109</f>
        <v>-</v>
      </c>
      <c r="Z124" s="2409" t="s">
        <v>702</v>
      </c>
      <c r="AA124" s="2408" t="s">
        <v>645</v>
      </c>
      <c r="AB124" s="2409" t="s">
        <v>1125</v>
      </c>
    </row>
    <row r="125" spans="1:28" ht="48" customHeight="1">
      <c r="A125" s="10">
        <f>[2]DATA!A110</f>
        <v>92</v>
      </c>
      <c r="B125" s="10">
        <f>[2]DATA!B110</f>
        <v>0</v>
      </c>
      <c r="C125" s="10" t="str">
        <f>[2]DATA!C110</f>
        <v>INFRASTRUKTUR</v>
      </c>
      <c r="D125" s="10">
        <f>[2]DATA!D110</f>
        <v>3</v>
      </c>
      <c r="E125" s="10" t="str">
        <f>[2]DATA!E110</f>
        <v>Kementerian Perhubungan</v>
      </c>
      <c r="F125" s="10" t="str">
        <f>[2]DATA!F110</f>
        <v>Railway Development Program</v>
      </c>
      <c r="G125" s="10" t="str">
        <f>[2]DATA!G110</f>
        <v>A</v>
      </c>
      <c r="H125" s="10" t="str">
        <f>[2]DATA!H110</f>
        <v>Program Pengembangan Perkeretaapian</v>
      </c>
      <c r="I125" s="10">
        <f>[2]DATA!I110</f>
        <v>1</v>
      </c>
      <c r="J125" s="181"/>
      <c r="K125" s="34"/>
      <c r="L125" s="34"/>
      <c r="M125" s="172">
        <v>85</v>
      </c>
      <c r="N125" s="37" t="str">
        <f>[2]DATA!J110</f>
        <v>Procurement of Track Material and Turn Out - Phase III</v>
      </c>
      <c r="O125" s="20">
        <f>[2]DATA!O110</f>
        <v>1</v>
      </c>
      <c r="P125" s="20">
        <f>[2]DATA!P110</f>
        <v>1</v>
      </c>
      <c r="Q125" s="186">
        <f>[2]DATA!Q110</f>
        <v>82</v>
      </c>
      <c r="R125" s="187">
        <f>[2]DATA!R110</f>
        <v>292336700</v>
      </c>
      <c r="S125" s="78" t="str">
        <f>[2]DATA!W110</f>
        <v>Belum Ada Indikasi</v>
      </c>
      <c r="T125" s="77">
        <v>0</v>
      </c>
      <c r="U125" s="77">
        <f>[2]DATA!Z110</f>
        <v>292336700</v>
      </c>
      <c r="V125" s="216" t="str">
        <f>[2]DATA!W110</f>
        <v>Belum Ada Indikasi</v>
      </c>
      <c r="W125" s="245">
        <f>[2]DATA!AN110</f>
        <v>292336700</v>
      </c>
      <c r="X125" s="109" t="str">
        <f>[2]DATA!AO110</f>
        <v>Belum Ada Indikasi</v>
      </c>
      <c r="Y125" s="246" t="str">
        <f>[2]DATA!AP110</f>
        <v>-</v>
      </c>
      <c r="Z125" s="2408" t="s">
        <v>603</v>
      </c>
      <c r="AA125" s="2408" t="s">
        <v>645</v>
      </c>
      <c r="AB125" s="2408"/>
    </row>
    <row r="126" spans="1:28" ht="56.25" customHeight="1">
      <c r="A126" s="10">
        <f>[2]DATA!A111</f>
        <v>93</v>
      </c>
      <c r="B126" s="10">
        <f>[2]DATA!B111</f>
        <v>0</v>
      </c>
      <c r="C126" s="10" t="str">
        <f>[2]DATA!C111</f>
        <v>INFRASTRUKTUR</v>
      </c>
      <c r="D126" s="10">
        <f>[2]DATA!D111</f>
        <v>3</v>
      </c>
      <c r="E126" s="10" t="str">
        <f>[2]DATA!E111</f>
        <v>Kementerian Perhubungan</v>
      </c>
      <c r="F126" s="10" t="str">
        <f>[2]DATA!F111</f>
        <v>Railway Development Program</v>
      </c>
      <c r="G126" s="10" t="str">
        <f>[2]DATA!G111</f>
        <v>A</v>
      </c>
      <c r="H126" s="10" t="str">
        <f>[2]DATA!H111</f>
        <v>Program Pengembangan Perkeretaapian</v>
      </c>
      <c r="I126" s="10">
        <f>[2]DATA!I111</f>
        <v>2</v>
      </c>
      <c r="J126" s="181"/>
      <c r="K126" s="34"/>
      <c r="L126" s="34"/>
      <c r="M126" s="172">
        <v>86</v>
      </c>
      <c r="N126" s="37" t="str">
        <f>[2]DATA!J111</f>
        <v>Construction of Jakarta Mass Rapid Transit Project - Phase II</v>
      </c>
      <c r="O126" s="20">
        <f>[2]DATA!O111</f>
        <v>1</v>
      </c>
      <c r="P126" s="20">
        <f>[2]DATA!P111</f>
        <v>1</v>
      </c>
      <c r="Q126" s="186">
        <f>[2]DATA!Q111</f>
        <v>83</v>
      </c>
      <c r="R126" s="187">
        <f>[2]DATA!R111</f>
        <v>1678000000</v>
      </c>
      <c r="S126" s="78" t="str">
        <f>[2]DATA!W111</f>
        <v>JICA</v>
      </c>
      <c r="T126" s="77">
        <f>[2]DATA!Z111</f>
        <v>1678000000</v>
      </c>
      <c r="U126" s="77">
        <v>0</v>
      </c>
      <c r="V126" s="216" t="str">
        <f>[2]DATA!W111</f>
        <v>JICA</v>
      </c>
      <c r="W126" s="245">
        <f>[2]DATA!AN111</f>
        <v>1678000000</v>
      </c>
      <c r="X126" s="109" t="str">
        <f>[2]DATA!AO111</f>
        <v>JICA</v>
      </c>
      <c r="Y126" s="246" t="str">
        <f>[2]DATA!AP111</f>
        <v>-</v>
      </c>
      <c r="Z126" s="2408" t="s">
        <v>675</v>
      </c>
      <c r="AA126" s="2408" t="s">
        <v>729</v>
      </c>
      <c r="AB126" s="2408"/>
    </row>
    <row r="127" spans="1:28" ht="47.25" customHeight="1">
      <c r="A127" s="10">
        <f>[2]DATA!A112</f>
        <v>94</v>
      </c>
      <c r="B127" s="10">
        <f>[2]DATA!B112</f>
        <v>0</v>
      </c>
      <c r="C127" s="10" t="str">
        <f>[2]DATA!C112</f>
        <v>INFRASTRUKTUR</v>
      </c>
      <c r="D127" s="10">
        <f>[2]DATA!D112</f>
        <v>3</v>
      </c>
      <c r="E127" s="10" t="str">
        <f>[2]DATA!E112</f>
        <v>Kementerian Perhubungan</v>
      </c>
      <c r="F127" s="10" t="str">
        <f>[2]DATA!F112</f>
        <v>Railway Development Program</v>
      </c>
      <c r="G127" s="10" t="str">
        <f>[2]DATA!G112</f>
        <v>A</v>
      </c>
      <c r="H127" s="10" t="str">
        <f>[2]DATA!H112</f>
        <v>Program Pengembangan Perkeretaapian</v>
      </c>
      <c r="I127" s="10">
        <f>[2]DATA!I112</f>
        <v>3</v>
      </c>
      <c r="J127" s="181"/>
      <c r="K127" s="34"/>
      <c r="L127" s="34"/>
      <c r="M127" s="172">
        <v>87</v>
      </c>
      <c r="N127" s="37" t="str">
        <f>[2]DATA!J112</f>
        <v>Construction of Jakarta Mass Rapid Transit East-West Line Project - Phase I</v>
      </c>
      <c r="O127" s="20">
        <f>[2]DATA!O112</f>
        <v>1</v>
      </c>
      <c r="P127" s="20">
        <f>[2]DATA!P112</f>
        <v>1</v>
      </c>
      <c r="Q127" s="186">
        <f>[2]DATA!Q112</f>
        <v>84</v>
      </c>
      <c r="R127" s="187">
        <f>[2]DATA!R112</f>
        <v>3572000000</v>
      </c>
      <c r="S127" s="78" t="str">
        <f>[2]DATA!W112</f>
        <v>JICA</v>
      </c>
      <c r="T127" s="77">
        <f>[2]DATA!Z112</f>
        <v>3572000000</v>
      </c>
      <c r="U127" s="77">
        <v>0</v>
      </c>
      <c r="V127" s="216" t="str">
        <f>[2]DATA!W112</f>
        <v>JICA</v>
      </c>
      <c r="W127" s="245">
        <f>[2]DATA!AN112</f>
        <v>3572000000</v>
      </c>
      <c r="X127" s="109" t="str">
        <f>[2]DATA!AO112</f>
        <v>JICA</v>
      </c>
      <c r="Y127" s="246" t="str">
        <f>[2]DATA!AP112</f>
        <v>-</v>
      </c>
      <c r="Z127" s="2408" t="s">
        <v>675</v>
      </c>
      <c r="AA127" s="2408" t="s">
        <v>729</v>
      </c>
      <c r="AB127" s="2408"/>
    </row>
    <row r="128" spans="1:28" ht="55.5" customHeight="1">
      <c r="A128" s="10">
        <f>[2]DATA!A113</f>
        <v>95</v>
      </c>
      <c r="B128" s="10">
        <f>[2]DATA!B113</f>
        <v>0</v>
      </c>
      <c r="C128" s="10" t="str">
        <f>[2]DATA!C113</f>
        <v>INFRASTRUKTUR</v>
      </c>
      <c r="D128" s="10">
        <f>[2]DATA!D113</f>
        <v>3</v>
      </c>
      <c r="E128" s="10" t="str">
        <f>[2]DATA!E113</f>
        <v>Kementerian Perhubungan</v>
      </c>
      <c r="F128" s="10" t="str">
        <f>[2]DATA!F113</f>
        <v>Railway Development Program</v>
      </c>
      <c r="G128" s="10" t="str">
        <f>[2]DATA!G113</f>
        <v>A</v>
      </c>
      <c r="H128" s="10" t="str">
        <f>[2]DATA!H113</f>
        <v>Program Pengembangan Perkeretaapian</v>
      </c>
      <c r="I128" s="10">
        <f>[2]DATA!I113</f>
        <v>4</v>
      </c>
      <c r="J128" s="181"/>
      <c r="K128" s="54"/>
      <c r="L128" s="54"/>
      <c r="M128" s="172">
        <v>88</v>
      </c>
      <c r="N128" s="37" t="str">
        <f>[2]DATA!J113</f>
        <v>Engineering Services Jakarta Mass Rapid Transit (MRT) East West Line Project - Phase I</v>
      </c>
      <c r="O128" s="20">
        <f>[2]DATA!O113</f>
        <v>1</v>
      </c>
      <c r="P128" s="20">
        <f>[2]DATA!P113</f>
        <v>1</v>
      </c>
      <c r="Q128" s="186">
        <f>[2]DATA!Q113</f>
        <v>86</v>
      </c>
      <c r="R128" s="187">
        <f>[2]DATA!R113</f>
        <v>23000000</v>
      </c>
      <c r="S128" s="78" t="str">
        <f>[2]DATA!W113</f>
        <v>JICA</v>
      </c>
      <c r="T128" s="77">
        <f>[2]DATA!Z113</f>
        <v>23000000</v>
      </c>
      <c r="U128" s="77">
        <v>0</v>
      </c>
      <c r="V128" s="216" t="str">
        <f>[2]DATA!W113</f>
        <v>JICA</v>
      </c>
      <c r="W128" s="245">
        <f>[2]DATA!AN113</f>
        <v>23000000</v>
      </c>
      <c r="X128" s="109" t="str">
        <f>[2]DATA!AO113</f>
        <v>JICA</v>
      </c>
      <c r="Y128" s="246" t="str">
        <f>[2]DATA!AP113</f>
        <v>-</v>
      </c>
      <c r="Z128" s="2408" t="s">
        <v>568</v>
      </c>
      <c r="AA128" s="2408" t="s">
        <v>645</v>
      </c>
      <c r="AB128" s="2408"/>
    </row>
    <row r="129" spans="1:28" s="4" customFormat="1" ht="24.95" customHeight="1">
      <c r="J129" s="250"/>
      <c r="K129" s="25">
        <f>[2]DATA!D114</f>
        <v>4</v>
      </c>
      <c r="L129" s="108" t="str">
        <f>[2]DATA!E114</f>
        <v>Pemprov. DKI Jakarta</v>
      </c>
      <c r="M129" s="25"/>
      <c r="N129" s="27"/>
      <c r="O129" s="26"/>
      <c r="P129" s="26"/>
      <c r="Q129" s="193"/>
      <c r="R129" s="194">
        <f>+R130</f>
        <v>1050000000</v>
      </c>
      <c r="S129" s="2495"/>
      <c r="T129" s="80">
        <f t="shared" ref="T129:Y130" si="17">+T130</f>
        <v>1050000000</v>
      </c>
      <c r="U129" s="80">
        <f t="shared" si="17"/>
        <v>0</v>
      </c>
      <c r="V129" s="213"/>
      <c r="W129" s="242">
        <f t="shared" si="17"/>
        <v>1050000000</v>
      </c>
      <c r="X129" s="80" t="str">
        <f t="shared" si="17"/>
        <v>-</v>
      </c>
      <c r="Y129" s="227" t="str">
        <f t="shared" si="17"/>
        <v>-</v>
      </c>
      <c r="Z129" s="2413"/>
      <c r="AA129" s="2413"/>
      <c r="AB129" s="2413"/>
    </row>
    <row r="130" spans="1:28" s="5" customFormat="1" ht="33.75" customHeight="1">
      <c r="J130" s="180"/>
      <c r="K130" s="29"/>
      <c r="L130" s="30" t="str">
        <f>[2]DATA!G114</f>
        <v>A</v>
      </c>
      <c r="M130" s="31" t="str">
        <f>[2]DATA!H114</f>
        <v>Program Pengembangan Perkeretaapian</v>
      </c>
      <c r="N130" s="51"/>
      <c r="O130" s="31"/>
      <c r="P130" s="31"/>
      <c r="Q130" s="196"/>
      <c r="R130" s="197">
        <f>+R131</f>
        <v>1050000000</v>
      </c>
      <c r="S130" s="2494"/>
      <c r="T130" s="81">
        <f t="shared" si="17"/>
        <v>1050000000</v>
      </c>
      <c r="U130" s="81">
        <f t="shared" si="17"/>
        <v>0</v>
      </c>
      <c r="V130" s="214"/>
      <c r="W130" s="244">
        <f t="shared" si="17"/>
        <v>1050000000</v>
      </c>
      <c r="X130" s="81" t="s">
        <v>21</v>
      </c>
      <c r="Y130" s="229" t="str">
        <f t="shared" si="17"/>
        <v>-</v>
      </c>
      <c r="Z130" s="2407"/>
      <c r="AA130" s="2407"/>
      <c r="AB130" s="2407"/>
    </row>
    <row r="131" spans="1:28" s="9" customFormat="1" ht="48" customHeight="1">
      <c r="A131" s="9">
        <f>[2]DATA!A114</f>
        <v>96</v>
      </c>
      <c r="B131" s="9">
        <f>[2]DATA!B114</f>
        <v>0</v>
      </c>
      <c r="C131" s="9" t="str">
        <f>[2]DATA!C114</f>
        <v>INFRASTRUKTUR</v>
      </c>
      <c r="D131" s="9">
        <f>[2]DATA!D114</f>
        <v>4</v>
      </c>
      <c r="E131" s="9" t="str">
        <f>[2]DATA!E114</f>
        <v>Pemprov. DKI Jakarta</v>
      </c>
      <c r="F131" s="9" t="str">
        <f>[2]DATA!F114</f>
        <v>Railway Development Program</v>
      </c>
      <c r="G131" s="9" t="str">
        <f>[2]DATA!G114</f>
        <v>A</v>
      </c>
      <c r="H131" s="9" t="str">
        <f>[2]DATA!H114</f>
        <v>Program Pengembangan Perkeretaapian</v>
      </c>
      <c r="I131" s="9">
        <f>[2]DATA!I114</f>
        <v>1</v>
      </c>
      <c r="J131" s="254"/>
      <c r="K131" s="255"/>
      <c r="L131" s="66"/>
      <c r="M131" s="64">
        <v>89</v>
      </c>
      <c r="N131" s="65" t="s">
        <v>1126</v>
      </c>
      <c r="O131" s="66">
        <f>[2]DATA!O114</f>
        <v>1</v>
      </c>
      <c r="P131" s="66">
        <f>[2]DATA!P114</f>
        <v>1</v>
      </c>
      <c r="Q131" s="257">
        <f>[2]DATA!Q114</f>
        <v>85</v>
      </c>
      <c r="R131" s="258">
        <f>[2]DATA!R114</f>
        <v>1050000000</v>
      </c>
      <c r="S131" s="92" t="str">
        <f>[2]DATA!W114</f>
        <v>JICA</v>
      </c>
      <c r="T131" s="77">
        <f>[2]DATA!Z114</f>
        <v>1050000000</v>
      </c>
      <c r="U131" s="91">
        <v>0</v>
      </c>
      <c r="V131" s="216" t="str">
        <f>[2]DATA!W114</f>
        <v>JICA</v>
      </c>
      <c r="W131" s="272">
        <f>[2]DATA!AN114</f>
        <v>1050000000</v>
      </c>
      <c r="X131" s="273" t="str">
        <f>[2]DATA!AO114</f>
        <v>JICA</v>
      </c>
      <c r="Y131" s="274" t="str">
        <f>[2]DATA!AP114</f>
        <v>-</v>
      </c>
      <c r="Z131" s="2419" t="s">
        <v>702</v>
      </c>
      <c r="AA131" s="2419" t="s">
        <v>568</v>
      </c>
      <c r="AB131" s="2419"/>
    </row>
    <row r="132" spans="1:28" s="4" customFormat="1" ht="24.95" customHeight="1">
      <c r="J132" s="250"/>
      <c r="K132" s="25">
        <f>[2]DATA!D115</f>
        <v>5</v>
      </c>
      <c r="L132" s="108" t="str">
        <f>[2]DATA!E115</f>
        <v>Kementerian Komunikasi dan Informatika</v>
      </c>
      <c r="M132" s="25"/>
      <c r="N132" s="27"/>
      <c r="O132" s="26"/>
      <c r="P132" s="26"/>
      <c r="Q132" s="193"/>
      <c r="R132" s="194">
        <f>+R133</f>
        <v>1056000000</v>
      </c>
      <c r="S132" s="2495"/>
      <c r="T132" s="80">
        <f t="shared" ref="T132:W132" si="18">+T133</f>
        <v>645000000</v>
      </c>
      <c r="U132" s="80">
        <f t="shared" si="18"/>
        <v>411000000</v>
      </c>
      <c r="V132" s="213"/>
      <c r="W132" s="242">
        <f t="shared" si="18"/>
        <v>1056000000</v>
      </c>
      <c r="X132" s="80" t="s">
        <v>21</v>
      </c>
      <c r="Y132" s="227"/>
      <c r="Z132" s="2413"/>
      <c r="AA132" s="2413"/>
      <c r="AB132" s="2413"/>
    </row>
    <row r="133" spans="1:28" s="5" customFormat="1" ht="33.75" customHeight="1">
      <c r="J133" s="180"/>
      <c r="K133" s="29"/>
      <c r="L133" s="30" t="str">
        <f>[2]DATA!G115</f>
        <v>A</v>
      </c>
      <c r="M133" s="31" t="str">
        <f>[2]DATA!H115</f>
        <v>Program Pengembangan Infrastruktur TIK dan Penyiaran</v>
      </c>
      <c r="N133" s="51"/>
      <c r="O133" s="31"/>
      <c r="P133" s="31"/>
      <c r="Q133" s="196"/>
      <c r="R133" s="197">
        <f>+R134+R135+R136</f>
        <v>1056000000</v>
      </c>
      <c r="S133" s="2494"/>
      <c r="T133" s="81">
        <f t="shared" ref="T133:W133" si="19">+T134+T135+T136</f>
        <v>645000000</v>
      </c>
      <c r="U133" s="81">
        <f t="shared" si="19"/>
        <v>411000000</v>
      </c>
      <c r="V133" s="214"/>
      <c r="W133" s="244">
        <f t="shared" si="19"/>
        <v>1056000000</v>
      </c>
      <c r="X133" s="81" t="s">
        <v>21</v>
      </c>
      <c r="Y133" s="229"/>
      <c r="Z133" s="2407"/>
      <c r="AA133" s="2407"/>
      <c r="AB133" s="2407"/>
    </row>
    <row r="134" spans="1:28" ht="46.5" customHeight="1">
      <c r="A134" s="10">
        <f>[2]DATA!A115</f>
        <v>97</v>
      </c>
      <c r="B134" s="10">
        <f>[2]DATA!B115</f>
        <v>0</v>
      </c>
      <c r="C134" s="10" t="str">
        <f>[2]DATA!C115</f>
        <v>INFRASTRUKTUR</v>
      </c>
      <c r="D134" s="10">
        <f>[2]DATA!D115</f>
        <v>5</v>
      </c>
      <c r="E134" s="10" t="str">
        <f>[2]DATA!E115</f>
        <v>Kementerian Komunikasi dan Informatika</v>
      </c>
      <c r="F134" s="10" t="str">
        <f>[2]DATA!F115</f>
        <v>Information Communication And Technology (ICT) And Broadcasting Infrastructure Development Program</v>
      </c>
      <c r="G134" s="10" t="str">
        <f>[2]DATA!G115</f>
        <v>A</v>
      </c>
      <c r="H134" s="10" t="str">
        <f>[2]DATA!H115</f>
        <v>Program Pengembangan Infrastruktur TIK dan Penyiaran</v>
      </c>
      <c r="I134" s="10">
        <f>[2]DATA!I115</f>
        <v>1</v>
      </c>
      <c r="J134" s="181"/>
      <c r="K134" s="34"/>
      <c r="L134" s="35"/>
      <c r="M134" s="36">
        <v>90</v>
      </c>
      <c r="N134" s="37" t="str">
        <f>[2]DATA!J115</f>
        <v>Improvement on TV Transmitting Stations (Digitalization of TVRI) - Phase III</v>
      </c>
      <c r="O134" s="20">
        <f>[2]DATA!O115</f>
        <v>1</v>
      </c>
      <c r="P134" s="20">
        <f>[2]DATA!P115</f>
        <v>1</v>
      </c>
      <c r="Q134" s="186">
        <f>[2]DATA!Q115</f>
        <v>87</v>
      </c>
      <c r="R134" s="187">
        <f>[2]DATA!R115</f>
        <v>411000000</v>
      </c>
      <c r="S134" s="78" t="str">
        <f>[2]DATA!W115</f>
        <v>Belum Ada Indikasi</v>
      </c>
      <c r="T134" s="77">
        <v>0</v>
      </c>
      <c r="U134" s="77">
        <f>[2]DATA!Z115</f>
        <v>411000000</v>
      </c>
      <c r="V134" s="216" t="str">
        <f>[2]DATA!W115</f>
        <v>Belum Ada Indikasi</v>
      </c>
      <c r="W134" s="245">
        <f>[2]DATA!AN115</f>
        <v>411000000</v>
      </c>
      <c r="X134" s="109" t="str">
        <f>[2]DATA!AO115</f>
        <v>Belum Ada Indikasi</v>
      </c>
      <c r="Y134" s="248" t="str">
        <f>[2]DATA!AP115</f>
        <v>-</v>
      </c>
      <c r="Z134" s="2408" t="s">
        <v>608</v>
      </c>
      <c r="AA134" s="2408" t="s">
        <v>568</v>
      </c>
      <c r="AB134" s="2408"/>
    </row>
    <row r="135" spans="1:28" ht="35.25" customHeight="1">
      <c r="A135" s="10">
        <f>[2]DATA!A116</f>
        <v>98</v>
      </c>
      <c r="B135" s="10">
        <f>[2]DATA!B116</f>
        <v>0</v>
      </c>
      <c r="C135" s="10" t="str">
        <f>[2]DATA!C116</f>
        <v>INFRASTRUKTUR</v>
      </c>
      <c r="D135" s="10">
        <f>[2]DATA!D116</f>
        <v>5</v>
      </c>
      <c r="E135" s="10" t="str">
        <f>[2]DATA!E116</f>
        <v>Kementerian Komunikasi dan Informatika</v>
      </c>
      <c r="F135" s="10" t="str">
        <f>[2]DATA!F116</f>
        <v>Information Communication And Technology (ICT) And Broadcasting Infrastructure Development Program</v>
      </c>
      <c r="G135" s="10" t="str">
        <f>[2]DATA!G116</f>
        <v>A</v>
      </c>
      <c r="H135" s="10" t="str">
        <f>[2]DATA!H116</f>
        <v>Program Pengembangan Infrastruktur TIK dan Penyiaran</v>
      </c>
      <c r="I135" s="10">
        <f>[2]DATA!I116</f>
        <v>2</v>
      </c>
      <c r="J135" s="181"/>
      <c r="K135" s="34"/>
      <c r="L135" s="34"/>
      <c r="M135" s="36">
        <v>91</v>
      </c>
      <c r="N135" s="37" t="str">
        <f>[2]DATA!J116</f>
        <v>Strengthening of e-Government Infrastructure</v>
      </c>
      <c r="O135" s="20">
        <f>[2]DATA!O116</f>
        <v>1</v>
      </c>
      <c r="P135" s="20">
        <f>[2]DATA!P116</f>
        <v>1</v>
      </c>
      <c r="Q135" s="186">
        <f>[2]DATA!Q116</f>
        <v>88</v>
      </c>
      <c r="R135" s="187">
        <f>[2]DATA!R116</f>
        <v>145000000</v>
      </c>
      <c r="S135" s="78" t="str">
        <f>[2]DATA!W116</f>
        <v>Korea</v>
      </c>
      <c r="T135" s="77">
        <f>[2]DATA!Z116</f>
        <v>145000000</v>
      </c>
      <c r="U135" s="77"/>
      <c r="V135" s="216" t="str">
        <f>[2]DATA!W116</f>
        <v>Korea</v>
      </c>
      <c r="W135" s="245">
        <f>[2]DATA!AN116</f>
        <v>145000000</v>
      </c>
      <c r="X135" s="109" t="str">
        <f>[2]DATA!AO116</f>
        <v>Korea</v>
      </c>
      <c r="Y135" s="248" t="str">
        <f>[2]DATA!AP116</f>
        <v>masuk rolling plan EDCF (Korea)</v>
      </c>
      <c r="Z135" s="2408" t="s">
        <v>608</v>
      </c>
      <c r="AA135" s="2408" t="s">
        <v>654</v>
      </c>
      <c r="AB135" s="2408"/>
    </row>
    <row r="136" spans="1:28" ht="40.5" customHeight="1">
      <c r="A136" s="10">
        <f>[2]DATA!A117</f>
        <v>99</v>
      </c>
      <c r="B136" s="10">
        <f>[2]DATA!B117</f>
        <v>0</v>
      </c>
      <c r="C136" s="10" t="str">
        <f>[2]DATA!C117</f>
        <v>INFRASTRUKTUR</v>
      </c>
      <c r="D136" s="10">
        <f>[2]DATA!D117</f>
        <v>5</v>
      </c>
      <c r="E136" s="10" t="str">
        <f>[2]DATA!E117</f>
        <v>Kementerian Komunikasi dan Informatika</v>
      </c>
      <c r="F136" s="10" t="str">
        <f>[2]DATA!F117</f>
        <v>Information Communication And Technology (ICT) And Broadcasting Infrastructure Development Program</v>
      </c>
      <c r="G136" s="10" t="str">
        <f>[2]DATA!G117</f>
        <v>A</v>
      </c>
      <c r="H136" s="10" t="str">
        <f>[2]DATA!H117</f>
        <v>Program Pengembangan Infrastruktur TIK dan Penyiaran</v>
      </c>
      <c r="I136" s="10">
        <f>[2]DATA!I117</f>
        <v>3</v>
      </c>
      <c r="J136" s="181"/>
      <c r="K136" s="54"/>
      <c r="L136" s="54"/>
      <c r="M136" s="36">
        <v>92</v>
      </c>
      <c r="N136" s="37" t="str">
        <f>[2]DATA!J117</f>
        <v>National Fiber Optic Backbone (Palapa Ring)</v>
      </c>
      <c r="O136" s="20">
        <f>[2]DATA!O117</f>
        <v>1</v>
      </c>
      <c r="P136" s="20">
        <f>[2]DATA!P117</f>
        <v>1</v>
      </c>
      <c r="Q136" s="186">
        <f>[2]DATA!Q117</f>
        <v>89</v>
      </c>
      <c r="R136" s="187">
        <f>[2]DATA!R117</f>
        <v>500000000</v>
      </c>
      <c r="S136" s="78" t="str">
        <f>[2]DATA!W117</f>
        <v>KPS</v>
      </c>
      <c r="T136" s="77">
        <f>[2]DATA!Z117</f>
        <v>500000000</v>
      </c>
      <c r="U136" s="77"/>
      <c r="V136" s="216" t="str">
        <f>[2]DATA!W117</f>
        <v>KPS</v>
      </c>
      <c r="W136" s="245">
        <f>[2]DATA!AN117</f>
        <v>500000000</v>
      </c>
      <c r="X136" s="109" t="str">
        <f>[2]DATA!AO117</f>
        <v>KPS</v>
      </c>
      <c r="Y136" s="248" t="str">
        <f>[2]DATA!AP117</f>
        <v>-</v>
      </c>
      <c r="Z136" s="2408" t="s">
        <v>603</v>
      </c>
      <c r="AA136" s="2408" t="s">
        <v>603</v>
      </c>
      <c r="AB136" s="2409" t="s">
        <v>908</v>
      </c>
    </row>
    <row r="137" spans="1:28" s="4" customFormat="1" ht="24.95" customHeight="1">
      <c r="J137" s="250"/>
      <c r="K137" s="25">
        <f>[2]DATA!D118</f>
        <v>6</v>
      </c>
      <c r="L137" s="108" t="str">
        <f>[2]DATA!E118</f>
        <v>Kepolisian RI</v>
      </c>
      <c r="M137" s="25"/>
      <c r="N137" s="27"/>
      <c r="O137" s="26"/>
      <c r="P137" s="26"/>
      <c r="Q137" s="193"/>
      <c r="R137" s="194">
        <f>+R138</f>
        <v>20000000</v>
      </c>
      <c r="S137" s="2495"/>
      <c r="T137" s="80">
        <f t="shared" ref="T137:Y138" si="20">+T138</f>
        <v>20000000</v>
      </c>
      <c r="U137" s="80">
        <f t="shared" si="20"/>
        <v>0</v>
      </c>
      <c r="V137" s="213"/>
      <c r="W137" s="242">
        <f t="shared" si="20"/>
        <v>20000000</v>
      </c>
      <c r="X137" s="80" t="s">
        <v>21</v>
      </c>
      <c r="Y137" s="227" t="str">
        <f t="shared" si="20"/>
        <v>masuk rolling plan EDCF (Korea)</v>
      </c>
      <c r="Z137" s="2413"/>
      <c r="AA137" s="2413"/>
      <c r="AB137" s="2413"/>
    </row>
    <row r="138" spans="1:28" s="5" customFormat="1" ht="33.75" customHeight="1">
      <c r="J138" s="180"/>
      <c r="K138" s="29"/>
      <c r="L138" s="30" t="str">
        <f>[2]DATA!G118</f>
        <v>A</v>
      </c>
      <c r="M138" s="3427" t="str">
        <f>[2]DATA!H118</f>
        <v>Program Pengembangan Infrastruktur TIK dan Penyiaran</v>
      </c>
      <c r="N138" s="3428"/>
      <c r="O138" s="31"/>
      <c r="P138" s="31"/>
      <c r="Q138" s="196"/>
      <c r="R138" s="197">
        <f>+R139</f>
        <v>20000000</v>
      </c>
      <c r="S138" s="2494"/>
      <c r="T138" s="81">
        <f t="shared" si="20"/>
        <v>20000000</v>
      </c>
      <c r="U138" s="81">
        <f t="shared" si="20"/>
        <v>0</v>
      </c>
      <c r="V138" s="214"/>
      <c r="W138" s="244">
        <f t="shared" si="20"/>
        <v>20000000</v>
      </c>
      <c r="X138" s="81" t="s">
        <v>21</v>
      </c>
      <c r="Y138" s="229" t="str">
        <f t="shared" si="20"/>
        <v>masuk rolling plan EDCF (Korea)</v>
      </c>
      <c r="Z138" s="2407"/>
      <c r="AA138" s="2407"/>
      <c r="AB138" s="2407"/>
    </row>
    <row r="139" spans="1:28" s="9" customFormat="1" ht="47.25" customHeight="1">
      <c r="A139" s="9">
        <f>[2]DATA!A118</f>
        <v>100</v>
      </c>
      <c r="B139" s="9">
        <f>[2]DATA!B118</f>
        <v>0</v>
      </c>
      <c r="C139" s="9" t="str">
        <f>[2]DATA!C118</f>
        <v>INFRASTRUKTUR</v>
      </c>
      <c r="D139" s="9">
        <f>[2]DATA!D118</f>
        <v>6</v>
      </c>
      <c r="E139" s="9" t="str">
        <f>[2]DATA!E118</f>
        <v>Kepolisian RI</v>
      </c>
      <c r="F139" s="9" t="str">
        <f>[2]DATA!F118</f>
        <v>Information Communication And Technology (ICT) And Broadcasting Infrastructure Development Program</v>
      </c>
      <c r="G139" s="9" t="str">
        <f>[2]DATA!G118</f>
        <v>A</v>
      </c>
      <c r="H139" s="9" t="str">
        <f>[2]DATA!H118</f>
        <v>Program Pengembangan Infrastruktur TIK dan Penyiaran</v>
      </c>
      <c r="I139" s="9">
        <f>[2]DATA!I118</f>
        <v>1</v>
      </c>
      <c r="J139" s="254"/>
      <c r="K139" s="255"/>
      <c r="L139" s="66"/>
      <c r="M139" s="64">
        <v>93</v>
      </c>
      <c r="N139" s="65" t="s">
        <v>1127</v>
      </c>
      <c r="O139" s="66">
        <f>[2]DATA!O118</f>
        <v>1</v>
      </c>
      <c r="P139" s="66">
        <f>[2]DATA!P118</f>
        <v>1</v>
      </c>
      <c r="Q139" s="257">
        <f>[2]DATA!Q118</f>
        <v>90</v>
      </c>
      <c r="R139" s="258">
        <f>[2]DATA!R118</f>
        <v>20000000</v>
      </c>
      <c r="S139" s="2496" t="str">
        <f>[2]DATA!W118</f>
        <v>Korea</v>
      </c>
      <c r="T139" s="2418">
        <f>[2]DATA!Z118</f>
        <v>20000000</v>
      </c>
      <c r="U139" s="91">
        <v>0</v>
      </c>
      <c r="V139" s="263" t="str">
        <f>[2]DATA!W118</f>
        <v>Korea</v>
      </c>
      <c r="W139" s="272">
        <f>[2]DATA!AN118</f>
        <v>20000000</v>
      </c>
      <c r="X139" s="273" t="str">
        <f>[2]DATA!AO118</f>
        <v>Korea</v>
      </c>
      <c r="Y139" s="274" t="str">
        <f>[2]DATA!AP118</f>
        <v>masuk rolling plan EDCF (Korea)</v>
      </c>
      <c r="Z139" s="2419" t="s">
        <v>568</v>
      </c>
      <c r="AA139" s="2419" t="s">
        <v>645</v>
      </c>
      <c r="AB139" s="2419"/>
    </row>
    <row r="140" spans="1:28" s="4" customFormat="1" ht="24.95" customHeight="1">
      <c r="J140" s="250"/>
      <c r="K140" s="25">
        <f>[2]DATA!D119</f>
        <v>7</v>
      </c>
      <c r="L140" s="108" t="str">
        <f>[2]DATA!E119</f>
        <v>PT. PLN</v>
      </c>
      <c r="M140" s="25"/>
      <c r="N140" s="27"/>
      <c r="O140" s="26"/>
      <c r="P140" s="26"/>
      <c r="Q140" s="193"/>
      <c r="R140" s="194">
        <f>+R141</f>
        <v>4906600000</v>
      </c>
      <c r="S140" s="2495"/>
      <c r="T140" s="80">
        <f t="shared" ref="T140:W140" si="21">+T141</f>
        <v>4906600000</v>
      </c>
      <c r="U140" s="80">
        <f t="shared" si="21"/>
        <v>0</v>
      </c>
      <c r="V140" s="213"/>
      <c r="W140" s="242">
        <f t="shared" si="21"/>
        <v>4906600000</v>
      </c>
      <c r="X140" s="80" t="s">
        <v>21</v>
      </c>
      <c r="Y140" s="227"/>
      <c r="Z140" s="2413"/>
      <c r="AA140" s="2413"/>
      <c r="AB140" s="2413"/>
    </row>
    <row r="141" spans="1:28" s="5" customFormat="1" ht="33.75" customHeight="1">
      <c r="J141" s="180"/>
      <c r="K141" s="29"/>
      <c r="L141" s="30" t="str">
        <f>[2]DATA!G119</f>
        <v>A</v>
      </c>
      <c r="M141" s="3427" t="str">
        <f>[2]DATA!H119</f>
        <v>Program Pembangunan Infrastruktur Ketenagalistrikan</v>
      </c>
      <c r="N141" s="3428"/>
      <c r="O141" s="31"/>
      <c r="P141" s="31"/>
      <c r="Q141" s="196"/>
      <c r="R141" s="197">
        <f>R142+R143+R144+R145+R146+R147+R148+R149+R150+R151</f>
        <v>4906600000</v>
      </c>
      <c r="S141" s="2494"/>
      <c r="T141" s="81">
        <f t="shared" ref="T141:W141" si="22">T142+T143+T144+T145+T146+T147+T148+T149+T150+T151</f>
        <v>4906600000</v>
      </c>
      <c r="U141" s="81">
        <f t="shared" si="22"/>
        <v>0</v>
      </c>
      <c r="V141" s="214"/>
      <c r="W141" s="244">
        <f t="shared" si="22"/>
        <v>4906600000</v>
      </c>
      <c r="X141" s="81" t="s">
        <v>21</v>
      </c>
      <c r="Y141" s="229"/>
      <c r="Z141" s="2407"/>
      <c r="AA141" s="2407"/>
      <c r="AB141" s="2407"/>
    </row>
    <row r="142" spans="1:28" ht="42.75" customHeight="1">
      <c r="A142" s="10">
        <f>[2]DATA!A120</f>
        <v>102</v>
      </c>
      <c r="B142" s="10">
        <f>[2]DATA!B120</f>
        <v>0</v>
      </c>
      <c r="C142" s="10" t="str">
        <f>[2]DATA!C120</f>
        <v>INFRASTRUKTUR</v>
      </c>
      <c r="D142" s="10">
        <f>[2]DATA!D120</f>
        <v>7</v>
      </c>
      <c r="E142" s="10" t="str">
        <f>[2]DATA!E120</f>
        <v>PT. PLN</v>
      </c>
      <c r="F142" s="10" t="str">
        <f>[2]DATA!F120</f>
        <v>Electricity Infrastructure Development Program</v>
      </c>
      <c r="G142" s="10" t="str">
        <f>[2]DATA!G120</f>
        <v>A</v>
      </c>
      <c r="H142" s="10" t="str">
        <f>[2]DATA!H120</f>
        <v>Program Pembangunan Infrastruktur Ketenagalistrikan</v>
      </c>
      <c r="I142" s="10">
        <f>[2]DATA!I120</f>
        <v>1</v>
      </c>
      <c r="J142" s="181"/>
      <c r="K142" s="34"/>
      <c r="L142" s="34"/>
      <c r="M142" s="36">
        <v>94</v>
      </c>
      <c r="N142" s="37" t="str">
        <f>[2]DATA!J120</f>
        <v>Java-Sumatera Interconnection Transmission Line (HVDC) 500 kV (Phase II)</v>
      </c>
      <c r="O142" s="20">
        <f>[2]DATA!O120</f>
        <v>1</v>
      </c>
      <c r="P142" s="20">
        <f>[2]DATA!P120</f>
        <v>1</v>
      </c>
      <c r="Q142" s="186">
        <f>[2]DATA!Q120</f>
        <v>91</v>
      </c>
      <c r="R142" s="187">
        <f>[2]DATA!R120</f>
        <v>629000000</v>
      </c>
      <c r="S142" s="78" t="str">
        <f>[2]DATA!W120</f>
        <v>JICA</v>
      </c>
      <c r="T142" s="77">
        <f>[2]DATA!Z120</f>
        <v>629000000</v>
      </c>
      <c r="U142" s="77">
        <v>0</v>
      </c>
      <c r="V142" s="216" t="str">
        <f>[2]DATA!W120</f>
        <v>JICA</v>
      </c>
      <c r="W142" s="245">
        <f>[2]DATA!AN120</f>
        <v>629000000</v>
      </c>
      <c r="X142" s="109" t="str">
        <f>[2]DATA!AO120</f>
        <v>JICA</v>
      </c>
      <c r="Y142" s="248" t="str">
        <f>[2]DATA!AP120</f>
        <v>-</v>
      </c>
      <c r="Z142" s="2408" t="s">
        <v>568</v>
      </c>
      <c r="AA142" s="2408" t="s">
        <v>918</v>
      </c>
      <c r="AB142" s="2408"/>
    </row>
    <row r="143" spans="1:28" ht="40.5" customHeight="1">
      <c r="A143" s="10">
        <f>[2]DATA!A121</f>
        <v>103</v>
      </c>
      <c r="B143" s="10">
        <f>[2]DATA!B121</f>
        <v>0</v>
      </c>
      <c r="C143" s="10" t="str">
        <f>[2]DATA!C121</f>
        <v>INFRASTRUKTUR</v>
      </c>
      <c r="D143" s="10">
        <f>[2]DATA!D121</f>
        <v>7</v>
      </c>
      <c r="E143" s="10" t="str">
        <f>[2]DATA!E121</f>
        <v>PT. PLN</v>
      </c>
      <c r="F143" s="10" t="str">
        <f>[2]DATA!F121</f>
        <v>Electricity Infrastructure Development Program</v>
      </c>
      <c r="G143" s="10" t="str">
        <f>[2]DATA!G121</f>
        <v>A</v>
      </c>
      <c r="H143" s="10" t="str">
        <f>[2]DATA!H121</f>
        <v>Program Pembangunan Infrastruktur Ketenagalistrikan</v>
      </c>
      <c r="I143" s="10">
        <f>[2]DATA!I121</f>
        <v>1</v>
      </c>
      <c r="J143" s="181"/>
      <c r="K143" s="34"/>
      <c r="L143" s="34"/>
      <c r="M143" s="52">
        <v>95</v>
      </c>
      <c r="N143" s="37" t="str">
        <f>[2]DATA!J121</f>
        <v>Construction of Java Sumatera Interconnection 500 kV (HVDC-Phase 3 &amp; 4)</v>
      </c>
      <c r="O143" s="20">
        <f>[2]DATA!O121</f>
        <v>1</v>
      </c>
      <c r="P143" s="20">
        <f>[2]DATA!P121</f>
        <v>1</v>
      </c>
      <c r="Q143" s="186">
        <f>[2]DATA!Q121</f>
        <v>92</v>
      </c>
      <c r="R143" s="187">
        <f>[2]DATA!R121</f>
        <v>933000000</v>
      </c>
      <c r="S143" s="78" t="str">
        <f>[2]DATA!W121</f>
        <v>JICA</v>
      </c>
      <c r="T143" s="77">
        <f>[2]DATA!Z121</f>
        <v>933000000</v>
      </c>
      <c r="U143" s="77">
        <v>0</v>
      </c>
      <c r="V143" s="216" t="str">
        <f>[2]DATA!W121</f>
        <v>JICA</v>
      </c>
      <c r="W143" s="245">
        <f>[2]DATA!AN121</f>
        <v>933000000</v>
      </c>
      <c r="X143" s="109" t="str">
        <f>[2]DATA!AO121</f>
        <v>JICA</v>
      </c>
      <c r="Y143" s="248" t="str">
        <f>[2]DATA!AP121</f>
        <v>-</v>
      </c>
      <c r="Z143" s="2408" t="s">
        <v>603</v>
      </c>
      <c r="AA143" s="2408" t="s">
        <v>603</v>
      </c>
      <c r="AB143" s="2408"/>
    </row>
    <row r="144" spans="1:28" ht="47.25" customHeight="1">
      <c r="A144" s="10">
        <f>[2]DATA!A123</f>
        <v>105</v>
      </c>
      <c r="B144" s="10">
        <f>[2]DATA!B123</f>
        <v>0</v>
      </c>
      <c r="C144" s="10" t="str">
        <f>[2]DATA!C123</f>
        <v>INFRASTRUKTUR</v>
      </c>
      <c r="D144" s="10">
        <f>[2]DATA!D123</f>
        <v>7</v>
      </c>
      <c r="E144" s="10" t="str">
        <f>[2]DATA!E123</f>
        <v>PT. PLN</v>
      </c>
      <c r="F144" s="10" t="str">
        <f>[2]DATA!F123</f>
        <v>Electricity Infrastructure Development Program</v>
      </c>
      <c r="G144" s="10" t="str">
        <f>[2]DATA!G123</f>
        <v>A</v>
      </c>
      <c r="H144" s="10" t="str">
        <f>[2]DATA!H123</f>
        <v>Program Pembangunan Infrastruktur Ketenagalistrikan</v>
      </c>
      <c r="I144" s="10">
        <f>[2]DATA!I123</f>
        <v>2</v>
      </c>
      <c r="J144" s="181"/>
      <c r="K144" s="34"/>
      <c r="L144" s="34"/>
      <c r="M144" s="52">
        <v>96</v>
      </c>
      <c r="N144" s="37" t="str">
        <f>[2]DATA!J123</f>
        <v>Engineering Service for Hululais 1&amp;2 Geothermal Power Plant Project (2x55 MW</v>
      </c>
      <c r="O144" s="20">
        <f>[2]DATA!O123</f>
        <v>1</v>
      </c>
      <c r="P144" s="20">
        <f>[2]DATA!P123</f>
        <v>1</v>
      </c>
      <c r="Q144" s="186">
        <f>[2]DATA!Q123</f>
        <v>93</v>
      </c>
      <c r="R144" s="187">
        <f>[2]DATA!R123</f>
        <v>6600000</v>
      </c>
      <c r="S144" s="78" t="str">
        <f>[2]DATA!W123</f>
        <v>JICA</v>
      </c>
      <c r="T144" s="77">
        <f>[2]DATA!Z123</f>
        <v>6600000</v>
      </c>
      <c r="U144" s="77">
        <v>0</v>
      </c>
      <c r="V144" s="216" t="str">
        <f>[2]DATA!W123</f>
        <v>JICA</v>
      </c>
      <c r="W144" s="245">
        <f>[2]DATA!AN123</f>
        <v>6600000</v>
      </c>
      <c r="X144" s="109" t="str">
        <f>[2]DATA!AO123</f>
        <v>JICA</v>
      </c>
      <c r="Y144" s="248" t="str">
        <f>[2]DATA!AP123</f>
        <v>-</v>
      </c>
      <c r="Z144" s="2408" t="s">
        <v>608</v>
      </c>
      <c r="AA144" s="2408" t="s">
        <v>603</v>
      </c>
      <c r="AB144" s="2408"/>
    </row>
    <row r="145" spans="1:28" ht="31.5" customHeight="1">
      <c r="A145" s="10">
        <f>[2]DATA!A124</f>
        <v>106</v>
      </c>
      <c r="B145" s="10">
        <f>[2]DATA!B124</f>
        <v>0</v>
      </c>
      <c r="C145" s="10" t="str">
        <f>[2]DATA!C124</f>
        <v>INFRASTRUKTUR</v>
      </c>
      <c r="D145" s="10">
        <f>[2]DATA!D124</f>
        <v>7</v>
      </c>
      <c r="E145" s="10" t="str">
        <f>[2]DATA!E124</f>
        <v>PT. PLN</v>
      </c>
      <c r="F145" s="10" t="str">
        <f>[2]DATA!F124</f>
        <v>Electricity Infrastructure Development Program</v>
      </c>
      <c r="G145" s="10" t="str">
        <f>[2]DATA!G124</f>
        <v>A</v>
      </c>
      <c r="H145" s="10" t="str">
        <f>[2]DATA!H124</f>
        <v>Program Pembangunan Infrastruktur Ketenagalistrikan</v>
      </c>
      <c r="I145" s="10">
        <f>[2]DATA!I124</f>
        <v>2</v>
      </c>
      <c r="J145" s="181"/>
      <c r="K145" s="34"/>
      <c r="L145" s="34"/>
      <c r="M145" s="52">
        <v>97</v>
      </c>
      <c r="N145" s="37" t="str">
        <f>[2]DATA!J124</f>
        <v>Hululais Geothermal Power Plant</v>
      </c>
      <c r="O145" s="20">
        <f>[2]DATA!O124</f>
        <v>1</v>
      </c>
      <c r="P145" s="20">
        <f>[2]DATA!P124</f>
        <v>1</v>
      </c>
      <c r="Q145" s="186">
        <f>[2]DATA!Q124</f>
        <v>94</v>
      </c>
      <c r="R145" s="187">
        <f>[2]DATA!R124</f>
        <v>204000000</v>
      </c>
      <c r="S145" s="78" t="str">
        <f>[2]DATA!W124</f>
        <v>JICA</v>
      </c>
      <c r="T145" s="77">
        <f>[2]DATA!Z124</f>
        <v>204000000</v>
      </c>
      <c r="U145" s="77">
        <v>0</v>
      </c>
      <c r="V145" s="216" t="str">
        <f>[2]DATA!W124</f>
        <v>JICA</v>
      </c>
      <c r="W145" s="245">
        <f>[2]DATA!AN124</f>
        <v>204000000</v>
      </c>
      <c r="X145" s="109" t="str">
        <f>[2]DATA!AO124</f>
        <v>JICA</v>
      </c>
      <c r="Y145" s="248" t="str">
        <f>[2]DATA!AP124</f>
        <v>-</v>
      </c>
      <c r="Z145" s="2408" t="s">
        <v>603</v>
      </c>
      <c r="AA145" s="2408" t="s">
        <v>603</v>
      </c>
      <c r="AB145" s="2408"/>
    </row>
    <row r="146" spans="1:28" ht="39" customHeight="1">
      <c r="A146" s="10">
        <f>[2]DATA!A125</f>
        <v>107</v>
      </c>
      <c r="B146" s="10">
        <f>[2]DATA!B125</f>
        <v>0</v>
      </c>
      <c r="C146" s="10" t="str">
        <f>[2]DATA!C125</f>
        <v>INFRASTRUKTUR</v>
      </c>
      <c r="D146" s="10">
        <f>[2]DATA!D125</f>
        <v>7</v>
      </c>
      <c r="E146" s="10" t="str">
        <f>[2]DATA!E125</f>
        <v>PT. PLN</v>
      </c>
      <c r="F146" s="10" t="str">
        <f>[2]DATA!F125</f>
        <v>Electricity Infrastructure Development Program</v>
      </c>
      <c r="G146" s="10" t="str">
        <f>[2]DATA!G125</f>
        <v>A</v>
      </c>
      <c r="H146" s="10" t="str">
        <f>[2]DATA!H125</f>
        <v>Program Pembangunan Infrastruktur Ketenagalistrikan</v>
      </c>
      <c r="I146" s="10">
        <f>[2]DATA!I125</f>
        <v>3</v>
      </c>
      <c r="J146" s="181"/>
      <c r="K146" s="34"/>
      <c r="L146" s="34"/>
      <c r="M146" s="52">
        <v>98</v>
      </c>
      <c r="N146" s="37" t="str">
        <f>[2]DATA!J125</f>
        <v>Bakaru II Hydro Electrical Power Plant (2x63MW)</v>
      </c>
      <c r="O146" s="20">
        <f>[2]DATA!O125</f>
        <v>1</v>
      </c>
      <c r="P146" s="20">
        <f>[2]DATA!P125</f>
        <v>1</v>
      </c>
      <c r="Q146" s="186">
        <f>[2]DATA!Q125</f>
        <v>95</v>
      </c>
      <c r="R146" s="187">
        <f>[2]DATA!R125</f>
        <v>280000000</v>
      </c>
      <c r="S146" s="78" t="str">
        <f>[2]DATA!W125</f>
        <v>Jerman (KfW)</v>
      </c>
      <c r="T146" s="77">
        <f>[2]DATA!Z125</f>
        <v>280000000</v>
      </c>
      <c r="U146" s="77">
        <v>0</v>
      </c>
      <c r="V146" s="216" t="str">
        <f>[2]DATA!W125</f>
        <v>Jerman (KfW)</v>
      </c>
      <c r="W146" s="245">
        <f>[2]DATA!AN125</f>
        <v>280000000</v>
      </c>
      <c r="X146" s="109" t="str">
        <f>[2]DATA!AO125</f>
        <v>Jerman (KfW)</v>
      </c>
      <c r="Y146" s="248" t="str">
        <f>[2]DATA!AP125</f>
        <v>-</v>
      </c>
      <c r="Z146" s="2409" t="s">
        <v>702</v>
      </c>
      <c r="AA146" s="2408" t="s">
        <v>729</v>
      </c>
      <c r="AB146" s="2409" t="s">
        <v>1125</v>
      </c>
    </row>
    <row r="147" spans="1:28" ht="42.75" customHeight="1">
      <c r="A147" s="10">
        <f>[2]DATA!A126</f>
        <v>108</v>
      </c>
      <c r="B147" s="10">
        <f>[2]DATA!B126</f>
        <v>0</v>
      </c>
      <c r="C147" s="10" t="str">
        <f>[2]DATA!C126</f>
        <v>INFRASTRUKTUR</v>
      </c>
      <c r="D147" s="10">
        <f>[2]DATA!D126</f>
        <v>7</v>
      </c>
      <c r="E147" s="10" t="str">
        <f>[2]DATA!E126</f>
        <v>PT. PLN</v>
      </c>
      <c r="F147" s="10" t="str">
        <f>[2]DATA!F126</f>
        <v>Electricity Infrastructure Development Program</v>
      </c>
      <c r="G147" s="10" t="str">
        <f>[2]DATA!G126</f>
        <v>A</v>
      </c>
      <c r="H147" s="10" t="str">
        <f>[2]DATA!H126</f>
        <v>Program Pembangunan Infrastruktur Ketenagalistrikan</v>
      </c>
      <c r="I147" s="10">
        <f>[2]DATA!I126</f>
        <v>4</v>
      </c>
      <c r="J147" s="181"/>
      <c r="K147" s="34"/>
      <c r="L147" s="34"/>
      <c r="M147" s="52">
        <v>99</v>
      </c>
      <c r="N147" s="37" t="str">
        <f>[2]DATA!J126</f>
        <v>Tulehu Geothermal Power Plant Project Unit 1&amp;2 (2x10MW)</v>
      </c>
      <c r="O147" s="20">
        <f>[2]DATA!O126</f>
        <v>1</v>
      </c>
      <c r="P147" s="20">
        <f>[2]DATA!P126</f>
        <v>1</v>
      </c>
      <c r="Q147" s="186">
        <f>[2]DATA!Q126</f>
        <v>96</v>
      </c>
      <c r="R147" s="187">
        <f>[2]DATA!R126</f>
        <v>104000000</v>
      </c>
      <c r="S147" s="78" t="str">
        <f>[2]DATA!W126</f>
        <v>JICA</v>
      </c>
      <c r="T147" s="77">
        <f>[2]DATA!Z126</f>
        <v>104000000</v>
      </c>
      <c r="U147" s="77">
        <v>0</v>
      </c>
      <c r="V147" s="216" t="str">
        <f>[2]DATA!W126</f>
        <v>JICA</v>
      </c>
      <c r="W147" s="245">
        <f>[2]DATA!AN126</f>
        <v>104000000</v>
      </c>
      <c r="X147" s="109" t="str">
        <f>[2]DATA!AO126</f>
        <v>JICA</v>
      </c>
      <c r="Y147" s="248" t="str">
        <f>[2]DATA!AP126</f>
        <v>-</v>
      </c>
      <c r="Z147" s="2408" t="s">
        <v>608</v>
      </c>
      <c r="AA147" s="2408" t="s">
        <v>934</v>
      </c>
      <c r="AB147" s="2408"/>
    </row>
    <row r="148" spans="1:28" ht="39.75" customHeight="1">
      <c r="A148" s="10">
        <f>[2]DATA!A127</f>
        <v>109</v>
      </c>
      <c r="B148" s="10">
        <f>[2]DATA!B127</f>
        <v>0</v>
      </c>
      <c r="C148" s="10" t="str">
        <f>[2]DATA!C127</f>
        <v>INFRASTRUKTUR</v>
      </c>
      <c r="D148" s="10">
        <f>[2]DATA!D127</f>
        <v>7</v>
      </c>
      <c r="E148" s="10" t="str">
        <f>[2]DATA!E127</f>
        <v>PT. PLN</v>
      </c>
      <c r="F148" s="10" t="str">
        <f>[2]DATA!F127</f>
        <v>Electricity Infrastructure Development Program</v>
      </c>
      <c r="G148" s="10" t="str">
        <f>[2]DATA!G127</f>
        <v>A</v>
      </c>
      <c r="H148" s="10" t="str">
        <f>[2]DATA!H127</f>
        <v>Program Pembangunan Infrastruktur Ketenagalistrikan</v>
      </c>
      <c r="I148" s="10">
        <f>[2]DATA!I127</f>
        <v>5</v>
      </c>
      <c r="J148" s="181"/>
      <c r="K148" s="34"/>
      <c r="L148" s="34"/>
      <c r="M148" s="52">
        <v>100</v>
      </c>
      <c r="N148" s="37" t="str">
        <f>[2]DATA!J127</f>
        <v>Indramayu Coal Fired Power Plant  #4 (1x1000MW)</v>
      </c>
      <c r="O148" s="20">
        <f>[2]DATA!O127</f>
        <v>1</v>
      </c>
      <c r="P148" s="20">
        <f>[2]DATA!P127</f>
        <v>1</v>
      </c>
      <c r="Q148" s="186">
        <f>[2]DATA!Q127</f>
        <v>97</v>
      </c>
      <c r="R148" s="187">
        <f>[2]DATA!R127</f>
        <v>1845000000</v>
      </c>
      <c r="S148" s="78" t="str">
        <f>[2]DATA!W127</f>
        <v>JICA</v>
      </c>
      <c r="T148" s="77">
        <f>[2]DATA!Z127</f>
        <v>1845000000</v>
      </c>
      <c r="U148" s="77">
        <v>0</v>
      </c>
      <c r="V148" s="216" t="str">
        <f>[2]DATA!W127</f>
        <v>JICA</v>
      </c>
      <c r="W148" s="245">
        <f>[2]DATA!AN127</f>
        <v>1845000000</v>
      </c>
      <c r="X148" s="109" t="str">
        <f>[2]DATA!AO127</f>
        <v>JICA</v>
      </c>
      <c r="Y148" s="248" t="str">
        <f>[2]DATA!AP127</f>
        <v>-</v>
      </c>
      <c r="Z148" s="2408" t="s">
        <v>568</v>
      </c>
      <c r="AA148" s="2408" t="s">
        <v>729</v>
      </c>
      <c r="AB148" s="2408"/>
    </row>
    <row r="149" spans="1:28" ht="46.5" customHeight="1">
      <c r="A149" s="10">
        <f>[2]DATA!A128</f>
        <v>110</v>
      </c>
      <c r="B149" s="10">
        <f>[2]DATA!B128</f>
        <v>0</v>
      </c>
      <c r="C149" s="10" t="str">
        <f>[2]DATA!C128</f>
        <v>INFRASTRUKTUR</v>
      </c>
      <c r="D149" s="10">
        <f>[2]DATA!D128</f>
        <v>7</v>
      </c>
      <c r="E149" s="10" t="str">
        <f>[2]DATA!E128</f>
        <v>PT. PLN</v>
      </c>
      <c r="F149" s="10" t="str">
        <f>[2]DATA!F128</f>
        <v>Electricity Infrastructure Development Program</v>
      </c>
      <c r="G149" s="10" t="str">
        <f>[2]DATA!G128</f>
        <v>A</v>
      </c>
      <c r="H149" s="10" t="str">
        <f>[2]DATA!H128</f>
        <v>Program Pembangunan Infrastruktur Ketenagalistrikan</v>
      </c>
      <c r="I149" s="10">
        <f>[2]DATA!I128</f>
        <v>6</v>
      </c>
      <c r="J149" s="181"/>
      <c r="K149" s="34"/>
      <c r="L149" s="34"/>
      <c r="M149" s="52">
        <v>101</v>
      </c>
      <c r="N149" s="37" t="str">
        <f>[2]DATA!J128</f>
        <v>Additional Loan for Upper Cisokan Pumped Storage Hydro Electrical Power Plant (4x260MW)</v>
      </c>
      <c r="O149" s="20">
        <f>[2]DATA!O128</f>
        <v>1</v>
      </c>
      <c r="P149" s="20">
        <f>[2]DATA!P128</f>
        <v>1</v>
      </c>
      <c r="Q149" s="186">
        <f>[2]DATA!Q128</f>
        <v>98</v>
      </c>
      <c r="R149" s="187">
        <f>[2]DATA!R128</f>
        <v>200000000</v>
      </c>
      <c r="S149" s="78" t="str">
        <f>[2]DATA!W128</f>
        <v>Bank Dunia</v>
      </c>
      <c r="T149" s="77">
        <f>[2]DATA!Z128</f>
        <v>200000000</v>
      </c>
      <c r="U149" s="77">
        <v>0</v>
      </c>
      <c r="V149" s="216" t="str">
        <f>[2]DATA!W128</f>
        <v>Bank Dunia</v>
      </c>
      <c r="W149" s="245">
        <f>[2]DATA!AN128</f>
        <v>200000000</v>
      </c>
      <c r="X149" s="109" t="str">
        <f>[2]DATA!AO128</f>
        <v>Bank Dunia</v>
      </c>
      <c r="Y149" s="248" t="str">
        <f>[2]DATA!AP128</f>
        <v>-</v>
      </c>
      <c r="Z149" s="2408" t="s">
        <v>568</v>
      </c>
      <c r="AA149" s="2408" t="s">
        <v>938</v>
      </c>
      <c r="AB149" s="2408"/>
    </row>
    <row r="150" spans="1:28" ht="43.5" customHeight="1">
      <c r="A150" s="10">
        <f>[2]DATA!A129</f>
        <v>111</v>
      </c>
      <c r="B150" s="10">
        <f>[2]DATA!B129</f>
        <v>0</v>
      </c>
      <c r="C150" s="10" t="str">
        <f>[2]DATA!C129</f>
        <v>INFRASTRUKTUR</v>
      </c>
      <c r="D150" s="10">
        <f>[2]DATA!D129</f>
        <v>7</v>
      </c>
      <c r="E150" s="10" t="str">
        <f>[2]DATA!E129</f>
        <v>PT. PLN</v>
      </c>
      <c r="F150" s="10" t="str">
        <f>[2]DATA!F129</f>
        <v>Electricity Infrastructure Development Program</v>
      </c>
      <c r="G150" s="10" t="str">
        <f>[2]DATA!G129</f>
        <v>A</v>
      </c>
      <c r="H150" s="10" t="str">
        <f>[2]DATA!H129</f>
        <v>Program Pembangunan Infrastruktur Ketenagalistrikan</v>
      </c>
      <c r="I150" s="10">
        <f>[2]DATA!I129</f>
        <v>7</v>
      </c>
      <c r="J150" s="181"/>
      <c r="K150" s="34"/>
      <c r="L150" s="34"/>
      <c r="M150" s="52">
        <v>102</v>
      </c>
      <c r="N150" s="37" t="str">
        <f>[2]DATA!J129</f>
        <v>Sungai Penuh Geothermal Power Plant 1&amp;2 (2x55MW)</v>
      </c>
      <c r="O150" s="20">
        <f>[2]DATA!O129</f>
        <v>1</v>
      </c>
      <c r="P150" s="20">
        <f>[2]DATA!P129</f>
        <v>1</v>
      </c>
      <c r="Q150" s="186">
        <f>[2]DATA!Q129</f>
        <v>99</v>
      </c>
      <c r="R150" s="187">
        <f>[2]DATA!R129</f>
        <v>205000000</v>
      </c>
      <c r="S150" s="78" t="str">
        <f>[2]DATA!W129</f>
        <v>ADB</v>
      </c>
      <c r="T150" s="77">
        <f>[2]DATA!Z129</f>
        <v>205000000</v>
      </c>
      <c r="U150" s="77">
        <v>0</v>
      </c>
      <c r="V150" s="216" t="str">
        <f>[2]DATA!W129</f>
        <v>ADB</v>
      </c>
      <c r="W150" s="245">
        <f>[2]DATA!AN129</f>
        <v>205000000</v>
      </c>
      <c r="X150" s="109" t="str">
        <f>[2]DATA!AO129</f>
        <v>ADB</v>
      </c>
      <c r="Y150" s="248" t="str">
        <f>[2]DATA!AP129</f>
        <v>-</v>
      </c>
      <c r="Z150" s="2408" t="s">
        <v>568</v>
      </c>
      <c r="AA150" s="2408" t="s">
        <v>603</v>
      </c>
      <c r="AB150" s="2408"/>
    </row>
    <row r="151" spans="1:28" ht="40.5" customHeight="1">
      <c r="A151" s="10">
        <f>[2]DATA!A130</f>
        <v>112</v>
      </c>
      <c r="B151" s="10">
        <f>[2]DATA!B130</f>
        <v>0</v>
      </c>
      <c r="C151" s="10" t="str">
        <f>[2]DATA!C130</f>
        <v>INFRASTRUKTUR</v>
      </c>
      <c r="D151" s="10">
        <f>[2]DATA!D130</f>
        <v>7</v>
      </c>
      <c r="E151" s="10" t="str">
        <f>[2]DATA!E130</f>
        <v>PT. PLN</v>
      </c>
      <c r="F151" s="10" t="str">
        <f>[2]DATA!F130</f>
        <v>Electricity Infrastructure Development Program</v>
      </c>
      <c r="G151" s="10" t="str">
        <f>[2]DATA!G130</f>
        <v>A</v>
      </c>
      <c r="H151" s="10" t="str">
        <f>[2]DATA!H130</f>
        <v>Program Pembangunan Infrastruktur Ketenagalistrikan</v>
      </c>
      <c r="I151" s="10">
        <f>[2]DATA!I130</f>
        <v>8</v>
      </c>
      <c r="J151" s="256"/>
      <c r="K151" s="54"/>
      <c r="L151" s="54"/>
      <c r="M151" s="52">
        <v>103</v>
      </c>
      <c r="N151" s="37" t="str">
        <f>[2]DATA!J130</f>
        <v>Matenggeng Pumped Storage Hydro Electrical Power Plant (4x225MW)</v>
      </c>
      <c r="O151" s="20">
        <f>[2]DATA!O130</f>
        <v>1</v>
      </c>
      <c r="P151" s="20">
        <f>[2]DATA!P130</f>
        <v>1</v>
      </c>
      <c r="Q151" s="186">
        <f>[2]DATA!Q130</f>
        <v>100</v>
      </c>
      <c r="R151" s="187">
        <f>[2]DATA!R130</f>
        <v>500000000</v>
      </c>
      <c r="S151" s="78" t="str">
        <f>[2]DATA!W130</f>
        <v>Bank Dunia</v>
      </c>
      <c r="T151" s="77">
        <f>[2]DATA!Z130</f>
        <v>500000000</v>
      </c>
      <c r="U151" s="77">
        <v>0</v>
      </c>
      <c r="V151" s="216" t="str">
        <f>[2]DATA!W130</f>
        <v>Bank Dunia</v>
      </c>
      <c r="W151" s="245">
        <f>[2]DATA!AN130</f>
        <v>500000000</v>
      </c>
      <c r="X151" s="109" t="str">
        <f>[2]DATA!AO130</f>
        <v>Bank Dunia</v>
      </c>
      <c r="Y151" s="248" t="str">
        <f>[2]DATA!AP130</f>
        <v>-</v>
      </c>
      <c r="Z151" s="2408" t="s">
        <v>608</v>
      </c>
      <c r="AA151" s="2408" t="s">
        <v>603</v>
      </c>
      <c r="AB151" s="2408"/>
    </row>
    <row r="152" spans="1:28" s="3" customFormat="1" ht="30" customHeight="1">
      <c r="J152" s="178" t="str">
        <f>[2]DATA!B131</f>
        <v>II</v>
      </c>
      <c r="K152" s="112" t="str">
        <f>[2]DATA!C131</f>
        <v>NON-INFRASTRUKTUR</v>
      </c>
      <c r="L152" s="22"/>
      <c r="M152" s="22"/>
      <c r="N152" s="23"/>
      <c r="O152" s="22"/>
      <c r="P152" s="22"/>
      <c r="Q152" s="190"/>
      <c r="R152" s="191">
        <f t="shared" ref="R152:U152" si="23">+R153+R162+R170+R173+R184+R187+R198+R201+R204+R207</f>
        <v>4590772100</v>
      </c>
      <c r="S152" s="79"/>
      <c r="T152" s="79">
        <f t="shared" si="23"/>
        <v>3088329500</v>
      </c>
      <c r="U152" s="79">
        <f t="shared" si="23"/>
        <v>1502442600</v>
      </c>
      <c r="V152" s="212"/>
      <c r="W152" s="240">
        <f t="shared" ref="W152" si="24">+W153+W162+W170+W173+W184+W187+W198+W201+W204+W207</f>
        <v>4590772100</v>
      </c>
      <c r="X152" s="79" t="s">
        <v>21</v>
      </c>
      <c r="Y152" s="225"/>
      <c r="Z152" s="2422"/>
      <c r="AA152" s="2422"/>
      <c r="AB152" s="2422"/>
    </row>
    <row r="153" spans="1:28" s="4" customFormat="1" ht="24.95" customHeight="1">
      <c r="J153" s="179"/>
      <c r="K153" s="25">
        <f>[2]DATA!D131</f>
        <v>8</v>
      </c>
      <c r="L153" s="108" t="str">
        <f>[2]DATA!E131</f>
        <v>Kementerian Riset, Teknologi, dan Pendidikan Tinggi</v>
      </c>
      <c r="M153" s="25"/>
      <c r="N153" s="27"/>
      <c r="O153" s="26"/>
      <c r="P153" s="26"/>
      <c r="Q153" s="193"/>
      <c r="R153" s="194">
        <f>+R154</f>
        <v>290311500</v>
      </c>
      <c r="S153" s="80"/>
      <c r="T153" s="80">
        <f t="shared" ref="T153:U153" si="25">+T154</f>
        <v>290311500</v>
      </c>
      <c r="U153" s="80">
        <f t="shared" si="25"/>
        <v>0</v>
      </c>
      <c r="V153" s="213"/>
      <c r="W153" s="242">
        <f>+W154</f>
        <v>290311500</v>
      </c>
      <c r="X153" s="80" t="s">
        <v>21</v>
      </c>
      <c r="Y153" s="227"/>
      <c r="Z153" s="2413"/>
      <c r="AA153" s="2413"/>
      <c r="AB153" s="2413"/>
    </row>
    <row r="154" spans="1:28" s="5" customFormat="1" ht="33.75" customHeight="1">
      <c r="J154" s="180"/>
      <c r="K154" s="29"/>
      <c r="L154" s="30" t="str">
        <f>[2]DATA!G131</f>
        <v>A</v>
      </c>
      <c r="M154" s="3427" t="str">
        <f>[2]DATA!H131</f>
        <v>Program Peningkatan Akses, Kualitas, Relevansi, dan Daya Saing Pendidikan Tinggi</v>
      </c>
      <c r="N154" s="3428"/>
      <c r="O154" s="31"/>
      <c r="P154" s="31"/>
      <c r="Q154" s="196"/>
      <c r="R154" s="197">
        <f>R155+R156+R157+R158+R159+R160+R161</f>
        <v>290311500</v>
      </c>
      <c r="S154" s="81"/>
      <c r="T154" s="81">
        <f t="shared" ref="T154:W154" si="26">T155+T156+T157+T158+T159+T160+T161</f>
        <v>290311500</v>
      </c>
      <c r="U154" s="81">
        <f t="shared" si="26"/>
        <v>0</v>
      </c>
      <c r="V154" s="214"/>
      <c r="W154" s="244">
        <f t="shared" si="26"/>
        <v>290311500</v>
      </c>
      <c r="X154" s="81" t="s">
        <v>21</v>
      </c>
      <c r="Y154" s="229"/>
      <c r="Z154" s="2407"/>
      <c r="AA154" s="2407"/>
      <c r="AB154" s="2407"/>
    </row>
    <row r="155" spans="1:28" ht="39" customHeight="1">
      <c r="A155" s="10">
        <f>[2]DATA!A132</f>
        <v>114</v>
      </c>
      <c r="B155" s="10">
        <f>[2]DATA!B132</f>
        <v>0</v>
      </c>
      <c r="C155" s="10" t="str">
        <f>[2]DATA!C132</f>
        <v>NON-INFRASTRUKTUR</v>
      </c>
      <c r="D155" s="10">
        <f>[2]DATA!D132</f>
        <v>8</v>
      </c>
      <c r="E155" s="10" t="str">
        <f>[2]DATA!E132</f>
        <v>Kementerian Riset, Teknologi, dan Pendidikan Tinggi</v>
      </c>
      <c r="F155" s="10" t="str">
        <f>[2]DATA!F132</f>
        <v>Improving Access, Quality, Relevance, and Competitiveness of Higher Education Program</v>
      </c>
      <c r="G155" s="10" t="str">
        <f>[2]DATA!G132</f>
        <v>A</v>
      </c>
      <c r="H155" s="10" t="str">
        <f>[2]DATA!H132</f>
        <v>Program Peningkatan Akses, Kualitas, Relevansi, dan Daya Saing Pendidikan Tinggi</v>
      </c>
      <c r="I155" s="10">
        <f>[2]DATA!I132</f>
        <v>1</v>
      </c>
      <c r="J155" s="181"/>
      <c r="K155" s="34"/>
      <c r="L155" s="34"/>
      <c r="M155" s="172">
        <v>104</v>
      </c>
      <c r="N155" s="37" t="str">
        <f>[2]DATA!J132</f>
        <v>The Development of Sultan Ageng Tirtayasa University (UNTIRTA)</v>
      </c>
      <c r="O155" s="20">
        <f>[2]DATA!O132</f>
        <v>0.14285714285714299</v>
      </c>
      <c r="P155" s="20">
        <f>[2]DATA!P132</f>
        <v>0</v>
      </c>
      <c r="Q155" s="186">
        <f>[2]DATA!Q132</f>
        <v>0</v>
      </c>
      <c r="R155" s="187">
        <f>[2]DATA!R132</f>
        <v>49882300</v>
      </c>
      <c r="S155" s="78" t="str">
        <f>[2]DATA!W132</f>
        <v>IDB</v>
      </c>
      <c r="T155" s="77">
        <f>[2]DATA!Z132</f>
        <v>49882300</v>
      </c>
      <c r="U155" s="77"/>
      <c r="V155" s="216" t="str">
        <f>[2]DATA!W132</f>
        <v>IDB</v>
      </c>
      <c r="W155" s="245">
        <f>[2]DATA!AN132</f>
        <v>49882300</v>
      </c>
      <c r="X155" s="109" t="str">
        <f>[2]DATA!AO132</f>
        <v>IDB</v>
      </c>
      <c r="Y155" s="248" t="str">
        <f>[2]DATA!AP132</f>
        <v>-</v>
      </c>
      <c r="Z155" s="2408" t="s">
        <v>608</v>
      </c>
      <c r="AA155" s="2408" t="s">
        <v>568</v>
      </c>
      <c r="AB155" s="2408"/>
    </row>
    <row r="156" spans="1:28" ht="40.5" customHeight="1">
      <c r="A156" s="10">
        <f>[2]DATA!A133</f>
        <v>115</v>
      </c>
      <c r="B156" s="10">
        <f>[2]DATA!B133</f>
        <v>0</v>
      </c>
      <c r="C156" s="10" t="str">
        <f>[2]DATA!C133</f>
        <v>NON-INFRASTRUKTUR</v>
      </c>
      <c r="D156" s="10">
        <f>[2]DATA!D133</f>
        <v>8</v>
      </c>
      <c r="E156" s="10" t="str">
        <f>[2]DATA!E133</f>
        <v>Kementerian Riset, Teknologi, dan Pendidikan Tinggi</v>
      </c>
      <c r="F156" s="10" t="str">
        <f>[2]DATA!F133</f>
        <v>Improving Access, Quality, Relevance, and Competitiveness of Higher Education Program</v>
      </c>
      <c r="G156" s="10" t="str">
        <f>[2]DATA!G133</f>
        <v>A</v>
      </c>
      <c r="H156" s="10" t="str">
        <f>[2]DATA!H133</f>
        <v>Program Peningkatan Akses, Kualitas, Relevansi, dan Daya Saing Pendidikan Tinggi</v>
      </c>
      <c r="I156" s="10">
        <f>[2]DATA!I133</f>
        <v>1</v>
      </c>
      <c r="J156" s="181"/>
      <c r="K156" s="34"/>
      <c r="L156" s="34"/>
      <c r="M156" s="172">
        <v>105</v>
      </c>
      <c r="N156" s="37" t="str">
        <f>[2]DATA!J133</f>
        <v>Development for State University of Malang as The Learning University</v>
      </c>
      <c r="O156" s="20">
        <f>[2]DATA!O133</f>
        <v>0.14285714285714299</v>
      </c>
      <c r="P156" s="20">
        <f>[2]DATA!P133</f>
        <v>0</v>
      </c>
      <c r="Q156" s="186">
        <f>[2]DATA!Q133</f>
        <v>0</v>
      </c>
      <c r="R156" s="187">
        <f>[2]DATA!R133</f>
        <v>38400000</v>
      </c>
      <c r="S156" s="78" t="str">
        <f>[2]DATA!W133</f>
        <v>IDB</v>
      </c>
      <c r="T156" s="77">
        <f>[2]DATA!Z133</f>
        <v>38400000</v>
      </c>
      <c r="U156" s="77"/>
      <c r="V156" s="216" t="str">
        <f>[2]DATA!W133</f>
        <v>IDB</v>
      </c>
      <c r="W156" s="245">
        <f>[2]DATA!AN133</f>
        <v>38400000</v>
      </c>
      <c r="X156" s="109" t="str">
        <f>[2]DATA!AO133</f>
        <v>IDB</v>
      </c>
      <c r="Y156" s="248" t="str">
        <f>[2]DATA!AP133</f>
        <v>-</v>
      </c>
      <c r="Z156" s="2408" t="s">
        <v>675</v>
      </c>
      <c r="AA156" s="2408" t="s">
        <v>568</v>
      </c>
      <c r="AB156" s="2408"/>
    </row>
    <row r="157" spans="1:28" ht="45" customHeight="1">
      <c r="A157" s="10">
        <f>[2]DATA!A134</f>
        <v>116</v>
      </c>
      <c r="B157" s="10">
        <f>[2]DATA!B134</f>
        <v>0</v>
      </c>
      <c r="C157" s="10" t="str">
        <f>[2]DATA!C134</f>
        <v>NON-INFRASTRUKTUR</v>
      </c>
      <c r="D157" s="10">
        <f>[2]DATA!D134</f>
        <v>8</v>
      </c>
      <c r="E157" s="10" t="str">
        <f>[2]DATA!E134</f>
        <v>Kementerian Riset, Teknologi, dan Pendidikan Tinggi</v>
      </c>
      <c r="F157" s="10" t="str">
        <f>[2]DATA!F134</f>
        <v>Improving Access, Quality, Relevance, and Competitiveness of Higher Education Program</v>
      </c>
      <c r="G157" s="10" t="str">
        <f>[2]DATA!G134</f>
        <v>A</v>
      </c>
      <c r="H157" s="10" t="str">
        <f>[2]DATA!H134</f>
        <v>Program Peningkatan Akses, Kualitas, Relevansi, dan Daya Saing Pendidikan Tinggi</v>
      </c>
      <c r="I157" s="10">
        <f>[2]DATA!I134</f>
        <v>1</v>
      </c>
      <c r="J157" s="181"/>
      <c r="K157" s="34"/>
      <c r="L157" s="34"/>
      <c r="M157" s="172">
        <v>106</v>
      </c>
      <c r="N157" s="37" t="str">
        <f>[2]DATA!J134</f>
        <v>The Development and Upgrading Mulawarman University</v>
      </c>
      <c r="O157" s="20">
        <f>[2]DATA!O134</f>
        <v>0.14285714285714299</v>
      </c>
      <c r="P157" s="20">
        <f>[2]DATA!P134</f>
        <v>0</v>
      </c>
      <c r="Q157" s="186">
        <f>[2]DATA!Q134</f>
        <v>0</v>
      </c>
      <c r="R157" s="187">
        <f>[2]DATA!R134</f>
        <v>44400000</v>
      </c>
      <c r="S157" s="78" t="str">
        <f>[2]DATA!W134</f>
        <v>IDB</v>
      </c>
      <c r="T157" s="77">
        <f>[2]DATA!Z134</f>
        <v>44400000</v>
      </c>
      <c r="U157" s="77"/>
      <c r="V157" s="216" t="str">
        <f>[2]DATA!W134</f>
        <v>IDB</v>
      </c>
      <c r="W157" s="245">
        <f>[2]DATA!AN134</f>
        <v>44400000</v>
      </c>
      <c r="X157" s="109" t="str">
        <f>[2]DATA!AO134</f>
        <v>IDB</v>
      </c>
      <c r="Y157" s="248" t="str">
        <f>[2]DATA!AP134</f>
        <v>-</v>
      </c>
      <c r="Z157" s="2408" t="s">
        <v>568</v>
      </c>
      <c r="AA157" s="2408" t="s">
        <v>568</v>
      </c>
      <c r="AB157" s="2408"/>
    </row>
    <row r="158" spans="1:28" ht="67.5" customHeight="1">
      <c r="A158" s="10">
        <f>[2]DATA!A135</f>
        <v>117</v>
      </c>
      <c r="B158" s="10">
        <f>[2]DATA!B135</f>
        <v>0</v>
      </c>
      <c r="C158" s="10" t="str">
        <f>[2]DATA!C135</f>
        <v>NON-INFRASTRUKTUR</v>
      </c>
      <c r="D158" s="10">
        <f>[2]DATA!D135</f>
        <v>8</v>
      </c>
      <c r="E158" s="10" t="str">
        <f>[2]DATA!E135</f>
        <v>Kementerian Riset, Teknologi, dan Pendidikan Tinggi</v>
      </c>
      <c r="F158" s="10" t="str">
        <f>[2]DATA!F135</f>
        <v>Improving Access, Quality, Relevance, and Competitiveness of Higher Education Program</v>
      </c>
      <c r="G158" s="10" t="str">
        <f>[2]DATA!G135</f>
        <v>A</v>
      </c>
      <c r="H158" s="10" t="str">
        <f>[2]DATA!H135</f>
        <v>Program Peningkatan Akses, Kualitas, Relevansi, dan Daya Saing Pendidikan Tinggi</v>
      </c>
      <c r="I158" s="10">
        <f>[2]DATA!I135</f>
        <v>1</v>
      </c>
      <c r="J158" s="181"/>
      <c r="K158" s="34"/>
      <c r="L158" s="34"/>
      <c r="M158" s="172">
        <v>107</v>
      </c>
      <c r="N158" s="37" t="str">
        <f>[2]DATA!J135</f>
        <v>Improvement of The Capacity and Contribution of The University of Jember on Standardized and Excellent Tridharma Implementation in South East Asia Region</v>
      </c>
      <c r="O158" s="20">
        <f>[2]DATA!O135</f>
        <v>0.14285714285714299</v>
      </c>
      <c r="P158" s="20">
        <f>[2]DATA!P135</f>
        <v>0</v>
      </c>
      <c r="Q158" s="186">
        <f>[2]DATA!Q135</f>
        <v>0</v>
      </c>
      <c r="R158" s="187">
        <f>[2]DATA!R135</f>
        <v>44091200</v>
      </c>
      <c r="S158" s="78" t="str">
        <f>[2]DATA!W135</f>
        <v>IDB</v>
      </c>
      <c r="T158" s="77">
        <f>[2]DATA!Z135</f>
        <v>44091200</v>
      </c>
      <c r="U158" s="77"/>
      <c r="V158" s="216" t="str">
        <f>[2]DATA!W135</f>
        <v>IDB</v>
      </c>
      <c r="W158" s="245">
        <f>[2]DATA!AN135</f>
        <v>44091200</v>
      </c>
      <c r="X158" s="109" t="str">
        <f>[2]DATA!AO135</f>
        <v>IDB</v>
      </c>
      <c r="Y158" s="248" t="str">
        <f>[2]DATA!AP135</f>
        <v>-</v>
      </c>
      <c r="Z158" s="2408" t="s">
        <v>675</v>
      </c>
      <c r="AA158" s="2408" t="s">
        <v>568</v>
      </c>
      <c r="AB158" s="2408"/>
    </row>
    <row r="159" spans="1:28" ht="48" customHeight="1">
      <c r="A159" s="10">
        <f>[2]DATA!A136</f>
        <v>118</v>
      </c>
      <c r="B159" s="10">
        <f>[2]DATA!B136</f>
        <v>0</v>
      </c>
      <c r="C159" s="10" t="str">
        <f>[2]DATA!C136</f>
        <v>NON-INFRASTRUKTUR</v>
      </c>
      <c r="D159" s="10">
        <f>[2]DATA!D136</f>
        <v>8</v>
      </c>
      <c r="E159" s="10" t="str">
        <f>[2]DATA!E136</f>
        <v>Kementerian Riset, Teknologi, dan Pendidikan Tinggi</v>
      </c>
      <c r="F159" s="10" t="str">
        <f>[2]DATA!F136</f>
        <v>Improving Access, Quality, Relevance, and Competitiveness of Higher Education Program</v>
      </c>
      <c r="G159" s="10" t="str">
        <f>[2]DATA!G136</f>
        <v>A</v>
      </c>
      <c r="H159" s="10" t="str">
        <f>[2]DATA!H136</f>
        <v>Program Peningkatan Akses, Kualitas, Relevansi, dan Daya Saing Pendidikan Tinggi</v>
      </c>
      <c r="I159" s="10">
        <f>[2]DATA!I136</f>
        <v>1</v>
      </c>
      <c r="J159" s="181"/>
      <c r="K159" s="34"/>
      <c r="L159" s="34"/>
      <c r="M159" s="172">
        <v>108</v>
      </c>
      <c r="N159" s="37" t="str">
        <f>[2]DATA!J136</f>
        <v>The Plan of Hasanuddin University Hospital Development</v>
      </c>
      <c r="O159" s="20">
        <f>[2]DATA!O136</f>
        <v>0.14285714285714299</v>
      </c>
      <c r="P159" s="20">
        <f>[2]DATA!P136</f>
        <v>0</v>
      </c>
      <c r="Q159" s="186">
        <f>[2]DATA!Q136</f>
        <v>0</v>
      </c>
      <c r="R159" s="187">
        <f>[2]DATA!R136</f>
        <v>31565800</v>
      </c>
      <c r="S159" s="78" t="str">
        <f>[2]DATA!W136</f>
        <v>Jerman (KfW)</v>
      </c>
      <c r="T159" s="77">
        <f>[2]DATA!Z136</f>
        <v>31565800</v>
      </c>
      <c r="U159" s="77"/>
      <c r="V159" s="216" t="str">
        <f>[2]DATA!W136</f>
        <v>Jerman (KfW)</v>
      </c>
      <c r="W159" s="245">
        <f>[2]DATA!AN136</f>
        <v>31565800</v>
      </c>
      <c r="X159" s="109" t="str">
        <f>[2]DATA!AO136</f>
        <v>Jerman (KfW)</v>
      </c>
      <c r="Y159" s="248" t="str">
        <f>[2]DATA!AP136</f>
        <v>-</v>
      </c>
      <c r="Z159" s="2408" t="s">
        <v>568</v>
      </c>
      <c r="AA159" s="2408" t="s">
        <v>568</v>
      </c>
      <c r="AB159" s="2408"/>
    </row>
    <row r="160" spans="1:28" ht="37.5" customHeight="1">
      <c r="A160" s="10">
        <f>[2]DATA!A137</f>
        <v>119</v>
      </c>
      <c r="B160" s="10">
        <f>[2]DATA!B137</f>
        <v>0</v>
      </c>
      <c r="C160" s="10" t="str">
        <f>[2]DATA!C137</f>
        <v>NON-INFRASTRUKTUR</v>
      </c>
      <c r="D160" s="10">
        <f>[2]DATA!D137</f>
        <v>8</v>
      </c>
      <c r="E160" s="10" t="str">
        <f>[2]DATA!E137</f>
        <v>Kementerian Riset, Teknologi, dan Pendidikan Tinggi</v>
      </c>
      <c r="F160" s="10" t="str">
        <f>[2]DATA!F137</f>
        <v>Improving Access, Quality, Relevance, and Competitiveness of Higher Education Program</v>
      </c>
      <c r="G160" s="10" t="str">
        <f>[2]DATA!G137</f>
        <v>A</v>
      </c>
      <c r="H160" s="10" t="str">
        <f>[2]DATA!H137</f>
        <v>Program Peningkatan Akses, Kualitas, Relevansi, dan Daya Saing Pendidikan Tinggi</v>
      </c>
      <c r="I160" s="10">
        <f>[2]DATA!I137</f>
        <v>1</v>
      </c>
      <c r="J160" s="181"/>
      <c r="K160" s="34"/>
      <c r="L160" s="34"/>
      <c r="M160" s="172">
        <v>109</v>
      </c>
      <c r="N160" s="37" t="str">
        <f>[2]DATA!J137</f>
        <v>Establishment of University of Bengkulu’s Hospital</v>
      </c>
      <c r="O160" s="20">
        <f>[2]DATA!O137</f>
        <v>0.14285714285714299</v>
      </c>
      <c r="P160" s="20">
        <f>[2]DATA!P137</f>
        <v>0</v>
      </c>
      <c r="Q160" s="186">
        <f>[2]DATA!Q137</f>
        <v>0</v>
      </c>
      <c r="R160" s="187">
        <f>[2]DATA!R137</f>
        <v>10278200</v>
      </c>
      <c r="S160" s="78" t="str">
        <f>[2]DATA!W137</f>
        <v>JICA</v>
      </c>
      <c r="T160" s="77">
        <f>[2]DATA!Z137</f>
        <v>10278200</v>
      </c>
      <c r="U160" s="77"/>
      <c r="V160" s="216" t="str">
        <f>[2]DATA!W137</f>
        <v>JICA</v>
      </c>
      <c r="W160" s="245">
        <f>[2]DATA!AN137</f>
        <v>10278200</v>
      </c>
      <c r="X160" s="109" t="str">
        <f>[2]DATA!AO137</f>
        <v>JICA</v>
      </c>
      <c r="Y160" s="248" t="str">
        <f>[2]DATA!AP137</f>
        <v>-</v>
      </c>
      <c r="Z160" s="2408" t="s">
        <v>568</v>
      </c>
      <c r="AA160" s="2408" t="s">
        <v>568</v>
      </c>
      <c r="AB160" s="2408"/>
    </row>
    <row r="161" spans="1:28" ht="45.75" customHeight="1">
      <c r="A161" s="10">
        <f>[2]DATA!A138</f>
        <v>120</v>
      </c>
      <c r="B161" s="10">
        <f>[2]DATA!B138</f>
        <v>0</v>
      </c>
      <c r="C161" s="10" t="str">
        <f>[2]DATA!C138</f>
        <v>NON-INFRASTRUKTUR</v>
      </c>
      <c r="D161" s="10">
        <f>[2]DATA!D138</f>
        <v>8</v>
      </c>
      <c r="E161" s="10" t="str">
        <f>[2]DATA!E138</f>
        <v>Kementerian Riset, Teknologi, dan Pendidikan Tinggi</v>
      </c>
      <c r="F161" s="10" t="str">
        <f>[2]DATA!F138</f>
        <v>Improving Access, Quality, Relevance, and Competitiveness of Higher Education Program</v>
      </c>
      <c r="G161" s="10" t="str">
        <f>[2]DATA!G138</f>
        <v>A</v>
      </c>
      <c r="H161" s="10" t="str">
        <f>[2]DATA!H138</f>
        <v>Program Peningkatan Akses, Kualitas, Relevansi, dan Daya Saing Pendidikan Tinggi</v>
      </c>
      <c r="I161" s="10">
        <f>[2]DATA!I138</f>
        <v>1</v>
      </c>
      <c r="J161" s="181"/>
      <c r="K161" s="54"/>
      <c r="L161" s="54"/>
      <c r="M161" s="172">
        <v>110</v>
      </c>
      <c r="N161" s="37" t="str">
        <f>[2]DATA!J138</f>
        <v>Universitas Gadjah Mada Achieving World Class University with Socio-Entrepreneurial Spirit</v>
      </c>
      <c r="O161" s="20">
        <f>[2]DATA!O138</f>
        <v>0.14285714285714299</v>
      </c>
      <c r="P161" s="20">
        <f>[2]DATA!P138</f>
        <v>0</v>
      </c>
      <c r="Q161" s="186">
        <f>[2]DATA!Q138</f>
        <v>0</v>
      </c>
      <c r="R161" s="187">
        <f>[2]DATA!R138</f>
        <v>71694000</v>
      </c>
      <c r="S161" s="78" t="str">
        <f>[2]DATA!W138</f>
        <v>JICA</v>
      </c>
      <c r="T161" s="77">
        <f>[2]DATA!Z138</f>
        <v>71694000</v>
      </c>
      <c r="U161" s="77"/>
      <c r="V161" s="216" t="str">
        <f>[2]DATA!W138</f>
        <v>JICA</v>
      </c>
      <c r="W161" s="245">
        <f>[2]DATA!AN138</f>
        <v>71694000</v>
      </c>
      <c r="X161" s="109" t="str">
        <f>[2]DATA!AO138</f>
        <v>JICA</v>
      </c>
      <c r="Y161" s="248" t="str">
        <f>[2]DATA!AP138</f>
        <v>-</v>
      </c>
      <c r="Z161" s="2408" t="s">
        <v>675</v>
      </c>
      <c r="AA161" s="2408" t="s">
        <v>568</v>
      </c>
      <c r="AB161" s="2408"/>
    </row>
    <row r="162" spans="1:28" s="4" customFormat="1" ht="24.95" customHeight="1">
      <c r="J162" s="250"/>
      <c r="K162" s="25">
        <f>[2]DATA!D139</f>
        <v>9</v>
      </c>
      <c r="L162" s="108" t="str">
        <f>[2]DATA!E139</f>
        <v>Kementerian Agama</v>
      </c>
      <c r="M162" s="25"/>
      <c r="N162" s="27"/>
      <c r="O162" s="26"/>
      <c r="P162" s="26"/>
      <c r="Q162" s="193"/>
      <c r="R162" s="194">
        <f>+R163</f>
        <v>238210000</v>
      </c>
      <c r="S162" s="80"/>
      <c r="T162" s="80">
        <f t="shared" ref="T162:W162" si="27">+T163</f>
        <v>238210000</v>
      </c>
      <c r="U162" s="80">
        <f t="shared" si="27"/>
        <v>0</v>
      </c>
      <c r="V162" s="213"/>
      <c r="W162" s="242">
        <f t="shared" si="27"/>
        <v>238210000</v>
      </c>
      <c r="X162" s="80" t="s">
        <v>21</v>
      </c>
      <c r="Y162" s="227"/>
      <c r="Z162" s="2413"/>
      <c r="AA162" s="2413"/>
      <c r="AB162" s="2413"/>
    </row>
    <row r="163" spans="1:28" s="5" customFormat="1" ht="33.75" customHeight="1">
      <c r="J163" s="180"/>
      <c r="K163" s="29"/>
      <c r="L163" s="30" t="str">
        <f>[2]DATA!G139</f>
        <v>A</v>
      </c>
      <c r="M163" s="3427" t="str">
        <f>[2]DATA!H139</f>
        <v>Program Peningkatan Akses, Kualitas, Relevansi, dan Daya Saing Pendidikan Tinggi Islam</v>
      </c>
      <c r="N163" s="3428"/>
      <c r="O163" s="31"/>
      <c r="P163" s="31"/>
      <c r="Q163" s="196"/>
      <c r="R163" s="197">
        <f>R164+R165+R166+R167+R168+R169</f>
        <v>238210000</v>
      </c>
      <c r="S163" s="81"/>
      <c r="T163" s="81">
        <f t="shared" ref="T163:W163" si="28">T164+T165+T166+T167+T168+T169</f>
        <v>238210000</v>
      </c>
      <c r="U163" s="81">
        <f t="shared" si="28"/>
        <v>0</v>
      </c>
      <c r="V163" s="214"/>
      <c r="W163" s="244">
        <f t="shared" si="28"/>
        <v>238210000</v>
      </c>
      <c r="X163" s="81" t="s">
        <v>21</v>
      </c>
      <c r="Y163" s="229"/>
      <c r="Z163" s="2407"/>
      <c r="AA163" s="2407"/>
      <c r="AB163" s="2407"/>
    </row>
    <row r="164" spans="1:28" ht="40.5" customHeight="1">
      <c r="A164" s="10">
        <f>[2]DATA!A140</f>
        <v>124</v>
      </c>
      <c r="B164" s="10">
        <f>[2]DATA!B140</f>
        <v>0</v>
      </c>
      <c r="C164" s="10" t="str">
        <f>[2]DATA!C140</f>
        <v>NON-INFRASTRUKTUR</v>
      </c>
      <c r="D164" s="10">
        <f>[2]DATA!D140</f>
        <v>9</v>
      </c>
      <c r="E164" s="10" t="str">
        <f>[2]DATA!E140</f>
        <v>Kementerian Agama</v>
      </c>
      <c r="F164" s="10" t="str">
        <f>[2]DATA!F140</f>
        <v>Improving Access, Quality, Relevance, and Competitiveness of Islamic Higher Education Program</v>
      </c>
      <c r="G164" s="10" t="str">
        <f>[2]DATA!G140</f>
        <v>A</v>
      </c>
      <c r="H164" s="10" t="str">
        <f>[2]DATA!H140</f>
        <v>Program Peningkatan Akses, Kualitas, Relevansi, dan Daya Saing Pendidikan Tinggi Islam</v>
      </c>
      <c r="I164" s="10">
        <f>[2]DATA!I140</f>
        <v>1</v>
      </c>
      <c r="J164" s="181"/>
      <c r="K164" s="34"/>
      <c r="L164" s="34"/>
      <c r="M164" s="172">
        <v>111</v>
      </c>
      <c r="N164" s="37" t="str">
        <f>[2]DATA!J140</f>
        <v>Improvement and Optimalization of Sunan Ampel Surabaya State Islamic University</v>
      </c>
      <c r="O164" s="20">
        <f>[2]DATA!O140</f>
        <v>0.16666666666666699</v>
      </c>
      <c r="P164" s="20">
        <f>[2]DATA!P140</f>
        <v>0</v>
      </c>
      <c r="Q164" s="186">
        <f>[2]DATA!Q140</f>
        <v>0</v>
      </c>
      <c r="R164" s="187">
        <f>[2]DATA!R140</f>
        <v>40000000</v>
      </c>
      <c r="S164" s="78" t="str">
        <f>[2]DATA!W140</f>
        <v>IDB</v>
      </c>
      <c r="T164" s="77">
        <f>[2]DATA!Z140</f>
        <v>40000000</v>
      </c>
      <c r="U164" s="77"/>
      <c r="V164" s="216" t="str">
        <f>[2]DATA!W140</f>
        <v>IDB</v>
      </c>
      <c r="W164" s="245">
        <f>[2]DATA!AN140</f>
        <v>40000000</v>
      </c>
      <c r="X164" s="109" t="str">
        <f>[2]DATA!AO140</f>
        <v>IDB</v>
      </c>
      <c r="Y164" s="248" t="str">
        <f>[2]DATA!AP140</f>
        <v>-</v>
      </c>
      <c r="Z164" s="2408" t="s">
        <v>675</v>
      </c>
      <c r="AA164" s="2408" t="s">
        <v>1128</v>
      </c>
      <c r="AB164" s="2408"/>
    </row>
    <row r="165" spans="1:28" ht="44.25" customHeight="1">
      <c r="A165" s="10">
        <f>[2]DATA!A141</f>
        <v>125</v>
      </c>
      <c r="B165" s="10">
        <f>[2]DATA!B141</f>
        <v>0</v>
      </c>
      <c r="C165" s="10" t="str">
        <f>[2]DATA!C141</f>
        <v>NON-INFRASTRUKTUR</v>
      </c>
      <c r="D165" s="10">
        <f>[2]DATA!D141</f>
        <v>9</v>
      </c>
      <c r="E165" s="10" t="str">
        <f>[2]DATA!E141</f>
        <v>Kementerian Agama</v>
      </c>
      <c r="F165" s="10" t="str">
        <f>[2]DATA!F141</f>
        <v>Improving Access, Quality, Relevance, and Competitiveness of Islamic Higher Education Program</v>
      </c>
      <c r="G165" s="10" t="str">
        <f>[2]DATA!G141</f>
        <v>A</v>
      </c>
      <c r="H165" s="10" t="str">
        <f>[2]DATA!H141</f>
        <v>Program Peningkatan Akses, Kualitas, Relevansi, dan Daya Saing Pendidikan Tinggi Islam</v>
      </c>
      <c r="I165" s="10">
        <f>[2]DATA!I141</f>
        <v>1</v>
      </c>
      <c r="J165" s="181"/>
      <c r="K165" s="34"/>
      <c r="L165" s="34"/>
      <c r="M165" s="172">
        <v>112</v>
      </c>
      <c r="N165" s="37" t="str">
        <f>[2]DATA!J141</f>
        <v>Improvement Access and Quality of State Islamic Institute  Suthan Maulana Hasanuddin Banten</v>
      </c>
      <c r="O165" s="20">
        <f>[2]DATA!O141</f>
        <v>0.16666666666666699</v>
      </c>
      <c r="P165" s="20">
        <f>[2]DATA!P141</f>
        <v>0</v>
      </c>
      <c r="Q165" s="186">
        <f>[2]DATA!Q141</f>
        <v>0</v>
      </c>
      <c r="R165" s="187">
        <f>[2]DATA!R141</f>
        <v>40000000</v>
      </c>
      <c r="S165" s="78" t="str">
        <f>[2]DATA!W141</f>
        <v>IDB</v>
      </c>
      <c r="T165" s="77">
        <f>[2]DATA!Z141</f>
        <v>40000000</v>
      </c>
      <c r="U165" s="77"/>
      <c r="V165" s="216" t="str">
        <f>[2]DATA!W141</f>
        <v>IDB</v>
      </c>
      <c r="W165" s="245">
        <f>[2]DATA!AN141</f>
        <v>40000000</v>
      </c>
      <c r="X165" s="109" t="str">
        <f>[2]DATA!AO141</f>
        <v>IDB</v>
      </c>
      <c r="Y165" s="248" t="str">
        <f>[2]DATA!AP141</f>
        <v>-</v>
      </c>
      <c r="Z165" s="2408" t="s">
        <v>568</v>
      </c>
      <c r="AA165" s="2408" t="s">
        <v>568</v>
      </c>
      <c r="AB165" s="2408"/>
    </row>
    <row r="166" spans="1:28" ht="45.75" customHeight="1">
      <c r="A166" s="10">
        <f>[2]DATA!A142</f>
        <v>126</v>
      </c>
      <c r="B166" s="10">
        <f>[2]DATA!B142</f>
        <v>0</v>
      </c>
      <c r="C166" s="10" t="str">
        <f>[2]DATA!C142</f>
        <v>NON-INFRASTRUKTUR</v>
      </c>
      <c r="D166" s="10">
        <f>[2]DATA!D142</f>
        <v>9</v>
      </c>
      <c r="E166" s="10" t="str">
        <f>[2]DATA!E142</f>
        <v>Kementerian Agama</v>
      </c>
      <c r="F166" s="10" t="str">
        <f>[2]DATA!F142</f>
        <v>Improving Access, Quality, Relevance, and Competitiveness of Islamic Higher Education Program</v>
      </c>
      <c r="G166" s="10" t="str">
        <f>[2]DATA!G142</f>
        <v>A</v>
      </c>
      <c r="H166" s="10" t="str">
        <f>[2]DATA!H142</f>
        <v>Program Peningkatan Akses, Kualitas, Relevansi, dan Daya Saing Pendidikan Tinggi Islam</v>
      </c>
      <c r="I166" s="10">
        <f>[2]DATA!I142</f>
        <v>1</v>
      </c>
      <c r="J166" s="181"/>
      <c r="K166" s="34"/>
      <c r="L166" s="34"/>
      <c r="M166" s="172">
        <v>113</v>
      </c>
      <c r="N166" s="37" t="str">
        <f>[2]DATA!J142</f>
        <v>Development and Quality Improvement  of Antasari State Islamic Institute</v>
      </c>
      <c r="O166" s="20">
        <f>[2]DATA!O142</f>
        <v>0.16666666666666699</v>
      </c>
      <c r="P166" s="20">
        <f>[2]DATA!P142</f>
        <v>0</v>
      </c>
      <c r="Q166" s="186">
        <f>[2]DATA!Q142</f>
        <v>0</v>
      </c>
      <c r="R166" s="187">
        <f>[2]DATA!R142</f>
        <v>39908600</v>
      </c>
      <c r="S166" s="78" t="str">
        <f>[2]DATA!W142</f>
        <v>IDB</v>
      </c>
      <c r="T166" s="77">
        <f>[2]DATA!Z142</f>
        <v>39900000</v>
      </c>
      <c r="U166" s="77"/>
      <c r="V166" s="216" t="str">
        <f>[2]DATA!W142</f>
        <v>IDB</v>
      </c>
      <c r="W166" s="245">
        <f>[2]DATA!AN142</f>
        <v>39900000</v>
      </c>
      <c r="X166" s="109" t="str">
        <f>[2]DATA!AO142</f>
        <v>IDB</v>
      </c>
      <c r="Y166" s="248" t="str">
        <f>[2]DATA!AP142</f>
        <v>-</v>
      </c>
      <c r="Z166" s="2408" t="s">
        <v>608</v>
      </c>
      <c r="AA166" s="2408" t="s">
        <v>568</v>
      </c>
      <c r="AB166" s="2408"/>
    </row>
    <row r="167" spans="1:28" ht="42" customHeight="1">
      <c r="A167" s="10">
        <f>[2]DATA!A143</f>
        <v>127</v>
      </c>
      <c r="B167" s="10">
        <f>[2]DATA!B143</f>
        <v>0</v>
      </c>
      <c r="C167" s="10" t="str">
        <f>[2]DATA!C143</f>
        <v>NON-INFRASTRUKTUR</v>
      </c>
      <c r="D167" s="10">
        <f>[2]DATA!D143</f>
        <v>9</v>
      </c>
      <c r="E167" s="10" t="str">
        <f>[2]DATA!E143</f>
        <v>Kementerian Agama</v>
      </c>
      <c r="F167" s="10" t="str">
        <f>[2]DATA!F143</f>
        <v>Improving Access, Quality, Relevance, and Competitiveness of Islamic Higher Education Program</v>
      </c>
      <c r="G167" s="10" t="str">
        <f>[2]DATA!G143</f>
        <v>A</v>
      </c>
      <c r="H167" s="10" t="str">
        <f>[2]DATA!H143</f>
        <v>Program Peningkatan Akses, Kualitas, Relevansi, dan Daya Saing Pendidikan Tinggi Islam</v>
      </c>
      <c r="I167" s="10">
        <f>[2]DATA!I143</f>
        <v>1</v>
      </c>
      <c r="J167" s="181"/>
      <c r="K167" s="34"/>
      <c r="L167" s="34"/>
      <c r="M167" s="172">
        <v>114</v>
      </c>
      <c r="N167" s="37" t="str">
        <f>[2]DATA!J143</f>
        <v>Tranformation of State Islamic Institute  Sulthan Thaha Saifuddin to State Islamic University</v>
      </c>
      <c r="O167" s="20">
        <f>[2]DATA!O143</f>
        <v>0.16666666666666699</v>
      </c>
      <c r="P167" s="20">
        <f>[2]DATA!P143</f>
        <v>0</v>
      </c>
      <c r="Q167" s="186">
        <f>[2]DATA!Q143</f>
        <v>0</v>
      </c>
      <c r="R167" s="187">
        <f>[2]DATA!R143</f>
        <v>40000000</v>
      </c>
      <c r="S167" s="78" t="str">
        <f>[2]DATA!W143</f>
        <v>IDB</v>
      </c>
      <c r="T167" s="77">
        <f>[2]DATA!Z143</f>
        <v>40000000</v>
      </c>
      <c r="U167" s="77"/>
      <c r="V167" s="216" t="str">
        <f>[2]DATA!W143</f>
        <v>IDB</v>
      </c>
      <c r="W167" s="245">
        <f>[2]DATA!AN143</f>
        <v>40000000</v>
      </c>
      <c r="X167" s="109" t="str">
        <f>[2]DATA!AO143</f>
        <v>IDB</v>
      </c>
      <c r="Y167" s="248" t="str">
        <f>[2]DATA!AP143</f>
        <v>-</v>
      </c>
      <c r="Z167" s="2408" t="s">
        <v>608</v>
      </c>
      <c r="AA167" s="2408" t="s">
        <v>568</v>
      </c>
      <c r="AB167" s="2408"/>
    </row>
    <row r="168" spans="1:28" ht="48" customHeight="1">
      <c r="A168" s="10">
        <f>[2]DATA!A144</f>
        <v>128</v>
      </c>
      <c r="B168" s="10">
        <f>[2]DATA!B144</f>
        <v>0</v>
      </c>
      <c r="C168" s="10" t="str">
        <f>[2]DATA!C144</f>
        <v>NON-INFRASTRUKTUR</v>
      </c>
      <c r="D168" s="10">
        <f>[2]DATA!D144</f>
        <v>9</v>
      </c>
      <c r="E168" s="10" t="str">
        <f>[2]DATA!E144</f>
        <v>Kementerian Agama</v>
      </c>
      <c r="F168" s="10" t="str">
        <f>[2]DATA!F144</f>
        <v>Improving Access, Quality, Relevance, and Competitiveness of Islamic Higher Education Program</v>
      </c>
      <c r="G168" s="10" t="str">
        <f>[2]DATA!G144</f>
        <v>A</v>
      </c>
      <c r="H168" s="10" t="str">
        <f>[2]DATA!H144</f>
        <v>Program Peningkatan Akses, Kualitas, Relevansi, dan Daya Saing Pendidikan Tinggi Islam</v>
      </c>
      <c r="I168" s="10">
        <f>[2]DATA!I144</f>
        <v>1</v>
      </c>
      <c r="J168" s="181"/>
      <c r="K168" s="34"/>
      <c r="L168" s="34"/>
      <c r="M168" s="172">
        <v>115</v>
      </c>
      <c r="N168" s="37" t="str">
        <f>[2]DATA!J144</f>
        <v>Development and Institutional Transformation of State Islamic Institute  Raden Intan Lampung</v>
      </c>
      <c r="O168" s="20">
        <f>[2]DATA!O144</f>
        <v>0.16666666666666699</v>
      </c>
      <c r="P168" s="20">
        <f>[2]DATA!P144</f>
        <v>0</v>
      </c>
      <c r="Q168" s="186">
        <f>[2]DATA!Q144</f>
        <v>0</v>
      </c>
      <c r="R168" s="187">
        <f>[2]DATA!R144</f>
        <v>40000000</v>
      </c>
      <c r="S168" s="78" t="str">
        <f>[2]DATA!W144</f>
        <v>IDB</v>
      </c>
      <c r="T168" s="77">
        <f>[2]DATA!Z144</f>
        <v>40000000</v>
      </c>
      <c r="U168" s="77"/>
      <c r="V168" s="216" t="str">
        <f>[2]DATA!W144</f>
        <v>IDB</v>
      </c>
      <c r="W168" s="245">
        <f>[2]DATA!AN144</f>
        <v>40000000</v>
      </c>
      <c r="X168" s="109" t="str">
        <f>[2]DATA!AO144</f>
        <v>IDB</v>
      </c>
      <c r="Y168" s="248" t="str">
        <f>[2]DATA!AP144</f>
        <v>-</v>
      </c>
      <c r="Z168" s="2408" t="s">
        <v>608</v>
      </c>
      <c r="AA168" s="2408" t="s">
        <v>568</v>
      </c>
      <c r="AB168" s="2408"/>
    </row>
    <row r="169" spans="1:28" ht="38.25" customHeight="1">
      <c r="A169" s="10">
        <f>[2]DATA!A145</f>
        <v>123</v>
      </c>
      <c r="B169" s="10">
        <f>[2]DATA!B145</f>
        <v>0</v>
      </c>
      <c r="C169" s="10" t="str">
        <f>[2]DATA!C145</f>
        <v>NON-INFRASTRUKTUR</v>
      </c>
      <c r="D169" s="10">
        <f>[2]DATA!D145</f>
        <v>9</v>
      </c>
      <c r="E169" s="10" t="str">
        <f>[2]DATA!E145</f>
        <v>Kementerian Agama</v>
      </c>
      <c r="F169" s="10" t="str">
        <f>[2]DATA!F145</f>
        <v>Improving Access, Quality, Relevance, and Competitiveness of Islamic Higher Education Program</v>
      </c>
      <c r="G169" s="10" t="str">
        <f>[2]DATA!G145</f>
        <v>A</v>
      </c>
      <c r="H169" s="10" t="str">
        <f>[2]DATA!H145</f>
        <v>Program Peningkatan Akses, Kualitas, Relevansi, dan Daya Saing Pendidikan Tinggi Islam</v>
      </c>
      <c r="I169" s="10">
        <f>[2]DATA!I145</f>
        <v>1</v>
      </c>
      <c r="J169" s="181"/>
      <c r="K169" s="54"/>
      <c r="L169" s="54"/>
      <c r="M169" s="172">
        <v>116</v>
      </c>
      <c r="N169" s="37" t="str">
        <f>[2]DATA!J145</f>
        <v>Development of Imam Bonjol State Islamic Institute Project</v>
      </c>
      <c r="O169" s="20">
        <f>[2]DATA!O145</f>
        <v>0.16666666666666699</v>
      </c>
      <c r="P169" s="20">
        <f>[2]DATA!P145</f>
        <v>0</v>
      </c>
      <c r="Q169" s="186">
        <f>[2]DATA!Q145</f>
        <v>0</v>
      </c>
      <c r="R169" s="187">
        <f>[2]DATA!R145</f>
        <v>38301400</v>
      </c>
      <c r="S169" s="78" t="str">
        <f>[2]DATA!W145</f>
        <v>IDB</v>
      </c>
      <c r="T169" s="77">
        <f>[2]DATA!Z145</f>
        <v>38310000</v>
      </c>
      <c r="U169" s="77"/>
      <c r="V169" s="216" t="str">
        <f>[2]DATA!W145</f>
        <v>IDB</v>
      </c>
      <c r="W169" s="245">
        <f>[2]DATA!AN145</f>
        <v>38310000</v>
      </c>
      <c r="X169" s="109" t="str">
        <f>[2]DATA!AO145</f>
        <v>IDB</v>
      </c>
      <c r="Y169" s="248" t="str">
        <f>[2]DATA!AP145</f>
        <v>-</v>
      </c>
      <c r="Z169" s="2408" t="s">
        <v>608</v>
      </c>
      <c r="AA169" s="2408" t="s">
        <v>568</v>
      </c>
      <c r="AB169" s="2408"/>
    </row>
    <row r="170" spans="1:28" s="4" customFormat="1" ht="24.95" customHeight="1">
      <c r="J170" s="250"/>
      <c r="K170" s="25">
        <f>[2]DATA!D146</f>
        <v>10</v>
      </c>
      <c r="L170" s="108" t="str">
        <f>[2]DATA!E146</f>
        <v>Kementerian PPN/Bappenas</v>
      </c>
      <c r="M170" s="25"/>
      <c r="N170" s="27"/>
      <c r="O170" s="26"/>
      <c r="P170" s="26"/>
      <c r="Q170" s="193"/>
      <c r="R170" s="194">
        <f>+R171</f>
        <v>300000000</v>
      </c>
      <c r="S170" s="80"/>
      <c r="T170" s="80">
        <f t="shared" ref="T170:W171" si="29">+T171</f>
        <v>300000000</v>
      </c>
      <c r="U170" s="80">
        <f t="shared" si="29"/>
        <v>0</v>
      </c>
      <c r="V170" s="213"/>
      <c r="W170" s="242">
        <f t="shared" si="29"/>
        <v>300000000</v>
      </c>
      <c r="X170" s="80" t="s">
        <v>21</v>
      </c>
      <c r="Y170" s="227"/>
      <c r="Z170" s="2413"/>
      <c r="AA170" s="2413"/>
      <c r="AB170" s="2413"/>
    </row>
    <row r="171" spans="1:28" s="5" customFormat="1" ht="33.75" customHeight="1">
      <c r="J171" s="180"/>
      <c r="K171" s="29"/>
      <c r="L171" s="30" t="str">
        <f>[2]DATA!G146</f>
        <v>A</v>
      </c>
      <c r="M171" s="3427" t="str">
        <f>[2]DATA!H146</f>
        <v>Program Pengembangan Sumber Daya Aparatur  dalam Rangka Reformasi Birokrasi</v>
      </c>
      <c r="N171" s="3428"/>
      <c r="O171" s="31"/>
      <c r="P171" s="31"/>
      <c r="Q171" s="196"/>
      <c r="R171" s="197">
        <f>+R172</f>
        <v>300000000</v>
      </c>
      <c r="S171" s="81"/>
      <c r="T171" s="81">
        <f t="shared" si="29"/>
        <v>300000000</v>
      </c>
      <c r="U171" s="81">
        <f t="shared" si="29"/>
        <v>0</v>
      </c>
      <c r="V171" s="214"/>
      <c r="W171" s="244">
        <f t="shared" si="29"/>
        <v>300000000</v>
      </c>
      <c r="X171" s="81" t="s">
        <v>21</v>
      </c>
      <c r="Y171" s="229"/>
      <c r="Z171" s="2407"/>
      <c r="AA171" s="2407"/>
      <c r="AB171" s="2407"/>
    </row>
    <row r="172" spans="1:28" ht="47.25" customHeight="1">
      <c r="A172" s="10">
        <f>[2]DATA!A146</f>
        <v>129</v>
      </c>
      <c r="B172" s="10">
        <f>[2]DATA!B146</f>
        <v>0</v>
      </c>
      <c r="C172" s="10" t="str">
        <f>[2]DATA!C146</f>
        <v>NON-INFRASTRUKTUR</v>
      </c>
      <c r="D172" s="10">
        <f>[2]DATA!D146</f>
        <v>10</v>
      </c>
      <c r="E172" s="10" t="str">
        <f>[2]DATA!E146</f>
        <v>Kementerian PPN/Bappenas</v>
      </c>
      <c r="F172" s="10" t="str">
        <f>[2]DATA!F146</f>
        <v>Human Resources Development for Bureaucracy Reform Program</v>
      </c>
      <c r="G172" s="10" t="str">
        <f>[2]DATA!G146</f>
        <v>A</v>
      </c>
      <c r="H172" s="10" t="str">
        <f>[2]DATA!H146</f>
        <v>Program Pengembangan Sumber Daya Aparatur  dalam Rangka Reformasi Birokrasi</v>
      </c>
      <c r="I172" s="10">
        <f>[2]DATA!I146</f>
        <v>1</v>
      </c>
      <c r="J172" s="181"/>
      <c r="K172" s="54"/>
      <c r="L172" s="34"/>
      <c r="M172" s="33">
        <v>117</v>
      </c>
      <c r="N172" s="37" t="str">
        <f>[2]DATA!J146</f>
        <v>Development of Capacity, Quality, and Competency of Human Resources for Government Officer</v>
      </c>
      <c r="O172" s="20">
        <f>[2]DATA!O146</f>
        <v>1</v>
      </c>
      <c r="P172" s="20">
        <f>[2]DATA!P146</f>
        <v>1</v>
      </c>
      <c r="Q172" s="186">
        <f>[2]DATA!Q146</f>
        <v>103</v>
      </c>
      <c r="R172" s="187">
        <f>[2]DATA!R146</f>
        <v>300000000</v>
      </c>
      <c r="S172" s="78" t="str">
        <f>[2]DATA!W146</f>
        <v>Bank Dunia</v>
      </c>
      <c r="T172" s="77">
        <f>[2]DATA!Z146</f>
        <v>300000000</v>
      </c>
      <c r="U172" s="77"/>
      <c r="V172" s="216" t="str">
        <f>[2]DATA!W146</f>
        <v>Bank Dunia</v>
      </c>
      <c r="W172" s="245">
        <f>[2]DATA!AN146</f>
        <v>300000000</v>
      </c>
      <c r="X172" s="109" t="str">
        <f>[2]DATA!AO146</f>
        <v>Bank Dunia</v>
      </c>
      <c r="Y172" s="248" t="str">
        <f>[2]DATA!AP146</f>
        <v>-</v>
      </c>
      <c r="Z172" s="2408" t="s">
        <v>608</v>
      </c>
      <c r="AA172" s="2408" t="s">
        <v>645</v>
      </c>
      <c r="AB172" s="2408"/>
    </row>
    <row r="173" spans="1:28" s="4" customFormat="1" ht="24.95" customHeight="1">
      <c r="J173" s="250"/>
      <c r="K173" s="25">
        <f>[2]DATA!D147</f>
        <v>11</v>
      </c>
      <c r="L173" s="108" t="str">
        <f>[2]DATA!E147</f>
        <v>Kementerian Kesehatan</v>
      </c>
      <c r="M173" s="25"/>
      <c r="N173" s="27"/>
      <c r="O173" s="26"/>
      <c r="P173" s="26"/>
      <c r="Q173" s="193"/>
      <c r="R173" s="194">
        <f>+R174+R176+R178+R180</f>
        <v>1746000000</v>
      </c>
      <c r="S173" s="80"/>
      <c r="T173" s="80">
        <f t="shared" ref="T173:W173" si="30">+T174+T176+T178+T180</f>
        <v>990400000</v>
      </c>
      <c r="U173" s="80">
        <f t="shared" si="30"/>
        <v>755600000</v>
      </c>
      <c r="V173" s="213">
        <f t="shared" si="30"/>
        <v>0</v>
      </c>
      <c r="W173" s="242">
        <f t="shared" si="30"/>
        <v>1746000000</v>
      </c>
      <c r="X173" s="80" t="s">
        <v>21</v>
      </c>
      <c r="Y173" s="227"/>
      <c r="Z173" s="2413"/>
      <c r="AA173" s="2413"/>
      <c r="AB173" s="2413"/>
    </row>
    <row r="174" spans="1:28" s="5" customFormat="1" ht="33.75" customHeight="1">
      <c r="J174" s="180"/>
      <c r="K174" s="29"/>
      <c r="L174" s="30" t="str">
        <f>[2]DATA!G146</f>
        <v>A</v>
      </c>
      <c r="M174" s="31" t="str">
        <f>[2]DATA!H147</f>
        <v>Program Pelayanan Kesehatan Dasar</v>
      </c>
      <c r="N174" s="51"/>
      <c r="O174" s="31"/>
      <c r="P174" s="31"/>
      <c r="Q174" s="196"/>
      <c r="R174" s="197">
        <f>+R175</f>
        <v>150000000</v>
      </c>
      <c r="S174" s="81"/>
      <c r="T174" s="81">
        <f t="shared" ref="T174:W174" si="31">+T175</f>
        <v>150000000</v>
      </c>
      <c r="U174" s="81">
        <f t="shared" si="31"/>
        <v>0</v>
      </c>
      <c r="V174" s="214"/>
      <c r="W174" s="244">
        <f t="shared" si="31"/>
        <v>150000000</v>
      </c>
      <c r="X174" s="81" t="s">
        <v>21</v>
      </c>
      <c r="Y174" s="229"/>
      <c r="Z174" s="2407"/>
      <c r="AA174" s="2407"/>
      <c r="AB174" s="2407"/>
    </row>
    <row r="175" spans="1:28" ht="36.75" customHeight="1">
      <c r="A175" s="10">
        <f>[2]DATA!A147</f>
        <v>130</v>
      </c>
      <c r="B175" s="10">
        <f>[2]DATA!B147</f>
        <v>0</v>
      </c>
      <c r="C175" s="10" t="str">
        <f>[2]DATA!C147</f>
        <v>NON-INFRASTRUKTUR</v>
      </c>
      <c r="D175" s="10">
        <f>[2]DATA!D147</f>
        <v>11</v>
      </c>
      <c r="E175" s="10" t="str">
        <f>[2]DATA!E147</f>
        <v>Kementerian Kesehatan</v>
      </c>
      <c r="F175" s="10" t="str">
        <f>[2]DATA!F147</f>
        <v>Basic Health Care Program</v>
      </c>
      <c r="G175" s="10" t="str">
        <f>[2]DATA!G147</f>
        <v>A</v>
      </c>
      <c r="H175" s="10" t="str">
        <f>[2]DATA!H147</f>
        <v>Program Pelayanan Kesehatan Dasar</v>
      </c>
      <c r="I175" s="10">
        <f>[2]DATA!I147</f>
        <v>1</v>
      </c>
      <c r="J175" s="181"/>
      <c r="K175" s="34"/>
      <c r="L175" s="54"/>
      <c r="M175" s="52">
        <v>118</v>
      </c>
      <c r="N175" s="37" t="str">
        <f>[2]DATA!J147</f>
        <v>Improvement of Primary Health Care</v>
      </c>
      <c r="O175" s="20">
        <f>[2]DATA!O147</f>
        <v>1</v>
      </c>
      <c r="P175" s="20">
        <f>[2]DATA!P147</f>
        <v>1</v>
      </c>
      <c r="Q175" s="186">
        <f>[2]DATA!Q147</f>
        <v>104</v>
      </c>
      <c r="R175" s="187">
        <f>[2]DATA!R147</f>
        <v>150000000</v>
      </c>
      <c r="S175" s="78" t="str">
        <f>[2]DATA!W147</f>
        <v>Bank Dunia</v>
      </c>
      <c r="T175" s="77">
        <f>[2]DATA!Z147</f>
        <v>150000000</v>
      </c>
      <c r="U175" s="77"/>
      <c r="V175" s="216" t="str">
        <f>[2]DATA!W147</f>
        <v>Bank Dunia</v>
      </c>
      <c r="W175" s="245">
        <f>[2]DATA!AN147</f>
        <v>150000000</v>
      </c>
      <c r="X175" s="109" t="str">
        <f>[2]DATA!AO147</f>
        <v>Bank Dunia</v>
      </c>
      <c r="Y175" s="248" t="str">
        <f>[2]DATA!AP147</f>
        <v>-</v>
      </c>
      <c r="Z175" s="2408" t="s">
        <v>603</v>
      </c>
      <c r="AA175" s="2408" t="s">
        <v>645</v>
      </c>
      <c r="AB175" s="2408"/>
    </row>
    <row r="176" spans="1:28" s="5" customFormat="1" ht="33.75" customHeight="1">
      <c r="J176" s="180"/>
      <c r="K176" s="50"/>
      <c r="L176" s="30" t="str">
        <f>[2]DATA!G148</f>
        <v>B</v>
      </c>
      <c r="M176" s="3427" t="str">
        <f>[2]DATA!H148</f>
        <v>Program Pengembangan Sumber Daya Manusia Kesehatan</v>
      </c>
      <c r="N176" s="3428"/>
      <c r="O176" s="31"/>
      <c r="P176" s="31"/>
      <c r="Q176" s="196"/>
      <c r="R176" s="197">
        <f>+R177</f>
        <v>240000000</v>
      </c>
      <c r="S176" s="81"/>
      <c r="T176" s="81">
        <f t="shared" ref="T176:W176" si="32">+T177</f>
        <v>240000000</v>
      </c>
      <c r="U176" s="81">
        <f t="shared" si="32"/>
        <v>0</v>
      </c>
      <c r="V176" s="214"/>
      <c r="W176" s="244">
        <f t="shared" si="32"/>
        <v>240000000</v>
      </c>
      <c r="X176" s="81" t="s">
        <v>21</v>
      </c>
      <c r="Y176" s="229"/>
      <c r="Z176" s="2407"/>
      <c r="AA176" s="2407"/>
      <c r="AB176" s="2407"/>
    </row>
    <row r="177" spans="1:28" ht="57" customHeight="1">
      <c r="A177" s="10">
        <f>[2]DATA!A148</f>
        <v>131</v>
      </c>
      <c r="B177" s="10">
        <f>[2]DATA!B148</f>
        <v>0</v>
      </c>
      <c r="C177" s="10" t="str">
        <f>[2]DATA!C148</f>
        <v>NON-INFRASTRUKTUR</v>
      </c>
      <c r="D177" s="10">
        <f>[2]DATA!D148</f>
        <v>11</v>
      </c>
      <c r="E177" s="10" t="str">
        <f>[2]DATA!E148</f>
        <v>Kementerian Kesehatan</v>
      </c>
      <c r="F177" s="10" t="str">
        <f>[2]DATA!F148</f>
        <v>Program for Human Resources Development in Health Sector</v>
      </c>
      <c r="G177" s="10" t="str">
        <f>[2]DATA!G148</f>
        <v>B</v>
      </c>
      <c r="H177" s="10" t="str">
        <f>[2]DATA!H148</f>
        <v>Program Pengembangan Sumber Daya Manusia Kesehatan</v>
      </c>
      <c r="I177" s="10">
        <f>[2]DATA!I148</f>
        <v>1</v>
      </c>
      <c r="J177" s="181"/>
      <c r="K177" s="34"/>
      <c r="L177" s="20"/>
      <c r="M177" s="36">
        <v>119</v>
      </c>
      <c r="N177" s="37" t="str">
        <f>[2]DATA!J148</f>
        <v>Improvement of Facilities and Infrastructure for Teaching and Learning Activities in Health Sector</v>
      </c>
      <c r="O177" s="20">
        <f>[2]DATA!O148</f>
        <v>1</v>
      </c>
      <c r="P177" s="20">
        <f>[2]DATA!P148</f>
        <v>1</v>
      </c>
      <c r="Q177" s="186">
        <f>[2]DATA!Q148</f>
        <v>105</v>
      </c>
      <c r="R177" s="187">
        <f>[2]DATA!R148</f>
        <v>240000000</v>
      </c>
      <c r="S177" s="78" t="str">
        <f>[2]DATA!W148</f>
        <v>IDB</v>
      </c>
      <c r="T177" s="77">
        <f>[2]DATA!Z148</f>
        <v>240000000</v>
      </c>
      <c r="U177" s="77">
        <f>[2]DATA!AA148</f>
        <v>0</v>
      </c>
      <c r="V177" s="216" t="str">
        <f>[2]DATA!W148</f>
        <v>IDB</v>
      </c>
      <c r="W177" s="245">
        <f>[2]DATA!AN148</f>
        <v>240000000</v>
      </c>
      <c r="X177" s="109" t="str">
        <f>[2]DATA!AO148</f>
        <v>IDB</v>
      </c>
      <c r="Y177" s="248" t="str">
        <f>[2]DATA!AP148</f>
        <v>-</v>
      </c>
      <c r="Z177" s="2408" t="s">
        <v>614</v>
      </c>
      <c r="AA177" s="2408" t="s">
        <v>568</v>
      </c>
      <c r="AB177" s="2408"/>
    </row>
    <row r="178" spans="1:28" s="5" customFormat="1" ht="37.5" customHeight="1">
      <c r="J178" s="180"/>
      <c r="K178" s="50"/>
      <c r="L178" s="30" t="str">
        <f>[2]DATA!G149</f>
        <v>C</v>
      </c>
      <c r="M178" s="3427" t="str">
        <f>[2]DATA!H149</f>
        <v>Program Pengendalian Penyakit, Penyehatan Lingkungan, dan Penguatan Litbang Kesehatan</v>
      </c>
      <c r="N178" s="3428"/>
      <c r="O178" s="31"/>
      <c r="P178" s="31"/>
      <c r="Q178" s="196"/>
      <c r="R178" s="197">
        <f>+R179</f>
        <v>100400000</v>
      </c>
      <c r="S178" s="81"/>
      <c r="T178" s="81">
        <f t="shared" ref="T178:W178" si="33">+T179</f>
        <v>100400000</v>
      </c>
      <c r="U178" s="81">
        <f t="shared" si="33"/>
        <v>0</v>
      </c>
      <c r="V178" s="214"/>
      <c r="W178" s="244">
        <f t="shared" si="33"/>
        <v>100400000</v>
      </c>
      <c r="X178" s="81" t="s">
        <v>21</v>
      </c>
      <c r="Y178" s="229"/>
      <c r="Z178" s="2407"/>
      <c r="AA178" s="2407"/>
      <c r="AB178" s="2407"/>
    </row>
    <row r="179" spans="1:28" ht="74.25" customHeight="1">
      <c r="A179" s="10">
        <f>[2]DATA!A149</f>
        <v>132</v>
      </c>
      <c r="B179" s="10">
        <f>[2]DATA!B149</f>
        <v>0</v>
      </c>
      <c r="C179" s="10" t="str">
        <f>[2]DATA!C149</f>
        <v>NON-INFRASTRUKTUR</v>
      </c>
      <c r="D179" s="10">
        <f>[2]DATA!D149</f>
        <v>11</v>
      </c>
      <c r="E179" s="10" t="str">
        <f>[2]DATA!E149</f>
        <v>Kementerian Kesehatan</v>
      </c>
      <c r="F179" s="10" t="str">
        <f>[2]DATA!F149</f>
        <v>Program for Disease Control, Environmental Health, and Strengthening Health Research and Development</v>
      </c>
      <c r="G179" s="10" t="str">
        <f>[2]DATA!G149</f>
        <v>C</v>
      </c>
      <c r="H179" s="10" t="str">
        <f>[2]DATA!H149</f>
        <v>Program Pengendalian Penyakit, Penyehatan Lingkungan, dan Penguatan Litbang Kesehatan</v>
      </c>
      <c r="I179" s="10">
        <f>[2]DATA!I149</f>
        <v>1</v>
      </c>
      <c r="J179" s="181"/>
      <c r="K179" s="34"/>
      <c r="L179" s="20"/>
      <c r="M179" s="36">
        <v>120</v>
      </c>
      <c r="N179" s="37" t="str">
        <f>[2]DATA!J149</f>
        <v>Improvement of Capacity on Disease Control, Environmental Health, and Strengthening Health’s Research and Development</v>
      </c>
      <c r="O179" s="20">
        <f>[2]DATA!O149</f>
        <v>1</v>
      </c>
      <c r="P179" s="20">
        <f>[2]DATA!P149</f>
        <v>1</v>
      </c>
      <c r="Q179" s="186">
        <f>[2]DATA!Q149</f>
        <v>106</v>
      </c>
      <c r="R179" s="187">
        <f>[2]DATA!R149</f>
        <v>100400000</v>
      </c>
      <c r="S179" s="78" t="str">
        <f>[2]DATA!W149</f>
        <v>Jerman (KfW)</v>
      </c>
      <c r="T179" s="77">
        <f>[2]DATA!Z149</f>
        <v>100400000</v>
      </c>
      <c r="U179" s="77">
        <f>[2]DATA!AA149</f>
        <v>0</v>
      </c>
      <c r="V179" s="216" t="str">
        <f>[2]DATA!W149</f>
        <v>Jerman (KfW)</v>
      </c>
      <c r="W179" s="245">
        <f>[2]DATA!AN149</f>
        <v>100400000</v>
      </c>
      <c r="X179" s="109" t="str">
        <f>[2]DATA!AO149</f>
        <v>Jerman (KfW)</v>
      </c>
      <c r="Y179" s="248" t="str">
        <f>[2]DATA!AP149</f>
        <v>-</v>
      </c>
      <c r="Z179" s="2408" t="s">
        <v>1011</v>
      </c>
      <c r="AA179" s="2409" t="s">
        <v>1012</v>
      </c>
      <c r="AB179" s="2409" t="s">
        <v>1129</v>
      </c>
    </row>
    <row r="180" spans="1:28" s="5" customFormat="1" ht="33.75" customHeight="1">
      <c r="J180" s="180"/>
      <c r="K180" s="50"/>
      <c r="L180" s="30" t="str">
        <f>[2]DATA!G150</f>
        <v>D</v>
      </c>
      <c r="M180" s="31" t="str">
        <f>[2]DATA!H150</f>
        <v>Program Pelayanan Kesehatan Rujukan</v>
      </c>
      <c r="N180" s="51"/>
      <c r="O180" s="31"/>
      <c r="P180" s="31"/>
      <c r="Q180" s="196"/>
      <c r="R180" s="197">
        <f>R181</f>
        <v>1255600000</v>
      </c>
      <c r="S180" s="81"/>
      <c r="T180" s="81">
        <f>T181+T182+T183</f>
        <v>500000000</v>
      </c>
      <c r="U180" s="81">
        <f>U181+U182+U183</f>
        <v>755600000</v>
      </c>
      <c r="V180" s="214"/>
      <c r="W180" s="244">
        <f t="shared" ref="W180" si="34">W181+W182+W183</f>
        <v>1255600000</v>
      </c>
      <c r="X180" s="81" t="s">
        <v>21</v>
      </c>
      <c r="Y180" s="229"/>
      <c r="Z180" s="2407"/>
      <c r="AA180" s="2407"/>
      <c r="AB180" s="2407"/>
    </row>
    <row r="181" spans="1:28" ht="35.25" customHeight="1">
      <c r="A181" s="10">
        <f>[2]DATA!A151</f>
        <v>133</v>
      </c>
      <c r="B181" s="10">
        <f>[2]DATA!B151</f>
        <v>0</v>
      </c>
      <c r="C181" s="10" t="str">
        <f>[2]DATA!C151</f>
        <v>NON-INFRASTRUKTUR</v>
      </c>
      <c r="D181" s="10">
        <f>[2]DATA!D151</f>
        <v>11</v>
      </c>
      <c r="E181" s="10" t="str">
        <f>[2]DATA!E151</f>
        <v>Kementerian Kesehatan</v>
      </c>
      <c r="F181" s="10" t="str">
        <f>[2]DATA!F151</f>
        <v>Referral Health Services Program</v>
      </c>
      <c r="G181" s="10" t="str">
        <f>[2]DATA!G151</f>
        <v>D</v>
      </c>
      <c r="H181" s="10" t="str">
        <f>[2]DATA!H151</f>
        <v>Program Pelayanan Kesehatan Rujukan</v>
      </c>
      <c r="I181" s="10">
        <f>[2]DATA!I151</f>
        <v>1</v>
      </c>
      <c r="J181" s="181"/>
      <c r="K181" s="34"/>
      <c r="L181" s="34"/>
      <c r="M181" s="3390">
        <v>121</v>
      </c>
      <c r="N181" s="3393" t="str">
        <f>[2]DATA!J151</f>
        <v>Strengthening of National Referral Hospitals, Province Referral Hospital and Vertical Technical Units</v>
      </c>
      <c r="O181" s="20">
        <f>[2]DATA!O151</f>
        <v>0.33333333333333298</v>
      </c>
      <c r="P181" s="20">
        <f>[2]DATA!P151</f>
        <v>0</v>
      </c>
      <c r="Q181" s="186">
        <f>[2]DATA!Q151</f>
        <v>0</v>
      </c>
      <c r="R181" s="3408">
        <f>[2]DATA!R150</f>
        <v>1255600000</v>
      </c>
      <c r="S181" s="78" t="str">
        <f>[2]DATA!W151</f>
        <v>IDB</v>
      </c>
      <c r="T181" s="77">
        <f>[2]DATA!Z151</f>
        <v>250000000</v>
      </c>
      <c r="U181" s="77"/>
      <c r="V181" s="216" t="str">
        <f>[2]DATA!W151</f>
        <v>IDB</v>
      </c>
      <c r="W181" s="245">
        <f>[2]DATA!AN151</f>
        <v>250000000</v>
      </c>
      <c r="X181" s="109" t="str">
        <f>[2]DATA!AO151</f>
        <v>IDB</v>
      </c>
      <c r="Y181" s="248" t="str">
        <f>[2]DATA!AP151</f>
        <v>-</v>
      </c>
      <c r="Z181" s="3411" t="s">
        <v>603</v>
      </c>
      <c r="AA181" s="3411" t="s">
        <v>603</v>
      </c>
      <c r="AB181" s="3411"/>
    </row>
    <row r="182" spans="1:28" ht="35.25" customHeight="1">
      <c r="A182" s="10">
        <f>[2]DATA!A152</f>
        <v>134</v>
      </c>
      <c r="B182" s="10">
        <f>[2]DATA!B152</f>
        <v>0</v>
      </c>
      <c r="C182" s="10" t="str">
        <f>[2]DATA!C152</f>
        <v>NON-INFRASTRUKTUR</v>
      </c>
      <c r="D182" s="10">
        <f>[2]DATA!D152</f>
        <v>11</v>
      </c>
      <c r="E182" s="10" t="str">
        <f>[2]DATA!E152</f>
        <v>Kementerian Kesehatan</v>
      </c>
      <c r="F182" s="10" t="str">
        <f>[2]DATA!F152</f>
        <v>Referral Health Services Program</v>
      </c>
      <c r="G182" s="10" t="str">
        <f>[2]DATA!G152</f>
        <v>D</v>
      </c>
      <c r="H182" s="10" t="str">
        <f>[2]DATA!H152</f>
        <v>Program Pelayanan Kesehatan Rujukan</v>
      </c>
      <c r="I182" s="10">
        <f>[2]DATA!I152</f>
        <v>1</v>
      </c>
      <c r="J182" s="181"/>
      <c r="K182" s="34"/>
      <c r="L182" s="34"/>
      <c r="M182" s="3392"/>
      <c r="N182" s="3397"/>
      <c r="O182" s="20"/>
      <c r="P182" s="20"/>
      <c r="Q182" s="186"/>
      <c r="R182" s="3464"/>
      <c r="S182" s="78" t="str">
        <f>[2]DATA!W152</f>
        <v>Jerman (KfW)</v>
      </c>
      <c r="T182" s="77">
        <f>[2]DATA!Z152</f>
        <v>250000000</v>
      </c>
      <c r="U182" s="77"/>
      <c r="V182" s="216" t="str">
        <f>[2]DATA!W152</f>
        <v>Jerman (KfW)</v>
      </c>
      <c r="W182" s="245">
        <f>[2]DATA!AN152</f>
        <v>250000000</v>
      </c>
      <c r="X182" s="109" t="str">
        <f>[2]DATA!AO152</f>
        <v>Jerman (KfW)</v>
      </c>
      <c r="Y182" s="248" t="str">
        <f>[2]DATA!AP152</f>
        <v>-</v>
      </c>
      <c r="Z182" s="3412"/>
      <c r="AA182" s="3412"/>
      <c r="AB182" s="3412"/>
    </row>
    <row r="183" spans="1:28" ht="32.25" customHeight="1">
      <c r="A183" s="10">
        <f>[2]DATA!A153</f>
        <v>135</v>
      </c>
      <c r="B183" s="10">
        <f>[2]DATA!B153</f>
        <v>0</v>
      </c>
      <c r="C183" s="10" t="str">
        <f>[2]DATA!C153</f>
        <v>NON-INFRASTRUKTUR</v>
      </c>
      <c r="D183" s="10">
        <f>[2]DATA!D153</f>
        <v>11</v>
      </c>
      <c r="E183" s="10" t="str">
        <f>[2]DATA!E153</f>
        <v>Kementerian Kesehatan</v>
      </c>
      <c r="F183" s="10" t="str">
        <f>[2]DATA!F153</f>
        <v>Referral Health Services Program</v>
      </c>
      <c r="G183" s="10" t="str">
        <f>[2]DATA!G153</f>
        <v>D</v>
      </c>
      <c r="H183" s="10" t="str">
        <f>[2]DATA!H153</f>
        <v>Program Pelayanan Kesehatan Rujukan</v>
      </c>
      <c r="I183" s="10">
        <f>[2]DATA!I153</f>
        <v>1</v>
      </c>
      <c r="J183" s="181"/>
      <c r="K183" s="54"/>
      <c r="L183" s="54"/>
      <c r="M183" s="3391"/>
      <c r="N183" s="3394"/>
      <c r="O183" s="20"/>
      <c r="P183" s="20"/>
      <c r="Q183" s="186"/>
      <c r="R183" s="3465"/>
      <c r="S183" s="78" t="str">
        <f>[2]DATA!W153</f>
        <v>Belum Ada Indikasi</v>
      </c>
      <c r="T183" s="77">
        <v>0</v>
      </c>
      <c r="U183" s="77">
        <f>[2]DATA!Z153</f>
        <v>755600000</v>
      </c>
      <c r="V183" s="216" t="str">
        <f>[2]DATA!W153</f>
        <v>Belum Ada Indikasi</v>
      </c>
      <c r="W183" s="245">
        <f>[2]DATA!AN153</f>
        <v>755600000</v>
      </c>
      <c r="X183" s="109" t="str">
        <f>[2]DATA!AO153</f>
        <v>Belum Ada Indikasi</v>
      </c>
      <c r="Y183" s="248" t="str">
        <f>[2]DATA!AP153</f>
        <v>-</v>
      </c>
      <c r="Z183" s="3413"/>
      <c r="AA183" s="3413"/>
      <c r="AB183" s="3413"/>
    </row>
    <row r="184" spans="1:28" s="4" customFormat="1" ht="24.95" customHeight="1">
      <c r="J184" s="250"/>
      <c r="K184" s="25">
        <f>[2]DATA!D154</f>
        <v>12</v>
      </c>
      <c r="L184" s="108" t="str">
        <f>[2]DATA!E154</f>
        <v>Pemprov. Aceh</v>
      </c>
      <c r="M184" s="25"/>
      <c r="N184" s="27"/>
      <c r="O184" s="26"/>
      <c r="P184" s="26"/>
      <c r="Q184" s="193"/>
      <c r="R184" s="194">
        <f>+R185</f>
        <v>106800000</v>
      </c>
      <c r="S184" s="80"/>
      <c r="T184" s="80">
        <f t="shared" ref="T184:X185" si="35">+T185</f>
        <v>106800000</v>
      </c>
      <c r="U184" s="80">
        <f t="shared" si="35"/>
        <v>0</v>
      </c>
      <c r="V184" s="213">
        <f t="shared" si="35"/>
        <v>0</v>
      </c>
      <c r="W184" s="242">
        <f t="shared" si="35"/>
        <v>106800000</v>
      </c>
      <c r="X184" s="80" t="str">
        <f t="shared" si="35"/>
        <v>-</v>
      </c>
      <c r="Y184" s="227"/>
      <c r="Z184" s="2413"/>
      <c r="AA184" s="2413"/>
      <c r="AB184" s="2413"/>
    </row>
    <row r="185" spans="1:28" s="5" customFormat="1" ht="33.75" customHeight="1">
      <c r="J185" s="180"/>
      <c r="K185" s="29"/>
      <c r="L185" s="30" t="str">
        <f>[2]DATA!G154</f>
        <v>A</v>
      </c>
      <c r="M185" s="31" t="str">
        <f>[2]DATA!H154</f>
        <v>Program Pelayanan Kesehatan Rujukan</v>
      </c>
      <c r="N185" s="51"/>
      <c r="O185" s="31"/>
      <c r="P185" s="31"/>
      <c r="Q185" s="196"/>
      <c r="R185" s="197">
        <f>+R186</f>
        <v>106800000</v>
      </c>
      <c r="S185" s="81"/>
      <c r="T185" s="81">
        <f t="shared" si="35"/>
        <v>106800000</v>
      </c>
      <c r="U185" s="81">
        <f t="shared" si="35"/>
        <v>0</v>
      </c>
      <c r="V185" s="214"/>
      <c r="W185" s="244">
        <f t="shared" si="35"/>
        <v>106800000</v>
      </c>
      <c r="X185" s="81" t="s">
        <v>21</v>
      </c>
      <c r="Y185" s="229"/>
      <c r="Z185" s="2407"/>
      <c r="AA185" s="2407"/>
      <c r="AB185" s="2407"/>
    </row>
    <row r="186" spans="1:28" ht="51" customHeight="1">
      <c r="A186" s="10">
        <f>[2]DATA!A154</f>
        <v>136</v>
      </c>
      <c r="B186" s="10">
        <f>[2]DATA!B154</f>
        <v>0</v>
      </c>
      <c r="C186" s="10" t="str">
        <f>[2]DATA!C154</f>
        <v>NON-INFRASTRUKTUR</v>
      </c>
      <c r="D186" s="10">
        <f>[2]DATA!D154</f>
        <v>12</v>
      </c>
      <c r="E186" s="10" t="str">
        <f>[2]DATA!E154</f>
        <v>Pemprov. Aceh</v>
      </c>
      <c r="F186" s="10" t="str">
        <f>[2]DATA!F154</f>
        <v>Health Services Referral Program</v>
      </c>
      <c r="G186" s="10" t="str">
        <f>[2]DATA!G154</f>
        <v>A</v>
      </c>
      <c r="H186" s="10" t="str">
        <f>[2]DATA!H154</f>
        <v>Program Pelayanan Kesehatan Rujukan</v>
      </c>
      <c r="I186" s="10">
        <f>[2]DATA!I154</f>
        <v>1</v>
      </c>
      <c r="J186" s="181"/>
      <c r="K186" s="54"/>
      <c r="L186" s="20"/>
      <c r="M186" s="36">
        <v>122</v>
      </c>
      <c r="N186" s="37" t="str">
        <f>[2]DATA!J154</f>
        <v>Rengineering and Improving The Hospital and Referral System in Selected Aceh Districts</v>
      </c>
      <c r="O186" s="20">
        <f>[2]DATA!O154</f>
        <v>1</v>
      </c>
      <c r="P186" s="20">
        <f>[2]DATA!P154</f>
        <v>1</v>
      </c>
      <c r="Q186" s="186">
        <f>[2]DATA!Q154</f>
        <v>108</v>
      </c>
      <c r="R186" s="187">
        <f>[2]DATA!R154</f>
        <v>106800000</v>
      </c>
      <c r="S186" s="78" t="str">
        <f>[2]DATA!W154</f>
        <v>Jerman (KfW)</v>
      </c>
      <c r="T186" s="77">
        <f>[2]DATA!Z154</f>
        <v>106800000</v>
      </c>
      <c r="U186" s="77">
        <v>0</v>
      </c>
      <c r="V186" s="216" t="str">
        <f>[2]DATA!W154</f>
        <v>Jerman (KfW)</v>
      </c>
      <c r="W186" s="245">
        <f>[2]DATA!AN154</f>
        <v>106800000</v>
      </c>
      <c r="X186" s="109" t="str">
        <f>[2]DATA!AO154</f>
        <v>Jerman (KfW)</v>
      </c>
      <c r="Y186" s="248" t="str">
        <f>[2]DATA!AP154</f>
        <v>-</v>
      </c>
      <c r="Z186" s="2408" t="s">
        <v>614</v>
      </c>
      <c r="AA186" s="2408" t="s">
        <v>568</v>
      </c>
      <c r="AB186" s="2408"/>
    </row>
    <row r="187" spans="1:28" s="4" customFormat="1" ht="24.95" customHeight="1">
      <c r="J187" s="250"/>
      <c r="K187" s="25">
        <f>[2]DATA!D155</f>
        <v>13</v>
      </c>
      <c r="L187" s="108" t="str">
        <f>[2]DATA!E155</f>
        <v>Kementerian Pertanian</v>
      </c>
      <c r="M187" s="25"/>
      <c r="N187" s="27"/>
      <c r="O187" s="26"/>
      <c r="P187" s="26"/>
      <c r="Q187" s="193"/>
      <c r="R187" s="194">
        <f>+R188+R195</f>
        <v>1445742600</v>
      </c>
      <c r="S187" s="80"/>
      <c r="T187" s="80">
        <f t="shared" ref="T187:U187" si="36">+T188+T195</f>
        <v>698900000</v>
      </c>
      <c r="U187" s="80">
        <f t="shared" si="36"/>
        <v>746842600</v>
      </c>
      <c r="V187" s="213"/>
      <c r="W187" s="242">
        <f>+W188+W195</f>
        <v>1445742600</v>
      </c>
      <c r="X187" s="80" t="s">
        <v>21</v>
      </c>
      <c r="Y187" s="227"/>
      <c r="Z187" s="2413"/>
      <c r="AA187" s="2413"/>
      <c r="AB187" s="2413"/>
    </row>
    <row r="188" spans="1:28" s="5" customFormat="1" ht="33.75" customHeight="1">
      <c r="J188" s="180"/>
      <c r="K188" s="29"/>
      <c r="L188" s="30" t="str">
        <f>[2]DATA!G155</f>
        <v>A</v>
      </c>
      <c r="M188" s="3427" t="str">
        <f>[2]DATA!H155</f>
        <v>Program Penyediaan dan Pengembangan Prasarana dan Sarana Pertanian</v>
      </c>
      <c r="N188" s="3428"/>
      <c r="O188" s="31"/>
      <c r="P188" s="31"/>
      <c r="Q188" s="196"/>
      <c r="R188" s="197">
        <f>R189+R192</f>
        <v>1346842600</v>
      </c>
      <c r="S188" s="81"/>
      <c r="T188" s="81">
        <f>T189+T190+T191+T192+T193+T194</f>
        <v>600000000</v>
      </c>
      <c r="U188" s="81">
        <f t="shared" ref="U188:W188" si="37">U189+U190+U191+U192+U193+U194</f>
        <v>746842600</v>
      </c>
      <c r="V188" s="214"/>
      <c r="W188" s="244">
        <f t="shared" si="37"/>
        <v>1346842600</v>
      </c>
      <c r="X188" s="81" t="s">
        <v>21</v>
      </c>
      <c r="Y188" s="229"/>
      <c r="Z188" s="2407"/>
      <c r="AA188" s="2407"/>
      <c r="AB188" s="2407"/>
    </row>
    <row r="189" spans="1:28" ht="29.25" customHeight="1">
      <c r="A189" s="10">
        <f>[2]DATA!A156</f>
        <v>137</v>
      </c>
      <c r="B189" s="10">
        <f>[2]DATA!B156</f>
        <v>0</v>
      </c>
      <c r="C189" s="10" t="str">
        <f>[2]DATA!C156</f>
        <v>NON-INFRASTRUKTUR</v>
      </c>
      <c r="D189" s="10">
        <f>[2]DATA!D156</f>
        <v>13</v>
      </c>
      <c r="E189" s="10" t="str">
        <f>[2]DATA!E156</f>
        <v>Kementerian Pertanian</v>
      </c>
      <c r="F189" s="10" t="str">
        <f>[2]DATA!F156</f>
        <v>Provision and Development of Agriculture Infrastructure Program</v>
      </c>
      <c r="G189" s="10" t="str">
        <f>[2]DATA!G156</f>
        <v>A</v>
      </c>
      <c r="H189" s="10" t="str">
        <f>[2]DATA!H156</f>
        <v>Program Penyediaan dan Pengembangan Prasarana dan Sarana Pertanian</v>
      </c>
      <c r="I189" s="10">
        <f>[2]DATA!I156</f>
        <v>1</v>
      </c>
      <c r="J189" s="181"/>
      <c r="K189" s="34"/>
      <c r="L189" s="34"/>
      <c r="M189" s="3390">
        <v>123</v>
      </c>
      <c r="N189" s="3393" t="str">
        <f>[2]DATA!J156</f>
        <v>Extensification of New Paddy Field Area</v>
      </c>
      <c r="O189" s="20">
        <f>[2]DATA!O156</f>
        <v>0.33333333333333298</v>
      </c>
      <c r="P189" s="20">
        <f>[2]DATA!P156</f>
        <v>0</v>
      </c>
      <c r="Q189" s="186">
        <f>[2]DATA!Q156</f>
        <v>0</v>
      </c>
      <c r="R189" s="3408">
        <f>[2]DATA!R155</f>
        <v>811166600</v>
      </c>
      <c r="S189" s="78" t="str">
        <f>[2]DATA!W156</f>
        <v>Bank Dunia</v>
      </c>
      <c r="T189" s="77">
        <f>[2]DATA!Z156</f>
        <v>225000000</v>
      </c>
      <c r="U189" s="77"/>
      <c r="V189" s="216" t="str">
        <f>[2]DATA!W156</f>
        <v>Bank Dunia</v>
      </c>
      <c r="W189" s="245">
        <f>[2]DATA!AN156</f>
        <v>0</v>
      </c>
      <c r="X189" s="109">
        <f>[2]DATA!AO156</f>
        <v>0</v>
      </c>
      <c r="Y189" s="252" t="str">
        <f>[2]DATA!AP156</f>
        <v>Bank Dunia tidak berminat mendanai kegiatan ini.</v>
      </c>
      <c r="Z189" s="3411" t="s">
        <v>608</v>
      </c>
      <c r="AA189" s="3411" t="s">
        <v>603</v>
      </c>
      <c r="AB189" s="3411"/>
    </row>
    <row r="190" spans="1:28" ht="40.5" customHeight="1">
      <c r="A190" s="10">
        <f>[2]DATA!A157</f>
        <v>138</v>
      </c>
      <c r="B190" s="10">
        <f>[2]DATA!B157</f>
        <v>0</v>
      </c>
      <c r="C190" s="10" t="str">
        <f>[2]DATA!C157</f>
        <v>NON-INFRASTRUKTUR</v>
      </c>
      <c r="D190" s="10">
        <f>[2]DATA!D157</f>
        <v>13</v>
      </c>
      <c r="E190" s="10" t="str">
        <f>[2]DATA!E157</f>
        <v>Kementerian Pertanian</v>
      </c>
      <c r="F190" s="10" t="str">
        <f>[2]DATA!F157</f>
        <v>Provision and Development of Agriculture Infrastructure Program</v>
      </c>
      <c r="G190" s="10" t="str">
        <f>[2]DATA!G157</f>
        <v>A</v>
      </c>
      <c r="H190" s="10" t="str">
        <f>[2]DATA!H157</f>
        <v>Program Penyediaan dan Pengembangan Prasarana dan Sarana Pertanian</v>
      </c>
      <c r="I190" s="10">
        <f>[2]DATA!I157</f>
        <v>1</v>
      </c>
      <c r="J190" s="181"/>
      <c r="K190" s="34"/>
      <c r="L190" s="34"/>
      <c r="M190" s="3392"/>
      <c r="N190" s="3397"/>
      <c r="O190" s="20"/>
      <c r="P190" s="20"/>
      <c r="Q190" s="186"/>
      <c r="R190" s="3464"/>
      <c r="S190" s="78" t="str">
        <f>[2]DATA!W157</f>
        <v>IDB</v>
      </c>
      <c r="T190" s="77">
        <f>[2]DATA!Z157</f>
        <v>125000000</v>
      </c>
      <c r="U190" s="77"/>
      <c r="V190" s="216" t="str">
        <f>[2]DATA!W157</f>
        <v>IDB</v>
      </c>
      <c r="W190" s="245">
        <f>[2]DATA!AN157</f>
        <v>125000000</v>
      </c>
      <c r="X190" s="109" t="str">
        <f>[2]DATA!AO157</f>
        <v>IDB</v>
      </c>
      <c r="Y190" s="252" t="str">
        <f>[2]DATA!AP157</f>
        <v>-</v>
      </c>
      <c r="Z190" s="3412"/>
      <c r="AA190" s="3412"/>
      <c r="AB190" s="3412"/>
    </row>
    <row r="191" spans="1:28" ht="60" customHeight="1">
      <c r="A191" s="10">
        <f>[2]DATA!A158</f>
        <v>139</v>
      </c>
      <c r="B191" s="10">
        <f>[2]DATA!B158</f>
        <v>0</v>
      </c>
      <c r="C191" s="10" t="str">
        <f>[2]DATA!C158</f>
        <v>NON-INFRASTRUKTUR</v>
      </c>
      <c r="D191" s="10">
        <f>[2]DATA!D158</f>
        <v>13</v>
      </c>
      <c r="E191" s="10" t="str">
        <f>[2]DATA!E158</f>
        <v>Kementerian Pertanian</v>
      </c>
      <c r="F191" s="10" t="str">
        <f>[2]DATA!F158</f>
        <v>Provision and Development of Agriculture Infrastructure Program</v>
      </c>
      <c r="G191" s="10" t="str">
        <f>[2]DATA!G158</f>
        <v>A</v>
      </c>
      <c r="H191" s="10" t="str">
        <f>[2]DATA!H158</f>
        <v>Program Penyediaan dan Pengembangan Prasarana dan Sarana Pertanian</v>
      </c>
      <c r="I191" s="10">
        <f>[2]DATA!I158</f>
        <v>1</v>
      </c>
      <c r="J191" s="181"/>
      <c r="K191" s="34"/>
      <c r="L191" s="34"/>
      <c r="M191" s="3391"/>
      <c r="N191" s="3394"/>
      <c r="O191" s="20"/>
      <c r="P191" s="20"/>
      <c r="Q191" s="186"/>
      <c r="R191" s="3465"/>
      <c r="S191" s="78" t="str">
        <f>[2]DATA!W158</f>
        <v>Belum Ada Indikasi</v>
      </c>
      <c r="T191" s="77">
        <v>0</v>
      </c>
      <c r="U191" s="77">
        <f>[2]DATA!Z158</f>
        <v>461166600</v>
      </c>
      <c r="V191" s="216" t="str">
        <f>[2]DATA!W158</f>
        <v>Belum Ada Indikasi</v>
      </c>
      <c r="W191" s="245">
        <f>[2]DATA!AN158</f>
        <v>686166600</v>
      </c>
      <c r="X191" s="109" t="str">
        <f>[2]DATA!AO158</f>
        <v>Belum Ada Indikasi</v>
      </c>
      <c r="Y191" s="252" t="str">
        <f>[2]DATA!AP158</f>
        <v>total belum ada indikasi menjadi USD 686,2 juta karena ditambahkan USD 225 juta dari yang sebelumnya Bank Dunia.</v>
      </c>
      <c r="Z191" s="3413"/>
      <c r="AA191" s="3413"/>
      <c r="AB191" s="3413"/>
    </row>
    <row r="192" spans="1:28" ht="30.75" customHeight="1">
      <c r="A192" s="10">
        <f>[2]DATA!A160</f>
        <v>140</v>
      </c>
      <c r="B192" s="10">
        <f>[2]DATA!B160</f>
        <v>0</v>
      </c>
      <c r="C192" s="10" t="str">
        <f>[2]DATA!C160</f>
        <v>NON-INFRASTRUKTUR</v>
      </c>
      <c r="D192" s="10">
        <f>[2]DATA!D160</f>
        <v>13</v>
      </c>
      <c r="E192" s="10" t="str">
        <f>[2]DATA!E160</f>
        <v>Kementerian Pertanian</v>
      </c>
      <c r="F192" s="10" t="str">
        <f>[2]DATA!F160</f>
        <v>Provision and Development of Agriculture Infrastructure Program</v>
      </c>
      <c r="G192" s="10" t="str">
        <f>[2]DATA!G160</f>
        <v>A</v>
      </c>
      <c r="H192" s="10" t="str">
        <f>[2]DATA!H160</f>
        <v>Program Penyediaan dan Pengembangan Prasarana dan Sarana Pertanian</v>
      </c>
      <c r="I192" s="10">
        <f>[2]DATA!I160</f>
        <v>2</v>
      </c>
      <c r="J192" s="181"/>
      <c r="K192" s="34"/>
      <c r="L192" s="34"/>
      <c r="M192" s="3390">
        <v>124</v>
      </c>
      <c r="N192" s="3393" t="str">
        <f>[2]DATA!J159</f>
        <v>Upland Development for National Food Security</v>
      </c>
      <c r="O192" s="20">
        <f>[2]DATA!O160</f>
        <v>0.33333333333333298</v>
      </c>
      <c r="P192" s="20">
        <f>[2]DATA!P160</f>
        <v>0</v>
      </c>
      <c r="Q192" s="186">
        <f>[2]DATA!Q160</f>
        <v>0</v>
      </c>
      <c r="R192" s="3408">
        <f>[2]DATA!R159</f>
        <v>535676000</v>
      </c>
      <c r="S192" s="78" t="str">
        <f>[2]DATA!W160</f>
        <v>Bank Dunia</v>
      </c>
      <c r="T192" s="77">
        <f>[2]DATA!Z160</f>
        <v>125000000</v>
      </c>
      <c r="U192" s="77"/>
      <c r="V192" s="216" t="str">
        <f>[2]DATA!W160</f>
        <v>Bank Dunia</v>
      </c>
      <c r="W192" s="245">
        <f>[2]DATA!AN160</f>
        <v>0</v>
      </c>
      <c r="X192" s="109">
        <f>[2]DATA!AO160</f>
        <v>0</v>
      </c>
      <c r="Y192" s="252" t="str">
        <f>[2]DATA!AP160</f>
        <v>Bank Dunia tidak berminat mendanai kegiatan ini.</v>
      </c>
      <c r="Z192" s="3411" t="s">
        <v>608</v>
      </c>
      <c r="AA192" s="3411" t="s">
        <v>603</v>
      </c>
      <c r="AB192" s="3411"/>
    </row>
    <row r="193" spans="1:28" ht="45" customHeight="1">
      <c r="A193" s="10">
        <f>[2]DATA!A161</f>
        <v>141</v>
      </c>
      <c r="B193" s="10">
        <f>[2]DATA!B161</f>
        <v>0</v>
      </c>
      <c r="C193" s="10" t="str">
        <f>[2]DATA!C161</f>
        <v>NON-INFRASTRUKTUR</v>
      </c>
      <c r="D193" s="10">
        <f>[2]DATA!D161</f>
        <v>13</v>
      </c>
      <c r="E193" s="10" t="str">
        <f>[2]DATA!E161</f>
        <v>Kementerian Pertanian</v>
      </c>
      <c r="F193" s="10" t="str">
        <f>[2]DATA!F161</f>
        <v>Provision and Development of Agriculture Infrastructure Program</v>
      </c>
      <c r="G193" s="10" t="str">
        <f>[2]DATA!G161</f>
        <v>A</v>
      </c>
      <c r="H193" s="10" t="str">
        <f>[2]DATA!H161</f>
        <v>Program Penyediaan dan Pengembangan Prasarana dan Sarana Pertanian</v>
      </c>
      <c r="I193" s="10">
        <f>[2]DATA!I161</f>
        <v>2</v>
      </c>
      <c r="J193" s="181"/>
      <c r="K193" s="34"/>
      <c r="L193" s="34"/>
      <c r="M193" s="3392"/>
      <c r="N193" s="3397"/>
      <c r="O193" s="20"/>
      <c r="P193" s="20"/>
      <c r="Q193" s="186"/>
      <c r="R193" s="3464"/>
      <c r="S193" s="78" t="str">
        <f>[2]DATA!W161</f>
        <v>IDB</v>
      </c>
      <c r="T193" s="77">
        <f>[2]DATA!Z161</f>
        <v>125000000</v>
      </c>
      <c r="U193" s="77"/>
      <c r="V193" s="216" t="str">
        <f>[2]DATA!W161</f>
        <v>IDB</v>
      </c>
      <c r="W193" s="245">
        <f>[2]DATA!AN161</f>
        <v>125000000</v>
      </c>
      <c r="X193" s="109" t="str">
        <f>[2]DATA!AO161</f>
        <v>IDB</v>
      </c>
      <c r="Y193" s="252" t="str">
        <f>[2]DATA!AP161</f>
        <v>-</v>
      </c>
      <c r="Z193" s="3412"/>
      <c r="AA193" s="3412"/>
      <c r="AB193" s="3412"/>
    </row>
    <row r="194" spans="1:28" ht="52.5" customHeight="1">
      <c r="A194" s="10">
        <f>[2]DATA!A162</f>
        <v>142</v>
      </c>
      <c r="B194" s="10">
        <f>[2]DATA!B162</f>
        <v>0</v>
      </c>
      <c r="C194" s="10" t="str">
        <f>[2]DATA!C162</f>
        <v>NON-INFRASTRUKTUR</v>
      </c>
      <c r="D194" s="10">
        <f>[2]DATA!D162</f>
        <v>13</v>
      </c>
      <c r="E194" s="10" t="str">
        <f>[2]DATA!E162</f>
        <v>Kementerian Pertanian</v>
      </c>
      <c r="F194" s="10" t="str">
        <f>[2]DATA!F162</f>
        <v>Provision and Development of Agriculture Infrastructure Program</v>
      </c>
      <c r="G194" s="10" t="str">
        <f>[2]DATA!G162</f>
        <v>A</v>
      </c>
      <c r="H194" s="10" t="str">
        <f>[2]DATA!H162</f>
        <v>Program Penyediaan dan Pengembangan Prasarana dan Sarana Pertanian</v>
      </c>
      <c r="I194" s="10">
        <f>[2]DATA!I162</f>
        <v>2</v>
      </c>
      <c r="J194" s="181"/>
      <c r="K194" s="34"/>
      <c r="L194" s="54"/>
      <c r="M194" s="3391"/>
      <c r="N194" s="3394"/>
      <c r="O194" s="20"/>
      <c r="P194" s="20"/>
      <c r="Q194" s="186"/>
      <c r="R194" s="3465"/>
      <c r="S194" s="78" t="str">
        <f>[2]DATA!W162</f>
        <v>Belum Ada Indikasi</v>
      </c>
      <c r="T194" s="77">
        <v>0</v>
      </c>
      <c r="U194" s="77">
        <f>[2]DATA!Z162</f>
        <v>285676000</v>
      </c>
      <c r="V194" s="216" t="str">
        <f>[2]DATA!W162</f>
        <v>Belum Ada Indikasi</v>
      </c>
      <c r="W194" s="245">
        <f>[2]DATA!AN162</f>
        <v>410676000</v>
      </c>
      <c r="X194" s="109" t="str">
        <f>[2]DATA!AO162</f>
        <v>Belum Ada Indikasi</v>
      </c>
      <c r="Y194" s="252" t="str">
        <f>[2]DATA!AP162</f>
        <v>total belum ada indikasi menjadi USD 410,7 juta karena ditambahkan USD 125 juta yang sebelumnya Bank Dunia.</v>
      </c>
      <c r="Z194" s="3413"/>
      <c r="AA194" s="3413"/>
      <c r="AB194" s="3413"/>
    </row>
    <row r="195" spans="1:28" s="5" customFormat="1" ht="33.75" customHeight="1">
      <c r="J195" s="180"/>
      <c r="K195" s="50"/>
      <c r="L195" s="30" t="str">
        <f>[2]DATA!G163</f>
        <v>B</v>
      </c>
      <c r="M195" s="3427" t="str">
        <f>[2]DATA!H163</f>
        <v>Program Peningkatan Penyuluhan, Pendidikan, dan Pelatihan Pertanian</v>
      </c>
      <c r="N195" s="3428"/>
      <c r="O195" s="31"/>
      <c r="P195" s="31"/>
      <c r="Q195" s="196"/>
      <c r="R195" s="197">
        <f>+R196+R197</f>
        <v>98900000</v>
      </c>
      <c r="S195" s="81"/>
      <c r="T195" s="81">
        <f t="shared" ref="T195:W195" si="38">+T196+T197</f>
        <v>98900000</v>
      </c>
      <c r="U195" s="81">
        <f t="shared" si="38"/>
        <v>0</v>
      </c>
      <c r="V195" s="214"/>
      <c r="W195" s="244">
        <f t="shared" si="38"/>
        <v>98900000</v>
      </c>
      <c r="X195" s="81" t="s">
        <v>21</v>
      </c>
      <c r="Y195" s="229"/>
      <c r="Z195" s="2407"/>
      <c r="AA195" s="2407"/>
      <c r="AB195" s="2407"/>
    </row>
    <row r="196" spans="1:28" ht="47.25" customHeight="1">
      <c r="A196" s="10">
        <f>[2]DATA!A163</f>
        <v>143</v>
      </c>
      <c r="B196" s="10">
        <f>[2]DATA!B163</f>
        <v>0</v>
      </c>
      <c r="C196" s="10" t="str">
        <f>[2]DATA!C163</f>
        <v>NON-INFRASTRUKTUR</v>
      </c>
      <c r="D196" s="10">
        <f>[2]DATA!D163</f>
        <v>13</v>
      </c>
      <c r="E196" s="10" t="str">
        <f>[2]DATA!E163</f>
        <v>Kementerian Pertanian</v>
      </c>
      <c r="F196" s="10" t="str">
        <f>[2]DATA!F163</f>
        <v>Agriculture Extention, Education, and Training Improvement Program</v>
      </c>
      <c r="G196" s="10" t="str">
        <f>[2]DATA!G163</f>
        <v>B</v>
      </c>
      <c r="H196" s="10" t="str">
        <f>[2]DATA!H163</f>
        <v>Program Peningkatan Penyuluhan, Pendidikan, dan Pelatihan Pertanian</v>
      </c>
      <c r="I196" s="10">
        <f>[2]DATA!I163</f>
        <v>1</v>
      </c>
      <c r="J196" s="181"/>
      <c r="K196" s="34"/>
      <c r="L196" s="35"/>
      <c r="M196" s="36">
        <v>125</v>
      </c>
      <c r="N196" s="37" t="str">
        <f>[2]DATA!J163</f>
        <v>Young Enterpreneur Growth and Development for Sustainable Agricultural Development</v>
      </c>
      <c r="O196" s="20">
        <f>[2]DATA!O163</f>
        <v>1</v>
      </c>
      <c r="P196" s="20">
        <f>[2]DATA!P163</f>
        <v>1</v>
      </c>
      <c r="Q196" s="186">
        <f>[2]DATA!Q163</f>
        <v>111</v>
      </c>
      <c r="R196" s="187">
        <f>[2]DATA!R163</f>
        <v>68900000</v>
      </c>
      <c r="S196" s="78" t="str">
        <f>[2]DATA!W163</f>
        <v>IFAD</v>
      </c>
      <c r="T196" s="77">
        <f>[2]DATA!Z163</f>
        <v>68900000</v>
      </c>
      <c r="U196" s="77"/>
      <c r="V196" s="216" t="str">
        <f>[2]DATA!W163</f>
        <v>IFAD</v>
      </c>
      <c r="W196" s="245">
        <f>[2]DATA!AN163</f>
        <v>68900000</v>
      </c>
      <c r="X196" s="109" t="str">
        <f>[2]DATA!AO163</f>
        <v>IFAD</v>
      </c>
      <c r="Y196" s="248" t="str">
        <f>[2]DATA!AP163</f>
        <v>-</v>
      </c>
      <c r="Z196" s="2408" t="s">
        <v>603</v>
      </c>
      <c r="AA196" s="2408" t="s">
        <v>603</v>
      </c>
      <c r="AB196" s="2408"/>
    </row>
    <row r="197" spans="1:28" ht="25.5">
      <c r="A197" s="10">
        <f>[2]DATA!A164</f>
        <v>144</v>
      </c>
      <c r="B197" s="10">
        <f>[2]DATA!B164</f>
        <v>0</v>
      </c>
      <c r="C197" s="10" t="str">
        <f>[2]DATA!C164</f>
        <v>NON-INFRASTRUKTUR</v>
      </c>
      <c r="D197" s="10">
        <f>[2]DATA!D164</f>
        <v>13</v>
      </c>
      <c r="E197" s="10" t="str">
        <f>[2]DATA!E164</f>
        <v>Kementerian Pertanian</v>
      </c>
      <c r="F197" s="10" t="str">
        <f>[2]DATA!F164</f>
        <v>Agriculture Extention, Education, and Training Improvement Program</v>
      </c>
      <c r="G197" s="10" t="str">
        <f>[2]DATA!G164</f>
        <v>B</v>
      </c>
      <c r="H197" s="10" t="str">
        <f>[2]DATA!H164</f>
        <v>Program Peningkatan Penyuluhan, Pendidikan, dan Pelatihan Pertanian</v>
      </c>
      <c r="I197" s="10">
        <f>[2]DATA!I164</f>
        <v>2</v>
      </c>
      <c r="J197" s="181"/>
      <c r="K197" s="54"/>
      <c r="L197" s="54"/>
      <c r="M197" s="36">
        <v>126</v>
      </c>
      <c r="N197" s="37" t="str">
        <f>[2]DATA!J164</f>
        <v>Rural Empowerment and Agricultural Development (READ) Programme in Sulawesi Island – Phase II</v>
      </c>
      <c r="O197" s="20">
        <f>[2]DATA!O164</f>
        <v>1</v>
      </c>
      <c r="P197" s="20">
        <f>[2]DATA!P164</f>
        <v>1</v>
      </c>
      <c r="Q197" s="186">
        <f>[2]DATA!Q164</f>
        <v>112</v>
      </c>
      <c r="R197" s="187">
        <f>[2]DATA!R164</f>
        <v>30000000</v>
      </c>
      <c r="S197" s="78" t="str">
        <f>[2]DATA!W164</f>
        <v>IFAD</v>
      </c>
      <c r="T197" s="77">
        <f>[2]DATA!Z164</f>
        <v>30000000</v>
      </c>
      <c r="U197" s="77"/>
      <c r="V197" s="216" t="str">
        <f>[2]DATA!W164</f>
        <v>IFAD</v>
      </c>
      <c r="W197" s="245">
        <f>[2]DATA!AN164</f>
        <v>30000000</v>
      </c>
      <c r="X197" s="109" t="str">
        <f>[2]DATA!AO164</f>
        <v>IFAD</v>
      </c>
      <c r="Y197" s="248" t="str">
        <f>[2]DATA!AP164</f>
        <v>-</v>
      </c>
      <c r="Z197" s="2408" t="s">
        <v>603</v>
      </c>
      <c r="AA197" s="2408" t="s">
        <v>603</v>
      </c>
      <c r="AB197" s="2408"/>
    </row>
    <row r="198" spans="1:28" s="4" customFormat="1" ht="24.95" customHeight="1">
      <c r="J198" s="250"/>
      <c r="K198" s="25">
        <f>[2]DATA!D165</f>
        <v>14</v>
      </c>
      <c r="L198" s="108" t="str">
        <f>[2]DATA!E165</f>
        <v>Kementerian Tenaga Kerja</v>
      </c>
      <c r="M198" s="25"/>
      <c r="N198" s="27"/>
      <c r="O198" s="26"/>
      <c r="P198" s="26"/>
      <c r="Q198" s="193"/>
      <c r="R198" s="194">
        <f>+R199</f>
        <v>92308000</v>
      </c>
      <c r="S198" s="120" t="str">
        <f t="shared" ref="S198:U199" si="39">+S199</f>
        <v>-</v>
      </c>
      <c r="T198" s="80">
        <f t="shared" si="39"/>
        <v>92308000</v>
      </c>
      <c r="U198" s="80">
        <f t="shared" si="39"/>
        <v>0</v>
      </c>
      <c r="V198" s="213"/>
      <c r="W198" s="242">
        <f t="shared" ref="W198:W199" si="40">+W199</f>
        <v>92308000</v>
      </c>
      <c r="X198" s="80" t="s">
        <v>21</v>
      </c>
      <c r="Y198" s="227"/>
      <c r="Z198" s="2413"/>
      <c r="AA198" s="2413"/>
      <c r="AB198" s="2413"/>
    </row>
    <row r="199" spans="1:28" s="5" customFormat="1" ht="37.5" customHeight="1">
      <c r="J199" s="180"/>
      <c r="K199" s="29"/>
      <c r="L199" s="30" t="str">
        <f>[2]DATA!G167</f>
        <v>A</v>
      </c>
      <c r="M199" s="3427" t="str">
        <f>[2]DATA!H167</f>
        <v>Program Pengembangan dan Pembinaan Meteorologi, Klimatologi, dan Geofisika</v>
      </c>
      <c r="N199" s="3428"/>
      <c r="O199" s="31"/>
      <c r="P199" s="31"/>
      <c r="Q199" s="196"/>
      <c r="R199" s="197">
        <f>+R200</f>
        <v>92308000</v>
      </c>
      <c r="S199" s="121" t="s">
        <v>21</v>
      </c>
      <c r="T199" s="81">
        <f t="shared" si="39"/>
        <v>92308000</v>
      </c>
      <c r="U199" s="81">
        <f t="shared" si="39"/>
        <v>0</v>
      </c>
      <c r="V199" s="214"/>
      <c r="W199" s="244">
        <f t="shared" si="40"/>
        <v>92308000</v>
      </c>
      <c r="X199" s="81" t="s">
        <v>21</v>
      </c>
      <c r="Y199" s="229"/>
      <c r="Z199" s="2407"/>
      <c r="AA199" s="2407"/>
      <c r="AB199" s="2407"/>
    </row>
    <row r="200" spans="1:28" ht="47.25" customHeight="1">
      <c r="A200" s="10">
        <f>[2]DATA!A165</f>
        <v>145</v>
      </c>
      <c r="B200" s="10">
        <f>[2]DATA!B165</f>
        <v>0</v>
      </c>
      <c r="C200" s="10" t="str">
        <f>[2]DATA!C165</f>
        <v>NON-INFRASTRUKTUR</v>
      </c>
      <c r="D200" s="10">
        <f>[2]DATA!D165</f>
        <v>14</v>
      </c>
      <c r="E200" s="10" t="str">
        <f>[2]DATA!E165</f>
        <v>Kementerian Tenaga Kerja</v>
      </c>
      <c r="F200" s="10" t="str">
        <f>[2]DATA!F165</f>
        <v>Improving Labor Competitiveness Program</v>
      </c>
      <c r="G200" s="10" t="str">
        <f>[2]DATA!G165</f>
        <v>A</v>
      </c>
      <c r="H200" s="10" t="str">
        <f>[2]DATA!H165</f>
        <v>Program Peningkatan Daya Saing Tenaga Kerja</v>
      </c>
      <c r="I200" s="10">
        <f>[2]DATA!I165</f>
        <v>1</v>
      </c>
      <c r="J200" s="181"/>
      <c r="K200" s="54"/>
      <c r="L200" s="20"/>
      <c r="M200" s="36">
        <v>127</v>
      </c>
      <c r="N200" s="37" t="str">
        <f>[2]DATA!J165</f>
        <v>Development of Maritime Vocational Training Centers</v>
      </c>
      <c r="O200" s="20">
        <f>[2]DATA!O165</f>
        <v>1</v>
      </c>
      <c r="P200" s="20">
        <f>[2]DATA!P165</f>
        <v>1</v>
      </c>
      <c r="Q200" s="186">
        <f>[2]DATA!Q165</f>
        <v>113</v>
      </c>
      <c r="R200" s="187">
        <f>[2]DATA!R165</f>
        <v>92308000</v>
      </c>
      <c r="S200" s="78" t="str">
        <f>[2]DATA!W165</f>
        <v>Austria/JICA/Singapura</v>
      </c>
      <c r="T200" s="77">
        <f>[2]DATA!Z165</f>
        <v>92308000</v>
      </c>
      <c r="U200" s="77">
        <f>[2]DATA!AA165</f>
        <v>0</v>
      </c>
      <c r="V200" s="216" t="str">
        <f>[2]DATA!W165</f>
        <v>Austria/JICA/Singapura</v>
      </c>
      <c r="W200" s="245">
        <f>[2]DATA!AN165</f>
        <v>92308000</v>
      </c>
      <c r="X200" s="109" t="str">
        <f>[2]DATA!AO165</f>
        <v>Austria/JICA/Singapura</v>
      </c>
      <c r="Y200" s="252" t="str">
        <f>[2]DATA!AP165</f>
        <v>belum ada konfirmasi lender yang berminat</v>
      </c>
      <c r="Z200" s="2408" t="s">
        <v>603</v>
      </c>
      <c r="AA200" s="2408" t="s">
        <v>603</v>
      </c>
      <c r="AB200" s="2408"/>
    </row>
    <row r="201" spans="1:28" s="4" customFormat="1" ht="24.95" customHeight="1">
      <c r="J201" s="250"/>
      <c r="K201" s="25">
        <f>[2]DATA!D166</f>
        <v>15</v>
      </c>
      <c r="L201" s="108" t="str">
        <f>[2]DATA!E166</f>
        <v>Kementerian Kelautan dan Perikanan</v>
      </c>
      <c r="M201" s="25"/>
      <c r="N201" s="27"/>
      <c r="O201" s="26"/>
      <c r="P201" s="26"/>
      <c r="Q201" s="193"/>
      <c r="R201" s="194">
        <f>+R202</f>
        <v>107000000</v>
      </c>
      <c r="S201" s="80"/>
      <c r="T201" s="80">
        <f t="shared" ref="T201:W202" si="41">+T202</f>
        <v>107000000</v>
      </c>
      <c r="U201" s="80">
        <f t="shared" si="41"/>
        <v>0</v>
      </c>
      <c r="V201" s="213"/>
      <c r="W201" s="242">
        <f t="shared" si="41"/>
        <v>107000000</v>
      </c>
      <c r="X201" s="80" t="s">
        <v>21</v>
      </c>
      <c r="Y201" s="227"/>
      <c r="Z201" s="2413"/>
      <c r="AA201" s="2413"/>
      <c r="AB201" s="2413"/>
    </row>
    <row r="202" spans="1:28" s="5" customFormat="1" ht="33.75" customHeight="1">
      <c r="J202" s="180"/>
      <c r="K202" s="116"/>
      <c r="L202" s="30" t="str">
        <f>[2]DATA!G166</f>
        <v>A</v>
      </c>
      <c r="M202" s="31" t="str">
        <f>[2]DATA!H166</f>
        <v>Program Peningkatan Fasilitas Perikanan</v>
      </c>
      <c r="N202" s="51"/>
      <c r="O202" s="31"/>
      <c r="P202" s="31"/>
      <c r="Q202" s="196"/>
      <c r="R202" s="197">
        <f>+R203</f>
        <v>107000000</v>
      </c>
      <c r="S202" s="81"/>
      <c r="T202" s="81">
        <f>R202</f>
        <v>107000000</v>
      </c>
      <c r="U202" s="81">
        <f t="shared" si="41"/>
        <v>0</v>
      </c>
      <c r="V202" s="214"/>
      <c r="W202" s="244">
        <f t="shared" si="41"/>
        <v>107000000</v>
      </c>
      <c r="X202" s="81" t="s">
        <v>21</v>
      </c>
      <c r="Y202" s="229"/>
      <c r="Z202" s="2407"/>
      <c r="AA202" s="2407"/>
      <c r="AB202" s="2407"/>
    </row>
    <row r="203" spans="1:28" s="9" customFormat="1" ht="58.5" customHeight="1">
      <c r="A203" s="9">
        <f>[2]DATA!A166</f>
        <v>146</v>
      </c>
      <c r="B203" s="9">
        <f>[2]DATA!B166</f>
        <v>0</v>
      </c>
      <c r="C203" s="9" t="str">
        <f>[2]DATA!C166</f>
        <v>NON-INFRASTRUKTUR</v>
      </c>
      <c r="D203" s="9">
        <f>[2]DATA!D166</f>
        <v>15</v>
      </c>
      <c r="E203" s="9" t="str">
        <f>[2]DATA!E166</f>
        <v>Kementerian Kelautan dan Perikanan</v>
      </c>
      <c r="F203" s="9" t="str">
        <f>[2]DATA!F166</f>
        <v>Improvement of Fisheries Facilities Program</v>
      </c>
      <c r="G203" s="9" t="str">
        <f>[2]DATA!G166</f>
        <v>A</v>
      </c>
      <c r="H203" s="9" t="str">
        <f>[2]DATA!H166</f>
        <v>Program Peningkatan Fasilitas Perikanan</v>
      </c>
      <c r="I203" s="9">
        <f>[2]DATA!I166</f>
        <v>1</v>
      </c>
      <c r="J203" s="254"/>
      <c r="K203" s="66"/>
      <c r="L203" s="66"/>
      <c r="M203" s="64">
        <v>128</v>
      </c>
      <c r="N203" s="65" t="s">
        <v>1130</v>
      </c>
      <c r="O203" s="66">
        <f>[2]DATA!O166</f>
        <v>1</v>
      </c>
      <c r="P203" s="66">
        <f>[2]DATA!P166</f>
        <v>1</v>
      </c>
      <c r="Q203" s="257">
        <f>[2]DATA!Q166</f>
        <v>114</v>
      </c>
      <c r="R203" s="258">
        <f>[2]DATA!R166</f>
        <v>107000000</v>
      </c>
      <c r="S203" s="92" t="str">
        <f>[2]DATA!W166</f>
        <v>Dibatalkan (surat KKP 30 Nov 2015)</v>
      </c>
      <c r="T203" s="91">
        <v>0</v>
      </c>
      <c r="U203" s="91">
        <v>0</v>
      </c>
      <c r="V203" s="216" t="str">
        <f>[2]DATA!W166</f>
        <v>Dibatalkan (surat KKP 30 Nov 2015)</v>
      </c>
      <c r="W203" s="245">
        <f>[2]DATA!AN166</f>
        <v>107000000</v>
      </c>
      <c r="X203" s="109" t="str">
        <f>[2]DATA!AO166</f>
        <v>Dibatalkan (surat KKP 30 Nov 2015)</v>
      </c>
      <c r="Y203" s="248" t="str">
        <f>[2]DATA!AP166</f>
        <v>-</v>
      </c>
      <c r="Z203" s="2419" t="s">
        <v>675</v>
      </c>
      <c r="AA203" s="2419" t="s">
        <v>603</v>
      </c>
      <c r="AB203" s="2419" t="s">
        <v>1131</v>
      </c>
    </row>
    <row r="204" spans="1:28" s="4" customFormat="1" ht="24.95" customHeight="1">
      <c r="J204" s="250"/>
      <c r="K204" s="25">
        <f>[2]DATA!D167</f>
        <v>16</v>
      </c>
      <c r="L204" s="108" t="str">
        <f>[2]DATA!E167</f>
        <v>Badan Meteorologi, Klimatologi dan Geofisika (BMKG)</v>
      </c>
      <c r="M204" s="25"/>
      <c r="N204" s="27"/>
      <c r="O204" s="26"/>
      <c r="P204" s="26"/>
      <c r="Q204" s="193"/>
      <c r="R204" s="194">
        <f>+R205</f>
        <v>150000000</v>
      </c>
      <c r="S204" s="80"/>
      <c r="T204" s="80">
        <f t="shared" ref="T204:W205" si="42">+T205</f>
        <v>150000000</v>
      </c>
      <c r="U204" s="80">
        <f t="shared" si="42"/>
        <v>0</v>
      </c>
      <c r="V204" s="213"/>
      <c r="W204" s="242">
        <f t="shared" si="42"/>
        <v>150000000</v>
      </c>
      <c r="X204" s="80" t="s">
        <v>21</v>
      </c>
      <c r="Y204" s="227"/>
      <c r="Z204" s="2413"/>
      <c r="AA204" s="2413"/>
      <c r="AB204" s="2413"/>
    </row>
    <row r="205" spans="1:28" s="5" customFormat="1" ht="33.75" customHeight="1">
      <c r="J205" s="180"/>
      <c r="K205" s="29"/>
      <c r="L205" s="30" t="str">
        <f>[2]DATA!G167</f>
        <v>A</v>
      </c>
      <c r="M205" s="3427" t="str">
        <f>[2]DATA!H167</f>
        <v>Program Pengembangan dan Pembinaan Meteorologi, Klimatologi, dan Geofisika</v>
      </c>
      <c r="N205" s="3428"/>
      <c r="O205" s="31"/>
      <c r="P205" s="31"/>
      <c r="Q205" s="196"/>
      <c r="R205" s="197">
        <f>+R206</f>
        <v>150000000</v>
      </c>
      <c r="S205" s="82"/>
      <c r="T205" s="81">
        <f t="shared" si="42"/>
        <v>150000000</v>
      </c>
      <c r="U205" s="81">
        <f t="shared" si="42"/>
        <v>0</v>
      </c>
      <c r="V205" s="214"/>
      <c r="W205" s="244">
        <f t="shared" si="42"/>
        <v>150000000</v>
      </c>
      <c r="X205" s="81" t="s">
        <v>21</v>
      </c>
      <c r="Y205" s="229"/>
      <c r="Z205" s="2407"/>
      <c r="AA205" s="2407"/>
      <c r="AB205" s="2407"/>
    </row>
    <row r="206" spans="1:28" ht="112.5" customHeight="1">
      <c r="A206" s="10">
        <f>[2]DATA!A167</f>
        <v>147</v>
      </c>
      <c r="B206" s="10">
        <f>[2]DATA!B167</f>
        <v>0</v>
      </c>
      <c r="C206" s="10" t="str">
        <f>[2]DATA!C167</f>
        <v>NON-INFRASTRUKTUR</v>
      </c>
      <c r="D206" s="10">
        <f>[2]DATA!D167</f>
        <v>16</v>
      </c>
      <c r="E206" s="10" t="str">
        <f>[2]DATA!E167</f>
        <v>Badan Meteorologi, Klimatologi dan Geofisika (BMKG)</v>
      </c>
      <c r="F206" s="10" t="str">
        <f>[2]DATA!F167</f>
        <v>Program for Capacity Development and Guidance of Meteorology, Climatology, and Geophysics</v>
      </c>
      <c r="G206" s="10" t="str">
        <f>[2]DATA!G167</f>
        <v>A</v>
      </c>
      <c r="H206" s="10" t="str">
        <f>[2]DATA!H167</f>
        <v>Program Pengembangan dan Pembinaan Meteorologi, Klimatologi, dan Geofisika</v>
      </c>
      <c r="I206" s="10">
        <f>[2]DATA!I167</f>
        <v>1</v>
      </c>
      <c r="J206" s="181"/>
      <c r="K206" s="54"/>
      <c r="L206" s="36"/>
      <c r="M206" s="36">
        <v>129</v>
      </c>
      <c r="N206" s="37" t="str">
        <f>[2]DATA!J167</f>
        <v>Strengthening Climate and Weather Service Capacity – Phase II:
a) Kegiatan lanjutan dair kegiatan Strengthening BMKG Climate and Weather Services Capacity Phase I
b) Kegiatan pengembangan sistem Layanan Informasi Meteorologi Maritim</v>
      </c>
      <c r="O206" s="20">
        <f>[2]DATA!O167</f>
        <v>1</v>
      </c>
      <c r="P206" s="20">
        <f>[2]DATA!P167</f>
        <v>1</v>
      </c>
      <c r="Q206" s="186">
        <f>[2]DATA!Q167</f>
        <v>115</v>
      </c>
      <c r="R206" s="187">
        <f>[2]DATA!R167</f>
        <v>150000000</v>
      </c>
      <c r="S206" s="78" t="str">
        <f>[2]DATA!W167</f>
        <v>US EXIM</v>
      </c>
      <c r="T206" s="77">
        <f>[2]DATA!Z167</f>
        <v>150000000</v>
      </c>
      <c r="U206" s="77">
        <f>[2]DATA!AA167</f>
        <v>0</v>
      </c>
      <c r="V206" s="216" t="str">
        <f>[2]DATA!W167</f>
        <v>US EXIM</v>
      </c>
      <c r="W206" s="245">
        <f>[2]DATA!AN167</f>
        <v>150000000</v>
      </c>
      <c r="X206" s="109" t="str">
        <f>[2]DATA!AO167</f>
        <v>US EXIM</v>
      </c>
      <c r="Y206" s="248" t="str">
        <f>[2]DATA!AP167</f>
        <v>-</v>
      </c>
      <c r="Z206" s="2408" t="s">
        <v>608</v>
      </c>
      <c r="AA206" s="2408" t="s">
        <v>568</v>
      </c>
      <c r="AB206" s="2408"/>
    </row>
    <row r="207" spans="1:28" s="4" customFormat="1" ht="24.95" customHeight="1">
      <c r="J207" s="250"/>
      <c r="K207" s="25">
        <f>[2]DATA!D168</f>
        <v>17</v>
      </c>
      <c r="L207" s="108" t="str">
        <f>[2]DATA!E168</f>
        <v>Badan Pengkajian dan Penerapan Teknologi</v>
      </c>
      <c r="M207" s="25"/>
      <c r="N207" s="27"/>
      <c r="O207" s="26"/>
      <c r="P207" s="26"/>
      <c r="Q207" s="193"/>
      <c r="R207" s="194">
        <f>+R208</f>
        <v>114400000</v>
      </c>
      <c r="S207" s="122"/>
      <c r="T207" s="80">
        <f t="shared" ref="T207:W208" si="43">+T208</f>
        <v>114400000</v>
      </c>
      <c r="U207" s="80">
        <f t="shared" si="43"/>
        <v>0</v>
      </c>
      <c r="V207" s="213"/>
      <c r="W207" s="242">
        <f t="shared" si="43"/>
        <v>114400000</v>
      </c>
      <c r="X207" s="80" t="s">
        <v>21</v>
      </c>
      <c r="Y207" s="227"/>
      <c r="Z207" s="2413"/>
      <c r="AA207" s="2413"/>
      <c r="AB207" s="2413"/>
    </row>
    <row r="208" spans="1:28" s="5" customFormat="1" ht="33.75" customHeight="1">
      <c r="J208" s="180"/>
      <c r="K208" s="29"/>
      <c r="L208" s="30" t="str">
        <f>[2]DATA!G168</f>
        <v>A</v>
      </c>
      <c r="M208" s="3427" t="str">
        <f>[2]DATA!H168</f>
        <v>Program Pembangunan Science Park dan Technopark</v>
      </c>
      <c r="N208" s="3446"/>
      <c r="O208" s="31"/>
      <c r="P208" s="31"/>
      <c r="Q208" s="196"/>
      <c r="R208" s="197">
        <f>+R209</f>
        <v>114400000</v>
      </c>
      <c r="S208" s="81"/>
      <c r="T208" s="81">
        <f t="shared" si="43"/>
        <v>114400000</v>
      </c>
      <c r="U208" s="81">
        <f t="shared" si="43"/>
        <v>0</v>
      </c>
      <c r="V208" s="214"/>
      <c r="W208" s="244">
        <f t="shared" si="43"/>
        <v>114400000</v>
      </c>
      <c r="X208" s="81" t="s">
        <v>21</v>
      </c>
      <c r="Y208" s="229"/>
      <c r="Z208" s="2407"/>
      <c r="AA208" s="2407"/>
      <c r="AB208" s="2407"/>
    </row>
    <row r="209" spans="1:28" ht="91.5" customHeight="1">
      <c r="A209" s="10">
        <f>[2]DATA!A168</f>
        <v>148</v>
      </c>
      <c r="B209" s="10">
        <f>[2]DATA!B168</f>
        <v>0</v>
      </c>
      <c r="C209" s="10" t="str">
        <f>[2]DATA!C168</f>
        <v>NON-INFRASTRUKTUR</v>
      </c>
      <c r="D209" s="10">
        <f>[2]DATA!D168</f>
        <v>17</v>
      </c>
      <c r="E209" s="10" t="str">
        <f>[2]DATA!E168</f>
        <v>Badan Pengkajian dan Penerapan Teknologi</v>
      </c>
      <c r="F209" s="10" t="str">
        <f>[2]DATA!F168</f>
        <v>Science Park and Technopark Development Program</v>
      </c>
      <c r="G209" s="10" t="str">
        <f>[2]DATA!G168</f>
        <v>A</v>
      </c>
      <c r="H209" s="10" t="str">
        <f>[2]DATA!H168</f>
        <v>Program Pembangunan Science Park dan Technopark</v>
      </c>
      <c r="I209" s="10">
        <f>[2]DATA!I168</f>
        <v>1</v>
      </c>
      <c r="J209" s="256"/>
      <c r="K209" s="54"/>
      <c r="L209" s="36"/>
      <c r="M209" s="36">
        <v>130</v>
      </c>
      <c r="N209" s="37" t="str">
        <f>[2]DATA!J168</f>
        <v>Development of Maritime National Science and Technology Park (NTSP) in the Northern Penajam Paser and Revitalization Infrastructure Marine Survey</v>
      </c>
      <c r="O209" s="20">
        <f>[2]DATA!O168</f>
        <v>1</v>
      </c>
      <c r="P209" s="20">
        <f>[2]DATA!P168</f>
        <v>1</v>
      </c>
      <c r="Q209" s="186">
        <f>[2]DATA!Q168</f>
        <v>116</v>
      </c>
      <c r="R209" s="187">
        <f>[2]DATA!R168</f>
        <v>114400000</v>
      </c>
      <c r="S209" s="78" t="str">
        <f>[2]DATA!W168</f>
        <v>Perancis (AFD)</v>
      </c>
      <c r="T209" s="77">
        <f>[2]DATA!Z168</f>
        <v>114400000</v>
      </c>
      <c r="U209" s="77">
        <f>[2]DATA!AA168</f>
        <v>0</v>
      </c>
      <c r="V209" s="216" t="str">
        <f>[2]DATA!W168</f>
        <v>Perancis (AFD)</v>
      </c>
      <c r="W209" s="245">
        <f>[2]DATA!AN168</f>
        <v>114400000</v>
      </c>
      <c r="X209" s="109" t="str">
        <f>[2]DATA!AO168</f>
        <v>Perancis (AFD)</v>
      </c>
      <c r="Y209" s="248" t="str">
        <f>[2]DATA!AP168</f>
        <v>-</v>
      </c>
      <c r="Z209" s="2408" t="s">
        <v>608</v>
      </c>
      <c r="AA209" s="2409" t="s">
        <v>1012</v>
      </c>
      <c r="AB209" s="2409" t="s">
        <v>1129</v>
      </c>
    </row>
    <row r="210" spans="1:28" s="3" customFormat="1" ht="30" customHeight="1">
      <c r="J210" s="3450" t="s">
        <v>477</v>
      </c>
      <c r="K210" s="3451"/>
      <c r="L210" s="3451"/>
      <c r="M210" s="3451"/>
      <c r="N210" s="3452"/>
      <c r="O210" s="276"/>
      <c r="P210" s="276"/>
      <c r="Q210" s="277"/>
      <c r="R210" s="278">
        <f>+R10+R152</f>
        <v>39876907800</v>
      </c>
      <c r="S210" s="280"/>
      <c r="T210" s="280">
        <f>+T10+T152</f>
        <v>37344737096</v>
      </c>
      <c r="U210" s="280">
        <f t="shared" ref="U210:Y210" si="44">+U10+U152</f>
        <v>2532170704</v>
      </c>
      <c r="V210" s="282">
        <f t="shared" si="44"/>
        <v>0</v>
      </c>
      <c r="W210" s="288">
        <f t="shared" si="44"/>
        <v>39876907800</v>
      </c>
      <c r="X210" s="280" t="s">
        <v>21</v>
      </c>
      <c r="Y210" s="285">
        <f t="shared" si="44"/>
        <v>0</v>
      </c>
      <c r="Z210" s="2432"/>
      <c r="AA210" s="2432"/>
      <c r="AB210" s="2432"/>
    </row>
    <row r="211" spans="1:28" s="12" customFormat="1">
      <c r="A211" s="10"/>
      <c r="B211" s="10"/>
      <c r="C211" s="10"/>
      <c r="D211" s="10"/>
      <c r="E211" s="10"/>
      <c r="F211" s="10"/>
      <c r="G211" s="10"/>
      <c r="H211" s="10"/>
      <c r="I211" s="10"/>
      <c r="J211" s="11"/>
      <c r="K211" s="10"/>
      <c r="L211" s="10"/>
      <c r="M211" s="10"/>
      <c r="O211" s="10"/>
      <c r="P211" s="10"/>
      <c r="Q211" s="10"/>
      <c r="R211" s="13"/>
      <c r="S211" s="14"/>
      <c r="T211" s="13"/>
      <c r="U211" s="13"/>
      <c r="V211" s="13"/>
      <c r="Z211" s="14"/>
      <c r="AA211" s="14"/>
      <c r="AB211" s="14"/>
    </row>
    <row r="212" spans="1:28" s="12" customFormat="1">
      <c r="A212" s="10"/>
      <c r="B212" s="10"/>
      <c r="C212" s="10"/>
      <c r="D212" s="10"/>
      <c r="E212" s="10"/>
      <c r="F212" s="10"/>
      <c r="G212" s="10"/>
      <c r="H212" s="10"/>
      <c r="I212" s="10"/>
      <c r="J212" s="11"/>
      <c r="K212" s="10" t="s">
        <v>1132</v>
      </c>
      <c r="L212" s="10"/>
      <c r="M212" s="10"/>
      <c r="O212" s="10"/>
      <c r="P212" s="10"/>
      <c r="Q212" s="10"/>
      <c r="R212" s="13"/>
      <c r="S212" s="14"/>
      <c r="T212" s="13"/>
      <c r="U212" s="13"/>
      <c r="V212" s="13"/>
      <c r="Z212" s="14"/>
      <c r="AA212" s="14"/>
      <c r="AB212" s="14"/>
    </row>
    <row r="213" spans="1:28" s="12" customFormat="1">
      <c r="A213" s="10"/>
      <c r="B213" s="10"/>
      <c r="C213" s="10"/>
      <c r="D213" s="10"/>
      <c r="E213" s="10"/>
      <c r="F213" s="10"/>
      <c r="G213" s="10"/>
      <c r="H213" s="10"/>
      <c r="I213" s="10"/>
      <c r="J213" s="11"/>
      <c r="K213" s="10" t="s">
        <v>1133</v>
      </c>
      <c r="L213" s="10"/>
      <c r="M213" s="10"/>
      <c r="O213" s="10"/>
      <c r="P213" s="10"/>
      <c r="Q213" s="10"/>
      <c r="R213" s="13"/>
      <c r="S213" s="14"/>
      <c r="T213" s="13"/>
      <c r="U213" s="13"/>
      <c r="V213" s="13"/>
      <c r="Z213" s="14"/>
      <c r="AA213" s="14"/>
      <c r="AB213" s="14"/>
    </row>
    <row r="214" spans="1:28" s="12" customFormat="1">
      <c r="A214" s="10"/>
      <c r="B214" s="10"/>
      <c r="C214" s="10"/>
      <c r="D214" s="10"/>
      <c r="E214" s="10"/>
      <c r="F214" s="10"/>
      <c r="G214" s="10"/>
      <c r="H214" s="10"/>
      <c r="I214" s="10"/>
      <c r="J214" s="11"/>
      <c r="K214" s="10" t="s">
        <v>1134</v>
      </c>
      <c r="L214" s="10"/>
      <c r="M214" s="10"/>
      <c r="O214" s="10"/>
      <c r="P214" s="10"/>
      <c r="Q214" s="10"/>
      <c r="R214" s="13"/>
      <c r="S214" s="14"/>
      <c r="T214" s="13"/>
      <c r="U214" s="13"/>
      <c r="V214" s="13"/>
      <c r="Z214" s="14"/>
      <c r="AA214" s="14"/>
      <c r="AB214" s="14"/>
    </row>
    <row r="219" spans="1:28" s="12" customFormat="1">
      <c r="A219" s="10"/>
      <c r="B219" s="10"/>
      <c r="C219" s="10"/>
      <c r="D219" s="10"/>
      <c r="E219" s="10"/>
      <c r="F219" s="10"/>
      <c r="G219" s="10"/>
      <c r="H219" s="10"/>
      <c r="I219" s="10"/>
      <c r="J219" s="11"/>
      <c r="K219" s="10"/>
      <c r="L219" s="10"/>
      <c r="M219" s="10"/>
      <c r="O219" s="10"/>
      <c r="P219" s="10"/>
      <c r="Q219" s="10"/>
      <c r="R219" s="13"/>
      <c r="S219" s="14"/>
      <c r="T219" s="13"/>
      <c r="U219" s="13"/>
      <c r="V219" s="13"/>
      <c r="X219" s="289">
        <f>R210-W210</f>
        <v>0</v>
      </c>
      <c r="Z219" s="14"/>
      <c r="AA219" s="14"/>
      <c r="AB219" s="14"/>
    </row>
    <row r="220" spans="1:28" s="12" customFormat="1">
      <c r="A220" s="10"/>
      <c r="B220" s="10"/>
      <c r="C220" s="10"/>
      <c r="D220" s="10"/>
      <c r="E220" s="10"/>
      <c r="F220" s="10"/>
      <c r="G220" s="10"/>
      <c r="H220" s="10"/>
      <c r="I220" s="10"/>
      <c r="J220" s="11"/>
      <c r="K220" s="10"/>
      <c r="L220" s="10"/>
      <c r="M220" s="10"/>
      <c r="O220" s="10"/>
      <c r="P220" s="10"/>
      <c r="Q220" s="10"/>
      <c r="R220" s="13"/>
      <c r="S220" s="14"/>
      <c r="T220" s="13">
        <f>T210+U210</f>
        <v>39876907800</v>
      </c>
      <c r="U220" s="13"/>
      <c r="V220" s="13"/>
      <c r="Z220" s="14"/>
      <c r="AA220" s="14"/>
      <c r="AB220" s="14"/>
    </row>
    <row r="221" spans="1:28" s="12" customFormat="1">
      <c r="A221" s="10"/>
      <c r="B221" s="10"/>
      <c r="C221" s="10"/>
      <c r="D221" s="10"/>
      <c r="E221" s="10"/>
      <c r="F221" s="10"/>
      <c r="G221" s="10"/>
      <c r="H221" s="10"/>
      <c r="I221" s="10"/>
      <c r="J221" s="11"/>
      <c r="K221" s="10"/>
      <c r="L221" s="10"/>
      <c r="M221" s="10"/>
      <c r="O221" s="10"/>
      <c r="P221" s="10"/>
      <c r="Q221" s="10"/>
      <c r="R221" s="13"/>
      <c r="S221" s="14"/>
      <c r="T221" s="13">
        <f>T220+R203</f>
        <v>39983907800</v>
      </c>
      <c r="U221" s="13"/>
      <c r="V221" s="13"/>
      <c r="Z221" s="14"/>
      <c r="AA221" s="14"/>
      <c r="AB221" s="14"/>
    </row>
  </sheetData>
  <autoFilter ref="A9:Y210"/>
  <mergeCells count="104">
    <mergeCell ref="AB189:AB191"/>
    <mergeCell ref="AB192:AB194"/>
    <mergeCell ref="J6:N8"/>
    <mergeCell ref="Z6:AB7"/>
    <mergeCell ref="AB13:AB14"/>
    <mergeCell ref="AB47:AB48"/>
    <mergeCell ref="AB51:AB52"/>
    <mergeCell ref="AB55:AB58"/>
    <mergeCell ref="AB67:AB69"/>
    <mergeCell ref="AB73:AB74"/>
    <mergeCell ref="AB75:AB76"/>
    <mergeCell ref="AB100:AB102"/>
    <mergeCell ref="AB181:AB183"/>
    <mergeCell ref="Z189:Z191"/>
    <mergeCell ref="Z192:Z194"/>
    <mergeCell ref="AA13:AA14"/>
    <mergeCell ref="AA47:AA48"/>
    <mergeCell ref="AA51:AA52"/>
    <mergeCell ref="AA55:AA58"/>
    <mergeCell ref="AA67:AA69"/>
    <mergeCell ref="AA73:AA74"/>
    <mergeCell ref="AA75:AA76"/>
    <mergeCell ref="AA100:AA102"/>
    <mergeCell ref="AA181:AA183"/>
    <mergeCell ref="AA189:AA191"/>
    <mergeCell ref="AA192:AA194"/>
    <mergeCell ref="Z13:Z14"/>
    <mergeCell ref="Z47:Z48"/>
    <mergeCell ref="Z51:Z52"/>
    <mergeCell ref="Z55:Z58"/>
    <mergeCell ref="Z67:Z69"/>
    <mergeCell ref="Z73:Z74"/>
    <mergeCell ref="Z75:Z76"/>
    <mergeCell ref="Z100:Z102"/>
    <mergeCell ref="Z181:Z183"/>
    <mergeCell ref="R181:R183"/>
    <mergeCell ref="R189:R191"/>
    <mergeCell ref="R192:R194"/>
    <mergeCell ref="S55:S56"/>
    <mergeCell ref="S68:S69"/>
    <mergeCell ref="S75:S76"/>
    <mergeCell ref="T13:T14"/>
    <mergeCell ref="T55:T56"/>
    <mergeCell ref="T68:T69"/>
    <mergeCell ref="T75:T76"/>
    <mergeCell ref="M199:N199"/>
    <mergeCell ref="M205:N205"/>
    <mergeCell ref="M208:N208"/>
    <mergeCell ref="J210:N210"/>
    <mergeCell ref="M13:M14"/>
    <mergeCell ref="M47:M48"/>
    <mergeCell ref="M51:M52"/>
    <mergeCell ref="M55:M58"/>
    <mergeCell ref="M67:M69"/>
    <mergeCell ref="M73:M74"/>
    <mergeCell ref="M75:M76"/>
    <mergeCell ref="M100:M102"/>
    <mergeCell ref="M181:M183"/>
    <mergeCell ref="M189:M191"/>
    <mergeCell ref="M192:M194"/>
    <mergeCell ref="N13:N14"/>
    <mergeCell ref="N47:N48"/>
    <mergeCell ref="N51:N52"/>
    <mergeCell ref="N55:N58"/>
    <mergeCell ref="N67:N69"/>
    <mergeCell ref="N73:N74"/>
    <mergeCell ref="N75:N76"/>
    <mergeCell ref="N100:N102"/>
    <mergeCell ref="N181:N183"/>
    <mergeCell ref="M138:N138"/>
    <mergeCell ref="M141:N141"/>
    <mergeCell ref="M154:N154"/>
    <mergeCell ref="M163:N163"/>
    <mergeCell ref="M171:N171"/>
    <mergeCell ref="M176:N176"/>
    <mergeCell ref="M178:N178"/>
    <mergeCell ref="M188:N188"/>
    <mergeCell ref="M195:N195"/>
    <mergeCell ref="N189:N191"/>
    <mergeCell ref="N192:N194"/>
    <mergeCell ref="J1:AB1"/>
    <mergeCell ref="J2:AB2"/>
    <mergeCell ref="J3:AB3"/>
    <mergeCell ref="S6:Y6"/>
    <mergeCell ref="S7:V7"/>
    <mergeCell ref="W7:Y7"/>
    <mergeCell ref="M50:N50"/>
    <mergeCell ref="M62:N62"/>
    <mergeCell ref="M113:N113"/>
    <mergeCell ref="R6:R8"/>
    <mergeCell ref="R13:R14"/>
    <mergeCell ref="R47:R48"/>
    <mergeCell ref="R51:R52"/>
    <mergeCell ref="R55:R58"/>
    <mergeCell ref="R67:R69"/>
    <mergeCell ref="R73:R74"/>
    <mergeCell ref="R75:R76"/>
    <mergeCell ref="R100:R102"/>
    <mergeCell ref="U55:U56"/>
    <mergeCell ref="U68:U69"/>
    <mergeCell ref="U75:U76"/>
    <mergeCell ref="V55:V56"/>
    <mergeCell ref="V68:V69"/>
    <mergeCell ref="V75:V76"/>
  </mergeCells>
  <printOptions horizontalCentered="1"/>
  <pageMargins left="0.39305555555555599" right="0.39305555555555599" top="0.39305555555555599" bottom="0.39305555555555599" header="0.31458333333333299" footer="0.196527777777778"/>
  <pageSetup paperSize="9" scale="64" fitToHeight="0" orientation="landscape"/>
  <headerFooter>
    <oddFooter>&amp;R&amp;"Cambria,Italic"&amp;9&amp;P/&amp;N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H249"/>
  <sheetViews>
    <sheetView topLeftCell="J1" zoomScale="68" zoomScaleNormal="68" workbookViewId="0">
      <pane ySplit="8" topLeftCell="A231" activePane="bottomLeft" state="frozen"/>
      <selection pane="bottomLeft" activeCell="P16" sqref="P16"/>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21" style="13" hidden="1" customWidth="1"/>
    <col min="16" max="16" width="21" style="13" customWidth="1"/>
    <col min="17"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1.42578125" style="12" customWidth="1"/>
    <col min="26" max="26" width="18.5703125" style="12" customWidth="1"/>
    <col min="27" max="27" width="28.42578125" style="12" customWidth="1"/>
    <col min="28" max="28" width="18.5703125" style="14" customWidth="1"/>
    <col min="29" max="29" width="21.5703125" style="14" customWidth="1"/>
    <col min="30" max="30" width="20.5703125" style="14" customWidth="1"/>
    <col min="31" max="31" width="15.140625" style="14" customWidth="1"/>
    <col min="32" max="32" width="25.140625" style="175" customWidth="1"/>
    <col min="33" max="33" width="9.140625" style="10"/>
    <col min="34" max="34" width="15.28515625" style="10" customWidth="1"/>
    <col min="35" max="16384" width="9.140625" style="10"/>
  </cols>
  <sheetData>
    <row r="1" spans="1:32" s="1" customFormat="1" ht="18">
      <c r="J1" s="1" t="s">
        <v>1079</v>
      </c>
    </row>
    <row r="2" spans="1:32" s="1" customFormat="1" ht="18">
      <c r="J2" s="15"/>
      <c r="K2" s="15"/>
      <c r="L2" s="15"/>
      <c r="M2" s="15"/>
      <c r="N2" s="15"/>
      <c r="O2" s="15"/>
      <c r="P2" s="15"/>
      <c r="Q2" s="15"/>
      <c r="R2" s="15"/>
      <c r="S2" s="15"/>
      <c r="T2" s="15"/>
      <c r="U2" s="15"/>
      <c r="V2" s="15"/>
      <c r="W2" s="15"/>
      <c r="X2" s="15"/>
      <c r="Y2" s="15"/>
      <c r="Z2" s="15"/>
      <c r="AA2" s="15"/>
      <c r="AB2" s="15"/>
      <c r="AC2" s="15"/>
      <c r="AD2" s="15"/>
      <c r="AE2" s="15"/>
      <c r="AF2" s="15"/>
    </row>
    <row r="3" spans="1:32" s="1" customFormat="1" ht="15.75" customHeight="1">
      <c r="J3" s="15"/>
      <c r="K3" s="15"/>
      <c r="L3" s="15"/>
      <c r="M3" s="15"/>
      <c r="N3" s="15"/>
      <c r="O3" s="73"/>
      <c r="P3" s="73"/>
      <c r="Q3" s="2459"/>
      <c r="R3" s="2459"/>
      <c r="S3" s="73"/>
      <c r="T3" s="73"/>
      <c r="U3" s="15"/>
      <c r="V3" s="15"/>
      <c r="W3" s="15"/>
      <c r="X3" s="15"/>
      <c r="Y3" s="236"/>
      <c r="Z3" s="236"/>
      <c r="AA3" s="236"/>
      <c r="AB3" s="146"/>
      <c r="AC3" s="146"/>
      <c r="AD3" s="146"/>
      <c r="AE3" s="146"/>
      <c r="AF3" s="2478"/>
    </row>
    <row r="5" spans="1:32" s="2" customFormat="1" ht="24.95" hidden="1" customHeight="1">
      <c r="J5" s="1398" t="s">
        <v>2</v>
      </c>
      <c r="K5" s="1399"/>
      <c r="L5" s="1399"/>
      <c r="M5" s="1399"/>
      <c r="N5" s="1399"/>
      <c r="O5" s="1400" t="s">
        <v>1080</v>
      </c>
      <c r="P5" s="1400" t="s">
        <v>1081</v>
      </c>
      <c r="Q5" s="1427" t="s">
        <v>1082</v>
      </c>
      <c r="R5" s="1427" t="s">
        <v>1083</v>
      </c>
      <c r="S5" s="1400" t="s">
        <v>1084</v>
      </c>
      <c r="T5" s="1428" t="s">
        <v>1085</v>
      </c>
      <c r="U5" s="3418" t="s">
        <v>7</v>
      </c>
      <c r="V5" s="3418"/>
      <c r="W5" s="3418"/>
      <c r="X5" s="3418"/>
      <c r="Y5" s="3418"/>
      <c r="Z5" s="3418"/>
      <c r="AA5" s="3419"/>
      <c r="AB5" s="3420" t="s">
        <v>1086</v>
      </c>
      <c r="AC5" s="3421"/>
      <c r="AD5" s="3421"/>
      <c r="AE5" s="3421"/>
      <c r="AF5" s="3422"/>
    </row>
    <row r="6" spans="1:32" s="2" customFormat="1" ht="24.95" customHeight="1">
      <c r="J6" s="3511" t="s">
        <v>2</v>
      </c>
      <c r="K6" s="3418"/>
      <c r="L6" s="3418"/>
      <c r="M6" s="3418"/>
      <c r="N6" s="3419"/>
      <c r="O6" s="3429" t="s">
        <v>1080</v>
      </c>
      <c r="P6" s="3429" t="s">
        <v>1081</v>
      </c>
      <c r="Q6" s="3434" t="s">
        <v>1082</v>
      </c>
      <c r="R6" s="3434" t="s">
        <v>1083</v>
      </c>
      <c r="S6" s="3429" t="s">
        <v>1084</v>
      </c>
      <c r="T6" s="3476" t="s">
        <v>1085</v>
      </c>
      <c r="U6" s="3423" t="s">
        <v>1088</v>
      </c>
      <c r="V6" s="3423"/>
      <c r="W6" s="3423"/>
      <c r="X6" s="3424"/>
      <c r="Y6" s="3425" t="s">
        <v>1089</v>
      </c>
      <c r="Z6" s="3375"/>
      <c r="AA6" s="3426"/>
      <c r="AB6" s="3425" t="s">
        <v>1086</v>
      </c>
      <c r="AC6" s="3375"/>
      <c r="AD6" s="3375"/>
      <c r="AE6" s="3375"/>
      <c r="AF6" s="3376"/>
    </row>
    <row r="7" spans="1:32" s="2" customFormat="1" ht="68.25" customHeight="1">
      <c r="J7" s="3512"/>
      <c r="K7" s="3513"/>
      <c r="L7" s="3513"/>
      <c r="M7" s="3513"/>
      <c r="N7" s="3514"/>
      <c r="O7" s="3430"/>
      <c r="P7" s="3430"/>
      <c r="Q7" s="3435"/>
      <c r="R7" s="3435"/>
      <c r="S7" s="3430"/>
      <c r="T7" s="3477"/>
      <c r="U7" s="97" t="s">
        <v>11</v>
      </c>
      <c r="V7" s="74" t="s">
        <v>507</v>
      </c>
      <c r="W7" s="74" t="s">
        <v>1090</v>
      </c>
      <c r="X7" s="207" t="s">
        <v>509</v>
      </c>
      <c r="Y7" s="237" t="s">
        <v>507</v>
      </c>
      <c r="Z7" s="76" t="s">
        <v>510</v>
      </c>
      <c r="AA7" s="207" t="s">
        <v>511</v>
      </c>
      <c r="AB7" s="1491" t="s">
        <v>550</v>
      </c>
      <c r="AC7" s="97" t="s">
        <v>1091</v>
      </c>
      <c r="AD7" s="76" t="s">
        <v>15</v>
      </c>
      <c r="AE7" s="96" t="s">
        <v>1092</v>
      </c>
      <c r="AF7" s="238" t="s">
        <v>511</v>
      </c>
    </row>
    <row r="8" spans="1:32">
      <c r="J8" s="177"/>
      <c r="K8" s="18"/>
      <c r="L8" s="18"/>
      <c r="M8" s="18"/>
      <c r="N8" s="19"/>
      <c r="O8" s="187"/>
      <c r="P8" s="1403"/>
      <c r="Q8" s="1429"/>
      <c r="R8" s="1429"/>
      <c r="S8" s="1403"/>
      <c r="T8" s="2460"/>
      <c r="U8" s="1432"/>
      <c r="V8" s="209"/>
      <c r="W8" s="209"/>
      <c r="X8" s="210"/>
      <c r="Y8" s="209"/>
      <c r="Z8" s="209"/>
      <c r="AA8" s="210"/>
      <c r="AB8" s="1492"/>
      <c r="AC8" s="1493"/>
      <c r="AD8" s="249"/>
      <c r="AE8" s="1494"/>
      <c r="AF8" s="1527"/>
    </row>
    <row r="9" spans="1:32" s="3" customFormat="1" ht="30" customHeight="1">
      <c r="A9" s="3" t="s">
        <v>21</v>
      </c>
      <c r="B9" s="3" t="s">
        <v>21</v>
      </c>
      <c r="C9" s="3" t="s">
        <v>21</v>
      </c>
      <c r="D9" s="3" t="s">
        <v>21</v>
      </c>
      <c r="E9" s="3" t="s">
        <v>21</v>
      </c>
      <c r="F9" s="3" t="s">
        <v>21</v>
      </c>
      <c r="G9" s="3" t="s">
        <v>21</v>
      </c>
      <c r="H9" s="3" t="s">
        <v>21</v>
      </c>
      <c r="I9" s="3" t="s">
        <v>21</v>
      </c>
      <c r="J9" s="178" t="str">
        <f>[3]DATA!B2</f>
        <v>I</v>
      </c>
      <c r="K9" s="22" t="str">
        <f>[3]DATA!D2</f>
        <v>INFRASTRUKTUR</v>
      </c>
      <c r="L9" s="22"/>
      <c r="M9" s="22"/>
      <c r="N9" s="23"/>
      <c r="O9" s="191">
        <f>O10+O119+O122+O138+O142+O145+O155+O158+O161</f>
        <v>31622775700</v>
      </c>
      <c r="P9" s="191">
        <f>+P10+P119+P122+P138+P142+P145+P155+P158+P161</f>
        <v>36964652000</v>
      </c>
      <c r="Q9" s="191" t="e">
        <f>+Q10+Q119+Q122+Q138+Q142+Q145+Q155+Q158+Q161</f>
        <v>#REF!</v>
      </c>
      <c r="R9" s="191" t="e">
        <f>+R10+R119+R122+R138+R142+R145+R155+R158+R161</f>
        <v>#REF!</v>
      </c>
      <c r="S9" s="191" t="e">
        <f>+S10+S119+S122+S138+S142+S145+S155+S158+S161</f>
        <v>#REF!</v>
      </c>
      <c r="T9" s="2461"/>
      <c r="U9" s="192"/>
      <c r="V9" s="79">
        <f>+V10+V119+V122+V138+V142+V145+V155+V158+V161</f>
        <v>30346667596</v>
      </c>
      <c r="W9" s="79">
        <f>+W10+W119+W122+W138+W142+W145+W155+W158+W161</f>
        <v>6401484404</v>
      </c>
      <c r="X9" s="79">
        <f>+X10+X119+X122+X138+X142+X145</f>
        <v>0</v>
      </c>
      <c r="Y9" s="240">
        <f>+Y10+Y119+Y122+Y138+Y142+Y145+Y155+Y158+Y161</f>
        <v>36964652000</v>
      </c>
      <c r="Z9" s="79" t="s">
        <v>21</v>
      </c>
      <c r="AA9" s="212">
        <f>P9-Y9</f>
        <v>0</v>
      </c>
      <c r="AB9" s="1496"/>
      <c r="AC9" s="1497"/>
      <c r="AD9" s="1498"/>
      <c r="AE9" s="1499"/>
      <c r="AF9" s="1528"/>
    </row>
    <row r="10" spans="1:32" s="4" customFormat="1" ht="24.95" customHeight="1">
      <c r="J10" s="179"/>
      <c r="K10" s="25">
        <f>[3]DATA!E2</f>
        <v>1</v>
      </c>
      <c r="L10" s="26" t="str">
        <f>[3]DATA!F2</f>
        <v>Kementerian Pekerjaan Umum dan Perumahan Rakyat</v>
      </c>
      <c r="M10" s="26"/>
      <c r="N10" s="27"/>
      <c r="O10" s="194">
        <f>O11+O14+O20+O30+O43+O55+O58+O65+O67+O81+O85+O99+O110+O115+O117</f>
        <v>20833439000</v>
      </c>
      <c r="P10" s="194">
        <f>+P11+P14+P20+P30+P43+P55+P58+P65+P67+P81+P85+P99+P110+P117+P115</f>
        <v>21508439000</v>
      </c>
      <c r="Q10" s="194" t="e">
        <f>+Q11+Q14+Q20+Q30+Q43+Q55+Q58+Q65+Q67+Q81+Q85+Q99+Q110+Q117+Q115</f>
        <v>#REF!</v>
      </c>
      <c r="R10" s="194" t="e">
        <f>+R11+R14+R20+R30+R43+R55+R58+R65+R67+R81+R85+R99+R110+R117+R115</f>
        <v>#REF!</v>
      </c>
      <c r="S10" s="194" t="e">
        <f>+S11+S14+S20+S30+S43+S55+S58+S65+S67+S81+S85+S99+S110+S117+S115</f>
        <v>#REF!</v>
      </c>
      <c r="T10" s="2462"/>
      <c r="U10" s="195"/>
      <c r="V10" s="80">
        <f>+V11+V14+V20+V30+V43+V55+V58+V65+V67+V81+V85+V99+V110+V115+V117</f>
        <v>20260667596</v>
      </c>
      <c r="W10" s="80">
        <f>+W11+W14+W20+W30+W43+W55+W58+W65+W67+W81+W85+W99+W110+W115+W117</f>
        <v>1031271404</v>
      </c>
      <c r="X10" s="213">
        <f>+X11+X14+X20+X30+X43+X55+X58+X67+X81+X85+X99+X110+X117</f>
        <v>0</v>
      </c>
      <c r="Y10" s="242">
        <f>+Y11+Y14+Y20+Y30+Y43+Y55+Y58+Y65+Y67+Y81+Y85+Y99+Y110+Y115+Y117</f>
        <v>21508439000</v>
      </c>
      <c r="Z10" s="80" t="s">
        <v>21</v>
      </c>
      <c r="AA10" s="213"/>
      <c r="AB10" s="1501"/>
      <c r="AC10" s="1541"/>
      <c r="AD10" s="1542"/>
      <c r="AE10" s="1543"/>
      <c r="AF10" s="1546"/>
    </row>
    <row r="11" spans="1:32" s="5" customFormat="1" ht="24.95" customHeight="1">
      <c r="J11" s="180"/>
      <c r="K11" s="29"/>
      <c r="L11" s="30" t="str">
        <f>[3]DATA!I2</f>
        <v>A</v>
      </c>
      <c r="M11" s="31" t="str">
        <f>[3]DATA!J2</f>
        <v>Program Pembangunan Jalan Tol</v>
      </c>
      <c r="N11" s="32"/>
      <c r="O11" s="197">
        <f>O12</f>
        <v>1250000000</v>
      </c>
      <c r="P11" s="197">
        <f>P12</f>
        <v>1250000000</v>
      </c>
      <c r="Q11" s="1436">
        <f>Q12</f>
        <v>101250000</v>
      </c>
      <c r="R11" s="1436">
        <f>R12</f>
        <v>0</v>
      </c>
      <c r="S11" s="197">
        <f>S12</f>
        <v>1351250000</v>
      </c>
      <c r="T11" s="2463"/>
      <c r="U11" s="1560"/>
      <c r="V11" s="81">
        <f>V12</f>
        <v>1250000000</v>
      </c>
      <c r="W11" s="81">
        <f>W12</f>
        <v>0</v>
      </c>
      <c r="X11" s="2464"/>
      <c r="Y11" s="244">
        <f>Y12+Y13</f>
        <v>1250000000</v>
      </c>
      <c r="Z11" s="198" t="s">
        <v>21</v>
      </c>
      <c r="AA11" s="214"/>
      <c r="AB11" s="1505"/>
      <c r="AC11" s="1578"/>
      <c r="AD11" s="1579"/>
      <c r="AE11" s="1580"/>
      <c r="AF11" s="1586"/>
    </row>
    <row r="12" spans="1:32" ht="25.5">
      <c r="A12" s="10">
        <f>[3]DATA!A3</f>
        <v>1</v>
      </c>
      <c r="B12" s="10">
        <f>[3]DATA!B3</f>
        <v>0</v>
      </c>
      <c r="C12" s="10" t="str">
        <f>[3]DATA!D3</f>
        <v>INFRASTRUKTUR</v>
      </c>
      <c r="D12" s="10">
        <f>[3]DATA!E3</f>
        <v>1</v>
      </c>
      <c r="E12" s="10" t="str">
        <f>[3]DATA!F3</f>
        <v>Kementerian Pekerjaan Umum dan Perumahan Rakyat</v>
      </c>
      <c r="F12" s="10" t="str">
        <f>[3]DATA!H3</f>
        <v>Toll Road Development Program</v>
      </c>
      <c r="G12" s="10" t="str">
        <f>[3]DATA!I3</f>
        <v>A</v>
      </c>
      <c r="H12" s="10" t="str">
        <f>[3]DATA!J3</f>
        <v>Program Pembangunan Jalan Tol</v>
      </c>
      <c r="I12" s="10">
        <f>[3]DATA!K3</f>
        <v>1</v>
      </c>
      <c r="J12" s="181"/>
      <c r="K12" s="34"/>
      <c r="L12" s="34"/>
      <c r="M12" s="3390">
        <v>1</v>
      </c>
      <c r="N12" s="3393" t="str">
        <f>[3]DATA!L2</f>
        <v>Toll Road Development in Kalimantan, Sumatera, and Java Islands</v>
      </c>
      <c r="O12" s="3408">
        <f>[3]DATA!T2</f>
        <v>1250000000</v>
      </c>
      <c r="P12" s="3408">
        <f>[3]DATA!U2</f>
        <v>1250000000</v>
      </c>
      <c r="Q12" s="3436">
        <f>[3]DATA!V2</f>
        <v>101250000</v>
      </c>
      <c r="R12" s="3436">
        <f>[3]DATA!W3</f>
        <v>0</v>
      </c>
      <c r="S12" s="3411">
        <f>P12+Q12+R12</f>
        <v>1351250000</v>
      </c>
      <c r="T12" s="2465"/>
      <c r="U12" s="1449" t="str">
        <f>[3]DATA!Y3</f>
        <v>RRT</v>
      </c>
      <c r="V12" s="3414">
        <f>[3]DATA!AA2</f>
        <v>1250000000</v>
      </c>
      <c r="W12" s="77">
        <v>0</v>
      </c>
      <c r="X12" s="216" t="str">
        <f>[3]DATA!Y3</f>
        <v>RRT</v>
      </c>
      <c r="Y12" s="245">
        <f>[3]DATA!AT3</f>
        <v>1000000000</v>
      </c>
      <c r="Z12" s="109" t="str">
        <f>[3]DATA!AU3</f>
        <v>RRT</v>
      </c>
      <c r="AA12" s="1544" t="str">
        <f>[3]DATA!AW3</f>
        <v>co-financing dengan Korea (USD 250 juta)</v>
      </c>
      <c r="AB12" s="3520" t="str">
        <f>[3]DATA!AM3</f>
        <v>-</v>
      </c>
      <c r="AC12" s="3495" t="str">
        <f>[3]DATA!AN3</f>
        <v>siap</v>
      </c>
      <c r="AD12" s="3502" t="str">
        <f>[3]DATA!AO3</f>
        <v>dalam proses
(pelaksanaan &lt; 50%)</v>
      </c>
      <c r="AE12" s="3502" t="str">
        <f>[3]DATA!AQ3</f>
        <v>-</v>
      </c>
      <c r="AF12" s="3504" t="str">
        <f>[3]DATA!AR3</f>
        <v>belum ada dokumen R/C</v>
      </c>
    </row>
    <row r="13" spans="1:32" ht="51">
      <c r="A13" s="10">
        <f>[3]DATA!A4</f>
        <v>2</v>
      </c>
      <c r="B13" s="10">
        <f>[3]DATA!B4</f>
        <v>0</v>
      </c>
      <c r="C13" s="10" t="str">
        <f>[3]DATA!D4</f>
        <v>INFRASTRUKTUR</v>
      </c>
      <c r="D13" s="10">
        <f>[3]DATA!E4</f>
        <v>1</v>
      </c>
      <c r="E13" s="10" t="str">
        <f>[3]DATA!F4</f>
        <v>Kementerian Pekerjaan Umum dan Perumahan Rakyat</v>
      </c>
      <c r="F13" s="10" t="str">
        <f>[3]DATA!H4</f>
        <v>Toll Road Development Program</v>
      </c>
      <c r="G13" s="10" t="str">
        <f>[3]DATA!I4</f>
        <v>A</v>
      </c>
      <c r="H13" s="10" t="str">
        <f>[3]DATA!J4</f>
        <v>Program Pembangunan Jalan Tol</v>
      </c>
      <c r="I13" s="10">
        <f>[3]DATA!K4</f>
        <v>1</v>
      </c>
      <c r="J13" s="181"/>
      <c r="K13" s="34"/>
      <c r="L13" s="34"/>
      <c r="M13" s="3391"/>
      <c r="N13" s="3394"/>
      <c r="O13" s="3409"/>
      <c r="P13" s="3409"/>
      <c r="Q13" s="3437"/>
      <c r="R13" s="3437"/>
      <c r="S13" s="3413"/>
      <c r="T13" s="2466"/>
      <c r="U13" s="1449" t="str">
        <f>[3]DATA!Y4</f>
        <v>Korea</v>
      </c>
      <c r="V13" s="3415"/>
      <c r="W13" s="77">
        <v>0</v>
      </c>
      <c r="X13" s="216" t="str">
        <f>[3]DATA!Y4</f>
        <v>Korea</v>
      </c>
      <c r="Y13" s="245">
        <f>[3]DATA!AT4</f>
        <v>250000000</v>
      </c>
      <c r="Z13" s="109" t="str">
        <f>[3]DATA!AU4</f>
        <v>Korea</v>
      </c>
      <c r="AA13" s="1544" t="str">
        <f>[3]DATA!AW4</f>
        <v>- co-financing dengan RRT (USD 1 Miliar) 
- belum masuk rolling plan EDCF (Korea)</v>
      </c>
      <c r="AB13" s="3521"/>
      <c r="AC13" s="3522"/>
      <c r="AD13" s="3400"/>
      <c r="AE13" s="3503"/>
      <c r="AF13" s="3505"/>
    </row>
    <row r="14" spans="1:32" s="5" customFormat="1" ht="33.75" customHeight="1">
      <c r="J14" s="180"/>
      <c r="K14" s="50"/>
      <c r="L14" s="30" t="str">
        <f>[3]DATA!I10</f>
        <v>B</v>
      </c>
      <c r="M14" s="31" t="str">
        <f>[3]DATA!J10</f>
        <v>Program Pembangunan / Peningkatan Jembatan</v>
      </c>
      <c r="N14" s="51"/>
      <c r="O14" s="197">
        <f>O15+O16+O17+O18+O19</f>
        <v>1500000000</v>
      </c>
      <c r="P14" s="197">
        <f>P15+P16+P17+P18+P19</f>
        <v>1500000000</v>
      </c>
      <c r="Q14" s="1436">
        <f>Q15+Q16+Q17+Q18+Q19</f>
        <v>126500000</v>
      </c>
      <c r="R14" s="1436">
        <f>R15+R16+R17+R18+R19</f>
        <v>0</v>
      </c>
      <c r="S14" s="1559">
        <f t="shared" ref="S14:S33" si="0">P14+Q14+R14</f>
        <v>1626500000</v>
      </c>
      <c r="T14" s="2463"/>
      <c r="U14" s="198"/>
      <c r="V14" s="81">
        <f>SUM(V15:V19)</f>
        <v>1500000000</v>
      </c>
      <c r="W14" s="81">
        <f>SUM(W15:W19)</f>
        <v>0</v>
      </c>
      <c r="X14" s="214">
        <f>SUM(X15:X19)</f>
        <v>0</v>
      </c>
      <c r="Y14" s="244">
        <f>SUM(Y15:Y19)</f>
        <v>1500000000</v>
      </c>
      <c r="Z14" s="81" t="s">
        <v>21</v>
      </c>
      <c r="AA14" s="214"/>
      <c r="AB14" s="1505"/>
      <c r="AC14" s="1506"/>
      <c r="AD14" s="169"/>
      <c r="AE14" s="1507"/>
      <c r="AF14" s="1530"/>
    </row>
    <row r="15" spans="1:32" ht="63.75">
      <c r="A15" s="10">
        <f>[3]DATA!A10</f>
        <v>8</v>
      </c>
      <c r="B15" s="10">
        <f>[3]DATA!B10</f>
        <v>0</v>
      </c>
      <c r="C15" s="10" t="str">
        <f>[3]DATA!D10</f>
        <v>INFRASTRUKTUR</v>
      </c>
      <c r="D15" s="10">
        <f>[3]DATA!E10</f>
        <v>1</v>
      </c>
      <c r="E15" s="10" t="str">
        <f>[3]DATA!F10</f>
        <v>Kementerian Pekerjaan Umum dan Perumahan Rakyat</v>
      </c>
      <c r="F15" s="10" t="str">
        <f>[3]DATA!H10</f>
        <v>Development and Improvement of National Bridges Program</v>
      </c>
      <c r="G15" s="10" t="str">
        <f>[3]DATA!I10</f>
        <v>B</v>
      </c>
      <c r="H15" s="10" t="str">
        <f>[3]DATA!J10</f>
        <v>Program Pembangunan / Peningkatan Jembatan</v>
      </c>
      <c r="I15" s="10">
        <f>[3]DATA!K10</f>
        <v>1</v>
      </c>
      <c r="J15" s="181"/>
      <c r="K15" s="34"/>
      <c r="L15" s="35"/>
      <c r="M15" s="52">
        <v>2</v>
      </c>
      <c r="N15" s="53" t="str">
        <f>[3]DATA!L10</f>
        <v>Material Procurement for Construction and Bridge Rehabilitation</v>
      </c>
      <c r="O15" s="187">
        <f>[3]DATA!T10</f>
        <v>450000000</v>
      </c>
      <c r="P15" s="187">
        <f>[3]DATA!U10</f>
        <v>450000000</v>
      </c>
      <c r="Q15" s="1446">
        <f>[3]DATA!V10</f>
        <v>0</v>
      </c>
      <c r="R15" s="1446">
        <f>[3]DATA!W10</f>
        <v>0</v>
      </c>
      <c r="S15" s="2467">
        <f t="shared" si="0"/>
        <v>450000000</v>
      </c>
      <c r="T15" s="2468"/>
      <c r="U15" s="1449" t="str">
        <f>[3]DATA!Y10</f>
        <v>Spanyol/RRT</v>
      </c>
      <c r="V15" s="77">
        <f>[3]DATA!AA10</f>
        <v>450000000</v>
      </c>
      <c r="W15" s="77">
        <v>0</v>
      </c>
      <c r="X15" s="216" t="str">
        <f>[3]DATA!Y10</f>
        <v>Spanyol/RRT</v>
      </c>
      <c r="Y15" s="245">
        <f>[3]DATA!AT10</f>
        <v>450000000</v>
      </c>
      <c r="Z15" s="109" t="str">
        <f>[3]DATA!AU10</f>
        <v>Spanyol/RRT</v>
      </c>
      <c r="AA15" s="1544" t="str">
        <f>[3]DATA!AW10</f>
        <v>- Spanyol berminat mendanai sebagian (USD 50-100 juta), tetapi setelah permasalahan proyek LIPI selesai.
- RRT belum ada keputusan.</v>
      </c>
      <c r="AB15" s="245">
        <f>[3]DATA!AM10</f>
        <v>0</v>
      </c>
      <c r="AC15" s="1510" t="str">
        <f>[3]DATA!AN10</f>
        <v>belum ada keterangan</v>
      </c>
      <c r="AD15" s="1511" t="str">
        <f>[3]DATA!AO10</f>
        <v>belum ada keterangan</v>
      </c>
      <c r="AE15" s="1510">
        <f>[3]DATA!AQ10</f>
        <v>0</v>
      </c>
      <c r="AF15" s="252" t="str">
        <f>[3]DATA!AR10</f>
        <v>belum ada dokumen R/C</v>
      </c>
    </row>
    <row r="16" spans="1:32" ht="31.5" customHeight="1">
      <c r="A16" s="10">
        <f>[3]DATA!A11</f>
        <v>9</v>
      </c>
      <c r="B16" s="10">
        <f>[3]DATA!B11</f>
        <v>0</v>
      </c>
      <c r="C16" s="10" t="str">
        <f>[3]DATA!D11</f>
        <v>INFRASTRUKTUR</v>
      </c>
      <c r="D16" s="10">
        <f>[3]DATA!E11</f>
        <v>1</v>
      </c>
      <c r="E16" s="10" t="str">
        <f>[3]DATA!F11</f>
        <v>Kementerian Pekerjaan Umum dan Perumahan Rakyat</v>
      </c>
      <c r="F16" s="10" t="str">
        <f>[3]DATA!H11</f>
        <v>Development and Improvement of National Bridges Program</v>
      </c>
      <c r="G16" s="10" t="str">
        <f>[3]DATA!I11</f>
        <v>B</v>
      </c>
      <c r="H16" s="10" t="str">
        <f>[3]DATA!J11</f>
        <v>Program Pembangunan / Peningkatan Jembatan</v>
      </c>
      <c r="I16" s="10">
        <f>[3]DATA!K11</f>
        <v>2</v>
      </c>
      <c r="J16" s="181"/>
      <c r="K16" s="34"/>
      <c r="L16" s="34"/>
      <c r="M16" s="52">
        <v>3</v>
      </c>
      <c r="N16" s="37" t="str">
        <f>[3]DATA!L11</f>
        <v>Development of Fly Over/ Under Pass for Railways Crossing</v>
      </c>
      <c r="O16" s="187">
        <f>[3]DATA!T11</f>
        <v>250000000</v>
      </c>
      <c r="P16" s="187">
        <f>[3]DATA!U11</f>
        <v>250000000</v>
      </c>
      <c r="Q16" s="1446">
        <f>[3]DATA!V11</f>
        <v>50000000</v>
      </c>
      <c r="R16" s="1446">
        <f>[3]DATA!W11</f>
        <v>0</v>
      </c>
      <c r="S16" s="2467">
        <f t="shared" si="0"/>
        <v>300000000</v>
      </c>
      <c r="T16" s="2468"/>
      <c r="U16" s="1449" t="str">
        <f>[3]DATA!Y11</f>
        <v>JICA</v>
      </c>
      <c r="V16" s="77">
        <f>[3]DATA!AA11</f>
        <v>250000000</v>
      </c>
      <c r="W16" s="77">
        <v>0</v>
      </c>
      <c r="X16" s="216" t="str">
        <f>[3]DATA!Y11</f>
        <v>JICA</v>
      </c>
      <c r="Y16" s="245">
        <f>[3]DATA!AT11</f>
        <v>250000000</v>
      </c>
      <c r="Z16" s="109" t="str">
        <f>[3]DATA!AU11</f>
        <v>JICA</v>
      </c>
      <c r="AA16" s="1544" t="str">
        <f>[3]DATA!AW11</f>
        <v>-</v>
      </c>
      <c r="AB16" s="245">
        <f>[3]DATA!AM11</f>
        <v>0</v>
      </c>
      <c r="AC16" s="1510" t="str">
        <f>[3]DATA!AN11</f>
        <v>dalam proses
(penyusunan FS)</v>
      </c>
      <c r="AD16" s="1511" t="str">
        <f>[3]DATA!AO11</f>
        <v>belum ada keterangan</v>
      </c>
      <c r="AE16" s="1510">
        <f>[3]DATA!AQ11</f>
        <v>0</v>
      </c>
      <c r="AF16" s="252" t="str">
        <f>[3]DATA!AR11</f>
        <v>belum ada dokumen R/C</v>
      </c>
    </row>
    <row r="17" spans="1:32" ht="24.75" customHeight="1">
      <c r="A17" s="10">
        <f>[3]DATA!A12</f>
        <v>10</v>
      </c>
      <c r="B17" s="10">
        <f>[3]DATA!B12</f>
        <v>0</v>
      </c>
      <c r="C17" s="10" t="str">
        <f>[3]DATA!D12</f>
        <v>INFRASTRUKTUR</v>
      </c>
      <c r="D17" s="10">
        <f>[3]DATA!E12</f>
        <v>1</v>
      </c>
      <c r="E17" s="10" t="str">
        <f>[3]DATA!F12</f>
        <v>Kementerian Pekerjaan Umum dan Perumahan Rakyat</v>
      </c>
      <c r="F17" s="10" t="str">
        <f>[3]DATA!H12</f>
        <v>Development and Improvement of National Bridges Program</v>
      </c>
      <c r="G17" s="10" t="str">
        <f>[3]DATA!I12</f>
        <v>B</v>
      </c>
      <c r="H17" s="10" t="str">
        <f>[3]DATA!J12</f>
        <v>Program Pembangunan / Peningkatan Jembatan</v>
      </c>
      <c r="I17" s="10">
        <f>[3]DATA!K12</f>
        <v>3</v>
      </c>
      <c r="J17" s="181"/>
      <c r="K17" s="34"/>
      <c r="L17" s="34"/>
      <c r="M17" s="52">
        <v>4</v>
      </c>
      <c r="N17" s="37" t="str">
        <f>[3]DATA!L12</f>
        <v>Development of Fly Over/ Under Pass in Major Cities</v>
      </c>
      <c r="O17" s="187">
        <f>[3]DATA!T12</f>
        <v>270000000</v>
      </c>
      <c r="P17" s="187">
        <f>[3]DATA!U12</f>
        <v>270000000</v>
      </c>
      <c r="Q17" s="1446">
        <f>[3]DATA!V12</f>
        <v>50000000</v>
      </c>
      <c r="R17" s="1446">
        <f>[3]DATA!W12</f>
        <v>0</v>
      </c>
      <c r="S17" s="2467">
        <f t="shared" si="0"/>
        <v>320000000</v>
      </c>
      <c r="T17" s="2468"/>
      <c r="U17" s="1449" t="str">
        <f>[3]DATA!Y12</f>
        <v>JICA</v>
      </c>
      <c r="V17" s="77">
        <f>[3]DATA!AA12</f>
        <v>270000000</v>
      </c>
      <c r="W17" s="77">
        <v>0</v>
      </c>
      <c r="X17" s="216" t="str">
        <f>[3]DATA!Y12</f>
        <v>JICA</v>
      </c>
      <c r="Y17" s="245">
        <f>[3]DATA!AT12</f>
        <v>270000000</v>
      </c>
      <c r="Z17" s="109" t="str">
        <f>[3]DATA!AU12</f>
        <v>JICA</v>
      </c>
      <c r="AA17" s="1544" t="str">
        <f>[3]DATA!AW12</f>
        <v>-</v>
      </c>
      <c r="AB17" s="245">
        <f>[3]DATA!AM12</f>
        <v>0</v>
      </c>
      <c r="AC17" s="1510" t="str">
        <f>[3]DATA!AN12</f>
        <v>dalam proses
 (penyusunan FS)</v>
      </c>
      <c r="AD17" s="1511" t="str">
        <f>[3]DATA!AO12</f>
        <v>belum ada keterangan</v>
      </c>
      <c r="AE17" s="1510">
        <f>[3]DATA!AQ12</f>
        <v>0</v>
      </c>
      <c r="AF17" s="252" t="str">
        <f>[3]DATA!AR12</f>
        <v>belum ada dokumen R/C</v>
      </c>
    </row>
    <row r="18" spans="1:32" ht="25.5" customHeight="1">
      <c r="A18" s="10">
        <f>[3]DATA!A13</f>
        <v>11</v>
      </c>
      <c r="B18" s="10">
        <f>[3]DATA!B13</f>
        <v>0</v>
      </c>
      <c r="C18" s="10" t="str">
        <f>[3]DATA!D13</f>
        <v>INFRASTRUKTUR</v>
      </c>
      <c r="D18" s="10">
        <f>[3]DATA!E13</f>
        <v>1</v>
      </c>
      <c r="E18" s="10" t="str">
        <f>[3]DATA!F13</f>
        <v>Kementerian Pekerjaan Umum dan Perumahan Rakyat</v>
      </c>
      <c r="F18" s="10" t="str">
        <f>[3]DATA!H13</f>
        <v>Development and Improvement of National Bridges Program</v>
      </c>
      <c r="G18" s="10" t="str">
        <f>[3]DATA!I13</f>
        <v>B</v>
      </c>
      <c r="H18" s="10" t="str">
        <f>[3]DATA!J13</f>
        <v>Program Pembangunan / Peningkatan Jembatan</v>
      </c>
      <c r="I18" s="10">
        <f>[3]DATA!K13</f>
        <v>4</v>
      </c>
      <c r="J18" s="181"/>
      <c r="K18" s="34"/>
      <c r="L18" s="34"/>
      <c r="M18" s="52">
        <v>5</v>
      </c>
      <c r="N18" s="37" t="str">
        <f>[3]DATA!L13</f>
        <v>Balinka - Matur - Ngarai Sianok Tunnel Construction</v>
      </c>
      <c r="O18" s="187">
        <f>[3]DATA!T13</f>
        <v>175000000</v>
      </c>
      <c r="P18" s="187">
        <f>[3]DATA!U13</f>
        <v>175000000</v>
      </c>
      <c r="Q18" s="1446">
        <f>[3]DATA!V13</f>
        <v>8750000</v>
      </c>
      <c r="R18" s="1446">
        <f>[3]DATA!W13</f>
        <v>0</v>
      </c>
      <c r="S18" s="2467">
        <f t="shared" si="0"/>
        <v>183750000</v>
      </c>
      <c r="T18" s="2468"/>
      <c r="U18" s="1449" t="str">
        <f>[3]DATA!Y13</f>
        <v>Korea/RRT</v>
      </c>
      <c r="V18" s="77">
        <f>[3]DATA!AA13</f>
        <v>175000000</v>
      </c>
      <c r="W18" s="77">
        <v>0</v>
      </c>
      <c r="X18" s="216" t="str">
        <f>[3]DATA!Y13</f>
        <v>Korea/RRT</v>
      </c>
      <c r="Y18" s="245">
        <f>[3]DATA!AT13</f>
        <v>175000000</v>
      </c>
      <c r="Z18" s="109" t="str">
        <f>[3]DATA!AU13</f>
        <v>Korea/RRT</v>
      </c>
      <c r="AA18" s="1544" t="str">
        <f>[3]DATA!AW13</f>
        <v>- RRT dan Korea belum ada keputusan</v>
      </c>
      <c r="AB18" s="245">
        <f>[3]DATA!AM13</f>
        <v>0</v>
      </c>
      <c r="AC18" s="1510" t="str">
        <f>[3]DATA!AN13</f>
        <v>dalam proses
(memiliki FS dan DED)</v>
      </c>
      <c r="AD18" s="1511" t="str">
        <f>[3]DATA!AO13</f>
        <v>belum ada keterangan</v>
      </c>
      <c r="AE18" s="1510">
        <f>[3]DATA!AQ13</f>
        <v>0</v>
      </c>
      <c r="AF18" s="252" t="str">
        <f>[3]DATA!AR13</f>
        <v>belum ada dokumen R/C</v>
      </c>
    </row>
    <row r="19" spans="1:32" ht="24.75" customHeight="1">
      <c r="A19" s="10">
        <f>[3]DATA!A14</f>
        <v>12</v>
      </c>
      <c r="B19" s="10">
        <f>[3]DATA!B14</f>
        <v>0</v>
      </c>
      <c r="C19" s="10" t="str">
        <f>[3]DATA!D14</f>
        <v>INFRASTRUKTUR</v>
      </c>
      <c r="D19" s="10">
        <f>[3]DATA!E14</f>
        <v>1</v>
      </c>
      <c r="E19" s="10" t="str">
        <f>[3]DATA!F14</f>
        <v>Kementerian Pekerjaan Umum dan Perumahan Rakyat</v>
      </c>
      <c r="F19" s="10" t="str">
        <f>[3]DATA!H14</f>
        <v>Development and Improvement of National Bridges Program</v>
      </c>
      <c r="G19" s="10" t="str">
        <f>[3]DATA!I14</f>
        <v>B</v>
      </c>
      <c r="H19" s="10" t="str">
        <f>[3]DATA!J14</f>
        <v>Program Pembangunan / Peningkatan Jembatan</v>
      </c>
      <c r="I19" s="10">
        <f>[3]DATA!K14</f>
        <v>5</v>
      </c>
      <c r="J19" s="181"/>
      <c r="K19" s="34"/>
      <c r="L19" s="54"/>
      <c r="M19" s="52">
        <v>6</v>
      </c>
      <c r="N19" s="37" t="str">
        <f>[3]DATA!L14</f>
        <v>Long Span Bridge Development for Selected Area</v>
      </c>
      <c r="O19" s="187">
        <f>[3]DATA!T14</f>
        <v>355000000</v>
      </c>
      <c r="P19" s="187">
        <f>[3]DATA!U14</f>
        <v>355000000</v>
      </c>
      <c r="Q19" s="1446">
        <f>[3]DATA!V14</f>
        <v>17750000</v>
      </c>
      <c r="R19" s="1446">
        <f>[3]DATA!W14</f>
        <v>0</v>
      </c>
      <c r="S19" s="2467">
        <f t="shared" si="0"/>
        <v>372750000</v>
      </c>
      <c r="T19" s="2468"/>
      <c r="U19" s="1449" t="str">
        <f>[3]DATA!Y14</f>
        <v>Korea/RRT</v>
      </c>
      <c r="V19" s="77">
        <f>[3]DATA!AA14</f>
        <v>355000000</v>
      </c>
      <c r="W19" s="77">
        <v>0</v>
      </c>
      <c r="X19" s="216" t="str">
        <f>[3]DATA!Y14</f>
        <v>Korea/RRT</v>
      </c>
      <c r="Y19" s="245">
        <f>[3]DATA!AT14</f>
        <v>355000000</v>
      </c>
      <c r="Z19" s="109" t="str">
        <f>[3]DATA!AU14</f>
        <v>Korea/RRT</v>
      </c>
      <c r="AA19" s="1544" t="str">
        <f>[3]DATA!AW14</f>
        <v>- RRT dan Korea belum ada keputusan</v>
      </c>
      <c r="AB19" s="245">
        <f>[3]DATA!AM14</f>
        <v>0</v>
      </c>
      <c r="AC19" s="1510" t="str">
        <f>[3]DATA!AN14</f>
        <v>belum ada keterangan</v>
      </c>
      <c r="AD19" s="1511" t="str">
        <f>[3]DATA!AO14</f>
        <v>belum ada keterangan</v>
      </c>
      <c r="AE19" s="1510">
        <f>[3]DATA!AQ14</f>
        <v>0</v>
      </c>
      <c r="AF19" s="252" t="str">
        <f>[3]DATA!AR14</f>
        <v>belum ada dokumen R/C</v>
      </c>
    </row>
    <row r="20" spans="1:32" s="5" customFormat="1" ht="33.75" customHeight="1">
      <c r="J20" s="180"/>
      <c r="K20" s="50"/>
      <c r="L20" s="30" t="str">
        <f>[3]DATA!I15</f>
        <v>C</v>
      </c>
      <c r="M20" s="31" t="str">
        <f>[3]DATA!J16</f>
        <v>Program Pembangunan / Peningkatan Jalan</v>
      </c>
      <c r="N20" s="51"/>
      <c r="O20" s="197">
        <f>O21+O22+O23+O24+O25+O26+O27+O28+O29</f>
        <v>2000000000</v>
      </c>
      <c r="P20" s="197">
        <f>P21+P22+P23+P24+P25+P26+P27+P28+P29</f>
        <v>2000000000</v>
      </c>
      <c r="Q20" s="1436">
        <f>Q21+Q22+Q23+Q24+Q25+Q26+Q27+Q28+Q29</f>
        <v>400000000</v>
      </c>
      <c r="R20" s="1436">
        <f>R21+R22+R23+R24+R25+R26+R27+R28+R29</f>
        <v>0</v>
      </c>
      <c r="S20" s="1559">
        <f t="shared" si="0"/>
        <v>2400000000</v>
      </c>
      <c r="T20" s="2463"/>
      <c r="U20" s="198"/>
      <c r="V20" s="81">
        <f>SUM(V21:V29)</f>
        <v>2000000000</v>
      </c>
      <c r="W20" s="81">
        <f>SUM(W21:W29)</f>
        <v>0</v>
      </c>
      <c r="X20" s="214">
        <f>SUM(X21:X29)</f>
        <v>0</v>
      </c>
      <c r="Y20" s="244">
        <f>SUM(Y21:Y29)</f>
        <v>2000000000</v>
      </c>
      <c r="Z20" s="81" t="s">
        <v>21</v>
      </c>
      <c r="AA20" s="214">
        <f>SUM(AA21:AA29)</f>
        <v>0</v>
      </c>
      <c r="AB20" s="1505"/>
      <c r="AC20" s="1506"/>
      <c r="AD20" s="169"/>
      <c r="AE20" s="1507"/>
      <c r="AF20" s="1530"/>
    </row>
    <row r="21" spans="1:32" s="5" customFormat="1" ht="51">
      <c r="J21" s="180"/>
      <c r="K21" s="50"/>
      <c r="L21" s="55"/>
      <c r="M21" s="36">
        <v>7</v>
      </c>
      <c r="N21" s="37" t="str">
        <f>[3]DATA!L15</f>
        <v>Urban Arterial Road Improvement Project</v>
      </c>
      <c r="O21" s="200">
        <f>[3]DATA!T15</f>
        <v>250000000</v>
      </c>
      <c r="P21" s="200">
        <f>[3]DATA!U15</f>
        <v>205000000</v>
      </c>
      <c r="Q21" s="1564">
        <f>[3]DATA!V15</f>
        <v>50000000</v>
      </c>
      <c r="R21" s="1564">
        <f>[3]DATA!W15</f>
        <v>0</v>
      </c>
      <c r="S21" s="2467">
        <f t="shared" si="0"/>
        <v>255000000</v>
      </c>
      <c r="T21" s="2468"/>
      <c r="U21" s="1449" t="str">
        <f>[3]DATA!Y15</f>
        <v>JICA</v>
      </c>
      <c r="V21" s="87">
        <f>[3]DATA!AA15</f>
        <v>205000000</v>
      </c>
      <c r="W21" s="87">
        <v>0</v>
      </c>
      <c r="X21" s="216" t="str">
        <f>[3]DATA!Y15</f>
        <v>JICA</v>
      </c>
      <c r="Y21" s="245">
        <f>[3]DATA!AT15</f>
        <v>205000000</v>
      </c>
      <c r="Z21" s="109" t="str">
        <f>[3]DATA!AU15</f>
        <v>JICA</v>
      </c>
      <c r="AA21" s="1544" t="str">
        <f>[3]DATA!AW15</f>
        <v>-</v>
      </c>
      <c r="AB21" s="1510">
        <f>[3]DATA!AM15</f>
        <v>0</v>
      </c>
      <c r="AC21" s="1510" t="str">
        <f>[3]DATA!AN15</f>
        <v>siap</v>
      </c>
      <c r="AD21" s="1511" t="str">
        <f>[3]DATA!AO15</f>
        <v>belum ada keterangan</v>
      </c>
      <c r="AE21" s="1510">
        <f>[3]DATA!AQ15</f>
        <v>0</v>
      </c>
      <c r="AF21" s="1533" t="str">
        <f>[3]DATA!AR15</f>
        <v>- nilai proyek berkurang USD 45 juta, dialihkan untuk kegiatan ESP
- belum ada dokumen R/C</v>
      </c>
    </row>
    <row r="22" spans="1:32" ht="33.75" customHeight="1">
      <c r="A22" s="10">
        <f>[3]DATA!A16</f>
        <v>14</v>
      </c>
      <c r="B22" s="10">
        <f>[3]DATA!B16</f>
        <v>0</v>
      </c>
      <c r="C22" s="10" t="str">
        <f>[3]DATA!D16</f>
        <v>INFRASTRUKTUR</v>
      </c>
      <c r="D22" s="10">
        <f>[3]DATA!E16</f>
        <v>1</v>
      </c>
      <c r="E22" s="10" t="str">
        <f>[3]DATA!F16</f>
        <v>Kementerian Pekerjaan Umum dan Perumahan Rakyat</v>
      </c>
      <c r="F22" s="10" t="str">
        <f>[3]DATA!H16</f>
        <v>Development and Improvement of National Roads Program</v>
      </c>
      <c r="G22" s="10" t="str">
        <f>[3]DATA!I16</f>
        <v>C</v>
      </c>
      <c r="H22" s="10" t="str">
        <f>[3]DATA!J16</f>
        <v>Program Pembangunan / Peningkatan Jalan</v>
      </c>
      <c r="I22" s="10">
        <f>[3]DATA!K16</f>
        <v>2</v>
      </c>
      <c r="J22" s="181"/>
      <c r="K22" s="34"/>
      <c r="L22" s="34"/>
      <c r="M22" s="36">
        <v>8</v>
      </c>
      <c r="N22" s="37" t="str">
        <f>[3]DATA!L16</f>
        <v>Construction of Development of Trans South-South, Eastern Java</v>
      </c>
      <c r="O22" s="187">
        <f>[3]DATA!T16</f>
        <v>250000000</v>
      </c>
      <c r="P22" s="187">
        <f>[3]DATA!U16</f>
        <v>250000000</v>
      </c>
      <c r="Q22" s="1564">
        <f>[3]DATA!V16</f>
        <v>50000000</v>
      </c>
      <c r="R22" s="1564">
        <f>[3]DATA!W16</f>
        <v>0</v>
      </c>
      <c r="S22" s="2467">
        <f t="shared" si="0"/>
        <v>300000000</v>
      </c>
      <c r="T22" s="2468"/>
      <c r="U22" s="203" t="str">
        <f>[3]DATA!Y16</f>
        <v>IDB</v>
      </c>
      <c r="V22" s="77">
        <f>[3]DATA!AA16</f>
        <v>250000000</v>
      </c>
      <c r="W22" s="77">
        <v>0</v>
      </c>
      <c r="X22" s="216" t="str">
        <f>[3]DATA!Y16</f>
        <v>IDB</v>
      </c>
      <c r="Y22" s="245">
        <f>[3]DATA!AT16</f>
        <v>250000000</v>
      </c>
      <c r="Z22" s="109" t="str">
        <f>[3]DATA!AU16</f>
        <v>IDB</v>
      </c>
      <c r="AA22" s="1544" t="str">
        <f>[3]DATA!AW16</f>
        <v>-</v>
      </c>
      <c r="AB22" s="1510" t="str">
        <f>[3]DATA!AM16</f>
        <v>Rev. 2016</v>
      </c>
      <c r="AC22" s="1510" t="str">
        <f>[3]DATA!AN16</f>
        <v>siap</v>
      </c>
      <c r="AD22" s="1511" t="str">
        <f>[3]DATA!AO16</f>
        <v>belum ada keterangan</v>
      </c>
      <c r="AE22" s="1510">
        <f>[3]DATA!AQ16</f>
        <v>0</v>
      </c>
      <c r="AF22" s="1533" t="str">
        <f>[3]DATA!AR16</f>
        <v>-</v>
      </c>
    </row>
    <row r="23" spans="1:32" ht="39.75" customHeight="1">
      <c r="A23" s="10">
        <f>[3]DATA!A17</f>
        <v>15</v>
      </c>
      <c r="B23" s="10">
        <f>[3]DATA!B17</f>
        <v>0</v>
      </c>
      <c r="C23" s="10" t="str">
        <f>[3]DATA!D17</f>
        <v>INFRASTRUKTUR</v>
      </c>
      <c r="D23" s="10">
        <f>[3]DATA!E17</f>
        <v>1</v>
      </c>
      <c r="E23" s="10" t="str">
        <f>[3]DATA!F17</f>
        <v>Kementerian Pekerjaan Umum dan Perumahan Rakyat</v>
      </c>
      <c r="F23" s="10" t="str">
        <f>[3]DATA!H17</f>
        <v>Development and Improvement of National Roads Program</v>
      </c>
      <c r="G23" s="10" t="str">
        <f>[3]DATA!I17</f>
        <v>C</v>
      </c>
      <c r="H23" s="10" t="str">
        <f>[3]DATA!J17</f>
        <v>Program Pembangunan / Peningkatan Jalan</v>
      </c>
      <c r="I23" s="10">
        <f>[3]DATA!K17</f>
        <v>3</v>
      </c>
      <c r="J23" s="181"/>
      <c r="K23" s="34"/>
      <c r="L23" s="34"/>
      <c r="M23" s="36">
        <v>9</v>
      </c>
      <c r="N23" s="37" t="str">
        <f>[3]DATA!L17</f>
        <v>Road Improvement Project to Support Integrated Land and Sea Toll Way - Northern Area</v>
      </c>
      <c r="O23" s="187">
        <f>[3]DATA!T17</f>
        <v>250000000</v>
      </c>
      <c r="P23" s="187">
        <f>[3]DATA!U17</f>
        <v>250000000</v>
      </c>
      <c r="Q23" s="1564">
        <f>[3]DATA!V17</f>
        <v>50000000</v>
      </c>
      <c r="R23" s="1564">
        <f>[3]DATA!W17</f>
        <v>0</v>
      </c>
      <c r="S23" s="2467">
        <f t="shared" si="0"/>
        <v>300000000</v>
      </c>
      <c r="T23" s="2468"/>
      <c r="U23" s="1449" t="str">
        <f>[3]DATA!Y17</f>
        <v>Bank Dunia</v>
      </c>
      <c r="V23" s="77">
        <f>[3]DATA!AA17</f>
        <v>250000000</v>
      </c>
      <c r="W23" s="77">
        <v>0</v>
      </c>
      <c r="X23" s="216" t="str">
        <f>[3]DATA!Y17</f>
        <v>Bank Dunia</v>
      </c>
      <c r="Y23" s="245">
        <f>[3]DATA!AT17</f>
        <v>250000000</v>
      </c>
      <c r="Z23" s="109" t="str">
        <f>[3]DATA!AU17</f>
        <v>Bank Dunia</v>
      </c>
      <c r="AA23" s="1544" t="str">
        <f>[3]DATA!AW17</f>
        <v>-</v>
      </c>
      <c r="AB23" s="1510">
        <f>[3]DATA!AM17</f>
        <v>0</v>
      </c>
      <c r="AC23" s="1510" t="str">
        <f>[3]DATA!AN17</f>
        <v>belum ada keterangan</v>
      </c>
      <c r="AD23" s="1511" t="str">
        <f>[3]DATA!AO17</f>
        <v>belum ada keterangan</v>
      </c>
      <c r="AE23" s="1510">
        <f>[3]DATA!AQ17</f>
        <v>0</v>
      </c>
      <c r="AF23" s="1533" t="str">
        <f>[3]DATA!AR17</f>
        <v>belum ada dokumen R/C</v>
      </c>
    </row>
    <row r="24" spans="1:32" ht="38.25" customHeight="1">
      <c r="A24" s="10">
        <f>[3]DATA!A18</f>
        <v>16</v>
      </c>
      <c r="B24" s="10">
        <f>[3]DATA!B18</f>
        <v>0</v>
      </c>
      <c r="C24" s="10" t="str">
        <f>[3]DATA!D18</f>
        <v>INFRASTRUKTUR</v>
      </c>
      <c r="D24" s="10">
        <f>[3]DATA!E18</f>
        <v>1</v>
      </c>
      <c r="E24" s="10" t="str">
        <f>[3]DATA!F18</f>
        <v>Kementerian Pekerjaan Umum dan Perumahan Rakyat</v>
      </c>
      <c r="F24" s="10" t="str">
        <f>[3]DATA!H18</f>
        <v>Development and Improvement of National Roads Program</v>
      </c>
      <c r="G24" s="10" t="str">
        <f>[3]DATA!I18</f>
        <v>C</v>
      </c>
      <c r="H24" s="10" t="str">
        <f>[3]DATA!J18</f>
        <v>Program Pembangunan / Peningkatan Jalan</v>
      </c>
      <c r="I24" s="10">
        <f>[3]DATA!K18</f>
        <v>4</v>
      </c>
      <c r="J24" s="181"/>
      <c r="K24" s="34"/>
      <c r="L24" s="34"/>
      <c r="M24" s="36">
        <v>10</v>
      </c>
      <c r="N24" s="37" t="str">
        <f>[3]DATA!L18</f>
        <v>Road Improvement Project to Support Integrated Land and Sea Toll Way - Southern Area</v>
      </c>
      <c r="O24" s="187">
        <f>[3]DATA!T18</f>
        <v>250000000</v>
      </c>
      <c r="P24" s="187">
        <f>[3]DATA!U18</f>
        <v>250000000</v>
      </c>
      <c r="Q24" s="1564">
        <f>[3]DATA!V18</f>
        <v>50000000</v>
      </c>
      <c r="R24" s="1564">
        <f>[3]DATA!W18</f>
        <v>0</v>
      </c>
      <c r="S24" s="2467">
        <f t="shared" si="0"/>
        <v>300000000</v>
      </c>
      <c r="T24" s="2468"/>
      <c r="U24" s="1449" t="str">
        <f>[3]DATA!Y18</f>
        <v>Bank Dunia/ADB</v>
      </c>
      <c r="V24" s="77">
        <f>[3]DATA!AA18</f>
        <v>250000000</v>
      </c>
      <c r="W24" s="77">
        <v>0</v>
      </c>
      <c r="X24" s="216" t="str">
        <f>[3]DATA!Y18</f>
        <v>Bank Dunia/ADB</v>
      </c>
      <c r="Y24" s="245">
        <f>[3]DATA!AT18</f>
        <v>250000000</v>
      </c>
      <c r="Z24" s="109" t="str">
        <f>[3]DATA!AU18</f>
        <v>Bank Dunia</v>
      </c>
      <c r="AA24" s="1544" t="str">
        <f>[3]DATA!AW18</f>
        <v>- usulan K/L lender: Bank Dunia/ADB. 
- Hanya Bank Dunia saja yang berminat.</v>
      </c>
      <c r="AB24" s="1510">
        <f>[3]DATA!AM18</f>
        <v>0</v>
      </c>
      <c r="AC24" s="1510" t="str">
        <f>[3]DATA!AN18</f>
        <v>belum ada keterangan</v>
      </c>
      <c r="AD24" s="1511" t="str">
        <f>[3]DATA!AO18</f>
        <v>belum ada keterangan</v>
      </c>
      <c r="AE24" s="1510">
        <f>[3]DATA!AQ18</f>
        <v>0</v>
      </c>
      <c r="AF24" s="1533" t="str">
        <f>[3]DATA!AR18</f>
        <v>belum ada dokumen R/C</v>
      </c>
    </row>
    <row r="25" spans="1:32" ht="33.75" customHeight="1">
      <c r="A25" s="10">
        <f>[3]DATA!A19</f>
        <v>17</v>
      </c>
      <c r="B25" s="10">
        <f>[3]DATA!B19</f>
        <v>0</v>
      </c>
      <c r="C25" s="10" t="str">
        <f>[3]DATA!D19</f>
        <v>INFRASTRUKTUR</v>
      </c>
      <c r="D25" s="10">
        <f>[3]DATA!E19</f>
        <v>1</v>
      </c>
      <c r="E25" s="10" t="str">
        <f>[3]DATA!F19</f>
        <v>Kementerian Pekerjaan Umum dan Perumahan Rakyat</v>
      </c>
      <c r="F25" s="10" t="str">
        <f>[3]DATA!H19</f>
        <v>Development and Improvement of National Roads Program</v>
      </c>
      <c r="G25" s="10" t="str">
        <f>[3]DATA!I19</f>
        <v>C</v>
      </c>
      <c r="H25" s="10" t="str">
        <f>[3]DATA!J19</f>
        <v>Program Pembangunan / Peningkatan Jalan</v>
      </c>
      <c r="I25" s="10">
        <f>[3]DATA!K19</f>
        <v>5</v>
      </c>
      <c r="J25" s="181"/>
      <c r="K25" s="34"/>
      <c r="L25" s="34"/>
      <c r="M25" s="36">
        <v>11</v>
      </c>
      <c r="N25" s="37" t="str">
        <f>[3]DATA!L19</f>
        <v>National Road Improvement in West and South Kalimantan</v>
      </c>
      <c r="O25" s="187">
        <f>[3]DATA!T19</f>
        <v>250000000</v>
      </c>
      <c r="P25" s="187">
        <f>[3]DATA!U19</f>
        <v>250000000</v>
      </c>
      <c r="Q25" s="1564">
        <f>[3]DATA!V19</f>
        <v>50000000</v>
      </c>
      <c r="R25" s="1564">
        <f>[3]DATA!W19</f>
        <v>0</v>
      </c>
      <c r="S25" s="2467">
        <f t="shared" si="0"/>
        <v>300000000</v>
      </c>
      <c r="T25" s="2468"/>
      <c r="U25" s="1449" t="str">
        <f>[3]DATA!Y19</f>
        <v>IDB</v>
      </c>
      <c r="V25" s="77">
        <f>[3]DATA!AA19</f>
        <v>250000000</v>
      </c>
      <c r="W25" s="77">
        <v>0</v>
      </c>
      <c r="X25" s="216" t="str">
        <f>[3]DATA!Y19</f>
        <v>IDB</v>
      </c>
      <c r="Y25" s="245">
        <f>[3]DATA!AT19</f>
        <v>250000000</v>
      </c>
      <c r="Z25" s="109" t="str">
        <f>[3]DATA!AU19</f>
        <v>IDB</v>
      </c>
      <c r="AA25" s="1544" t="str">
        <f>[3]DATA!AW19</f>
        <v>-</v>
      </c>
      <c r="AB25" s="1510">
        <f>[3]DATA!AM19</f>
        <v>0</v>
      </c>
      <c r="AC25" s="1510" t="str">
        <f>[3]DATA!AN19</f>
        <v>belum ada keterangan</v>
      </c>
      <c r="AD25" s="1511" t="str">
        <f>[3]DATA!AO19</f>
        <v>belum ada keterangan</v>
      </c>
      <c r="AE25" s="1510">
        <f>[3]DATA!AQ19</f>
        <v>0</v>
      </c>
      <c r="AF25" s="1533" t="str">
        <f>[3]DATA!AR19</f>
        <v>belum ada dokumen R/C</v>
      </c>
    </row>
    <row r="26" spans="1:32" ht="29.25" customHeight="1">
      <c r="A26" s="10">
        <f>[3]DATA!A20</f>
        <v>18</v>
      </c>
      <c r="B26" s="10">
        <f>[3]DATA!B20</f>
        <v>0</v>
      </c>
      <c r="C26" s="10" t="str">
        <f>[3]DATA!D20</f>
        <v>INFRASTRUKTUR</v>
      </c>
      <c r="D26" s="10">
        <f>[3]DATA!E20</f>
        <v>1</v>
      </c>
      <c r="E26" s="10" t="str">
        <f>[3]DATA!F20</f>
        <v>Kementerian Pekerjaan Umum dan Perumahan Rakyat</v>
      </c>
      <c r="F26" s="10" t="str">
        <f>[3]DATA!H20</f>
        <v>Development and Improvement of National Roads Program</v>
      </c>
      <c r="G26" s="10" t="str">
        <f>[3]DATA!I20</f>
        <v>C</v>
      </c>
      <c r="H26" s="10" t="str">
        <f>[3]DATA!J20</f>
        <v>Program Pembangunan / Peningkatan Jalan</v>
      </c>
      <c r="I26" s="10">
        <f>[3]DATA!K20</f>
        <v>6</v>
      </c>
      <c r="J26" s="181"/>
      <c r="K26" s="34"/>
      <c r="L26" s="34"/>
      <c r="M26" s="36">
        <v>12</v>
      </c>
      <c r="N26" s="37" t="str">
        <f>[3]DATA!L20</f>
        <v>National Road Improvement in Central Kalimantan</v>
      </c>
      <c r="O26" s="187">
        <f>[3]DATA!T20</f>
        <v>250000000</v>
      </c>
      <c r="P26" s="187">
        <f>[3]DATA!U20</f>
        <v>250000000</v>
      </c>
      <c r="Q26" s="1564">
        <f>[3]DATA!V20</f>
        <v>50000000</v>
      </c>
      <c r="R26" s="1564">
        <f>[3]DATA!W20</f>
        <v>0</v>
      </c>
      <c r="S26" s="2467">
        <f t="shared" si="0"/>
        <v>300000000</v>
      </c>
      <c r="T26" s="2468"/>
      <c r="U26" s="1449" t="str">
        <f>[3]DATA!Y20</f>
        <v>Bank Dunia/ADB</v>
      </c>
      <c r="V26" s="77">
        <f>[3]DATA!AA20</f>
        <v>250000000</v>
      </c>
      <c r="W26" s="77">
        <v>0</v>
      </c>
      <c r="X26" s="216" t="str">
        <f>[3]DATA!Y20</f>
        <v>Bank Dunia/ADB</v>
      </c>
      <c r="Y26" s="245">
        <f>[3]DATA!AT20</f>
        <v>250000000</v>
      </c>
      <c r="Z26" s="109" t="str">
        <f>[3]DATA!AU20</f>
        <v>Belum Ada Indikasi</v>
      </c>
      <c r="AA26" s="1544" t="str">
        <f>[3]DATA!AW20</f>
        <v>usulan K/L lender: Bank Dunia/ADB. Kedua calon lender tidak berminat mendanai proyek ini.</v>
      </c>
      <c r="AB26" s="1510">
        <f>[3]DATA!AM20</f>
        <v>0</v>
      </c>
      <c r="AC26" s="1510" t="str">
        <f>[3]DATA!AN20</f>
        <v>siap</v>
      </c>
      <c r="AD26" s="1511" t="str">
        <f>[3]DATA!AO20</f>
        <v>belum ada keterangan</v>
      </c>
      <c r="AE26" s="1510">
        <f>[3]DATA!AQ20</f>
        <v>0</v>
      </c>
      <c r="AF26" s="1533" t="str">
        <f>[3]DATA!AR20</f>
        <v>belum ada dokumen R/C</v>
      </c>
    </row>
    <row r="27" spans="1:32" ht="34.5" customHeight="1">
      <c r="A27" s="10">
        <f>[3]DATA!A21</f>
        <v>19</v>
      </c>
      <c r="B27" s="10">
        <f>[3]DATA!B21</f>
        <v>0</v>
      </c>
      <c r="C27" s="10" t="str">
        <f>[3]DATA!D21</f>
        <v>INFRASTRUKTUR</v>
      </c>
      <c r="D27" s="10">
        <f>[3]DATA!E21</f>
        <v>1</v>
      </c>
      <c r="E27" s="10" t="str">
        <f>[3]DATA!F21</f>
        <v>Kementerian Pekerjaan Umum dan Perumahan Rakyat</v>
      </c>
      <c r="F27" s="10" t="str">
        <f>[3]DATA!H21</f>
        <v>Development and Improvement of National Roads Program</v>
      </c>
      <c r="G27" s="10" t="str">
        <f>[3]DATA!I21</f>
        <v>C</v>
      </c>
      <c r="H27" s="10" t="str">
        <f>[3]DATA!J21</f>
        <v>Program Pembangunan / Peningkatan Jalan</v>
      </c>
      <c r="I27" s="10">
        <f>[3]DATA!K21</f>
        <v>7</v>
      </c>
      <c r="J27" s="181"/>
      <c r="K27" s="34"/>
      <c r="L27" s="34"/>
      <c r="M27" s="36">
        <v>13</v>
      </c>
      <c r="N27" s="37" t="str">
        <f>[3]DATA!L21</f>
        <v>National Road Improvement in North and East Kalimantan</v>
      </c>
      <c r="O27" s="187">
        <f>[3]DATA!T21</f>
        <v>250000000</v>
      </c>
      <c r="P27" s="187">
        <f>[3]DATA!U21</f>
        <v>250000000</v>
      </c>
      <c r="Q27" s="1564">
        <f>[3]DATA!V21</f>
        <v>50000000</v>
      </c>
      <c r="R27" s="1564">
        <f>[3]DATA!W21</f>
        <v>0</v>
      </c>
      <c r="S27" s="2467">
        <f t="shared" si="0"/>
        <v>300000000</v>
      </c>
      <c r="T27" s="2468"/>
      <c r="U27" s="1449" t="str">
        <f>[3]DATA!Y21</f>
        <v>IDB</v>
      </c>
      <c r="V27" s="77">
        <f>[3]DATA!AA21</f>
        <v>250000000</v>
      </c>
      <c r="W27" s="77">
        <v>0</v>
      </c>
      <c r="X27" s="216" t="str">
        <f>[3]DATA!Y21</f>
        <v>IDB</v>
      </c>
      <c r="Y27" s="245">
        <f>[3]DATA!AT21</f>
        <v>250000000</v>
      </c>
      <c r="Z27" s="109" t="str">
        <f>[3]DATA!AU21</f>
        <v>AIIB</v>
      </c>
      <c r="AA27" s="1544" t="str">
        <f>[3]DATA!AW21</f>
        <v>- usulan K/L semula lender: IDB. 
- Pihak IDB tidak berminat mendanai kegiatan ini, diusulkan kepada AIIB.</v>
      </c>
      <c r="AB27" s="1510">
        <f>[3]DATA!AM21</f>
        <v>0</v>
      </c>
      <c r="AC27" s="1510" t="str">
        <f>[3]DATA!AN21</f>
        <v>siap</v>
      </c>
      <c r="AD27" s="1511" t="str">
        <f>[3]DATA!AO21</f>
        <v>belum ada keterangan</v>
      </c>
      <c r="AE27" s="1510">
        <f>[3]DATA!AQ21</f>
        <v>0</v>
      </c>
      <c r="AF27" s="1533" t="str">
        <f>[3]DATA!AR21</f>
        <v>belum ada dokumen R/C</v>
      </c>
    </row>
    <row r="28" spans="1:32" ht="36" customHeight="1">
      <c r="A28" s="10">
        <f>[3]DATA!A22</f>
        <v>20</v>
      </c>
      <c r="B28" s="10">
        <f>[3]DATA!B22</f>
        <v>0</v>
      </c>
      <c r="C28" s="10" t="str">
        <f>[3]DATA!D22</f>
        <v>INFRASTRUKTUR</v>
      </c>
      <c r="D28" s="10">
        <f>[3]DATA!E22</f>
        <v>1</v>
      </c>
      <c r="E28" s="10" t="str">
        <f>[3]DATA!F22</f>
        <v>Kementerian Pekerjaan Umum dan Perumahan Rakyat</v>
      </c>
      <c r="F28" s="10" t="str">
        <f>[3]DATA!H22</f>
        <v>Development and Improvement of National Roads Program</v>
      </c>
      <c r="G28" s="10" t="str">
        <f>[3]DATA!I22</f>
        <v>C</v>
      </c>
      <c r="H28" s="10" t="str">
        <f>[3]DATA!J22</f>
        <v>Program Pembangunan / Peningkatan Jalan</v>
      </c>
      <c r="I28" s="10">
        <f>[3]DATA!K22</f>
        <v>8</v>
      </c>
      <c r="J28" s="181"/>
      <c r="K28" s="34"/>
      <c r="L28" s="34"/>
      <c r="M28" s="36">
        <v>14</v>
      </c>
      <c r="N28" s="37" t="str">
        <f>[3]DATA!L22</f>
        <v>Road Improvement Project in Sulawesi Island and Major Cities</v>
      </c>
      <c r="O28" s="187">
        <f>[3]DATA!T22</f>
        <v>250000000</v>
      </c>
      <c r="P28" s="187">
        <f>[3]DATA!U22</f>
        <v>250000000</v>
      </c>
      <c r="Q28" s="1564">
        <f>[3]DATA!V22</f>
        <v>50000000</v>
      </c>
      <c r="R28" s="1564">
        <f>[3]DATA!W22</f>
        <v>0</v>
      </c>
      <c r="S28" s="2467">
        <f t="shared" si="0"/>
        <v>300000000</v>
      </c>
      <c r="T28" s="2468"/>
      <c r="U28" s="1449" t="str">
        <f>[3]DATA!Y22</f>
        <v>IDB</v>
      </c>
      <c r="V28" s="77">
        <f>[3]DATA!AA22</f>
        <v>250000000</v>
      </c>
      <c r="W28" s="77">
        <v>0</v>
      </c>
      <c r="X28" s="216" t="str">
        <f>[3]DATA!Y22</f>
        <v>IDB</v>
      </c>
      <c r="Y28" s="245">
        <f>[3]DATA!AT22</f>
        <v>250000000</v>
      </c>
      <c r="Z28" s="109" t="str">
        <f>[3]DATA!AU22</f>
        <v>IDB</v>
      </c>
      <c r="AA28" s="1544" t="str">
        <f>[3]DATA!AW22</f>
        <v>-</v>
      </c>
      <c r="AB28" s="1510">
        <f>[3]DATA!AM22</f>
        <v>0</v>
      </c>
      <c r="AC28" s="1510" t="str">
        <f>[3]DATA!AN22</f>
        <v>siap</v>
      </c>
      <c r="AD28" s="1511" t="str">
        <f>[3]DATA!AO22</f>
        <v>belum ada keterangan</v>
      </c>
      <c r="AE28" s="1510">
        <f>[3]DATA!AQ22</f>
        <v>0</v>
      </c>
      <c r="AF28" s="1533" t="str">
        <f>[3]DATA!AR22</f>
        <v>belum ada dokumen R/C</v>
      </c>
    </row>
    <row r="29" spans="1:32" ht="38.25" customHeight="1">
      <c r="J29" s="181"/>
      <c r="K29" s="34"/>
      <c r="L29" s="54"/>
      <c r="M29" s="36">
        <v>15</v>
      </c>
      <c r="N29" s="56" t="str">
        <f>[3]DATA!L23</f>
        <v>Engineering Service for National Roads Development Project</v>
      </c>
      <c r="O29" s="202">
        <f>[3]DATA!T23</f>
        <v>0</v>
      </c>
      <c r="P29" s="202">
        <f>[3]DATA!U23</f>
        <v>45000000</v>
      </c>
      <c r="Q29" s="2469">
        <f>[3]DATA!V23</f>
        <v>0</v>
      </c>
      <c r="R29" s="2469">
        <f>[3]DATA!W23</f>
        <v>0</v>
      </c>
      <c r="S29" s="2467">
        <f t="shared" si="0"/>
        <v>45000000</v>
      </c>
      <c r="T29" s="2468"/>
      <c r="U29" s="203" t="str">
        <f>[3]DATA!Y23</f>
        <v>ADB</v>
      </c>
      <c r="V29" s="88">
        <f>[3]DATA!AA23</f>
        <v>45000000</v>
      </c>
      <c r="W29" s="88">
        <v>0</v>
      </c>
      <c r="X29" s="216" t="str">
        <f>[3]DATA!Y23</f>
        <v>ADB</v>
      </c>
      <c r="Y29" s="245">
        <f>[3]DATA!AT23</f>
        <v>45000000</v>
      </c>
      <c r="Z29" s="109" t="str">
        <f>[3]DATA!AU23</f>
        <v>ADB</v>
      </c>
      <c r="AA29" s="1544" t="str">
        <f>[3]DATA!AW23</f>
        <v>-</v>
      </c>
      <c r="AB29" s="1510" t="str">
        <f>[3]DATA!AM23</f>
        <v>2016; 2015</v>
      </c>
      <c r="AC29" s="1510" t="str">
        <f>[3]DATA!AN23</f>
        <v>siap</v>
      </c>
      <c r="AD29" s="1511" t="str">
        <f>[3]DATA!AO23</f>
        <v>tidak butuh lahan</v>
      </c>
      <c r="AE29" s="1510">
        <f>[3]DATA!AQ23</f>
        <v>0</v>
      </c>
      <c r="AF29" s="1533" t="str">
        <f>[3]DATA!AR23</f>
        <v>-</v>
      </c>
    </row>
    <row r="30" spans="1:32" s="5" customFormat="1" ht="33.75" customHeight="1">
      <c r="J30" s="180"/>
      <c r="K30" s="50"/>
      <c r="L30" s="30" t="str">
        <f>[3]DATA!I24</f>
        <v>D</v>
      </c>
      <c r="M30" s="31" t="str">
        <f>[3]DATA!J24</f>
        <v>Program Pembangunan Air Minum</v>
      </c>
      <c r="N30" s="51"/>
      <c r="O30" s="197">
        <f>O31+O32+O33+O34+O36+O37+O38+O39+O40+O41+O35+O42</f>
        <v>847680000</v>
      </c>
      <c r="P30" s="197">
        <f>P31+P32+P33+P34+P36+P37+P38+P39+P40+P41+P35+P42</f>
        <v>847680000</v>
      </c>
      <c r="Q30" s="1436">
        <f>Q31+Q32+Q33+Q34+Q36+Q37+Q38+Q39+Q40+Q41+Q35+Q42</f>
        <v>44434000</v>
      </c>
      <c r="R30" s="1436">
        <f>R31+R32+R33+R34+R36+R37+R38+R39+R40+R41+R35+R42</f>
        <v>0</v>
      </c>
      <c r="S30" s="1559">
        <f t="shared" si="0"/>
        <v>892114000</v>
      </c>
      <c r="T30" s="2463"/>
      <c r="U30" s="198"/>
      <c r="V30" s="81">
        <f>V31+V32+V33+V34+V35+V36+V37+V38+V39+V40+V41+V42</f>
        <v>847680000</v>
      </c>
      <c r="W30" s="81">
        <f>W31+W32+W33+W34+W35+W36+W37+W38+W39+W40+W41+W42</f>
        <v>0</v>
      </c>
      <c r="X30" s="214"/>
      <c r="Y30" s="244">
        <f>Y31+Y32+Y33+Y34+Y35+Y36+Y37+Y38+Y39+Y40+Y41+Y42</f>
        <v>847680000</v>
      </c>
      <c r="Z30" s="81" t="s">
        <v>21</v>
      </c>
      <c r="AA30" s="214"/>
      <c r="AB30" s="1505"/>
      <c r="AC30" s="1506"/>
      <c r="AD30" s="169"/>
      <c r="AE30" s="1507"/>
      <c r="AF30" s="1530"/>
    </row>
    <row r="31" spans="1:32" ht="27.75" customHeight="1">
      <c r="A31" s="10">
        <f>[3]DATA!A25</f>
        <v>22</v>
      </c>
      <c r="B31" s="10">
        <f>[3]DATA!B25</f>
        <v>0</v>
      </c>
      <c r="C31" s="10" t="str">
        <f>[3]DATA!D25</f>
        <v>INFRASTRUKTUR</v>
      </c>
      <c r="D31" s="10">
        <f>[3]DATA!E25</f>
        <v>1</v>
      </c>
      <c r="E31" s="10" t="str">
        <f>[3]DATA!F25</f>
        <v>Kementerian Pekerjaan Umum dan Perumahan Rakyat</v>
      </c>
      <c r="F31" s="10" t="str">
        <f>[3]DATA!H25</f>
        <v>Drinking Water Development Program</v>
      </c>
      <c r="G31" s="10" t="str">
        <f>[3]DATA!I25</f>
        <v>D</v>
      </c>
      <c r="H31" s="10" t="str">
        <f>[3]DATA!J25</f>
        <v>Program Pembangunan Air Minum</v>
      </c>
      <c r="I31" s="10">
        <f>[3]DATA!K25</f>
        <v>2</v>
      </c>
      <c r="J31" s="181"/>
      <c r="K31" s="34"/>
      <c r="L31" s="34"/>
      <c r="M31" s="36">
        <v>16</v>
      </c>
      <c r="N31" s="37" t="str">
        <f>[3]DATA!L25</f>
        <v>National Urban Water Supply</v>
      </c>
      <c r="O31" s="187">
        <f>[3]DATA!T25</f>
        <v>100000000</v>
      </c>
      <c r="P31" s="258">
        <f>[3]DATA!U25</f>
        <v>100000000</v>
      </c>
      <c r="Q31" s="1446">
        <f>[3]DATA!V25</f>
        <v>5000000</v>
      </c>
      <c r="R31" s="1446">
        <f>[3]DATA!W25</f>
        <v>0</v>
      </c>
      <c r="S31" s="2467">
        <f t="shared" si="0"/>
        <v>105000000</v>
      </c>
      <c r="T31" s="2468"/>
      <c r="U31" s="1449" t="str">
        <f>[3]DATA!Y25</f>
        <v>Bank Dunia</v>
      </c>
      <c r="V31" s="77">
        <f>[3]DATA!AA25</f>
        <v>100000000</v>
      </c>
      <c r="W31" s="77">
        <v>0</v>
      </c>
      <c r="X31" s="216" t="str">
        <f>[3]DATA!Y25</f>
        <v>Bank Dunia</v>
      </c>
      <c r="Y31" s="245">
        <f>[3]DATA!AT25</f>
        <v>100000000</v>
      </c>
      <c r="Z31" s="109" t="str">
        <f>[3]DATA!AU25</f>
        <v>Bank Dunia</v>
      </c>
      <c r="AA31" s="1544" t="str">
        <f>[3]DATA!AW25</f>
        <v>-</v>
      </c>
      <c r="AB31" s="245">
        <f>[3]DATA!AM25</f>
        <v>0</v>
      </c>
      <c r="AC31" s="1510" t="str">
        <f>[3]DATA!AN25</f>
        <v>belum ada keterangan</v>
      </c>
      <c r="AD31" s="1511" t="str">
        <f>[3]DATA!AO25</f>
        <v>belum ada keterangan</v>
      </c>
      <c r="AE31" s="1510">
        <f>[3]DATA!AQ25</f>
        <v>0</v>
      </c>
      <c r="AF31" s="1533" t="str">
        <f>[3]DATA!AR25</f>
        <v>belum ada dokumen R/C</v>
      </c>
    </row>
    <row r="32" spans="1:32" ht="29.25" customHeight="1">
      <c r="A32" s="10">
        <f>[3]DATA!A27</f>
        <v>24</v>
      </c>
      <c r="B32" s="10">
        <f>[3]DATA!B27</f>
        <v>0</v>
      </c>
      <c r="C32" s="10" t="str">
        <f>[3]DATA!D27</f>
        <v>INFRASTRUKTUR</v>
      </c>
      <c r="D32" s="10">
        <f>[3]DATA!E27</f>
        <v>1</v>
      </c>
      <c r="E32" s="10" t="str">
        <f>[3]DATA!F27</f>
        <v>Kementerian Pekerjaan Umum dan Perumahan Rakyat</v>
      </c>
      <c r="F32" s="10" t="str">
        <f>[3]DATA!H27</f>
        <v>Drinking Water Development Program</v>
      </c>
      <c r="G32" s="10" t="str">
        <f>[3]DATA!I27</f>
        <v>D</v>
      </c>
      <c r="H32" s="10" t="str">
        <f>[3]DATA!J27</f>
        <v>Program Pembangunan Air Minum</v>
      </c>
      <c r="I32" s="10">
        <f>[3]DATA!K27</f>
        <v>3</v>
      </c>
      <c r="J32" s="181"/>
      <c r="K32" s="34"/>
      <c r="L32" s="34"/>
      <c r="M32" s="36">
        <v>17</v>
      </c>
      <c r="N32" s="37" t="str">
        <f>[3]DATA!L27</f>
        <v>Mamminasata Water Supply Development Project</v>
      </c>
      <c r="O32" s="187">
        <f>[3]DATA!T27</f>
        <v>100000000</v>
      </c>
      <c r="P32" s="258">
        <f>[3]DATA!U27</f>
        <v>100000000</v>
      </c>
      <c r="Q32" s="1446">
        <f>[3]DATA!V27</f>
        <v>5000000</v>
      </c>
      <c r="R32" s="1446">
        <f>[3]DATA!W27</f>
        <v>0</v>
      </c>
      <c r="S32" s="2467">
        <f t="shared" si="0"/>
        <v>105000000</v>
      </c>
      <c r="T32" s="2468"/>
      <c r="U32" s="1449" t="str">
        <f>[3]DATA!Y27</f>
        <v>JICA</v>
      </c>
      <c r="V32" s="77">
        <f>[3]DATA!AA27</f>
        <v>100000000</v>
      </c>
      <c r="W32" s="77">
        <v>0</v>
      </c>
      <c r="X32" s="216" t="str">
        <f>[3]DATA!Y27</f>
        <v>JICA</v>
      </c>
      <c r="Y32" s="245">
        <f>[3]DATA!AT27</f>
        <v>100000000</v>
      </c>
      <c r="Z32" s="109" t="str">
        <f>[3]DATA!AU27</f>
        <v>JICA</v>
      </c>
      <c r="AA32" s="1544" t="str">
        <f>[3]DATA!AW27</f>
        <v>-</v>
      </c>
      <c r="AB32" s="245">
        <f>[3]DATA!AM26</f>
        <v>0</v>
      </c>
      <c r="AC32" s="1510" t="str">
        <f>[3]DATA!AN27</f>
        <v>siap</v>
      </c>
      <c r="AD32" s="1511" t="str">
        <f>[3]DATA!AO27</f>
        <v>dalam proses
(persiapan)</v>
      </c>
      <c r="AE32" s="1510">
        <f>[3]DATA!AQ26</f>
        <v>0</v>
      </c>
      <c r="AF32" s="1533" t="str">
        <f>[3]DATA!AR27</f>
        <v>belum ada dokumen R/C</v>
      </c>
    </row>
    <row r="33" spans="1:32" ht="35.25" customHeight="1">
      <c r="A33" s="10">
        <f>[3]DATA!A28</f>
        <v>25</v>
      </c>
      <c r="B33" s="10">
        <f>[3]DATA!B28</f>
        <v>0</v>
      </c>
      <c r="C33" s="10" t="str">
        <f>[3]DATA!D28</f>
        <v>INFRASTRUKTUR</v>
      </c>
      <c r="D33" s="10">
        <f>[3]DATA!E28</f>
        <v>1</v>
      </c>
      <c r="E33" s="10" t="str">
        <f>[3]DATA!F28</f>
        <v>Kementerian Pekerjaan Umum dan Perumahan Rakyat</v>
      </c>
      <c r="F33" s="10" t="str">
        <f>[3]DATA!H28</f>
        <v>Drinking Water Development Program</v>
      </c>
      <c r="G33" s="10" t="str">
        <f>[3]DATA!I28</f>
        <v>D</v>
      </c>
      <c r="H33" s="10" t="str">
        <f>[3]DATA!J28</f>
        <v>Program Pembangunan Air Minum</v>
      </c>
      <c r="I33" s="10">
        <f>[3]DATA!K28</f>
        <v>3</v>
      </c>
      <c r="J33" s="181"/>
      <c r="K33" s="34"/>
      <c r="L33" s="34"/>
      <c r="M33" s="36">
        <v>18</v>
      </c>
      <c r="N33" s="37" t="str">
        <f>[3]DATA!L28</f>
        <v>The Development of Regional Water Supply System in Benteng Kobema</v>
      </c>
      <c r="O33" s="187">
        <f>[3]DATA!T28</f>
        <v>74300000</v>
      </c>
      <c r="P33" s="258">
        <f>[3]DATA!U28</f>
        <v>74300000</v>
      </c>
      <c r="Q33" s="1446">
        <f>[3]DATA!V28</f>
        <v>3715000</v>
      </c>
      <c r="R33" s="1446">
        <f>[3]DATA!W28</f>
        <v>0</v>
      </c>
      <c r="S33" s="2467">
        <f t="shared" si="0"/>
        <v>78015000</v>
      </c>
      <c r="T33" s="2468"/>
      <c r="U33" s="1449" t="str">
        <f>[3]DATA!Y28</f>
        <v>Bank Dunia/JICA/ADB</v>
      </c>
      <c r="V33" s="77">
        <f>[3]DATA!AA28</f>
        <v>74300000</v>
      </c>
      <c r="W33" s="77">
        <v>0</v>
      </c>
      <c r="X33" s="216" t="str">
        <f>[3]DATA!Y28</f>
        <v>Bank Dunia/JICA/ADB</v>
      </c>
      <c r="Y33" s="245">
        <f>[3]DATA!AT28</f>
        <v>74300000</v>
      </c>
      <c r="Z33" s="109" t="str">
        <f>[3]DATA!AU28</f>
        <v>Bank Dunia</v>
      </c>
      <c r="AA33" s="1544" t="str">
        <f>[3]DATA!AW28</f>
        <v>- usulan K/L lender: Bank Dunia/JICA/ADB. 
- Pihak Bank Dunia berminat, ADB dan JICA tidak minat.</v>
      </c>
      <c r="AB33" s="245">
        <f>[3]DATA!AM27</f>
        <v>0</v>
      </c>
      <c r="AC33" s="1510" t="str">
        <f>[3]DATA!AN28</f>
        <v>dalam proses
(penyusunan FS)</v>
      </c>
      <c r="AD33" s="1511" t="str">
        <f>[3]DATA!AO28</f>
        <v>dalam proses
(persiapan)</v>
      </c>
      <c r="AE33" s="1510">
        <f>[3]DATA!AQ27</f>
        <v>0</v>
      </c>
      <c r="AF33" s="1533" t="str">
        <f>[3]DATA!AR28</f>
        <v>belum ada dokumen R/C</v>
      </c>
    </row>
    <row r="34" spans="1:32" ht="40.5" customHeight="1">
      <c r="A34" s="10">
        <f>[3]DATA!A29</f>
        <v>26</v>
      </c>
      <c r="B34" s="10">
        <f>[3]DATA!B29</f>
        <v>0</v>
      </c>
      <c r="C34" s="10" t="str">
        <f>[3]DATA!D29</f>
        <v>INFRASTRUKTUR</v>
      </c>
      <c r="D34" s="10">
        <f>[3]DATA!E29</f>
        <v>1</v>
      </c>
      <c r="E34" s="10" t="str">
        <f>[3]DATA!F29</f>
        <v>Kementerian Pekerjaan Umum dan Perumahan Rakyat</v>
      </c>
      <c r="F34" s="10" t="str">
        <f>[3]DATA!H29</f>
        <v>Drinking Water Development Program</v>
      </c>
      <c r="G34" s="10" t="str">
        <f>[3]DATA!I29</f>
        <v>D</v>
      </c>
      <c r="H34" s="10" t="str">
        <f>[3]DATA!J29</f>
        <v>Program Pembangunan Air Minum</v>
      </c>
      <c r="I34" s="10">
        <f>[3]DATA!K29</f>
        <v>3</v>
      </c>
      <c r="J34" s="181"/>
      <c r="K34" s="34"/>
      <c r="L34" s="34"/>
      <c r="M34" s="36">
        <v>19</v>
      </c>
      <c r="N34" s="37" t="str">
        <f>[3]DATA!L29</f>
        <v>The Development of Regional Water Supply System in Wosusokas</v>
      </c>
      <c r="O34" s="187">
        <f>[3]DATA!T29</f>
        <v>106200000</v>
      </c>
      <c r="P34" s="258">
        <f>[3]DATA!U29</f>
        <v>106200000</v>
      </c>
      <c r="Q34" s="1446">
        <f>[3]DATA!V29</f>
        <v>5310000</v>
      </c>
      <c r="R34" s="1446">
        <f>[3]DATA!W29</f>
        <v>0</v>
      </c>
      <c r="S34" s="2467">
        <f t="shared" ref="S34:S44" si="1">P34+Q34+R34</f>
        <v>111510000</v>
      </c>
      <c r="T34" s="2468"/>
      <c r="U34" s="1449" t="str">
        <f>[3]DATA!Y29</f>
        <v>Jerman (KfW)</v>
      </c>
      <c r="V34" s="77">
        <f>[3]DATA!AA29</f>
        <v>106200000</v>
      </c>
      <c r="W34" s="77">
        <v>0</v>
      </c>
      <c r="X34" s="216" t="str">
        <f>[3]DATA!Y29</f>
        <v>Jerman (KfW)</v>
      </c>
      <c r="Y34" s="245">
        <f>[3]DATA!AT29</f>
        <v>106200000</v>
      </c>
      <c r="Z34" s="109" t="str">
        <f>[3]DATA!AU29</f>
        <v>Jerman (KfW)</v>
      </c>
      <c r="AA34" s="1544" t="str">
        <f>[3]DATA!AW29</f>
        <v>-</v>
      </c>
      <c r="AB34" s="245">
        <f>[3]DATA!AM28</f>
        <v>0</v>
      </c>
      <c r="AC34" s="1510" t="str">
        <f>[3]DATA!AN29</f>
        <v>dalam proses
(penyusunan FS)</v>
      </c>
      <c r="AD34" s="1511" t="str">
        <f>[3]DATA!AO29</f>
        <v>dalam proses
(persiapan)</v>
      </c>
      <c r="AE34" s="1510">
        <f>[3]DATA!AQ28</f>
        <v>0</v>
      </c>
      <c r="AF34" s="1533" t="str">
        <f>[3]DATA!AR29</f>
        <v>belum ada dokumen R/C</v>
      </c>
    </row>
    <row r="35" spans="1:32" ht="62.25" customHeight="1">
      <c r="A35" s="10">
        <f>[3]DATA!A30</f>
        <v>27</v>
      </c>
      <c r="B35" s="10">
        <f>[3]DATA!B30</f>
        <v>0</v>
      </c>
      <c r="C35" s="10" t="str">
        <f>[3]DATA!D30</f>
        <v>INFRASTRUKTUR</v>
      </c>
      <c r="D35" s="10">
        <f>[3]DATA!E30</f>
        <v>1</v>
      </c>
      <c r="E35" s="10" t="str">
        <f>[3]DATA!F30</f>
        <v>Kementerian Pekerjaan Umum dan Perumahan Rakyat</v>
      </c>
      <c r="F35" s="10" t="str">
        <f>[3]DATA!H30</f>
        <v>Drinking Water Development Program</v>
      </c>
      <c r="G35" s="10" t="str">
        <f>[3]DATA!I30</f>
        <v>D</v>
      </c>
      <c r="H35" s="10" t="str">
        <f>[3]DATA!J30</f>
        <v>Program Pembangunan Air Minum</v>
      </c>
      <c r="I35" s="10">
        <f>[3]DATA!K30</f>
        <v>3</v>
      </c>
      <c r="J35" s="181"/>
      <c r="K35" s="34"/>
      <c r="L35" s="34"/>
      <c r="M35" s="36">
        <v>20</v>
      </c>
      <c r="N35" s="37" t="str">
        <f>[3]DATA!L30</f>
        <v>The Development of Regional Water Supply System of Jatigede</v>
      </c>
      <c r="O35" s="187">
        <f>[3]DATA!T30</f>
        <v>167000000</v>
      </c>
      <c r="P35" s="258">
        <f>[3]DATA!U30</f>
        <v>140620000</v>
      </c>
      <c r="Q35" s="1446">
        <f>[3]DATA!V30</f>
        <v>8350000</v>
      </c>
      <c r="R35" s="1446">
        <f>[3]DATA!W30</f>
        <v>0</v>
      </c>
      <c r="S35" s="2467">
        <f t="shared" si="1"/>
        <v>148970000</v>
      </c>
      <c r="T35" s="2468"/>
      <c r="U35" s="1449" t="str">
        <f>[3]DATA!Y30</f>
        <v>Bank Dunia/JICA/ADB</v>
      </c>
      <c r="V35" s="77">
        <f>[3]DATA!AA30</f>
        <v>140620000</v>
      </c>
      <c r="W35" s="77">
        <v>0</v>
      </c>
      <c r="X35" s="216" t="str">
        <f>[3]DATA!Y30</f>
        <v>Bank Dunia/JICA/ADB</v>
      </c>
      <c r="Y35" s="245">
        <f>[3]DATA!AT30</f>
        <v>140620000</v>
      </c>
      <c r="Z35" s="109" t="str">
        <f>[3]DATA!AU30</f>
        <v>Belum Ada Indikasi</v>
      </c>
      <c r="AA35" s="1544" t="str">
        <f>[3]DATA!AW30</f>
        <v>- terdapat pengurangan nilai pinjaman sebesar USD 26,38 juta yang dialihkan untuk membiayai kegiatan ES.
- usulan K/L lender: Bank Dunia/JICA/ADB. 
- Pihak Bank Dunia, ADB, dan JICA tidak berminat.</v>
      </c>
      <c r="AB35" s="245">
        <f>[3]DATA!AM29</f>
        <v>0</v>
      </c>
      <c r="AC35" s="1510" t="str">
        <f>[3]DATA!AN30</f>
        <v>belum ada keterangan</v>
      </c>
      <c r="AD35" s="1511" t="str">
        <f>[3]DATA!AO30</f>
        <v>belum ada keterangan</v>
      </c>
      <c r="AE35" s="1510">
        <f>[3]DATA!AQ29</f>
        <v>0</v>
      </c>
      <c r="AF35" s="1533" t="str">
        <f>[3]DATA!AR30</f>
        <v>- nilai pinjaman berkurang sebesar USD 26,38 juta untuk kegiatan ES
- belum ada dokumen R/C</v>
      </c>
    </row>
    <row r="36" spans="1:32" ht="41.25" customHeight="1">
      <c r="A36" s="10">
        <f>[3]DATA!A31</f>
        <v>28</v>
      </c>
      <c r="B36" s="10">
        <f>[3]DATA!B31</f>
        <v>0</v>
      </c>
      <c r="C36" s="10" t="str">
        <f>[3]DATA!D31</f>
        <v>INFRASTRUKTUR</v>
      </c>
      <c r="D36" s="10">
        <f>[3]DATA!E31</f>
        <v>1</v>
      </c>
      <c r="E36" s="10" t="str">
        <f>[3]DATA!F31</f>
        <v>Kementerian Pekerjaan Umum dan Perumahan Rakyat</v>
      </c>
      <c r="F36" s="10" t="str">
        <f>[3]DATA!H31</f>
        <v>Drinking Water Development Program</v>
      </c>
      <c r="G36" s="10" t="str">
        <f>[3]DATA!I31</f>
        <v>D</v>
      </c>
      <c r="H36" s="10" t="str">
        <f>[3]DATA!J31</f>
        <v>Program Pembangunan Air Minum</v>
      </c>
      <c r="I36" s="10">
        <f>[3]DATA!K31</f>
        <v>3</v>
      </c>
      <c r="J36" s="181"/>
      <c r="K36" s="34"/>
      <c r="L36" s="34"/>
      <c r="M36" s="36">
        <v>21</v>
      </c>
      <c r="N36" s="37" t="str">
        <f>[3]DATA!L31</f>
        <v>The Development of Regional Water Supply System of Petanglong</v>
      </c>
      <c r="O36" s="187">
        <f>[3]DATA!T31</f>
        <v>95380000</v>
      </c>
      <c r="P36" s="258">
        <f>[3]DATA!U31</f>
        <v>95380000</v>
      </c>
      <c r="Q36" s="1446">
        <f>[3]DATA!V31</f>
        <v>4769000</v>
      </c>
      <c r="R36" s="1446">
        <f>[3]DATA!W31</f>
        <v>0</v>
      </c>
      <c r="S36" s="2467">
        <f t="shared" si="1"/>
        <v>100149000</v>
      </c>
      <c r="T36" s="2468"/>
      <c r="U36" s="1449" t="str">
        <f>[3]DATA!Y31</f>
        <v>Bank Dunia/JICA/ADB</v>
      </c>
      <c r="V36" s="77">
        <f>[3]DATA!AA31</f>
        <v>95380000</v>
      </c>
      <c r="W36" s="77">
        <v>0</v>
      </c>
      <c r="X36" s="216" t="str">
        <f>[3]DATA!Y31</f>
        <v>Bank Dunia/JICA/ADB</v>
      </c>
      <c r="Y36" s="245">
        <f>[3]DATA!AT31</f>
        <v>95380000</v>
      </c>
      <c r="Z36" s="109" t="str">
        <f>[3]DATA!AU31</f>
        <v>Belum Ada Indikasi</v>
      </c>
      <c r="AA36" s="1544" t="str">
        <f>[3]DATA!AW31</f>
        <v>- usulan K/L lender: Bank Dunia/JICA/ADB. 
- Pihak Bank Dunia, ADB, dan JICA tidak berminat.</v>
      </c>
      <c r="AB36" s="245">
        <f>[3]DATA!AM30</f>
        <v>0</v>
      </c>
      <c r="AC36" s="1510" t="str">
        <f>[3]DATA!AN31</f>
        <v>belum ada keterangan</v>
      </c>
      <c r="AD36" s="1511" t="str">
        <f>[3]DATA!AO31</f>
        <v>belum ada keterangan</v>
      </c>
      <c r="AE36" s="1510">
        <f>[3]DATA!AQ30</f>
        <v>0</v>
      </c>
      <c r="AF36" s="1533" t="str">
        <f>[3]DATA!AR31</f>
        <v>belum ada dokumen R/C</v>
      </c>
    </row>
    <row r="37" spans="1:32" ht="41.25" customHeight="1">
      <c r="A37" s="10">
        <f>[3]DATA!A32</f>
        <v>29</v>
      </c>
      <c r="B37" s="10">
        <f>[3]DATA!B32</f>
        <v>0</v>
      </c>
      <c r="C37" s="10" t="str">
        <f>[3]DATA!D32</f>
        <v>INFRASTRUKTUR</v>
      </c>
      <c r="D37" s="10">
        <f>[3]DATA!E32</f>
        <v>1</v>
      </c>
      <c r="E37" s="10" t="str">
        <f>[3]DATA!F32</f>
        <v>Kementerian Pekerjaan Umum dan Perumahan Rakyat</v>
      </c>
      <c r="F37" s="10" t="str">
        <f>[3]DATA!H32</f>
        <v>Drinking Water Development Program</v>
      </c>
      <c r="G37" s="10" t="str">
        <f>[3]DATA!I32</f>
        <v>D</v>
      </c>
      <c r="H37" s="10" t="str">
        <f>[3]DATA!J32</f>
        <v>Program Pembangunan Air Minum</v>
      </c>
      <c r="I37" s="10">
        <f>[3]DATA!K32</f>
        <v>3</v>
      </c>
      <c r="J37" s="181"/>
      <c r="K37" s="34"/>
      <c r="L37" s="34"/>
      <c r="M37" s="36">
        <v>22</v>
      </c>
      <c r="N37" s="37" t="str">
        <f>[3]DATA!L32</f>
        <v>The Development of Regional Water Supply System of Durolis</v>
      </c>
      <c r="O37" s="187">
        <f>[3]DATA!T32</f>
        <v>33400000</v>
      </c>
      <c r="P37" s="258">
        <f>[3]DATA!U32</f>
        <v>33400000</v>
      </c>
      <c r="Q37" s="1446">
        <f>[3]DATA!V32</f>
        <v>1670000</v>
      </c>
      <c r="R37" s="1446">
        <f>[3]DATA!W32</f>
        <v>0</v>
      </c>
      <c r="S37" s="2467">
        <f t="shared" si="1"/>
        <v>35070000</v>
      </c>
      <c r="T37" s="2468"/>
      <c r="U37" s="1449" t="str">
        <f>[3]DATA!Y32</f>
        <v>Bank Dunia/JICA/ADB</v>
      </c>
      <c r="V37" s="77">
        <f>[3]DATA!AA32</f>
        <v>33400000</v>
      </c>
      <c r="W37" s="77">
        <v>0</v>
      </c>
      <c r="X37" s="216" t="str">
        <f>[3]DATA!Y32</f>
        <v>Bank Dunia/JICA/ADB</v>
      </c>
      <c r="Y37" s="245">
        <f>[3]DATA!AT32</f>
        <v>33400000</v>
      </c>
      <c r="Z37" s="109" t="str">
        <f>[3]DATA!AU32</f>
        <v>Belum Ada Indikasi</v>
      </c>
      <c r="AA37" s="1544" t="str">
        <f>[3]DATA!AW32</f>
        <v>- usulan K/L lender: Bank Dunia/JICA/ADB.
- Pihak Bank Dunia, ADB, dan JICA tidak berminat.</v>
      </c>
      <c r="AB37" s="245">
        <f>[3]DATA!AM31</f>
        <v>0</v>
      </c>
      <c r="AC37" s="1510" t="str">
        <f>[3]DATA!AN32</f>
        <v>siap</v>
      </c>
      <c r="AD37" s="1511" t="str">
        <f>[3]DATA!AO32</f>
        <v>siap</v>
      </c>
      <c r="AE37" s="1510">
        <f>[3]DATA!AQ31</f>
        <v>0</v>
      </c>
      <c r="AF37" s="1533" t="str">
        <f>[3]DATA!AR32</f>
        <v>belum ada dokumen R/C</v>
      </c>
    </row>
    <row r="38" spans="1:32" ht="38.25" customHeight="1">
      <c r="A38" s="10">
        <f>[3]DATA!A33</f>
        <v>30</v>
      </c>
      <c r="B38" s="10">
        <f>[3]DATA!B33</f>
        <v>0</v>
      </c>
      <c r="C38" s="10" t="str">
        <f>[3]DATA!D33</f>
        <v>INFRASTRUKTUR</v>
      </c>
      <c r="D38" s="10">
        <f>[3]DATA!E33</f>
        <v>1</v>
      </c>
      <c r="E38" s="10" t="str">
        <f>[3]DATA!F33</f>
        <v>Kementerian Pekerjaan Umum dan Perumahan Rakyat</v>
      </c>
      <c r="F38" s="10" t="str">
        <f>[3]DATA!H33</f>
        <v>Drinking Water Development Program</v>
      </c>
      <c r="G38" s="10" t="str">
        <f>[3]DATA!I33</f>
        <v>D</v>
      </c>
      <c r="H38" s="10" t="str">
        <f>[3]DATA!J33</f>
        <v>Program Pembangunan Air Minum</v>
      </c>
      <c r="I38" s="10">
        <f>[3]DATA!K33</f>
        <v>3</v>
      </c>
      <c r="J38" s="181"/>
      <c r="K38" s="34"/>
      <c r="L38" s="34"/>
      <c r="M38" s="36">
        <v>23</v>
      </c>
      <c r="N38" s="37" t="str">
        <f>[3]DATA!L33</f>
        <v>The Development of Regional Water Supply System of  Banten - Jakarta from Karian Dam</v>
      </c>
      <c r="O38" s="187">
        <f>[3]DATA!T33</f>
        <v>40000000</v>
      </c>
      <c r="P38" s="258">
        <f>[3]DATA!U33</f>
        <v>40000000</v>
      </c>
      <c r="Q38" s="1446">
        <f>[3]DATA!V33</f>
        <v>2000000</v>
      </c>
      <c r="R38" s="1446">
        <f>[3]DATA!W33</f>
        <v>0</v>
      </c>
      <c r="S38" s="2467">
        <f t="shared" si="1"/>
        <v>42000000</v>
      </c>
      <c r="T38" s="2468"/>
      <c r="U38" s="1449" t="str">
        <f>[3]DATA!Y33</f>
        <v>Korea</v>
      </c>
      <c r="V38" s="77">
        <f>[3]DATA!AA33</f>
        <v>40000000</v>
      </c>
      <c r="W38" s="77">
        <v>0</v>
      </c>
      <c r="X38" s="216" t="str">
        <f>[3]DATA!Y33</f>
        <v>Korea</v>
      </c>
      <c r="Y38" s="245">
        <f>[3]DATA!AT33</f>
        <v>40000000</v>
      </c>
      <c r="Z38" s="109" t="str">
        <f>[3]DATA!AU33</f>
        <v>Korea</v>
      </c>
      <c r="AA38" s="1544" t="str">
        <f>[3]DATA!AW33</f>
        <v>belum masuk rolling plan EDCF (Korea)</v>
      </c>
      <c r="AB38" s="245">
        <f>[3]DATA!AM32</f>
        <v>0</v>
      </c>
      <c r="AC38" s="1510" t="str">
        <f>[3]DATA!AN33</f>
        <v>dalam proses
(memiliki FS)</v>
      </c>
      <c r="AD38" s="1511" t="str">
        <f>[3]DATA!AO33</f>
        <v>dalam proses
(persiapan)</v>
      </c>
      <c r="AE38" s="1510">
        <f>[3]DATA!AQ32</f>
        <v>0</v>
      </c>
      <c r="AF38" s="1533" t="str">
        <f>[3]DATA!AR33</f>
        <v>belum ada dokumen R/C</v>
      </c>
    </row>
    <row r="39" spans="1:32" ht="41.25" customHeight="1">
      <c r="A39" s="10">
        <f>[3]DATA!A34</f>
        <v>31</v>
      </c>
      <c r="B39" s="10">
        <f>[3]DATA!B34</f>
        <v>0</v>
      </c>
      <c r="C39" s="10" t="str">
        <f>[3]DATA!D34</f>
        <v>INFRASTRUKTUR</v>
      </c>
      <c r="D39" s="10">
        <f>[3]DATA!E34</f>
        <v>1</v>
      </c>
      <c r="E39" s="10" t="str">
        <f>[3]DATA!F34</f>
        <v>Kementerian Pekerjaan Umum dan Perumahan Rakyat</v>
      </c>
      <c r="F39" s="10" t="str">
        <f>[3]DATA!H34</f>
        <v>Drinking Water Development Program</v>
      </c>
      <c r="G39" s="10" t="str">
        <f>[3]DATA!I34</f>
        <v>D</v>
      </c>
      <c r="H39" s="10" t="str">
        <f>[3]DATA!J34</f>
        <v>Program Pembangunan Air Minum</v>
      </c>
      <c r="I39" s="10">
        <f>[3]DATA!K34</f>
        <v>3</v>
      </c>
      <c r="J39" s="181"/>
      <c r="K39" s="34"/>
      <c r="L39" s="34"/>
      <c r="M39" s="36">
        <v>24</v>
      </c>
      <c r="N39" s="37" t="str">
        <f>[3]DATA!L34</f>
        <v>The Development of Regional Water Supply System of Mebidang</v>
      </c>
      <c r="O39" s="187">
        <f>[3]DATA!T34</f>
        <v>56400000</v>
      </c>
      <c r="P39" s="258">
        <f>[3]DATA!U34</f>
        <v>56400000</v>
      </c>
      <c r="Q39" s="1446">
        <f>[3]DATA!V34</f>
        <v>2820000</v>
      </c>
      <c r="R39" s="1446">
        <f>[3]DATA!W34</f>
        <v>0</v>
      </c>
      <c r="S39" s="2467">
        <f t="shared" si="1"/>
        <v>59220000</v>
      </c>
      <c r="T39" s="2468"/>
      <c r="U39" s="1449" t="str">
        <f>[3]DATA!Y34</f>
        <v>Jerman (KfW)</v>
      </c>
      <c r="V39" s="77">
        <f>[3]DATA!AA34</f>
        <v>56400000</v>
      </c>
      <c r="W39" s="77">
        <v>0</v>
      </c>
      <c r="X39" s="216" t="str">
        <f>[3]DATA!Y34</f>
        <v>Jerman (KfW)</v>
      </c>
      <c r="Y39" s="245">
        <f>[3]DATA!AT34</f>
        <v>56400000</v>
      </c>
      <c r="Z39" s="109" t="str">
        <f>[3]DATA!AU34</f>
        <v>Jerman (KfW)</v>
      </c>
      <c r="AA39" s="1544" t="str">
        <f>[3]DATA!AW34</f>
        <v>-</v>
      </c>
      <c r="AB39" s="245">
        <f>[3]DATA!AM33</f>
        <v>0</v>
      </c>
      <c r="AC39" s="1510" t="str">
        <f>[3]DATA!AN34</f>
        <v>dalam proses
(memiliki FS dan DED)</v>
      </c>
      <c r="AD39" s="1511" t="str">
        <f>[3]DATA!AO34</f>
        <v>dalam proses
(persiapan)</v>
      </c>
      <c r="AE39" s="1510">
        <f>[3]DATA!AQ33</f>
        <v>0</v>
      </c>
      <c r="AF39" s="1533" t="str">
        <f>[3]DATA!AR34</f>
        <v>belum ada dokumen R/C</v>
      </c>
    </row>
    <row r="40" spans="1:32" ht="37.5" customHeight="1">
      <c r="A40" s="10">
        <f>[3]DATA!A36</f>
        <v>33</v>
      </c>
      <c r="B40" s="10">
        <f>[3]DATA!B36</f>
        <v>0</v>
      </c>
      <c r="C40" s="10" t="str">
        <f>[3]DATA!D36</f>
        <v>INFRASTRUKTUR</v>
      </c>
      <c r="D40" s="10">
        <f>[3]DATA!E36</f>
        <v>1</v>
      </c>
      <c r="E40" s="10" t="str">
        <f>[3]DATA!F36</f>
        <v>Kementerian Pekerjaan Umum dan Perumahan Rakyat</v>
      </c>
      <c r="F40" s="10" t="str">
        <f>[3]DATA!H36</f>
        <v>Drinking Water Development Program</v>
      </c>
      <c r="G40" s="10" t="str">
        <f>[3]DATA!I36</f>
        <v>D</v>
      </c>
      <c r="H40" s="10" t="str">
        <f>[3]DATA!J36</f>
        <v>Program Pembangunan Air Minum</v>
      </c>
      <c r="I40" s="10">
        <f>[3]DATA!K36</f>
        <v>4</v>
      </c>
      <c r="J40" s="181"/>
      <c r="K40" s="34"/>
      <c r="L40" s="34"/>
      <c r="M40" s="36">
        <v>25</v>
      </c>
      <c r="N40" s="37" t="str">
        <f>[3]DATA!L36</f>
        <v>Small Scale Water Treatment Plants for Emergency Relief</v>
      </c>
      <c r="O40" s="187">
        <f>[3]DATA!T36</f>
        <v>25000000</v>
      </c>
      <c r="P40" s="258">
        <f>[3]DATA!U36</f>
        <v>25000000</v>
      </c>
      <c r="Q40" s="1446">
        <f>[3]DATA!V36</f>
        <v>800000</v>
      </c>
      <c r="R40" s="1446">
        <f>[3]DATA!W36</f>
        <v>0</v>
      </c>
      <c r="S40" s="2467">
        <f t="shared" si="1"/>
        <v>25800000</v>
      </c>
      <c r="T40" s="2468"/>
      <c r="U40" s="1449" t="str">
        <f>[3]DATA!Y36</f>
        <v>Spanyol</v>
      </c>
      <c r="V40" s="77">
        <f>[3]DATA!AA36</f>
        <v>25000000</v>
      </c>
      <c r="W40" s="77">
        <v>0</v>
      </c>
      <c r="X40" s="216" t="str">
        <f>[3]DATA!Y36</f>
        <v>Spanyol</v>
      </c>
      <c r="Y40" s="245">
        <f>[3]DATA!AT36</f>
        <v>25000000</v>
      </c>
      <c r="Z40" s="109" t="str">
        <f>[3]DATA!AU36</f>
        <v>Spanyol</v>
      </c>
      <c r="AA40" s="1544" t="str">
        <f>[3]DATA!AW36</f>
        <v>-</v>
      </c>
      <c r="AB40" s="245" t="str">
        <f>[3]DATA!AM36</f>
        <v>2016; 2015</v>
      </c>
      <c r="AC40" s="1510" t="str">
        <f>[3]DATA!AN36</f>
        <v>siap</v>
      </c>
      <c r="AD40" s="1511" t="str">
        <f>[3]DATA!AO36</f>
        <v>dalam proses
(persiapan)</v>
      </c>
      <c r="AE40" s="1510">
        <f>[3]DATA!AQ34</f>
        <v>0</v>
      </c>
      <c r="AF40" s="1533" t="str">
        <f>[3]DATA!AR36</f>
        <v>Nilai pinjaman di:
- GB 16 USD 14.848 ribu
- GB 15 USD 25.000 ribu</v>
      </c>
    </row>
    <row r="41" spans="1:32" ht="39" customHeight="1">
      <c r="J41" s="181"/>
      <c r="K41" s="34"/>
      <c r="L41" s="34"/>
      <c r="M41" s="36">
        <v>26</v>
      </c>
      <c r="N41" s="2457" t="str">
        <f>[3]DATA!L39</f>
        <v>IKK Water Supply Program and Small Water Treatment Plant for Water Scarcity Area</v>
      </c>
      <c r="O41" s="1414">
        <v>50000000</v>
      </c>
      <c r="P41" s="2458">
        <v>50000000</v>
      </c>
      <c r="Q41" s="1446">
        <f>[3]DATA!V37</f>
        <v>5000000</v>
      </c>
      <c r="R41" s="1446">
        <f>[3]DATA!W37</f>
        <v>0</v>
      </c>
      <c r="S41" s="2467">
        <f t="shared" si="1"/>
        <v>55000000</v>
      </c>
      <c r="T41" s="2470"/>
      <c r="U41" s="1449" t="str">
        <f>[3]DATA!Y39</f>
        <v>IDB</v>
      </c>
      <c r="V41" s="77">
        <f>[3]DATA!AA39</f>
        <v>50000000</v>
      </c>
      <c r="W41" s="77">
        <v>0</v>
      </c>
      <c r="X41" s="216" t="str">
        <f>[3]DATA!Y39</f>
        <v>IDB</v>
      </c>
      <c r="Y41" s="245">
        <f>[3]DATA!AT39</f>
        <v>50000000</v>
      </c>
      <c r="Z41" s="109" t="str">
        <f>[3]DATA!AU39</f>
        <v>Belum Ada Indikasi</v>
      </c>
      <c r="AA41" s="1544" t="str">
        <f>[3]DATA!AW39</f>
        <v>- usulan K/L lender:IDB.
- pihak IDB tidak berminat mendanai kegiatan ini, diusulkan kepada AIIB.
- Indikasi Lender AIIB menjadi belum ada indikasi (konfirmasi tgl 29 Jan'16)</v>
      </c>
      <c r="AB41" s="245">
        <f>[3]DATA!AM39</f>
        <v>0</v>
      </c>
      <c r="AC41" s="1510" t="str">
        <f>[3]DATA!AN39</f>
        <v>siap</v>
      </c>
      <c r="AD41" s="1511" t="str">
        <f>[3]DATA!AO39</f>
        <v>dalam proses
(pelaksanaan &lt;50%)</v>
      </c>
      <c r="AE41" s="1510">
        <f>[3]DATA!AQ39</f>
        <v>0</v>
      </c>
      <c r="AF41" s="1533" t="str">
        <f>[3]DATA!AR39</f>
        <v>belum ada dokumen R/C</v>
      </c>
    </row>
    <row r="42" spans="1:32" ht="36" customHeight="1">
      <c r="J42" s="181"/>
      <c r="K42" s="34"/>
      <c r="L42" s="54"/>
      <c r="M42" s="36">
        <v>27</v>
      </c>
      <c r="N42" s="37" t="str">
        <f>[3]DATA!L40</f>
        <v>Engineering Service for Water Supply Development Project</v>
      </c>
      <c r="O42" s="187">
        <f>[3]DATA!T40</f>
        <v>0</v>
      </c>
      <c r="P42" s="258">
        <f>[3]DATA!U40</f>
        <v>26380000</v>
      </c>
      <c r="Q42" s="1446">
        <f>[3]DATA!V40</f>
        <v>0</v>
      </c>
      <c r="R42" s="1446">
        <f>[3]DATA!W40</f>
        <v>0</v>
      </c>
      <c r="S42" s="2467">
        <f t="shared" si="1"/>
        <v>26380000</v>
      </c>
      <c r="T42" s="2468"/>
      <c r="U42" s="1449" t="str">
        <f>[3]DATA!Y40</f>
        <v>ADB</v>
      </c>
      <c r="V42" s="77">
        <f>[3]DATA!AA40</f>
        <v>26380000</v>
      </c>
      <c r="W42" s="77">
        <v>0</v>
      </c>
      <c r="X42" s="216" t="str">
        <f>[3]DATA!Y40</f>
        <v>ADB</v>
      </c>
      <c r="Y42" s="245">
        <f>[3]DATA!AT40</f>
        <v>26380000</v>
      </c>
      <c r="Z42" s="109" t="str">
        <f>[3]DATA!AU40</f>
        <v>ADB</v>
      </c>
      <c r="AA42" s="1544" t="str">
        <f>[3]DATA!AW40</f>
        <v>-</v>
      </c>
      <c r="AB42" s="245" t="str">
        <f>[3]DATA!AM40</f>
        <v>2015; 2016</v>
      </c>
      <c r="AC42" s="1510" t="str">
        <f>[3]DATA!AN40</f>
        <v>siap</v>
      </c>
      <c r="AD42" s="1511" t="str">
        <f>[3]DATA!AO40</f>
        <v>tidak butuh lahan</v>
      </c>
      <c r="AE42" s="1510">
        <f>[3]DATA!AQ40</f>
        <v>0</v>
      </c>
      <c r="AF42" s="1533" t="str">
        <f>[3]DATA!AR40</f>
        <v>-</v>
      </c>
    </row>
    <row r="43" spans="1:32" s="5" customFormat="1" ht="39.75" customHeight="1">
      <c r="J43" s="180"/>
      <c r="K43" s="50"/>
      <c r="L43" s="30" t="str">
        <f>[3]DATA!I41</f>
        <v>E</v>
      </c>
      <c r="M43" s="3427" t="str">
        <f>[3]DATA!J41</f>
        <v>Program Pembangunan Sistem Pengelolaan Air Limbah</v>
      </c>
      <c r="N43" s="3428"/>
      <c r="O43" s="197">
        <f>O44+O46+O47+O48+O52+O53+O54</f>
        <v>3583000000</v>
      </c>
      <c r="P43" s="197">
        <f>P44+P46+P47+P48+P52+P53+P54</f>
        <v>3583000000</v>
      </c>
      <c r="Q43" s="1436" t="e">
        <f>Q44+Q46+Q47+Q48+Q52+Q53+Q54</f>
        <v>#REF!</v>
      </c>
      <c r="R43" s="1436">
        <f>R44+R46+R47+R48+R52+R53+R54</f>
        <v>0</v>
      </c>
      <c r="S43" s="1559" t="e">
        <f t="shared" si="1"/>
        <v>#REF!</v>
      </c>
      <c r="T43" s="2463"/>
      <c r="U43" s="198"/>
      <c r="V43" s="81">
        <f>SUM(V44:V54)</f>
        <v>3583000000</v>
      </c>
      <c r="W43" s="81">
        <f>SUM(W44:W54)</f>
        <v>0</v>
      </c>
      <c r="X43" s="214">
        <f>SUM(X44:X54)</f>
        <v>0</v>
      </c>
      <c r="Y43" s="244">
        <f>SUM(Y44:Y54)</f>
        <v>3583000000</v>
      </c>
      <c r="Z43" s="81" t="s">
        <v>21</v>
      </c>
      <c r="AA43" s="214">
        <f>SUM(AA44:AA54)</f>
        <v>0</v>
      </c>
      <c r="AB43" s="1505"/>
      <c r="AC43" s="1506"/>
      <c r="AD43" s="169"/>
      <c r="AE43" s="1507"/>
      <c r="AF43" s="1530"/>
    </row>
    <row r="44" spans="1:32" ht="36" customHeight="1">
      <c r="J44" s="181"/>
      <c r="K44" s="34"/>
      <c r="L44" s="34"/>
      <c r="M44" s="3399">
        <v>28</v>
      </c>
      <c r="N44" s="3395" t="str">
        <f>[3]DATA!L42</f>
        <v>Community Based Sanitation Program (SANIMAS)</v>
      </c>
      <c r="O44" s="3410">
        <f>[3]DATA!T41</f>
        <v>250000000</v>
      </c>
      <c r="P44" s="3410">
        <f>[3]DATA!U41</f>
        <v>250000000</v>
      </c>
      <c r="Q44" s="3438">
        <f>[3]DATA!V41</f>
        <v>12500000</v>
      </c>
      <c r="R44" s="3438">
        <f>[3]DATA!W41</f>
        <v>0</v>
      </c>
      <c r="S44" s="3403">
        <f t="shared" si="1"/>
        <v>262500000</v>
      </c>
      <c r="T44" s="2471"/>
      <c r="U44" s="1449" t="str">
        <f>[3]DATA!Y42</f>
        <v>ADB</v>
      </c>
      <c r="V44" s="77">
        <f>[3]DATA!AA42</f>
        <v>125000000</v>
      </c>
      <c r="W44" s="77">
        <v>0</v>
      </c>
      <c r="X44" s="216" t="str">
        <f>[3]DATA!Y42</f>
        <v>ADB</v>
      </c>
      <c r="Y44" s="245">
        <f>[3]DATA!AT42</f>
        <v>125000000</v>
      </c>
      <c r="Z44" s="109" t="str">
        <f>[3]DATA!AU42</f>
        <v>ADB</v>
      </c>
      <c r="AA44" s="1544" t="str">
        <f>[3]DATA!AW42</f>
        <v>-</v>
      </c>
      <c r="AB44" s="1582">
        <f>[3]DATA!AM42</f>
        <v>0</v>
      </c>
      <c r="AC44" s="3523" t="str">
        <f>[3]DATA!AN42</f>
        <v>belum ada keterangan</v>
      </c>
      <c r="AD44" s="3515" t="str">
        <f>[3]DATA!AO42</f>
        <v>tidak butuh lahan</v>
      </c>
      <c r="AE44" s="1545">
        <f>[3]DATA!AQ42</f>
        <v>0</v>
      </c>
      <c r="AF44" s="1664" t="str">
        <f>[3]DATA!AR42</f>
        <v>- untuk wilayah Timur
- belum ada dokumen R/C</v>
      </c>
    </row>
    <row r="45" spans="1:32" ht="33.75" customHeight="1">
      <c r="J45" s="181"/>
      <c r="K45" s="34"/>
      <c r="L45" s="34"/>
      <c r="M45" s="3400"/>
      <c r="N45" s="3396"/>
      <c r="O45" s="3409"/>
      <c r="P45" s="3409"/>
      <c r="Q45" s="3439"/>
      <c r="R45" s="3439"/>
      <c r="S45" s="3404"/>
      <c r="T45" s="2472"/>
      <c r="U45" s="1449" t="str">
        <f>[3]DATA!Y43</f>
        <v>IDB</v>
      </c>
      <c r="V45" s="77">
        <f>[3]DATA!AA43</f>
        <v>125000000</v>
      </c>
      <c r="W45" s="77">
        <v>0</v>
      </c>
      <c r="X45" s="216" t="str">
        <f>[3]DATA!Y43</f>
        <v>IDB</v>
      </c>
      <c r="Y45" s="245">
        <f>[3]DATA!AT43</f>
        <v>125000000</v>
      </c>
      <c r="Z45" s="109" t="str">
        <f>[3]DATA!AU43</f>
        <v>IDB</v>
      </c>
      <c r="AA45" s="1544" t="str">
        <f>[3]DATA!AW43</f>
        <v>-</v>
      </c>
      <c r="AB45" s="1582">
        <f>[3]DATA!AM43</f>
        <v>0</v>
      </c>
      <c r="AC45" s="3522"/>
      <c r="AD45" s="3400"/>
      <c r="AE45" s="1545">
        <f>[3]DATA!AQ43</f>
        <v>0</v>
      </c>
      <c r="AF45" s="1664" t="str">
        <f>[3]DATA!AR43</f>
        <v>- untuk wilayah Barat
- belum ada dokumen R/C</v>
      </c>
    </row>
    <row r="46" spans="1:32" ht="58.5" customHeight="1">
      <c r="A46" s="10">
        <f>[3]DATA!A44</f>
        <v>36</v>
      </c>
      <c r="B46" s="10">
        <f>[3]DATA!B44</f>
        <v>0</v>
      </c>
      <c r="C46" s="10" t="str">
        <f>[3]DATA!D44</f>
        <v>INFRASTRUKTUR</v>
      </c>
      <c r="D46" s="10">
        <f>[3]DATA!E44</f>
        <v>1</v>
      </c>
      <c r="E46" s="10" t="str">
        <f>[3]DATA!F44</f>
        <v>Kementerian Pekerjaan Umum dan Perumahan Rakyat</v>
      </c>
      <c r="F46" s="10" t="str">
        <f>[3]DATA!H44</f>
        <v>Development of Waste Water Management Program</v>
      </c>
      <c r="G46" s="10" t="str">
        <f>[3]DATA!I44</f>
        <v>E</v>
      </c>
      <c r="H46" s="10" t="str">
        <f>[3]DATA!J44</f>
        <v>Program Pembangunan Sistem Pengelolaan Air Limbah</v>
      </c>
      <c r="I46" s="10">
        <f>[3]DATA!K44</f>
        <v>2</v>
      </c>
      <c r="J46" s="181"/>
      <c r="K46" s="34"/>
      <c r="L46" s="34"/>
      <c r="M46" s="36">
        <v>29</v>
      </c>
      <c r="N46" s="37" t="str">
        <f>[3]DATA!L44</f>
        <v>Jakarta Sewerage Development Project - Zone 1 and Zone 6</v>
      </c>
      <c r="O46" s="187">
        <f>[3]DATA!T44</f>
        <v>1950000000</v>
      </c>
      <c r="P46" s="187">
        <f>[3]DATA!U44</f>
        <v>1950000000</v>
      </c>
      <c r="Q46" s="1446">
        <f>[3]DATA!V44</f>
        <v>97500000</v>
      </c>
      <c r="R46" s="1446"/>
      <c r="S46" s="2467">
        <f>P46+Q46+R46</f>
        <v>2047500000</v>
      </c>
      <c r="T46" s="2468"/>
      <c r="U46" s="1449" t="str">
        <f>[3]DATA!Y44</f>
        <v>JICA</v>
      </c>
      <c r="V46" s="77">
        <f>[3]DATA!AA44</f>
        <v>1950000000</v>
      </c>
      <c r="W46" s="77">
        <v>0</v>
      </c>
      <c r="X46" s="216" t="str">
        <f>[3]DATA!Y44</f>
        <v>JICA</v>
      </c>
      <c r="Y46" s="245">
        <f>[3]DATA!AT44</f>
        <v>1950000000</v>
      </c>
      <c r="Z46" s="109" t="str">
        <f>[3]DATA!AU44</f>
        <v>JICA</v>
      </c>
      <c r="AA46" s="1544" t="str">
        <f>[3]DATA!AW44</f>
        <v>-</v>
      </c>
      <c r="AB46" s="245">
        <f>[3]DATA!AM44</f>
        <v>0</v>
      </c>
      <c r="AC46" s="1510" t="str">
        <f>[3]DATA!AN44</f>
        <v>dalam proses
(memiliki FS)</v>
      </c>
      <c r="AD46" s="1511" t="str">
        <f>[3]DATA!AO44</f>
        <v>dalam proses</v>
      </c>
      <c r="AE46" s="1545">
        <f>[3]DATA!AQ44</f>
        <v>0</v>
      </c>
      <c r="AF46" s="1533" t="str">
        <f>[3]DATA!AR44</f>
        <v>- Zona I: dalam pelaksanaan ES (tender konsultan)
- belum ada dokumen R/C</v>
      </c>
    </row>
    <row r="47" spans="1:32" ht="33.75" customHeight="1">
      <c r="A47" s="10">
        <f>[3]DATA!A45</f>
        <v>37</v>
      </c>
      <c r="B47" s="10">
        <f>[3]DATA!B45</f>
        <v>0</v>
      </c>
      <c r="C47" s="10" t="str">
        <f>[3]DATA!D45</f>
        <v>INFRASTRUKTUR</v>
      </c>
      <c r="D47" s="10">
        <f>[3]DATA!E45</f>
        <v>1</v>
      </c>
      <c r="E47" s="10" t="str">
        <f>[3]DATA!F45</f>
        <v>Kementerian Pekerjaan Umum dan Perumahan Rakyat</v>
      </c>
      <c r="F47" s="10" t="str">
        <f>[3]DATA!H45</f>
        <v>Development of Waste Water Management Program</v>
      </c>
      <c r="G47" s="10" t="str">
        <f>[3]DATA!I45</f>
        <v>E</v>
      </c>
      <c r="H47" s="10" t="str">
        <f>[3]DATA!J45</f>
        <v>Program Pembangunan Sistem Pengelolaan Air Limbah</v>
      </c>
      <c r="I47" s="10">
        <f>[3]DATA!K45</f>
        <v>3</v>
      </c>
      <c r="J47" s="181"/>
      <c r="K47" s="34"/>
      <c r="L47" s="34"/>
      <c r="M47" s="36">
        <v>30</v>
      </c>
      <c r="N47" s="37" t="str">
        <f>[3]DATA!L45</f>
        <v>The Development of Sewage Treatment Plant Facility in Priority Area</v>
      </c>
      <c r="O47" s="187">
        <f>[3]DATA!T45</f>
        <v>75000000</v>
      </c>
      <c r="P47" s="187">
        <f>[3]DATA!U45</f>
        <v>75000000</v>
      </c>
      <c r="Q47" s="1446">
        <f>[3]DATA!V45</f>
        <v>3750000</v>
      </c>
      <c r="R47" s="1446"/>
      <c r="S47" s="2467">
        <f>P47+Q47+R47</f>
        <v>78750000</v>
      </c>
      <c r="T47" s="2468"/>
      <c r="U47" s="1449" t="str">
        <f>[3]DATA!Y45</f>
        <v>Bank Dunia/JICA</v>
      </c>
      <c r="V47" s="77">
        <f>[3]DATA!AA45</f>
        <v>75000000</v>
      </c>
      <c r="W47" s="77">
        <v>0</v>
      </c>
      <c r="X47" s="216" t="str">
        <f>[3]DATA!Y45</f>
        <v>Bank Dunia/JICA</v>
      </c>
      <c r="Y47" s="245">
        <f>[3]DATA!AT45</f>
        <v>75000000</v>
      </c>
      <c r="Z47" s="109" t="str">
        <f>[3]DATA!AU45</f>
        <v>Bank Dunia</v>
      </c>
      <c r="AA47" s="1544" t="str">
        <f>[3]DATA!AW45</f>
        <v>- usulan K/L lender: Bank Dunia/JICA/ADB. 
- pihak Bank Dunia berminat, ADB dan JICA tidak berminat
- dalam rencana pembiayaan Bank Dunia, kegiatan ini dijadikan satu paket dengan kegiatan "Sewerage System Development in Indonesia"</v>
      </c>
      <c r="AB47" s="245">
        <f>[3]DATA!AM45</f>
        <v>0</v>
      </c>
      <c r="AC47" s="1510" t="str">
        <f>[3]DATA!AN45</f>
        <v>dalam proses
(memiliki FS)</v>
      </c>
      <c r="AD47" s="1511" t="str">
        <f>[3]DATA!AO45</f>
        <v>belum ada keterangan</v>
      </c>
      <c r="AE47" s="1545">
        <f>[3]DATA!AQ45</f>
        <v>0</v>
      </c>
      <c r="AF47" s="1533" t="str">
        <f>[3]DATA!AR45</f>
        <v>belum ada dokumen R/C</v>
      </c>
    </row>
    <row r="48" spans="1:32" s="9" customFormat="1" ht="41.25" customHeight="1">
      <c r="A48" s="9">
        <f>[3]DATA!A47</f>
        <v>38</v>
      </c>
      <c r="B48" s="9">
        <f>[3]DATA!B47</f>
        <v>0</v>
      </c>
      <c r="C48" s="9" t="str">
        <f>[3]DATA!D47</f>
        <v>INFRASTRUKTUR</v>
      </c>
      <c r="D48" s="9">
        <f>[3]DATA!E47</f>
        <v>1</v>
      </c>
      <c r="E48" s="9" t="str">
        <f>[3]DATA!F47</f>
        <v>Kementerian Pekerjaan Umum dan Perumahan Rakyat</v>
      </c>
      <c r="F48" s="9" t="str">
        <f>[3]DATA!H47</f>
        <v>Development of Waste Water Management Program</v>
      </c>
      <c r="G48" s="9" t="str">
        <f>[3]DATA!I47</f>
        <v>E</v>
      </c>
      <c r="H48" s="9" t="str">
        <f>[3]DATA!J47</f>
        <v>Program Pembangunan Sistem Pengelolaan Air Limbah</v>
      </c>
      <c r="I48" s="9">
        <f>[3]DATA!K47</f>
        <v>4</v>
      </c>
      <c r="J48" s="254"/>
      <c r="K48" s="63"/>
      <c r="L48" s="63"/>
      <c r="M48" s="3453">
        <v>31</v>
      </c>
      <c r="N48" s="3457" t="str">
        <f>[3]DATA!L47</f>
        <v>Sewerage System Development in Indonesia</v>
      </c>
      <c r="O48" s="3431">
        <f>[3]DATA!T46</f>
        <v>975000000</v>
      </c>
      <c r="P48" s="3431">
        <f>Y48+Y49+Y50+Y51</f>
        <v>949800000</v>
      </c>
      <c r="Q48" s="3440">
        <f>[3]DATA!V46</f>
        <v>48750000</v>
      </c>
      <c r="R48" s="3440"/>
      <c r="S48" s="3431">
        <f>P48+Q48+R48</f>
        <v>998550000</v>
      </c>
      <c r="T48" s="2473"/>
      <c r="U48" s="3486" t="str">
        <f>[3]DATA!Y47</f>
        <v>ADB</v>
      </c>
      <c r="V48" s="3491">
        <f>[3]DATA!AA47</f>
        <v>424800000</v>
      </c>
      <c r="W48" s="3491" t="s">
        <v>21</v>
      </c>
      <c r="X48" s="3498" t="str">
        <f>[3]DATA!Y47</f>
        <v>ADB</v>
      </c>
      <c r="Y48" s="272">
        <f>[3]DATA!AT47</f>
        <v>400000000</v>
      </c>
      <c r="Z48" s="273" t="str">
        <f>[3]DATA!AU47</f>
        <v>ADB</v>
      </c>
      <c r="AA48" s="1688" t="str">
        <f>[3]DATA!AW47</f>
        <v>- nilai kegiatan yang tercantum dalam COBP ADB sebesar USD 400 juta.
- nilai kegiatan berkurang sebesar USD 25,2 yang dialihkan untuk membiayai kegiatan ES</v>
      </c>
      <c r="AB48" s="245">
        <f>[3]DATA!AM47</f>
        <v>0</v>
      </c>
      <c r="AC48" s="3524" t="str">
        <f>[3]DATA!AN47</f>
        <v>belum ada keterangan</v>
      </c>
      <c r="AD48" s="3516" t="str">
        <f>[3]DATA!AO47</f>
        <v>belum ada keterangan</v>
      </c>
      <c r="AE48" s="1545">
        <f>[3]DATA!AQ47</f>
        <v>0</v>
      </c>
      <c r="AF48" s="3506" t="str">
        <f>[3]DATA!AR47</f>
        <v>- nilai pinjaman berkurang sebesar USD 25,20 juta untuk kegiatan ES
- belum ada dokumen R/C</v>
      </c>
    </row>
    <row r="49" spans="1:34" s="9" customFormat="1" ht="19.5" customHeight="1">
      <c r="J49" s="254"/>
      <c r="K49" s="63"/>
      <c r="L49" s="63"/>
      <c r="M49" s="3454"/>
      <c r="N49" s="3458"/>
      <c r="O49" s="3432"/>
      <c r="P49" s="3432"/>
      <c r="Q49" s="3441"/>
      <c r="R49" s="3441"/>
      <c r="S49" s="3432"/>
      <c r="T49" s="2474"/>
      <c r="U49" s="3487"/>
      <c r="V49" s="3492"/>
      <c r="W49" s="3492"/>
      <c r="X49" s="3499"/>
      <c r="Y49" s="272">
        <f>[3]DATA!AT50</f>
        <v>24800000</v>
      </c>
      <c r="Z49" s="273" t="str">
        <f>[3]DATA!AU50</f>
        <v>Belum Ada Indikasi</v>
      </c>
      <c r="AA49" s="1689" t="str">
        <f>[3]DATA!AW50</f>
        <v>co-financing dengan ADB (USD 400 juta), IDB (USD 325 juta) &amp; Bank Dunia (USD 200 juta)</v>
      </c>
      <c r="AB49" s="245">
        <f>[3]DATA!AM50</f>
        <v>0</v>
      </c>
      <c r="AC49" s="3525"/>
      <c r="AD49" s="3517"/>
      <c r="AE49" s="1545">
        <f>[3]DATA!AQ50</f>
        <v>0</v>
      </c>
      <c r="AF49" s="3507"/>
    </row>
    <row r="50" spans="1:34" s="9" customFormat="1" ht="12" customHeight="1">
      <c r="A50" s="9">
        <f>[3]DATA!A48</f>
        <v>39</v>
      </c>
      <c r="B50" s="9">
        <f>[3]DATA!B48</f>
        <v>0</v>
      </c>
      <c r="C50" s="9" t="str">
        <f>[3]DATA!D48</f>
        <v>INFRASTRUKTUR</v>
      </c>
      <c r="D50" s="9">
        <f>[3]DATA!E48</f>
        <v>1</v>
      </c>
      <c r="E50" s="9" t="str">
        <f>[3]DATA!F48</f>
        <v>Kementerian Pekerjaan Umum dan Perumahan Rakyat</v>
      </c>
      <c r="F50" s="9" t="str">
        <f>[3]DATA!H48</f>
        <v>Development of Waste Water Management Program</v>
      </c>
      <c r="G50" s="9" t="str">
        <f>[3]DATA!I48</f>
        <v>E</v>
      </c>
      <c r="H50" s="9" t="str">
        <f>[3]DATA!J48</f>
        <v>Program Pembangunan Sistem Pengelolaan Air Limbah</v>
      </c>
      <c r="I50" s="9">
        <f>[3]DATA!K48</f>
        <v>4</v>
      </c>
      <c r="J50" s="254"/>
      <c r="K50" s="63"/>
      <c r="L50" s="63"/>
      <c r="M50" s="3454"/>
      <c r="N50" s="3458"/>
      <c r="O50" s="3432"/>
      <c r="P50" s="3432"/>
      <c r="Q50" s="3441"/>
      <c r="R50" s="3441"/>
      <c r="S50" s="3432"/>
      <c r="T50" s="2474"/>
      <c r="U50" s="1455" t="str">
        <f>[3]DATA!Y48</f>
        <v>IDB</v>
      </c>
      <c r="V50" s="91">
        <f>[3]DATA!AA48</f>
        <v>325000000</v>
      </c>
      <c r="W50" s="91">
        <v>0</v>
      </c>
      <c r="X50" s="1689" t="str">
        <f>[3]DATA!Y48</f>
        <v>IDB</v>
      </c>
      <c r="Y50" s="272">
        <f>[3]DATA!AT48</f>
        <v>325000000</v>
      </c>
      <c r="Z50" s="273" t="str">
        <f>[3]DATA!AU48</f>
        <v>IDB</v>
      </c>
      <c r="AA50" s="1688" t="str">
        <f>[3]DATA!AW48</f>
        <v>-</v>
      </c>
      <c r="AB50" s="245">
        <f>[3]DATA!AM48</f>
        <v>0</v>
      </c>
      <c r="AC50" s="3525"/>
      <c r="AD50" s="3517"/>
      <c r="AE50" s="1545">
        <f>[3]DATA!AQ48</f>
        <v>0</v>
      </c>
      <c r="AF50" s="3507"/>
    </row>
    <row r="51" spans="1:34" s="9" customFormat="1" ht="12" customHeight="1">
      <c r="A51" s="9">
        <f>[3]DATA!A49</f>
        <v>40</v>
      </c>
      <c r="B51" s="9">
        <f>[3]DATA!B49</f>
        <v>0</v>
      </c>
      <c r="C51" s="9" t="str">
        <f>[3]DATA!D49</f>
        <v>INFRASTRUKTUR</v>
      </c>
      <c r="D51" s="9">
        <f>[3]DATA!E49</f>
        <v>1</v>
      </c>
      <c r="E51" s="9" t="str">
        <f>[3]DATA!F49</f>
        <v>Kementerian Pekerjaan Umum dan Perumahan Rakyat</v>
      </c>
      <c r="F51" s="9" t="str">
        <f>[3]DATA!H49</f>
        <v>Development of Waste Water Management Program</v>
      </c>
      <c r="G51" s="9" t="str">
        <f>[3]DATA!I49</f>
        <v>E</v>
      </c>
      <c r="H51" s="9" t="str">
        <f>[3]DATA!J49</f>
        <v>Program Pembangunan Sistem Pengelolaan Air Limbah</v>
      </c>
      <c r="I51" s="9">
        <f>[3]DATA!K49</f>
        <v>4</v>
      </c>
      <c r="J51" s="254"/>
      <c r="K51" s="63"/>
      <c r="L51" s="63"/>
      <c r="M51" s="3455"/>
      <c r="N51" s="3459"/>
      <c r="O51" s="3433"/>
      <c r="P51" s="3433"/>
      <c r="Q51" s="3442"/>
      <c r="R51" s="3442"/>
      <c r="S51" s="3433"/>
      <c r="T51" s="2475"/>
      <c r="U51" s="1455" t="str">
        <f>[3]DATA!Y49</f>
        <v>Bank Dunia</v>
      </c>
      <c r="V51" s="91">
        <f>[3]DATA!AA49</f>
        <v>200000000</v>
      </c>
      <c r="W51" s="91">
        <v>0</v>
      </c>
      <c r="X51" s="1689" t="str">
        <f>[3]DATA!Y49</f>
        <v>Bank Dunia</v>
      </c>
      <c r="Y51" s="272">
        <f>[3]DATA!AT49</f>
        <v>200000000</v>
      </c>
      <c r="Z51" s="273" t="str">
        <f>[3]DATA!AU49</f>
        <v>Bank Dunia</v>
      </c>
      <c r="AA51" s="1688" t="str">
        <f>[3]DATA!AW49</f>
        <v>-</v>
      </c>
      <c r="AB51" s="245">
        <f>[3]DATA!AM49</f>
        <v>0</v>
      </c>
      <c r="AC51" s="3526"/>
      <c r="AD51" s="3518"/>
      <c r="AE51" s="1545">
        <f>[3]DATA!AQ49</f>
        <v>0</v>
      </c>
      <c r="AF51" s="3508"/>
    </row>
    <row r="52" spans="1:34" ht="26.25" customHeight="1">
      <c r="A52" s="10">
        <f>[3]DATA!A51</f>
        <v>41</v>
      </c>
      <c r="B52" s="10">
        <f>[3]DATA!B51</f>
        <v>0</v>
      </c>
      <c r="C52" s="10" t="str">
        <f>[3]DATA!D51</f>
        <v>INFRASTRUKTUR</v>
      </c>
      <c r="D52" s="10">
        <f>[3]DATA!E51</f>
        <v>1</v>
      </c>
      <c r="E52" s="10" t="str">
        <f>[3]DATA!F51</f>
        <v>Kementerian Pekerjaan Umum dan Perumahan Rakyat</v>
      </c>
      <c r="F52" s="10" t="str">
        <f>[3]DATA!H51</f>
        <v>Development of Waste Water Management Program</v>
      </c>
      <c r="G52" s="10" t="str">
        <f>[3]DATA!I51</f>
        <v>E</v>
      </c>
      <c r="H52" s="10" t="str">
        <f>[3]DATA!J51</f>
        <v>Program Pembangunan Sistem Pengelolaan Air Limbah</v>
      </c>
      <c r="I52" s="10">
        <f>[3]DATA!K51</f>
        <v>5</v>
      </c>
      <c r="J52" s="181"/>
      <c r="K52" s="34"/>
      <c r="L52" s="34"/>
      <c r="M52" s="36">
        <v>32</v>
      </c>
      <c r="N52" s="37" t="str">
        <f>[3]DATA!L51</f>
        <v>Denpasar Sewerage Development Project - Phase III</v>
      </c>
      <c r="O52" s="187">
        <f>[3]DATA!T51</f>
        <v>233000000</v>
      </c>
      <c r="P52" s="187">
        <f>[3]DATA!U51</f>
        <v>233000000</v>
      </c>
      <c r="Q52" s="1446" t="e">
        <f>[3]!BB[[#This Row],[PENDAMPING BB]]</f>
        <v>#REF!</v>
      </c>
      <c r="R52" s="1446"/>
      <c r="S52" s="2467" t="e">
        <f t="shared" ref="S52:S60" si="2">P52+Q52+R52</f>
        <v>#REF!</v>
      </c>
      <c r="T52" s="2468"/>
      <c r="U52" s="1449" t="str">
        <f>[3]DATA!Y51</f>
        <v>JICA</v>
      </c>
      <c r="V52" s="77">
        <f>[3]DATA!AA51</f>
        <v>233000000</v>
      </c>
      <c r="W52" s="77">
        <v>0</v>
      </c>
      <c r="X52" s="216" t="str">
        <f>[3]DATA!Y51</f>
        <v>JICA</v>
      </c>
      <c r="Y52" s="245">
        <f>[3]DATA!AT51</f>
        <v>233000000</v>
      </c>
      <c r="Z52" s="109" t="str">
        <f>[3]DATA!AU51</f>
        <v>JICA</v>
      </c>
      <c r="AA52" s="1544" t="str">
        <f>[3]DATA!AW51</f>
        <v>-</v>
      </c>
      <c r="AB52" s="245">
        <f>[3]DATA!AM51</f>
        <v>0</v>
      </c>
      <c r="AC52" s="1510" t="str">
        <f>[3]DATA!AN51</f>
        <v>dalam proses
(memiliki FS)</v>
      </c>
      <c r="AD52" s="1511" t="str">
        <f>[3]DATA!AO51</f>
        <v>belum ada keterangan</v>
      </c>
      <c r="AE52" s="1545">
        <f>[3]DATA!AQ51</f>
        <v>0</v>
      </c>
      <c r="AF52" s="1533" t="str">
        <f>[3]DATA!AR51</f>
        <v>Pengajuan pre-request</v>
      </c>
    </row>
    <row r="53" spans="1:34" ht="37.5" customHeight="1">
      <c r="A53" s="10">
        <f>[3]DATA!A52</f>
        <v>42</v>
      </c>
      <c r="B53" s="10">
        <f>[3]DATA!B52</f>
        <v>0</v>
      </c>
      <c r="C53" s="10" t="str">
        <f>[3]DATA!D52</f>
        <v>INFRASTRUKTUR</v>
      </c>
      <c r="D53" s="10">
        <f>[3]DATA!E52</f>
        <v>1</v>
      </c>
      <c r="E53" s="10" t="str">
        <f>[3]DATA!F52</f>
        <v>Kementerian Pekerjaan Umum dan Perumahan Rakyat</v>
      </c>
      <c r="F53" s="10" t="str">
        <f>[3]DATA!H52</f>
        <v>Development of Waste Water Management Program</v>
      </c>
      <c r="G53" s="10" t="str">
        <f>[3]DATA!I52</f>
        <v>E</v>
      </c>
      <c r="H53" s="10" t="str">
        <f>[3]DATA!J52</f>
        <v>Program Pembangunan Sistem Pengelolaan Air Limbah</v>
      </c>
      <c r="I53" s="10">
        <f>[3]DATA!K52</f>
        <v>6</v>
      </c>
      <c r="J53" s="181"/>
      <c r="K53" s="34"/>
      <c r="L53" s="34"/>
      <c r="M53" s="36">
        <v>33</v>
      </c>
      <c r="N53" s="37" t="str">
        <f>[3]DATA!L52</f>
        <v>The Development and Optimization of Wastewater Treatment in Greater Bandung</v>
      </c>
      <c r="O53" s="187">
        <f>[3]DATA!T52</f>
        <v>100000000</v>
      </c>
      <c r="P53" s="187">
        <f>[3]DATA!U52</f>
        <v>100000000</v>
      </c>
      <c r="Q53" s="1446" t="e">
        <f>[3]!BB[[#This Row],[PENDAMPING BB]]</f>
        <v>#REF!</v>
      </c>
      <c r="R53" s="1446"/>
      <c r="S53" s="2467" t="e">
        <f t="shared" si="2"/>
        <v>#REF!</v>
      </c>
      <c r="T53" s="2468"/>
      <c r="U53" s="1449" t="str">
        <f>[3]DATA!Y52</f>
        <v>Jerman (KfW)</v>
      </c>
      <c r="V53" s="77">
        <f>[3]DATA!AA52</f>
        <v>100000000</v>
      </c>
      <c r="W53" s="77">
        <v>0</v>
      </c>
      <c r="X53" s="216" t="str">
        <f>[3]DATA!Y52</f>
        <v>Jerman (KfW)</v>
      </c>
      <c r="Y53" s="245">
        <f>[3]DATA!AT52</f>
        <v>100000000</v>
      </c>
      <c r="Z53" s="109" t="str">
        <f>[3]DATA!AU52</f>
        <v>Jerman (KfW)</v>
      </c>
      <c r="AA53" s="1544" t="str">
        <f>[3]DATA!AW52</f>
        <v>-</v>
      </c>
      <c r="AB53" s="245">
        <f>[3]DATA!AM52</f>
        <v>0</v>
      </c>
      <c r="AC53" s="1510" t="str">
        <f>[3]DATA!AN52</f>
        <v>dalam proses
(penyusunan FS)</v>
      </c>
      <c r="AD53" s="1511" t="str">
        <f>[3]DATA!AO52</f>
        <v>belum ada keterangan</v>
      </c>
      <c r="AE53" s="1545">
        <f>[3]DATA!AQ52</f>
        <v>0</v>
      </c>
      <c r="AF53" s="1533" t="str">
        <f>[3]DATA!AR52</f>
        <v>penyiapan dokumen R/C</v>
      </c>
    </row>
    <row r="54" spans="1:34" ht="32.25" customHeight="1">
      <c r="J54" s="181"/>
      <c r="K54" s="34"/>
      <c r="L54" s="54"/>
      <c r="M54" s="36">
        <v>34</v>
      </c>
      <c r="N54" s="56" t="str">
        <f>[3]DATA!L53</f>
        <v>Engineering Service for Sanitation Improvement Project</v>
      </c>
      <c r="O54" s="202">
        <f>[3]DATA!T53</f>
        <v>0</v>
      </c>
      <c r="P54" s="202">
        <f>[3]DATA!U53</f>
        <v>25200000</v>
      </c>
      <c r="Q54" s="2476" t="e">
        <f>[3]!BB[[#This Row],[PENDAMPING BB]]</f>
        <v>#REF!</v>
      </c>
      <c r="R54" s="2476"/>
      <c r="S54" s="2467" t="e">
        <f t="shared" si="2"/>
        <v>#REF!</v>
      </c>
      <c r="T54" s="2468"/>
      <c r="U54" s="203" t="str">
        <f>[3]DATA!Y53</f>
        <v>ADB</v>
      </c>
      <c r="V54" s="88">
        <f>[3]DATA!AA53</f>
        <v>25200000</v>
      </c>
      <c r="W54" s="88">
        <v>0</v>
      </c>
      <c r="X54" s="216" t="str">
        <f>[3]DATA!Y53</f>
        <v>ADB</v>
      </c>
      <c r="Y54" s="245">
        <f>[3]DATA!AT53</f>
        <v>25200000</v>
      </c>
      <c r="Z54" s="109" t="str">
        <f>[3]DATA!AU53</f>
        <v>ADB</v>
      </c>
      <c r="AA54" s="1544" t="str">
        <f>[3]DATA!AW53</f>
        <v>pada konfirmasi K/L nilai ES sebesar USD 26,38 juta, seharusnya USD 25,2 juta.</v>
      </c>
      <c r="AB54" s="245" t="str">
        <f>[3]DATA!AM53</f>
        <v>2015; 2016</v>
      </c>
      <c r="AC54" s="1510" t="str">
        <f>[3]DATA!AN53</f>
        <v>siap</v>
      </c>
      <c r="AD54" s="1511" t="str">
        <f>[3]DATA!AO53</f>
        <v>tidak butuh lahan</v>
      </c>
      <c r="AE54" s="1545">
        <f>[3]DATA!AQ53</f>
        <v>0</v>
      </c>
      <c r="AF54" s="1533" t="str">
        <f>[3]DATA!AR53</f>
        <v>-</v>
      </c>
    </row>
    <row r="55" spans="1:34" s="5" customFormat="1" ht="33.75" customHeight="1">
      <c r="J55" s="180"/>
      <c r="K55" s="50"/>
      <c r="L55" s="30" t="str">
        <f>[3]DATA!I54</f>
        <v>F</v>
      </c>
      <c r="M55" s="3427" t="str">
        <f>[3]DATA!J54</f>
        <v>Program Pembangunan Sistem Pengelolaan Persampahan</v>
      </c>
      <c r="N55" s="3428"/>
      <c r="O55" s="197">
        <f>+O56+O57</f>
        <v>250000000</v>
      </c>
      <c r="P55" s="197">
        <f>+P56+P57</f>
        <v>250000000</v>
      </c>
      <c r="Q55" s="1436">
        <f>+Q56+Q57</f>
        <v>12500000</v>
      </c>
      <c r="R55" s="1436">
        <f>+R56+R57</f>
        <v>0</v>
      </c>
      <c r="S55" s="1559">
        <f t="shared" si="2"/>
        <v>262500000</v>
      </c>
      <c r="T55" s="2463"/>
      <c r="U55" s="198"/>
      <c r="V55" s="81">
        <f>+V56+V57</f>
        <v>250000000</v>
      </c>
      <c r="W55" s="81">
        <f>+W56+W57</f>
        <v>0</v>
      </c>
      <c r="X55" s="214"/>
      <c r="Y55" s="244">
        <f>+Y56+Y57</f>
        <v>250000000</v>
      </c>
      <c r="Z55" s="81" t="s">
        <v>21</v>
      </c>
      <c r="AA55" s="214"/>
      <c r="AB55" s="1505"/>
      <c r="AC55" s="1506"/>
      <c r="AD55" s="169"/>
      <c r="AE55" s="1507"/>
      <c r="AF55" s="1530"/>
    </row>
    <row r="56" spans="1:34" ht="37.5" customHeight="1">
      <c r="A56" s="10">
        <f>[3]DATA!A54</f>
        <v>43</v>
      </c>
      <c r="B56" s="10">
        <f>[3]DATA!B54</f>
        <v>0</v>
      </c>
      <c r="C56" s="10" t="str">
        <f>[3]DATA!D54</f>
        <v>INFRASTRUKTUR</v>
      </c>
      <c r="D56" s="10">
        <f>[3]DATA!E54</f>
        <v>1</v>
      </c>
      <c r="E56" s="10" t="str">
        <f>[3]DATA!F54</f>
        <v>Kementerian Pekerjaan Umum dan Perumahan Rakyat</v>
      </c>
      <c r="F56" s="10" t="str">
        <f>[3]DATA!H54</f>
        <v>Development of Solid Waste Management Program</v>
      </c>
      <c r="G56" s="10" t="str">
        <f>[3]DATA!I54</f>
        <v>F</v>
      </c>
      <c r="H56" s="10" t="str">
        <f>[3]DATA!J54</f>
        <v>Program Pembangunan Sistem Pengelolaan Persampahan</v>
      </c>
      <c r="I56" s="10">
        <f>[3]DATA!K54</f>
        <v>1</v>
      </c>
      <c r="J56" s="181"/>
      <c r="K56" s="34"/>
      <c r="L56" s="35"/>
      <c r="M56" s="36">
        <v>35</v>
      </c>
      <c r="N56" s="37" t="str">
        <f>[3]DATA!L54</f>
        <v>Advanced Solid Waste Management for Sustainable Urban Development (Advance SWM-SUD)</v>
      </c>
      <c r="O56" s="187">
        <f>[3]DATA!T54</f>
        <v>150000000</v>
      </c>
      <c r="P56" s="187">
        <f>[3]DATA!U54</f>
        <v>150000000</v>
      </c>
      <c r="Q56" s="1446">
        <f>[3]DATA!V54</f>
        <v>7500000</v>
      </c>
      <c r="R56" s="1446">
        <f>[3]DATA!W54</f>
        <v>0</v>
      </c>
      <c r="S56" s="2467">
        <f t="shared" si="2"/>
        <v>157500000</v>
      </c>
      <c r="T56" s="2468"/>
      <c r="U56" s="1449" t="str">
        <f>[3]DATA!Y54</f>
        <v>Jerman (KfW)</v>
      </c>
      <c r="V56" s="77">
        <f>[3]DATA!AA54</f>
        <v>150000000</v>
      </c>
      <c r="W56" s="77">
        <v>0</v>
      </c>
      <c r="X56" s="216" t="str">
        <f>[3]DATA!Y54</f>
        <v>Jerman (KfW)</v>
      </c>
      <c r="Y56" s="245">
        <f>[3]DATA!AT54</f>
        <v>150000000</v>
      </c>
      <c r="Z56" s="109" t="str">
        <f>[3]DATA!AU54</f>
        <v>Jerman (KfW)</v>
      </c>
      <c r="AA56" s="1544" t="str">
        <f>[3]DATA!AW54</f>
        <v>-</v>
      </c>
      <c r="AB56" s="245">
        <f>[3]DATA!AM54</f>
        <v>0</v>
      </c>
      <c r="AC56" s="1510" t="str">
        <f>[3]DATA!AN54</f>
        <v>dalam proses
(penyusunan FS)</v>
      </c>
      <c r="AD56" s="1511" t="str">
        <f>[3]DATA!AO54</f>
        <v>belum ada keterangan</v>
      </c>
      <c r="AE56" s="1545">
        <f>[3]DATA!AQ54</f>
        <v>0</v>
      </c>
      <c r="AF56" s="1533" t="str">
        <f>[3]DATA!AR54</f>
        <v>belum ada dokumen R/C</v>
      </c>
    </row>
    <row r="57" spans="1:34" ht="40.5" customHeight="1">
      <c r="A57" s="10">
        <f>[3]DATA!A55</f>
        <v>44</v>
      </c>
      <c r="B57" s="10">
        <f>[3]DATA!B55</f>
        <v>0</v>
      </c>
      <c r="C57" s="10" t="str">
        <f>[3]DATA!D55</f>
        <v>INFRASTRUKTUR</v>
      </c>
      <c r="D57" s="10">
        <f>[3]DATA!E55</f>
        <v>1</v>
      </c>
      <c r="E57" s="10" t="str">
        <f>[3]DATA!F55</f>
        <v>Kementerian Pekerjaan Umum dan Perumahan Rakyat</v>
      </c>
      <c r="F57" s="10" t="str">
        <f>[3]DATA!H55</f>
        <v>Development of Solid Waste Management Program</v>
      </c>
      <c r="G57" s="10" t="str">
        <f>[3]DATA!I55</f>
        <v>F</v>
      </c>
      <c r="H57" s="10" t="str">
        <f>[3]DATA!J55</f>
        <v>Program Pembangunan Sistem Pengelolaan Persampahan</v>
      </c>
      <c r="I57" s="10">
        <f>[3]DATA!K55</f>
        <v>2</v>
      </c>
      <c r="J57" s="181"/>
      <c r="K57" s="34"/>
      <c r="L57" s="54"/>
      <c r="M57" s="36">
        <v>36</v>
      </c>
      <c r="N57" s="37" t="str">
        <f>[3]DATA!L55</f>
        <v>The Improvement of Solid Waste Management to Support Regional Area and Metropolitan Cities</v>
      </c>
      <c r="O57" s="187">
        <f>[3]DATA!T55</f>
        <v>100000000</v>
      </c>
      <c r="P57" s="187">
        <f>[3]DATA!U55</f>
        <v>100000000</v>
      </c>
      <c r="Q57" s="1446">
        <f>[3]DATA!V55</f>
        <v>5000000</v>
      </c>
      <c r="R57" s="1446">
        <f>[3]DATA!W55</f>
        <v>0</v>
      </c>
      <c r="S57" s="2467">
        <f t="shared" si="2"/>
        <v>105000000</v>
      </c>
      <c r="T57" s="2468"/>
      <c r="U57" s="1449" t="str">
        <f>[3]DATA!Y55</f>
        <v>Bank Dunia</v>
      </c>
      <c r="V57" s="77">
        <f>[3]DATA!AA55</f>
        <v>100000000</v>
      </c>
      <c r="W57" s="77">
        <v>0</v>
      </c>
      <c r="X57" s="216" t="str">
        <f>[3]DATA!Y55</f>
        <v>Bank Dunia</v>
      </c>
      <c r="Y57" s="245">
        <f>[3]DATA!AT55</f>
        <v>100000000</v>
      </c>
      <c r="Z57" s="109" t="str">
        <f>[3]DATA!AU55</f>
        <v>Bank Dunia</v>
      </c>
      <c r="AA57" s="1544" t="str">
        <f>[3]DATA!AW55</f>
        <v>-</v>
      </c>
      <c r="AB57" s="245">
        <f>[3]DATA!AM55</f>
        <v>0</v>
      </c>
      <c r="AC57" s="1510" t="str">
        <f>[3]DATA!AN55</f>
        <v>dalam proses
(memiliki FS)</v>
      </c>
      <c r="AD57" s="1511" t="str">
        <f>[3]DATA!AO55</f>
        <v>dalam proses
(persiapan)</v>
      </c>
      <c r="AE57" s="1545">
        <f>[3]DATA!AQ55</f>
        <v>0</v>
      </c>
      <c r="AF57" s="1533" t="str">
        <f>[3]DATA!AR55</f>
        <v>- karena DED dalam proses finalisasi, maka diasumsikan memiliki FS.
- Dokumen penyiapan: sedang cari tambahan lokasi
- Siap hanya Balikpapan&amp;Tangerang (USD 40 juta)
- belum ada dokumen R/C</v>
      </c>
    </row>
    <row r="58" spans="1:34" s="5" customFormat="1" ht="33.75" customHeight="1">
      <c r="J58" s="180"/>
      <c r="K58" s="50"/>
      <c r="L58" s="30" t="str">
        <f>[3]DATA!I56</f>
        <v>G</v>
      </c>
      <c r="M58" s="31" t="str">
        <f>[3]DATA!J56</f>
        <v>Program Penanganan Kumuh</v>
      </c>
      <c r="N58" s="51"/>
      <c r="O58" s="197">
        <f>O59+O60+O63+O64</f>
        <v>3284980000</v>
      </c>
      <c r="P58" s="197">
        <f>P59+P60+P63+P64</f>
        <v>3284980000</v>
      </c>
      <c r="Q58" s="1567">
        <f>Q59+Q60+Q63+Q64</f>
        <v>180737000</v>
      </c>
      <c r="R58" s="1567">
        <f>R59+R60+R63+R64</f>
        <v>0</v>
      </c>
      <c r="S58" s="1559">
        <f t="shared" si="2"/>
        <v>3465717000</v>
      </c>
      <c r="T58" s="2463"/>
      <c r="U58" s="198"/>
      <c r="V58" s="81">
        <f>V59+V62+V60+V63+V64</f>
        <v>3068480000</v>
      </c>
      <c r="W58" s="81">
        <f>W59+W62+W60+W63+W64</f>
        <v>0</v>
      </c>
      <c r="X58" s="214"/>
      <c r="Y58" s="244">
        <f>Y59+Y61+Y60+Y62+Y63+Y64</f>
        <v>3284980000</v>
      </c>
      <c r="Z58" s="81" t="s">
        <v>21</v>
      </c>
      <c r="AA58" s="214"/>
      <c r="AB58" s="1505"/>
      <c r="AC58" s="1506"/>
      <c r="AD58" s="169"/>
      <c r="AE58" s="1507"/>
      <c r="AF58" s="1530"/>
    </row>
    <row r="59" spans="1:34" ht="36.75" customHeight="1">
      <c r="A59" s="10">
        <f>[3]DATA!A56</f>
        <v>45</v>
      </c>
      <c r="B59" s="10">
        <f>[3]DATA!B56</f>
        <v>0</v>
      </c>
      <c r="C59" s="10" t="str">
        <f>[3]DATA!D56</f>
        <v>INFRASTRUKTUR</v>
      </c>
      <c r="D59" s="10">
        <f>[3]DATA!E56</f>
        <v>1</v>
      </c>
      <c r="E59" s="10" t="str">
        <f>[3]DATA!F56</f>
        <v>Kementerian Pekerjaan Umum dan Perumahan Rakyat</v>
      </c>
      <c r="F59" s="10" t="str">
        <f>[3]DATA!H56</f>
        <v>Slum Alleviation Program</v>
      </c>
      <c r="G59" s="10" t="str">
        <f>[3]DATA!I56</f>
        <v>G</v>
      </c>
      <c r="H59" s="10" t="str">
        <f>[3]DATA!J56</f>
        <v>Program Penanganan Kumuh</v>
      </c>
      <c r="I59" s="10">
        <f>[3]DATA!K56</f>
        <v>1</v>
      </c>
      <c r="J59" s="181"/>
      <c r="K59" s="34"/>
      <c r="L59" s="35"/>
      <c r="M59" s="36">
        <v>37</v>
      </c>
      <c r="N59" s="37" t="str">
        <f>[3]DATA!L56</f>
        <v>Slum Improvement in Strategic Human Settlements Area (SISHA)</v>
      </c>
      <c r="O59" s="187">
        <f>[3]DATA!T56</f>
        <v>2100000000</v>
      </c>
      <c r="P59" s="187">
        <f>[3]DATA!U56</f>
        <v>2100000000</v>
      </c>
      <c r="Q59" s="1446">
        <f>[3]DATA!V56</f>
        <v>105000000</v>
      </c>
      <c r="R59" s="1446">
        <f>[3]DATA!W56</f>
        <v>0</v>
      </c>
      <c r="S59" s="2467">
        <f t="shared" si="2"/>
        <v>2205000000</v>
      </c>
      <c r="T59" s="2468"/>
      <c r="U59" s="1509" t="str">
        <f>[3]DATA!Y56</f>
        <v>Bank Dunia/JICA/ADB</v>
      </c>
      <c r="V59" s="77">
        <f>[3]DATA!AA56</f>
        <v>2100000000</v>
      </c>
      <c r="W59" s="77">
        <v>0</v>
      </c>
      <c r="X59" s="216" t="str">
        <f>[3]DATA!Y56</f>
        <v>Bank Dunia/JICA/ADB</v>
      </c>
      <c r="Y59" s="245">
        <f>[3]DATA!AT56</f>
        <v>2100000000</v>
      </c>
      <c r="Z59" s="109" t="str">
        <f>[3]DATA!AU56</f>
        <v>Belum Ada Indikasi</v>
      </c>
      <c r="AA59" s="1544" t="str">
        <f>[3]DATA!AW56</f>
        <v>- usulan K/L lender: Bank Dunia/JICA/ADB.
- Pihak Bank Dunia, ADB dan JICA tidak berminat.</v>
      </c>
      <c r="AB59" s="245">
        <f>[3]DATA!AM56</f>
        <v>0</v>
      </c>
      <c r="AC59" s="1510" t="str">
        <f>[3]DATA!AN56</f>
        <v>dalam proses
(penyusunan FS)</v>
      </c>
      <c r="AD59" s="1511" t="str">
        <f>[3]DATA!AO56</f>
        <v>dalam proses
(perencanaan)</v>
      </c>
      <c r="AE59" s="1545">
        <f>[3]DATA!AQ56</f>
        <v>0</v>
      </c>
      <c r="AF59" s="1533" t="str">
        <f>[3]DATA!AP56</f>
        <v>belum ada proses tender/lelang</v>
      </c>
    </row>
    <row r="60" spans="1:34" ht="127.5">
      <c r="A60" s="10">
        <f>[3]DATA!A59</f>
        <v>47</v>
      </c>
      <c r="B60" s="10">
        <f>[3]DATA!B59</f>
        <v>0</v>
      </c>
      <c r="C60" s="10" t="str">
        <f>[3]DATA!D59</f>
        <v>INFRASTRUKTUR</v>
      </c>
      <c r="D60" s="10">
        <f>[3]DATA!E59</f>
        <v>1</v>
      </c>
      <c r="E60" s="10" t="str">
        <f>[3]DATA!F59</f>
        <v>Kementerian Pekerjaan Umum dan Perumahan Rakyat</v>
      </c>
      <c r="F60" s="10" t="str">
        <f>[3]DATA!H59</f>
        <v>Slum Alleviation Program</v>
      </c>
      <c r="G60" s="10" t="str">
        <f>[3]DATA!I59</f>
        <v>G</v>
      </c>
      <c r="H60" s="10" t="str">
        <f>[3]DATA!J59</f>
        <v>Program Penanganan Kumuh</v>
      </c>
      <c r="I60" s="10">
        <f>[3]DATA!K59</f>
        <v>2</v>
      </c>
      <c r="J60" s="181"/>
      <c r="K60" s="34"/>
      <c r="L60" s="34"/>
      <c r="M60" s="3399">
        <v>38</v>
      </c>
      <c r="N60" s="3460" t="str">
        <f>[3]DATA!L59</f>
        <v>National Slum Upgrading</v>
      </c>
      <c r="O60" s="3411">
        <v>722880000</v>
      </c>
      <c r="P60" s="3411">
        <v>722880000</v>
      </c>
      <c r="Q60" s="3443">
        <f>[3]DATA!V57</f>
        <v>52632000</v>
      </c>
      <c r="R60" s="3443">
        <f>[3]DATA!W57</f>
        <v>0</v>
      </c>
      <c r="S60" s="3403">
        <f t="shared" si="2"/>
        <v>775512000</v>
      </c>
      <c r="T60" s="2471"/>
      <c r="U60" s="3488" t="str">
        <f>[3]DATA!Y59</f>
        <v>Bank Dunia</v>
      </c>
      <c r="V60" s="1458">
        <f>[3]DATA!AA59</f>
        <v>216500000</v>
      </c>
      <c r="W60" s="1458">
        <v>0</v>
      </c>
      <c r="X60" s="218" t="str">
        <f>[3]DATA!Y59</f>
        <v>Bank Dunia</v>
      </c>
      <c r="Y60" s="245">
        <f>[3]DATA!AT59</f>
        <v>216500000</v>
      </c>
      <c r="Z60" s="109" t="str">
        <f>[3]DATA!AU59</f>
        <v>Bank Dunia</v>
      </c>
      <c r="AA60" s="1544" t="str">
        <f>[3]DATA!AW59</f>
        <v>- Berdasarkan surat Menteri Keuangan no. S-409/MK.08/2016 tgl 25 Mei '16
'- Bank Dunia berminat sebesar USD 433 juta.
- Ada informasi dari hasil rapat dengan K/L, bahwa nilai proyek turun menjadi USD 700 juta-an (pendanaan IDB dan Bank Dunia).</v>
      </c>
      <c r="AB60" s="1625">
        <f>[3]DATA!AM59</f>
        <v>2016</v>
      </c>
      <c r="AC60" s="1510" t="str">
        <f>[3]DATA!AN59</f>
        <v>dalam proses
(penyusunan FS)</v>
      </c>
      <c r="AD60" s="1511" t="str">
        <f>[3]DATA!AO59</f>
        <v>tidak butuh lahan</v>
      </c>
      <c r="AE60" s="1545">
        <f>[3]DATA!AQ59</f>
        <v>0</v>
      </c>
      <c r="AF60" s="1533" t="str">
        <f>[3]DATA!AP59</f>
        <v>belum ada proses tender/lelang</v>
      </c>
      <c r="AH60" s="174">
        <f>Y60/2</f>
        <v>108250000</v>
      </c>
    </row>
    <row r="61" spans="1:34" ht="25.5">
      <c r="J61" s="181"/>
      <c r="K61" s="34"/>
      <c r="L61" s="34"/>
      <c r="M61" s="3401"/>
      <c r="N61" s="3461"/>
      <c r="O61" s="3412"/>
      <c r="P61" s="3412"/>
      <c r="Q61" s="3444"/>
      <c r="R61" s="3444"/>
      <c r="S61" s="3405"/>
      <c r="T61" s="2477"/>
      <c r="U61" s="3489"/>
      <c r="V61" s="1458"/>
      <c r="W61" s="1458"/>
      <c r="X61" s="218"/>
      <c r="Y61" s="2479">
        <f>[3]DATA!AT60</f>
        <v>216500000</v>
      </c>
      <c r="Z61" s="109" t="str">
        <f>[3]DATA!AU60</f>
        <v>AIIB</v>
      </c>
      <c r="AA61" s="1544" t="str">
        <f>[3]DATA!AW60</f>
        <v>co-financing dgn Bank Dunia (USD 216,5 juta)</v>
      </c>
      <c r="AB61" s="2480" t="str">
        <f>[3]DATA!AM60</f>
        <v>-</v>
      </c>
      <c r="AC61" s="2481" t="str">
        <f>[3]DATA!AN60</f>
        <v>dalam proses
(penyusunan FS)</v>
      </c>
      <c r="AD61" s="2481" t="str">
        <f>[3]DATA!AO60</f>
        <v>tidak butuh lahan</v>
      </c>
      <c r="AE61" s="2481" t="str">
        <f>[3]DATA!AP60</f>
        <v>belum ada proses tender/lelang</v>
      </c>
      <c r="AF61" s="248" t="str">
        <f>[3]DATA!AP60</f>
        <v>belum ada proses tender/lelang</v>
      </c>
      <c r="AH61" s="174"/>
    </row>
    <row r="62" spans="1:34" ht="23.25" customHeight="1">
      <c r="J62" s="181"/>
      <c r="K62" s="34"/>
      <c r="L62" s="34"/>
      <c r="M62" s="3402"/>
      <c r="N62" s="3462"/>
      <c r="O62" s="3413"/>
      <c r="P62" s="3413"/>
      <c r="Q62" s="3445"/>
      <c r="R62" s="3445"/>
      <c r="S62" s="3404"/>
      <c r="T62" s="2472"/>
      <c r="U62" s="3490"/>
      <c r="V62" s="1458">
        <f>[3]DATA!AA61</f>
        <v>289880000</v>
      </c>
      <c r="W62" s="1458">
        <v>0</v>
      </c>
      <c r="X62" s="218" t="str">
        <f>[3]DATA!Y61</f>
        <v>Belum Ada Indikasi</v>
      </c>
      <c r="Y62" s="245">
        <f>[3]DATA!AT61</f>
        <v>289880000</v>
      </c>
      <c r="Z62" s="109" t="str">
        <f>[3]DATA!AU61</f>
        <v>Belum Ada Indikasi</v>
      </c>
      <c r="AA62" s="1520" t="str">
        <f>[3]DATA!AW61</f>
        <v>co-financing dengan IDB (USD 329,7 juta), Bank Dunia (USD 216,5 juta) &amp; AIIB (USD 216,5 juta)</v>
      </c>
      <c r="AB62" s="245" t="str">
        <f>[3]DATA!AM61</f>
        <v>-</v>
      </c>
      <c r="AC62" s="1510" t="str">
        <f>[3]DATA!AN61</f>
        <v>belum ada keterangan</v>
      </c>
      <c r="AD62" s="1511" t="str">
        <f>[3]DATA!AO61</f>
        <v>belum ada keterangan</v>
      </c>
      <c r="AE62" s="1545">
        <f>[3]DATA!AQ61</f>
        <v>0</v>
      </c>
      <c r="AF62" s="1533" t="str">
        <f>[3]DATA!AP61</f>
        <v>belum ada proses tender/lelang</v>
      </c>
    </row>
    <row r="63" spans="1:34" ht="27" customHeight="1">
      <c r="A63" s="10">
        <f>[3]DATA!A62</f>
        <v>48</v>
      </c>
      <c r="B63" s="10">
        <f>[3]DATA!B62</f>
        <v>0</v>
      </c>
      <c r="C63" s="10" t="str">
        <f>[3]DATA!D62</f>
        <v>INFRASTRUKTUR</v>
      </c>
      <c r="D63" s="10">
        <f>[3]DATA!E62</f>
        <v>1</v>
      </c>
      <c r="E63" s="10" t="str">
        <f>[3]DATA!F62</f>
        <v>Kementerian Pekerjaan Umum dan Perumahan Rakyat</v>
      </c>
      <c r="F63" s="10" t="str">
        <f>[3]DATA!H62</f>
        <v>Slum Alleviation Program</v>
      </c>
      <c r="G63" s="10" t="str">
        <f>[3]DATA!I62</f>
        <v>G</v>
      </c>
      <c r="H63" s="10" t="str">
        <f>[3]DATA!J62</f>
        <v>Program Penanganan Kumuh</v>
      </c>
      <c r="I63" s="10">
        <f>[3]DATA!K62</f>
        <v>3</v>
      </c>
      <c r="J63" s="181"/>
      <c r="K63" s="34"/>
      <c r="L63" s="34"/>
      <c r="M63" s="36">
        <v>39</v>
      </c>
      <c r="N63" s="37" t="str">
        <f>[3]DATA!L62</f>
        <v>Rural Settlement Infrastructure Development (RSID)</v>
      </c>
      <c r="O63" s="187">
        <f>[3]DATA!T62</f>
        <v>201000000</v>
      </c>
      <c r="P63" s="187">
        <f>[3]DATA!U62</f>
        <v>201000000</v>
      </c>
      <c r="Q63" s="1453">
        <f>[3]DATA!V62</f>
        <v>10050000</v>
      </c>
      <c r="R63" s="1453">
        <f>[3]DATA!W62</f>
        <v>0</v>
      </c>
      <c r="S63" s="2467">
        <f t="shared" ref="S63:S68" si="3">P63+Q63+R63</f>
        <v>211050000</v>
      </c>
      <c r="T63" s="2468"/>
      <c r="U63" s="1449" t="str">
        <f>[3]DATA!Y62</f>
        <v>JICA</v>
      </c>
      <c r="V63" s="77">
        <f>[3]DATA!AA62</f>
        <v>201000000</v>
      </c>
      <c r="W63" s="77">
        <v>0</v>
      </c>
      <c r="X63" s="216" t="str">
        <f>[3]DATA!Y62</f>
        <v>JICA</v>
      </c>
      <c r="Y63" s="245">
        <f>[3]DATA!AT62</f>
        <v>201000000</v>
      </c>
      <c r="Z63" s="109" t="str">
        <f>[3]DATA!AU62</f>
        <v>JICA</v>
      </c>
      <c r="AA63" s="1544" t="str">
        <f>[3]DATA!AW62</f>
        <v>-</v>
      </c>
      <c r="AB63" s="245">
        <f>[3]DATA!AM62</f>
        <v>0</v>
      </c>
      <c r="AC63" s="1510" t="str">
        <f>[3]DATA!AN62</f>
        <v>dalam proses
(penyusunan FS)</v>
      </c>
      <c r="AD63" s="1511" t="str">
        <f>[3]DATA!AO62</f>
        <v>dalam proses
(perencanaan)</v>
      </c>
      <c r="AE63" s="1545">
        <f>[3]DATA!AQ62</f>
        <v>0</v>
      </c>
      <c r="AF63" s="1533" t="str">
        <f>[3]DATA!AR62</f>
        <v>belum ada dokumen R/C</v>
      </c>
    </row>
    <row r="64" spans="1:34" ht="35.25" customHeight="1">
      <c r="A64" s="10">
        <f>[3]DATA!A63</f>
        <v>49</v>
      </c>
      <c r="B64" s="10">
        <f>[3]DATA!B63</f>
        <v>0</v>
      </c>
      <c r="C64" s="10" t="str">
        <f>[3]DATA!D63</f>
        <v>INFRASTRUKTUR</v>
      </c>
      <c r="D64" s="10">
        <f>[3]DATA!E63</f>
        <v>1</v>
      </c>
      <c r="E64" s="10" t="str">
        <f>[3]DATA!F63</f>
        <v>Kementerian Pekerjaan Umum dan Perumahan Rakyat</v>
      </c>
      <c r="F64" s="10" t="str">
        <f>[3]DATA!H63</f>
        <v>Slum Alleviation Program</v>
      </c>
      <c r="G64" s="10" t="str">
        <f>[3]DATA!I63</f>
        <v>G</v>
      </c>
      <c r="H64" s="10" t="str">
        <f>[3]DATA!J63</f>
        <v>Program Penanganan Kumuh</v>
      </c>
      <c r="I64" s="10">
        <f>[3]DATA!K63</f>
        <v>4</v>
      </c>
      <c r="J64" s="181"/>
      <c r="K64" s="34"/>
      <c r="L64" s="54"/>
      <c r="M64" s="36">
        <v>40</v>
      </c>
      <c r="N64" s="37" t="str">
        <f>[3]DATA!L63</f>
        <v>Building Administration and Capacity Enforcement Development for Seismic Resilience</v>
      </c>
      <c r="O64" s="187">
        <f>[3]DATA!T63</f>
        <v>261100000</v>
      </c>
      <c r="P64" s="187">
        <f>[3]DATA!U63</f>
        <v>261100000</v>
      </c>
      <c r="Q64" s="1453">
        <f>[3]DATA!V63</f>
        <v>13055000</v>
      </c>
      <c r="R64" s="1453">
        <f>[3]DATA!W63</f>
        <v>0</v>
      </c>
      <c r="S64" s="2467">
        <f t="shared" si="3"/>
        <v>274155000</v>
      </c>
      <c r="T64" s="2468"/>
      <c r="U64" s="1449" t="str">
        <f>[3]DATA!Y63</f>
        <v>JICA</v>
      </c>
      <c r="V64" s="77">
        <f>[3]DATA!AA63</f>
        <v>261100000</v>
      </c>
      <c r="W64" s="77">
        <v>0</v>
      </c>
      <c r="X64" s="216" t="str">
        <f>[3]DATA!Y63</f>
        <v>JICA</v>
      </c>
      <c r="Y64" s="245">
        <f>[3]DATA!AT63</f>
        <v>261100000</v>
      </c>
      <c r="Z64" s="109" t="str">
        <f>[3]DATA!AU63</f>
        <v>JICA</v>
      </c>
      <c r="AA64" s="1544" t="str">
        <f>[3]DATA!AW63</f>
        <v>-</v>
      </c>
      <c r="AB64" s="245">
        <f>[3]DATA!AM63</f>
        <v>0</v>
      </c>
      <c r="AC64" s="1510" t="str">
        <f>[3]DATA!AN63</f>
        <v>dalam proses
(penyusunan FS)</v>
      </c>
      <c r="AD64" s="1511" t="str">
        <f>[3]DATA!AO63</f>
        <v>tidak butuh lahan</v>
      </c>
      <c r="AE64" s="1545">
        <f>[3]DATA!AQ63</f>
        <v>0</v>
      </c>
      <c r="AF64" s="1533" t="str">
        <f>[3]DATA!AR63</f>
        <v>belum ada dokumen R/C</v>
      </c>
    </row>
    <row r="65" spans="1:32" ht="33.75" customHeight="1">
      <c r="J65" s="181"/>
      <c r="K65" s="34"/>
      <c r="L65" s="30" t="s">
        <v>161</v>
      </c>
      <c r="M65" s="31" t="s">
        <v>750</v>
      </c>
      <c r="N65" s="51"/>
      <c r="O65" s="2482">
        <f>O66</f>
        <v>0</v>
      </c>
      <c r="P65" s="197">
        <f>P66</f>
        <v>225000000</v>
      </c>
      <c r="Q65" s="1436">
        <f>Q66</f>
        <v>25000000</v>
      </c>
      <c r="R65" s="1436">
        <f>R66</f>
        <v>0</v>
      </c>
      <c r="S65" s="1559">
        <f t="shared" si="3"/>
        <v>250000000</v>
      </c>
      <c r="T65" s="2463"/>
      <c r="U65" s="198"/>
      <c r="V65" s="81">
        <f>V66</f>
        <v>0</v>
      </c>
      <c r="W65" s="81">
        <f>W66</f>
        <v>225000000</v>
      </c>
      <c r="X65" s="214"/>
      <c r="Y65" s="244">
        <f>Y66</f>
        <v>225000000</v>
      </c>
      <c r="Z65" s="81" t="s">
        <v>21</v>
      </c>
      <c r="AA65" s="214"/>
      <c r="AB65" s="1505"/>
      <c r="AC65" s="1506"/>
      <c r="AD65" s="169"/>
      <c r="AE65" s="1507"/>
      <c r="AF65" s="1530"/>
    </row>
    <row r="66" spans="1:32" ht="30" customHeight="1">
      <c r="J66" s="181"/>
      <c r="K66" s="34"/>
      <c r="L66" s="54"/>
      <c r="M66" s="36">
        <v>41</v>
      </c>
      <c r="N66" s="37" t="str">
        <f>[3]DATA!L64</f>
        <v>National Urban Development Project</v>
      </c>
      <c r="O66" s="1669">
        <f>[3]DATA!T64</f>
        <v>0</v>
      </c>
      <c r="P66" s="1669">
        <f>[3]DATA!U64</f>
        <v>225000000</v>
      </c>
      <c r="Q66" s="1669">
        <f>[3]DATA!V64</f>
        <v>25000000</v>
      </c>
      <c r="R66" s="1669">
        <f>[3]DATA!W64</f>
        <v>0</v>
      </c>
      <c r="S66" s="2467">
        <f t="shared" si="3"/>
        <v>250000000</v>
      </c>
      <c r="T66" s="2468"/>
      <c r="U66" s="1449"/>
      <c r="V66" s="77">
        <v>0</v>
      </c>
      <c r="W66" s="77">
        <f>[3]DATA!AA64</f>
        <v>225000000</v>
      </c>
      <c r="X66" s="216" t="str">
        <f>[3]DATA!Y64</f>
        <v>Belum Ada Indikasi</v>
      </c>
      <c r="Y66" s="245">
        <f>[3]DATA!AT64</f>
        <v>225000000</v>
      </c>
      <c r="Z66" s="1509" t="str">
        <f>[3]DATA!AU64</f>
        <v>Belum Ada Indikasi</v>
      </c>
      <c r="AA66" s="1544">
        <f>[3]DATA!AW64</f>
        <v>0</v>
      </c>
      <c r="AB66" s="245">
        <f>[3]DATA!AM64</f>
        <v>0</v>
      </c>
      <c r="AC66" s="1510" t="str">
        <f>[3]DATA!AN64</f>
        <v>belum ada keterangan</v>
      </c>
      <c r="AD66" s="1511" t="str">
        <f>[3]DATA!AO64</f>
        <v>belum ada keterangan</v>
      </c>
      <c r="AE66" s="1545">
        <f>[3]DATA!AQ64</f>
        <v>0</v>
      </c>
      <c r="AF66" s="1533" t="str">
        <f>[3]DATA!AR64</f>
        <v>belum ada dokumen R/C</v>
      </c>
    </row>
    <row r="67" spans="1:32" s="5" customFormat="1" ht="33.75" customHeight="1">
      <c r="J67" s="180"/>
      <c r="K67" s="50"/>
      <c r="L67" s="30" t="s">
        <v>185</v>
      </c>
      <c r="M67" s="31" t="str">
        <f>[3]DATA!J67</f>
        <v>Program Pengembangan dan Pengelolaan Irigasi</v>
      </c>
      <c r="N67" s="51"/>
      <c r="O67" s="197">
        <f>O68+O70+O72+O73+O74+O75+O76+O77+O78+O79+O80</f>
        <v>3257531000</v>
      </c>
      <c r="P67" s="197">
        <f>P68+P70+P72+P73+P74+P75+P77+P78+P79+P80+P76</f>
        <v>3257531000</v>
      </c>
      <c r="Q67" s="1436" t="e">
        <f>Q68+Q70+Q72+Q73+Q74+Q75+Q77+Q78+Q79+Q80+Q76</f>
        <v>#REF!</v>
      </c>
      <c r="R67" s="1436" t="e">
        <f>R68+R70+R72+R73+R74+R75+R77+R78+R79+R80+R76</f>
        <v>#REF!</v>
      </c>
      <c r="S67" s="1559" t="e">
        <f t="shared" si="3"/>
        <v>#REF!</v>
      </c>
      <c r="T67" s="2463"/>
      <c r="U67" s="198"/>
      <c r="V67" s="81">
        <f t="shared" ref="V67:AA67" si="4">SUM(V68:V80)</f>
        <v>3257531000</v>
      </c>
      <c r="W67" s="81">
        <f t="shared" si="4"/>
        <v>0</v>
      </c>
      <c r="X67" s="214">
        <f t="shared" si="4"/>
        <v>0</v>
      </c>
      <c r="Y67" s="244">
        <f t="shared" si="4"/>
        <v>3257531000</v>
      </c>
      <c r="Z67" s="81">
        <f t="shared" si="4"/>
        <v>0</v>
      </c>
      <c r="AA67" s="214">
        <f t="shared" si="4"/>
        <v>0</v>
      </c>
      <c r="AB67" s="1505"/>
      <c r="AC67" s="1506"/>
      <c r="AD67" s="169"/>
      <c r="AE67" s="1507"/>
      <c r="AF67" s="1530"/>
    </row>
    <row r="68" spans="1:32" ht="17.25" customHeight="1">
      <c r="A68" s="10">
        <f>[3]DATA!A67</f>
        <v>51</v>
      </c>
      <c r="B68" s="10">
        <f>[3]DATA!B67</f>
        <v>0</v>
      </c>
      <c r="C68" s="10" t="str">
        <f>[3]DATA!D67</f>
        <v>INFRASTRUKTUR</v>
      </c>
      <c r="D68" s="10">
        <f>[3]DATA!E67</f>
        <v>1</v>
      </c>
      <c r="E68" s="10" t="str">
        <f>[3]DATA!F67</f>
        <v>Kementerian Pekerjaan Umum dan Perumahan Rakyat</v>
      </c>
      <c r="F68" s="10" t="str">
        <f>[3]DATA!H67</f>
        <v>Development and Management of Irrigation Program</v>
      </c>
      <c r="G68" s="10" t="str">
        <f>[3]DATA!I67</f>
        <v>I</v>
      </c>
      <c r="H68" s="10" t="str">
        <f>[3]DATA!J67</f>
        <v>Program Pengembangan dan Pengelolaan Irigasi</v>
      </c>
      <c r="I68" s="10">
        <f>[3]DATA!K67</f>
        <v>1</v>
      </c>
      <c r="J68" s="181"/>
      <c r="K68" s="34"/>
      <c r="L68" s="34"/>
      <c r="M68" s="3390">
        <v>42</v>
      </c>
      <c r="N68" s="3393" t="str">
        <f>[3]DATA!L67</f>
        <v>Integrated Participatory Development and Management of Irrigation Project - Phase I</v>
      </c>
      <c r="O68" s="3403">
        <f>[3]DATA!T66</f>
        <v>700000000</v>
      </c>
      <c r="P68" s="3403">
        <f>[3]DATA!U66</f>
        <v>700000000</v>
      </c>
      <c r="Q68" s="3443">
        <f>[3]DATA!V66</f>
        <v>70000000</v>
      </c>
      <c r="R68" s="3443">
        <f>[3]DATA!W66</f>
        <v>0</v>
      </c>
      <c r="S68" s="3403">
        <f t="shared" si="3"/>
        <v>770000000</v>
      </c>
      <c r="T68" s="2471"/>
      <c r="U68" s="1449" t="str">
        <f>[3]DATA!Y67</f>
        <v>ADB</v>
      </c>
      <c r="V68" s="77">
        <f>[3]DATA!AA67</f>
        <v>600000000</v>
      </c>
      <c r="W68" s="77">
        <v>0</v>
      </c>
      <c r="X68" s="216" t="str">
        <f>[3]DATA!Y67</f>
        <v>ADB</v>
      </c>
      <c r="Y68" s="245">
        <f>[3]DATA!AT67</f>
        <v>600000000</v>
      </c>
      <c r="Z68" s="109" t="str">
        <f>[3]DATA!AU67</f>
        <v>ADB</v>
      </c>
      <c r="AA68" s="1544" t="str">
        <f>[3]DATA!AW67</f>
        <v>-</v>
      </c>
      <c r="AB68" s="245" t="str">
        <f>[3]DATA!AM67</f>
        <v>2016; 2015</v>
      </c>
      <c r="AC68" s="3495" t="str">
        <f>[3]DATA!AN67</f>
        <v>siap</v>
      </c>
      <c r="AD68" s="3502" t="str">
        <f>[3]DATA!AO67</f>
        <v>belum ada keterangan</v>
      </c>
      <c r="AE68" s="1545">
        <f>[3]DATA!AQ67</f>
        <v>0</v>
      </c>
      <c r="AF68" s="1547" t="str">
        <f>[3]DATA!AR67</f>
        <v>-</v>
      </c>
    </row>
    <row r="69" spans="1:32" ht="19.5" customHeight="1">
      <c r="A69" s="10">
        <f>[3]DATA!A68</f>
        <v>52</v>
      </c>
      <c r="B69" s="10">
        <f>[3]DATA!B68</f>
        <v>0</v>
      </c>
      <c r="C69" s="10" t="str">
        <f>[3]DATA!D68</f>
        <v>INFRASTRUKTUR</v>
      </c>
      <c r="D69" s="10">
        <f>[3]DATA!E68</f>
        <v>1</v>
      </c>
      <c r="E69" s="10" t="str">
        <f>[3]DATA!F68</f>
        <v>Kementerian Pekerjaan Umum dan Perumahan Rakyat</v>
      </c>
      <c r="F69" s="10" t="str">
        <f>[3]DATA!H68</f>
        <v>Development and Management of Irrigation Program</v>
      </c>
      <c r="G69" s="10" t="str">
        <f>[3]DATA!I68</f>
        <v>I</v>
      </c>
      <c r="H69" s="10" t="str">
        <f>[3]DATA!J68</f>
        <v>Program Pengembangan dan Pengelolaan Irigasi</v>
      </c>
      <c r="I69" s="10">
        <f>[3]DATA!K68</f>
        <v>1</v>
      </c>
      <c r="J69" s="181"/>
      <c r="K69" s="34"/>
      <c r="L69" s="34">
        <v>1</v>
      </c>
      <c r="M69" s="3391"/>
      <c r="N69" s="3394"/>
      <c r="O69" s="3404"/>
      <c r="P69" s="3404"/>
      <c r="Q69" s="3445"/>
      <c r="R69" s="3445"/>
      <c r="S69" s="3404"/>
      <c r="T69" s="2472"/>
      <c r="U69" s="1449" t="str">
        <f>[3]DATA!Y68</f>
        <v>IFAD</v>
      </c>
      <c r="V69" s="77">
        <f>[3]DATA!AA68</f>
        <v>100000000</v>
      </c>
      <c r="W69" s="77">
        <v>0</v>
      </c>
      <c r="X69" s="216" t="str">
        <f>[3]DATA!Y68</f>
        <v>IFAD</v>
      </c>
      <c r="Y69" s="245">
        <f>[3]DATA!AT68</f>
        <v>100000000</v>
      </c>
      <c r="Z69" s="109" t="str">
        <f>[3]DATA!AU68</f>
        <v>IFAD</v>
      </c>
      <c r="AA69" s="1544" t="str">
        <f>[3]DATA!AW68</f>
        <v>-</v>
      </c>
      <c r="AB69" s="245" t="str">
        <f>[3]DATA!AM68</f>
        <v>2016; 2015</v>
      </c>
      <c r="AC69" s="3497"/>
      <c r="AD69" s="3503"/>
      <c r="AE69" s="1545">
        <f>[3]DATA!AQ68</f>
        <v>0</v>
      </c>
      <c r="AF69" s="1547" t="str">
        <f>[3]DATA!AR68</f>
        <v>-</v>
      </c>
    </row>
    <row r="70" spans="1:32" ht="15.75" customHeight="1">
      <c r="A70" s="10">
        <f>[3]DATA!A70</f>
        <v>53</v>
      </c>
      <c r="B70" s="10">
        <f>[3]DATA!B70</f>
        <v>0</v>
      </c>
      <c r="C70" s="10" t="str">
        <f>[3]DATA!D70</f>
        <v>INFRASTRUKTUR</v>
      </c>
      <c r="D70" s="10">
        <f>[3]DATA!E70</f>
        <v>1</v>
      </c>
      <c r="E70" s="10" t="str">
        <f>[3]DATA!F70</f>
        <v>Kementerian Pekerjaan Umum dan Perumahan Rakyat</v>
      </c>
      <c r="F70" s="10" t="str">
        <f>[3]DATA!H70</f>
        <v>Development and Management of Irrigation Program</v>
      </c>
      <c r="G70" s="10" t="str">
        <f>[3]DATA!I70</f>
        <v>I</v>
      </c>
      <c r="H70" s="10" t="str">
        <f>[3]DATA!J70</f>
        <v>Program Pengembangan dan Pengelolaan Irigasi</v>
      </c>
      <c r="I70" s="10">
        <f>[3]DATA!K70</f>
        <v>1</v>
      </c>
      <c r="J70" s="181"/>
      <c r="K70" s="34"/>
      <c r="L70" s="34"/>
      <c r="M70" s="3392">
        <v>43</v>
      </c>
      <c r="N70" s="3393" t="str">
        <f>[3]DATA!L70</f>
        <v>Integrated Participatory Development and Management of Irrigation Project - Phase II</v>
      </c>
      <c r="O70" s="3403">
        <f>[3]DATA!T70</f>
        <v>500000000</v>
      </c>
      <c r="P70" s="3403">
        <f>[3]DATA!U70</f>
        <v>500000000</v>
      </c>
      <c r="Q70" s="3443">
        <f>[3]DATA!V69</f>
        <v>50000000</v>
      </c>
      <c r="R70" s="3443">
        <f>[3]DATA!W69</f>
        <v>0</v>
      </c>
      <c r="S70" s="3403">
        <f>P70+Q70+R70</f>
        <v>550000000</v>
      </c>
      <c r="T70" s="2471"/>
      <c r="U70" s="3488" t="str">
        <f>[3]DATA!Y70</f>
        <v>ADB</v>
      </c>
      <c r="V70" s="3414">
        <f>[3]DATA!AA70</f>
        <v>500000000</v>
      </c>
      <c r="W70" s="3414">
        <v>0</v>
      </c>
      <c r="X70" s="3416" t="str">
        <f>[3]DATA!Y70</f>
        <v>ADB</v>
      </c>
      <c r="Y70" s="245">
        <f>[3]DATA!AT70</f>
        <v>400000000</v>
      </c>
      <c r="Z70" s="109" t="str">
        <f>[3]DATA!AU70</f>
        <v>ADB</v>
      </c>
      <c r="AA70" s="1544" t="str">
        <f>[3]DATA!AW70</f>
        <v>nilai kegiatan yang tercantum dalam COBP ADB sebesar USD 400 juta.</v>
      </c>
      <c r="AB70" s="245">
        <f>[3]DATA!AM70</f>
        <v>0</v>
      </c>
      <c r="AC70" s="3495" t="str">
        <f>[3]DATA!AN70</f>
        <v>belum ada keterangan</v>
      </c>
      <c r="AD70" s="3502" t="str">
        <f>[3]DATA!AO70</f>
        <v>belum ada keterangan</v>
      </c>
      <c r="AE70" s="1545">
        <f>[3]DATA!AQ70</f>
        <v>0</v>
      </c>
      <c r="AF70" s="1547" t="str">
        <f>[3]DATA!AR70</f>
        <v>- untuk yang Phase II: belum ada penyiapan
- belum ada dokumen R/C</v>
      </c>
    </row>
    <row r="71" spans="1:32" ht="24.75" customHeight="1">
      <c r="J71" s="181"/>
      <c r="K71" s="34"/>
      <c r="L71" s="34"/>
      <c r="M71" s="3391"/>
      <c r="N71" s="3394"/>
      <c r="O71" s="3404"/>
      <c r="P71" s="3404"/>
      <c r="Q71" s="3445"/>
      <c r="R71" s="3445"/>
      <c r="S71" s="3404"/>
      <c r="T71" s="2472"/>
      <c r="U71" s="3490"/>
      <c r="V71" s="3415"/>
      <c r="W71" s="3415"/>
      <c r="X71" s="3417"/>
      <c r="Y71" s="245">
        <f>[3]DATA!AT71</f>
        <v>100000000</v>
      </c>
      <c r="Z71" s="109" t="str">
        <f>[3]DATA!AU71</f>
        <v>Belum Ada Indikasi</v>
      </c>
      <c r="AA71" s="1520" t="str">
        <f>[3]DATA!AW71</f>
        <v>-</v>
      </c>
      <c r="AB71" s="245">
        <f>[3]DATA!AM71</f>
        <v>0</v>
      </c>
      <c r="AC71" s="3497"/>
      <c r="AD71" s="3503"/>
      <c r="AE71" s="1545">
        <f>[3]DATA!AQ71</f>
        <v>0</v>
      </c>
      <c r="AF71" s="1547" t="str">
        <f>[3]DATA!AR71</f>
        <v>- untuk yang Phase II: belum ada penyiapan
- belum ada dokumen R/C</v>
      </c>
    </row>
    <row r="72" spans="1:32" ht="37.5" customHeight="1">
      <c r="A72" s="10">
        <f>[3]DATA!A72</f>
        <v>54</v>
      </c>
      <c r="B72" s="10">
        <f>[3]DATA!B72</f>
        <v>0</v>
      </c>
      <c r="C72" s="10" t="str">
        <f>[3]DATA!D72</f>
        <v>INFRASTRUKTUR</v>
      </c>
      <c r="D72" s="10">
        <f>[3]DATA!E72</f>
        <v>1</v>
      </c>
      <c r="E72" s="10" t="str">
        <f>[3]DATA!F72</f>
        <v>Kementerian Pekerjaan Umum dan Perumahan Rakyat</v>
      </c>
      <c r="F72" s="10" t="str">
        <f>[3]DATA!H72</f>
        <v>Development and Management of Irrigation Program</v>
      </c>
      <c r="G72" s="10" t="str">
        <f>[3]DATA!I72</f>
        <v>I</v>
      </c>
      <c r="H72" s="10" t="str">
        <f>[3]DATA!J72</f>
        <v>Program Pengembangan dan Pengelolaan Irigasi</v>
      </c>
      <c r="I72" s="10">
        <f>[3]DATA!K72</f>
        <v>2</v>
      </c>
      <c r="J72" s="181"/>
      <c r="K72" s="34"/>
      <c r="L72" s="34">
        <v>3</v>
      </c>
      <c r="M72" s="36">
        <v>44</v>
      </c>
      <c r="N72" s="37" t="str">
        <f>[3]DATA!L72</f>
        <v>The Urgent Rehabilitation of Strategic Irrigation for Western Region of Indonesia</v>
      </c>
      <c r="O72" s="187">
        <f>[3]DATA!T72</f>
        <v>195778000</v>
      </c>
      <c r="P72" s="187">
        <f>[3]DATA!U72</f>
        <v>195778000</v>
      </c>
      <c r="Q72" s="1446" t="e">
        <f>[3]!BB[[#This Row],[PENDAMPING BB]]</f>
        <v>#REF!</v>
      </c>
      <c r="R72" s="1446" t="e">
        <f>[3]!BB[[#This Row],[HIBAH BB]]</f>
        <v>#REF!</v>
      </c>
      <c r="S72" s="2467" t="e">
        <f t="shared" ref="S72:S96" si="5">P72+Q72+R72</f>
        <v>#REF!</v>
      </c>
      <c r="T72" s="2468"/>
      <c r="U72" s="1449" t="str">
        <f>[3]DATA!Y72</f>
        <v>Korea</v>
      </c>
      <c r="V72" s="77">
        <f>[3]DATA!AA72</f>
        <v>195778000</v>
      </c>
      <c r="W72" s="77">
        <v>0</v>
      </c>
      <c r="X72" s="216" t="str">
        <f>[3]DATA!Y72</f>
        <v>Korea</v>
      </c>
      <c r="Y72" s="245">
        <f>[3]DATA!AT72</f>
        <v>195778000</v>
      </c>
      <c r="Z72" s="109" t="str">
        <f>[3]DATA!AU72</f>
        <v>Korea</v>
      </c>
      <c r="AA72" s="1544" t="str">
        <f>[3]DATA!AW72</f>
        <v>masuk rolling plan EDCF (Korea)</v>
      </c>
      <c r="AB72" s="1625" t="str">
        <f>[3]DATA!AM72</f>
        <v>2016; 2015</v>
      </c>
      <c r="AC72" s="1510" t="str">
        <f>[3]DATA!AN72</f>
        <v>belum ada keterangan</v>
      </c>
      <c r="AD72" s="1511" t="str">
        <f>[3]DATA!AO72</f>
        <v>belum ada keterangan</v>
      </c>
      <c r="AE72" s="1545">
        <f>[3]DATA!AQ72</f>
        <v>0</v>
      </c>
      <c r="AF72" s="1547" t="str">
        <f>[3]DATA!AR72</f>
        <v>-</v>
      </c>
    </row>
    <row r="73" spans="1:32" ht="25.5" customHeight="1">
      <c r="A73" s="10">
        <f>[3]DATA!A73</f>
        <v>55</v>
      </c>
      <c r="B73" s="10">
        <f>[3]DATA!B73</f>
        <v>0</v>
      </c>
      <c r="C73" s="10" t="str">
        <f>[3]DATA!D73</f>
        <v>INFRASTRUKTUR</v>
      </c>
      <c r="D73" s="10">
        <f>[3]DATA!E73</f>
        <v>1</v>
      </c>
      <c r="E73" s="10" t="str">
        <f>[3]DATA!F73</f>
        <v>Kementerian Pekerjaan Umum dan Perumahan Rakyat</v>
      </c>
      <c r="F73" s="10" t="str">
        <f>[3]DATA!H73</f>
        <v>Development and Management of Irrigation Program</v>
      </c>
      <c r="G73" s="10" t="str">
        <f>[3]DATA!I73</f>
        <v>I</v>
      </c>
      <c r="H73" s="10" t="str">
        <f>[3]DATA!J73</f>
        <v>Program Pengembangan dan Pengelolaan Irigasi</v>
      </c>
      <c r="I73" s="10">
        <f>[3]DATA!K73</f>
        <v>3</v>
      </c>
      <c r="J73" s="181"/>
      <c r="K73" s="34"/>
      <c r="L73" s="34">
        <v>4</v>
      </c>
      <c r="M73" s="36">
        <v>45</v>
      </c>
      <c r="N73" s="37" t="str">
        <f>[3]DATA!L73</f>
        <v>Rentang Modernization Strategic Irrigation (RIMP)</v>
      </c>
      <c r="O73" s="187">
        <f>[3]DATA!T73</f>
        <v>480000000</v>
      </c>
      <c r="P73" s="187">
        <f>[3]DATA!U73</f>
        <v>480000000</v>
      </c>
      <c r="Q73" s="1446" t="e">
        <f>[3]!BB[[#This Row],[PENDAMPING BB]]</f>
        <v>#REF!</v>
      </c>
      <c r="R73" s="1446" t="e">
        <f>[3]!BB[[#This Row],[HIBAH BB]]</f>
        <v>#REF!</v>
      </c>
      <c r="S73" s="2467" t="e">
        <f t="shared" si="5"/>
        <v>#REF!</v>
      </c>
      <c r="T73" s="2468"/>
      <c r="U73" s="1449" t="str">
        <f>[3]DATA!Y73</f>
        <v>JICA</v>
      </c>
      <c r="V73" s="77">
        <f>[3]DATA!AA73</f>
        <v>480000000</v>
      </c>
      <c r="W73" s="77">
        <v>0</v>
      </c>
      <c r="X73" s="216" t="str">
        <f>[3]DATA!Y73</f>
        <v>JICA</v>
      </c>
      <c r="Y73" s="245">
        <f>[3]DATA!AT73</f>
        <v>480000000</v>
      </c>
      <c r="Z73" s="109" t="str">
        <f>[3]DATA!AU73</f>
        <v>JICA</v>
      </c>
      <c r="AA73" s="1544" t="str">
        <f>[3]DATA!AW73</f>
        <v>-</v>
      </c>
      <c r="AB73" s="1625">
        <f>[3]DATA!AM73</f>
        <v>2016</v>
      </c>
      <c r="AC73" s="1510" t="str">
        <f>[3]DATA!AN73</f>
        <v>siap</v>
      </c>
      <c r="AD73" s="1511" t="str">
        <f>[3]DATA!AO73</f>
        <v>tidak butuh lahan</v>
      </c>
      <c r="AE73" s="1545">
        <f>[3]DATA!AQ73</f>
        <v>0</v>
      </c>
      <c r="AF73" s="1547" t="str">
        <f>[3]DATA!AR73</f>
        <v>-</v>
      </c>
    </row>
    <row r="74" spans="1:32" ht="24.75" customHeight="1">
      <c r="A74" s="10">
        <f>[3]DATA!A74</f>
        <v>56</v>
      </c>
      <c r="B74" s="10">
        <f>[3]DATA!B74</f>
        <v>0</v>
      </c>
      <c r="C74" s="10" t="str">
        <f>[3]DATA!D74</f>
        <v>INFRASTRUKTUR</v>
      </c>
      <c r="D74" s="10">
        <f>[3]DATA!E74</f>
        <v>1</v>
      </c>
      <c r="E74" s="10" t="str">
        <f>[3]DATA!F74</f>
        <v>Kementerian Pekerjaan Umum dan Perumahan Rakyat</v>
      </c>
      <c r="F74" s="10" t="str">
        <f>[3]DATA!H74</f>
        <v>Development and Management of Irrigation Program</v>
      </c>
      <c r="G74" s="10" t="str">
        <f>[3]DATA!I74</f>
        <v>I</v>
      </c>
      <c r="H74" s="10" t="str">
        <f>[3]DATA!J74</f>
        <v>Program Pengembangan dan Pengelolaan Irigasi</v>
      </c>
      <c r="I74" s="10">
        <f>[3]DATA!K74</f>
        <v>4</v>
      </c>
      <c r="J74" s="181"/>
      <c r="K74" s="34"/>
      <c r="L74" s="34">
        <v>5</v>
      </c>
      <c r="M74" s="36">
        <v>46</v>
      </c>
      <c r="N74" s="37" t="str">
        <f>[3]DATA!L74</f>
        <v>Komering Irrigation Project Stage III</v>
      </c>
      <c r="O74" s="187">
        <f>[3]DATA!T74</f>
        <v>120000000</v>
      </c>
      <c r="P74" s="187">
        <f>[3]DATA!U74</f>
        <v>120000000</v>
      </c>
      <c r="Q74" s="1446" t="e">
        <f>[3]!BB[[#This Row],[PENDAMPING BB]]</f>
        <v>#REF!</v>
      </c>
      <c r="R74" s="1446" t="e">
        <f>[3]!BB[[#This Row],[HIBAH BB]]</f>
        <v>#REF!</v>
      </c>
      <c r="S74" s="2467" t="e">
        <f t="shared" si="5"/>
        <v>#REF!</v>
      </c>
      <c r="T74" s="2468"/>
      <c r="U74" s="1449" t="str">
        <f>[3]DATA!Y74</f>
        <v>JICA</v>
      </c>
      <c r="V74" s="77">
        <f>[3]DATA!AA74</f>
        <v>120000000</v>
      </c>
      <c r="W74" s="77">
        <v>0</v>
      </c>
      <c r="X74" s="216" t="str">
        <f>[3]DATA!Y74</f>
        <v>JICA</v>
      </c>
      <c r="Y74" s="245">
        <f>[3]DATA!AT74</f>
        <v>120000000</v>
      </c>
      <c r="Z74" s="109" t="str">
        <f>[3]DATA!AU74</f>
        <v>JICA</v>
      </c>
      <c r="AA74" s="1544" t="str">
        <f>[3]DATA!AW74</f>
        <v>-</v>
      </c>
      <c r="AB74" s="1625" t="str">
        <f>[3]DATA!AM74</f>
        <v>Rev. 2016; 2016</v>
      </c>
      <c r="AC74" s="1510" t="str">
        <f>[3]DATA!AN74</f>
        <v>siap</v>
      </c>
      <c r="AD74" s="1511" t="str">
        <f>[3]DATA!AO74</f>
        <v>belum ada keterangan</v>
      </c>
      <c r="AE74" s="1545">
        <f>[3]DATA!AQ74</f>
        <v>0</v>
      </c>
      <c r="AF74" s="1547" t="str">
        <f>[3]DATA!AR74</f>
        <v>Nilai pinjaman di:
- Rev. GB 16 USD 145.568 ribu
- GB 16 USD 120.000 ribu</v>
      </c>
    </row>
    <row r="75" spans="1:32" ht="24.75" customHeight="1">
      <c r="A75" s="10">
        <f>[3]DATA!A75</f>
        <v>57</v>
      </c>
      <c r="B75" s="10">
        <f>[3]DATA!B75</f>
        <v>0</v>
      </c>
      <c r="C75" s="10" t="str">
        <f>[3]DATA!D75</f>
        <v>INFRASTRUKTUR</v>
      </c>
      <c r="D75" s="10">
        <f>[3]DATA!E75</f>
        <v>1</v>
      </c>
      <c r="E75" s="10" t="str">
        <f>[3]DATA!F75</f>
        <v>Kementerian Pekerjaan Umum dan Perumahan Rakyat</v>
      </c>
      <c r="F75" s="10" t="str">
        <f>[3]DATA!H75</f>
        <v>Development and Management of Irrigation Program</v>
      </c>
      <c r="G75" s="10" t="str">
        <f>[3]DATA!I75</f>
        <v>I</v>
      </c>
      <c r="H75" s="10" t="str">
        <f>[3]DATA!J75</f>
        <v>Program Pengembangan dan Pengelolaan Irigasi</v>
      </c>
      <c r="I75" s="10">
        <f>[3]DATA!K75</f>
        <v>5</v>
      </c>
      <c r="J75" s="181"/>
      <c r="K75" s="34"/>
      <c r="L75" s="34">
        <v>6</v>
      </c>
      <c r="M75" s="36">
        <v>47</v>
      </c>
      <c r="N75" s="37" t="str">
        <f>[3]DATA!L75</f>
        <v>Irrigation Development in North Sumatera</v>
      </c>
      <c r="O75" s="187">
        <f>[3]DATA!T75</f>
        <v>350000000</v>
      </c>
      <c r="P75" s="187">
        <f>[3]DATA!U75</f>
        <v>350000000</v>
      </c>
      <c r="Q75" s="1446" t="e">
        <f>[3]!BB[[#This Row],[PENDAMPING BB]]</f>
        <v>#REF!</v>
      </c>
      <c r="R75" s="1446" t="e">
        <f>[3]!BB[[#This Row],[HIBAH BB]]</f>
        <v>#REF!</v>
      </c>
      <c r="S75" s="2467" t="e">
        <f t="shared" si="5"/>
        <v>#REF!</v>
      </c>
      <c r="T75" s="2468"/>
      <c r="U75" s="1449" t="str">
        <f>[3]DATA!Y75</f>
        <v>ADB</v>
      </c>
      <c r="V75" s="77">
        <f>[3]DATA!AA75</f>
        <v>350000000</v>
      </c>
      <c r="W75" s="77">
        <v>0</v>
      </c>
      <c r="X75" s="216" t="str">
        <f>[3]DATA!Y75</f>
        <v>ADB</v>
      </c>
      <c r="Y75" s="245">
        <f>[3]DATA!AT75</f>
        <v>350000000</v>
      </c>
      <c r="Z75" s="109" t="str">
        <f>[3]DATA!AU75</f>
        <v>Belum Ada Indikasi</v>
      </c>
      <c r="AA75" s="1544" t="str">
        <f>[3]DATA!AW75</f>
        <v>- usulan K/L lender: ADB
- tidak masuk COBP ADB</v>
      </c>
      <c r="AB75" s="245">
        <f>[3]DATA!AM75</f>
        <v>0</v>
      </c>
      <c r="AC75" s="1510" t="str">
        <f>[3]DATA!AN75</f>
        <v>dalam proses
(memiliki FS dan DED)</v>
      </c>
      <c r="AD75" s="1511" t="str">
        <f>[3]DATA!AO75</f>
        <v>belum ada keterangan</v>
      </c>
      <c r="AE75" s="1545">
        <f>[3]DATA!AQ75</f>
        <v>0</v>
      </c>
      <c r="AF75" s="1547" t="str">
        <f>[3]DATA!AR75</f>
        <v>belum ada dokumen R/C</v>
      </c>
    </row>
    <row r="76" spans="1:32" ht="39.75" customHeight="1">
      <c r="A76" s="10">
        <f>[3]DATA!A76</f>
        <v>58</v>
      </c>
      <c r="B76" s="10">
        <f>[3]DATA!B76</f>
        <v>0</v>
      </c>
      <c r="C76" s="10" t="str">
        <f>[3]DATA!D76</f>
        <v>INFRASTRUKTUR</v>
      </c>
      <c r="D76" s="10">
        <f>[3]DATA!E76</f>
        <v>1</v>
      </c>
      <c r="E76" s="10" t="str">
        <f>[3]DATA!F76</f>
        <v>Kementerian Pekerjaan Umum dan Perumahan Rakyat</v>
      </c>
      <c r="F76" s="10" t="str">
        <f>[3]DATA!H76</f>
        <v>Development and Management of Irrigation Program</v>
      </c>
      <c r="G76" s="10" t="str">
        <f>[3]DATA!I76</f>
        <v>I</v>
      </c>
      <c r="H76" s="10" t="str">
        <f>[3]DATA!J76</f>
        <v>Program Pengembangan dan Pengelolaan Irigasi</v>
      </c>
      <c r="I76" s="10">
        <f>[3]DATA!K76</f>
        <v>6</v>
      </c>
      <c r="J76" s="181"/>
      <c r="K76" s="34"/>
      <c r="L76" s="34">
        <v>7</v>
      </c>
      <c r="M76" s="36">
        <v>48</v>
      </c>
      <c r="N76" s="37" t="str">
        <f>[3]DATA!L76</f>
        <v>Integrated Participatory Development and Management of Lhok Guci and Peureulak Irrigation Project</v>
      </c>
      <c r="O76" s="187">
        <f>[3]DATA!T76</f>
        <v>161298000</v>
      </c>
      <c r="P76" s="187">
        <f>[3]DATA!U76</f>
        <v>161298000</v>
      </c>
      <c r="Q76" s="1446" t="e">
        <f>[3]!BB[[#This Row],[PENDAMPING BB]]</f>
        <v>#REF!</v>
      </c>
      <c r="R76" s="1446" t="e">
        <f>[3]!BB[[#This Row],[HIBAH BB]]</f>
        <v>#REF!</v>
      </c>
      <c r="S76" s="2467" t="e">
        <f t="shared" si="5"/>
        <v>#REF!</v>
      </c>
      <c r="T76" s="2468"/>
      <c r="U76" s="1449" t="str">
        <f>[3]DATA!Y76</f>
        <v>ADB</v>
      </c>
      <c r="V76" s="77">
        <f>[3]DATA!AA76</f>
        <v>161298000</v>
      </c>
      <c r="W76" s="77">
        <v>0</v>
      </c>
      <c r="X76" s="216" t="str">
        <f>[3]DATA!Y76</f>
        <v>ADB</v>
      </c>
      <c r="Y76" s="245">
        <f>[3]DATA!AT76</f>
        <v>161298000</v>
      </c>
      <c r="Z76" s="109" t="str">
        <f>[3]DATA!AU76</f>
        <v>Belum Ada Indikasi</v>
      </c>
      <c r="AA76" s="1544" t="str">
        <f>[3]DATA!AW76</f>
        <v>- usulan K/L lender: ADB
- tidak masuk COBP ADB</v>
      </c>
      <c r="AB76" s="245">
        <f>[3]DATA!AM76</f>
        <v>0</v>
      </c>
      <c r="AC76" s="1510" t="str">
        <f>[3]DATA!AN76</f>
        <v>dalam proses
(memiliki FS dan DED)</v>
      </c>
      <c r="AD76" s="1511" t="str">
        <f>[3]DATA!AO76</f>
        <v>belum ada keterangan</v>
      </c>
      <c r="AE76" s="1545">
        <f>[3]DATA!AQ76</f>
        <v>0</v>
      </c>
      <c r="AF76" s="1547" t="str">
        <f>[3]DATA!AR76</f>
        <v>belum ada dokumen R/C</v>
      </c>
    </row>
    <row r="77" spans="1:32" ht="24" customHeight="1">
      <c r="A77" s="10">
        <f>[3]DATA!A77</f>
        <v>59</v>
      </c>
      <c r="B77" s="10">
        <f>[3]DATA!B77</f>
        <v>0</v>
      </c>
      <c r="C77" s="10" t="str">
        <f>[3]DATA!D77</f>
        <v>INFRASTRUKTUR</v>
      </c>
      <c r="D77" s="10">
        <f>[3]DATA!E77</f>
        <v>1</v>
      </c>
      <c r="E77" s="10" t="str">
        <f>[3]DATA!F77</f>
        <v>Kementerian Pekerjaan Umum dan Perumahan Rakyat</v>
      </c>
      <c r="F77" s="10" t="str">
        <f>[3]DATA!H77</f>
        <v>Development and Management of Irrigation Program</v>
      </c>
      <c r="G77" s="10" t="str">
        <f>[3]DATA!I77</f>
        <v>I</v>
      </c>
      <c r="H77" s="10" t="str">
        <f>[3]DATA!J77</f>
        <v>Program Pengembangan dan Pengelolaan Irigasi</v>
      </c>
      <c r="I77" s="10">
        <f>[3]DATA!K77</f>
        <v>7</v>
      </c>
      <c r="J77" s="181"/>
      <c r="K77" s="34"/>
      <c r="L77" s="34">
        <v>8</v>
      </c>
      <c r="M77" s="36">
        <v>49</v>
      </c>
      <c r="N77" s="37" t="str">
        <f>[3]DATA!L77</f>
        <v>Modernization Strategic Irrigation Project (MSIP)</v>
      </c>
      <c r="O77" s="187">
        <f>[3]DATA!T77</f>
        <v>278355000</v>
      </c>
      <c r="P77" s="187">
        <f>[3]DATA!U77</f>
        <v>278355000</v>
      </c>
      <c r="Q77" s="1446" t="e">
        <f>[3]!BB[[#This Row],[PENDAMPING BB]]</f>
        <v>#REF!</v>
      </c>
      <c r="R77" s="1446" t="e">
        <f>[3]!BB[[#This Row],[HIBAH BB]]</f>
        <v>#REF!</v>
      </c>
      <c r="S77" s="2467" t="e">
        <f t="shared" si="5"/>
        <v>#REF!</v>
      </c>
      <c r="T77" s="2468"/>
      <c r="U77" s="1449" t="str">
        <f>[3]DATA!Y77</f>
        <v>JICA</v>
      </c>
      <c r="V77" s="77">
        <f>[3]DATA!AA77</f>
        <v>278355000</v>
      </c>
      <c r="W77" s="77">
        <v>0</v>
      </c>
      <c r="X77" s="216" t="str">
        <f>[3]DATA!Y77</f>
        <v>JICA</v>
      </c>
      <c r="Y77" s="245">
        <f>[3]DATA!AT77</f>
        <v>278355000</v>
      </c>
      <c r="Z77" s="109" t="str">
        <f>[3]DATA!AU77</f>
        <v>JICA</v>
      </c>
      <c r="AA77" s="1544" t="str">
        <f>[3]DATA!AW77</f>
        <v>-</v>
      </c>
      <c r="AB77" s="245">
        <f>[3]DATA!AM77</f>
        <v>0</v>
      </c>
      <c r="AC77" s="1510" t="str">
        <f>[3]DATA!AN77</f>
        <v>belum ada keterangan</v>
      </c>
      <c r="AD77" s="1511" t="str">
        <f>[3]DATA!AO77</f>
        <v>belum ada keterangan</v>
      </c>
      <c r="AE77" s="1545">
        <f>[3]DATA!AQ77</f>
        <v>0</v>
      </c>
      <c r="AF77" s="1547" t="str">
        <f>[3]DATA!AR77</f>
        <v>belum ada dokumen R/C</v>
      </c>
    </row>
    <row r="78" spans="1:32" ht="36" customHeight="1">
      <c r="A78" s="10">
        <f>[3]DATA!A78</f>
        <v>60</v>
      </c>
      <c r="B78" s="10">
        <f>[3]DATA!B78</f>
        <v>0</v>
      </c>
      <c r="C78" s="10" t="str">
        <f>[3]DATA!D78</f>
        <v>INFRASTRUKTUR</v>
      </c>
      <c r="D78" s="10">
        <f>[3]DATA!E78</f>
        <v>1</v>
      </c>
      <c r="E78" s="10" t="str">
        <f>[3]DATA!F78</f>
        <v>Kementerian Pekerjaan Umum dan Perumahan Rakyat</v>
      </c>
      <c r="F78" s="10" t="str">
        <f>[3]DATA!H78</f>
        <v>Development and Management of Irrigation Program</v>
      </c>
      <c r="G78" s="10" t="str">
        <f>[3]DATA!I78</f>
        <v>I</v>
      </c>
      <c r="H78" s="10" t="str">
        <f>[3]DATA!J78</f>
        <v>Program Pengembangan dan Pengelolaan Irigasi</v>
      </c>
      <c r="I78" s="10">
        <f>[3]DATA!K78</f>
        <v>8</v>
      </c>
      <c r="J78" s="181"/>
      <c r="K78" s="34"/>
      <c r="L78" s="34">
        <v>9</v>
      </c>
      <c r="M78" s="36">
        <v>50</v>
      </c>
      <c r="N78" s="37" t="str">
        <f>[3]DATA!L78</f>
        <v>Urgent Rehabilitation of  Irrigation Project in Indonesia (URIP)</v>
      </c>
      <c r="O78" s="187">
        <f>[3]DATA!T78</f>
        <v>272100000</v>
      </c>
      <c r="P78" s="187">
        <f>[3]DATA!U78</f>
        <v>272100000</v>
      </c>
      <c r="Q78" s="1446" t="e">
        <f>[3]!BB[[#This Row],[PENDAMPING BB]]</f>
        <v>#REF!</v>
      </c>
      <c r="R78" s="1446" t="e">
        <f>[3]!BB[[#This Row],[HIBAH BB]]</f>
        <v>#REF!</v>
      </c>
      <c r="S78" s="2467" t="e">
        <f t="shared" si="5"/>
        <v>#REF!</v>
      </c>
      <c r="T78" s="2468"/>
      <c r="U78" s="1449" t="str">
        <f>[3]DATA!Y78</f>
        <v>Bank Dunia</v>
      </c>
      <c r="V78" s="77">
        <f>[3]DATA!AA78</f>
        <v>272100000</v>
      </c>
      <c r="W78" s="77">
        <v>0</v>
      </c>
      <c r="X78" s="216" t="str">
        <f>[3]DATA!Y78</f>
        <v>Bank Dunia</v>
      </c>
      <c r="Y78" s="245">
        <f>[3]DATA!AT78</f>
        <v>272100000</v>
      </c>
      <c r="Z78" s="109" t="str">
        <f>[3]DATA!AU78</f>
        <v>Bank Dunia</v>
      </c>
      <c r="AA78" s="1544" t="str">
        <f>[3]DATA!AW78</f>
        <v>-</v>
      </c>
      <c r="AB78" s="245">
        <f>[3]DATA!AM78</f>
        <v>0</v>
      </c>
      <c r="AC78" s="1510" t="str">
        <f>[3]DATA!AN78</f>
        <v>belum ada keterangan</v>
      </c>
      <c r="AD78" s="1511" t="str">
        <f>[3]DATA!AO78</f>
        <v>belum ada keterangan</v>
      </c>
      <c r="AE78" s="1545">
        <f>[3]DATA!AQ78</f>
        <v>0</v>
      </c>
      <c r="AF78" s="1547" t="str">
        <f>[3]DATA!AR78</f>
        <v>belum ada dokumen R/C</v>
      </c>
    </row>
    <row r="79" spans="1:32" ht="27" customHeight="1">
      <c r="A79" s="10">
        <f>[3]DATA!A79</f>
        <v>61</v>
      </c>
      <c r="B79" s="10">
        <f>[3]DATA!B79</f>
        <v>0</v>
      </c>
      <c r="C79" s="10" t="str">
        <f>[3]DATA!D79</f>
        <v>INFRASTRUKTUR</v>
      </c>
      <c r="D79" s="10">
        <f>[3]DATA!E79</f>
        <v>1</v>
      </c>
      <c r="E79" s="10" t="str">
        <f>[3]DATA!F79</f>
        <v>Kementerian Pekerjaan Umum dan Perumahan Rakyat</v>
      </c>
      <c r="F79" s="10" t="str">
        <f>[3]DATA!H79</f>
        <v>Development and Management of Irrigation Program</v>
      </c>
      <c r="G79" s="10" t="str">
        <f>[3]DATA!I79</f>
        <v>I</v>
      </c>
      <c r="H79" s="10" t="str">
        <f>[3]DATA!J79</f>
        <v>Program Pengembangan dan Pengelolaan Irigasi</v>
      </c>
      <c r="I79" s="10">
        <f>[3]DATA!K79</f>
        <v>9</v>
      </c>
      <c r="J79" s="181"/>
      <c r="K79" s="34"/>
      <c r="L79" s="34">
        <v>10</v>
      </c>
      <c r="M79" s="36">
        <v>51</v>
      </c>
      <c r="N79" s="37" t="str">
        <f>[3]DATA!L79</f>
        <v>Revitalization Groundwater Irrigation in Indonesia</v>
      </c>
      <c r="O79" s="187">
        <f>[3]DATA!T79</f>
        <v>100000000</v>
      </c>
      <c r="P79" s="187">
        <f>[3]DATA!U79</f>
        <v>100000000</v>
      </c>
      <c r="Q79" s="1446" t="e">
        <f>[3]!BB[[#This Row],[PENDAMPING BB]]</f>
        <v>#REF!</v>
      </c>
      <c r="R79" s="1446" t="e">
        <f>[3]!BB[[#This Row],[HIBAH BB]]</f>
        <v>#REF!</v>
      </c>
      <c r="S79" s="2467" t="e">
        <f t="shared" si="5"/>
        <v>#REF!</v>
      </c>
      <c r="T79" s="2468"/>
      <c r="U79" s="1449" t="str">
        <f>[3]DATA!Y79</f>
        <v>JICA</v>
      </c>
      <c r="V79" s="77">
        <f>[3]DATA!AA79</f>
        <v>100000000</v>
      </c>
      <c r="W79" s="77">
        <v>0</v>
      </c>
      <c r="X79" s="216" t="str">
        <f>[3]DATA!Y79</f>
        <v>JICA</v>
      </c>
      <c r="Y79" s="245">
        <f>[3]DATA!AT79</f>
        <v>100000000</v>
      </c>
      <c r="Z79" s="109" t="str">
        <f>[3]DATA!AU79</f>
        <v>JICA</v>
      </c>
      <c r="AA79" s="1544" t="str">
        <f>[3]DATA!AW79</f>
        <v>-</v>
      </c>
      <c r="AB79" s="245">
        <f>[3]DATA!AM79</f>
        <v>0</v>
      </c>
      <c r="AC79" s="1510" t="str">
        <f>[3]DATA!AN79</f>
        <v>belum ada keterangan</v>
      </c>
      <c r="AD79" s="1511" t="str">
        <f>[3]DATA!AO79</f>
        <v>belum ada keterangan</v>
      </c>
      <c r="AE79" s="1545">
        <f>[3]DATA!AQ79</f>
        <v>0</v>
      </c>
      <c r="AF79" s="1547" t="str">
        <f>[3]DATA!AR79</f>
        <v>belum ada dokumen R/C</v>
      </c>
    </row>
    <row r="80" spans="1:32" ht="38.25" customHeight="1">
      <c r="A80" s="10">
        <f>[3]DATA!A80</f>
        <v>62</v>
      </c>
      <c r="B80" s="10">
        <f>[3]DATA!B80</f>
        <v>0</v>
      </c>
      <c r="C80" s="10" t="str">
        <f>[3]DATA!D80</f>
        <v>INFRASTRUKTUR</v>
      </c>
      <c r="D80" s="10">
        <f>[3]DATA!E80</f>
        <v>1</v>
      </c>
      <c r="E80" s="10" t="str">
        <f>[3]DATA!F80</f>
        <v>Kementerian Pekerjaan Umum dan Perumahan Rakyat</v>
      </c>
      <c r="F80" s="10" t="str">
        <f>[3]DATA!H80</f>
        <v>Development and Management of Irrigation Program</v>
      </c>
      <c r="G80" s="10" t="str">
        <f>[3]DATA!I80</f>
        <v>I</v>
      </c>
      <c r="H80" s="10" t="str">
        <f>[3]DATA!J80</f>
        <v>Program Pengembangan dan Pengelolaan Irigasi</v>
      </c>
      <c r="I80" s="10">
        <f>[3]DATA!K80</f>
        <v>10</v>
      </c>
      <c r="J80" s="181"/>
      <c r="K80" s="34"/>
      <c r="L80" s="54">
        <v>11</v>
      </c>
      <c r="M80" s="36">
        <v>52</v>
      </c>
      <c r="N80" s="37" t="str">
        <f>[3]DATA!L80</f>
        <v>Engineering Service for Irrigation and Low Land Development Project</v>
      </c>
      <c r="O80" s="187">
        <f>[3]DATA!T80</f>
        <v>100000000</v>
      </c>
      <c r="P80" s="187">
        <f>[3]DATA!U80</f>
        <v>100000000</v>
      </c>
      <c r="Q80" s="1446" t="e">
        <f>[3]!BB[[#This Row],[PENDAMPING BB]]</f>
        <v>#REF!</v>
      </c>
      <c r="R80" s="1446"/>
      <c r="S80" s="2467" t="e">
        <f t="shared" si="5"/>
        <v>#REF!</v>
      </c>
      <c r="T80" s="2468"/>
      <c r="U80" s="1449" t="str">
        <f>[3]DATA!Y80</f>
        <v>ADB</v>
      </c>
      <c r="V80" s="77">
        <f>[3]DATA!AA80</f>
        <v>100000000</v>
      </c>
      <c r="W80" s="77">
        <v>0</v>
      </c>
      <c r="X80" s="216" t="str">
        <f>[3]DATA!Y80</f>
        <v>ADB</v>
      </c>
      <c r="Y80" s="245">
        <f>[3]DATA!AT80</f>
        <v>100000000</v>
      </c>
      <c r="Z80" s="109" t="str">
        <f>[3]DATA!AU80</f>
        <v>ADB</v>
      </c>
      <c r="AA80" s="1544" t="str">
        <f>[3]DATA!AW80</f>
        <v>-</v>
      </c>
      <c r="AB80" s="1625" t="str">
        <f>[3]DATA!AM80</f>
        <v>2016; 2015</v>
      </c>
      <c r="AC80" s="1510" t="str">
        <f>[3]DATA!AN80</f>
        <v>siap</v>
      </c>
      <c r="AD80" s="1511" t="str">
        <f>[3]DATA!AO80</f>
        <v>tidak butuh lahan</v>
      </c>
      <c r="AE80" s="1545">
        <f>[3]DATA!AQ80</f>
        <v>0</v>
      </c>
      <c r="AF80" s="1547" t="str">
        <f>[3]DATA!AR80</f>
        <v>- sudah GB 2016  
- Nilai pinjaman di GB 38.100 ribu</v>
      </c>
    </row>
    <row r="81" spans="1:32" s="5" customFormat="1" ht="33.75" customHeight="1">
      <c r="J81" s="180"/>
      <c r="K81" s="50"/>
      <c r="L81" s="30" t="s">
        <v>194</v>
      </c>
      <c r="M81" s="31" t="str">
        <f>[3]DATA!J81</f>
        <v>Program Penyediaan dan Pengelolaan Air Baku</v>
      </c>
      <c r="N81" s="51"/>
      <c r="O81" s="197">
        <f>SUM(O82:O84)</f>
        <v>623862000</v>
      </c>
      <c r="P81" s="197">
        <f>SUM(P82:P84)</f>
        <v>623862000</v>
      </c>
      <c r="Q81" s="1436">
        <f>SUM(Q82:Q84)</f>
        <v>201074000</v>
      </c>
      <c r="R81" s="1436">
        <f>SUM(R82:R84)</f>
        <v>0</v>
      </c>
      <c r="S81" s="1559">
        <f t="shared" si="5"/>
        <v>824936000</v>
      </c>
      <c r="T81" s="2463"/>
      <c r="U81" s="198"/>
      <c r="V81" s="81">
        <f>SUM(V82:V84)</f>
        <v>623862000</v>
      </c>
      <c r="W81" s="81">
        <f>SUM(W82:W84)</f>
        <v>0</v>
      </c>
      <c r="X81" s="214">
        <f>SUM(X82:X84)</f>
        <v>0</v>
      </c>
      <c r="Y81" s="244">
        <f>SUM(Y82:Y84)</f>
        <v>623862000</v>
      </c>
      <c r="Z81" s="81">
        <f>SUM(Z82:Z84)</f>
        <v>0</v>
      </c>
      <c r="AA81" s="214"/>
      <c r="AB81" s="1505"/>
      <c r="AC81" s="1506"/>
      <c r="AD81" s="169"/>
      <c r="AE81" s="1507"/>
      <c r="AF81" s="1530"/>
    </row>
    <row r="82" spans="1:32" ht="38.25" customHeight="1">
      <c r="A82" s="10">
        <f>[3]DATA!A81</f>
        <v>63</v>
      </c>
      <c r="B82" s="10">
        <f>[3]DATA!B81</f>
        <v>0</v>
      </c>
      <c r="C82" s="10" t="str">
        <f>[3]DATA!D81</f>
        <v>INFRASTRUKTUR</v>
      </c>
      <c r="D82" s="10">
        <f>[3]DATA!E81</f>
        <v>1</v>
      </c>
      <c r="E82" s="10" t="str">
        <f>[3]DATA!F81</f>
        <v>Kementerian Pekerjaan Umum dan Perumahan Rakyat</v>
      </c>
      <c r="F82" s="10" t="str">
        <f>[3]DATA!H81</f>
        <v>Provision and Management of Bulk Water Supply Program</v>
      </c>
      <c r="G82" s="10" t="str">
        <f>[3]DATA!I81</f>
        <v>J</v>
      </c>
      <c r="H82" s="10" t="str">
        <f>[3]DATA!J81</f>
        <v>Program Penyediaan dan Pengelolaan Air Baku</v>
      </c>
      <c r="I82" s="10">
        <f>[3]DATA!K81</f>
        <v>1</v>
      </c>
      <c r="J82" s="181"/>
      <c r="K82" s="34"/>
      <c r="L82" s="35">
        <v>12</v>
      </c>
      <c r="M82" s="36">
        <v>53</v>
      </c>
      <c r="N82" s="37" t="str">
        <f>[3]DATA!L81</f>
        <v>Integrated Citarum Water Resources Management Investment Program II</v>
      </c>
      <c r="O82" s="187">
        <f>[3]DATA!T81</f>
        <v>200000000</v>
      </c>
      <c r="P82" s="187">
        <f>[3]DATA!U81</f>
        <v>200000000</v>
      </c>
      <c r="Q82" s="1446">
        <f>[3]DATA!V81</f>
        <v>20000000</v>
      </c>
      <c r="R82" s="1446">
        <f>[3]DATA!W81</f>
        <v>0</v>
      </c>
      <c r="S82" s="2467">
        <f t="shared" si="5"/>
        <v>220000000</v>
      </c>
      <c r="T82" s="2468"/>
      <c r="U82" s="1449" t="str">
        <f>[3]DATA!Y81</f>
        <v>ADB</v>
      </c>
      <c r="V82" s="77">
        <f>[3]DATA!AA81</f>
        <v>200000000</v>
      </c>
      <c r="W82" s="77">
        <v>0</v>
      </c>
      <c r="X82" s="216" t="str">
        <f>[3]DATA!Y81</f>
        <v>ADB</v>
      </c>
      <c r="Y82" s="245">
        <f>[3]DATA!AT81</f>
        <v>200000000</v>
      </c>
      <c r="Z82" s="109" t="str">
        <f>[3]DATA!AU81</f>
        <v>ADB</v>
      </c>
      <c r="AA82" s="1544" t="str">
        <f>[3]DATA!AW81</f>
        <v>-</v>
      </c>
      <c r="AB82" s="245">
        <f>[3]DATA!AM81</f>
        <v>0</v>
      </c>
      <c r="AC82" s="1510" t="str">
        <f>[3]DATA!AN81</f>
        <v>dalam proses
(memiliki FS dan DED)</v>
      </c>
      <c r="AD82" s="1511" t="str">
        <f>[3]DATA!AO81</f>
        <v>dalam proses
(perencanaan)</v>
      </c>
      <c r="AE82" s="1545">
        <f>[3]DATA!AQ81</f>
        <v>0</v>
      </c>
      <c r="AF82" s="1547" t="str">
        <f>[3]DATA!AR81</f>
        <v>belum ada dokumen R/C</v>
      </c>
    </row>
    <row r="83" spans="1:32" ht="37.5" customHeight="1">
      <c r="A83" s="10">
        <f>[3]DATA!A82</f>
        <v>64</v>
      </c>
      <c r="B83" s="10">
        <f>[3]DATA!B82</f>
        <v>0</v>
      </c>
      <c r="C83" s="10" t="str">
        <f>[3]DATA!D82</f>
        <v>INFRASTRUKTUR</v>
      </c>
      <c r="D83" s="10">
        <f>[3]DATA!E82</f>
        <v>1</v>
      </c>
      <c r="E83" s="10" t="str">
        <f>[3]DATA!F82</f>
        <v>Kementerian Pekerjaan Umum dan Perumahan Rakyat</v>
      </c>
      <c r="F83" s="10" t="str">
        <f>[3]DATA!H82</f>
        <v>Provision and Management of Bulk Water Supply Program</v>
      </c>
      <c r="G83" s="10" t="str">
        <f>[3]DATA!I82</f>
        <v>I</v>
      </c>
      <c r="H83" s="10" t="str">
        <f>[3]DATA!J82</f>
        <v>Program Penyediaan dan Pengelolaan Air Baku</v>
      </c>
      <c r="I83" s="10">
        <f>[3]DATA!K82</f>
        <v>2</v>
      </c>
      <c r="J83" s="181"/>
      <c r="K83" s="34"/>
      <c r="L83" s="34">
        <v>13</v>
      </c>
      <c r="M83" s="36">
        <v>54</v>
      </c>
      <c r="N83" s="37" t="str">
        <f>[3]DATA!L82</f>
        <v>Karian Dam-Serpong Water Conveyance and Supply System Project</v>
      </c>
      <c r="O83" s="187">
        <f>[3]DATA!T82</f>
        <v>373862000</v>
      </c>
      <c r="P83" s="187">
        <f>[3]DATA!U82</f>
        <v>373862000</v>
      </c>
      <c r="Q83" s="1446">
        <f>[3]DATA!V82</f>
        <v>181074000</v>
      </c>
      <c r="R83" s="1446">
        <f>[3]DATA!W82</f>
        <v>0</v>
      </c>
      <c r="S83" s="2467">
        <f t="shared" si="5"/>
        <v>554936000</v>
      </c>
      <c r="T83" s="2468"/>
      <c r="U83" s="1449" t="str">
        <f>[3]DATA!Y82</f>
        <v>Korea</v>
      </c>
      <c r="V83" s="77">
        <f>[3]DATA!AA82</f>
        <v>373862000</v>
      </c>
      <c r="W83" s="77">
        <v>0</v>
      </c>
      <c r="X83" s="216" t="str">
        <f>[3]DATA!Y82</f>
        <v>Korea</v>
      </c>
      <c r="Y83" s="245">
        <f>[3]DATA!AT82</f>
        <v>373862000</v>
      </c>
      <c r="Z83" s="109" t="str">
        <f>[3]DATA!AU82</f>
        <v>Korea</v>
      </c>
      <c r="AA83" s="1544" t="str">
        <f>[3]DATA!AW82</f>
        <v>masuk rolling plan EDCF (Korea)</v>
      </c>
      <c r="AB83" s="245">
        <f>[3]DATA!AM82</f>
        <v>0</v>
      </c>
      <c r="AC83" s="1510" t="str">
        <f>[3]DATA!AN82</f>
        <v>dalam proses
(memiliki FS)</v>
      </c>
      <c r="AD83" s="1511" t="str">
        <f>[3]DATA!AO82</f>
        <v>dalam proses
(perencanaan)</v>
      </c>
      <c r="AE83" s="1545">
        <f>[3]DATA!AQ82</f>
        <v>0</v>
      </c>
      <c r="AF83" s="1547" t="str">
        <f>[3]DATA!AR82</f>
        <v>belum ada dokumen R/C</v>
      </c>
    </row>
    <row r="84" spans="1:32" ht="36" customHeight="1">
      <c r="A84" s="10">
        <f>[3]DATA!A83</f>
        <v>65</v>
      </c>
      <c r="B84" s="10">
        <f>[3]DATA!B83</f>
        <v>0</v>
      </c>
      <c r="C84" s="10" t="str">
        <f>[3]DATA!D83</f>
        <v>INFRASTRUKTUR</v>
      </c>
      <c r="D84" s="10">
        <f>[3]DATA!E83</f>
        <v>1</v>
      </c>
      <c r="E84" s="10" t="str">
        <f>[3]DATA!F83</f>
        <v>Kementerian Pekerjaan Umum dan Perumahan Rakyat</v>
      </c>
      <c r="F84" s="10" t="str">
        <f>[3]DATA!H83</f>
        <v>Provision and Management of Bulk Water Supply Program</v>
      </c>
      <c r="G84" s="10" t="str">
        <f>[3]DATA!I83</f>
        <v>I</v>
      </c>
      <c r="H84" s="10" t="str">
        <f>[3]DATA!J83</f>
        <v>Program Penyediaan dan Pengelolaan Air Baku</v>
      </c>
      <c r="I84" s="10">
        <f>[3]DATA!K83</f>
        <v>3</v>
      </c>
      <c r="J84" s="181"/>
      <c r="K84" s="34"/>
      <c r="L84" s="54">
        <v>14</v>
      </c>
      <c r="M84" s="36">
        <v>55</v>
      </c>
      <c r="N84" s="37" t="str">
        <f>[3]DATA!L83</f>
        <v>Engineering Service for Bulk Water and Water Supply Development Project</v>
      </c>
      <c r="O84" s="187">
        <f>[3]DATA!T83</f>
        <v>50000000</v>
      </c>
      <c r="P84" s="187">
        <f>[3]DATA!U83</f>
        <v>50000000</v>
      </c>
      <c r="Q84" s="1446">
        <f>[3]DATA!V83</f>
        <v>0</v>
      </c>
      <c r="R84" s="1446">
        <f>[3]DATA!W83</f>
        <v>0</v>
      </c>
      <c r="S84" s="2467">
        <f t="shared" si="5"/>
        <v>50000000</v>
      </c>
      <c r="T84" s="2468"/>
      <c r="U84" s="1449" t="str">
        <f>[3]DATA!Y83</f>
        <v>ADB</v>
      </c>
      <c r="V84" s="77">
        <f>[3]DATA!AA83</f>
        <v>50000000</v>
      </c>
      <c r="W84" s="77">
        <v>0</v>
      </c>
      <c r="X84" s="216" t="str">
        <f>[3]DATA!Y83</f>
        <v>ADB</v>
      </c>
      <c r="Y84" s="245">
        <f>[3]DATA!AT83</f>
        <v>50000000</v>
      </c>
      <c r="Z84" s="109" t="str">
        <f>[3]DATA!AU83</f>
        <v>ADB</v>
      </c>
      <c r="AA84" s="1544" t="str">
        <f>[3]DATA!AW83</f>
        <v>-</v>
      </c>
      <c r="AB84" s="1625" t="str">
        <f>[3]DATA!AM83</f>
        <v>2016; 2015</v>
      </c>
      <c r="AC84" s="1510" t="str">
        <f>[3]DATA!AN83</f>
        <v>siap</v>
      </c>
      <c r="AD84" s="1511" t="str">
        <f>[3]DATA!AO83</f>
        <v>tidak butuh lahan</v>
      </c>
      <c r="AE84" s="1545">
        <f>[3]DATA!AQ83</f>
        <v>0</v>
      </c>
      <c r="AF84" s="1547" t="str">
        <f>[3]DATA!AR83</f>
        <v>- sudah GB 2016  
- Nilai pinjaman di GB USD 2.000 ribu</v>
      </c>
    </row>
    <row r="85" spans="1:32" s="5" customFormat="1" ht="33.75" customHeight="1">
      <c r="J85" s="180"/>
      <c r="K85" s="50"/>
      <c r="L85" s="30" t="s">
        <v>219</v>
      </c>
      <c r="M85" s="31" t="str">
        <f>[3]DATA!J84</f>
        <v>Program Pembangunan Waduk</v>
      </c>
      <c r="N85" s="51"/>
      <c r="O85" s="197">
        <f>O86+O87+O93+O88+O89+O90+O91+O92+O94+O95+O96</f>
        <v>2133750000</v>
      </c>
      <c r="P85" s="197">
        <f>P86+P87+P93+P88+P89+P90+P91+P92+P94+P95+P96</f>
        <v>2133750000</v>
      </c>
      <c r="Q85" s="197">
        <f>Q86+Q87+Q93+Q88+Q89+Q90+Q91+Q92+Q94+Q95+Q96</f>
        <v>963200000</v>
      </c>
      <c r="R85" s="197" t="e">
        <f>R86+R87+R93+R88+R89+R90+R91+R92+R94+R95+R96</f>
        <v>#REF!</v>
      </c>
      <c r="S85" s="197" t="e">
        <f>S86+S87+S93+S88+S89+S90+S91+S92+S94+S95+S96</f>
        <v>#REF!</v>
      </c>
      <c r="T85" s="2463"/>
      <c r="U85" s="198"/>
      <c r="V85" s="81">
        <f>V86+V87+V88+V89+V90+V91+V92+V93+V94+V95+V96+V97+V98</f>
        <v>2057358596</v>
      </c>
      <c r="W85" s="81">
        <f>W86+W87+W88+W89+W90+W91+W92+W93+W94+W95+W96+W97+W98</f>
        <v>76391404</v>
      </c>
      <c r="X85" s="214">
        <f>SUM(X88:X95)</f>
        <v>0</v>
      </c>
      <c r="Y85" s="244">
        <f>Y86+Y87+Y88+Y89+Y90+Y91+Y92+Y93+Y94+Y95+Y96+Y97+Y98</f>
        <v>2133750000</v>
      </c>
      <c r="Z85" s="81">
        <f>SUM(Z88:Z95)</f>
        <v>0</v>
      </c>
      <c r="AA85" s="214"/>
      <c r="AB85" s="1505"/>
      <c r="AC85" s="1506"/>
      <c r="AD85" s="169"/>
      <c r="AE85" s="1507"/>
      <c r="AF85" s="1530"/>
    </row>
    <row r="86" spans="1:32" s="1588" customFormat="1" ht="33.75" customHeight="1">
      <c r="J86" s="1594"/>
      <c r="K86" s="1595"/>
      <c r="L86" s="1596">
        <v>15</v>
      </c>
      <c r="M86" s="64">
        <v>56</v>
      </c>
      <c r="N86" s="65" t="str">
        <f>[3]DATA!L84</f>
        <v>Jambo Aye Multipurpose Dam Project</v>
      </c>
      <c r="O86" s="187">
        <f>[3]DATA!T84</f>
        <v>662200000</v>
      </c>
      <c r="P86" s="187">
        <f>[3]DATA!U84</f>
        <v>662200000</v>
      </c>
      <c r="Q86" s="1446">
        <f>[3]DATA!V84</f>
        <v>460700000</v>
      </c>
      <c r="R86" s="1446">
        <f>[3]DATA!W84</f>
        <v>0</v>
      </c>
      <c r="S86" s="2467">
        <f t="shared" si="5"/>
        <v>1122900000</v>
      </c>
      <c r="T86" s="2483"/>
      <c r="U86" s="1606"/>
      <c r="V86" s="77">
        <f>[3]DATA!AA84</f>
        <v>662200000</v>
      </c>
      <c r="W86" s="77">
        <f>[3]DATA!AB84</f>
        <v>0</v>
      </c>
      <c r="X86" s="88" t="str">
        <f>[3]DATA!Y84</f>
        <v>Rupiah Murni</v>
      </c>
      <c r="Y86" s="2485">
        <f>[3]DATA!AT84</f>
        <v>662200000</v>
      </c>
      <c r="Z86" s="260" t="str">
        <f>[3]DATA!AU84</f>
        <v>Belum Ada Indikasi</v>
      </c>
      <c r="AA86" s="1544" t="str">
        <f>[3]DATA!AW84</f>
        <v>-</v>
      </c>
      <c r="AB86" s="245">
        <f>[3]DATA!AM84</f>
        <v>0</v>
      </c>
      <c r="AC86" s="1510" t="str">
        <f>[3]DATA!AN84</f>
        <v>belum ada keterangan</v>
      </c>
      <c r="AD86" s="1510" t="str">
        <f>[3]DATA!AO84</f>
        <v>dalam proses
(perencanaan)</v>
      </c>
      <c r="AE86" s="1545">
        <f>[3]DATA!AQ84</f>
        <v>0</v>
      </c>
      <c r="AF86" s="1547" t="str">
        <f>[3]DATA!AR84</f>
        <v>belum ada dokumen R/C</v>
      </c>
    </row>
    <row r="87" spans="1:32" s="1588" customFormat="1" ht="33.75" customHeight="1">
      <c r="J87" s="1594"/>
      <c r="K87" s="1595"/>
      <c r="L87" s="1596">
        <v>16</v>
      </c>
      <c r="M87" s="64">
        <v>57</v>
      </c>
      <c r="N87" s="65" t="str">
        <f>[3]DATA!L85</f>
        <v>Komering Multipurpose Dam Project - Phase II</v>
      </c>
      <c r="O87" s="187">
        <f>[3]DATA!T85</f>
        <v>200000000</v>
      </c>
      <c r="P87" s="187">
        <f>[3]DATA!U85</f>
        <v>200000000</v>
      </c>
      <c r="Q87" s="1446">
        <f>[3]DATA!V85</f>
        <v>20000000</v>
      </c>
      <c r="R87" s="1446">
        <f>[3]DATA!W85</f>
        <v>0</v>
      </c>
      <c r="S87" s="2467">
        <f t="shared" si="5"/>
        <v>220000000</v>
      </c>
      <c r="T87" s="2483"/>
      <c r="U87" s="1606"/>
      <c r="V87" s="77">
        <f>[3]DATA!AA85</f>
        <v>200000000</v>
      </c>
      <c r="W87" s="1608">
        <v>0</v>
      </c>
      <c r="X87" s="88" t="str">
        <f>[3]DATA!Y85</f>
        <v>Rupiah Murni</v>
      </c>
      <c r="Y87" s="2485">
        <f>[3]DATA!AT85</f>
        <v>200000000</v>
      </c>
      <c r="Z87" s="260" t="str">
        <f>[3]DATA!AU85</f>
        <v>Belum Ada Indikasi</v>
      </c>
      <c r="AA87" s="1544" t="str">
        <f>[3]DATA!AW85</f>
        <v>-</v>
      </c>
      <c r="AB87" s="245">
        <f>[3]DATA!AM85</f>
        <v>0</v>
      </c>
      <c r="AC87" s="1510" t="str">
        <f>[3]DATA!AN85</f>
        <v>dalam proses
(penyusunan FS)</v>
      </c>
      <c r="AD87" s="1510" t="str">
        <f>[3]DATA!AO85</f>
        <v>dalam proses
(perencanaan)</v>
      </c>
      <c r="AE87" s="1545">
        <f>[3]DATA!AQ85</f>
        <v>0</v>
      </c>
      <c r="AF87" s="1547" t="str">
        <f>[3]DATA!AR85</f>
        <v>belum ada dokumen R/C</v>
      </c>
    </row>
    <row r="88" spans="1:32" ht="30.75" customHeight="1">
      <c r="A88" s="10">
        <f>[3]DATA!A86</f>
        <v>68</v>
      </c>
      <c r="B88" s="10">
        <f>[3]DATA!B86</f>
        <v>0</v>
      </c>
      <c r="C88" s="10" t="str">
        <f>[3]DATA!D86</f>
        <v>INFRASTRUKTUR</v>
      </c>
      <c r="D88" s="10">
        <f>[3]DATA!E86</f>
        <v>1</v>
      </c>
      <c r="E88" s="10" t="str">
        <f>[3]DATA!F86</f>
        <v>Kementerian Pekerjaan Umum dan Perumahan Rakyat</v>
      </c>
      <c r="F88" s="10" t="str">
        <f>[3]DATA!H86</f>
        <v>Dam Development Program</v>
      </c>
      <c r="G88" s="10" t="str">
        <f>[3]DATA!I86</f>
        <v>J</v>
      </c>
      <c r="H88" s="10" t="str">
        <f>[3]DATA!J86</f>
        <v>Program Pembangunan Waduk</v>
      </c>
      <c r="I88" s="10">
        <f>[3]DATA!K86</f>
        <v>3</v>
      </c>
      <c r="J88" s="181"/>
      <c r="K88" s="34"/>
      <c r="L88" s="34">
        <v>17</v>
      </c>
      <c r="M88" s="64">
        <v>58</v>
      </c>
      <c r="N88" s="37" t="str">
        <f>[3]DATA!L86</f>
        <v>Pelosika Multipurpose Dam Construction Project</v>
      </c>
      <c r="O88" s="187">
        <f>[3]DATA!T86</f>
        <v>200000000</v>
      </c>
      <c r="P88" s="187">
        <f>[3]DATA!U86</f>
        <v>200000000</v>
      </c>
      <c r="Q88" s="187">
        <f>[3]DATA!V86</f>
        <v>170000000</v>
      </c>
      <c r="R88" s="1446" t="e">
        <f>[3]!BB[[#This Row],[HIBAH BB]]</f>
        <v>#REF!</v>
      </c>
      <c r="S88" s="2467" t="e">
        <f t="shared" si="5"/>
        <v>#REF!</v>
      </c>
      <c r="T88" s="2468"/>
      <c r="U88" s="1449" t="str">
        <f>[3]DATA!Y86</f>
        <v>Rupiah Murni</v>
      </c>
      <c r="V88" s="77">
        <f>[3]DATA!AA86</f>
        <v>200000000</v>
      </c>
      <c r="W88" s="77">
        <v>0</v>
      </c>
      <c r="X88" s="216" t="str">
        <f>[3]DATA!Y86</f>
        <v>Rupiah Murni</v>
      </c>
      <c r="Y88" s="245">
        <f>[3]DATA!AT86</f>
        <v>200000000</v>
      </c>
      <c r="Z88" s="109" t="str">
        <f>[3]DATA!AU86</f>
        <v>RRT</v>
      </c>
      <c r="AA88" s="1544" t="str">
        <f>[3]DATA!AW86</f>
        <v>-</v>
      </c>
      <c r="AB88" s="245">
        <f>[3]DATA!AM86</f>
        <v>0</v>
      </c>
      <c r="AC88" s="1510" t="str">
        <f>[3]DATA!AN86</f>
        <v>dalam proses
(penyusunan FS)</v>
      </c>
      <c r="AD88" s="1511" t="str">
        <f>[3]DATA!AO86</f>
        <v>dalam proses
(perencanaan)</v>
      </c>
      <c r="AE88" s="1545">
        <f>[3]DATA!AQ86</f>
        <v>0</v>
      </c>
      <c r="AF88" s="1547" t="str">
        <f>[3]DATA!AR86</f>
        <v>belum ada dokumen R/C</v>
      </c>
    </row>
    <row r="89" spans="1:32" ht="25.5">
      <c r="A89" s="10">
        <f>[3]DATA!A87</f>
        <v>69</v>
      </c>
      <c r="B89" s="10">
        <f>[3]DATA!B87</f>
        <v>0</v>
      </c>
      <c r="C89" s="10" t="str">
        <f>[3]DATA!D87</f>
        <v>INFRASTRUKTUR</v>
      </c>
      <c r="D89" s="10">
        <f>[3]DATA!E87</f>
        <v>1</v>
      </c>
      <c r="E89" s="10" t="str">
        <f>[3]DATA!F87</f>
        <v>Kementerian Pekerjaan Umum dan Perumahan Rakyat</v>
      </c>
      <c r="F89" s="10" t="str">
        <f>[3]DATA!H87</f>
        <v>Dam Development Program</v>
      </c>
      <c r="G89" s="10" t="str">
        <f>[3]DATA!I87</f>
        <v>J</v>
      </c>
      <c r="H89" s="10" t="str">
        <f>[3]DATA!J87</f>
        <v>Program Pembangunan Waduk</v>
      </c>
      <c r="I89" s="10">
        <f>[3]DATA!K87</f>
        <v>4</v>
      </c>
      <c r="J89" s="181"/>
      <c r="K89" s="34"/>
      <c r="L89" s="34">
        <v>18</v>
      </c>
      <c r="M89" s="64">
        <v>59</v>
      </c>
      <c r="N89" s="37" t="str">
        <f>[3]DATA!L87</f>
        <v>Lambakan  Dam Project</v>
      </c>
      <c r="O89" s="187">
        <f>[3]DATA!T87</f>
        <v>258000000</v>
      </c>
      <c r="P89" s="187">
        <f>[3]DATA!U87</f>
        <v>258000000</v>
      </c>
      <c r="Q89" s="187">
        <f>[3]DATA!V87</f>
        <v>227000000</v>
      </c>
      <c r="R89" s="1446" t="e">
        <f>[3]!BB[[#This Row],[HIBAH BB]]</f>
        <v>#REF!</v>
      </c>
      <c r="S89" s="2467" t="e">
        <f t="shared" si="5"/>
        <v>#REF!</v>
      </c>
      <c r="T89" s="2468"/>
      <c r="U89" s="1449" t="str">
        <f>[3]DATA!Y87</f>
        <v>IDB</v>
      </c>
      <c r="V89" s="77">
        <f>[3]DATA!AA87</f>
        <v>258000000</v>
      </c>
      <c r="W89" s="77">
        <v>0</v>
      </c>
      <c r="X89" s="216" t="str">
        <f>[3]DATA!Y87</f>
        <v>IDB</v>
      </c>
      <c r="Y89" s="245">
        <f>[3]DATA!AT87</f>
        <v>258000000</v>
      </c>
      <c r="Z89" s="109" t="str">
        <f>[3]DATA!AU87</f>
        <v>IDB</v>
      </c>
      <c r="AA89" s="1544" t="str">
        <f>[3]DATA!AW87</f>
        <v>-</v>
      </c>
      <c r="AB89" s="245">
        <f>[3]DATA!AM87</f>
        <v>0</v>
      </c>
      <c r="AC89" s="1510" t="str">
        <f>[3]DATA!AN87</f>
        <v>dalam proses
(penyusunan FS)</v>
      </c>
      <c r="AD89" s="1511" t="str">
        <f>[3]DATA!AO87</f>
        <v>dalam proses
(perencanaan)</v>
      </c>
      <c r="AE89" s="1545">
        <f>[3]DATA!AQ87</f>
        <v>0</v>
      </c>
      <c r="AF89" s="1547" t="str">
        <f>[3]DATA!AR87</f>
        <v>belum ada dokumen R/C</v>
      </c>
    </row>
    <row r="90" spans="1:32" ht="25.5">
      <c r="A90" s="10">
        <f>[3]DATA!A88</f>
        <v>70</v>
      </c>
      <c r="B90" s="10">
        <f>[3]DATA!B88</f>
        <v>0</v>
      </c>
      <c r="C90" s="10" t="str">
        <f>[3]DATA!D88</f>
        <v>INFRASTRUKTUR</v>
      </c>
      <c r="D90" s="10">
        <f>[3]DATA!E88</f>
        <v>1</v>
      </c>
      <c r="E90" s="10" t="str">
        <f>[3]DATA!F88</f>
        <v>Kementerian Pekerjaan Umum dan Perumahan Rakyat</v>
      </c>
      <c r="F90" s="10" t="str">
        <f>[3]DATA!H88</f>
        <v>Dam Development Program</v>
      </c>
      <c r="G90" s="10" t="str">
        <f>[3]DATA!I88</f>
        <v>J</v>
      </c>
      <c r="H90" s="10" t="str">
        <f>[3]DATA!J88</f>
        <v>Program Pembangunan Waduk</v>
      </c>
      <c r="I90" s="10">
        <f>[3]DATA!K88</f>
        <v>5</v>
      </c>
      <c r="J90" s="181"/>
      <c r="K90" s="34"/>
      <c r="L90" s="34">
        <v>19</v>
      </c>
      <c r="M90" s="64">
        <v>60</v>
      </c>
      <c r="N90" s="37" t="str">
        <f>[3]DATA!L88</f>
        <v>Jenelata Dam Construction Project</v>
      </c>
      <c r="O90" s="187">
        <f>[3]DATA!T88</f>
        <v>200000000</v>
      </c>
      <c r="P90" s="187">
        <f>[3]DATA!U88</f>
        <v>200000000</v>
      </c>
      <c r="Q90" s="187">
        <f>[3]DATA!V88</f>
        <v>20000000</v>
      </c>
      <c r="R90" s="1446" t="e">
        <f>[3]!BB[[#This Row],[HIBAH BB]]</f>
        <v>#REF!</v>
      </c>
      <c r="S90" s="2467" t="e">
        <f t="shared" si="5"/>
        <v>#REF!</v>
      </c>
      <c r="T90" s="2468"/>
      <c r="U90" s="1449" t="str">
        <f>[3]DATA!Y88</f>
        <v>RRT</v>
      </c>
      <c r="V90" s="77">
        <f>[3]DATA!AA88</f>
        <v>200000000</v>
      </c>
      <c r="W90" s="77">
        <v>0</v>
      </c>
      <c r="X90" s="216" t="str">
        <f>[3]DATA!Y88</f>
        <v>RRT</v>
      </c>
      <c r="Y90" s="245">
        <f>[3]DATA!AT88</f>
        <v>200000000</v>
      </c>
      <c r="Z90" s="109" t="str">
        <f>[3]DATA!AU88</f>
        <v>RRT</v>
      </c>
      <c r="AA90" s="1544" t="str">
        <f>[3]DATA!AW88</f>
        <v>-</v>
      </c>
      <c r="AB90" s="245">
        <f>[3]DATA!AM88</f>
        <v>0</v>
      </c>
      <c r="AC90" s="1510" t="str">
        <f>[3]DATA!AN88</f>
        <v>siap</v>
      </c>
      <c r="AD90" s="1511" t="str">
        <f>[3]DATA!AO88</f>
        <v>dalam proses
(perencanaan)</v>
      </c>
      <c r="AE90" s="1545">
        <f>[3]DATA!AQ88</f>
        <v>0</v>
      </c>
      <c r="AF90" s="1547" t="str">
        <f>[3]DATA!AR88</f>
        <v>belum ada dokumen R/C</v>
      </c>
    </row>
    <row r="91" spans="1:32" ht="25.5">
      <c r="A91" s="10">
        <f>[3]DATA!A89</f>
        <v>71</v>
      </c>
      <c r="B91" s="10">
        <f>[3]DATA!B89</f>
        <v>0</v>
      </c>
      <c r="C91" s="10" t="str">
        <f>[3]DATA!D89</f>
        <v>INFRASTRUKTUR</v>
      </c>
      <c r="D91" s="10">
        <f>[3]DATA!E89</f>
        <v>1</v>
      </c>
      <c r="E91" s="10" t="str">
        <f>[3]DATA!F89</f>
        <v>Kementerian Pekerjaan Umum dan Perumahan Rakyat</v>
      </c>
      <c r="F91" s="10" t="str">
        <f>[3]DATA!H89</f>
        <v>Dam Development Program</v>
      </c>
      <c r="G91" s="10" t="str">
        <f>[3]DATA!I89</f>
        <v>J</v>
      </c>
      <c r="H91" s="10" t="str">
        <f>[3]DATA!J89</f>
        <v>Program Pembangunan Waduk</v>
      </c>
      <c r="I91" s="10">
        <f>[3]DATA!K89</f>
        <v>6</v>
      </c>
      <c r="J91" s="181"/>
      <c r="K91" s="34"/>
      <c r="L91" s="34">
        <v>20</v>
      </c>
      <c r="M91" s="64">
        <v>61</v>
      </c>
      <c r="N91" s="37" t="str">
        <f>[3]DATA!L89</f>
        <v>Bonehulu Dam Construction Project</v>
      </c>
      <c r="O91" s="187">
        <f>[3]DATA!T89</f>
        <v>128250000</v>
      </c>
      <c r="P91" s="187">
        <f>[3]DATA!U89</f>
        <v>128250000</v>
      </c>
      <c r="Q91" s="187">
        <f>[3]DATA!V89</f>
        <v>21000000</v>
      </c>
      <c r="R91" s="1446" t="e">
        <f>[3]!BB[[#This Row],[HIBAH BB]]</f>
        <v>#REF!</v>
      </c>
      <c r="S91" s="2467" t="e">
        <f t="shared" si="5"/>
        <v>#REF!</v>
      </c>
      <c r="T91" s="2468"/>
      <c r="U91" s="1449" t="str">
        <f>[3]DATA!Y89</f>
        <v>RRT</v>
      </c>
      <c r="V91" s="77">
        <f>[3]DATA!AA89</f>
        <v>128250000</v>
      </c>
      <c r="W91" s="77">
        <v>0</v>
      </c>
      <c r="X91" s="216" t="str">
        <f>[3]DATA!Y89</f>
        <v>RRT</v>
      </c>
      <c r="Y91" s="245">
        <f>[3]DATA!AT89</f>
        <v>128250000</v>
      </c>
      <c r="Z91" s="109" t="str">
        <f>[3]DATA!AU89</f>
        <v>RRT</v>
      </c>
      <c r="AA91" s="1544" t="str">
        <f>[3]DATA!AW89</f>
        <v>-</v>
      </c>
      <c r="AB91" s="245">
        <f>[3]DATA!AM89</f>
        <v>0</v>
      </c>
      <c r="AC91" s="1510" t="str">
        <f>[3]DATA!AN89</f>
        <v>dalam proses
(penyusunan FS)</v>
      </c>
      <c r="AD91" s="1511" t="str">
        <f>[3]DATA!AO89</f>
        <v>dalam proses
(perencanaan)</v>
      </c>
      <c r="AE91" s="1545">
        <f>[3]DATA!AQ89</f>
        <v>0</v>
      </c>
      <c r="AF91" s="1547" t="str">
        <f>[3]DATA!AR89</f>
        <v>belum ada dokumen R/C</v>
      </c>
    </row>
    <row r="92" spans="1:32" ht="25.5">
      <c r="A92" s="10">
        <f>[3]DATA!A90</f>
        <v>72</v>
      </c>
      <c r="B92" s="10">
        <f>[3]DATA!B90</f>
        <v>0</v>
      </c>
      <c r="C92" s="10" t="str">
        <f>[3]DATA!D90</f>
        <v>INFRASTRUKTUR</v>
      </c>
      <c r="D92" s="10">
        <f>[3]DATA!E90</f>
        <v>1</v>
      </c>
      <c r="E92" s="10" t="str">
        <f>[3]DATA!F90</f>
        <v>Kementerian Pekerjaan Umum dan Perumahan Rakyat</v>
      </c>
      <c r="F92" s="10" t="str">
        <f>[3]DATA!H90</f>
        <v>Dam Development Program</v>
      </c>
      <c r="G92" s="10" t="str">
        <f>[3]DATA!I90</f>
        <v>J</v>
      </c>
      <c r="H92" s="10" t="str">
        <f>[3]DATA!J90</f>
        <v>Program Pembangunan Waduk</v>
      </c>
      <c r="I92" s="10">
        <f>[3]DATA!K90</f>
        <v>7</v>
      </c>
      <c r="J92" s="181"/>
      <c r="K92" s="34"/>
      <c r="L92" s="34">
        <v>21</v>
      </c>
      <c r="M92" s="64">
        <v>62</v>
      </c>
      <c r="N92" s="37" t="str">
        <f>[3]DATA!L90</f>
        <v>Ladongi Dam Construction Project</v>
      </c>
      <c r="O92" s="187">
        <f>[3]DATA!T90</f>
        <v>70000000</v>
      </c>
      <c r="P92" s="187">
        <f>[3]DATA!U90</f>
        <v>70000000</v>
      </c>
      <c r="Q92" s="187">
        <f>[3]DATA!V90</f>
        <v>7000000</v>
      </c>
      <c r="R92" s="1446" t="e">
        <f>[3]!BB[[#This Row],[HIBAH BB]]</f>
        <v>#REF!</v>
      </c>
      <c r="S92" s="2467" t="e">
        <f t="shared" si="5"/>
        <v>#REF!</v>
      </c>
      <c r="T92" s="2468"/>
      <c r="U92" s="1449" t="str">
        <f>[3]DATA!Y90</f>
        <v>RRT</v>
      </c>
      <c r="V92" s="77">
        <f>[3]DATA!AA90</f>
        <v>70000000</v>
      </c>
      <c r="W92" s="77">
        <v>0</v>
      </c>
      <c r="X92" s="216" t="str">
        <f>[3]DATA!Y90</f>
        <v>RRT</v>
      </c>
      <c r="Y92" s="245">
        <f>[3]DATA!AT90</f>
        <v>70000000</v>
      </c>
      <c r="Z92" s="109" t="str">
        <f>[3]DATA!AU90</f>
        <v>RRT</v>
      </c>
      <c r="AA92" s="1544" t="str">
        <f>[3]DATA!AW90</f>
        <v>-</v>
      </c>
      <c r="AB92" s="245">
        <f>[3]DATA!AM90</f>
        <v>0</v>
      </c>
      <c r="AC92" s="1510" t="str">
        <f>[3]DATA!AN90</f>
        <v>siap</v>
      </c>
      <c r="AD92" s="1511" t="str">
        <f>[3]DATA!AO90</f>
        <v>dalam proses
(perencanaan)</v>
      </c>
      <c r="AE92" s="1545">
        <f>[3]DATA!AQ90</f>
        <v>0</v>
      </c>
      <c r="AF92" s="1547" t="str">
        <f>[3]DATA!AR90</f>
        <v>belum ada dokumen R/C</v>
      </c>
    </row>
    <row r="93" spans="1:32" ht="22.5" customHeight="1">
      <c r="J93" s="181"/>
      <c r="K93" s="34"/>
      <c r="L93" s="34">
        <v>22</v>
      </c>
      <c r="M93" s="64">
        <v>63</v>
      </c>
      <c r="N93" s="37" t="str">
        <f>[3]DATA!L91</f>
        <v>Kuwil Kawangkoan Dam Construction Project</v>
      </c>
      <c r="O93" s="187">
        <f>[3]DATA!T91</f>
        <v>110000000</v>
      </c>
      <c r="P93" s="187">
        <f>[3]DATA!U91</f>
        <v>110000000</v>
      </c>
      <c r="Q93" s="187">
        <f>[3]DATA!V91</f>
        <v>11000000</v>
      </c>
      <c r="R93" s="187">
        <f>[3]DATA!W91</f>
        <v>0</v>
      </c>
      <c r="S93" s="2467">
        <f t="shared" si="5"/>
        <v>121000000</v>
      </c>
      <c r="T93" s="2468"/>
      <c r="U93" s="1449"/>
      <c r="V93" s="77">
        <f>[3]DATA!AA91</f>
        <v>110000000</v>
      </c>
      <c r="W93" s="77"/>
      <c r="X93" s="216" t="str">
        <f>[3]DATA!Y91</f>
        <v>Rupiah Murni</v>
      </c>
      <c r="Y93" s="245">
        <f>[3]DATA!AT91</f>
        <v>110000000</v>
      </c>
      <c r="Z93" s="109" t="str">
        <f>[3]DATA!AU91</f>
        <v>Belum Ada Indikasi</v>
      </c>
      <c r="AA93" s="1544" t="str">
        <f>[3]DATA!AW91</f>
        <v>-</v>
      </c>
      <c r="AB93" s="245">
        <f>[3]DATA!AM91</f>
        <v>0</v>
      </c>
      <c r="AC93" s="1510"/>
      <c r="AD93" s="1511"/>
      <c r="AE93" s="1545">
        <f>[3]DATA!AQ91</f>
        <v>0</v>
      </c>
      <c r="AF93" s="1547" t="str">
        <f>[3]DATA!AR91</f>
        <v>belum ada dokumen R/C</v>
      </c>
    </row>
    <row r="94" spans="1:32" ht="33" customHeight="1">
      <c r="A94" s="10">
        <f>[3]DATA!A92</f>
        <v>74</v>
      </c>
      <c r="B94" s="10">
        <f>[3]DATA!B92</f>
        <v>0</v>
      </c>
      <c r="C94" s="10" t="str">
        <f>[3]DATA!D92</f>
        <v>INFRASTRUKTUR</v>
      </c>
      <c r="D94" s="10">
        <f>[3]DATA!E92</f>
        <v>1</v>
      </c>
      <c r="E94" s="10" t="str">
        <f>[3]DATA!F92</f>
        <v>Kementerian Pekerjaan Umum dan Perumahan Rakyat</v>
      </c>
      <c r="F94" s="10" t="str">
        <f>[3]DATA!H92</f>
        <v>Dam Development Program</v>
      </c>
      <c r="G94" s="10" t="str">
        <f>[3]DATA!I92</f>
        <v>J</v>
      </c>
      <c r="H94" s="10" t="str">
        <f>[3]DATA!J92</f>
        <v>Program Pembangunan Waduk</v>
      </c>
      <c r="I94" s="10">
        <f>[3]DATA!K92</f>
        <v>9</v>
      </c>
      <c r="J94" s="181"/>
      <c r="K94" s="34"/>
      <c r="L94" s="34">
        <v>23</v>
      </c>
      <c r="M94" s="64">
        <v>64</v>
      </c>
      <c r="N94" s="37" t="str">
        <f>[3]DATA!L92</f>
        <v>Lompatan Harimau Dam Construction Project (Rokan Kiri Dam Construction Project)</v>
      </c>
      <c r="O94" s="187">
        <f>[3]DATA!T92</f>
        <v>152100000</v>
      </c>
      <c r="P94" s="187">
        <f>[3]DATA!U92</f>
        <v>152100000</v>
      </c>
      <c r="Q94" s="187">
        <f>[3]DATA!V92</f>
        <v>26500000</v>
      </c>
      <c r="R94" s="1446">
        <f>[3]DATA!W92</f>
        <v>0</v>
      </c>
      <c r="S94" s="2467">
        <f t="shared" si="5"/>
        <v>178600000</v>
      </c>
      <c r="T94" s="2468"/>
      <c r="U94" s="1449" t="str">
        <f>[3]DATA!Y92</f>
        <v>RRT</v>
      </c>
      <c r="V94" s="77">
        <f>[3]DATA!AA92</f>
        <v>152100000</v>
      </c>
      <c r="W94" s="77">
        <v>0</v>
      </c>
      <c r="X94" s="216" t="str">
        <f>[3]DATA!Y92</f>
        <v>RRT</v>
      </c>
      <c r="Y94" s="245">
        <f>[3]DATA!AT92</f>
        <v>152100000</v>
      </c>
      <c r="Z94" s="109" t="str">
        <f>[3]DATA!AU92</f>
        <v>RRT</v>
      </c>
      <c r="AA94" s="1544" t="str">
        <f>[3]DATA!AW92</f>
        <v>-</v>
      </c>
      <c r="AB94" s="245">
        <f>[3]DATA!AM92</f>
        <v>0</v>
      </c>
      <c r="AC94" s="1510" t="str">
        <f>[3]DATA!AN92</f>
        <v>dalam proses
(memiliki FS)</v>
      </c>
      <c r="AD94" s="1511" t="str">
        <f>[3]DATA!AO92</f>
        <v>dalam proses
(perencanaan)</v>
      </c>
      <c r="AE94" s="1545">
        <f>[3]DATA!AQ92</f>
        <v>0</v>
      </c>
      <c r="AF94" s="1547" t="str">
        <f>[3]DATA!AR92</f>
        <v>belum ada dokumen R/C</v>
      </c>
    </row>
    <row r="95" spans="1:32" ht="23.25" customHeight="1">
      <c r="A95" s="10">
        <f>[3]DATA!A97</f>
        <v>76</v>
      </c>
      <c r="B95" s="10">
        <f>[3]DATA!B97</f>
        <v>0</v>
      </c>
      <c r="C95" s="10" t="str">
        <f>[3]DATA!D97</f>
        <v>INFRASTRUKTUR</v>
      </c>
      <c r="D95" s="10">
        <f>[3]DATA!E97</f>
        <v>1</v>
      </c>
      <c r="E95" s="10" t="str">
        <f>[3]DATA!F97</f>
        <v>Kementerian Pekerjaan Umum dan Perumahan Rakyat</v>
      </c>
      <c r="F95" s="10" t="str">
        <f>[3]DATA!H97</f>
        <v>Dam Development Program</v>
      </c>
      <c r="G95" s="10" t="str">
        <f>[3]DATA!I97</f>
        <v>J</v>
      </c>
      <c r="H95" s="10" t="str">
        <f>[3]DATA!J97</f>
        <v>Program Pembangunan Waduk</v>
      </c>
      <c r="I95" s="10">
        <f>[3]DATA!K97</f>
        <v>11</v>
      </c>
      <c r="J95" s="181"/>
      <c r="K95" s="34"/>
      <c r="L95" s="34">
        <v>24</v>
      </c>
      <c r="M95" s="64">
        <v>65</v>
      </c>
      <c r="N95" s="37" t="str">
        <f>[3]DATA!L97</f>
        <v>Additional Loan for Jatigede Dam Project 2</v>
      </c>
      <c r="O95" s="187">
        <f>[3]DATA!T97</f>
        <v>53200000</v>
      </c>
      <c r="P95" s="187">
        <f>[3]DATA!U97</f>
        <v>53200000</v>
      </c>
      <c r="Q95" s="1446">
        <f>[3]DATA!V97</f>
        <v>0</v>
      </c>
      <c r="R95" s="1446">
        <f>[3]DATA!W97</f>
        <v>0</v>
      </c>
      <c r="S95" s="2467">
        <f t="shared" si="5"/>
        <v>53200000</v>
      </c>
      <c r="T95" s="2468"/>
      <c r="U95" s="1449" t="str">
        <f>[3]DATA!Y97</f>
        <v>RRT</v>
      </c>
      <c r="V95" s="77">
        <f>[3]DATA!AA97</f>
        <v>53200000</v>
      </c>
      <c r="W95" s="77">
        <v>0</v>
      </c>
      <c r="X95" s="216" t="str">
        <f>[3]DATA!Y97</f>
        <v>RRT</v>
      </c>
      <c r="Y95" s="245">
        <f>[3]DATA!AT97</f>
        <v>53200000</v>
      </c>
      <c r="Z95" s="109" t="str">
        <f>[3]DATA!AU97</f>
        <v>RRT</v>
      </c>
      <c r="AA95" s="1544" t="str">
        <f>[3]DATA!AW97</f>
        <v>-</v>
      </c>
      <c r="AB95" s="1625">
        <f>[3]DATA!AM97</f>
        <v>2015</v>
      </c>
      <c r="AC95" s="1510" t="str">
        <f>[3]DATA!AN97</f>
        <v>dalam proses
(memiliki FS dan DED)</v>
      </c>
      <c r="AD95" s="1511" t="str">
        <f>[3]DATA!AO97</f>
        <v>dalam proses
(persiapan)</v>
      </c>
      <c r="AE95" s="1545">
        <f>[3]DATA!AQ97</f>
        <v>0</v>
      </c>
      <c r="AF95" s="1547" t="str">
        <f>[3]DATA!AR97</f>
        <v>-</v>
      </c>
    </row>
    <row r="96" spans="1:32" ht="38.25">
      <c r="J96" s="181"/>
      <c r="K96" s="34"/>
      <c r="L96" s="34">
        <v>25</v>
      </c>
      <c r="M96" s="3390">
        <v>66</v>
      </c>
      <c r="N96" s="3393" t="str">
        <f>[3]DATA!L93</f>
        <v>Engineering Service for Dam Multipurpose Development Project</v>
      </c>
      <c r="O96" s="3403">
        <f>[3]DATA!T93</f>
        <v>100000000</v>
      </c>
      <c r="P96" s="3403">
        <f>[3]DATA!U93</f>
        <v>100000000</v>
      </c>
      <c r="Q96" s="3443">
        <f>[3]DATA!V93</f>
        <v>0</v>
      </c>
      <c r="R96" s="3443">
        <f>[3]DATA!W93</f>
        <v>0</v>
      </c>
      <c r="S96" s="3403">
        <f t="shared" si="5"/>
        <v>100000000</v>
      </c>
      <c r="T96" s="3478"/>
      <c r="U96" s="1509" t="str">
        <f>[3]DATA!Y94</f>
        <v>ADB</v>
      </c>
      <c r="V96" s="77">
        <f>[3]DATA!AA94</f>
        <v>1930000</v>
      </c>
      <c r="W96" s="77">
        <v>0</v>
      </c>
      <c r="X96" s="216" t="str">
        <f>[3]DATA!Y94</f>
        <v>ADB</v>
      </c>
      <c r="Y96" s="245">
        <f>[3]DATA!AT94</f>
        <v>1930000</v>
      </c>
      <c r="Z96" s="109" t="str">
        <f>[3]DATA!AU94</f>
        <v>ADB</v>
      </c>
      <c r="AA96" s="1544" t="str">
        <f>[3]DATA!AW94</f>
        <v>co-financing dengan Korea (USD 21,7 juta) dan belum ada indikasi (USD 76,4 juta)</v>
      </c>
      <c r="AB96" s="245" t="str">
        <f>[3]DATA!AM94</f>
        <v>2016; 2015</v>
      </c>
      <c r="AC96" s="3495" t="str">
        <f>[3]DATA!AN94</f>
        <v>siap</v>
      </c>
      <c r="AD96" s="3502" t="str">
        <f>[3]DATA!AO94</f>
        <v>tidak butuh lahan</v>
      </c>
      <c r="AE96" s="1545">
        <f>[3]DATA!AQ94</f>
        <v>0</v>
      </c>
      <c r="AF96" s="1547" t="str">
        <f>[3]DATA!AR94</f>
        <v>-</v>
      </c>
    </row>
    <row r="97" spans="1:32" ht="63.75">
      <c r="J97" s="181"/>
      <c r="K97" s="34"/>
      <c r="L97" s="34"/>
      <c r="M97" s="3392"/>
      <c r="N97" s="3397"/>
      <c r="O97" s="3405"/>
      <c r="P97" s="3405"/>
      <c r="Q97" s="3444"/>
      <c r="R97" s="3444"/>
      <c r="S97" s="3405"/>
      <c r="T97" s="3479"/>
      <c r="U97" s="1509" t="str">
        <f>[3]DATA!Y95</f>
        <v>Korea</v>
      </c>
      <c r="V97" s="77">
        <f>[3]DATA!AA95</f>
        <v>21678596</v>
      </c>
      <c r="W97" s="77">
        <v>0</v>
      </c>
      <c r="X97" s="216" t="str">
        <f>[3]DATA!Y95</f>
        <v>Korea</v>
      </c>
      <c r="Y97" s="245">
        <f>[3]DATA!AT95</f>
        <v>21678596</v>
      </c>
      <c r="Z97" s="109" t="str">
        <f>[3]DATA!AU95</f>
        <v>Korea</v>
      </c>
      <c r="AA97" s="1544" t="str">
        <f>[3]DATA!AW95</f>
        <v>- co-financing dengan ADB (USD 1,9 juta) dan belum ada indikasi (USD 76,4 juta)
- masuk rolling plan EDCF (Korea)</v>
      </c>
      <c r="AB97" s="1625">
        <f>[3]DATA!AM95</f>
        <v>2016</v>
      </c>
      <c r="AC97" s="3496"/>
      <c r="AD97" s="3519"/>
      <c r="AE97" s="1545">
        <f>[3]DATA!AQ95</f>
        <v>0</v>
      </c>
      <c r="AF97" s="1547" t="str">
        <f>[3]DATA!AR95</f>
        <v>-</v>
      </c>
    </row>
    <row r="98" spans="1:32" ht="35.25" customHeight="1">
      <c r="J98" s="181"/>
      <c r="K98" s="34"/>
      <c r="L98" s="34"/>
      <c r="M98" s="3391"/>
      <c r="N98" s="3394"/>
      <c r="O98" s="3404"/>
      <c r="P98" s="3404"/>
      <c r="Q98" s="3445"/>
      <c r="R98" s="3445"/>
      <c r="S98" s="3404"/>
      <c r="T98" s="3480"/>
      <c r="U98" s="1509" t="str">
        <f>[3]DATA!Y96</f>
        <v>Belum Ada Indikasi</v>
      </c>
      <c r="V98" s="77">
        <v>0</v>
      </c>
      <c r="W98" s="77">
        <f>[3]DATA!AA96</f>
        <v>76391404</v>
      </c>
      <c r="X98" s="216" t="str">
        <f>[3]DATA!Y96</f>
        <v>Belum Ada Indikasi</v>
      </c>
      <c r="Y98" s="245">
        <f>[3]DATA!AT96</f>
        <v>76391404</v>
      </c>
      <c r="Z98" s="109" t="str">
        <f>[3]DATA!AU96</f>
        <v>Belum Ada Indikasi</v>
      </c>
      <c r="AA98" s="1544" t="str">
        <f>[3]DATA!AW96</f>
        <v>co-financing dengan Korea (USD 21,7 juta) dan ADB (USD 1,9 juta)</v>
      </c>
      <c r="AB98" s="245">
        <f>[3]DATA!AM96</f>
        <v>0</v>
      </c>
      <c r="AC98" s="3497"/>
      <c r="AD98" s="3503"/>
      <c r="AE98" s="1545">
        <f>[3]DATA!AQ96</f>
        <v>0</v>
      </c>
      <c r="AF98" s="1547" t="str">
        <f>[3]DATA!AR96</f>
        <v>belum ada dokumen R/C</v>
      </c>
    </row>
    <row r="99" spans="1:32" s="5" customFormat="1" ht="33.75" customHeight="1">
      <c r="J99" s="180"/>
      <c r="K99" s="50"/>
      <c r="L99" s="30" t="s">
        <v>238</v>
      </c>
      <c r="M99" s="31" t="str">
        <f>[3]DATA!J98</f>
        <v>Program Mitigasi Terhadap Daya Rusak Air</v>
      </c>
      <c r="N99" s="51"/>
      <c r="O99" s="197">
        <f>+O100+O101+O102+O103+O104+O105+O106+O107</f>
        <v>1152636000</v>
      </c>
      <c r="P99" s="197">
        <f>+P100+P101+P102+P103+P104+P105+P106+P107</f>
        <v>1152636000</v>
      </c>
      <c r="Q99" s="197">
        <f>+Q100+Q101+Q102+Q103+Q104+Q105+Q106+Q107</f>
        <v>149840000</v>
      </c>
      <c r="R99" s="197">
        <f>+R100+R101+R102+R103+R104+R105+R106+R107</f>
        <v>0</v>
      </c>
      <c r="S99" s="1559">
        <f t="shared" ref="S99:S107" si="6">P99+Q99+R99</f>
        <v>1302476000</v>
      </c>
      <c r="T99" s="2463"/>
      <c r="U99" s="198"/>
      <c r="V99" s="81">
        <f>+V100+V101+V102+V103+V104+V105+V106+V107+V108+V109</f>
        <v>922756000</v>
      </c>
      <c r="W99" s="81">
        <f>+W100+W101+W102+W103+W104+W105+W106+W107+W108+W109</f>
        <v>229880000</v>
      </c>
      <c r="X99" s="214"/>
      <c r="Y99" s="244">
        <f>+Y100+Y101+Y102+Y103+Y104+Y105+Y106+Y107+Y108+Y109</f>
        <v>1152636000</v>
      </c>
      <c r="Z99" s="81" t="s">
        <v>21</v>
      </c>
      <c r="AA99" s="214"/>
      <c r="AB99" s="1505"/>
      <c r="AC99" s="1506"/>
      <c r="AD99" s="169"/>
      <c r="AE99" s="1507"/>
      <c r="AF99" s="1530"/>
    </row>
    <row r="100" spans="1:32" ht="23.25" customHeight="1">
      <c r="A100" s="10">
        <f>[3]DATA!A98</f>
        <v>77</v>
      </c>
      <c r="B100" s="10">
        <f>[3]DATA!B98</f>
        <v>0</v>
      </c>
      <c r="C100" s="10" t="str">
        <f>[3]DATA!D98</f>
        <v>INFRASTRUKTUR</v>
      </c>
      <c r="D100" s="10">
        <f>[3]DATA!E98</f>
        <v>1</v>
      </c>
      <c r="E100" s="10" t="str">
        <f>[3]DATA!F98</f>
        <v>Kementerian Pekerjaan Umum dan Perumahan Rakyat</v>
      </c>
      <c r="F100" s="10" t="str">
        <f>[3]DATA!H98</f>
        <v>Mitigation of Water Hazards Program</v>
      </c>
      <c r="G100" s="10" t="str">
        <f>[3]DATA!I98</f>
        <v>K</v>
      </c>
      <c r="H100" s="10" t="str">
        <f>[3]DATA!J98</f>
        <v>Program Mitigasi Terhadap Daya Rusak Air</v>
      </c>
      <c r="I100" s="10">
        <f>[3]DATA!K98</f>
        <v>1</v>
      </c>
      <c r="J100" s="181"/>
      <c r="K100" s="34"/>
      <c r="L100" s="35">
        <v>26</v>
      </c>
      <c r="M100" s="36">
        <v>67</v>
      </c>
      <c r="N100" s="37" t="str">
        <f>[3]DATA!L98</f>
        <v>Lower Solo River Improvement Project - Phase II</v>
      </c>
      <c r="O100" s="187">
        <f>[3]DATA!T98</f>
        <v>155836000</v>
      </c>
      <c r="P100" s="187">
        <f>[3]DATA!U98</f>
        <v>155836000</v>
      </c>
      <c r="Q100" s="1446">
        <f>[3]DATA!V98</f>
        <v>22500000</v>
      </c>
      <c r="R100" s="1446">
        <f>[3]DATA!W98</f>
        <v>0</v>
      </c>
      <c r="S100" s="2467">
        <f t="shared" si="6"/>
        <v>178336000</v>
      </c>
      <c r="T100" s="2468"/>
      <c r="U100" s="1449" t="str">
        <f>[3]DATA!Y98</f>
        <v>JICA</v>
      </c>
      <c r="V100" s="77">
        <f>[3]DATA!AA98</f>
        <v>155836000</v>
      </c>
      <c r="W100" s="77">
        <v>0</v>
      </c>
      <c r="X100" s="216" t="str">
        <f>[3]DATA!Y98</f>
        <v>JICA</v>
      </c>
      <c r="Y100" s="245">
        <f>[3]DATA!AT98</f>
        <v>155836000</v>
      </c>
      <c r="Z100" s="109" t="str">
        <f>[3]DATA!AU98</f>
        <v>JICA</v>
      </c>
      <c r="AA100" s="1544" t="str">
        <f>[3]DATA!AW98</f>
        <v>-</v>
      </c>
      <c r="AB100" s="245">
        <f>[3]DATA!AM98</f>
        <v>0</v>
      </c>
      <c r="AC100" s="1510" t="str">
        <f>[3]DATA!AN98</f>
        <v>siap</v>
      </c>
      <c r="AD100" s="1511" t="str">
        <f>[3]DATA!AO98</f>
        <v>dalam proses
(perencanaan)</v>
      </c>
      <c r="AE100" s="1545">
        <f>[3]DATA!AQ98</f>
        <v>0</v>
      </c>
      <c r="AF100" s="1547" t="str">
        <f>[3]DATA!AR98</f>
        <v>belum ada dokumen R/C</v>
      </c>
    </row>
    <row r="101" spans="1:32" ht="42" customHeight="1">
      <c r="A101" s="10">
        <f>[3]DATA!A99</f>
        <v>78</v>
      </c>
      <c r="B101" s="10">
        <f>[3]DATA!B99</f>
        <v>0</v>
      </c>
      <c r="C101" s="10" t="str">
        <f>[3]DATA!D99</f>
        <v>INFRASTRUKTUR</v>
      </c>
      <c r="D101" s="10">
        <f>[3]DATA!E99</f>
        <v>1</v>
      </c>
      <c r="E101" s="10" t="str">
        <f>[3]DATA!F99</f>
        <v>Kementerian Pekerjaan Umum dan Perumahan Rakyat</v>
      </c>
      <c r="F101" s="10" t="str">
        <f>[3]DATA!H99</f>
        <v>Mitigation of Water Hazards Program</v>
      </c>
      <c r="G101" s="10" t="str">
        <f>[3]DATA!I99</f>
        <v>K</v>
      </c>
      <c r="H101" s="10" t="str">
        <f>[3]DATA!J99</f>
        <v>Program Mitigasi Terhadap Daya Rusak Air</v>
      </c>
      <c r="I101" s="10">
        <f>[3]DATA!K99</f>
        <v>2</v>
      </c>
      <c r="J101" s="181"/>
      <c r="K101" s="34"/>
      <c r="L101" s="34">
        <v>27</v>
      </c>
      <c r="M101" s="36">
        <v>68</v>
      </c>
      <c r="N101" s="37" t="str">
        <f>[3]DATA!L99</f>
        <v>Comprehensive Countermeasure for Sediment &amp; Flood Problems in South Sulawesi Province</v>
      </c>
      <c r="O101" s="187">
        <f>[3]DATA!T99</f>
        <v>108100000</v>
      </c>
      <c r="P101" s="187">
        <f>[3]DATA!U99</f>
        <v>108100000</v>
      </c>
      <c r="Q101" s="1446">
        <f>[3]DATA!V99</f>
        <v>3900000</v>
      </c>
      <c r="R101" s="1446">
        <f>[3]DATA!W99</f>
        <v>0</v>
      </c>
      <c r="S101" s="2467">
        <f t="shared" si="6"/>
        <v>112000000</v>
      </c>
      <c r="T101" s="2468"/>
      <c r="U101" s="1449" t="str">
        <f>[3]DATA!Y99</f>
        <v>JICA</v>
      </c>
      <c r="V101" s="77">
        <f>[3]DATA!AA99</f>
        <v>108100000</v>
      </c>
      <c r="W101" s="77">
        <v>0</v>
      </c>
      <c r="X101" s="216" t="str">
        <f>[3]DATA!Y99</f>
        <v>JICA</v>
      </c>
      <c r="Y101" s="245">
        <f>[3]DATA!AT99</f>
        <v>108100000</v>
      </c>
      <c r="Z101" s="109" t="str">
        <f>[3]DATA!AU99</f>
        <v>JICA</v>
      </c>
      <c r="AA101" s="1544" t="str">
        <f>[3]DATA!AW99</f>
        <v>-</v>
      </c>
      <c r="AB101" s="245">
        <f>[3]DATA!AM99</f>
        <v>0</v>
      </c>
      <c r="AC101" s="1510" t="str">
        <f>[3]DATA!AN99</f>
        <v>dalam proses
(memiliki FS dan DED)</v>
      </c>
      <c r="AD101" s="1511" t="str">
        <f>[3]DATA!AO99</f>
        <v>belum ada keterangan</v>
      </c>
      <c r="AE101" s="1545">
        <f>[3]DATA!AQ99</f>
        <v>0</v>
      </c>
      <c r="AF101" s="1547" t="str">
        <f>[3]DATA!AR99</f>
        <v>belum ada dokumen R/C</v>
      </c>
    </row>
    <row r="102" spans="1:32" ht="26.25" customHeight="1">
      <c r="A102" s="10">
        <f>[3]DATA!A100</f>
        <v>79</v>
      </c>
      <c r="B102" s="10">
        <f>[3]DATA!B100</f>
        <v>0</v>
      </c>
      <c r="C102" s="10" t="str">
        <f>[3]DATA!D100</f>
        <v>INFRASTRUKTUR</v>
      </c>
      <c r="D102" s="10">
        <f>[3]DATA!E100</f>
        <v>1</v>
      </c>
      <c r="E102" s="10" t="str">
        <f>[3]DATA!F100</f>
        <v>Kementerian Pekerjaan Umum dan Perumahan Rakyat</v>
      </c>
      <c r="F102" s="10" t="str">
        <f>[3]DATA!H100</f>
        <v>Mitigation of Water Hazards Program</v>
      </c>
      <c r="G102" s="10" t="str">
        <f>[3]DATA!I100</f>
        <v>K</v>
      </c>
      <c r="H102" s="10" t="str">
        <f>[3]DATA!J100</f>
        <v>Program Mitigasi Terhadap Daya Rusak Air</v>
      </c>
      <c r="I102" s="10">
        <f>[3]DATA!K100</f>
        <v>3</v>
      </c>
      <c r="J102" s="181"/>
      <c r="K102" s="34"/>
      <c r="L102" s="34">
        <v>28</v>
      </c>
      <c r="M102" s="36">
        <v>69</v>
      </c>
      <c r="N102" s="37" t="str">
        <f>[3]DATA!L100</f>
        <v>Bali Beach Conservation Project - Phase II</v>
      </c>
      <c r="O102" s="187">
        <f>[3]DATA!T100</f>
        <v>150000000</v>
      </c>
      <c r="P102" s="187">
        <f>[3]DATA!U100</f>
        <v>150000000</v>
      </c>
      <c r="Q102" s="1446">
        <f>[3]DATA!V100</f>
        <v>15000000</v>
      </c>
      <c r="R102" s="1446">
        <f>[3]DATA!W100</f>
        <v>0</v>
      </c>
      <c r="S102" s="2467">
        <f t="shared" si="6"/>
        <v>165000000</v>
      </c>
      <c r="T102" s="2468"/>
      <c r="U102" s="1449" t="str">
        <f>[3]DATA!Y100</f>
        <v>JICA</v>
      </c>
      <c r="V102" s="77">
        <f>[3]DATA!AA100</f>
        <v>150000000</v>
      </c>
      <c r="W102" s="77">
        <v>0</v>
      </c>
      <c r="X102" s="216" t="str">
        <f>[3]DATA!Y100</f>
        <v>JICA</v>
      </c>
      <c r="Y102" s="245">
        <f>[3]DATA!AT100</f>
        <v>150000000</v>
      </c>
      <c r="Z102" s="109" t="str">
        <f>[3]DATA!AU100</f>
        <v>JICA</v>
      </c>
      <c r="AA102" s="1544" t="str">
        <f>[3]DATA!AW100</f>
        <v>-</v>
      </c>
      <c r="AB102" s="245" t="str">
        <f>[3]DATA!AM100</f>
        <v>Rev. 2016</v>
      </c>
      <c r="AC102" s="1510" t="str">
        <f>[3]DATA!AN100</f>
        <v>dalam proses
(memiliki FS)</v>
      </c>
      <c r="AD102" s="1511" t="str">
        <f>[3]DATA!AO100</f>
        <v>belum ada keterangan</v>
      </c>
      <c r="AE102" s="1545">
        <f>[3]DATA!AQ100</f>
        <v>0</v>
      </c>
      <c r="AF102" s="1547" t="str">
        <f>[3]DATA!AR100</f>
        <v>Nilai pinjaman di GB USD 90.247 ribu</v>
      </c>
    </row>
    <row r="103" spans="1:32" ht="40.5" customHeight="1">
      <c r="A103" s="10">
        <f>[3]DATA!A101</f>
        <v>80</v>
      </c>
      <c r="B103" s="10">
        <f>[3]DATA!B101</f>
        <v>0</v>
      </c>
      <c r="C103" s="10" t="str">
        <f>[3]DATA!D101</f>
        <v>INFRASTRUKTUR</v>
      </c>
      <c r="D103" s="10">
        <f>[3]DATA!E101</f>
        <v>1</v>
      </c>
      <c r="E103" s="10" t="str">
        <f>[3]DATA!F101</f>
        <v>Kementerian Pekerjaan Umum dan Perumahan Rakyat</v>
      </c>
      <c r="F103" s="10" t="str">
        <f>[3]DATA!H101</f>
        <v>Mitigation of Water Hazards Program</v>
      </c>
      <c r="G103" s="10" t="str">
        <f>[3]DATA!I101</f>
        <v>K</v>
      </c>
      <c r="H103" s="10" t="str">
        <f>[3]DATA!J101</f>
        <v>Program Mitigasi Terhadap Daya Rusak Air</v>
      </c>
      <c r="I103" s="10">
        <f>[3]DATA!K101</f>
        <v>4</v>
      </c>
      <c r="J103" s="181"/>
      <c r="K103" s="34"/>
      <c r="L103" s="34">
        <v>29</v>
      </c>
      <c r="M103" s="36">
        <v>70</v>
      </c>
      <c r="N103" s="37" t="str">
        <f>[3]DATA!L101</f>
        <v>Urgent Disaster Reduction of Mt. Sinabung, Mt. Semeru, Mt. Kelud Mt. Lokon, and Mt. Gamalama</v>
      </c>
      <c r="O103" s="187">
        <f>[3]DATA!T101</f>
        <v>260000000</v>
      </c>
      <c r="P103" s="187">
        <f>[3]DATA!U101</f>
        <v>260000000</v>
      </c>
      <c r="Q103" s="1446">
        <f>[3]DATA!V101</f>
        <v>26000000</v>
      </c>
      <c r="R103" s="1446">
        <f>[3]DATA!W101</f>
        <v>0</v>
      </c>
      <c r="S103" s="2467">
        <f t="shared" si="6"/>
        <v>286000000</v>
      </c>
      <c r="T103" s="2468"/>
      <c r="U103" s="1449" t="str">
        <f>[3]DATA!Y101</f>
        <v>JICA</v>
      </c>
      <c r="V103" s="77">
        <f>[3]DATA!AA101</f>
        <v>260000000</v>
      </c>
      <c r="W103" s="77">
        <v>0</v>
      </c>
      <c r="X103" s="216" t="str">
        <f>[3]DATA!Y101</f>
        <v>JICA</v>
      </c>
      <c r="Y103" s="245">
        <f>[3]DATA!AT101</f>
        <v>260000000</v>
      </c>
      <c r="Z103" s="109" t="str">
        <f>[3]DATA!AU101</f>
        <v>JICA</v>
      </c>
      <c r="AA103" s="1544" t="str">
        <f>[3]DATA!AW101</f>
        <v>-</v>
      </c>
      <c r="AB103" s="245">
        <f>[3]DATA!AM101</f>
        <v>0</v>
      </c>
      <c r="AC103" s="1510" t="str">
        <f>[3]DATA!AN101</f>
        <v>siap</v>
      </c>
      <c r="AD103" s="1511" t="str">
        <f>[3]DATA!AO101</f>
        <v>dalam proses
(persiapan)</v>
      </c>
      <c r="AE103" s="1545">
        <f>[3]DATA!AQ101</f>
        <v>0</v>
      </c>
      <c r="AF103" s="1547" t="str">
        <f>[3]DATA!AR101</f>
        <v>belum ada dokumen R/C</v>
      </c>
    </row>
    <row r="104" spans="1:32" ht="42.75" customHeight="1">
      <c r="A104" s="10">
        <f>[3]DATA!A102</f>
        <v>81</v>
      </c>
      <c r="B104" s="10">
        <f>[3]DATA!B102</f>
        <v>0</v>
      </c>
      <c r="C104" s="10" t="str">
        <f>[3]DATA!D102</f>
        <v>INFRASTRUKTUR</v>
      </c>
      <c r="D104" s="10">
        <f>[3]DATA!E102</f>
        <v>1</v>
      </c>
      <c r="E104" s="10" t="str">
        <f>[3]DATA!F102</f>
        <v>Kementerian Pekerjaan Umum dan Perumahan Rakyat</v>
      </c>
      <c r="F104" s="10" t="str">
        <f>[3]DATA!H102</f>
        <v>Mitigation of Water Hazards Program</v>
      </c>
      <c r="G104" s="10" t="str">
        <f>[3]DATA!I102</f>
        <v>K</v>
      </c>
      <c r="H104" s="10" t="str">
        <f>[3]DATA!J102</f>
        <v>Program Mitigasi Terhadap Daya Rusak Air</v>
      </c>
      <c r="I104" s="10">
        <f>[3]DATA!K102</f>
        <v>5</v>
      </c>
      <c r="J104" s="181"/>
      <c r="K104" s="34"/>
      <c r="L104" s="34">
        <v>30</v>
      </c>
      <c r="M104" s="36">
        <v>71</v>
      </c>
      <c r="N104" s="37" t="str">
        <f>[3]DATA!L102</f>
        <v>Urban Flood Control System Improvement in Selected Cities -Phase II</v>
      </c>
      <c r="O104" s="187">
        <f>[3]DATA!T102</f>
        <v>120000000</v>
      </c>
      <c r="P104" s="187">
        <f>[3]DATA!U102</f>
        <v>120000000</v>
      </c>
      <c r="Q104" s="1446">
        <f>[3]DATA!V102</f>
        <v>12000000</v>
      </c>
      <c r="R104" s="1446">
        <f>[3]DATA!W102</f>
        <v>0</v>
      </c>
      <c r="S104" s="2467">
        <f t="shared" si="6"/>
        <v>132000000</v>
      </c>
      <c r="T104" s="2468"/>
      <c r="U104" s="1449" t="str">
        <f>[3]DATA!Y102</f>
        <v>JICA</v>
      </c>
      <c r="V104" s="77">
        <f>[3]DATA!AA102</f>
        <v>120000000</v>
      </c>
      <c r="W104" s="77">
        <v>0</v>
      </c>
      <c r="X104" s="216" t="str">
        <f>[3]DATA!Y102</f>
        <v>JICA</v>
      </c>
      <c r="Y104" s="245">
        <f>[3]DATA!AT102</f>
        <v>120000000</v>
      </c>
      <c r="Z104" s="109" t="str">
        <f>[3]DATA!AU102</f>
        <v>JICA</v>
      </c>
      <c r="AA104" s="1544" t="str">
        <f>[3]DATA!AW102</f>
        <v>-</v>
      </c>
      <c r="AB104" s="245">
        <f>[3]DATA!AM102</f>
        <v>0</v>
      </c>
      <c r="AC104" s="1510" t="str">
        <f>[3]DATA!AN102</f>
        <v>siap</v>
      </c>
      <c r="AD104" s="1511" t="str">
        <f>[3]DATA!AO102</f>
        <v>dalam proses
(perencanaan)</v>
      </c>
      <c r="AE104" s="1545">
        <f>[3]DATA!AQ102</f>
        <v>0</v>
      </c>
      <c r="AF104" s="1547" t="str">
        <f>[3]DATA!AR102</f>
        <v>belum ada dokumen R/C</v>
      </c>
    </row>
    <row r="105" spans="1:32" ht="28.5" customHeight="1">
      <c r="A105" s="10">
        <f>[3]DATA!A103</f>
        <v>82</v>
      </c>
      <c r="B105" s="10">
        <f>[3]DATA!B103</f>
        <v>0</v>
      </c>
      <c r="C105" s="10" t="str">
        <f>[3]DATA!D103</f>
        <v>INFRASTRUKTUR</v>
      </c>
      <c r="D105" s="10">
        <f>[3]DATA!E103</f>
        <v>1</v>
      </c>
      <c r="E105" s="10" t="str">
        <f>[3]DATA!F103</f>
        <v>Kementerian Pekerjaan Umum dan Perumahan Rakyat</v>
      </c>
      <c r="F105" s="10" t="str">
        <f>[3]DATA!H103</f>
        <v>Mitigation of Water Hazards Program</v>
      </c>
      <c r="G105" s="10" t="str">
        <f>[3]DATA!I103</f>
        <v>K</v>
      </c>
      <c r="H105" s="10" t="str">
        <f>[3]DATA!J103</f>
        <v>Program Mitigasi Terhadap Daya Rusak Air</v>
      </c>
      <c r="I105" s="10">
        <f>[3]DATA!K103</f>
        <v>6</v>
      </c>
      <c r="J105" s="181"/>
      <c r="K105" s="34"/>
      <c r="L105" s="34">
        <v>31</v>
      </c>
      <c r="M105" s="36">
        <v>72</v>
      </c>
      <c r="N105" s="37" t="str">
        <f>[3]DATA!L109</f>
        <v>Flood Management in Selected River Basins</v>
      </c>
      <c r="O105" s="187">
        <f>[3]DATA!T109</f>
        <v>108700000</v>
      </c>
      <c r="P105" s="187">
        <f>[3]DATA!U109</f>
        <v>108700000</v>
      </c>
      <c r="Q105" s="1453">
        <f>[3]DATA!V109</f>
        <v>50440000</v>
      </c>
      <c r="R105" s="1453">
        <f>[3]DATA!W109</f>
        <v>0</v>
      </c>
      <c r="S105" s="2467">
        <f t="shared" si="6"/>
        <v>159140000</v>
      </c>
      <c r="T105" s="2468"/>
      <c r="U105" s="1509" t="str">
        <f>[3]DATA!Y109</f>
        <v>ADB</v>
      </c>
      <c r="V105" s="77">
        <f>[3]DATA!AA109</f>
        <v>108700000</v>
      </c>
      <c r="W105" s="77">
        <v>0</v>
      </c>
      <c r="X105" s="216" t="str">
        <f>[3]DATA!Y109</f>
        <v>ADB</v>
      </c>
      <c r="Y105" s="245">
        <f>[3]DATA!AT109</f>
        <v>108700000</v>
      </c>
      <c r="Z105" s="109" t="str">
        <f>[3]DATA!AU109</f>
        <v>ADB</v>
      </c>
      <c r="AA105" s="1544" t="str">
        <f>[3]DATA!AW109</f>
        <v>-</v>
      </c>
      <c r="AB105" s="245" t="str">
        <f>[3]DATA!AM109</f>
        <v>2016; 2015</v>
      </c>
      <c r="AC105" s="1510" t="str">
        <f>[3]DATA!AN109</f>
        <v>dalam proses
(memiliki FS dan DED)</v>
      </c>
      <c r="AD105" s="1511" t="str">
        <f>[3]DATA!AO109</f>
        <v>dalam proses
(persiapan)</v>
      </c>
      <c r="AE105" s="1545">
        <f>[3]DATA!AQ109</f>
        <v>0</v>
      </c>
      <c r="AF105" s="1547" t="str">
        <f>[3]DATA!AR109</f>
        <v>-</v>
      </c>
    </row>
    <row r="106" spans="1:32" ht="42" customHeight="1">
      <c r="A106" s="10">
        <f>[3]DATA!A104</f>
        <v>0</v>
      </c>
      <c r="B106" s="10">
        <f>[3]DATA!B104</f>
        <v>0</v>
      </c>
      <c r="C106" s="10" t="str">
        <f>[3]DATA!D104</f>
        <v>INFRASTRUKTUR</v>
      </c>
      <c r="D106" s="10">
        <f>[3]DATA!E104</f>
        <v>1</v>
      </c>
      <c r="E106" s="10" t="str">
        <f>[3]DATA!F104</f>
        <v>Kementerian Pekerjaan Umum dan Perumahan Rakyat</v>
      </c>
      <c r="F106" s="10" t="str">
        <f>[3]DATA!H104</f>
        <v>Mitigation of Water Hazards Program</v>
      </c>
      <c r="G106" s="10" t="str">
        <f>[3]DATA!I104</f>
        <v>K</v>
      </c>
      <c r="H106" s="10" t="str">
        <f>[3]DATA!J104</f>
        <v>Program Mitigasi Terhadap Daya Rusak Air</v>
      </c>
      <c r="I106" s="10">
        <f>[3]DATA!K104</f>
        <v>6</v>
      </c>
      <c r="J106" s="181"/>
      <c r="K106" s="34"/>
      <c r="L106" s="34"/>
      <c r="M106" s="36">
        <v>73</v>
      </c>
      <c r="N106" s="37" t="str">
        <f>[3]DATA!L108</f>
        <v>Flood Management in Selected River Basins Sector Project (Additional Financing)</v>
      </c>
      <c r="O106" s="187">
        <f>[3]DATA!T108</f>
        <v>200000000</v>
      </c>
      <c r="P106" s="187">
        <f>[3]DATA!U108</f>
        <v>200000000</v>
      </c>
      <c r="Q106" s="1453">
        <f>[3]DATA!V108</f>
        <v>20000000</v>
      </c>
      <c r="R106" s="1453">
        <f>[3]DATA!W108</f>
        <v>0</v>
      </c>
      <c r="S106" s="2467">
        <f t="shared" si="6"/>
        <v>220000000</v>
      </c>
      <c r="T106" s="2468"/>
      <c r="U106" s="1509" t="str">
        <f>[3]DATA!Y108</f>
        <v>Belum Ada Indikasi</v>
      </c>
      <c r="V106" s="77">
        <v>0</v>
      </c>
      <c r="W106" s="77">
        <f>[3]DATA!AA108</f>
        <v>200000000</v>
      </c>
      <c r="X106" s="216" t="str">
        <f>[3]DATA!Y108</f>
        <v>Belum Ada Indikasi</v>
      </c>
      <c r="Y106" s="245">
        <f>[3]DATA!AT108</f>
        <v>200000000</v>
      </c>
      <c r="Z106" s="109" t="str">
        <f>[3]DATA!AU108</f>
        <v>ADB</v>
      </c>
      <c r="AA106" s="1544" t="str">
        <f>[3]DATA!AW108</f>
        <v>sudah masuk COBP ADB</v>
      </c>
      <c r="AB106" s="245">
        <f>[3]DATA!AM108</f>
        <v>0</v>
      </c>
      <c r="AC106" s="1510" t="str">
        <f>[3]DATA!AN108</f>
        <v>belum ada keterangan</v>
      </c>
      <c r="AD106" s="1511" t="str">
        <f>[3]DATA!AO108</f>
        <v>belum ada keterangan</v>
      </c>
      <c r="AE106" s="1545">
        <f>[3]DATA!AQ108</f>
        <v>0</v>
      </c>
      <c r="AF106" s="1547" t="str">
        <f>[3]DATA!AR108</f>
        <v>belum ada dokumen R/C</v>
      </c>
    </row>
    <row r="107" spans="1:32" ht="43.5" customHeight="1">
      <c r="A107" s="10">
        <f>[3]DATA!A104</f>
        <v>0</v>
      </c>
      <c r="B107" s="10">
        <f>[3]DATA!B104</f>
        <v>0</v>
      </c>
      <c r="C107" s="10" t="str">
        <f>[3]DATA!D104</f>
        <v>INFRASTRUKTUR</v>
      </c>
      <c r="D107" s="10">
        <f>[3]DATA!E104</f>
        <v>1</v>
      </c>
      <c r="E107" s="10" t="str">
        <f>[3]DATA!F104</f>
        <v>Kementerian Pekerjaan Umum dan Perumahan Rakyat</v>
      </c>
      <c r="F107" s="10" t="str">
        <f>[3]DATA!H104</f>
        <v>Mitigation of Water Hazards Program</v>
      </c>
      <c r="G107" s="10" t="str">
        <f>[3]DATA!I104</f>
        <v>K</v>
      </c>
      <c r="H107" s="10" t="str">
        <f>[3]DATA!J104</f>
        <v>Program Mitigasi Terhadap Daya Rusak Air</v>
      </c>
      <c r="I107" s="10">
        <f>[3]DATA!K104</f>
        <v>6</v>
      </c>
      <c r="J107" s="181"/>
      <c r="K107" s="34"/>
      <c r="L107" s="34">
        <v>33</v>
      </c>
      <c r="M107" s="3390">
        <v>74</v>
      </c>
      <c r="N107" s="3397" t="str">
        <f>[3]DATA!L104</f>
        <v>Engineering Service for Coastal and River Development Project</v>
      </c>
      <c r="O107" s="3405">
        <f>[3]DATA!T104</f>
        <v>50000000</v>
      </c>
      <c r="P107" s="3405">
        <f>[3]DATA!U104</f>
        <v>50000000</v>
      </c>
      <c r="Q107" s="3443">
        <f>[3]DATA!V103</f>
        <v>0</v>
      </c>
      <c r="R107" s="3443">
        <f>[3]DATA!W103</f>
        <v>0</v>
      </c>
      <c r="S107" s="3403">
        <f t="shared" si="6"/>
        <v>50000000</v>
      </c>
      <c r="T107" s="77"/>
      <c r="U107" s="1449" t="str">
        <f>[3]DATA!Y104</f>
        <v>ADB</v>
      </c>
      <c r="V107" s="1458">
        <f>[3]DATA!AA104</f>
        <v>9620000</v>
      </c>
      <c r="W107" s="77">
        <v>0</v>
      </c>
      <c r="X107" s="218" t="str">
        <f>[3]DATA!Y104</f>
        <v>ADB</v>
      </c>
      <c r="Y107" s="245">
        <f>[3]DATA!AT104</f>
        <v>9620000</v>
      </c>
      <c r="Z107" s="109" t="str">
        <f>[3]DATA!AU104</f>
        <v>ADB</v>
      </c>
      <c r="AA107" s="1544" t="str">
        <f>[3]DATA!AW104</f>
        <v>co-financing dengan Korea (USD 10,5 juta) dan belum ada indikasi (USD 29,9 juta)</v>
      </c>
      <c r="AB107" s="245" t="str">
        <f>[3]DATA!AM104</f>
        <v>2016; 2015</v>
      </c>
      <c r="AC107" s="1510" t="str">
        <f>[3]DATA!AN104</f>
        <v>siap</v>
      </c>
      <c r="AD107" s="1511" t="str">
        <f>[3]DATA!AO104</f>
        <v>tidak butuh lahan</v>
      </c>
      <c r="AE107" s="1545">
        <f>[3]DATA!AQ104</f>
        <v>0</v>
      </c>
      <c r="AF107" s="1547" t="str">
        <f>[3]DATA!AR104</f>
        <v>-</v>
      </c>
    </row>
    <row r="108" spans="1:32" ht="69" customHeight="1">
      <c r="J108" s="181"/>
      <c r="K108" s="34"/>
      <c r="L108" s="34"/>
      <c r="M108" s="3392"/>
      <c r="N108" s="3397"/>
      <c r="O108" s="3405"/>
      <c r="P108" s="3405"/>
      <c r="Q108" s="3444"/>
      <c r="R108" s="3444"/>
      <c r="S108" s="3405"/>
      <c r="T108" s="77"/>
      <c r="U108" s="1449" t="str">
        <f>[3]DATA!Y105</f>
        <v>Korea</v>
      </c>
      <c r="V108" s="1458">
        <f>[3]DATA!AA105</f>
        <v>10500000</v>
      </c>
      <c r="W108" s="77"/>
      <c r="X108" s="218" t="str">
        <f>[3]DATA!Y105</f>
        <v>Korea</v>
      </c>
      <c r="Y108" s="245">
        <f>[3]DATA!AT105</f>
        <v>10500000</v>
      </c>
      <c r="Z108" s="109" t="str">
        <f>[3]DATA!AU105</f>
        <v>Korea</v>
      </c>
      <c r="AA108" s="1544" t="str">
        <f>[3]DATA!AW105</f>
        <v>- co-financing dengan ADB (USD 9,6 juta) dan belum ada indikasi (USD 29,9 juta)
- masuk rolling plan EDCF (Korea)</v>
      </c>
      <c r="AB108" s="1625">
        <f>[3]DATA!AM105</f>
        <v>2016</v>
      </c>
      <c r="AC108" s="1510" t="str">
        <f>[3]DATA!AN105</f>
        <v>siap</v>
      </c>
      <c r="AD108" s="1511" t="str">
        <f>[3]DATA!AO105</f>
        <v>tidak butuh lahan</v>
      </c>
      <c r="AE108" s="1545">
        <f>[3]DATA!AQ105</f>
        <v>0</v>
      </c>
      <c r="AF108" s="1547" t="str">
        <f>[3]DATA!AR105</f>
        <v>-</v>
      </c>
    </row>
    <row r="109" spans="1:32" ht="20.25" customHeight="1">
      <c r="J109" s="181"/>
      <c r="K109" s="34"/>
      <c r="L109" s="34"/>
      <c r="M109" s="3391"/>
      <c r="N109" s="3394"/>
      <c r="O109" s="3404"/>
      <c r="P109" s="3404"/>
      <c r="Q109" s="3445"/>
      <c r="R109" s="3445"/>
      <c r="S109" s="3404"/>
      <c r="T109" s="2471"/>
      <c r="U109" s="1449" t="str">
        <f>[3]DATA!Y106</f>
        <v>Belum Ada Indikasi</v>
      </c>
      <c r="V109" s="1458">
        <v>0</v>
      </c>
      <c r="W109" s="1458">
        <f>[3]DATA!AA106</f>
        <v>29880000</v>
      </c>
      <c r="X109" s="218" t="str">
        <f>[3]DATA!Y106</f>
        <v>Belum Ada Indikasi</v>
      </c>
      <c r="Y109" s="245">
        <f>[3]DATA!AT106</f>
        <v>29880000</v>
      </c>
      <c r="Z109" s="109" t="str">
        <f>[3]DATA!AU106</f>
        <v>Belum Ada Indikasi</v>
      </c>
      <c r="AA109" s="1544" t="str">
        <f>[3]DATA!AW106</f>
        <v>co-financing dengan Korea (USD 10,5 juta) dan ADB (USD 29,8 juta)</v>
      </c>
      <c r="AB109" s="245" t="str">
        <f>[3]DATA!AM106</f>
        <v>-</v>
      </c>
      <c r="AC109" s="1510" t="str">
        <f>[3]DATA!AN106</f>
        <v>belum ada keterangan</v>
      </c>
      <c r="AD109" s="1511" t="str">
        <f>[3]DATA!AO106</f>
        <v>belum ada keterangan</v>
      </c>
      <c r="AE109" s="1545">
        <f>[3]DATA!AQ106</f>
        <v>0</v>
      </c>
      <c r="AF109" s="1547" t="str">
        <f>[3]DATA!AR106</f>
        <v>-</v>
      </c>
    </row>
    <row r="110" spans="1:32" s="5" customFormat="1" ht="33.75" customHeight="1">
      <c r="J110" s="180"/>
      <c r="K110" s="50"/>
      <c r="L110" s="30" t="s">
        <v>244</v>
      </c>
      <c r="M110" s="3427" t="str">
        <f>[3]DATA!J110</f>
        <v>Program Pengelolaan Infrastruktur Sumber Daya Air</v>
      </c>
      <c r="N110" s="3428"/>
      <c r="O110" s="197">
        <f>+O111+O113+O114</f>
        <v>650000000</v>
      </c>
      <c r="P110" s="197">
        <f>+P111+P113+P114</f>
        <v>650000000</v>
      </c>
      <c r="Q110" s="1436">
        <f>+Q111+Q113+Q114</f>
        <v>130000000</v>
      </c>
      <c r="R110" s="1436">
        <f>+R111+R113+R114</f>
        <v>0</v>
      </c>
      <c r="S110" s="1559">
        <f t="shared" ref="S110:S165" si="7">P110+Q110+R110</f>
        <v>780000000</v>
      </c>
      <c r="T110" s="2463"/>
      <c r="U110" s="1539"/>
      <c r="V110" s="81">
        <f>+V111+V113+V114</f>
        <v>600000000</v>
      </c>
      <c r="W110" s="81">
        <f>+W111+W113+W114</f>
        <v>50000000</v>
      </c>
      <c r="X110" s="214"/>
      <c r="Y110" s="244">
        <f>+Y111+Y112+Y113+Y114</f>
        <v>650000000</v>
      </c>
      <c r="Z110" s="81" t="s">
        <v>21</v>
      </c>
      <c r="AA110" s="214"/>
      <c r="AB110" s="1505"/>
      <c r="AC110" s="1506"/>
      <c r="AD110" s="169"/>
      <c r="AE110" s="1507"/>
      <c r="AF110" s="1530"/>
    </row>
    <row r="111" spans="1:32" ht="33.75" customHeight="1">
      <c r="A111" s="10">
        <f>[3]DATA!A110</f>
        <v>85</v>
      </c>
      <c r="B111" s="10">
        <f>[3]DATA!B110</f>
        <v>0</v>
      </c>
      <c r="C111" s="10" t="str">
        <f>[3]DATA!D110</f>
        <v>INFRASTRUKTUR</v>
      </c>
      <c r="D111" s="10">
        <f>[3]DATA!E110</f>
        <v>1</v>
      </c>
      <c r="E111" s="10" t="str">
        <f>[3]DATA!F110</f>
        <v>Kementerian Pekerjaan Umum dan Perumahan Rakyat</v>
      </c>
      <c r="F111" s="10" t="str">
        <f>[3]DATA!H110</f>
        <v>Management of Water Resources Infrastructure Program</v>
      </c>
      <c r="G111" s="10" t="str">
        <f>[3]DATA!I110</f>
        <v>L</v>
      </c>
      <c r="H111" s="10" t="str">
        <f>[3]DATA!J110</f>
        <v>Program Pengelolaan Infrastruktur Sumber Daya Air</v>
      </c>
      <c r="I111" s="10">
        <f>[3]DATA!K110</f>
        <v>1</v>
      </c>
      <c r="J111" s="181"/>
      <c r="K111" s="34"/>
      <c r="L111" s="35">
        <v>34</v>
      </c>
      <c r="M111" s="3393">
        <v>75</v>
      </c>
      <c r="N111" s="3460" t="str">
        <f>[3]DATA!L110</f>
        <v>Dam Operational Improvement and Safety Project (DOISP) - Phase II</v>
      </c>
      <c r="O111" s="3408">
        <f>[3]DATA!T110</f>
        <v>250000000</v>
      </c>
      <c r="P111" s="3408">
        <f>[3]DATA!U110</f>
        <v>250000000</v>
      </c>
      <c r="Q111" s="3468">
        <f>[3]DATA!V110</f>
        <v>50000000</v>
      </c>
      <c r="R111" s="3468">
        <f>[3]DATA!W110</f>
        <v>0</v>
      </c>
      <c r="S111" s="3408">
        <f t="shared" si="7"/>
        <v>300000000</v>
      </c>
      <c r="T111" s="3481"/>
      <c r="U111" s="1449" t="str">
        <f>[3]DATA!Y110</f>
        <v>Bank Dunia</v>
      </c>
      <c r="V111" s="3493">
        <f>[3]DATA!AA110</f>
        <v>250000000</v>
      </c>
      <c r="W111" s="3493">
        <v>0</v>
      </c>
      <c r="X111" s="3416" t="str">
        <f>[3]DATA!Y110</f>
        <v>Bank Dunia</v>
      </c>
      <c r="Y111" s="245">
        <f>[3]DATA!AT111</f>
        <v>125000000</v>
      </c>
      <c r="Z111" s="109" t="str">
        <f>[3]DATA!AU111</f>
        <v>Bank Dunia</v>
      </c>
      <c r="AA111" s="1544" t="str">
        <f>[3]DATA!AW111</f>
        <v>co-financing dengan AIIB (USD 125 juta)</v>
      </c>
      <c r="AB111" s="245" t="str">
        <f>[3]DATA!AM110</f>
        <v>Rev. 2016</v>
      </c>
      <c r="AC111" s="1510" t="str">
        <f>[3]DATA!AN110</f>
        <v>dalam proses
(memiliki FS)</v>
      </c>
      <c r="AD111" s="1511" t="str">
        <f>[3]DATA!AO110</f>
        <v>belum ada keterangan</v>
      </c>
      <c r="AE111" s="1545">
        <f>[3]DATA!AQ110</f>
        <v>0</v>
      </c>
      <c r="AF111" s="1547" t="str">
        <f>[3]DATA!AR110</f>
        <v>-</v>
      </c>
    </row>
    <row r="112" spans="1:32" ht="33.75" customHeight="1">
      <c r="J112" s="181"/>
      <c r="K112" s="34"/>
      <c r="L112" s="34"/>
      <c r="M112" s="3456"/>
      <c r="N112" s="3462"/>
      <c r="O112" s="3463"/>
      <c r="P112" s="3463"/>
      <c r="Q112" s="3463"/>
      <c r="R112" s="3463"/>
      <c r="S112" s="3463"/>
      <c r="T112" s="3482"/>
      <c r="U112" s="1449"/>
      <c r="V112" s="3456"/>
      <c r="W112" s="3456"/>
      <c r="X112" s="3500"/>
      <c r="Y112" s="245">
        <f>[3]DATA!AT112</f>
        <v>125000000</v>
      </c>
      <c r="Z112" s="109" t="str">
        <f>[3]DATA!AU112</f>
        <v>AIIB</v>
      </c>
      <c r="AA112" s="1544" t="str">
        <f>[3]DATA!AW112</f>
        <v>co-financing dengan Bank Dunia (USD 125 juta)</v>
      </c>
      <c r="AB112" s="245" t="str">
        <f>[3]DATA!AM111</f>
        <v>Rev. 2016</v>
      </c>
      <c r="AC112" s="1510" t="str">
        <f>[3]DATA!AN111</f>
        <v>dalam proses
(memiliki FS)</v>
      </c>
      <c r="AD112" s="1511" t="str">
        <f>[3]DATA!AO111</f>
        <v>belum ada keterangan</v>
      </c>
      <c r="AE112" s="1545">
        <f>[3]DATA!AQ111</f>
        <v>0</v>
      </c>
      <c r="AF112" s="1547" t="str">
        <f>[3]DATA!AR111</f>
        <v>-</v>
      </c>
    </row>
    <row r="113" spans="1:34" ht="27" customHeight="1">
      <c r="A113" s="10">
        <f>[3]DATA!A113</f>
        <v>86</v>
      </c>
      <c r="B113" s="10">
        <f>[3]DATA!B113</f>
        <v>0</v>
      </c>
      <c r="C113" s="10" t="str">
        <f>[3]DATA!D113</f>
        <v>INFRASTRUKTUR</v>
      </c>
      <c r="D113" s="10">
        <f>[3]DATA!E113</f>
        <v>1</v>
      </c>
      <c r="E113" s="10" t="str">
        <f>[3]DATA!F113</f>
        <v>Kementerian Pekerjaan Umum dan Perumahan Rakyat</v>
      </c>
      <c r="F113" s="10" t="str">
        <f>[3]DATA!H113</f>
        <v>Management of Water Resources Infrastructure Program</v>
      </c>
      <c r="G113" s="10" t="str">
        <f>[3]DATA!I113</f>
        <v>L</v>
      </c>
      <c r="H113" s="10" t="str">
        <f>[3]DATA!J113</f>
        <v>Program Pengelolaan Infrastruktur Sumber Daya Air</v>
      </c>
      <c r="I113" s="10">
        <f>[3]DATA!K113</f>
        <v>2</v>
      </c>
      <c r="J113" s="181"/>
      <c r="K113" s="34"/>
      <c r="L113" s="34">
        <v>35</v>
      </c>
      <c r="M113" s="36">
        <v>76</v>
      </c>
      <c r="N113" s="37" t="str">
        <f>[3]DATA!L113</f>
        <v>Enhanced Water Security Investment Program</v>
      </c>
      <c r="O113" s="187">
        <f>[3]DATA!T113</f>
        <v>350000000</v>
      </c>
      <c r="P113" s="187">
        <f>[3]DATA!U113</f>
        <v>350000000</v>
      </c>
      <c r="Q113" s="1446">
        <f>[3]DATA!V113</f>
        <v>70000000</v>
      </c>
      <c r="R113" s="1446">
        <f>[3]DATA!W113</f>
        <v>0</v>
      </c>
      <c r="S113" s="2467">
        <f t="shared" si="7"/>
        <v>420000000</v>
      </c>
      <c r="T113" s="2468"/>
      <c r="U113" s="1449" t="str">
        <f>[3]DATA!Y113</f>
        <v>ADB</v>
      </c>
      <c r="V113" s="77">
        <f>[3]DATA!AA113</f>
        <v>350000000</v>
      </c>
      <c r="W113" s="77">
        <v>0</v>
      </c>
      <c r="X113" s="216" t="str">
        <f>[3]DATA!Y113</f>
        <v>ADB</v>
      </c>
      <c r="Y113" s="245">
        <f>[3]DATA!AT113</f>
        <v>350000000</v>
      </c>
      <c r="Z113" s="109" t="str">
        <f>[3]DATA!AU113</f>
        <v>ADB</v>
      </c>
      <c r="AA113" s="1544" t="str">
        <f>[3]DATA!AW113</f>
        <v>-</v>
      </c>
      <c r="AB113" s="245">
        <f>[3]DATA!AM113</f>
        <v>0</v>
      </c>
      <c r="AC113" s="1510" t="str">
        <f>[3]DATA!AN113</f>
        <v>belum ada keterangan</v>
      </c>
      <c r="AD113" s="1511" t="str">
        <f>[3]DATA!AO113</f>
        <v>belum ada keterangan</v>
      </c>
      <c r="AE113" s="1545">
        <f>[3]DATA!AQ113</f>
        <v>0</v>
      </c>
      <c r="AF113" s="1547" t="str">
        <f>[3]DATA!AR113</f>
        <v>belum ada dokumen R/C</v>
      </c>
    </row>
    <row r="114" spans="1:34" ht="38.25" customHeight="1">
      <c r="A114" s="10">
        <f>[3]DATA!A114</f>
        <v>87</v>
      </c>
      <c r="B114" s="10">
        <f>[3]DATA!B114</f>
        <v>0</v>
      </c>
      <c r="C114" s="10" t="str">
        <f>[3]DATA!D114</f>
        <v>INFRASTRUKTUR</v>
      </c>
      <c r="D114" s="10">
        <f>[3]DATA!E114</f>
        <v>1</v>
      </c>
      <c r="E114" s="10" t="str">
        <f>[3]DATA!F114</f>
        <v>Kementerian Pekerjaan Umum dan Perumahan Rakyat</v>
      </c>
      <c r="F114" s="10" t="str">
        <f>[3]DATA!H114</f>
        <v>Management of Water Resources Infrastructure Program</v>
      </c>
      <c r="G114" s="10" t="str">
        <f>[3]DATA!I114</f>
        <v>L</v>
      </c>
      <c r="H114" s="10" t="str">
        <f>[3]DATA!J114</f>
        <v>Program Pengelolaan Infrastruktur Sumber Daya Air</v>
      </c>
      <c r="I114" s="10">
        <f>[3]DATA!K114</f>
        <v>3</v>
      </c>
      <c r="J114" s="181"/>
      <c r="K114" s="34"/>
      <c r="L114" s="54">
        <v>36</v>
      </c>
      <c r="M114" s="36">
        <v>77</v>
      </c>
      <c r="N114" s="37" t="str">
        <f>[3]DATA!L114</f>
        <v>Engineering Service for Water Resources Infrastructure Management</v>
      </c>
      <c r="O114" s="187">
        <f>[3]DATA!T114</f>
        <v>50000000</v>
      </c>
      <c r="P114" s="187">
        <f>[3]DATA!U114</f>
        <v>50000000</v>
      </c>
      <c r="Q114" s="1446">
        <f>[3]DATA!V114</f>
        <v>10000000</v>
      </c>
      <c r="R114" s="1446">
        <f>[3]DATA!W114</f>
        <v>0</v>
      </c>
      <c r="S114" s="2467">
        <f t="shared" si="7"/>
        <v>60000000</v>
      </c>
      <c r="T114" s="2468"/>
      <c r="U114" s="1449" t="str">
        <f>[3]DATA!Y114</f>
        <v>Belum Ada Indikasi</v>
      </c>
      <c r="V114" s="77">
        <v>0</v>
      </c>
      <c r="W114" s="77">
        <f>[3]DATA!AA114</f>
        <v>50000000</v>
      </c>
      <c r="X114" s="216" t="str">
        <f>[3]DATA!Y114</f>
        <v>Belum Ada Indikasi</v>
      </c>
      <c r="Y114" s="245">
        <f>[3]DATA!AT114</f>
        <v>50000000</v>
      </c>
      <c r="Z114" s="109" t="str">
        <f>[3]DATA!AU114</f>
        <v>ADB</v>
      </c>
      <c r="AA114" s="1544" t="str">
        <f>[3]DATA!AW114</f>
        <v>sudah masuk COBP ADB</v>
      </c>
      <c r="AB114" s="245">
        <f>[3]DATA!AM114</f>
        <v>0</v>
      </c>
      <c r="AC114" s="1510" t="str">
        <f>[3]DATA!AN114</f>
        <v>siap</v>
      </c>
      <c r="AD114" s="1511" t="str">
        <f>[3]DATA!AO114</f>
        <v>tidak butuh lahan</v>
      </c>
      <c r="AE114" s="1545">
        <f>[3]DATA!AQ114</f>
        <v>0</v>
      </c>
      <c r="AF114" s="1547" t="str">
        <f>[3]DATA!AR114</f>
        <v>belum ada dokumen R/C</v>
      </c>
    </row>
    <row r="115" spans="1:34" ht="32.25" customHeight="1">
      <c r="J115" s="181"/>
      <c r="K115" s="34"/>
      <c r="L115" s="30" t="s">
        <v>1093</v>
      </c>
      <c r="M115" s="31" t="s">
        <v>858</v>
      </c>
      <c r="N115" s="51"/>
      <c r="O115" s="197">
        <f>O116</f>
        <v>0</v>
      </c>
      <c r="P115" s="197">
        <f>P116</f>
        <v>300000000</v>
      </c>
      <c r="Q115" s="1436">
        <f>Q116</f>
        <v>40000000</v>
      </c>
      <c r="R115" s="1436">
        <f>R116</f>
        <v>10000000</v>
      </c>
      <c r="S115" s="1559">
        <f t="shared" si="7"/>
        <v>350000000</v>
      </c>
      <c r="T115" s="2463"/>
      <c r="U115" s="1539"/>
      <c r="V115" s="81">
        <f>+V116+V117+V118</f>
        <v>300000000</v>
      </c>
      <c r="W115" s="81">
        <v>0</v>
      </c>
      <c r="X115" s="214"/>
      <c r="Y115" s="81">
        <f>Y116</f>
        <v>300000000</v>
      </c>
      <c r="Z115" s="81" t="s">
        <v>21</v>
      </c>
      <c r="AA115" s="214">
        <v>0</v>
      </c>
      <c r="AB115" s="1505"/>
      <c r="AC115" s="1506"/>
      <c r="AD115" s="169"/>
      <c r="AE115" s="1507"/>
      <c r="AF115" s="1530"/>
    </row>
    <row r="116" spans="1:34" ht="38.25" customHeight="1">
      <c r="J116" s="181"/>
      <c r="K116" s="34"/>
      <c r="L116" s="20"/>
      <c r="M116" s="36">
        <v>78</v>
      </c>
      <c r="N116" s="2411" t="str">
        <f>[3]DATA!L115</f>
        <v>Integrated Infrastructure Development for National Tourism Strategic Areas</v>
      </c>
      <c r="O116" s="187">
        <f>[3]DATA!T115</f>
        <v>0</v>
      </c>
      <c r="P116" s="187">
        <f>[3]DATA!U115</f>
        <v>300000000</v>
      </c>
      <c r="Q116" s="187">
        <f>[3]DATA!V115</f>
        <v>40000000</v>
      </c>
      <c r="R116" s="187">
        <f>[3]DATA!W115</f>
        <v>10000000</v>
      </c>
      <c r="S116" s="2467">
        <f t="shared" si="7"/>
        <v>350000000</v>
      </c>
      <c r="T116" s="2468"/>
      <c r="U116" s="1449"/>
      <c r="V116" s="77">
        <f>[3]DATA!AA115</f>
        <v>300000000</v>
      </c>
      <c r="W116" s="77">
        <v>0</v>
      </c>
      <c r="X116" s="216" t="str">
        <f>[3]DATA!Y115</f>
        <v>Bank Dunia</v>
      </c>
      <c r="Y116" s="245">
        <f>[3]DATA!AT115</f>
        <v>300000000</v>
      </c>
      <c r="Z116" s="1509" t="str">
        <f>[3]DATA!AU115</f>
        <v>Bank Dunia</v>
      </c>
      <c r="AA116" s="1544">
        <f>[3]DATA!AW115</f>
        <v>0</v>
      </c>
      <c r="AB116" s="245" t="str">
        <f>[3]DATA!AM115</f>
        <v>Rev. 2016</v>
      </c>
      <c r="AC116" s="1510">
        <f>[3]DATA!AN115</f>
        <v>0</v>
      </c>
      <c r="AD116" s="1511">
        <f>[3]DATA!AO115</f>
        <v>0</v>
      </c>
      <c r="AE116" s="1545">
        <f>[3]DATA!AQ115</f>
        <v>0</v>
      </c>
      <c r="AF116" s="1547" t="str">
        <f>[3]DATA!AR115</f>
        <v>Nilai pinjaman di GB USD 4.000 ribu</v>
      </c>
    </row>
    <row r="117" spans="1:34" ht="32.25" customHeight="1">
      <c r="J117" s="181"/>
      <c r="K117" s="34"/>
      <c r="L117" s="30" t="s">
        <v>1094</v>
      </c>
      <c r="M117" s="31" t="str">
        <f>[3]DATA!J117</f>
        <v>Program Penyediaaan Perumahan Bagi MBR</v>
      </c>
      <c r="N117" s="51"/>
      <c r="O117" s="197">
        <f>+O118</f>
        <v>300000000</v>
      </c>
      <c r="P117" s="197">
        <f>+P118</f>
        <v>450000000</v>
      </c>
      <c r="Q117" s="1436">
        <f>+Q118</f>
        <v>0</v>
      </c>
      <c r="R117" s="1436">
        <f>+R118</f>
        <v>0</v>
      </c>
      <c r="S117" s="1559">
        <f t="shared" si="7"/>
        <v>450000000</v>
      </c>
      <c r="T117" s="2463"/>
      <c r="U117" s="1539"/>
      <c r="V117" s="81">
        <f>+V118</f>
        <v>0</v>
      </c>
      <c r="W117" s="81">
        <f>+W118</f>
        <v>450000000</v>
      </c>
      <c r="X117" s="214"/>
      <c r="Y117" s="244">
        <f>+Y118</f>
        <v>450000000</v>
      </c>
      <c r="Z117" s="81" t="s">
        <v>21</v>
      </c>
      <c r="AA117" s="214">
        <f>+AA118</f>
        <v>0</v>
      </c>
      <c r="AB117" s="1505"/>
      <c r="AC117" s="1506"/>
      <c r="AD117" s="169"/>
      <c r="AE117" s="1507"/>
      <c r="AF117" s="1530"/>
    </row>
    <row r="118" spans="1:34" ht="28.5" customHeight="1">
      <c r="J118" s="181"/>
      <c r="K118" s="54"/>
      <c r="L118" s="20"/>
      <c r="M118" s="36">
        <v>79</v>
      </c>
      <c r="N118" s="2411" t="str">
        <f>[3]DATA!L116</f>
        <v>National Affordable Housing Project</v>
      </c>
      <c r="O118" s="187">
        <f>[3]DATA!U115</f>
        <v>300000000</v>
      </c>
      <c r="P118" s="187">
        <f>[3]DATA!U116</f>
        <v>450000000</v>
      </c>
      <c r="Q118" s="187">
        <f>[3]DATA!V116</f>
        <v>0</v>
      </c>
      <c r="R118" s="187">
        <f>[3]DATA!W116</f>
        <v>0</v>
      </c>
      <c r="S118" s="2467">
        <f t="shared" si="7"/>
        <v>450000000</v>
      </c>
      <c r="T118" s="2468"/>
      <c r="U118" s="1449"/>
      <c r="V118" s="77">
        <v>0</v>
      </c>
      <c r="W118" s="77">
        <f>[3]DATA!AA116</f>
        <v>450000000</v>
      </c>
      <c r="X118" s="216" t="str">
        <f>[3]DATA!Y116</f>
        <v>Belum Ada Indikasi</v>
      </c>
      <c r="Y118" s="245">
        <f>[3]DATA!AT116</f>
        <v>450000000</v>
      </c>
      <c r="Z118" s="1509" t="str">
        <f>[3]DATA!AU116</f>
        <v>Bank Dunia</v>
      </c>
      <c r="AA118" s="1544">
        <f>[3]DATA!AW116</f>
        <v>0</v>
      </c>
      <c r="AB118" s="245" t="str">
        <f>[3]DATA!AM116</f>
        <v>Rev. 2016</v>
      </c>
      <c r="AC118" s="1510" t="str">
        <f>[3]DATA!AN116</f>
        <v>siap</v>
      </c>
      <c r="AD118" s="1511" t="str">
        <f>[3]DATA!AO116</f>
        <v>belum ada keterangan</v>
      </c>
      <c r="AE118" s="1545">
        <f>[3]DATA!AQ116</f>
        <v>0</v>
      </c>
      <c r="AF118" s="1547" t="str">
        <f>[3]DATA!AR116</f>
        <v>-</v>
      </c>
    </row>
    <row r="119" spans="1:34" s="4" customFormat="1" ht="24.95" customHeight="1">
      <c r="J119" s="250"/>
      <c r="K119" s="25">
        <f>[3]DATA!E118</f>
        <v>2</v>
      </c>
      <c r="L119" s="108" t="str">
        <f>[3]DATA!F118</f>
        <v>PERUMNAS</v>
      </c>
      <c r="M119" s="26"/>
      <c r="N119" s="27"/>
      <c r="O119" s="194">
        <f t="shared" ref="O119:R120" si="8">+O120</f>
        <v>200000000</v>
      </c>
      <c r="P119" s="194">
        <f t="shared" si="8"/>
        <v>200000000</v>
      </c>
      <c r="Q119" s="194">
        <f t="shared" si="8"/>
        <v>20000000</v>
      </c>
      <c r="R119" s="194">
        <f t="shared" si="8"/>
        <v>0</v>
      </c>
      <c r="S119" s="194">
        <f t="shared" si="7"/>
        <v>220000000</v>
      </c>
      <c r="T119" s="2484"/>
      <c r="U119" s="1549"/>
      <c r="V119" s="80">
        <f t="shared" ref="V119:AA120" si="9">+V120</f>
        <v>200000000</v>
      </c>
      <c r="W119" s="80">
        <f t="shared" si="9"/>
        <v>0</v>
      </c>
      <c r="X119" s="213">
        <f t="shared" si="9"/>
        <v>0</v>
      </c>
      <c r="Y119" s="242">
        <f t="shared" si="9"/>
        <v>200000000</v>
      </c>
      <c r="Z119" s="80" t="str">
        <f t="shared" si="9"/>
        <v>-</v>
      </c>
      <c r="AA119" s="213" t="str">
        <f t="shared" si="9"/>
        <v>-</v>
      </c>
      <c r="AB119" s="1501"/>
      <c r="AC119" s="1502"/>
      <c r="AD119" s="168"/>
      <c r="AE119" s="1503"/>
      <c r="AF119" s="1529"/>
    </row>
    <row r="120" spans="1:34" s="5" customFormat="1" ht="33.75" customHeight="1">
      <c r="J120" s="180"/>
      <c r="K120" s="29"/>
      <c r="L120" s="30" t="str">
        <f>[3]DATA!I118</f>
        <v>A</v>
      </c>
      <c r="M120" s="31" t="str">
        <f>[3]DATA!J118</f>
        <v>Program Penyediaaan Perumahan Bagi MBR</v>
      </c>
      <c r="N120" s="51"/>
      <c r="O120" s="197">
        <f t="shared" si="8"/>
        <v>200000000</v>
      </c>
      <c r="P120" s="197">
        <f t="shared" si="8"/>
        <v>200000000</v>
      </c>
      <c r="Q120" s="1436">
        <f t="shared" si="8"/>
        <v>20000000</v>
      </c>
      <c r="R120" s="1436">
        <f t="shared" si="8"/>
        <v>0</v>
      </c>
      <c r="S120" s="1559">
        <f t="shared" si="7"/>
        <v>220000000</v>
      </c>
      <c r="T120" s="2463"/>
      <c r="U120" s="1539"/>
      <c r="V120" s="81">
        <f t="shared" si="9"/>
        <v>200000000</v>
      </c>
      <c r="W120" s="81">
        <f t="shared" si="9"/>
        <v>0</v>
      </c>
      <c r="X120" s="214"/>
      <c r="Y120" s="244">
        <f t="shared" si="9"/>
        <v>200000000</v>
      </c>
      <c r="Z120" s="81" t="s">
        <v>21</v>
      </c>
      <c r="AA120" s="214" t="str">
        <f t="shared" si="9"/>
        <v>-</v>
      </c>
      <c r="AB120" s="1505"/>
      <c r="AC120" s="1506"/>
      <c r="AD120" s="169"/>
      <c r="AE120" s="1507"/>
      <c r="AF120" s="1530"/>
    </row>
    <row r="121" spans="1:34" ht="35.25" customHeight="1">
      <c r="A121" s="10">
        <f>[3]DATA!A118</f>
        <v>89</v>
      </c>
      <c r="B121" s="10">
        <f>[3]DATA!B118</f>
        <v>0</v>
      </c>
      <c r="C121" s="10" t="str">
        <f>[3]DATA!D118</f>
        <v>INFRASTRUKTUR</v>
      </c>
      <c r="D121" s="10">
        <f>[3]DATA!E118</f>
        <v>2</v>
      </c>
      <c r="E121" s="10" t="str">
        <f>[3]DATA!F118</f>
        <v>PERUMNAS</v>
      </c>
      <c r="F121" s="10" t="str">
        <f>[3]DATA!H118</f>
        <v>Program for Provision of Housing For Low-Income Households</v>
      </c>
      <c r="G121" s="10" t="str">
        <f>[3]DATA!I118</f>
        <v>A</v>
      </c>
      <c r="H121" s="10" t="str">
        <f>[3]DATA!J118</f>
        <v>Program Penyediaaan Perumahan Bagi MBR</v>
      </c>
      <c r="I121" s="10">
        <f>[3]DATA!K118</f>
        <v>1</v>
      </c>
      <c r="J121" s="181"/>
      <c r="K121" s="54"/>
      <c r="L121" s="20"/>
      <c r="M121" s="36">
        <v>80</v>
      </c>
      <c r="N121" s="37" t="str">
        <f>[3]DATA!L118</f>
        <v>Support for National Housing and Urban Development Cooperation</v>
      </c>
      <c r="O121" s="187">
        <f>[3]DATA!T118</f>
        <v>200000000</v>
      </c>
      <c r="P121" s="187">
        <f>[3]DATA!U118</f>
        <v>200000000</v>
      </c>
      <c r="Q121" s="1446">
        <f>[3]DATA!V118</f>
        <v>20000000</v>
      </c>
      <c r="R121" s="1446"/>
      <c r="S121" s="2467">
        <f t="shared" si="7"/>
        <v>220000000</v>
      </c>
      <c r="T121" s="2468"/>
      <c r="U121" s="1449" t="str">
        <f>[3]DATA!Y118</f>
        <v>JICA</v>
      </c>
      <c r="V121" s="77">
        <f>[3]DATA!AA118</f>
        <v>200000000</v>
      </c>
      <c r="W121" s="77"/>
      <c r="X121" s="216" t="str">
        <f>[3]DATA!Y118</f>
        <v>JICA</v>
      </c>
      <c r="Y121" s="245">
        <f>[3]DATA!AT118</f>
        <v>200000000</v>
      </c>
      <c r="Z121" s="109" t="str">
        <f>[3]DATA!AU118</f>
        <v>JICA</v>
      </c>
      <c r="AA121" s="1544" t="str">
        <f>[3]DATA!AW118</f>
        <v>-</v>
      </c>
      <c r="AB121" s="245">
        <f>[3]DATA!AM118</f>
        <v>0</v>
      </c>
      <c r="AC121" s="1510" t="str">
        <f>[3]DATA!AN118</f>
        <v>dalam proses
(memiliki FS dan DED)</v>
      </c>
      <c r="AD121" s="1511" t="str">
        <f>[3]DATA!AO118</f>
        <v>siap</v>
      </c>
      <c r="AE121" s="1545">
        <f>[3]DATA!AQ118</f>
        <v>0</v>
      </c>
      <c r="AF121" s="1547" t="str">
        <f>[3]DATA!AR118</f>
        <v>belum ada dokumen R/C</v>
      </c>
    </row>
    <row r="122" spans="1:34" s="4" customFormat="1" ht="24.95" customHeight="1">
      <c r="J122" s="250"/>
      <c r="K122" s="25">
        <f>[3]DATA!E119</f>
        <v>3</v>
      </c>
      <c r="L122" s="108" t="str">
        <f>[3]DATA!F119</f>
        <v>Kementerian Perhubungan</v>
      </c>
      <c r="M122" s="25"/>
      <c r="N122" s="27"/>
      <c r="O122" s="194">
        <f>O123+O133</f>
        <v>5742336700</v>
      </c>
      <c r="P122" s="194">
        <f>P123+P133</f>
        <v>9322613000</v>
      </c>
      <c r="Q122" s="194">
        <f>Q123+Q133</f>
        <v>1525206700</v>
      </c>
      <c r="R122" s="194">
        <f>R123+R133</f>
        <v>0</v>
      </c>
      <c r="S122" s="194">
        <f t="shared" si="7"/>
        <v>10847819700</v>
      </c>
      <c r="T122" s="2484"/>
      <c r="U122" s="1549"/>
      <c r="V122" s="80">
        <f>+V123+V133</f>
        <v>5450000000</v>
      </c>
      <c r="W122" s="80">
        <f>+W123+W133</f>
        <v>3872613000</v>
      </c>
      <c r="X122" s="213"/>
      <c r="Y122" s="242">
        <f>+Y123+Y133</f>
        <v>9322613000</v>
      </c>
      <c r="Z122" s="80" t="s">
        <v>21</v>
      </c>
      <c r="AA122" s="213"/>
      <c r="AB122" s="1501"/>
      <c r="AC122" s="1502"/>
      <c r="AD122" s="168"/>
      <c r="AE122" s="1503"/>
      <c r="AF122" s="1529"/>
    </row>
    <row r="123" spans="1:34" s="5" customFormat="1" ht="33.75" customHeight="1">
      <c r="J123" s="180"/>
      <c r="K123" s="29"/>
      <c r="L123" s="30" t="str">
        <f>[3]DATA!I119</f>
        <v>A</v>
      </c>
      <c r="M123" s="31" t="str">
        <f>[3]DATA!J119</f>
        <v>Program Pengembangan Perkeretaapian</v>
      </c>
      <c r="N123" s="51"/>
      <c r="O123" s="197">
        <f>O124+O125+O126+O127+O128+O131+O132+O129+O130</f>
        <v>5742336700</v>
      </c>
      <c r="P123" s="1436">
        <f>P124+P125+P126+P127+P128+P131+P132+P129+P130</f>
        <v>7335239900</v>
      </c>
      <c r="Q123" s="197">
        <f>Q124+Q125+Q126+Q127+Q128+Q131+Q132+Q129+Q130</f>
        <v>922906700</v>
      </c>
      <c r="R123" s="197">
        <f>R124+R125+R126+R127+R128+R131+R132+R129+R130</f>
        <v>0</v>
      </c>
      <c r="S123" s="1559">
        <f t="shared" si="7"/>
        <v>8258146600</v>
      </c>
      <c r="T123" s="2463"/>
      <c r="U123" s="1539"/>
      <c r="V123" s="81">
        <f>V124+V125+V126+V127+V128+V131+V132+V129+V130</f>
        <v>5450000000</v>
      </c>
      <c r="W123" s="81">
        <f>W124+W125+W126+W127+W128+W131+W132+W129+W130</f>
        <v>1885239900</v>
      </c>
      <c r="X123" s="214"/>
      <c r="Y123" s="244">
        <f>Y124+Y125+Y126+Y127+Y128+Y131+Y132+Y129+Y130</f>
        <v>7335239900</v>
      </c>
      <c r="Z123" s="81" t="s">
        <v>21</v>
      </c>
      <c r="AA123" s="214"/>
      <c r="AB123" s="1505"/>
      <c r="AC123" s="1506"/>
      <c r="AD123" s="169"/>
      <c r="AE123" s="1507"/>
      <c r="AF123" s="1530"/>
      <c r="AH123" s="253">
        <f>Y123+'[1]BB 15-19 SUDAH LA'!$D$41+'[1]BB 15-19 SUDAH LA'!$D$48</f>
        <v>8408239900</v>
      </c>
    </row>
    <row r="124" spans="1:34" ht="29.25" customHeight="1">
      <c r="A124" s="10">
        <f>[3]DATA!A120</f>
        <v>91</v>
      </c>
      <c r="B124" s="10">
        <f>[3]DATA!B120</f>
        <v>0</v>
      </c>
      <c r="C124" s="10" t="str">
        <f>[3]DATA!D120</f>
        <v>INFRASTRUKTUR</v>
      </c>
      <c r="D124" s="10">
        <f>[3]DATA!E120</f>
        <v>3</v>
      </c>
      <c r="E124" s="10" t="str">
        <f>[3]DATA!F120</f>
        <v>Kementerian Perhubungan</v>
      </c>
      <c r="F124" s="10" t="str">
        <f>[3]DATA!H120</f>
        <v>Railway Development Program</v>
      </c>
      <c r="G124" s="10" t="str">
        <f>[3]DATA!I120</f>
        <v>A</v>
      </c>
      <c r="H124" s="10" t="str">
        <f>[3]DATA!J120</f>
        <v>Program Pengembangan Perkeretaapian</v>
      </c>
      <c r="I124" s="10">
        <f>[3]DATA!K120</f>
        <v>1</v>
      </c>
      <c r="J124" s="181"/>
      <c r="K124" s="34"/>
      <c r="L124" s="34"/>
      <c r="M124" s="172">
        <v>81</v>
      </c>
      <c r="N124" s="37" t="str">
        <f>[3]DATA!L120</f>
        <v>Procurement of Track Material and Turn Out - Phase II</v>
      </c>
      <c r="O124" s="187">
        <f>[3]DATA!T120</f>
        <v>200000000</v>
      </c>
      <c r="P124" s="187">
        <f>[3]DATA!U120</f>
        <v>200000000</v>
      </c>
      <c r="Q124" s="1446">
        <f>[3]DATA!V120</f>
        <v>46369000</v>
      </c>
      <c r="R124" s="1446">
        <f>[3]DATA!W120</f>
        <v>0</v>
      </c>
      <c r="S124" s="2467">
        <f t="shared" si="7"/>
        <v>246369000</v>
      </c>
      <c r="T124" s="2468"/>
      <c r="U124" s="1449" t="str">
        <f>[3]DATA!Y120</f>
        <v>RRT</v>
      </c>
      <c r="V124" s="77">
        <f>[3]DATA!AA120</f>
        <v>200000000</v>
      </c>
      <c r="W124" s="77">
        <v>0</v>
      </c>
      <c r="X124" s="216" t="str">
        <f>[3]DATA!Y120</f>
        <v>RRT</v>
      </c>
      <c r="Y124" s="245">
        <f>[3]DATA!AT120</f>
        <v>200000000</v>
      </c>
      <c r="Z124" s="109" t="str">
        <f>[3]DATA!AU120</f>
        <v>RRT</v>
      </c>
      <c r="AA124" s="1544" t="str">
        <f>[3]DATA!AW120</f>
        <v>sudah kontrak</v>
      </c>
      <c r="AB124" s="245" t="str">
        <f>[3]DATA!AM120</f>
        <v>2016; 2015</v>
      </c>
      <c r="AC124" s="1512" t="str">
        <f>[3]DATA!AN120</f>
        <v>dalam proses</v>
      </c>
      <c r="AD124" s="1522" t="str">
        <f>[3]DATA!AO120</f>
        <v>tidak butuh lahan</v>
      </c>
      <c r="AE124" s="1545">
        <f>[3]DATA!AQ120</f>
        <v>0</v>
      </c>
      <c r="AF124" s="1547" t="str">
        <f>[3]DATA!AR120</f>
        <v>Nilai pinjaman di:
- GB 16 USD 175.056 ribu
- GB 15 USD 185.470 ribu</v>
      </c>
    </row>
    <row r="125" spans="1:34" ht="27" customHeight="1">
      <c r="A125" s="10">
        <f>[3]DATA!A121</f>
        <v>92</v>
      </c>
      <c r="B125" s="10">
        <f>[3]DATA!B121</f>
        <v>0</v>
      </c>
      <c r="C125" s="10" t="str">
        <f>[3]DATA!D121</f>
        <v>INFRASTRUKTUR</v>
      </c>
      <c r="D125" s="10">
        <f>[3]DATA!E121</f>
        <v>3</v>
      </c>
      <c r="E125" s="10" t="str">
        <f>[3]DATA!F121</f>
        <v>Kementerian Perhubungan</v>
      </c>
      <c r="F125" s="10" t="str">
        <f>[3]DATA!H121</f>
        <v>Railway Development Program</v>
      </c>
      <c r="G125" s="10" t="str">
        <f>[3]DATA!I121</f>
        <v>A</v>
      </c>
      <c r="H125" s="10" t="str">
        <f>[3]DATA!J121</f>
        <v>Program Pengembangan Perkeretaapian</v>
      </c>
      <c r="I125" s="10">
        <f>[3]DATA!K121</f>
        <v>1</v>
      </c>
      <c r="J125" s="181"/>
      <c r="K125" s="34"/>
      <c r="L125" s="34"/>
      <c r="M125" s="172">
        <v>82</v>
      </c>
      <c r="N125" s="37" t="str">
        <f>[3]DATA!L121</f>
        <v>Procurement of Track Material and Turn Out - Phase III</v>
      </c>
      <c r="O125" s="187">
        <f>[3]DATA!T121</f>
        <v>292336700</v>
      </c>
      <c r="P125" s="187">
        <f>[3]DATA!U121</f>
        <v>292336700</v>
      </c>
      <c r="Q125" s="1446">
        <f>[3]DATA!V121</f>
        <v>73084200</v>
      </c>
      <c r="R125" s="1446">
        <f>[3]DATA!W121</f>
        <v>0</v>
      </c>
      <c r="S125" s="2467">
        <f t="shared" si="7"/>
        <v>365420900</v>
      </c>
      <c r="T125" s="2468"/>
      <c r="U125" s="1449" t="str">
        <f>[3]DATA!Y121</f>
        <v>Belum Ada Indikasi</v>
      </c>
      <c r="V125" s="77">
        <v>0</v>
      </c>
      <c r="W125" s="77">
        <f>[3]DATA!AA121</f>
        <v>292336700</v>
      </c>
      <c r="X125" s="216" t="str">
        <f>[3]DATA!Y121</f>
        <v>Belum Ada Indikasi</v>
      </c>
      <c r="Y125" s="245">
        <f>[3]DATA!AT121</f>
        <v>292336700</v>
      </c>
      <c r="Z125" s="109" t="str">
        <f>[3]DATA!AU121</f>
        <v>AIIB</v>
      </c>
      <c r="AA125" s="1544" t="str">
        <f>[3]DATA!AW121</f>
        <v>- usulan K/L semula lender: Belum Ada Indikasi
- usulan Dit.Multilateral, diusulkan kepada AIIB.</v>
      </c>
      <c r="AB125" s="245">
        <f>[3]DATA!AM121</f>
        <v>0</v>
      </c>
      <c r="AC125" s="1512" t="str">
        <f>[3]DATA!AN121</f>
        <v>belum ada keterangan</v>
      </c>
      <c r="AD125" s="1522" t="str">
        <f>[3]DATA!AO121</f>
        <v>tidak butuh lahan</v>
      </c>
      <c r="AE125" s="1545">
        <f>[3]DATA!AQ121</f>
        <v>0</v>
      </c>
      <c r="AF125" s="1547" t="str">
        <f>[3]DATA!AR121</f>
        <v>belum ada dokumen R/C</v>
      </c>
    </row>
    <row r="126" spans="1:34" ht="33.75" customHeight="1">
      <c r="J126" s="181"/>
      <c r="K126" s="34"/>
      <c r="L126" s="34"/>
      <c r="M126" s="172">
        <v>83</v>
      </c>
      <c r="N126" s="37" t="str">
        <f>[3]DATA!L122</f>
        <v>Procurement of Track Material and Turn Out - Phase IV</v>
      </c>
      <c r="O126" s="187">
        <f>[3]DATA!T122</f>
        <v>0</v>
      </c>
      <c r="P126" s="187">
        <f>[3]DATA!U122</f>
        <v>126830200</v>
      </c>
      <c r="Q126" s="187">
        <f>[3]DATA!V122</f>
        <v>22381800</v>
      </c>
      <c r="R126" s="187">
        <f>[3]DATA!W122</f>
        <v>0</v>
      </c>
      <c r="S126" s="2467">
        <f t="shared" si="7"/>
        <v>149212000</v>
      </c>
      <c r="T126" s="2468"/>
      <c r="U126" s="1449"/>
      <c r="V126" s="77">
        <v>0</v>
      </c>
      <c r="W126" s="77">
        <f>[3]DATA!AA122</f>
        <v>126830200</v>
      </c>
      <c r="X126" s="88" t="str">
        <f>[3]DATA!Y122</f>
        <v>Belum Ada Indikasi</v>
      </c>
      <c r="Y126" s="245">
        <f>[3]DATA!AT122</f>
        <v>126830200</v>
      </c>
      <c r="Z126" s="109" t="str">
        <f>[3]DATA!AU122</f>
        <v>RRT</v>
      </c>
      <c r="AA126" s="1544">
        <f>[3]DATA!AW122</f>
        <v>0</v>
      </c>
      <c r="AB126" s="245">
        <f>[3]DATA!AM122</f>
        <v>0</v>
      </c>
      <c r="AC126" s="1512"/>
      <c r="AD126" s="1522"/>
      <c r="AE126" s="1545">
        <f>[3]DATA!AQ122</f>
        <v>0</v>
      </c>
      <c r="AF126" s="1547" t="str">
        <f>[3]DATA!AR122</f>
        <v>belum ada dokumen R/C</v>
      </c>
    </row>
    <row r="127" spans="1:34" ht="39.75" customHeight="1">
      <c r="A127" s="10">
        <f>[3]DATA!A123</f>
        <v>93</v>
      </c>
      <c r="B127" s="10">
        <f>[3]DATA!B123</f>
        <v>0</v>
      </c>
      <c r="C127" s="10" t="str">
        <f>[3]DATA!D123</f>
        <v>INFRASTRUKTUR</v>
      </c>
      <c r="D127" s="10">
        <f>[3]DATA!E123</f>
        <v>3</v>
      </c>
      <c r="E127" s="10" t="str">
        <f>[3]DATA!F123</f>
        <v>Kementerian Perhubungan</v>
      </c>
      <c r="F127" s="10" t="str">
        <f>[3]DATA!H123</f>
        <v>Railway Development Program</v>
      </c>
      <c r="G127" s="10" t="str">
        <f>[3]DATA!I123</f>
        <v>A</v>
      </c>
      <c r="H127" s="10" t="str">
        <f>[3]DATA!J123</f>
        <v>Program Pengembangan Perkeretaapian</v>
      </c>
      <c r="I127" s="10">
        <f>[3]DATA!K123</f>
        <v>2</v>
      </c>
      <c r="J127" s="181"/>
      <c r="K127" s="34"/>
      <c r="L127" s="34"/>
      <c r="M127" s="172">
        <v>84</v>
      </c>
      <c r="N127" s="183" t="str">
        <f>[3]DATA!L123</f>
        <v>Construction of Jakarta Mass Rapid Transit Project - Phase II</v>
      </c>
      <c r="O127" s="187">
        <f>[3]DATA!T123</f>
        <v>1678000000</v>
      </c>
      <c r="P127" s="187">
        <f>[3]DATA!U123</f>
        <v>1678000000</v>
      </c>
      <c r="Q127" s="1446">
        <f>[3]DATA!V123</f>
        <v>167800000</v>
      </c>
      <c r="R127" s="1446">
        <f>[3]DATA!W123</f>
        <v>0</v>
      </c>
      <c r="S127" s="2467">
        <f t="shared" si="7"/>
        <v>1845800000</v>
      </c>
      <c r="T127" s="2468"/>
      <c r="U127" s="1449" t="str">
        <f>[3]DATA!Y123</f>
        <v>JICA</v>
      </c>
      <c r="V127" s="77">
        <f>[3]DATA!AA123</f>
        <v>1678000000</v>
      </c>
      <c r="W127" s="77">
        <v>0</v>
      </c>
      <c r="X127" s="216" t="str">
        <f>[3]DATA!Y123</f>
        <v>JICA</v>
      </c>
      <c r="Y127" s="245">
        <f>[3]DATA!AT123</f>
        <v>1678000000</v>
      </c>
      <c r="Z127" s="109" t="str">
        <f>[3]DATA!AU123</f>
        <v>JICA</v>
      </c>
      <c r="AA127" s="1544" t="str">
        <f>[3]DATA!AW123</f>
        <v>Belum proses</v>
      </c>
      <c r="AB127" s="245">
        <f>[3]DATA!AM123</f>
        <v>0</v>
      </c>
      <c r="AC127" s="1512" t="str">
        <f>[3]DATA!AN123</f>
        <v>dalam proses
(memiliki FS)</v>
      </c>
      <c r="AD127" s="1522" t="str">
        <f>[3]DATA!AO123</f>
        <v>dalam proses
(perencanaan)</v>
      </c>
      <c r="AE127" s="1545">
        <f>[3]DATA!AQ123</f>
        <v>0</v>
      </c>
      <c r="AF127" s="1547" t="str">
        <f>[3]DATA!AR123</f>
        <v>belum ada dokumen R/C</v>
      </c>
    </row>
    <row r="128" spans="1:34" ht="39.75" customHeight="1">
      <c r="A128" s="10">
        <f>[3]DATA!A124</f>
        <v>94</v>
      </c>
      <c r="B128" s="10">
        <f>[3]DATA!B124</f>
        <v>0</v>
      </c>
      <c r="C128" s="10" t="str">
        <f>[3]DATA!D124</f>
        <v>INFRASTRUKTUR</v>
      </c>
      <c r="D128" s="10">
        <f>[3]DATA!E124</f>
        <v>3</v>
      </c>
      <c r="E128" s="10" t="str">
        <f>[3]DATA!F124</f>
        <v>Kementerian Perhubungan</v>
      </c>
      <c r="F128" s="10" t="str">
        <f>[3]DATA!H124</f>
        <v>Railway Development Program</v>
      </c>
      <c r="G128" s="10" t="str">
        <f>[3]DATA!I124</f>
        <v>A</v>
      </c>
      <c r="H128" s="10" t="str">
        <f>[3]DATA!J124</f>
        <v>Program Pengembangan Perkeretaapian</v>
      </c>
      <c r="I128" s="10">
        <f>[3]DATA!K124</f>
        <v>3</v>
      </c>
      <c r="J128" s="181"/>
      <c r="K128" s="34"/>
      <c r="L128" s="34"/>
      <c r="M128" s="172">
        <v>85</v>
      </c>
      <c r="N128" s="37" t="str">
        <f>[3]DATA!L124</f>
        <v>Construction of Jakarta Mass Rapid Transit East-West Line Project - Phase I</v>
      </c>
      <c r="O128" s="187">
        <f>[3]DATA!T124</f>
        <v>3572000000</v>
      </c>
      <c r="P128" s="187">
        <f>[3]DATA!U124</f>
        <v>3572000000</v>
      </c>
      <c r="Q128" s="1446">
        <f>[3]DATA!V124</f>
        <v>357200000</v>
      </c>
      <c r="R128" s="1446">
        <f>[3]DATA!W124</f>
        <v>0</v>
      </c>
      <c r="S128" s="2467">
        <f t="shared" si="7"/>
        <v>3929200000</v>
      </c>
      <c r="T128" s="2468"/>
      <c r="U128" s="1449" t="str">
        <f>[3]DATA!Y124</f>
        <v>JICA</v>
      </c>
      <c r="V128" s="77">
        <f>[3]DATA!AA124</f>
        <v>3572000000</v>
      </c>
      <c r="W128" s="77">
        <v>0</v>
      </c>
      <c r="X128" s="216" t="str">
        <f>[3]DATA!Y124</f>
        <v>JICA</v>
      </c>
      <c r="Y128" s="245">
        <f>[3]DATA!AT124</f>
        <v>3572000000</v>
      </c>
      <c r="Z128" s="109" t="str">
        <f>[3]DATA!AU124</f>
        <v>JICA</v>
      </c>
      <c r="AA128" s="1544" t="str">
        <f>[3]DATA!AW124</f>
        <v>Sebagian akan diteruspinjamkan kepada Pemprov. DKI Jakarta</v>
      </c>
      <c r="AB128" s="245">
        <f>[3]DATA!AM124</f>
        <v>0</v>
      </c>
      <c r="AC128" s="1512" t="str">
        <f>[3]DATA!AN124</f>
        <v>dalam proses
(memiliki FS)</v>
      </c>
      <c r="AD128" s="1522" t="str">
        <f>[3]DATA!AO124</f>
        <v>dalam proses
(perencanaan)</v>
      </c>
      <c r="AE128" s="1545">
        <f>[3]DATA!AQ124</f>
        <v>0</v>
      </c>
      <c r="AF128" s="1547" t="str">
        <f>[3]DATA!AR124</f>
        <v>belum ada dokumen R/C</v>
      </c>
    </row>
    <row r="129" spans="1:34" ht="24" customHeight="1">
      <c r="J129" s="181"/>
      <c r="K129" s="34"/>
      <c r="L129" s="34"/>
      <c r="M129" s="172">
        <v>86</v>
      </c>
      <c r="N129" s="37" t="str">
        <f>[3]DATA!L126</f>
        <v>Surabaya Regional Railway Line - Phase I</v>
      </c>
      <c r="O129" s="187">
        <f>[3]DATA!T126</f>
        <v>0</v>
      </c>
      <c r="P129" s="187">
        <f>[3]DATA!U126</f>
        <v>100000000</v>
      </c>
      <c r="Q129" s="187">
        <f>[3]DATA!V126</f>
        <v>15000000</v>
      </c>
      <c r="R129" s="187">
        <f>[3]DATA!W126</f>
        <v>0</v>
      </c>
      <c r="S129" s="2467">
        <f t="shared" si="7"/>
        <v>115000000</v>
      </c>
      <c r="T129" s="2468"/>
      <c r="U129" s="1449"/>
      <c r="V129" s="77">
        <v>0</v>
      </c>
      <c r="W129" s="77">
        <f>[3]DATA!AA126</f>
        <v>100000000</v>
      </c>
      <c r="X129" s="216" t="str">
        <f>[3]DATA!Y126</f>
        <v>Belum Ada Indikasi</v>
      </c>
      <c r="Y129" s="245">
        <f>[3]DATA!AT126</f>
        <v>100000000</v>
      </c>
      <c r="Z129" s="109" t="str">
        <f>[3]DATA!AU126</f>
        <v>Belum Ada Indikasi</v>
      </c>
      <c r="AA129" s="1544">
        <f>[3]DATA!AW126</f>
        <v>0</v>
      </c>
      <c r="AB129" s="245">
        <f>[3]DATA!AM126</f>
        <v>0</v>
      </c>
      <c r="AC129" s="1512" t="str">
        <f>[3]DATA!AN126</f>
        <v>belum ada keterangan</v>
      </c>
      <c r="AD129" s="1512" t="str">
        <f>[3]DATA!AO126</f>
        <v>belum ada keterangan</v>
      </c>
      <c r="AE129" s="1545">
        <f>[3]DATA!AQ126</f>
        <v>0</v>
      </c>
      <c r="AF129" s="1664" t="str">
        <f>[3]DATA!AR126</f>
        <v>belum ada dokumen R/C</v>
      </c>
    </row>
    <row r="130" spans="1:34" ht="43.5" customHeight="1">
      <c r="J130" s="181"/>
      <c r="K130" s="34"/>
      <c r="L130" s="34"/>
      <c r="M130" s="172">
        <v>87</v>
      </c>
      <c r="N130" s="37" t="str">
        <f>[3]DATA!L127</f>
        <v>Development of Railway Quality Assurance Facility</v>
      </c>
      <c r="O130" s="187">
        <f>[3]DATA!T127</f>
        <v>0</v>
      </c>
      <c r="P130" s="187">
        <f>[3]DATA!U127</f>
        <v>461428600</v>
      </c>
      <c r="Q130" s="187">
        <f>[3]DATA!V127</f>
        <v>81428600</v>
      </c>
      <c r="R130" s="187">
        <f>[3]DATA!W127</f>
        <v>0</v>
      </c>
      <c r="S130" s="2467">
        <f t="shared" si="7"/>
        <v>542857200</v>
      </c>
      <c r="T130" s="2486" t="s">
        <v>1095</v>
      </c>
      <c r="U130" s="1449"/>
      <c r="V130" s="77">
        <v>0</v>
      </c>
      <c r="W130" s="77">
        <f>[3]DATA!AA127</f>
        <v>461428600</v>
      </c>
      <c r="X130" s="216" t="str">
        <f>[3]DATA!Y127</f>
        <v>Belum Ada Indikasi</v>
      </c>
      <c r="Y130" s="245">
        <f>[3]DATA!AT127</f>
        <v>461428600</v>
      </c>
      <c r="Z130" s="109" t="str">
        <f>[3]DATA!AU127</f>
        <v>Belum Ada Indikasi</v>
      </c>
      <c r="AA130" s="1544">
        <f>[3]DATA!AW127</f>
        <v>0</v>
      </c>
      <c r="AB130" s="245">
        <f>[3]DATA!AM127</f>
        <v>0</v>
      </c>
      <c r="AC130" s="1512" t="str">
        <f>[3]DATA!AN127</f>
        <v>belum ada keterangan</v>
      </c>
      <c r="AD130" s="1512" t="str">
        <f>[3]DATA!AO127</f>
        <v>belum ada keterangan</v>
      </c>
      <c r="AE130" s="1545">
        <f>[3]DATA!AQ127</f>
        <v>0</v>
      </c>
      <c r="AF130" s="1664" t="str">
        <f>[3]DATA!AR127</f>
        <v>belum ada dokumen R/C</v>
      </c>
    </row>
    <row r="131" spans="1:34" ht="39.75" customHeight="1">
      <c r="J131" s="181"/>
      <c r="K131" s="34"/>
      <c r="L131" s="34"/>
      <c r="M131" s="172">
        <v>88</v>
      </c>
      <c r="N131" s="37" t="str">
        <f>[3]DATA!L128</f>
        <v>Construction of Railway line for Bitung - Gorontalo - Isimu</v>
      </c>
      <c r="O131" s="187">
        <f>[3]DATA!T128</f>
        <v>0</v>
      </c>
      <c r="P131" s="187">
        <f>[3]DATA!U128</f>
        <v>505476800</v>
      </c>
      <c r="Q131" s="187">
        <f>[3]DATA!V128</f>
        <v>89201771</v>
      </c>
      <c r="R131" s="187">
        <f>[3]DATA!W128</f>
        <v>0</v>
      </c>
      <c r="S131" s="2467">
        <f t="shared" si="7"/>
        <v>594678571</v>
      </c>
      <c r="T131" s="2468"/>
      <c r="U131" s="1449"/>
      <c r="V131" s="77">
        <v>0</v>
      </c>
      <c r="W131" s="77">
        <f>[3]DATA!AA128</f>
        <v>505476800</v>
      </c>
      <c r="X131" s="216" t="str">
        <f>[3]DATA!Y128</f>
        <v>Belum Ada Indikasi</v>
      </c>
      <c r="Y131" s="245">
        <f>[3]DATA!AT128</f>
        <v>505476800</v>
      </c>
      <c r="Z131" s="109" t="str">
        <f>[3]DATA!AU128</f>
        <v>Belum Ada Indikasi</v>
      </c>
      <c r="AA131" s="1544">
        <f>[3]DATA!AW128</f>
        <v>0</v>
      </c>
      <c r="AB131" s="245">
        <f>[3]DATA!AM128</f>
        <v>0</v>
      </c>
      <c r="AC131" s="1512" t="str">
        <f>[3]DATA!AN128</f>
        <v>belum ada keterangan</v>
      </c>
      <c r="AD131" s="1512" t="str">
        <f>[3]DATA!AO128</f>
        <v>belum ada keterangan</v>
      </c>
      <c r="AE131" s="1545">
        <f>[3]DATA!AQ128</f>
        <v>0</v>
      </c>
      <c r="AF131" s="1664" t="str">
        <f>[3]DATA!AR128</f>
        <v>belum ada dokumen R/C</v>
      </c>
    </row>
    <row r="132" spans="1:34" ht="39.75" customHeight="1">
      <c r="J132" s="181"/>
      <c r="K132" s="34"/>
      <c r="L132" s="34"/>
      <c r="M132" s="172">
        <v>89</v>
      </c>
      <c r="N132" s="37" t="str">
        <f>[3]DATA!L129</f>
        <v>Construction of Railway line for Pare-pare - Mamuju</v>
      </c>
      <c r="O132" s="187">
        <f>[3]DATA!T129</f>
        <v>0</v>
      </c>
      <c r="P132" s="187">
        <f>[3]DATA!U129</f>
        <v>399167600</v>
      </c>
      <c r="Q132" s="187">
        <f>[3]DATA!V129</f>
        <v>70441329</v>
      </c>
      <c r="R132" s="187">
        <f>[3]DATA!W129</f>
        <v>0</v>
      </c>
      <c r="S132" s="2467">
        <f t="shared" si="7"/>
        <v>469608929</v>
      </c>
      <c r="T132" s="2468"/>
      <c r="U132" s="1449"/>
      <c r="V132" s="77">
        <v>0</v>
      </c>
      <c r="W132" s="77">
        <f>[3]DATA!AA129</f>
        <v>399167600</v>
      </c>
      <c r="X132" s="216" t="str">
        <f>[3]DATA!Y129</f>
        <v>Belum Ada Indikasi</v>
      </c>
      <c r="Y132" s="245">
        <f>[3]DATA!AT129</f>
        <v>399167600</v>
      </c>
      <c r="Z132" s="109" t="str">
        <f>[3]DATA!AU129</f>
        <v>Belum Ada Indikasi</v>
      </c>
      <c r="AA132" s="1544">
        <f>[3]DATA!AW129</f>
        <v>0</v>
      </c>
      <c r="AB132" s="245">
        <f>[3]DATA!AM129</f>
        <v>0</v>
      </c>
      <c r="AC132" s="1512" t="str">
        <f>[3]DATA!AN129</f>
        <v>belum ada keterangan</v>
      </c>
      <c r="AD132" s="1512" t="str">
        <f>[3]DATA!AO129</f>
        <v>belum ada keterangan</v>
      </c>
      <c r="AE132" s="1545">
        <f>[3]DATA!AQ129</f>
        <v>0</v>
      </c>
      <c r="AF132" s="1555" t="str">
        <f>[3]DATA!AR129</f>
        <v>belum ada dokumen R/C</v>
      </c>
    </row>
    <row r="133" spans="1:34" ht="30" customHeight="1">
      <c r="J133" s="181"/>
      <c r="K133" s="34"/>
      <c r="L133" s="30" t="s">
        <v>40</v>
      </c>
      <c r="M133" s="31" t="s">
        <v>896</v>
      </c>
      <c r="N133" s="51"/>
      <c r="O133" s="197">
        <f>O134+O135+O136+O137</f>
        <v>0</v>
      </c>
      <c r="P133" s="197">
        <f>P134+P135+P136+P137</f>
        <v>1987373100</v>
      </c>
      <c r="Q133" s="1436">
        <f>Q134+Q135+Q136+Q137</f>
        <v>602300000</v>
      </c>
      <c r="R133" s="1436">
        <f>R134+R135+R136+R137</f>
        <v>0</v>
      </c>
      <c r="S133" s="1559">
        <f t="shared" si="7"/>
        <v>2589673100</v>
      </c>
      <c r="T133" s="2463"/>
      <c r="U133" s="1539"/>
      <c r="V133" s="81">
        <f>V134+V135+V136+V137</f>
        <v>0</v>
      </c>
      <c r="W133" s="81">
        <f>W134+W135+W136+W137</f>
        <v>1987373100</v>
      </c>
      <c r="X133" s="214"/>
      <c r="Y133" s="244">
        <f>Y134+Y135+Y136+Y137</f>
        <v>1987373100</v>
      </c>
      <c r="Z133" s="81" t="s">
        <v>21</v>
      </c>
      <c r="AA133" s="214"/>
      <c r="AB133" s="1505"/>
      <c r="AC133" s="1506"/>
      <c r="AD133" s="169"/>
      <c r="AE133" s="1507"/>
      <c r="AF133" s="1530"/>
      <c r="AH133" s="174">
        <f>AH123+Y133</f>
        <v>10395613000</v>
      </c>
    </row>
    <row r="134" spans="1:34" ht="36" customHeight="1">
      <c r="J134" s="181"/>
      <c r="K134" s="34"/>
      <c r="L134" s="34"/>
      <c r="M134" s="172">
        <v>90</v>
      </c>
      <c r="N134" s="2415" t="str">
        <f>[3]DATA!L131</f>
        <v>Development and Improvement of Indonesian Aids to Navigation</v>
      </c>
      <c r="O134" s="187">
        <f>[3]DATA!T131</f>
        <v>0</v>
      </c>
      <c r="P134" s="187">
        <f>[3]DATA!U131</f>
        <v>27402600</v>
      </c>
      <c r="Q134" s="187">
        <f>[3]DATA!V131</f>
        <v>7300000</v>
      </c>
      <c r="R134" s="187">
        <f>[3]DATA!W131</f>
        <v>0</v>
      </c>
      <c r="S134" s="2467">
        <f t="shared" si="7"/>
        <v>34702600</v>
      </c>
      <c r="T134" s="2486" t="s">
        <v>1096</v>
      </c>
      <c r="U134" s="1449"/>
      <c r="V134" s="77">
        <v>0</v>
      </c>
      <c r="W134" s="77">
        <f>[3]DATA!AA131</f>
        <v>27402600</v>
      </c>
      <c r="X134" s="216" t="str">
        <f>[3]DATA!Y131</f>
        <v>Belum Ada Indikasi</v>
      </c>
      <c r="Y134" s="245">
        <f>[3]DATA!AT131</f>
        <v>27402600</v>
      </c>
      <c r="Z134" s="109" t="str">
        <f>[3]DATA!AU131</f>
        <v>Belum Ada Indikasi</v>
      </c>
      <c r="AA134" s="1544">
        <f>[3]DATA!AW131</f>
        <v>0</v>
      </c>
      <c r="AB134" s="245">
        <f>[3]DATA!AM131</f>
        <v>0</v>
      </c>
      <c r="AC134" s="1512" t="str">
        <f>[3]DATA!AN131</f>
        <v>belum ada keterangan</v>
      </c>
      <c r="AD134" s="1512" t="str">
        <f>[3]DATA!AO131</f>
        <v>belum ada keterangan</v>
      </c>
      <c r="AE134" s="1512">
        <f>[3]DATA!AQ131</f>
        <v>0</v>
      </c>
      <c r="AF134" s="1555">
        <f>[3]DATA!AR131</f>
        <v>0</v>
      </c>
    </row>
    <row r="135" spans="1:34" ht="30.75" customHeight="1">
      <c r="J135" s="181"/>
      <c r="K135" s="34"/>
      <c r="L135" s="34"/>
      <c r="M135" s="172">
        <v>91</v>
      </c>
      <c r="N135" s="2415" t="str">
        <f>[3]DATA!L132</f>
        <v>Procurement of Navigation First Class Vessels</v>
      </c>
      <c r="O135" s="187">
        <f>[3]DATA!T132</f>
        <v>0</v>
      </c>
      <c r="P135" s="187">
        <f>[3]DATA!U132</f>
        <v>186237900</v>
      </c>
      <c r="Q135" s="187">
        <f>[3]DATA!V132</f>
        <v>0</v>
      </c>
      <c r="R135" s="187">
        <f>[3]DATA!W132</f>
        <v>0</v>
      </c>
      <c r="S135" s="2467">
        <f t="shared" si="7"/>
        <v>186237900</v>
      </c>
      <c r="T135" s="2486" t="s">
        <v>1097</v>
      </c>
      <c r="U135" s="1449"/>
      <c r="V135" s="77">
        <v>0</v>
      </c>
      <c r="W135" s="77">
        <f>[3]DATA!AA132</f>
        <v>186237900</v>
      </c>
      <c r="X135" s="216" t="str">
        <f>[3]DATA!Y132</f>
        <v>Belum Ada Indikasi</v>
      </c>
      <c r="Y135" s="245">
        <f>[3]DATA!AT132</f>
        <v>186237900</v>
      </c>
      <c r="Z135" s="109" t="str">
        <f>[3]DATA!AU132</f>
        <v>Belum Ada Indikasi</v>
      </c>
      <c r="AA135" s="1544">
        <f>[3]DATA!AW132</f>
        <v>0</v>
      </c>
      <c r="AB135" s="245">
        <f>[3]DATA!AM132</f>
        <v>0</v>
      </c>
      <c r="AC135" s="1512" t="str">
        <f>[3]DATA!AN132</f>
        <v>belum ada keterangan</v>
      </c>
      <c r="AD135" s="1512" t="str">
        <f>[3]DATA!AO132</f>
        <v>belum ada keterangan</v>
      </c>
      <c r="AE135" s="1512">
        <f>[3]DATA!AQ132</f>
        <v>0</v>
      </c>
      <c r="AF135" s="1555">
        <f>[3]DATA!AR132</f>
        <v>0</v>
      </c>
    </row>
    <row r="136" spans="1:34" ht="31.5" customHeight="1">
      <c r="J136" s="181"/>
      <c r="K136" s="34"/>
      <c r="L136" s="34"/>
      <c r="M136" s="172">
        <v>92</v>
      </c>
      <c r="N136" s="2415" t="str">
        <f>[3]DATA!L133</f>
        <v>Procurement of Navigation Carrier Vessels</v>
      </c>
      <c r="O136" s="187">
        <f>[3]DATA!T133</f>
        <v>0</v>
      </c>
      <c r="P136" s="187">
        <f>[3]DATA!U133</f>
        <v>73732600</v>
      </c>
      <c r="Q136" s="187">
        <f>[3]DATA!V133</f>
        <v>0</v>
      </c>
      <c r="R136" s="187">
        <f>[3]DATA!W133</f>
        <v>0</v>
      </c>
      <c r="S136" s="2467">
        <f t="shared" si="7"/>
        <v>73732600</v>
      </c>
      <c r="T136" s="2486" t="s">
        <v>1098</v>
      </c>
      <c r="U136" s="1449"/>
      <c r="V136" s="77">
        <v>0</v>
      </c>
      <c r="W136" s="77">
        <f>[3]DATA!AA133</f>
        <v>73732600</v>
      </c>
      <c r="X136" s="216" t="str">
        <f>[3]DATA!Y133</f>
        <v>Belum Ada Indikasi</v>
      </c>
      <c r="Y136" s="245">
        <f>[3]DATA!AT133</f>
        <v>73732600</v>
      </c>
      <c r="Z136" s="109" t="str">
        <f>[3]DATA!AU133</f>
        <v>Belum Ada Indikasi</v>
      </c>
      <c r="AA136" s="1544">
        <f>[3]DATA!AW133</f>
        <v>0</v>
      </c>
      <c r="AB136" s="245">
        <f>[3]DATA!AM133</f>
        <v>0</v>
      </c>
      <c r="AC136" s="1512" t="str">
        <f>[3]DATA!AN133</f>
        <v>belum ada keterangan</v>
      </c>
      <c r="AD136" s="1512" t="str">
        <f>[3]DATA!AO133</f>
        <v>belum ada keterangan</v>
      </c>
      <c r="AE136" s="1512">
        <f>[3]DATA!AQ133</f>
        <v>0</v>
      </c>
      <c r="AF136" s="1555">
        <f>[3]DATA!AR133</f>
        <v>0</v>
      </c>
    </row>
    <row r="137" spans="1:34" ht="24.75" customHeight="1">
      <c r="J137" s="181"/>
      <c r="K137" s="34"/>
      <c r="L137" s="34"/>
      <c r="M137" s="172">
        <v>93</v>
      </c>
      <c r="N137" s="2415" t="str">
        <f>[3]DATA!L134</f>
        <v>The Development of Patimban Port - Stage I</v>
      </c>
      <c r="O137" s="187">
        <f>[3]DATA!T134</f>
        <v>0</v>
      </c>
      <c r="P137" s="187">
        <f>[3]DATA!U134</f>
        <v>1700000000</v>
      </c>
      <c r="Q137" s="187">
        <f>[3]DATA!V134</f>
        <v>595000000</v>
      </c>
      <c r="R137" s="187">
        <f>[3]DATA!W134</f>
        <v>0</v>
      </c>
      <c r="S137" s="2467">
        <f t="shared" si="7"/>
        <v>2295000000</v>
      </c>
      <c r="T137" s="2468"/>
      <c r="U137" s="1449"/>
      <c r="V137" s="77">
        <v>0</v>
      </c>
      <c r="W137" s="77">
        <f>[3]DATA!AA134</f>
        <v>1700000000</v>
      </c>
      <c r="X137" s="216" t="str">
        <f>[3]DATA!Y134</f>
        <v>Belum Ada Indikasi</v>
      </c>
      <c r="Y137" s="245">
        <f>[3]DATA!AT134</f>
        <v>1700000000</v>
      </c>
      <c r="Z137" s="109" t="str">
        <f>[3]DATA!AU134</f>
        <v>JICA</v>
      </c>
      <c r="AA137" s="1544">
        <f>[3]DATA!AW134</f>
        <v>0</v>
      </c>
      <c r="AB137" s="245">
        <f>[3]DATA!AM134</f>
        <v>0</v>
      </c>
      <c r="AC137" s="1512" t="str">
        <f>[3]DATA!AN134</f>
        <v>belum ada keterangan</v>
      </c>
      <c r="AD137" s="1512" t="str">
        <f>[3]DATA!AO134</f>
        <v>belum ada keterangan</v>
      </c>
      <c r="AE137" s="1512">
        <f>[3]DATA!AQ134</f>
        <v>0</v>
      </c>
      <c r="AF137" s="1555" t="str">
        <f>[3]DATA!AR134</f>
        <v>belum ada dokumen R/C</v>
      </c>
    </row>
    <row r="138" spans="1:34" s="4" customFormat="1" ht="24.95" customHeight="1">
      <c r="J138" s="250"/>
      <c r="K138" s="25">
        <v>4</v>
      </c>
      <c r="L138" s="108" t="str">
        <f>[3]DATA!F135</f>
        <v>Kementerian Komunikasi dan Informatika</v>
      </c>
      <c r="M138" s="25"/>
      <c r="N138" s="27"/>
      <c r="O138" s="194">
        <f>+O139</f>
        <v>556000000</v>
      </c>
      <c r="P138" s="194">
        <f>+P139</f>
        <v>556000000</v>
      </c>
      <c r="Q138" s="194">
        <f>+Q139</f>
        <v>61000000</v>
      </c>
      <c r="R138" s="194">
        <f>+R139</f>
        <v>10000000</v>
      </c>
      <c r="S138" s="194">
        <f t="shared" si="7"/>
        <v>627000000</v>
      </c>
      <c r="T138" s="2484"/>
      <c r="U138" s="1549"/>
      <c r="V138" s="80">
        <f>+V139</f>
        <v>145000000</v>
      </c>
      <c r="W138" s="80">
        <f>+W139</f>
        <v>411000000</v>
      </c>
      <c r="X138" s="213"/>
      <c r="Y138" s="242">
        <f>+Y139</f>
        <v>556000000</v>
      </c>
      <c r="Z138" s="80" t="s">
        <v>21</v>
      </c>
      <c r="AA138" s="213"/>
      <c r="AB138" s="1501"/>
      <c r="AC138" s="1502"/>
      <c r="AD138" s="168"/>
      <c r="AE138" s="1503"/>
      <c r="AF138" s="1529"/>
    </row>
    <row r="139" spans="1:34" s="5" customFormat="1" ht="33.75" customHeight="1">
      <c r="J139" s="180"/>
      <c r="K139" s="29"/>
      <c r="L139" s="30" t="str">
        <f>[3]DATA!I135</f>
        <v>A</v>
      </c>
      <c r="M139" s="31" t="str">
        <f>[3]DATA!J135</f>
        <v>Program Pengembangan Infrastruktur TIK dan Penyiaran</v>
      </c>
      <c r="N139" s="51"/>
      <c r="O139" s="197">
        <f>+O140+O141</f>
        <v>556000000</v>
      </c>
      <c r="P139" s="197">
        <f>+P140+P141</f>
        <v>556000000</v>
      </c>
      <c r="Q139" s="1436">
        <f>+Q140+Q141</f>
        <v>61000000</v>
      </c>
      <c r="R139" s="1436">
        <f>+R140+R141</f>
        <v>10000000</v>
      </c>
      <c r="S139" s="1559">
        <f t="shared" si="7"/>
        <v>627000000</v>
      </c>
      <c r="T139" s="2463"/>
      <c r="U139" s="1539"/>
      <c r="V139" s="81">
        <f>+V140+V141</f>
        <v>145000000</v>
      </c>
      <c r="W139" s="81">
        <f>+W140+W141</f>
        <v>411000000</v>
      </c>
      <c r="X139" s="214"/>
      <c r="Y139" s="244">
        <f>+Y140+Y141</f>
        <v>556000000</v>
      </c>
      <c r="Z139" s="81" t="s">
        <v>21</v>
      </c>
      <c r="AA139" s="214"/>
      <c r="AB139" s="1505"/>
      <c r="AC139" s="1506"/>
      <c r="AD139" s="169"/>
      <c r="AE139" s="1507"/>
      <c r="AF139" s="1530"/>
    </row>
    <row r="140" spans="1:34" ht="33" customHeight="1">
      <c r="A140" s="10">
        <f>[3]DATA!A135</f>
        <v>97</v>
      </c>
      <c r="B140" s="10">
        <f>[3]DATA!B135</f>
        <v>0</v>
      </c>
      <c r="C140" s="10" t="str">
        <f>[3]DATA!D135</f>
        <v>INFRASTRUKTUR</v>
      </c>
      <c r="D140" s="10">
        <f>[3]DATA!E135</f>
        <v>5</v>
      </c>
      <c r="E140" s="10" t="str">
        <f>[3]DATA!F135</f>
        <v>Kementerian Komunikasi dan Informatika</v>
      </c>
      <c r="F140" s="10" t="str">
        <f>[3]DATA!H135</f>
        <v>Information Communication And Technology (ICT) And Broadcasting Infrastructure Development Program</v>
      </c>
      <c r="G140" s="10" t="str">
        <f>[3]DATA!I135</f>
        <v>A</v>
      </c>
      <c r="H140" s="10" t="str">
        <f>[3]DATA!J135</f>
        <v>Program Pengembangan Infrastruktur TIK dan Penyiaran</v>
      </c>
      <c r="I140" s="10">
        <f>[3]DATA!K135</f>
        <v>1</v>
      </c>
      <c r="J140" s="181"/>
      <c r="K140" s="34"/>
      <c r="L140" s="35"/>
      <c r="M140" s="36">
        <v>94</v>
      </c>
      <c r="N140" s="37" t="str">
        <f>[3]DATA!L135</f>
        <v>Improvement on TV Transmitting Stations (Digitalization of TVRI) - Phase III</v>
      </c>
      <c r="O140" s="187">
        <f>[3]DATA!T135</f>
        <v>411000000</v>
      </c>
      <c r="P140" s="187">
        <f>[3]DATA!U135</f>
        <v>411000000</v>
      </c>
      <c r="Q140" s="1446">
        <f>[3]DATA!V135</f>
        <v>41000000</v>
      </c>
      <c r="R140" s="1446">
        <f>[3]DATA!W135</f>
        <v>0</v>
      </c>
      <c r="S140" s="2467">
        <f t="shared" si="7"/>
        <v>452000000</v>
      </c>
      <c r="T140" s="2468"/>
      <c r="U140" s="1449" t="str">
        <f>[3]DATA!Y135</f>
        <v>Belum Ada Indikasi</v>
      </c>
      <c r="V140" s="77">
        <v>0</v>
      </c>
      <c r="W140" s="77">
        <f>[3]DATA!AA135</f>
        <v>411000000</v>
      </c>
      <c r="X140" s="216" t="str">
        <f>[3]DATA!Y135</f>
        <v>Belum Ada Indikasi</v>
      </c>
      <c r="Y140" s="245">
        <f>[3]DATA!AT135</f>
        <v>411000000</v>
      </c>
      <c r="Z140" s="109" t="str">
        <f>[3]DATA!AU135</f>
        <v>US EXIM/Perancis</v>
      </c>
      <c r="AA140" s="216" t="str">
        <f>[3]DATA!AW135</f>
        <v>-</v>
      </c>
      <c r="AB140" s="245">
        <f>[3]DATA!AM135</f>
        <v>0</v>
      </c>
      <c r="AC140" s="1510" t="str">
        <f>[3]DATA!AN135</f>
        <v>dalam proses
(penyusunan FS)</v>
      </c>
      <c r="AD140" s="1511" t="str">
        <f>[3]DATA!AO135</f>
        <v>siap</v>
      </c>
      <c r="AE140" s="1512">
        <f>[3]DATA!AQ135</f>
        <v>0</v>
      </c>
      <c r="AF140" s="1555" t="str">
        <f>[3]DATA!AR135</f>
        <v>belum ada dokumen R/C</v>
      </c>
    </row>
    <row r="141" spans="1:34" ht="30.75" customHeight="1">
      <c r="A141" s="10">
        <f>[3]DATA!A136</f>
        <v>98</v>
      </c>
      <c r="B141" s="10">
        <f>[3]DATA!B136</f>
        <v>0</v>
      </c>
      <c r="C141" s="10" t="str">
        <f>[3]DATA!D136</f>
        <v>INFRASTRUKTUR</v>
      </c>
      <c r="D141" s="10">
        <f>[3]DATA!E136</f>
        <v>5</v>
      </c>
      <c r="E141" s="10" t="str">
        <f>[3]DATA!F136</f>
        <v>Kementerian Komunikasi dan Informatika</v>
      </c>
      <c r="F141" s="10" t="str">
        <f>[3]DATA!H136</f>
        <v>Information Communication And Technology (ICT) And Broadcasting Infrastructure Development Program</v>
      </c>
      <c r="G141" s="10" t="str">
        <f>[3]DATA!I136</f>
        <v>A</v>
      </c>
      <c r="H141" s="10" t="str">
        <f>[3]DATA!J136</f>
        <v>Program Pengembangan Infrastruktur TIK dan Penyiaran</v>
      </c>
      <c r="I141" s="10">
        <f>[3]DATA!K136</f>
        <v>2</v>
      </c>
      <c r="J141" s="181"/>
      <c r="K141" s="34"/>
      <c r="L141" s="34"/>
      <c r="M141" s="36">
        <v>95</v>
      </c>
      <c r="N141" s="37" t="str">
        <f>[3]DATA!L136</f>
        <v>Strengthening of e-Government Infrastructure</v>
      </c>
      <c r="O141" s="187">
        <f>[3]DATA!T136</f>
        <v>145000000</v>
      </c>
      <c r="P141" s="187">
        <f>[3]DATA!U136</f>
        <v>145000000</v>
      </c>
      <c r="Q141" s="1446">
        <f>[3]DATA!V136</f>
        <v>20000000</v>
      </c>
      <c r="R141" s="1446">
        <f>[3]DATA!W136</f>
        <v>10000000</v>
      </c>
      <c r="S141" s="2467">
        <f t="shared" si="7"/>
        <v>175000000</v>
      </c>
      <c r="T141" s="2468"/>
      <c r="U141" s="1449" t="str">
        <f>[3]DATA!Y136</f>
        <v>Korea</v>
      </c>
      <c r="V141" s="77">
        <f>[3]DATA!AA136</f>
        <v>145000000</v>
      </c>
      <c r="W141" s="77"/>
      <c r="X141" s="216" t="str">
        <f>[3]DATA!Y136</f>
        <v>Korea</v>
      </c>
      <c r="Y141" s="245">
        <f>[3]DATA!AT136</f>
        <v>145000000</v>
      </c>
      <c r="Z141" s="109" t="str">
        <f>[3]DATA!AU136</f>
        <v>Korea</v>
      </c>
      <c r="AA141" s="1520" t="str">
        <f>[3]DATA!AW136</f>
        <v>masuk rolling plan EDCF (Korea)</v>
      </c>
      <c r="AB141" s="245">
        <f>[3]DATA!AM136</f>
        <v>0</v>
      </c>
      <c r="AC141" s="1510" t="str">
        <f>[3]DATA!AN136</f>
        <v>dalam proses
(penyusunan FS)</v>
      </c>
      <c r="AD141" s="1511" t="str">
        <f>[3]DATA!AO136</f>
        <v>dalam proses
(persiapan)</v>
      </c>
      <c r="AE141" s="1512">
        <f>[3]DATA!AQ136</f>
        <v>0</v>
      </c>
      <c r="AF141" s="1555" t="str">
        <f>[3]DATA!AR136</f>
        <v>penyiapan dokumen R/C</v>
      </c>
    </row>
    <row r="142" spans="1:34" s="4" customFormat="1" ht="24.95" customHeight="1">
      <c r="J142" s="250"/>
      <c r="K142" s="25">
        <v>5</v>
      </c>
      <c r="L142" s="108" t="str">
        <f>[3]DATA!F138</f>
        <v>Kepolisian RI</v>
      </c>
      <c r="M142" s="25"/>
      <c r="N142" s="27"/>
      <c r="O142" s="194">
        <f t="shared" ref="O142:R143" si="10">+O143</f>
        <v>20000000</v>
      </c>
      <c r="P142" s="194">
        <f t="shared" si="10"/>
        <v>20000000</v>
      </c>
      <c r="Q142" s="194">
        <f t="shared" si="10"/>
        <v>3500000</v>
      </c>
      <c r="R142" s="194">
        <f t="shared" si="10"/>
        <v>0</v>
      </c>
      <c r="S142" s="194">
        <f t="shared" si="7"/>
        <v>23500000</v>
      </c>
      <c r="T142" s="2487"/>
      <c r="U142" s="1549"/>
      <c r="V142" s="80">
        <f t="shared" ref="V142:Y143" si="11">+V143</f>
        <v>20000000</v>
      </c>
      <c r="W142" s="80">
        <f t="shared" si="11"/>
        <v>0</v>
      </c>
      <c r="X142" s="213"/>
      <c r="Y142" s="242">
        <f t="shared" si="11"/>
        <v>20000000</v>
      </c>
      <c r="Z142" s="80" t="s">
        <v>21</v>
      </c>
      <c r="AA142" s="213"/>
      <c r="AB142" s="1501"/>
      <c r="AC142" s="1502"/>
      <c r="AD142" s="168"/>
      <c r="AE142" s="1503"/>
      <c r="AF142" s="1529"/>
    </row>
    <row r="143" spans="1:34" s="5" customFormat="1" ht="33.75" customHeight="1">
      <c r="J143" s="180"/>
      <c r="K143" s="29"/>
      <c r="L143" s="30" t="str">
        <f>[3]DATA!I138</f>
        <v>A</v>
      </c>
      <c r="M143" s="3427" t="str">
        <f>[3]DATA!J138</f>
        <v>Program Pengembangan Infrastruktur TIK dan Penyiaran</v>
      </c>
      <c r="N143" s="3428"/>
      <c r="O143" s="197">
        <f t="shared" si="10"/>
        <v>20000000</v>
      </c>
      <c r="P143" s="197">
        <f t="shared" si="10"/>
        <v>20000000</v>
      </c>
      <c r="Q143" s="1436">
        <f t="shared" si="10"/>
        <v>3500000</v>
      </c>
      <c r="R143" s="1436">
        <f t="shared" si="10"/>
        <v>0</v>
      </c>
      <c r="S143" s="1559">
        <f t="shared" si="7"/>
        <v>23500000</v>
      </c>
      <c r="T143" s="2463"/>
      <c r="U143" s="1539"/>
      <c r="V143" s="81">
        <f t="shared" si="11"/>
        <v>20000000</v>
      </c>
      <c r="W143" s="81">
        <f t="shared" si="11"/>
        <v>0</v>
      </c>
      <c r="X143" s="214"/>
      <c r="Y143" s="244">
        <f t="shared" si="11"/>
        <v>20000000</v>
      </c>
      <c r="Z143" s="81" t="s">
        <v>21</v>
      </c>
      <c r="AA143" s="214"/>
      <c r="AB143" s="1505"/>
      <c r="AC143" s="1506"/>
      <c r="AD143" s="169"/>
      <c r="AE143" s="1507"/>
      <c r="AF143" s="1530"/>
    </row>
    <row r="144" spans="1:34" s="9" customFormat="1" ht="37.5" customHeight="1">
      <c r="A144" s="9">
        <f>[3]DATA!A138</f>
        <v>100</v>
      </c>
      <c r="B144" s="9">
        <f>[3]DATA!B138</f>
        <v>0</v>
      </c>
      <c r="C144" s="9" t="str">
        <f>[3]DATA!D138</f>
        <v>INFRASTRUKTUR</v>
      </c>
      <c r="D144" s="9">
        <f>[3]DATA!E138</f>
        <v>6</v>
      </c>
      <c r="E144" s="9" t="str">
        <f>[3]DATA!F138</f>
        <v>Kepolisian RI</v>
      </c>
      <c r="F144" s="9" t="str">
        <f>[3]DATA!H138</f>
        <v>Information Communication And Technology (ICT) And Broadcasting Infrastructure Development Program</v>
      </c>
      <c r="G144" s="9" t="str">
        <f>[3]DATA!I138</f>
        <v>A</v>
      </c>
      <c r="H144" s="9" t="str">
        <f>[3]DATA!J138</f>
        <v>Program Pengembangan Infrastruktur TIK dan Penyiaran</v>
      </c>
      <c r="I144" s="9">
        <f>[3]DATA!K138</f>
        <v>1</v>
      </c>
      <c r="J144" s="254"/>
      <c r="K144" s="255"/>
      <c r="L144" s="66"/>
      <c r="M144" s="64">
        <v>96</v>
      </c>
      <c r="N144" s="65" t="str">
        <f>[3]DATA!L138</f>
        <v>National Criminal Information Center for Indonesian National Police - Phase II</v>
      </c>
      <c r="O144" s="258">
        <f>[3]DATA!T138</f>
        <v>20000000</v>
      </c>
      <c r="P144" s="258">
        <f>[3]DATA!U138</f>
        <v>20000000</v>
      </c>
      <c r="Q144" s="1454">
        <f>[3]DATA!V138</f>
        <v>3500000</v>
      </c>
      <c r="R144" s="1454">
        <f>[3]DATA!W138</f>
        <v>0</v>
      </c>
      <c r="S144" s="2467">
        <f t="shared" si="7"/>
        <v>23500000</v>
      </c>
      <c r="T144" s="2468"/>
      <c r="U144" s="1455" t="str">
        <f>[3]DATA!Y138</f>
        <v>Korea</v>
      </c>
      <c r="V144" s="2418">
        <f>[3]DATA!AA138</f>
        <v>20000000</v>
      </c>
      <c r="W144" s="91">
        <v>0</v>
      </c>
      <c r="X144" s="263" t="str">
        <f>[3]DATA!Y138</f>
        <v>Korea</v>
      </c>
      <c r="Y144" s="272">
        <f>[3]DATA!AT138</f>
        <v>20000000</v>
      </c>
      <c r="Z144" s="273" t="str">
        <f>[3]DATA!AU138</f>
        <v>Korea</v>
      </c>
      <c r="AA144" s="2452" t="str">
        <f>[3]DATA!AW138</f>
        <v>masuk rolling plan EDCF (Korea)</v>
      </c>
      <c r="AB144" s="1625">
        <f>[3]DATA!AM138</f>
        <v>2015</v>
      </c>
      <c r="AC144" s="1512" t="str">
        <f>[3]DATA!AN138</f>
        <v>siap</v>
      </c>
      <c r="AD144" s="1522" t="str">
        <f>[3]DATA!AO138</f>
        <v>tidak butuh lahan</v>
      </c>
      <c r="AE144" s="1512">
        <f>[3]DATA!AQ138</f>
        <v>0</v>
      </c>
      <c r="AF144" s="1531" t="str">
        <f>[3]DATA!AR138</f>
        <v>-</v>
      </c>
    </row>
    <row r="145" spans="1:32" s="4" customFormat="1" ht="24.75" customHeight="1">
      <c r="J145" s="250"/>
      <c r="K145" s="25">
        <v>6</v>
      </c>
      <c r="L145" s="108" t="str">
        <f>[3]DATA!F139</f>
        <v>PT. PLN</v>
      </c>
      <c r="M145" s="25"/>
      <c r="N145" s="27"/>
      <c r="O145" s="194">
        <f>+O146</f>
        <v>4271000000</v>
      </c>
      <c r="P145" s="194">
        <f>+P146</f>
        <v>4271000000</v>
      </c>
      <c r="Q145" s="194">
        <f>+Q146</f>
        <v>843000000</v>
      </c>
      <c r="R145" s="194">
        <f>+R146</f>
        <v>0</v>
      </c>
      <c r="S145" s="194">
        <f t="shared" si="7"/>
        <v>5114000000</v>
      </c>
      <c r="T145" s="2484"/>
      <c r="U145" s="1549"/>
      <c r="V145" s="80">
        <f>+V146</f>
        <v>4271000000</v>
      </c>
      <c r="W145" s="80">
        <f>+W146</f>
        <v>0</v>
      </c>
      <c r="X145" s="213"/>
      <c r="Y145" s="242">
        <f>+Y146</f>
        <v>4271000000</v>
      </c>
      <c r="Z145" s="80" t="s">
        <v>21</v>
      </c>
      <c r="AA145" s="213"/>
      <c r="AB145" s="1501"/>
      <c r="AC145" s="1502"/>
      <c r="AD145" s="168"/>
      <c r="AE145" s="1503"/>
      <c r="AF145" s="1529"/>
    </row>
    <row r="146" spans="1:32" s="5" customFormat="1" ht="33.75" customHeight="1">
      <c r="J146" s="180"/>
      <c r="K146" s="29"/>
      <c r="L146" s="30" t="str">
        <f>[3]DATA!I139</f>
        <v>A</v>
      </c>
      <c r="M146" s="3427" t="str">
        <f>[3]DATA!J139</f>
        <v>Program Pembangunan Infrastruktur Ketenagalistrikan</v>
      </c>
      <c r="N146" s="3428"/>
      <c r="O146" s="197">
        <f>O147+O148+O149+O150+O151+O152+O153+O154</f>
        <v>4271000000</v>
      </c>
      <c r="P146" s="197">
        <f>P147+P148+P149+P150+P151+P152+P153+P154</f>
        <v>4271000000</v>
      </c>
      <c r="Q146" s="1436">
        <f>Q147+Q148+Q149+Q150+Q151+Q152+Q153+Q154</f>
        <v>843000000</v>
      </c>
      <c r="R146" s="1436">
        <f>R147+R148+R149+R150+R151+R152+R153+R154</f>
        <v>0</v>
      </c>
      <c r="S146" s="1559">
        <f t="shared" si="7"/>
        <v>5114000000</v>
      </c>
      <c r="T146" s="2463"/>
      <c r="U146" s="1539"/>
      <c r="V146" s="81">
        <f>V147+V148+V149+V150+V151+V152+V153+V154</f>
        <v>4271000000</v>
      </c>
      <c r="W146" s="81">
        <f>W147+W148+W149+W150+W151+W152+W153+W154</f>
        <v>0</v>
      </c>
      <c r="X146" s="214"/>
      <c r="Y146" s="244">
        <f>Y147+Y148+Y149+Y150+Y151+Y152+Y153+Y154</f>
        <v>4271000000</v>
      </c>
      <c r="Z146" s="81" t="s">
        <v>21</v>
      </c>
      <c r="AA146" s="214"/>
      <c r="AB146" s="1505"/>
      <c r="AC146" s="1506"/>
      <c r="AD146" s="169"/>
      <c r="AE146" s="1507"/>
      <c r="AF146" s="1530"/>
    </row>
    <row r="147" spans="1:32" ht="40.5" customHeight="1">
      <c r="A147" s="10">
        <f>[3]DATA!A141</f>
        <v>103</v>
      </c>
      <c r="B147" s="10">
        <f>[3]DATA!B141</f>
        <v>0</v>
      </c>
      <c r="C147" s="10" t="str">
        <f>[3]DATA!D141</f>
        <v>INFRASTRUKTUR</v>
      </c>
      <c r="D147" s="10">
        <f>[3]DATA!E141</f>
        <v>7</v>
      </c>
      <c r="E147" s="10" t="str">
        <f>[3]DATA!F141</f>
        <v>PT. PLN</v>
      </c>
      <c r="F147" s="10" t="str">
        <f>[3]DATA!H141</f>
        <v>Electricity Infrastructure Development Program</v>
      </c>
      <c r="G147" s="10" t="str">
        <f>[3]DATA!I141</f>
        <v>A</v>
      </c>
      <c r="H147" s="10" t="str">
        <f>[3]DATA!J141</f>
        <v>Program Pembangunan Infrastruktur Ketenagalistrikan</v>
      </c>
      <c r="I147" s="10">
        <f>[3]DATA!K141</f>
        <v>1</v>
      </c>
      <c r="J147" s="181"/>
      <c r="K147" s="34"/>
      <c r="L147" s="34"/>
      <c r="M147" s="52">
        <v>97</v>
      </c>
      <c r="N147" s="37" t="str">
        <f>[3]DATA!L141</f>
        <v>Construction of Java Sumatera Interconnection 500 kV (HVDC-Phase 3 &amp; 4)</v>
      </c>
      <c r="O147" s="187">
        <f>[3]DATA!T141</f>
        <v>933000000</v>
      </c>
      <c r="P147" s="187">
        <f>[3]DATA!U141</f>
        <v>933000000</v>
      </c>
      <c r="Q147" s="1446">
        <f>[3]DATA!V141</f>
        <v>165000000</v>
      </c>
      <c r="R147" s="1446">
        <f>[3]DATA!W141</f>
        <v>0</v>
      </c>
      <c r="S147" s="2467">
        <f t="shared" si="7"/>
        <v>1098000000</v>
      </c>
      <c r="T147" s="2468"/>
      <c r="U147" s="1449" t="str">
        <f>[3]DATA!Y141</f>
        <v>JICA</v>
      </c>
      <c r="V147" s="77">
        <f>[3]DATA!AA141</f>
        <v>933000000</v>
      </c>
      <c r="W147" s="77">
        <v>0</v>
      </c>
      <c r="X147" s="216" t="str">
        <f>[3]DATA!Y141</f>
        <v>JICA</v>
      </c>
      <c r="Y147" s="245">
        <f>[3]DATA!AT141</f>
        <v>933000000</v>
      </c>
      <c r="Z147" s="109" t="str">
        <f>[3]DATA!AU141</f>
        <v>JICA</v>
      </c>
      <c r="AA147" s="216" t="str">
        <f>[3]DATA!AW141</f>
        <v>-</v>
      </c>
      <c r="AB147" s="245">
        <f>[3]DATA!AM141</f>
        <v>0</v>
      </c>
      <c r="AC147" s="1510" t="str">
        <f>[3]DATA!AN141</f>
        <v>belum ada keterangan</v>
      </c>
      <c r="AD147" s="1511" t="str">
        <f>[3]DATA!AO141</f>
        <v>belum ada keterangan</v>
      </c>
      <c r="AE147" s="1512">
        <f>[3]DATA!AQ141</f>
        <v>0</v>
      </c>
      <c r="AF147" s="1531" t="str">
        <f>[3]DATA!AR141</f>
        <v>penyiapan dokumen R/C</v>
      </c>
    </row>
    <row r="148" spans="1:32" ht="31.5" customHeight="1">
      <c r="A148" s="10">
        <f>[3]DATA!A144</f>
        <v>106</v>
      </c>
      <c r="B148" s="10">
        <f>[3]DATA!B144</f>
        <v>0</v>
      </c>
      <c r="C148" s="10" t="str">
        <f>[3]DATA!D144</f>
        <v>INFRASTRUKTUR</v>
      </c>
      <c r="D148" s="10">
        <f>[3]DATA!E144</f>
        <v>7</v>
      </c>
      <c r="E148" s="10" t="str">
        <f>[3]DATA!F144</f>
        <v>PT. PLN</v>
      </c>
      <c r="F148" s="10" t="str">
        <f>[3]DATA!H144</f>
        <v>Electricity Infrastructure Development Program</v>
      </c>
      <c r="G148" s="10" t="str">
        <f>[3]DATA!I144</f>
        <v>A</v>
      </c>
      <c r="H148" s="10" t="str">
        <f>[3]DATA!J144</f>
        <v>Program Pembangunan Infrastruktur Ketenagalistrikan</v>
      </c>
      <c r="I148" s="10">
        <f>[3]DATA!K144</f>
        <v>2</v>
      </c>
      <c r="J148" s="181"/>
      <c r="K148" s="34"/>
      <c r="L148" s="34"/>
      <c r="M148" s="52">
        <v>98</v>
      </c>
      <c r="N148" s="37" t="str">
        <f>[3]DATA!L144</f>
        <v>Hululais Geothermal Power Plant  1&amp;2 (2x55MW)</v>
      </c>
      <c r="O148" s="187">
        <f>[3]DATA!T144</f>
        <v>204000000</v>
      </c>
      <c r="P148" s="187">
        <f>[3]DATA!U144</f>
        <v>204000000</v>
      </c>
      <c r="Q148" s="1446">
        <f>[3]DATA!V144</f>
        <v>42000000</v>
      </c>
      <c r="R148" s="1446">
        <f>[3]DATA!W144</f>
        <v>0</v>
      </c>
      <c r="S148" s="2467">
        <f t="shared" si="7"/>
        <v>246000000</v>
      </c>
      <c r="T148" s="2468"/>
      <c r="U148" s="1449" t="str">
        <f>[3]DATA!Y144</f>
        <v>JICA</v>
      </c>
      <c r="V148" s="77">
        <f>[3]DATA!AA144</f>
        <v>204000000</v>
      </c>
      <c r="W148" s="77">
        <v>0</v>
      </c>
      <c r="X148" s="216" t="str">
        <f>[3]DATA!Y144</f>
        <v>JICA</v>
      </c>
      <c r="Y148" s="245">
        <f>[3]DATA!AT144</f>
        <v>204000000</v>
      </c>
      <c r="Z148" s="109" t="str">
        <f>[3]DATA!AU144</f>
        <v>JICA</v>
      </c>
      <c r="AA148" s="216" t="str">
        <f>[3]DATA!AW144</f>
        <v>-</v>
      </c>
      <c r="AB148" s="245">
        <f>[3]DATA!AM144</f>
        <v>0</v>
      </c>
      <c r="AC148" s="1510" t="str">
        <f>[3]DATA!AN144</f>
        <v>belum ada keterangan</v>
      </c>
      <c r="AD148" s="1511" t="str">
        <f>[3]DATA!AO144</f>
        <v>belum ada keterangan</v>
      </c>
      <c r="AE148" s="1512">
        <f>[3]DATA!AQ144</f>
        <v>0</v>
      </c>
      <c r="AF148" s="1531" t="str">
        <f>[3]DATA!AR144</f>
        <v>belum ada dokumen R/C</v>
      </c>
    </row>
    <row r="149" spans="1:32" ht="39" customHeight="1">
      <c r="A149" s="10">
        <f>[3]DATA!A145</f>
        <v>107</v>
      </c>
      <c r="B149" s="10">
        <f>[3]DATA!B145</f>
        <v>0</v>
      </c>
      <c r="C149" s="10" t="str">
        <f>[3]DATA!D145</f>
        <v>INFRASTRUKTUR</v>
      </c>
      <c r="D149" s="10">
        <f>[3]DATA!E145</f>
        <v>7</v>
      </c>
      <c r="E149" s="10" t="str">
        <f>[3]DATA!F145</f>
        <v>PT. PLN</v>
      </c>
      <c r="F149" s="10" t="str">
        <f>[3]DATA!H145</f>
        <v>Electricity Infrastructure Development Program</v>
      </c>
      <c r="G149" s="10" t="str">
        <f>[3]DATA!I145</f>
        <v>A</v>
      </c>
      <c r="H149" s="10" t="str">
        <f>[3]DATA!J145</f>
        <v>Program Pembangunan Infrastruktur Ketenagalistrikan</v>
      </c>
      <c r="I149" s="10">
        <f>[3]DATA!K145</f>
        <v>3</v>
      </c>
      <c r="J149" s="181"/>
      <c r="K149" s="34"/>
      <c r="L149" s="34"/>
      <c r="M149" s="52">
        <v>99</v>
      </c>
      <c r="N149" s="37" t="str">
        <f>[3]DATA!L145</f>
        <v>Bakaru II Hydro Electrical Power Plant (2x63MW)</v>
      </c>
      <c r="O149" s="187">
        <f>[3]DATA!T145</f>
        <v>280000000</v>
      </c>
      <c r="P149" s="187">
        <f>[3]DATA!U145</f>
        <v>280000000</v>
      </c>
      <c r="Q149" s="1446">
        <f>[3]DATA!V145</f>
        <v>20000000</v>
      </c>
      <c r="R149" s="1446">
        <f>[3]DATA!W145</f>
        <v>0</v>
      </c>
      <c r="S149" s="2467">
        <f t="shared" si="7"/>
        <v>300000000</v>
      </c>
      <c r="T149" s="2468"/>
      <c r="U149" s="1449" t="str">
        <f>[3]DATA!Y145</f>
        <v>Jerman (KfW)</v>
      </c>
      <c r="V149" s="77">
        <f>[3]DATA!AA145</f>
        <v>280000000</v>
      </c>
      <c r="W149" s="77">
        <v>0</v>
      </c>
      <c r="X149" s="216" t="str">
        <f>[3]DATA!Y145</f>
        <v>Jerman (KfW)</v>
      </c>
      <c r="Y149" s="245">
        <f>[3]DATA!AT145</f>
        <v>280000000</v>
      </c>
      <c r="Z149" s="109" t="str">
        <f>[3]DATA!AU145</f>
        <v>Jerman (KfW)</v>
      </c>
      <c r="AA149" s="216" t="str">
        <f>[3]DATA!AW145</f>
        <v>-</v>
      </c>
      <c r="AB149" s="245">
        <f>[3]DATA!AM145</f>
        <v>0</v>
      </c>
      <c r="AC149" s="1512" t="str">
        <f>[3]DATA!AN145</f>
        <v>dalam proses</v>
      </c>
      <c r="AD149" s="1522" t="str">
        <f>[3]DATA!AO145</f>
        <v>dalam proses
(perencanaan)</v>
      </c>
      <c r="AE149" s="1512">
        <f>[3]DATA!AQ145</f>
        <v>0</v>
      </c>
      <c r="AF149" s="1531" t="str">
        <f>[3]DATA!AR145</f>
        <v>- tidak diketahui dalam proses apa
- belum ada dokumen R/C</v>
      </c>
    </row>
    <row r="150" spans="1:32" ht="42.75" customHeight="1">
      <c r="A150" s="10">
        <f>[3]DATA!A146</f>
        <v>108</v>
      </c>
      <c r="B150" s="10">
        <f>[3]DATA!B146</f>
        <v>0</v>
      </c>
      <c r="C150" s="10" t="str">
        <f>[3]DATA!D146</f>
        <v>INFRASTRUKTUR</v>
      </c>
      <c r="D150" s="10">
        <f>[3]DATA!E146</f>
        <v>7</v>
      </c>
      <c r="E150" s="10" t="str">
        <f>[3]DATA!F146</f>
        <v>PT. PLN</v>
      </c>
      <c r="F150" s="10" t="str">
        <f>[3]DATA!H146</f>
        <v>Electricity Infrastructure Development Program</v>
      </c>
      <c r="G150" s="10" t="str">
        <f>[3]DATA!I146</f>
        <v>A</v>
      </c>
      <c r="H150" s="10" t="str">
        <f>[3]DATA!J146</f>
        <v>Program Pembangunan Infrastruktur Ketenagalistrikan</v>
      </c>
      <c r="I150" s="10">
        <f>[3]DATA!K146</f>
        <v>4</v>
      </c>
      <c r="J150" s="181"/>
      <c r="K150" s="34"/>
      <c r="L150" s="34"/>
      <c r="M150" s="52">
        <v>100</v>
      </c>
      <c r="N150" s="37" t="str">
        <f>[3]DATA!L146</f>
        <v>Tulehu Geothermal Power Plant Project Unit 1&amp;2 (2x10MW)</v>
      </c>
      <c r="O150" s="187">
        <f>[3]DATA!T146</f>
        <v>104000000</v>
      </c>
      <c r="P150" s="187">
        <f>[3]DATA!U146</f>
        <v>104000000</v>
      </c>
      <c r="Q150" s="1446">
        <f>[3]DATA!V146</f>
        <v>18000000</v>
      </c>
      <c r="R150" s="1446">
        <v>0</v>
      </c>
      <c r="S150" s="2467">
        <f t="shared" si="7"/>
        <v>122000000</v>
      </c>
      <c r="T150" s="2468"/>
      <c r="U150" s="1449" t="str">
        <f>[3]DATA!Y146</f>
        <v>JICA</v>
      </c>
      <c r="V150" s="77">
        <f>[3]DATA!AA146</f>
        <v>104000000</v>
      </c>
      <c r="W150" s="77">
        <v>0</v>
      </c>
      <c r="X150" s="216" t="str">
        <f>[3]DATA!Y146</f>
        <v>JICA</v>
      </c>
      <c r="Y150" s="245">
        <f>[3]DATA!AT146</f>
        <v>104000000</v>
      </c>
      <c r="Z150" s="109" t="str">
        <f>[3]DATA!AU146</f>
        <v>JICA</v>
      </c>
      <c r="AA150" s="216" t="str">
        <f>[3]DATA!AW146</f>
        <v>-</v>
      </c>
      <c r="AB150" s="245">
        <f>[3]DATA!AM146</f>
        <v>0</v>
      </c>
      <c r="AC150" s="1510" t="str">
        <f>[3]DATA!AN146</f>
        <v>dalam proses
(penyusunan FS)</v>
      </c>
      <c r="AD150" s="1511" t="str">
        <f>[3]DATA!AO146</f>
        <v>dalam proses
(pelaksanaan 63%)</v>
      </c>
      <c r="AE150" s="1512">
        <f>[3]DATA!AQ146</f>
        <v>0</v>
      </c>
      <c r="AF150" s="1531" t="str">
        <f>[3]DATA!AR146</f>
        <v>belum ada dokumen R/C</v>
      </c>
    </row>
    <row r="151" spans="1:32" ht="39.75" customHeight="1">
      <c r="A151" s="10">
        <f>[3]DATA!A147</f>
        <v>109</v>
      </c>
      <c r="B151" s="10">
        <f>[3]DATA!B147</f>
        <v>0</v>
      </c>
      <c r="C151" s="10" t="str">
        <f>[3]DATA!D147</f>
        <v>INFRASTRUKTUR</v>
      </c>
      <c r="D151" s="10">
        <f>[3]DATA!E147</f>
        <v>7</v>
      </c>
      <c r="E151" s="10" t="str">
        <f>[3]DATA!F147</f>
        <v>PT. PLN</v>
      </c>
      <c r="F151" s="10" t="str">
        <f>[3]DATA!H147</f>
        <v>Electricity Infrastructure Development Program</v>
      </c>
      <c r="G151" s="10" t="str">
        <f>[3]DATA!I147</f>
        <v>A</v>
      </c>
      <c r="H151" s="10" t="str">
        <f>[3]DATA!J147</f>
        <v>Program Pembangunan Infrastruktur Ketenagalistrikan</v>
      </c>
      <c r="I151" s="10">
        <f>[3]DATA!K147</f>
        <v>5</v>
      </c>
      <c r="J151" s="181"/>
      <c r="K151" s="34"/>
      <c r="L151" s="34"/>
      <c r="M151" s="52">
        <v>101</v>
      </c>
      <c r="N151" s="37" t="str">
        <f>[3]DATA!L147</f>
        <v>Indramayu Coal Fired Power Plant  #4 (1x1000MW)</v>
      </c>
      <c r="O151" s="187">
        <f>[3]DATA!T147</f>
        <v>1845000000</v>
      </c>
      <c r="P151" s="187">
        <f>[3]DATA!U147</f>
        <v>1845000000</v>
      </c>
      <c r="Q151" s="1446">
        <f>[3]DATA!V147</f>
        <v>333000000</v>
      </c>
      <c r="R151" s="1446">
        <v>0</v>
      </c>
      <c r="S151" s="2467">
        <f t="shared" si="7"/>
        <v>2178000000</v>
      </c>
      <c r="T151" s="2468"/>
      <c r="U151" s="1449" t="str">
        <f>[3]DATA!Y147</f>
        <v>JICA</v>
      </c>
      <c r="V151" s="77">
        <f>[3]DATA!AA147</f>
        <v>1845000000</v>
      </c>
      <c r="W151" s="77">
        <v>0</v>
      </c>
      <c r="X151" s="216" t="str">
        <f>[3]DATA!Y147</f>
        <v>JICA</v>
      </c>
      <c r="Y151" s="245">
        <f>[3]DATA!AT147</f>
        <v>1845000000</v>
      </c>
      <c r="Z151" s="109" t="str">
        <f>[3]DATA!AU147</f>
        <v>JICA</v>
      </c>
      <c r="AA151" s="216" t="str">
        <f>[3]DATA!AW147</f>
        <v>-</v>
      </c>
      <c r="AB151" s="245">
        <f>[3]DATA!AM147</f>
        <v>0</v>
      </c>
      <c r="AC151" s="1510" t="str">
        <f>[3]DATA!AN147</f>
        <v>siap</v>
      </c>
      <c r="AD151" s="1511" t="str">
        <f>[3]DATA!AO147</f>
        <v>dalam proses
(perencanaan)</v>
      </c>
      <c r="AE151" s="1512">
        <f>[3]DATA!AQ147</f>
        <v>0</v>
      </c>
      <c r="AF151" s="1531" t="str">
        <f>[3]DATA!AR147</f>
        <v>belum ada dokumen R/C</v>
      </c>
    </row>
    <row r="152" spans="1:32" ht="46.5" customHeight="1">
      <c r="A152" s="10">
        <f>[3]DATA!A148</f>
        <v>110</v>
      </c>
      <c r="B152" s="10">
        <f>[3]DATA!B148</f>
        <v>0</v>
      </c>
      <c r="C152" s="10" t="str">
        <f>[3]DATA!D148</f>
        <v>INFRASTRUKTUR</v>
      </c>
      <c r="D152" s="10">
        <f>[3]DATA!E148</f>
        <v>7</v>
      </c>
      <c r="E152" s="10" t="str">
        <f>[3]DATA!F148</f>
        <v>PT. PLN</v>
      </c>
      <c r="F152" s="10" t="str">
        <f>[3]DATA!H148</f>
        <v>Electricity Infrastructure Development Program</v>
      </c>
      <c r="G152" s="10" t="str">
        <f>[3]DATA!I148</f>
        <v>A</v>
      </c>
      <c r="H152" s="10" t="str">
        <f>[3]DATA!J148</f>
        <v>Program Pembangunan Infrastruktur Ketenagalistrikan</v>
      </c>
      <c r="I152" s="10">
        <f>[3]DATA!K148</f>
        <v>6</v>
      </c>
      <c r="J152" s="181"/>
      <c r="K152" s="34"/>
      <c r="L152" s="34"/>
      <c r="M152" s="52">
        <v>102</v>
      </c>
      <c r="N152" s="37" t="str">
        <f>[3]DATA!L148</f>
        <v>Additional Loan for Upper Cisokan Pumped Storage Hydro Electrical Power Plant (4x260MW)</v>
      </c>
      <c r="O152" s="187">
        <f>[3]DATA!T148</f>
        <v>200000000</v>
      </c>
      <c r="P152" s="187">
        <f>[3]DATA!U148</f>
        <v>200000000</v>
      </c>
      <c r="Q152" s="1446">
        <f>[3]DATA!V148</f>
        <v>0</v>
      </c>
      <c r="R152" s="1446">
        <v>0</v>
      </c>
      <c r="S152" s="2467">
        <f t="shared" si="7"/>
        <v>200000000</v>
      </c>
      <c r="T152" s="2468"/>
      <c r="U152" s="1449" t="str">
        <f>[3]DATA!Y148</f>
        <v>Bank Dunia</v>
      </c>
      <c r="V152" s="77">
        <f>[3]DATA!AA148</f>
        <v>200000000</v>
      </c>
      <c r="W152" s="77">
        <v>0</v>
      </c>
      <c r="X152" s="216" t="str">
        <f>[3]DATA!Y148</f>
        <v>Bank Dunia</v>
      </c>
      <c r="Y152" s="245">
        <f>[3]DATA!AT148</f>
        <v>200000000</v>
      </c>
      <c r="Z152" s="109" t="str">
        <f>[3]DATA!AU148</f>
        <v>Bank Dunia</v>
      </c>
      <c r="AA152" s="216" t="str">
        <f>[3]DATA!AW148</f>
        <v>-</v>
      </c>
      <c r="AB152" s="245">
        <f>[3]DATA!AM148</f>
        <v>0</v>
      </c>
      <c r="AC152" s="1510" t="str">
        <f>[3]DATA!AN148</f>
        <v>siap</v>
      </c>
      <c r="AD152" s="1511" t="str">
        <f>[3]DATA!AO148</f>
        <v>dalam proses
(pelaksanaan 95%)</v>
      </c>
      <c r="AE152" s="1512">
        <f>[3]DATA!AQ148</f>
        <v>0</v>
      </c>
      <c r="AF152" s="1531" t="str">
        <f>[3]DATA!AR148</f>
        <v>belum ada dokumen R/C</v>
      </c>
    </row>
    <row r="153" spans="1:32" ht="43.5" customHeight="1">
      <c r="A153" s="10">
        <f>[3]DATA!A149</f>
        <v>111</v>
      </c>
      <c r="B153" s="10">
        <f>[3]DATA!B149</f>
        <v>0</v>
      </c>
      <c r="C153" s="10" t="str">
        <f>[3]DATA!D149</f>
        <v>INFRASTRUKTUR</v>
      </c>
      <c r="D153" s="10">
        <f>[3]DATA!E149</f>
        <v>7</v>
      </c>
      <c r="E153" s="10" t="str">
        <f>[3]DATA!F149</f>
        <v>PT. PLN</v>
      </c>
      <c r="F153" s="10" t="str">
        <f>[3]DATA!H149</f>
        <v>Electricity Infrastructure Development Program</v>
      </c>
      <c r="G153" s="10" t="str">
        <f>[3]DATA!I149</f>
        <v>A</v>
      </c>
      <c r="H153" s="10" t="str">
        <f>[3]DATA!J149</f>
        <v>Program Pembangunan Infrastruktur Ketenagalistrikan</v>
      </c>
      <c r="I153" s="10">
        <f>[3]DATA!K149</f>
        <v>7</v>
      </c>
      <c r="J153" s="181"/>
      <c r="K153" s="34"/>
      <c r="L153" s="34"/>
      <c r="M153" s="52">
        <v>103</v>
      </c>
      <c r="N153" s="37" t="str">
        <f>[3]DATA!L149</f>
        <v>Sungai Penuh Geothermal Power Plant 1&amp;2 (2x55MW)</v>
      </c>
      <c r="O153" s="187">
        <f>[3]DATA!T149</f>
        <v>205000000</v>
      </c>
      <c r="P153" s="187">
        <f>[3]DATA!U149</f>
        <v>205000000</v>
      </c>
      <c r="Q153" s="1446">
        <f>[3]DATA!V149</f>
        <v>45000000</v>
      </c>
      <c r="R153" s="1446">
        <v>0</v>
      </c>
      <c r="S153" s="2467">
        <f t="shared" si="7"/>
        <v>250000000</v>
      </c>
      <c r="T153" s="2468"/>
      <c r="U153" s="1449" t="str">
        <f>[3]DATA!Y149</f>
        <v>ADB</v>
      </c>
      <c r="V153" s="77">
        <f>[3]DATA!AA149</f>
        <v>205000000</v>
      </c>
      <c r="W153" s="77">
        <v>0</v>
      </c>
      <c r="X153" s="216" t="str">
        <f>[3]DATA!Y149</f>
        <v>ADB</v>
      </c>
      <c r="Y153" s="245">
        <f>[3]DATA!AT149</f>
        <v>205000000</v>
      </c>
      <c r="Z153" s="109" t="str">
        <f>[3]DATA!AU149</f>
        <v>ADB</v>
      </c>
      <c r="AA153" s="216" t="str">
        <f>[3]DATA!AW149</f>
        <v>-</v>
      </c>
      <c r="AB153" s="245">
        <f>[3]DATA!AM149</f>
        <v>0</v>
      </c>
      <c r="AC153" s="1510" t="str">
        <f>[3]DATA!AN149</f>
        <v>siap</v>
      </c>
      <c r="AD153" s="1511" t="str">
        <f>[3]DATA!AO149</f>
        <v>belum ada keterangan</v>
      </c>
      <c r="AE153" s="1512">
        <f>[3]DATA!AQ149</f>
        <v>0</v>
      </c>
      <c r="AF153" s="1531" t="str">
        <f>[3]DATA!AR149</f>
        <v>belum ada dokumen R/C</v>
      </c>
    </row>
    <row r="154" spans="1:32" ht="40.5" customHeight="1">
      <c r="A154" s="10">
        <f>[3]DATA!A150</f>
        <v>112</v>
      </c>
      <c r="B154" s="10">
        <f>[3]DATA!B150</f>
        <v>0</v>
      </c>
      <c r="C154" s="10" t="str">
        <f>[3]DATA!D150</f>
        <v>INFRASTRUKTUR</v>
      </c>
      <c r="D154" s="10">
        <f>[3]DATA!E150</f>
        <v>7</v>
      </c>
      <c r="E154" s="10" t="str">
        <f>[3]DATA!F150</f>
        <v>PT. PLN</v>
      </c>
      <c r="F154" s="10" t="str">
        <f>[3]DATA!H150</f>
        <v>Electricity Infrastructure Development Program</v>
      </c>
      <c r="G154" s="10" t="str">
        <f>[3]DATA!I150</f>
        <v>A</v>
      </c>
      <c r="H154" s="10" t="str">
        <f>[3]DATA!J150</f>
        <v>Program Pembangunan Infrastruktur Ketenagalistrikan</v>
      </c>
      <c r="I154" s="10">
        <f>[3]DATA!K150</f>
        <v>8</v>
      </c>
      <c r="J154" s="181"/>
      <c r="K154" s="54"/>
      <c r="L154" s="54"/>
      <c r="M154" s="52">
        <v>104</v>
      </c>
      <c r="N154" s="37" t="str">
        <f>[3]DATA!L150</f>
        <v>Matenggeng Pumped Storage Hydro Electrical Power Plant (4x225MW)</v>
      </c>
      <c r="O154" s="187">
        <f>[3]DATA!T150</f>
        <v>500000000</v>
      </c>
      <c r="P154" s="187">
        <f>[3]DATA!U150</f>
        <v>500000000</v>
      </c>
      <c r="Q154" s="1446">
        <f>[3]DATA!V150</f>
        <v>220000000</v>
      </c>
      <c r="R154" s="1446">
        <v>0</v>
      </c>
      <c r="S154" s="2467">
        <f t="shared" si="7"/>
        <v>720000000</v>
      </c>
      <c r="T154" s="2468"/>
      <c r="U154" s="1449" t="str">
        <f>[3]DATA!Y150</f>
        <v>Bank Dunia</v>
      </c>
      <c r="V154" s="77">
        <f>[3]DATA!AA150</f>
        <v>500000000</v>
      </c>
      <c r="W154" s="77">
        <v>0</v>
      </c>
      <c r="X154" s="216" t="str">
        <f>[3]DATA!Y150</f>
        <v>Bank Dunia</v>
      </c>
      <c r="Y154" s="245">
        <f>[3]DATA!AT150</f>
        <v>500000000</v>
      </c>
      <c r="Z154" s="109" t="str">
        <f>[3]DATA!AU150</f>
        <v>Bank Dunia</v>
      </c>
      <c r="AA154" s="216" t="str">
        <f>[3]DATA!AW150</f>
        <v>-</v>
      </c>
      <c r="AB154" s="245">
        <f>[3]DATA!AM150</f>
        <v>0</v>
      </c>
      <c r="AC154" s="1510" t="str">
        <f>[3]DATA!AN150</f>
        <v>dalam proses
(penyusunan FS)</v>
      </c>
      <c r="AD154" s="1511" t="str">
        <f>[3]DATA!AO150</f>
        <v>belum ada keterangan</v>
      </c>
      <c r="AE154" s="1512">
        <f>[3]DATA!AQ150</f>
        <v>0</v>
      </c>
      <c r="AF154" s="1531" t="str">
        <f>[3]DATA!AR150</f>
        <v>belum ada dokumen R/C</v>
      </c>
    </row>
    <row r="155" spans="1:32" ht="24" customHeight="1">
      <c r="J155" s="181"/>
      <c r="K155" s="25">
        <v>7</v>
      </c>
      <c r="L155" s="108" t="s">
        <v>426</v>
      </c>
      <c r="M155" s="25"/>
      <c r="N155" s="27"/>
      <c r="O155" s="194">
        <f>+O156</f>
        <v>0</v>
      </c>
      <c r="P155" s="194">
        <f>+P156</f>
        <v>61600000</v>
      </c>
      <c r="Q155" s="194">
        <f>+Q156</f>
        <v>106510000</v>
      </c>
      <c r="R155" s="194">
        <f>+R156</f>
        <v>7700000</v>
      </c>
      <c r="S155" s="194">
        <f t="shared" si="7"/>
        <v>175810000</v>
      </c>
      <c r="T155" s="2484">
        <f>P155+P202</f>
        <v>168400000</v>
      </c>
      <c r="U155" s="1549"/>
      <c r="V155" s="80">
        <f>+V156</f>
        <v>0</v>
      </c>
      <c r="W155" s="80">
        <f>+W156</f>
        <v>61600000</v>
      </c>
      <c r="X155" s="213"/>
      <c r="Y155" s="242">
        <f>+Y156</f>
        <v>61600000</v>
      </c>
      <c r="Z155" s="80" t="s">
        <v>21</v>
      </c>
      <c r="AA155" s="213"/>
      <c r="AB155" s="1501"/>
      <c r="AC155" s="1502"/>
      <c r="AD155" s="168"/>
      <c r="AE155" s="1503"/>
      <c r="AF155" s="1529"/>
    </row>
    <row r="156" spans="1:32" ht="23.25" customHeight="1">
      <c r="J156" s="181"/>
      <c r="K156" s="35"/>
      <c r="L156" s="30" t="str">
        <f>[3]DATA!I149</f>
        <v>A</v>
      </c>
      <c r="M156" s="3427" t="str">
        <f>[3]DATA!J149</f>
        <v>Program Pembangunan Infrastruktur Ketenagalistrikan</v>
      </c>
      <c r="N156" s="3428"/>
      <c r="O156" s="197">
        <f>O157</f>
        <v>0</v>
      </c>
      <c r="P156" s="1559">
        <f>+P157</f>
        <v>61600000</v>
      </c>
      <c r="Q156" s="1567">
        <f>+Q157</f>
        <v>106510000</v>
      </c>
      <c r="R156" s="1567">
        <f>+R157</f>
        <v>7700000</v>
      </c>
      <c r="S156" s="1559">
        <f t="shared" si="7"/>
        <v>175810000</v>
      </c>
      <c r="T156" s="2463"/>
      <c r="U156" s="1539"/>
      <c r="V156" s="81">
        <f>V157</f>
        <v>0</v>
      </c>
      <c r="W156" s="81">
        <f>W157</f>
        <v>61600000</v>
      </c>
      <c r="X156" s="214"/>
      <c r="Y156" s="244">
        <f>Y157</f>
        <v>61600000</v>
      </c>
      <c r="Z156" s="81" t="s">
        <v>21</v>
      </c>
      <c r="AA156" s="214"/>
      <c r="AB156" s="1505"/>
      <c r="AC156" s="1506"/>
      <c r="AD156" s="169"/>
      <c r="AE156" s="1507"/>
      <c r="AF156" s="1530"/>
    </row>
    <row r="157" spans="1:32" ht="48" customHeight="1">
      <c r="J157" s="181"/>
      <c r="K157" s="54"/>
      <c r="L157" s="54"/>
      <c r="M157" s="52">
        <v>105</v>
      </c>
      <c r="N157" s="37" t="str">
        <f>[3]DATA!L151</f>
        <v>Development of Seulawah Agam Geothermal Working Area for 55 MW-Capacity Geothermal Power Plant in Aceh</v>
      </c>
      <c r="O157" s="187">
        <f>[3]DATA!T151</f>
        <v>0</v>
      </c>
      <c r="P157" s="187">
        <f>[3]DATA!U151</f>
        <v>61600000</v>
      </c>
      <c r="Q157" s="187">
        <f>[3]DATA!V151</f>
        <v>106510000</v>
      </c>
      <c r="R157" s="187">
        <f>[3]DATA!W151</f>
        <v>7700000</v>
      </c>
      <c r="S157" s="2467">
        <f t="shared" si="7"/>
        <v>175810000</v>
      </c>
      <c r="T157" s="2468"/>
      <c r="U157" s="1449"/>
      <c r="V157" s="77">
        <v>0</v>
      </c>
      <c r="W157" s="77">
        <f>[3]DATA!AA151</f>
        <v>61600000</v>
      </c>
      <c r="X157" s="216" t="str">
        <f>[3]DATA!Y151</f>
        <v>Belum Ada Indikasi</v>
      </c>
      <c r="Y157" s="245">
        <f>[3]DATA!AT151</f>
        <v>61600000</v>
      </c>
      <c r="Z157" s="109" t="str">
        <f>[3]DATA!AU151</f>
        <v>Jerman (KfW)</v>
      </c>
      <c r="AA157" s="216">
        <f>[3]DATA!AW151</f>
        <v>0</v>
      </c>
      <c r="AB157" s="245">
        <f>[3]DATA!AM151</f>
        <v>0</v>
      </c>
      <c r="AC157" s="1510" t="str">
        <f>[3]DATA!AN151</f>
        <v>belum ada keterangan</v>
      </c>
      <c r="AD157" s="1511" t="str">
        <f>[3]DATA!AO151</f>
        <v>belum ada keterangan</v>
      </c>
      <c r="AE157" s="1512">
        <f>[3]DATA!AQ151</f>
        <v>0</v>
      </c>
      <c r="AF157" s="1531" t="str">
        <f>[3]DATA!AR151</f>
        <v>belum ada dokumen R/C</v>
      </c>
    </row>
    <row r="158" spans="1:32" ht="24" customHeight="1">
      <c r="J158" s="181"/>
      <c r="K158" s="25">
        <v>8</v>
      </c>
      <c r="L158" s="108" t="s">
        <v>946</v>
      </c>
      <c r="M158" s="25"/>
      <c r="N158" s="27"/>
      <c r="O158" s="194">
        <f>+O159</f>
        <v>0</v>
      </c>
      <c r="P158" s="1558">
        <f>+P159</f>
        <v>225000000</v>
      </c>
      <c r="Q158" s="1565">
        <f>+Q159</f>
        <v>0</v>
      </c>
      <c r="R158" s="1565">
        <f>+R159</f>
        <v>0</v>
      </c>
      <c r="S158" s="2488">
        <f t="shared" si="7"/>
        <v>225000000</v>
      </c>
      <c r="T158" s="2484"/>
      <c r="U158" s="1549"/>
      <c r="V158" s="80">
        <f>+V159</f>
        <v>0</v>
      </c>
      <c r="W158" s="80">
        <f>+W159</f>
        <v>225000000</v>
      </c>
      <c r="X158" s="213"/>
      <c r="Y158" s="242">
        <f>+Y159</f>
        <v>225000000</v>
      </c>
      <c r="Z158" s="80" t="s">
        <v>21</v>
      </c>
      <c r="AA158" s="213"/>
      <c r="AB158" s="1501"/>
      <c r="AC158" s="1502"/>
      <c r="AD158" s="168"/>
      <c r="AE158" s="1503"/>
      <c r="AF158" s="1529"/>
    </row>
    <row r="159" spans="1:32" ht="36" customHeight="1">
      <c r="J159" s="181"/>
      <c r="K159" s="35"/>
      <c r="L159" s="30" t="str">
        <f>[3]DATA!I161</f>
        <v>A</v>
      </c>
      <c r="M159" s="3427" t="s">
        <v>948</v>
      </c>
      <c r="N159" s="3428"/>
      <c r="O159" s="197">
        <f>O160</f>
        <v>0</v>
      </c>
      <c r="P159" s="1559">
        <f>+P160</f>
        <v>225000000</v>
      </c>
      <c r="Q159" s="1567">
        <f>+Q160</f>
        <v>0</v>
      </c>
      <c r="R159" s="1567">
        <f>+R160</f>
        <v>0</v>
      </c>
      <c r="S159" s="1559">
        <f t="shared" si="7"/>
        <v>225000000</v>
      </c>
      <c r="T159" s="2463"/>
      <c r="U159" s="1539"/>
      <c r="V159" s="81">
        <f>V160</f>
        <v>0</v>
      </c>
      <c r="W159" s="81">
        <f>W160</f>
        <v>225000000</v>
      </c>
      <c r="X159" s="214"/>
      <c r="Y159" s="244">
        <f>Y160</f>
        <v>225000000</v>
      </c>
      <c r="Z159" s="81" t="s">
        <v>21</v>
      </c>
      <c r="AA159" s="214"/>
      <c r="AB159" s="1505"/>
      <c r="AC159" s="1506"/>
      <c r="AD159" s="169"/>
      <c r="AE159" s="1507"/>
      <c r="AF159" s="1530"/>
    </row>
    <row r="160" spans="1:32" ht="33.75" customHeight="1">
      <c r="J160" s="256"/>
      <c r="K160" s="54"/>
      <c r="L160" s="54"/>
      <c r="M160" s="52">
        <v>106</v>
      </c>
      <c r="N160" s="37" t="str">
        <f>[3]DATA!L152</f>
        <v>Development and Improvement of Lampung Provincial Roads Project</v>
      </c>
      <c r="O160" s="187">
        <f>[3]DATA!T152</f>
        <v>0</v>
      </c>
      <c r="P160" s="187">
        <f>[3]DATA!U152</f>
        <v>225000000</v>
      </c>
      <c r="Q160" s="187">
        <f>[3]DATA!V152</f>
        <v>0</v>
      </c>
      <c r="R160" s="187">
        <f>[3]DATA!W152</f>
        <v>0</v>
      </c>
      <c r="S160" s="2467">
        <f t="shared" si="7"/>
        <v>225000000</v>
      </c>
      <c r="T160" s="2468"/>
      <c r="U160" s="1449"/>
      <c r="V160" s="77">
        <v>0</v>
      </c>
      <c r="W160" s="77">
        <f>[3]DATA!AA152</f>
        <v>225000000</v>
      </c>
      <c r="X160" s="216" t="str">
        <f>[3]DATA!Y152</f>
        <v>Belum Ada Indikasi</v>
      </c>
      <c r="Y160" s="245">
        <f>[3]DATA!AT152</f>
        <v>225000000</v>
      </c>
      <c r="Z160" s="109" t="str">
        <f>[3]DATA!AU152</f>
        <v>Belum Ada Indikasi</v>
      </c>
      <c r="AA160" s="216">
        <f>[3]DATA!AW152</f>
        <v>0</v>
      </c>
      <c r="AB160" s="245">
        <f>[3]DATA!AM152</f>
        <v>0</v>
      </c>
      <c r="AC160" s="1510" t="str">
        <f>[3]DATA!AN152</f>
        <v>belum ada keterangan</v>
      </c>
      <c r="AD160" s="1511" t="str">
        <f>[3]DATA!AO152</f>
        <v>belum ada keterangan</v>
      </c>
      <c r="AE160" s="1512">
        <f>[3]DATA!AQ152</f>
        <v>0</v>
      </c>
      <c r="AF160" s="1531" t="str">
        <f>[3]DATA!AR152</f>
        <v>belum ada dokumen R/C</v>
      </c>
    </row>
    <row r="161" spans="1:32" ht="24" customHeight="1">
      <c r="J161" s="181"/>
      <c r="K161" s="1405">
        <v>9</v>
      </c>
      <c r="L161" s="1406" t="s">
        <v>950</v>
      </c>
      <c r="M161" s="1405"/>
      <c r="N161" s="2416"/>
      <c r="O161" s="194">
        <f>O162</f>
        <v>0</v>
      </c>
      <c r="P161" s="194">
        <f>P162</f>
        <v>800000000</v>
      </c>
      <c r="Q161" s="194">
        <f>Q162</f>
        <v>0</v>
      </c>
      <c r="R161" s="194">
        <f>R162</f>
        <v>0</v>
      </c>
      <c r="S161" s="194">
        <f t="shared" si="7"/>
        <v>800000000</v>
      </c>
      <c r="T161" s="2484"/>
      <c r="U161" s="1435"/>
      <c r="V161" s="80">
        <f>V162</f>
        <v>0</v>
      </c>
      <c r="W161" s="80">
        <f>W162</f>
        <v>800000000</v>
      </c>
      <c r="X161" s="213"/>
      <c r="Y161" s="242">
        <f>Y162</f>
        <v>800000000</v>
      </c>
      <c r="Z161" s="80" t="s">
        <v>21</v>
      </c>
      <c r="AA161" s="213"/>
      <c r="AB161" s="1501"/>
      <c r="AC161" s="1502"/>
      <c r="AD161" s="168"/>
      <c r="AE161" s="1503"/>
      <c r="AF161" s="1529"/>
    </row>
    <row r="162" spans="1:32" ht="26.25" customHeight="1">
      <c r="J162" s="181"/>
      <c r="K162" s="29"/>
      <c r="L162" s="30" t="s">
        <v>23</v>
      </c>
      <c r="M162" s="3448" t="s">
        <v>952</v>
      </c>
      <c r="N162" s="3449"/>
      <c r="O162" s="197">
        <f>O163+O165</f>
        <v>0</v>
      </c>
      <c r="P162" s="197">
        <f>P163+P165</f>
        <v>800000000</v>
      </c>
      <c r="Q162" s="1436">
        <f>Q163+Q165</f>
        <v>0</v>
      </c>
      <c r="R162" s="1436">
        <f>R163+R165</f>
        <v>0</v>
      </c>
      <c r="S162" s="1559">
        <f t="shared" si="7"/>
        <v>800000000</v>
      </c>
      <c r="T162" s="2463"/>
      <c r="U162" s="198"/>
      <c r="V162" s="81">
        <f>V163+V165+V166</f>
        <v>0</v>
      </c>
      <c r="W162" s="81">
        <f>W163+W165+W166</f>
        <v>800000000</v>
      </c>
      <c r="X162" s="214"/>
      <c r="Y162" s="244">
        <f>Y163+Y164+Y165+Y166+Y167</f>
        <v>800000000</v>
      </c>
      <c r="Z162" s="81" t="s">
        <v>21</v>
      </c>
      <c r="AA162" s="214"/>
      <c r="AB162" s="1505"/>
      <c r="AC162" s="1506"/>
      <c r="AD162" s="169"/>
      <c r="AE162" s="1507"/>
      <c r="AF162" s="1530"/>
    </row>
    <row r="163" spans="1:32" ht="31.5" customHeight="1">
      <c r="J163" s="181"/>
      <c r="K163" s="34"/>
      <c r="L163" s="172"/>
      <c r="M163" s="3390">
        <v>107</v>
      </c>
      <c r="N163" s="3460" t="str">
        <f>[3]DATA!L154</f>
        <v>Increasing PT Indonesia Infrastructure Finance Financing Capacity in Accelerating Infrastructure Development in Indonesia</v>
      </c>
      <c r="O163" s="3403">
        <f>[3]DATA!T154</f>
        <v>0</v>
      </c>
      <c r="P163" s="3403">
        <f>[3]DATA!U154</f>
        <v>300000000</v>
      </c>
      <c r="Q163" s="3403">
        <f>[3]DATA!V154</f>
        <v>0</v>
      </c>
      <c r="R163" s="3403">
        <f>[3]DATA!W154</f>
        <v>0</v>
      </c>
      <c r="S163" s="3403">
        <f t="shared" si="7"/>
        <v>300000000</v>
      </c>
      <c r="T163" s="3478"/>
      <c r="U163" s="1440"/>
      <c r="V163" s="3414">
        <v>0</v>
      </c>
      <c r="W163" s="3414">
        <f>[3]DATA!AA154</f>
        <v>300000000</v>
      </c>
      <c r="X163" s="3416" t="str">
        <f>[3]DATA!Y154</f>
        <v>Belum Ada Indikasi</v>
      </c>
      <c r="Y163" s="245">
        <f>[3]DATA!AT154</f>
        <v>200000000</v>
      </c>
      <c r="Z163" s="109" t="str">
        <f>[3]DATA!AU154</f>
        <v>Bank Dunia</v>
      </c>
      <c r="AA163" s="216" t="str">
        <f>[3]DATA!AW154</f>
        <v>co-financing dengan ADB (USD 100 juta)</v>
      </c>
      <c r="AB163" s="245" t="str">
        <f>[3]DATA!AM154</f>
        <v>Rev. 2016</v>
      </c>
      <c r="AC163" s="1510" t="str">
        <f>[3]DATA!AN154</f>
        <v>siap</v>
      </c>
      <c r="AD163" s="1511" t="str">
        <f>[3]DATA!AO154</f>
        <v>siap</v>
      </c>
      <c r="AE163" s="1512">
        <f>[3]DATA!AQ154</f>
        <v>0</v>
      </c>
      <c r="AF163" s="1531" t="str">
        <f>[3]DATA!AR154</f>
        <v>-</v>
      </c>
    </row>
    <row r="164" spans="1:32" ht="30" customHeight="1">
      <c r="J164" s="181"/>
      <c r="K164" s="34"/>
      <c r="L164" s="33"/>
      <c r="M164" s="3391"/>
      <c r="N164" s="3462"/>
      <c r="O164" s="3404"/>
      <c r="P164" s="3404"/>
      <c r="Q164" s="3404"/>
      <c r="R164" s="3404"/>
      <c r="S164" s="3404"/>
      <c r="T164" s="3480"/>
      <c r="U164" s="1440"/>
      <c r="V164" s="3415"/>
      <c r="W164" s="3415"/>
      <c r="X164" s="3417"/>
      <c r="Y164" s="245">
        <f>[3]DATA!AT155</f>
        <v>100000000</v>
      </c>
      <c r="Z164" s="109" t="str">
        <f>[3]DATA!AU155</f>
        <v>ADB</v>
      </c>
      <c r="AA164" s="216" t="str">
        <f>[3]DATA!AW155</f>
        <v>co-financing dengan Bank Dunia (USD 200 juta)</v>
      </c>
      <c r="AB164" s="245" t="str">
        <f>[3]DATA!AM155</f>
        <v>Rev. 2016</v>
      </c>
      <c r="AC164" s="1510" t="str">
        <f>[3]DATA!AN155</f>
        <v>siap</v>
      </c>
      <c r="AD164" s="1511" t="str">
        <f>[3]DATA!AO155</f>
        <v>siap</v>
      </c>
      <c r="AE164" s="1512">
        <f>[3]DATA!AQ155</f>
        <v>0</v>
      </c>
      <c r="AF164" s="1531" t="str">
        <f>[3]DATA!AR155</f>
        <v>-</v>
      </c>
    </row>
    <row r="165" spans="1:32" ht="40.5" customHeight="1">
      <c r="J165" s="181"/>
      <c r="K165" s="34"/>
      <c r="L165" s="33"/>
      <c r="M165" s="3390">
        <v>108</v>
      </c>
      <c r="N165" s="3460" t="str">
        <f>[3]DATA!L157</f>
        <v>Financial Regional Infrastructure Projects through Regional Infrastructure Development Fund (RIDF)</v>
      </c>
      <c r="O165" s="3403">
        <f>[3]DATA!T157</f>
        <v>0</v>
      </c>
      <c r="P165" s="3403">
        <f>[3]DATA!U157</f>
        <v>500000000</v>
      </c>
      <c r="Q165" s="3403">
        <f>[3]DATA!V157</f>
        <v>0</v>
      </c>
      <c r="R165" s="3403">
        <f>[3]DATA!W157</f>
        <v>0</v>
      </c>
      <c r="S165" s="3403">
        <f t="shared" si="7"/>
        <v>500000000</v>
      </c>
      <c r="T165" s="3478"/>
      <c r="U165" s="1440"/>
      <c r="V165" s="3414">
        <v>0</v>
      </c>
      <c r="W165" s="3414">
        <f>[3]DATA!AA157</f>
        <v>500000000</v>
      </c>
      <c r="X165" s="3416" t="str">
        <f>[3]DATA!Y154</f>
        <v>Belum Ada Indikasi</v>
      </c>
      <c r="Y165" s="245">
        <f>[3]DATA!AT157</f>
        <v>100000000</v>
      </c>
      <c r="Z165" s="109" t="str">
        <f>[3]DATA!AU157</f>
        <v>Bank Dunia</v>
      </c>
      <c r="AA165" s="216" t="str">
        <f>[3]DATA!AW157</f>
        <v>co-financing dengan AIIB (USD 100 juta) dan belum ada indikasi (USD 300 juta)</v>
      </c>
      <c r="AB165" s="245" t="str">
        <f>[3]DATA!AM157</f>
        <v>Rev. 2016</v>
      </c>
      <c r="AC165" s="1510" t="str">
        <f>[3]DATA!AN157</f>
        <v>siap</v>
      </c>
      <c r="AD165" s="1511" t="str">
        <f>[3]DATA!AO157</f>
        <v>siap</v>
      </c>
      <c r="AE165" s="1512">
        <f>[3]DATA!AQ157</f>
        <v>0</v>
      </c>
      <c r="AF165" s="1531" t="str">
        <f>[3]DATA!AR157</f>
        <v>-</v>
      </c>
    </row>
    <row r="166" spans="1:32" ht="55.5" customHeight="1">
      <c r="J166" s="181"/>
      <c r="K166" s="34"/>
      <c r="L166" s="33"/>
      <c r="M166" s="3392"/>
      <c r="N166" s="3461"/>
      <c r="O166" s="3405"/>
      <c r="P166" s="3405"/>
      <c r="Q166" s="3405"/>
      <c r="R166" s="3405"/>
      <c r="S166" s="3405"/>
      <c r="T166" s="3479"/>
      <c r="U166" s="1440"/>
      <c r="V166" s="3494"/>
      <c r="W166" s="3494"/>
      <c r="X166" s="3501"/>
      <c r="Y166" s="245">
        <f>[3]DATA!AT158</f>
        <v>100000000</v>
      </c>
      <c r="Z166" s="109" t="str">
        <f>[3]DATA!AU158</f>
        <v>AIIB</v>
      </c>
      <c r="AA166" s="216" t="str">
        <f>[3]DATA!AW158</f>
        <v>co-financing dengan Bank Dunia (USD 100 juta) dan belum ada indikasi (USD 300 juta)</v>
      </c>
      <c r="AB166" s="245" t="str">
        <f>[3]DATA!AM158</f>
        <v>Rev. 2016</v>
      </c>
      <c r="AC166" s="1510" t="str">
        <f>[3]DATA!AN158</f>
        <v>siap</v>
      </c>
      <c r="AD166" s="1511" t="str">
        <f>[3]DATA!AO158</f>
        <v>siap</v>
      </c>
      <c r="AE166" s="1512">
        <f>[3]DATA!AQ158</f>
        <v>0</v>
      </c>
      <c r="AF166" s="1531" t="str">
        <f>[3]DATA!AR158</f>
        <v>-</v>
      </c>
    </row>
    <row r="167" spans="1:32" ht="24.75" customHeight="1">
      <c r="J167" s="256"/>
      <c r="K167" s="54"/>
      <c r="L167" s="52"/>
      <c r="M167" s="3391"/>
      <c r="N167" s="3462"/>
      <c r="O167" s="3404"/>
      <c r="P167" s="3404"/>
      <c r="Q167" s="3404"/>
      <c r="R167" s="3404"/>
      <c r="S167" s="3404"/>
      <c r="T167" s="3480"/>
      <c r="U167" s="1440"/>
      <c r="V167" s="3415"/>
      <c r="W167" s="3415"/>
      <c r="X167" s="3417"/>
      <c r="Y167" s="245">
        <f>[3]DATA!AT159</f>
        <v>300000000</v>
      </c>
      <c r="Z167" s="109" t="str">
        <f>[3]DATA!AU159</f>
        <v>Belum Ada Indikasi</v>
      </c>
      <c r="AA167" s="216" t="str">
        <f>[3]DATA!AW159</f>
        <v>co-financing dengan Bank Dunia (USD 100 juta) dan AIIB (USD 100 juta)</v>
      </c>
      <c r="AB167" s="245">
        <f>[3]DATA!AM159</f>
        <v>0</v>
      </c>
      <c r="AC167" s="1510" t="str">
        <f>[3]DATA!AN159</f>
        <v>belum ada keterangan</v>
      </c>
      <c r="AD167" s="1511" t="str">
        <f>[3]DATA!AO159</f>
        <v>belum ada keterangan</v>
      </c>
      <c r="AE167" s="1512">
        <f>[3]DATA!AQ159</f>
        <v>0</v>
      </c>
      <c r="AF167" s="1531" t="str">
        <f>[3]DATA!AR159</f>
        <v>-</v>
      </c>
    </row>
    <row r="168" spans="1:32" s="3" customFormat="1" ht="30" customHeight="1">
      <c r="J168" s="178" t="s">
        <v>960</v>
      </c>
      <c r="K168" s="112" t="str">
        <f>[3]DATA!D160</f>
        <v>NON-INFRASTRUKTUR</v>
      </c>
      <c r="L168" s="22"/>
      <c r="M168" s="22"/>
      <c r="N168" s="23"/>
      <c r="O168" s="191">
        <f>+O169+O179+O188+O191+O202+O205+O216+O219+O228+O231+O222+O234+O237</f>
        <v>4413998600</v>
      </c>
      <c r="P168" s="191">
        <f>+P169+P179+P188+P191+P202+P205+P216+P219+P228+P231+P222+P234+P237</f>
        <v>5308743700</v>
      </c>
      <c r="Q168" s="191">
        <f>+Q169+Q179+Q188+Q191+Q202+Q205+Q216+Q219+Q228+Q231+Q222+Q234+Q237</f>
        <v>475459100</v>
      </c>
      <c r="R168" s="191">
        <f>+R169+R179+R188+R191+R202+R205+R216+R219+R228+R231+R222+R234+R237</f>
        <v>2660000</v>
      </c>
      <c r="S168" s="191">
        <f>+S169+S179+S188+S191+S202+S205+S216+S219+S228+S231+S222+S234+S237</f>
        <v>5786862800</v>
      </c>
      <c r="T168" s="2489"/>
      <c r="U168" s="192"/>
      <c r="V168" s="79">
        <f>+V169+V179+V188+V191+V202+V205+V216+V219+V222+V228+V231+V234+V237</f>
        <v>2804556000</v>
      </c>
      <c r="W168" s="79">
        <f>+W169+W179+W188+W191+W202+W205+W216+W219+W222+W228+W231+W234+W237</f>
        <v>2504187700</v>
      </c>
      <c r="X168" s="79">
        <f>+X169+X179+X188+X191+X202+X205+X216+X219+X222+X228+X231+X234+X237</f>
        <v>0</v>
      </c>
      <c r="Y168" s="240">
        <f>Y169+Y179+Y188+Y191+Y202+Y205+Y216+Y219+Y222+Y228+Y231+Y234+Y237</f>
        <v>5308743700</v>
      </c>
      <c r="Z168" s="79" t="s">
        <v>21</v>
      </c>
      <c r="AA168" s="79" t="s">
        <v>21</v>
      </c>
      <c r="AB168" s="1496"/>
      <c r="AC168" s="1516"/>
      <c r="AD168" s="1517"/>
      <c r="AE168" s="1518"/>
      <c r="AF168" s="1532"/>
    </row>
    <row r="169" spans="1:32" s="4" customFormat="1" ht="24.95" customHeight="1">
      <c r="J169" s="179"/>
      <c r="K169" s="25">
        <v>10</v>
      </c>
      <c r="L169" s="108" t="str">
        <f>[3]DATA!F160</f>
        <v>Kementerian Riset, Teknologi, dan Pendidikan Tinggi</v>
      </c>
      <c r="M169" s="25"/>
      <c r="N169" s="27"/>
      <c r="O169" s="194">
        <f>+O170</f>
        <v>113538000</v>
      </c>
      <c r="P169" s="194">
        <f>+P170</f>
        <v>350397600</v>
      </c>
      <c r="Q169" s="194">
        <f>+Q170</f>
        <v>38932400</v>
      </c>
      <c r="R169" s="194">
        <f>+R170</f>
        <v>0</v>
      </c>
      <c r="S169" s="194">
        <f t="shared" ref="S169:S199" si="12">P169+Q169+R169</f>
        <v>389330000</v>
      </c>
      <c r="T169" s="2484"/>
      <c r="U169" s="195"/>
      <c r="V169" s="80">
        <f>+V170</f>
        <v>113538000</v>
      </c>
      <c r="W169" s="80">
        <f>+W170</f>
        <v>236859600</v>
      </c>
      <c r="X169" s="80">
        <f>+X170</f>
        <v>0</v>
      </c>
      <c r="Y169" s="242">
        <f>+Y170</f>
        <v>350397600</v>
      </c>
      <c r="Z169" s="80" t="s">
        <v>21</v>
      </c>
      <c r="AA169" s="213"/>
      <c r="AB169" s="1501"/>
      <c r="AC169" s="1502"/>
      <c r="AD169" s="168"/>
      <c r="AE169" s="1503"/>
      <c r="AF169" s="1529"/>
    </row>
    <row r="170" spans="1:32" s="5" customFormat="1" ht="33.75" customHeight="1">
      <c r="J170" s="180"/>
      <c r="K170" s="29"/>
      <c r="L170" s="30" t="str">
        <f>[3]DATA!I160</f>
        <v>A</v>
      </c>
      <c r="M170" s="3427" t="str">
        <f>[3]DATA!J160</f>
        <v>Program Peningkatan Akses, Kualitas, Relevansi, dan Daya Saing Pendidikan Tinggi</v>
      </c>
      <c r="N170" s="3428"/>
      <c r="O170" s="197">
        <f>O171+O172+O173+O174+O175+O176+O177+O178</f>
        <v>113538000</v>
      </c>
      <c r="P170" s="197">
        <f>P171+P172+P173+P174+P175+P176+P177+P178</f>
        <v>350397600</v>
      </c>
      <c r="Q170" s="1436">
        <f>Q171+Q172+Q173+Q174+Q175+Q176+Q177+Q178</f>
        <v>38932400</v>
      </c>
      <c r="R170" s="1436">
        <f>R171+R172+R173+R174+R175+R176+R177+R178</f>
        <v>0</v>
      </c>
      <c r="S170" s="1559">
        <f t="shared" si="12"/>
        <v>389330000</v>
      </c>
      <c r="T170" s="2463"/>
      <c r="U170" s="198"/>
      <c r="V170" s="81">
        <f>V171+V172+V173+V174+V175+V176+V177+V178</f>
        <v>113538000</v>
      </c>
      <c r="W170" s="81">
        <f>W171+W172+W173+W174+W175+W176+W177+W178</f>
        <v>236859600</v>
      </c>
      <c r="X170" s="214"/>
      <c r="Y170" s="244">
        <f>Y171+Y172+Y173+Y174+Y175+Y176+Y177+Y178</f>
        <v>350397600</v>
      </c>
      <c r="Z170" s="81" t="s">
        <v>21</v>
      </c>
      <c r="AA170" s="214"/>
      <c r="AB170" s="1505"/>
      <c r="AC170" s="1506"/>
      <c r="AD170" s="169"/>
      <c r="AE170" s="1507"/>
      <c r="AF170" s="1530"/>
    </row>
    <row r="171" spans="1:32" ht="37.5" customHeight="1">
      <c r="A171" s="10">
        <f>[3]DATA!A165</f>
        <v>118</v>
      </c>
      <c r="B171" s="10">
        <f>[3]DATA!B165</f>
        <v>0</v>
      </c>
      <c r="C171" s="10" t="str">
        <f>[3]DATA!D165</f>
        <v>NON-INFRASTRUKTUR</v>
      </c>
      <c r="D171" s="10">
        <f>[3]DATA!E165</f>
        <v>8</v>
      </c>
      <c r="E171" s="10" t="str">
        <f>[3]DATA!F165</f>
        <v>Kementerian Riset, Teknologi, dan Pendidikan Tinggi</v>
      </c>
      <c r="F171" s="10" t="str">
        <f>[3]DATA!H165</f>
        <v>Improving Access, Quality, Relevance, and Competitiveness of Higher Education Program</v>
      </c>
      <c r="G171" s="10" t="str">
        <f>[3]DATA!I165</f>
        <v>A</v>
      </c>
      <c r="H171" s="10" t="str">
        <f>[3]DATA!J165</f>
        <v>Program Peningkatan Akses, Kualitas, Relevansi, dan Daya Saing Pendidikan Tinggi</v>
      </c>
      <c r="I171" s="10">
        <f>[3]DATA!K165</f>
        <v>1</v>
      </c>
      <c r="J171" s="181"/>
      <c r="K171" s="34"/>
      <c r="L171" s="34"/>
      <c r="M171" s="172">
        <v>109</v>
      </c>
      <c r="N171" s="37" t="str">
        <f>[3]DATA!L165</f>
        <v>The Plan of Hasanuddin University Hospital Development</v>
      </c>
      <c r="O171" s="187">
        <f>[3]DATA!T165</f>
        <v>31565800</v>
      </c>
      <c r="P171" s="187">
        <f>[3]DATA!U165</f>
        <v>31565800</v>
      </c>
      <c r="Q171" s="1446">
        <f>[3]DATA!V165</f>
        <v>2586200</v>
      </c>
      <c r="R171" s="1446">
        <v>0</v>
      </c>
      <c r="S171" s="2467">
        <f t="shared" si="12"/>
        <v>34152000</v>
      </c>
      <c r="T171" s="2468"/>
      <c r="U171" s="1449" t="str">
        <f>[3]DATA!Y165</f>
        <v>Jerman (KfW)</v>
      </c>
      <c r="V171" s="77">
        <f>[3]DATA!AA165</f>
        <v>31565800</v>
      </c>
      <c r="W171" s="77">
        <v>0</v>
      </c>
      <c r="X171" s="216" t="str">
        <f>[3]DATA!Y165</f>
        <v>Jerman (KfW)</v>
      </c>
      <c r="Y171" s="245">
        <f>[3]DATA!AT165</f>
        <v>31565800</v>
      </c>
      <c r="Z171" s="109" t="str">
        <f>[3]DATA!AU165</f>
        <v>Jerman (KfW)</v>
      </c>
      <c r="AA171" s="2455" t="str">
        <f>[3]DATA!AW165</f>
        <v>-</v>
      </c>
      <c r="AB171" s="1625">
        <f>[3]DATA!AM165</f>
        <v>2016</v>
      </c>
      <c r="AC171" s="1510" t="str">
        <f>[3]DATA!AN165</f>
        <v>siap</v>
      </c>
      <c r="AD171" s="1511" t="str">
        <f>[3]DATA!AO165</f>
        <v>siap</v>
      </c>
      <c r="AE171" s="1512">
        <f>[3]DATA!AQ165</f>
        <v>0</v>
      </c>
      <c r="AF171" s="1531" t="str">
        <f>[3]DATA!AR165</f>
        <v>-</v>
      </c>
    </row>
    <row r="172" spans="1:32" ht="26.25" customHeight="1">
      <c r="A172" s="10">
        <f>[3]DATA!A166</f>
        <v>119</v>
      </c>
      <c r="B172" s="10">
        <f>[3]DATA!B166</f>
        <v>0</v>
      </c>
      <c r="C172" s="10" t="str">
        <f>[3]DATA!D166</f>
        <v>NON-INFRASTRUKTUR</v>
      </c>
      <c r="D172" s="10">
        <f>[3]DATA!E166</f>
        <v>8</v>
      </c>
      <c r="E172" s="10" t="str">
        <f>[3]DATA!F166</f>
        <v>Kementerian Riset, Teknologi, dan Pendidikan Tinggi</v>
      </c>
      <c r="F172" s="10" t="str">
        <f>[3]DATA!H166</f>
        <v>Improving Access, Quality, Relevance, and Competitiveness of Higher Education Program</v>
      </c>
      <c r="G172" s="10" t="str">
        <f>[3]DATA!I166</f>
        <v>A</v>
      </c>
      <c r="H172" s="10" t="str">
        <f>[3]DATA!J166</f>
        <v>Program Peningkatan Akses, Kualitas, Relevansi, dan Daya Saing Pendidikan Tinggi</v>
      </c>
      <c r="I172" s="10">
        <f>[3]DATA!K166</f>
        <v>1</v>
      </c>
      <c r="J172" s="181"/>
      <c r="K172" s="34"/>
      <c r="L172" s="34"/>
      <c r="M172" s="172">
        <v>110</v>
      </c>
      <c r="N172" s="37" t="str">
        <f>[3]DATA!L166</f>
        <v>Establishment of University of Bengkulu’s Hospital</v>
      </c>
      <c r="O172" s="187">
        <f>[3]DATA!T166</f>
        <v>10278200</v>
      </c>
      <c r="P172" s="187">
        <f>[3]DATA!U166</f>
        <v>10278200</v>
      </c>
      <c r="Q172" s="1446">
        <f>[3]DATA!V166</f>
        <v>182000</v>
      </c>
      <c r="R172" s="1446">
        <v>0</v>
      </c>
      <c r="S172" s="2467">
        <f t="shared" si="12"/>
        <v>10460200</v>
      </c>
      <c r="T172" s="2468"/>
      <c r="U172" s="1449" t="str">
        <f>[3]DATA!Y166</f>
        <v>JICA</v>
      </c>
      <c r="V172" s="77">
        <f>[3]DATA!AA166</f>
        <v>10278200</v>
      </c>
      <c r="W172" s="77">
        <v>0</v>
      </c>
      <c r="X172" s="216" t="str">
        <f>[3]DATA!Y166</f>
        <v>JICA</v>
      </c>
      <c r="Y172" s="245">
        <f>[3]DATA!AT166</f>
        <v>10278200</v>
      </c>
      <c r="Z172" s="109" t="str">
        <f>[3]DATA!AU166</f>
        <v>JICA</v>
      </c>
      <c r="AA172" s="2455" t="str">
        <f>[3]DATA!AW166</f>
        <v>-</v>
      </c>
      <c r="AB172" s="245">
        <f>[3]DATA!AM166</f>
        <v>0</v>
      </c>
      <c r="AC172" s="1510" t="str">
        <f>[3]DATA!AN166</f>
        <v>siap</v>
      </c>
      <c r="AD172" s="1511" t="str">
        <f>[3]DATA!AO166</f>
        <v>siap</v>
      </c>
      <c r="AE172" s="1512">
        <f>[3]DATA!AQ166</f>
        <v>0</v>
      </c>
      <c r="AF172" s="1531" t="str">
        <f>[3]DATA!AR166</f>
        <v>penyiapan dokumen R/C</v>
      </c>
    </row>
    <row r="173" spans="1:32" ht="39" customHeight="1">
      <c r="A173" s="10">
        <f>[3]DATA!A167</f>
        <v>120</v>
      </c>
      <c r="B173" s="10">
        <f>[3]DATA!B167</f>
        <v>0</v>
      </c>
      <c r="C173" s="10" t="str">
        <f>[3]DATA!D167</f>
        <v>NON-INFRASTRUKTUR</v>
      </c>
      <c r="D173" s="10">
        <f>[3]DATA!E167</f>
        <v>8</v>
      </c>
      <c r="E173" s="10" t="str">
        <f>[3]DATA!F167</f>
        <v>Kementerian Riset, Teknologi, dan Pendidikan Tinggi</v>
      </c>
      <c r="F173" s="10" t="str">
        <f>[3]DATA!H167</f>
        <v>Improving Access, Quality, Relevance, and Competitiveness of Higher Education Program</v>
      </c>
      <c r="G173" s="10" t="str">
        <f>[3]DATA!I167</f>
        <v>A</v>
      </c>
      <c r="H173" s="10" t="str">
        <f>[3]DATA!J167</f>
        <v>Program Peningkatan Akses, Kualitas, Relevansi, dan Daya Saing Pendidikan Tinggi</v>
      </c>
      <c r="I173" s="10">
        <f>[3]DATA!K167</f>
        <v>1</v>
      </c>
      <c r="J173" s="181"/>
      <c r="K173" s="34"/>
      <c r="L173" s="34"/>
      <c r="M173" s="172">
        <v>111</v>
      </c>
      <c r="N173" s="37" t="str">
        <f>[3]DATA!L167</f>
        <v>University of Gadjah Mada Achieving World Class University with Socio-Entrepreneurial Spirit</v>
      </c>
      <c r="O173" s="187">
        <f>[3]DATA!T167</f>
        <v>71694000</v>
      </c>
      <c r="P173" s="187">
        <f>[3]DATA!U167</f>
        <v>71694000</v>
      </c>
      <c r="Q173" s="1446">
        <f>[3]DATA!V167</f>
        <v>7041900</v>
      </c>
      <c r="R173" s="1446">
        <v>0</v>
      </c>
      <c r="S173" s="2467">
        <f t="shared" si="12"/>
        <v>78735900</v>
      </c>
      <c r="T173" s="2468"/>
      <c r="U173" s="1449" t="str">
        <f>[3]DATA!Y167</f>
        <v>JICA</v>
      </c>
      <c r="V173" s="77">
        <f>[3]DATA!AA167</f>
        <v>71694000</v>
      </c>
      <c r="W173" s="77">
        <v>0</v>
      </c>
      <c r="X173" s="216" t="str">
        <f>[3]DATA!Y167</f>
        <v>JICA</v>
      </c>
      <c r="Y173" s="245">
        <f>[3]DATA!AT167</f>
        <v>71694000</v>
      </c>
      <c r="Z173" s="109" t="str">
        <f>[3]DATA!AU167</f>
        <v>JICA</v>
      </c>
      <c r="AA173" s="2455" t="str">
        <f>[3]DATA!AW167</f>
        <v>-</v>
      </c>
      <c r="AB173" s="1625">
        <f>[3]DATA!AM167</f>
        <v>2016</v>
      </c>
      <c r="AC173" s="1510" t="str">
        <f>[3]DATA!AN167</f>
        <v>siap</v>
      </c>
      <c r="AD173" s="1511" t="str">
        <f>[3]DATA!AO167</f>
        <v>siap</v>
      </c>
      <c r="AE173" s="1512">
        <f>[3]DATA!AQ167</f>
        <v>0</v>
      </c>
      <c r="AF173" s="1531" t="str">
        <f>[3]DATA!AR167</f>
        <v>-</v>
      </c>
    </row>
    <row r="174" spans="1:32" ht="40.5" customHeight="1">
      <c r="J174" s="181"/>
      <c r="K174" s="34"/>
      <c r="L174" s="34"/>
      <c r="M174" s="172">
        <v>112</v>
      </c>
      <c r="N174" s="37" t="str">
        <f>[3]DATA!L168</f>
        <v>Capacity Building Programmes for Infrastructure in Malikussaleh University</v>
      </c>
      <c r="O174" s="187">
        <f>[3]DATA!T168</f>
        <v>0</v>
      </c>
      <c r="P174" s="187">
        <f>[3]DATA!U168</f>
        <v>48543100</v>
      </c>
      <c r="Q174" s="187">
        <f>[3]DATA!V168</f>
        <v>6552200</v>
      </c>
      <c r="R174" s="187">
        <f>[3]DATA!W168</f>
        <v>0</v>
      </c>
      <c r="S174" s="2467">
        <f t="shared" si="12"/>
        <v>55095300</v>
      </c>
      <c r="T174" s="2486" t="s">
        <v>1099</v>
      </c>
      <c r="U174" s="1449"/>
      <c r="V174" s="77">
        <v>0</v>
      </c>
      <c r="W174" s="77">
        <f>[3]DATA!AA168</f>
        <v>48543100</v>
      </c>
      <c r="X174" s="216" t="str">
        <f>[3]DATA!Y168</f>
        <v>Belum Ada Indikasi</v>
      </c>
      <c r="Y174" s="245">
        <f>[3]DATA!AT168</f>
        <v>48543100</v>
      </c>
      <c r="Z174" s="109" t="str">
        <f>[3]DATA!AU168</f>
        <v>Belum Ada Indikasi</v>
      </c>
      <c r="AA174" s="216">
        <f>[3]DATA!AW168</f>
        <v>0</v>
      </c>
      <c r="AB174" s="245">
        <f>[3]DATA!AM168</f>
        <v>0</v>
      </c>
      <c r="AC174" s="1510" t="str">
        <f>[3]DATA!AN168</f>
        <v>belum ada keterangan</v>
      </c>
      <c r="AD174" s="1511" t="str">
        <f>[3]DATA!AO168</f>
        <v>belum ada keterangan</v>
      </c>
      <c r="AE174" s="1512">
        <f>[3]DATA!AQ168</f>
        <v>0</v>
      </c>
      <c r="AF174" s="1531" t="str">
        <f>[3]DATA!AR168</f>
        <v>belum ada dokumen R/C</v>
      </c>
    </row>
    <row r="175" spans="1:32" ht="37.5" customHeight="1">
      <c r="J175" s="181"/>
      <c r="K175" s="34"/>
      <c r="L175" s="34"/>
      <c r="M175" s="172">
        <v>113</v>
      </c>
      <c r="N175" s="37" t="str">
        <f>[3]DATA!L169</f>
        <v>Development and Upgrading of University of Jambi</v>
      </c>
      <c r="O175" s="187">
        <f>[3]DATA!T169</f>
        <v>0</v>
      </c>
      <c r="P175" s="187">
        <f>[3]DATA!U169</f>
        <v>53879300</v>
      </c>
      <c r="Q175" s="187">
        <f>[3]DATA!V169</f>
        <v>4967200</v>
      </c>
      <c r="R175" s="187">
        <f>[3]DATA!W169</f>
        <v>0</v>
      </c>
      <c r="S175" s="2467">
        <f t="shared" si="12"/>
        <v>58846500</v>
      </c>
      <c r="T175" s="2486" t="s">
        <v>1100</v>
      </c>
      <c r="U175" s="1449"/>
      <c r="V175" s="77">
        <v>0</v>
      </c>
      <c r="W175" s="77">
        <f>[3]DATA!AA169</f>
        <v>53879300</v>
      </c>
      <c r="X175" s="216" t="str">
        <f>[3]DATA!Y169</f>
        <v>Belum Ada Indikasi</v>
      </c>
      <c r="Y175" s="245">
        <f>[3]DATA!AT169</f>
        <v>53879300</v>
      </c>
      <c r="Z175" s="109" t="str">
        <f>[3]DATA!AU169</f>
        <v>Belum Ada Indikasi</v>
      </c>
      <c r="AA175" s="216">
        <f>[3]DATA!AW169</f>
        <v>0</v>
      </c>
      <c r="AB175" s="245">
        <f>[3]DATA!AM169</f>
        <v>0</v>
      </c>
      <c r="AC175" s="1510" t="str">
        <f>[3]DATA!AN169</f>
        <v>belum ada keterangan</v>
      </c>
      <c r="AD175" s="1511" t="str">
        <f>[3]DATA!AO169</f>
        <v>belum ada keterangan</v>
      </c>
      <c r="AE175" s="1512">
        <f>[3]DATA!AQ169</f>
        <v>0</v>
      </c>
      <c r="AF175" s="1531" t="str">
        <f>[3]DATA!AR169</f>
        <v>belum ada dokumen R/C</v>
      </c>
    </row>
    <row r="176" spans="1:32" ht="42" customHeight="1">
      <c r="J176" s="181"/>
      <c r="K176" s="34"/>
      <c r="L176" s="34"/>
      <c r="M176" s="172">
        <v>114</v>
      </c>
      <c r="N176" s="37" t="str">
        <f>[3]DATA!L170</f>
        <v>Development and Upgrading of the State University of Jakarta - Phase 2</v>
      </c>
      <c r="O176" s="187">
        <f>[3]DATA!T170</f>
        <v>0</v>
      </c>
      <c r="P176" s="187">
        <f>[3]DATA!U170</f>
        <v>32709400</v>
      </c>
      <c r="Q176" s="187">
        <f>[3]DATA!V170</f>
        <v>5567500</v>
      </c>
      <c r="R176" s="187">
        <f>[3]DATA!W170</f>
        <v>0</v>
      </c>
      <c r="S176" s="2467">
        <f t="shared" si="12"/>
        <v>38276900</v>
      </c>
      <c r="T176" s="2486" t="s">
        <v>1101</v>
      </c>
      <c r="U176" s="1449"/>
      <c r="V176" s="77">
        <v>0</v>
      </c>
      <c r="W176" s="77">
        <f>[3]DATA!AA170</f>
        <v>32709400</v>
      </c>
      <c r="X176" s="216" t="str">
        <f>[3]DATA!Y170</f>
        <v>Belum Ada Indikasi</v>
      </c>
      <c r="Y176" s="245">
        <f>[3]DATA!AT170</f>
        <v>32709400</v>
      </c>
      <c r="Z176" s="109" t="str">
        <f>[3]DATA!AU170</f>
        <v>Belum Ada Indikasi</v>
      </c>
      <c r="AA176" s="216">
        <f>[3]DATA!AW170</f>
        <v>0</v>
      </c>
      <c r="AB176" s="245">
        <f>[3]DATA!AM170</f>
        <v>0</v>
      </c>
      <c r="AC176" s="1510" t="str">
        <f>[3]DATA!AN170</f>
        <v>belum ada keterangan</v>
      </c>
      <c r="AD176" s="1511" t="str">
        <f>[3]DATA!AO170</f>
        <v>belum ada keterangan</v>
      </c>
      <c r="AE176" s="1512">
        <f>[3]DATA!AQ170</f>
        <v>0</v>
      </c>
      <c r="AF176" s="1531" t="str">
        <f>[3]DATA!AR170</f>
        <v>belum ada dokumen R/C</v>
      </c>
    </row>
    <row r="177" spans="1:32" ht="43.5" customHeight="1">
      <c r="J177" s="181"/>
      <c r="K177" s="34"/>
      <c r="L177" s="34"/>
      <c r="M177" s="172">
        <v>115</v>
      </c>
      <c r="N177" s="37" t="str">
        <f>[3]DATA!L171</f>
        <v>Integrated Multi Campus-University for Tomorrow’s Education in Indonesia University of Education</v>
      </c>
      <c r="O177" s="187">
        <f>[3]DATA!T171</f>
        <v>0</v>
      </c>
      <c r="P177" s="187">
        <f>[3]DATA!U171</f>
        <v>51777700</v>
      </c>
      <c r="Q177" s="187">
        <f>[3]DATA!V171</f>
        <v>6994700</v>
      </c>
      <c r="R177" s="187">
        <f>[3]DATA!W171</f>
        <v>0</v>
      </c>
      <c r="S177" s="2467">
        <f t="shared" si="12"/>
        <v>58772400</v>
      </c>
      <c r="T177" s="2486" t="s">
        <v>1102</v>
      </c>
      <c r="U177" s="1449"/>
      <c r="V177" s="77">
        <v>0</v>
      </c>
      <c r="W177" s="77">
        <f>[3]DATA!AA171</f>
        <v>51777700</v>
      </c>
      <c r="X177" s="216" t="str">
        <f>[3]DATA!Y171</f>
        <v>Belum Ada Indikasi</v>
      </c>
      <c r="Y177" s="245">
        <f>[3]DATA!AT171</f>
        <v>51777700</v>
      </c>
      <c r="Z177" s="109" t="str">
        <f>[3]DATA!AU171</f>
        <v>Belum Ada Indikasi</v>
      </c>
      <c r="AA177" s="216">
        <f>[3]DATA!AW171</f>
        <v>0</v>
      </c>
      <c r="AB177" s="245">
        <f>[3]DATA!AM171</f>
        <v>0</v>
      </c>
      <c r="AC177" s="1510" t="str">
        <f>[3]DATA!AN171</f>
        <v>belum ada keterangan</v>
      </c>
      <c r="AD177" s="1511" t="str">
        <f>[3]DATA!AO171</f>
        <v>belum ada keterangan</v>
      </c>
      <c r="AE177" s="1512">
        <f>[3]DATA!AQ171</f>
        <v>0</v>
      </c>
      <c r="AF177" s="1531" t="str">
        <f>[3]DATA!AR171</f>
        <v>belum ada dokumen R/C</v>
      </c>
    </row>
    <row r="178" spans="1:32" ht="46.5" customHeight="1">
      <c r="J178" s="181"/>
      <c r="K178" s="54"/>
      <c r="L178" s="54"/>
      <c r="M178" s="172">
        <v>116</v>
      </c>
      <c r="N178" s="37" t="str">
        <f>[3]DATA!L172</f>
        <v>Higher Education Quality Improvement of the University of Riau</v>
      </c>
      <c r="O178" s="187">
        <f>[3]DATA!T172</f>
        <v>0</v>
      </c>
      <c r="P178" s="187">
        <f>[3]DATA!U172</f>
        <v>49950100</v>
      </c>
      <c r="Q178" s="187">
        <f>[3]DATA!V172</f>
        <v>5040700</v>
      </c>
      <c r="R178" s="187">
        <f>[3]DATA!W172</f>
        <v>0</v>
      </c>
      <c r="S178" s="2467">
        <f t="shared" si="12"/>
        <v>54990800</v>
      </c>
      <c r="T178" s="2486" t="s">
        <v>1103</v>
      </c>
      <c r="U178" s="1449"/>
      <c r="V178" s="77">
        <v>0</v>
      </c>
      <c r="W178" s="77">
        <f>[3]DATA!AA172</f>
        <v>49950100</v>
      </c>
      <c r="X178" s="216" t="str">
        <f>[3]DATA!Y172</f>
        <v>Belum Ada Indikasi</v>
      </c>
      <c r="Y178" s="245">
        <f>[3]DATA!AT172</f>
        <v>49950100</v>
      </c>
      <c r="Z178" s="109" t="str">
        <f>[3]DATA!AU172</f>
        <v>Belum Ada Indikasi</v>
      </c>
      <c r="AA178" s="216">
        <f>[3]DATA!AW172</f>
        <v>0</v>
      </c>
      <c r="AB178" s="245">
        <f>[3]DATA!AM172</f>
        <v>0</v>
      </c>
      <c r="AC178" s="1510" t="str">
        <f>[3]DATA!AN172</f>
        <v>belum ada keterangan</v>
      </c>
      <c r="AD178" s="1511" t="str">
        <f>[3]DATA!AO172</f>
        <v>belum ada keterangan</v>
      </c>
      <c r="AE178" s="1512">
        <f>[3]DATA!AQ172</f>
        <v>0</v>
      </c>
      <c r="AF178" s="1531" t="str">
        <f>[3]DATA!AR172</f>
        <v>belum ada dokumen R/C</v>
      </c>
    </row>
    <row r="179" spans="1:32" s="4" customFormat="1" ht="24.95" customHeight="1">
      <c r="J179" s="250"/>
      <c r="K179" s="25">
        <v>11</v>
      </c>
      <c r="L179" s="108" t="str">
        <f>[3]DATA!F173</f>
        <v>Kementerian Agama</v>
      </c>
      <c r="M179" s="25"/>
      <c r="N179" s="27"/>
      <c r="O179" s="194">
        <f>+O180</f>
        <v>238210000</v>
      </c>
      <c r="P179" s="194">
        <f>+P180</f>
        <v>298145500</v>
      </c>
      <c r="Q179" s="194">
        <f>+Q180</f>
        <v>60851400</v>
      </c>
      <c r="R179" s="194">
        <f>+R180</f>
        <v>0</v>
      </c>
      <c r="S179" s="194">
        <f t="shared" si="12"/>
        <v>358996900</v>
      </c>
      <c r="T179" s="2484"/>
      <c r="U179" s="195"/>
      <c r="V179" s="80">
        <f>+V180</f>
        <v>238210000</v>
      </c>
      <c r="W179" s="80">
        <f>+W180</f>
        <v>59935500</v>
      </c>
      <c r="X179" s="213"/>
      <c r="Y179" s="242">
        <f>+Y180</f>
        <v>298145500</v>
      </c>
      <c r="Z179" s="80" t="s">
        <v>21</v>
      </c>
      <c r="AA179" s="213"/>
      <c r="AB179" s="1501"/>
      <c r="AC179" s="1502"/>
      <c r="AD179" s="168"/>
      <c r="AE179" s="1503"/>
      <c r="AF179" s="1529"/>
    </row>
    <row r="180" spans="1:32" s="5" customFormat="1" ht="33.75" customHeight="1">
      <c r="J180" s="180"/>
      <c r="K180" s="29"/>
      <c r="L180" s="30" t="str">
        <f>[3]DATA!I173</f>
        <v>A</v>
      </c>
      <c r="M180" s="3427" t="str">
        <f>[3]DATA!J173</f>
        <v>Program Peningkatan Akses, Kualitas, Relevansi, dan Daya Saing Pendidikan Tinggi Islam</v>
      </c>
      <c r="N180" s="3428"/>
      <c r="O180" s="197">
        <f>O181+O182+O183+O184+O185+O186+O187</f>
        <v>238210000</v>
      </c>
      <c r="P180" s="197">
        <f>P181+P182+P183+P184+P185+P186+P187</f>
        <v>298145500</v>
      </c>
      <c r="Q180" s="1436">
        <f>Q181+Q182+Q183+Q184+Q185+Q186+Q187</f>
        <v>60851400</v>
      </c>
      <c r="R180" s="1436">
        <f>R181+R182+R183+R184+R185+R186+R187</f>
        <v>0</v>
      </c>
      <c r="S180" s="1559">
        <f t="shared" si="12"/>
        <v>358996900</v>
      </c>
      <c r="T180" s="2463"/>
      <c r="U180" s="198"/>
      <c r="V180" s="81">
        <f>V181+V182+V183+V184+V185+V186+V187</f>
        <v>238210000</v>
      </c>
      <c r="W180" s="81">
        <f>W181+W182+W183+W184+W185+W186+W187</f>
        <v>59935500</v>
      </c>
      <c r="X180" s="214"/>
      <c r="Y180" s="244">
        <f>Y181+Y182+Y183+Y184+Y185+Y186+Y187</f>
        <v>298145500</v>
      </c>
      <c r="Z180" s="81" t="s">
        <v>21</v>
      </c>
      <c r="AA180" s="214"/>
      <c r="AB180" s="1505"/>
      <c r="AC180" s="1506"/>
      <c r="AD180" s="169"/>
      <c r="AE180" s="1507"/>
      <c r="AF180" s="1530"/>
    </row>
    <row r="181" spans="1:32" ht="36" customHeight="1">
      <c r="A181" s="10">
        <f>[3]DATA!A174</f>
        <v>124</v>
      </c>
      <c r="B181" s="10">
        <f>[3]DATA!B174</f>
        <v>0</v>
      </c>
      <c r="C181" s="10" t="str">
        <f>[3]DATA!D174</f>
        <v>NON-INFRASTRUKTUR</v>
      </c>
      <c r="D181" s="10">
        <f>[3]DATA!E174</f>
        <v>9</v>
      </c>
      <c r="E181" s="10" t="str">
        <f>[3]DATA!F174</f>
        <v>Kementerian Agama</v>
      </c>
      <c r="F181" s="10" t="str">
        <f>[3]DATA!H174</f>
        <v>Improving Access, Quality, Relevance, and Competitiveness of Islamic Higher Education Program</v>
      </c>
      <c r="G181" s="10" t="str">
        <f>[3]DATA!I174</f>
        <v>A</v>
      </c>
      <c r="H181" s="10" t="str">
        <f>[3]DATA!J174</f>
        <v>Program Peningkatan Akses, Kualitas, Relevansi, dan Daya Saing Pendidikan Tinggi Islam</v>
      </c>
      <c r="I181" s="10">
        <f>[3]DATA!K174</f>
        <v>1</v>
      </c>
      <c r="J181" s="181"/>
      <c r="K181" s="34"/>
      <c r="L181" s="34"/>
      <c r="M181" s="172">
        <v>117</v>
      </c>
      <c r="N181" s="37" t="str">
        <f>[3]DATA!L174</f>
        <v>Improvement and Optimalization of Sunan Ampel Surabaya State Islamic University</v>
      </c>
      <c r="O181" s="187">
        <f>[3]DATA!T174</f>
        <v>40000000</v>
      </c>
      <c r="P181" s="187">
        <f>[3]DATA!U174</f>
        <v>40000000</v>
      </c>
      <c r="Q181" s="1453">
        <f>[3]DATA!V174</f>
        <v>10000000</v>
      </c>
      <c r="R181" s="1453">
        <f>[3]DATA!W174</f>
        <v>0</v>
      </c>
      <c r="S181" s="2467">
        <f t="shared" si="12"/>
        <v>50000000</v>
      </c>
      <c r="T181" s="2468"/>
      <c r="U181" s="1449" t="str">
        <f>[3]DATA!Y174</f>
        <v>IDB</v>
      </c>
      <c r="V181" s="77">
        <f>[3]DATA!AA174</f>
        <v>40000000</v>
      </c>
      <c r="W181" s="77">
        <v>0</v>
      </c>
      <c r="X181" s="216" t="str">
        <f>[3]DATA!Y174</f>
        <v>IDB</v>
      </c>
      <c r="Y181" s="245">
        <f>[3]DATA!AT174</f>
        <v>40000000</v>
      </c>
      <c r="Z181" s="109" t="str">
        <f>[3]DATA!AU174</f>
        <v>IDB</v>
      </c>
      <c r="AA181" s="216" t="str">
        <f>[3]DATA!AW174</f>
        <v>-</v>
      </c>
      <c r="AB181" s="1625">
        <f>[3]DATA!AM174</f>
        <v>2016</v>
      </c>
      <c r="AC181" s="1510" t="str">
        <f>[3]DATA!AN174</f>
        <v>siap</v>
      </c>
      <c r="AD181" s="1511" t="str">
        <f>[3]DATA!AO174</f>
        <v>siap</v>
      </c>
      <c r="AE181" s="1519">
        <f>[3]DATA!AQ174</f>
        <v>0</v>
      </c>
      <c r="AF181" s="1531" t="str">
        <f>[3]DATA!AR174</f>
        <v>-</v>
      </c>
    </row>
    <row r="182" spans="1:32" ht="42.75" customHeight="1">
      <c r="A182" s="10">
        <f>[3]DATA!A175</f>
        <v>125</v>
      </c>
      <c r="B182" s="10">
        <f>[3]DATA!B175</f>
        <v>0</v>
      </c>
      <c r="C182" s="10" t="str">
        <f>[3]DATA!D175</f>
        <v>NON-INFRASTRUKTUR</v>
      </c>
      <c r="D182" s="10">
        <f>[3]DATA!E175</f>
        <v>9</v>
      </c>
      <c r="E182" s="10" t="str">
        <f>[3]DATA!F175</f>
        <v>Kementerian Agama</v>
      </c>
      <c r="F182" s="10" t="str">
        <f>[3]DATA!H175</f>
        <v>Improving Access, Quality, Relevance, and Competitiveness of Islamic Higher Education Program</v>
      </c>
      <c r="G182" s="10" t="str">
        <f>[3]DATA!I175</f>
        <v>A</v>
      </c>
      <c r="H182" s="10" t="str">
        <f>[3]DATA!J175</f>
        <v>Program Peningkatan Akses, Kualitas, Relevansi, dan Daya Saing Pendidikan Tinggi Islam</v>
      </c>
      <c r="I182" s="10">
        <f>[3]DATA!K175</f>
        <v>1</v>
      </c>
      <c r="J182" s="181"/>
      <c r="K182" s="34"/>
      <c r="L182" s="34"/>
      <c r="M182" s="172">
        <v>118</v>
      </c>
      <c r="N182" s="37" t="str">
        <f>[3]DATA!L175</f>
        <v>Improvement Access and Quality of State Islamic Institute  Suthan Maulana Hasanuddin Banten</v>
      </c>
      <c r="O182" s="187">
        <f>[3]DATA!T175</f>
        <v>40000000</v>
      </c>
      <c r="P182" s="187">
        <f>[3]DATA!U175</f>
        <v>40000000</v>
      </c>
      <c r="Q182" s="1453">
        <f>[3]DATA!V175</f>
        <v>5985000</v>
      </c>
      <c r="R182" s="1453">
        <f>[3]DATA!W175</f>
        <v>0</v>
      </c>
      <c r="S182" s="2467">
        <f t="shared" si="12"/>
        <v>45985000</v>
      </c>
      <c r="T182" s="2468"/>
      <c r="U182" s="1449" t="str">
        <f>[3]DATA!Y175</f>
        <v>IDB</v>
      </c>
      <c r="V182" s="77">
        <f>[3]DATA!AA175</f>
        <v>40000000</v>
      </c>
      <c r="W182" s="77">
        <v>0</v>
      </c>
      <c r="X182" s="216" t="str">
        <f>[3]DATA!Y175</f>
        <v>IDB</v>
      </c>
      <c r="Y182" s="245">
        <f>[3]DATA!AT175</f>
        <v>40000000</v>
      </c>
      <c r="Z182" s="109" t="str">
        <f>[3]DATA!AU175</f>
        <v>IDB</v>
      </c>
      <c r="AA182" s="216" t="str">
        <f>[3]DATA!AW175</f>
        <v>-</v>
      </c>
      <c r="AB182" s="1625">
        <f>[3]DATA!AM175</f>
        <v>2016</v>
      </c>
      <c r="AC182" s="1510" t="str">
        <f>[3]DATA!AN175</f>
        <v>siap</v>
      </c>
      <c r="AD182" s="1511" t="str">
        <f>[3]DATA!AO175</f>
        <v>siap</v>
      </c>
      <c r="AE182" s="1519">
        <f>[3]DATA!AQ175</f>
        <v>0</v>
      </c>
      <c r="AF182" s="1531" t="str">
        <f>[3]DATA!AR175</f>
        <v>-</v>
      </c>
    </row>
    <row r="183" spans="1:32" ht="35.25" customHeight="1">
      <c r="A183" s="10">
        <f>[3]DATA!A176</f>
        <v>126</v>
      </c>
      <c r="B183" s="10">
        <f>[3]DATA!B176</f>
        <v>0</v>
      </c>
      <c r="C183" s="10" t="str">
        <f>[3]DATA!D176</f>
        <v>NON-INFRASTRUKTUR</v>
      </c>
      <c r="D183" s="10">
        <f>[3]DATA!E176</f>
        <v>9</v>
      </c>
      <c r="E183" s="10" t="str">
        <f>[3]DATA!F176</f>
        <v>Kementerian Agama</v>
      </c>
      <c r="F183" s="10" t="str">
        <f>[3]DATA!H176</f>
        <v>Improving Access, Quality, Relevance, and Competitiveness of Islamic Higher Education Program</v>
      </c>
      <c r="G183" s="10" t="str">
        <f>[3]DATA!I176</f>
        <v>A</v>
      </c>
      <c r="H183" s="10" t="str">
        <f>[3]DATA!J176</f>
        <v>Program Peningkatan Akses, Kualitas, Relevansi, dan Daya Saing Pendidikan Tinggi Islam</v>
      </c>
      <c r="I183" s="10">
        <f>[3]DATA!K176</f>
        <v>1</v>
      </c>
      <c r="J183" s="181"/>
      <c r="K183" s="34"/>
      <c r="L183" s="34"/>
      <c r="M183" s="172">
        <v>119</v>
      </c>
      <c r="N183" s="37" t="str">
        <f>[3]DATA!L176</f>
        <v>Development and Quality Improvement  of Antasari State Islamic Institute</v>
      </c>
      <c r="O183" s="187">
        <f>[3]DATA!T176</f>
        <v>39908600</v>
      </c>
      <c r="P183" s="187">
        <f>[3]DATA!U176</f>
        <v>39908600</v>
      </c>
      <c r="Q183" s="1453">
        <f>[3]DATA!V176</f>
        <v>10290700</v>
      </c>
      <c r="R183" s="1453">
        <f>[3]DATA!W176</f>
        <v>0</v>
      </c>
      <c r="S183" s="2467">
        <f t="shared" si="12"/>
        <v>50199300</v>
      </c>
      <c r="T183" s="2468"/>
      <c r="U183" s="1449" t="str">
        <f>[3]DATA!Y176</f>
        <v>IDB</v>
      </c>
      <c r="V183" s="77">
        <f>[3]DATA!AA176</f>
        <v>39900000</v>
      </c>
      <c r="W183" s="77">
        <v>0</v>
      </c>
      <c r="X183" s="216" t="str">
        <f>[3]DATA!Y176</f>
        <v>IDB</v>
      </c>
      <c r="Y183" s="245">
        <f>[3]DATA!AT176</f>
        <v>39900000</v>
      </c>
      <c r="Z183" s="109" t="str">
        <f>[3]DATA!AU176</f>
        <v>IDB</v>
      </c>
      <c r="AA183" s="216" t="str">
        <f>[3]DATA!AW176</f>
        <v>-</v>
      </c>
      <c r="AB183" s="1625">
        <f>[3]DATA!AM176</f>
        <v>2016</v>
      </c>
      <c r="AC183" s="1510" t="str">
        <f>[3]DATA!AN176</f>
        <v>siap</v>
      </c>
      <c r="AD183" s="1511" t="str">
        <f>[3]DATA!AO176</f>
        <v>siap</v>
      </c>
      <c r="AE183" s="1519">
        <f>[3]DATA!AQ176</f>
        <v>0</v>
      </c>
      <c r="AF183" s="1531" t="str">
        <f>[3]DATA!AR176</f>
        <v>-</v>
      </c>
    </row>
    <row r="184" spans="1:32" ht="39.75" customHeight="1">
      <c r="A184" s="10">
        <f>[3]DATA!A177</f>
        <v>127</v>
      </c>
      <c r="B184" s="10">
        <f>[3]DATA!B177</f>
        <v>0</v>
      </c>
      <c r="C184" s="10" t="str">
        <f>[3]DATA!D177</f>
        <v>NON-INFRASTRUKTUR</v>
      </c>
      <c r="D184" s="10" t="str">
        <f>[3]DATA!E177</f>
        <v>z</v>
      </c>
      <c r="E184" s="10" t="str">
        <f>[3]DATA!F177</f>
        <v>Kementerian Agama</v>
      </c>
      <c r="F184" s="10" t="str">
        <f>[3]DATA!H177</f>
        <v>Improving Access, Quality, Relevance, and Competitiveness of Islamic Higher Education Program</v>
      </c>
      <c r="G184" s="10" t="str">
        <f>[3]DATA!I177</f>
        <v>A</v>
      </c>
      <c r="H184" s="10" t="str">
        <f>[3]DATA!J177</f>
        <v>Program Peningkatan Akses, Kualitas, Relevansi, dan Daya Saing Pendidikan Tinggi Islam</v>
      </c>
      <c r="I184" s="10">
        <f>[3]DATA!K177</f>
        <v>1</v>
      </c>
      <c r="J184" s="181"/>
      <c r="K184" s="34"/>
      <c r="L184" s="34"/>
      <c r="M184" s="172">
        <v>120</v>
      </c>
      <c r="N184" s="37" t="str">
        <f>[3]DATA!L177</f>
        <v>Tranformation of State Islamic Institute  Sulthan Thaha Saifuddin to State Islamic University</v>
      </c>
      <c r="O184" s="187">
        <f>[3]DATA!T177</f>
        <v>40000000</v>
      </c>
      <c r="P184" s="187">
        <f>[3]DATA!U177</f>
        <v>40000000</v>
      </c>
      <c r="Q184" s="1453">
        <f>[3]DATA!V177</f>
        <v>10000000</v>
      </c>
      <c r="R184" s="1453">
        <f>[3]DATA!W177</f>
        <v>0</v>
      </c>
      <c r="S184" s="2467">
        <f t="shared" si="12"/>
        <v>50000000</v>
      </c>
      <c r="T184" s="2468"/>
      <c r="U184" s="1449" t="str">
        <f>[3]DATA!Y177</f>
        <v>IDB</v>
      </c>
      <c r="V184" s="77">
        <f>[3]DATA!AA177</f>
        <v>40000000</v>
      </c>
      <c r="W184" s="77">
        <v>0</v>
      </c>
      <c r="X184" s="216" t="str">
        <f>[3]DATA!Y177</f>
        <v>IDB</v>
      </c>
      <c r="Y184" s="245">
        <f>[3]DATA!AT177</f>
        <v>40000000</v>
      </c>
      <c r="Z184" s="109" t="str">
        <f>[3]DATA!AU177</f>
        <v>IDB</v>
      </c>
      <c r="AA184" s="216" t="str">
        <f>[3]DATA!AW177</f>
        <v>-</v>
      </c>
      <c r="AB184" s="1625">
        <f>[3]DATA!AM177</f>
        <v>2016</v>
      </c>
      <c r="AC184" s="1510" t="str">
        <f>[3]DATA!AN177</f>
        <v>siap</v>
      </c>
      <c r="AD184" s="1511" t="str">
        <f>[3]DATA!AO177</f>
        <v>siap</v>
      </c>
      <c r="AE184" s="1519">
        <f>[3]DATA!AQ177</f>
        <v>0</v>
      </c>
      <c r="AF184" s="1531" t="str">
        <f>[3]DATA!AR177</f>
        <v>-</v>
      </c>
    </row>
    <row r="185" spans="1:32" ht="42" customHeight="1">
      <c r="A185" s="10">
        <f>[3]DATA!A178</f>
        <v>128</v>
      </c>
      <c r="B185" s="10">
        <f>[3]DATA!B178</f>
        <v>0</v>
      </c>
      <c r="C185" s="10" t="str">
        <f>[3]DATA!D178</f>
        <v>NON-INFRASTRUKTUR</v>
      </c>
      <c r="D185" s="10">
        <f>[3]DATA!E178</f>
        <v>9</v>
      </c>
      <c r="E185" s="10" t="str">
        <f>[3]DATA!F178</f>
        <v>Kementerian Agama</v>
      </c>
      <c r="F185" s="10" t="str">
        <f>[3]DATA!H178</f>
        <v>Improving Access, Quality, Relevance, and Competitiveness of Islamic Higher Education Program</v>
      </c>
      <c r="G185" s="10" t="str">
        <f>[3]DATA!I178</f>
        <v>A</v>
      </c>
      <c r="H185" s="10" t="str">
        <f>[3]DATA!J178</f>
        <v>Program Peningkatan Akses, Kualitas, Relevansi, dan Daya Saing Pendidikan Tinggi Islam</v>
      </c>
      <c r="I185" s="10">
        <f>[3]DATA!K178</f>
        <v>1</v>
      </c>
      <c r="J185" s="181"/>
      <c r="K185" s="34"/>
      <c r="L185" s="34"/>
      <c r="M185" s="172">
        <v>121</v>
      </c>
      <c r="N185" s="37" t="str">
        <f>[3]DATA!L178</f>
        <v>Development and Institutional Transformation of State Islamic Institute  Raden Intan Lampung</v>
      </c>
      <c r="O185" s="187">
        <f>[3]DATA!T178</f>
        <v>40000000</v>
      </c>
      <c r="P185" s="187">
        <f>[3]DATA!U178</f>
        <v>40000000</v>
      </c>
      <c r="Q185" s="1453">
        <f>[3]DATA!V178</f>
        <v>10000000</v>
      </c>
      <c r="R185" s="1453">
        <f>[3]DATA!W178</f>
        <v>0</v>
      </c>
      <c r="S185" s="2467">
        <f t="shared" si="12"/>
        <v>50000000</v>
      </c>
      <c r="T185" s="2468"/>
      <c r="U185" s="1449" t="str">
        <f>[3]DATA!Y178</f>
        <v>IDB</v>
      </c>
      <c r="V185" s="77">
        <f>[3]DATA!AA178</f>
        <v>40000000</v>
      </c>
      <c r="W185" s="77">
        <v>0</v>
      </c>
      <c r="X185" s="216" t="str">
        <f>[3]DATA!Y178</f>
        <v>IDB</v>
      </c>
      <c r="Y185" s="245">
        <f>[3]DATA!AT178</f>
        <v>40000000</v>
      </c>
      <c r="Z185" s="109" t="str">
        <f>[3]DATA!AU178</f>
        <v>IDB</v>
      </c>
      <c r="AA185" s="216" t="str">
        <f>[3]DATA!AW178</f>
        <v>-</v>
      </c>
      <c r="AB185" s="1625">
        <f>[3]DATA!AM178</f>
        <v>2016</v>
      </c>
      <c r="AC185" s="1510" t="str">
        <f>[3]DATA!AN178</f>
        <v>siap</v>
      </c>
      <c r="AD185" s="1511" t="str">
        <f>[3]DATA!AO178</f>
        <v>siap</v>
      </c>
      <c r="AE185" s="1519">
        <f>[3]DATA!AQ178</f>
        <v>0</v>
      </c>
      <c r="AF185" s="1531" t="str">
        <f>[3]DATA!AR178</f>
        <v>-</v>
      </c>
    </row>
    <row r="186" spans="1:32" ht="36" customHeight="1">
      <c r="A186" s="10">
        <f>[3]DATA!A179</f>
        <v>123</v>
      </c>
      <c r="B186" s="10">
        <f>[3]DATA!B179</f>
        <v>0</v>
      </c>
      <c r="C186" s="10" t="str">
        <f>[3]DATA!D179</f>
        <v>NON-INFRASTRUKTUR</v>
      </c>
      <c r="D186" s="10">
        <f>[3]DATA!E179</f>
        <v>9</v>
      </c>
      <c r="E186" s="10" t="str">
        <f>[3]DATA!F179</f>
        <v>Kementerian Agama</v>
      </c>
      <c r="F186" s="10" t="str">
        <f>[3]DATA!H179</f>
        <v>Improving Access, Quality, Relevance, and Competitiveness of Islamic Higher Education Program</v>
      </c>
      <c r="G186" s="10" t="str">
        <f>[3]DATA!I179</f>
        <v>A</v>
      </c>
      <c r="H186" s="10" t="str">
        <f>[3]DATA!J179</f>
        <v>Program Peningkatan Akses, Kualitas, Relevansi, dan Daya Saing Pendidikan Tinggi Islam</v>
      </c>
      <c r="I186" s="10">
        <f>[3]DATA!K179</f>
        <v>1</v>
      </c>
      <c r="J186" s="181"/>
      <c r="K186" s="34"/>
      <c r="L186" s="34"/>
      <c r="M186" s="172">
        <v>122</v>
      </c>
      <c r="N186" s="37" t="str">
        <f>[3]DATA!L179</f>
        <v>Development of Imam Bonjol State Islamic Institute Project</v>
      </c>
      <c r="O186" s="187">
        <f>[3]DATA!T179</f>
        <v>38301400</v>
      </c>
      <c r="P186" s="187">
        <f>[3]DATA!U179</f>
        <v>38301400</v>
      </c>
      <c r="Q186" s="1453">
        <f>[3]DATA!V179</f>
        <v>4171400</v>
      </c>
      <c r="R186" s="1453">
        <f>[3]DATA!W179</f>
        <v>0</v>
      </c>
      <c r="S186" s="2467">
        <f t="shared" si="12"/>
        <v>42472800</v>
      </c>
      <c r="T186" s="2468"/>
      <c r="U186" s="1449" t="str">
        <f>[3]DATA!Y179</f>
        <v>IDB</v>
      </c>
      <c r="V186" s="77">
        <f>[3]DATA!AA179</f>
        <v>38310000</v>
      </c>
      <c r="W186" s="77">
        <v>0</v>
      </c>
      <c r="X186" s="216" t="str">
        <f>[3]DATA!Y179</f>
        <v>IDB</v>
      </c>
      <c r="Y186" s="245">
        <f>[3]DATA!AT179</f>
        <v>38310000</v>
      </c>
      <c r="Z186" s="109" t="str">
        <f>[3]DATA!AU179</f>
        <v>IDB</v>
      </c>
      <c r="AA186" s="216" t="str">
        <f>[3]DATA!AW179</f>
        <v>-</v>
      </c>
      <c r="AB186" s="1625">
        <f>[3]DATA!AM179</f>
        <v>2016</v>
      </c>
      <c r="AC186" s="1510" t="str">
        <f>[3]DATA!AN179</f>
        <v>siap</v>
      </c>
      <c r="AD186" s="1511" t="str">
        <f>[3]DATA!AO179</f>
        <v>siap</v>
      </c>
      <c r="AE186" s="1519">
        <f>[3]DATA!AQ179</f>
        <v>0</v>
      </c>
      <c r="AF186" s="1531" t="str">
        <f>[3]DATA!AR179</f>
        <v>-</v>
      </c>
    </row>
    <row r="187" spans="1:32" ht="45.75" customHeight="1">
      <c r="J187" s="181"/>
      <c r="K187" s="54"/>
      <c r="L187" s="54"/>
      <c r="M187" s="172">
        <v>123</v>
      </c>
      <c r="N187" s="37" t="str">
        <f>[3]DATA!L180</f>
        <v>The Development of UIN Maulana Malik Ibrahim Malang - Phase II</v>
      </c>
      <c r="O187" s="187">
        <f>[3]DATA!T180</f>
        <v>0</v>
      </c>
      <c r="P187" s="187">
        <f>[3]DATA!U180</f>
        <v>59935500</v>
      </c>
      <c r="Q187" s="1453">
        <f>[3]DATA!V180</f>
        <v>10404300</v>
      </c>
      <c r="R187" s="1453">
        <f>[3]DATA!W180</f>
        <v>0</v>
      </c>
      <c r="S187" s="2467">
        <f t="shared" si="12"/>
        <v>70339800</v>
      </c>
      <c r="T187" s="2486" t="s">
        <v>1104</v>
      </c>
      <c r="U187" s="1449"/>
      <c r="V187" s="77">
        <v>0</v>
      </c>
      <c r="W187" s="77">
        <f>[3]DATA!AA180</f>
        <v>59935500</v>
      </c>
      <c r="X187" s="216" t="str">
        <f>[3]DATA!Y180</f>
        <v>Belum Ada Indikasi</v>
      </c>
      <c r="Y187" s="245">
        <f>[3]DATA!AT180</f>
        <v>59935500</v>
      </c>
      <c r="Z187" s="109" t="str">
        <f>[3]DATA!AU180</f>
        <v>Belum Ada Indikasi</v>
      </c>
      <c r="AA187" s="216">
        <f>[3]DATA!AW180</f>
        <v>0</v>
      </c>
      <c r="AB187" s="245">
        <f>[3]DATA!AM180</f>
        <v>0</v>
      </c>
      <c r="AC187" s="1510" t="str">
        <f>[3]DATA!AN180</f>
        <v>belum ada keterangan</v>
      </c>
      <c r="AD187" s="1511" t="str">
        <f>[3]DATA!AO180</f>
        <v>belum ada keterangan</v>
      </c>
      <c r="AE187" s="1519">
        <f>[3]DATA!AQ180</f>
        <v>0</v>
      </c>
      <c r="AF187" s="1531">
        <f>[3]DATA!AR180</f>
        <v>0</v>
      </c>
    </row>
    <row r="188" spans="1:32" s="4" customFormat="1" ht="24.95" customHeight="1">
      <c r="J188" s="250"/>
      <c r="K188" s="25">
        <v>12</v>
      </c>
      <c r="L188" s="108" t="str">
        <f>[3]DATA!F181</f>
        <v>Kementerian PPN/Bappenas</v>
      </c>
      <c r="M188" s="25"/>
      <c r="N188" s="27"/>
      <c r="O188" s="194">
        <f t="shared" ref="O188:R189" si="13">+O189</f>
        <v>300000000</v>
      </c>
      <c r="P188" s="194">
        <f t="shared" si="13"/>
        <v>300000000</v>
      </c>
      <c r="Q188" s="194">
        <f t="shared" si="13"/>
        <v>0</v>
      </c>
      <c r="R188" s="194">
        <f t="shared" si="13"/>
        <v>0</v>
      </c>
      <c r="S188" s="194">
        <f t="shared" si="12"/>
        <v>300000000</v>
      </c>
      <c r="T188" s="2484"/>
      <c r="U188" s="195"/>
      <c r="V188" s="80">
        <f t="shared" ref="V188:Y189" si="14">+V189</f>
        <v>300000000</v>
      </c>
      <c r="W188" s="80">
        <f t="shared" si="14"/>
        <v>0</v>
      </c>
      <c r="X188" s="213"/>
      <c r="Y188" s="242">
        <f t="shared" si="14"/>
        <v>300000000</v>
      </c>
      <c r="Z188" s="80" t="s">
        <v>21</v>
      </c>
      <c r="AA188" s="213"/>
      <c r="AB188" s="1501"/>
      <c r="AC188" s="1502"/>
      <c r="AD188" s="168"/>
      <c r="AE188" s="1503"/>
      <c r="AF188" s="1529"/>
    </row>
    <row r="189" spans="1:32" s="5" customFormat="1" ht="33.75" customHeight="1">
      <c r="J189" s="180"/>
      <c r="K189" s="29"/>
      <c r="L189" s="30" t="str">
        <f>[3]DATA!I181</f>
        <v>A</v>
      </c>
      <c r="M189" s="3427" t="str">
        <f>[3]DATA!J181</f>
        <v>Program Pengembangan Sumber Daya Aparatur  dalam Rangka Reformasi Birokrasi</v>
      </c>
      <c r="N189" s="3428"/>
      <c r="O189" s="197">
        <f t="shared" si="13"/>
        <v>300000000</v>
      </c>
      <c r="P189" s="197">
        <f t="shared" si="13"/>
        <v>300000000</v>
      </c>
      <c r="Q189" s="1436">
        <f t="shared" si="13"/>
        <v>0</v>
      </c>
      <c r="R189" s="1436">
        <f t="shared" si="13"/>
        <v>0</v>
      </c>
      <c r="S189" s="1559">
        <f t="shared" si="12"/>
        <v>300000000</v>
      </c>
      <c r="T189" s="2463"/>
      <c r="U189" s="198"/>
      <c r="V189" s="81">
        <f t="shared" si="14"/>
        <v>300000000</v>
      </c>
      <c r="W189" s="81">
        <f t="shared" si="14"/>
        <v>0</v>
      </c>
      <c r="X189" s="214"/>
      <c r="Y189" s="244">
        <f t="shared" si="14"/>
        <v>300000000</v>
      </c>
      <c r="Z189" s="81" t="s">
        <v>21</v>
      </c>
      <c r="AA189" s="214"/>
      <c r="AB189" s="1505"/>
      <c r="AC189" s="1506"/>
      <c r="AD189" s="169"/>
      <c r="AE189" s="1507"/>
      <c r="AF189" s="1530"/>
    </row>
    <row r="190" spans="1:32" ht="47.25" customHeight="1">
      <c r="A190" s="10">
        <f>[3]DATA!A181</f>
        <v>129</v>
      </c>
      <c r="B190" s="10">
        <f>[3]DATA!B181</f>
        <v>0</v>
      </c>
      <c r="C190" s="10" t="str">
        <f>[3]DATA!D181</f>
        <v>NON-INFRASTRUKTUR</v>
      </c>
      <c r="D190" s="10">
        <f>[3]DATA!E181</f>
        <v>10</v>
      </c>
      <c r="E190" s="10" t="str">
        <f>[3]DATA!F181</f>
        <v>Kementerian PPN/Bappenas</v>
      </c>
      <c r="F190" s="10" t="str">
        <f>[3]DATA!H181</f>
        <v>Human Resources Development for Bureaucracy Reform Program</v>
      </c>
      <c r="G190" s="10" t="str">
        <f>[3]DATA!I181</f>
        <v>A</v>
      </c>
      <c r="H190" s="10" t="str">
        <f>[3]DATA!J181</f>
        <v>Program Pengembangan Sumber Daya Aparatur  dalam Rangka Reformasi Birokrasi</v>
      </c>
      <c r="I190" s="10">
        <f>[3]DATA!K181</f>
        <v>1</v>
      </c>
      <c r="J190" s="181"/>
      <c r="K190" s="54"/>
      <c r="L190" s="34"/>
      <c r="M190" s="33">
        <v>124</v>
      </c>
      <c r="N190" s="37" t="str">
        <f>[3]DATA!L181</f>
        <v>Development of Capacity, Quality, and Competency of Human Resources for Government Officer</v>
      </c>
      <c r="O190" s="187">
        <f>[3]DATA!T181</f>
        <v>300000000</v>
      </c>
      <c r="P190" s="187">
        <f>[3]DATA!U181</f>
        <v>300000000</v>
      </c>
      <c r="Q190" s="1446">
        <f>[3]DATA!V181</f>
        <v>0</v>
      </c>
      <c r="R190" s="1446">
        <f>[3]DATA!W181</f>
        <v>0</v>
      </c>
      <c r="S190" s="2467">
        <f t="shared" si="12"/>
        <v>300000000</v>
      </c>
      <c r="T190" s="2468"/>
      <c r="U190" s="1449" t="str">
        <f>[3]DATA!Y181</f>
        <v>Bank Dunia</v>
      </c>
      <c r="V190" s="77">
        <f>[3]DATA!AA181</f>
        <v>300000000</v>
      </c>
      <c r="W190" s="77"/>
      <c r="X190" s="216" t="str">
        <f>[3]DATA!Y181</f>
        <v>Bank Dunia</v>
      </c>
      <c r="Y190" s="245">
        <f>[3]DATA!AT181</f>
        <v>300000000</v>
      </c>
      <c r="Z190" s="109" t="str">
        <f>[3]DATA!AU181</f>
        <v>Bank Dunia</v>
      </c>
      <c r="AA190" s="216" t="str">
        <f>[3]DATA!AW181</f>
        <v>-</v>
      </c>
      <c r="AB190" s="245">
        <f>[3]DATA!AM181</f>
        <v>0</v>
      </c>
      <c r="AC190" s="1510" t="str">
        <f>[3]DATA!AN181</f>
        <v>dalam proses
(penyusunan FS)</v>
      </c>
      <c r="AD190" s="1511" t="str">
        <f>[3]DATA!AO181</f>
        <v>tidak butuh lahan</v>
      </c>
      <c r="AE190" s="1519">
        <f>[3]DATA!AQ181</f>
        <v>0</v>
      </c>
      <c r="AF190" s="1531" t="str">
        <f>[3]DATA!AR181</f>
        <v>belum ada dokumen R/C</v>
      </c>
    </row>
    <row r="191" spans="1:32" s="4" customFormat="1" ht="24.95" customHeight="1">
      <c r="J191" s="250"/>
      <c r="K191" s="25">
        <v>13</v>
      </c>
      <c r="L191" s="108" t="str">
        <f>[3]DATA!F182</f>
        <v>Kementerian Kesehatan</v>
      </c>
      <c r="M191" s="25"/>
      <c r="N191" s="27"/>
      <c r="O191" s="194">
        <f>+O192+O194+O196+O198</f>
        <v>1746000000</v>
      </c>
      <c r="P191" s="194">
        <f>+P192+P194+P196+P198</f>
        <v>1746000000</v>
      </c>
      <c r="Q191" s="2442">
        <f>+Q192+Q194+Q196+Q198</f>
        <v>174600000</v>
      </c>
      <c r="R191" s="2442">
        <f>+R192+R194+R196+R198</f>
        <v>0</v>
      </c>
      <c r="S191" s="194">
        <f t="shared" si="12"/>
        <v>1920600000</v>
      </c>
      <c r="T191" s="2484"/>
      <c r="U191" s="195"/>
      <c r="V191" s="80">
        <f>+V192+V194+V196+V198</f>
        <v>990400000</v>
      </c>
      <c r="W191" s="80">
        <f>+W192+W194+W196+W198</f>
        <v>755600000</v>
      </c>
      <c r="X191" s="213">
        <f>+X192+X194+X196+X198</f>
        <v>0</v>
      </c>
      <c r="Y191" s="242">
        <f>+Y192+Y194+Y196+Y198</f>
        <v>1746000000</v>
      </c>
      <c r="Z191" s="80" t="s">
        <v>21</v>
      </c>
      <c r="AA191" s="213"/>
      <c r="AB191" s="1501"/>
      <c r="AC191" s="1502"/>
      <c r="AD191" s="168"/>
      <c r="AE191" s="1503"/>
      <c r="AF191" s="1529"/>
    </row>
    <row r="192" spans="1:32" s="5" customFormat="1" ht="33.75" customHeight="1">
      <c r="J192" s="180"/>
      <c r="K192" s="29"/>
      <c r="L192" s="30" t="str">
        <f>[3]DATA!I181</f>
        <v>A</v>
      </c>
      <c r="M192" s="31" t="str">
        <f>[3]DATA!J182</f>
        <v>Program Pelayanan Kesehatan Dasar</v>
      </c>
      <c r="N192" s="51"/>
      <c r="O192" s="197">
        <f>+O193</f>
        <v>150000000</v>
      </c>
      <c r="P192" s="197">
        <f>+P193</f>
        <v>150000000</v>
      </c>
      <c r="Q192" s="1436">
        <f>+Q193</f>
        <v>15000000</v>
      </c>
      <c r="R192" s="1436">
        <f>+R193</f>
        <v>0</v>
      </c>
      <c r="S192" s="1559">
        <f t="shared" si="12"/>
        <v>165000000</v>
      </c>
      <c r="T192" s="2463"/>
      <c r="U192" s="198"/>
      <c r="V192" s="81">
        <f>+V193</f>
        <v>150000000</v>
      </c>
      <c r="W192" s="81">
        <f>+W193</f>
        <v>0</v>
      </c>
      <c r="X192" s="214"/>
      <c r="Y192" s="244">
        <f>+Y193</f>
        <v>150000000</v>
      </c>
      <c r="Z192" s="81" t="s">
        <v>21</v>
      </c>
      <c r="AA192" s="214"/>
      <c r="AB192" s="1505"/>
      <c r="AC192" s="1506"/>
      <c r="AD192" s="169"/>
      <c r="AE192" s="1507"/>
      <c r="AF192" s="1530"/>
    </row>
    <row r="193" spans="1:32" ht="24" customHeight="1">
      <c r="A193" s="10">
        <f>[3]DATA!A182</f>
        <v>130</v>
      </c>
      <c r="B193" s="10">
        <f>[3]DATA!B182</f>
        <v>0</v>
      </c>
      <c r="C193" s="10" t="str">
        <f>[3]DATA!D182</f>
        <v>NON-INFRASTRUKTUR</v>
      </c>
      <c r="D193" s="10">
        <f>[3]DATA!E182</f>
        <v>11</v>
      </c>
      <c r="E193" s="10" t="str">
        <f>[3]DATA!F182</f>
        <v>Kementerian Kesehatan</v>
      </c>
      <c r="F193" s="10" t="str">
        <f>[3]DATA!H182</f>
        <v>Basic Health Care Program</v>
      </c>
      <c r="G193" s="10" t="str">
        <f>[3]DATA!I182</f>
        <v>A</v>
      </c>
      <c r="H193" s="10" t="str">
        <f>[3]DATA!J182</f>
        <v>Program Pelayanan Kesehatan Dasar</v>
      </c>
      <c r="I193" s="10">
        <f>[3]DATA!K182</f>
        <v>1</v>
      </c>
      <c r="J193" s="181"/>
      <c r="K193" s="34"/>
      <c r="L193" s="54"/>
      <c r="M193" s="52">
        <v>125</v>
      </c>
      <c r="N193" s="37" t="str">
        <f>[3]DATA!L182</f>
        <v>Improvement of Primary Health Care</v>
      </c>
      <c r="O193" s="187">
        <f>[3]DATA!T182</f>
        <v>150000000</v>
      </c>
      <c r="P193" s="187">
        <f>[3]DATA!U182</f>
        <v>150000000</v>
      </c>
      <c r="Q193" s="1446">
        <f>[3]DATA!V182</f>
        <v>15000000</v>
      </c>
      <c r="R193" s="1446">
        <f>[3]DATA!W182</f>
        <v>0</v>
      </c>
      <c r="S193" s="2467">
        <f t="shared" si="12"/>
        <v>165000000</v>
      </c>
      <c r="T193" s="2468"/>
      <c r="U193" s="1449" t="str">
        <f>[3]DATA!Y182</f>
        <v>Bank Dunia</v>
      </c>
      <c r="V193" s="77">
        <f>[3]DATA!AA182</f>
        <v>150000000</v>
      </c>
      <c r="W193" s="77"/>
      <c r="X193" s="216" t="str">
        <f>[3]DATA!Y182</f>
        <v>Bank Dunia</v>
      </c>
      <c r="Y193" s="245">
        <f>[3]DATA!AT182</f>
        <v>150000000</v>
      </c>
      <c r="Z193" s="109" t="str">
        <f>[3]DATA!AU182</f>
        <v>Bank Dunia</v>
      </c>
      <c r="AA193" s="216" t="str">
        <f>[3]DATA!AW182</f>
        <v>-</v>
      </c>
      <c r="AB193" s="245">
        <f>[3]DATA!AM182</f>
        <v>0</v>
      </c>
      <c r="AC193" s="1510" t="str">
        <f>[3]DATA!AN182</f>
        <v>belum ada keterangan</v>
      </c>
      <c r="AD193" s="1511" t="str">
        <f>[3]DATA!AO182</f>
        <v>tidak butuh lahan</v>
      </c>
      <c r="AE193" s="1519">
        <f>[3]DATA!AQ182</f>
        <v>0</v>
      </c>
      <c r="AF193" s="1531" t="str">
        <f>[3]DATA!AR182</f>
        <v>belum ada dokumen R/C</v>
      </c>
    </row>
    <row r="194" spans="1:32" s="5" customFormat="1" ht="33.75" customHeight="1">
      <c r="J194" s="180"/>
      <c r="K194" s="50"/>
      <c r="L194" s="30" t="str">
        <f>[3]DATA!I183</f>
        <v>B</v>
      </c>
      <c r="M194" s="3427" t="str">
        <f>[3]DATA!J183</f>
        <v>Program Pengembangan Sumber Daya Manusia Kesehatan</v>
      </c>
      <c r="N194" s="3428"/>
      <c r="O194" s="197">
        <f>+O195</f>
        <v>240000000</v>
      </c>
      <c r="P194" s="197">
        <f>+P195</f>
        <v>240000000</v>
      </c>
      <c r="Q194" s="1436">
        <f>+Q195</f>
        <v>24000000</v>
      </c>
      <c r="R194" s="1436">
        <f>+R195</f>
        <v>0</v>
      </c>
      <c r="S194" s="1559">
        <f t="shared" si="12"/>
        <v>264000000</v>
      </c>
      <c r="T194" s="2463"/>
      <c r="U194" s="198"/>
      <c r="V194" s="81">
        <f>+V195</f>
        <v>240000000</v>
      </c>
      <c r="W194" s="81">
        <f>+W195</f>
        <v>0</v>
      </c>
      <c r="X194" s="214"/>
      <c r="Y194" s="244">
        <f>+Y195</f>
        <v>240000000</v>
      </c>
      <c r="Z194" s="81" t="s">
        <v>21</v>
      </c>
      <c r="AA194" s="214"/>
      <c r="AB194" s="1505"/>
      <c r="AC194" s="1506"/>
      <c r="AD194" s="169"/>
      <c r="AE194" s="1507"/>
      <c r="AF194" s="1530"/>
    </row>
    <row r="195" spans="1:32" ht="37.5" customHeight="1">
      <c r="A195" s="10">
        <f>[3]DATA!A183</f>
        <v>131</v>
      </c>
      <c r="B195" s="10">
        <f>[3]DATA!B183</f>
        <v>0</v>
      </c>
      <c r="C195" s="10" t="str">
        <f>[3]DATA!D183</f>
        <v>NON-INFRASTRUKTUR</v>
      </c>
      <c r="D195" s="10">
        <f>[3]DATA!E183</f>
        <v>11</v>
      </c>
      <c r="E195" s="10" t="str">
        <f>[3]DATA!F183</f>
        <v>Kementerian Kesehatan</v>
      </c>
      <c r="F195" s="10" t="str">
        <f>[3]DATA!H183</f>
        <v>Program for Human Resources Development in Health Sector</v>
      </c>
      <c r="G195" s="10" t="str">
        <f>[3]DATA!I183</f>
        <v>B</v>
      </c>
      <c r="H195" s="10" t="str">
        <f>[3]DATA!J183</f>
        <v>Program Pengembangan Sumber Daya Manusia Kesehatan</v>
      </c>
      <c r="I195" s="10">
        <f>[3]DATA!K183</f>
        <v>1</v>
      </c>
      <c r="J195" s="181"/>
      <c r="K195" s="34"/>
      <c r="L195" s="20"/>
      <c r="M195" s="36">
        <v>126</v>
      </c>
      <c r="N195" s="37" t="str">
        <f>[3]DATA!L183</f>
        <v>Improvement of Facilities and Infrastructure for Teaching and Learning Activities in Health Sector</v>
      </c>
      <c r="O195" s="187">
        <f>[3]DATA!T183</f>
        <v>240000000</v>
      </c>
      <c r="P195" s="187">
        <f>[3]DATA!U183</f>
        <v>240000000</v>
      </c>
      <c r="Q195" s="1446">
        <f>[3]DATA!V183</f>
        <v>24000000</v>
      </c>
      <c r="R195" s="1446">
        <f>[3]DATA!W183</f>
        <v>0</v>
      </c>
      <c r="S195" s="2467">
        <f t="shared" si="12"/>
        <v>264000000</v>
      </c>
      <c r="T195" s="2468"/>
      <c r="U195" s="1449" t="str">
        <f>[3]DATA!Y183</f>
        <v>IDB</v>
      </c>
      <c r="V195" s="77">
        <f>[3]DATA!AA183</f>
        <v>240000000</v>
      </c>
      <c r="W195" s="77">
        <f>[3]DATA!AG183</f>
        <v>0</v>
      </c>
      <c r="X195" s="216" t="str">
        <f>[3]DATA!Y183</f>
        <v>IDB</v>
      </c>
      <c r="Y195" s="245">
        <f>[3]DATA!AT183</f>
        <v>240000000</v>
      </c>
      <c r="Z195" s="109" t="str">
        <f>[3]DATA!AU183</f>
        <v>IDB</v>
      </c>
      <c r="AA195" s="216" t="str">
        <f>[3]DATA!AW183</f>
        <v>-</v>
      </c>
      <c r="AB195" s="245">
        <f>[3]DATA!AM183</f>
        <v>0</v>
      </c>
      <c r="AC195" s="1510" t="str">
        <f>[3]DATA!AN183</f>
        <v>dalam proses
(memiliki FS dan DED)</v>
      </c>
      <c r="AD195" s="1511" t="str">
        <f>[3]DATA!AO183</f>
        <v>siap</v>
      </c>
      <c r="AE195" s="1519">
        <f>[3]DATA!AQ183</f>
        <v>0</v>
      </c>
      <c r="AF195" s="1533" t="str">
        <f>[3]DATA!AR183</f>
        <v>penyiapan dokumen R/C</v>
      </c>
    </row>
    <row r="196" spans="1:32" s="5" customFormat="1" ht="37.5" customHeight="1">
      <c r="J196" s="180"/>
      <c r="K196" s="50"/>
      <c r="L196" s="30" t="str">
        <f>[3]DATA!I184</f>
        <v>C</v>
      </c>
      <c r="M196" s="3427" t="str">
        <f>[3]DATA!J184</f>
        <v>Program Pengendalian Penyakit, Penyehatan Lingkungan, dan Penguatan Litbang Kesehatan</v>
      </c>
      <c r="N196" s="3428"/>
      <c r="O196" s="197">
        <f>+O197</f>
        <v>100400000</v>
      </c>
      <c r="P196" s="197">
        <f>+P197</f>
        <v>100400000</v>
      </c>
      <c r="Q196" s="1436">
        <f>+Q197</f>
        <v>10040000</v>
      </c>
      <c r="R196" s="1436">
        <f>+R197</f>
        <v>0</v>
      </c>
      <c r="S196" s="1559">
        <f t="shared" si="12"/>
        <v>110440000</v>
      </c>
      <c r="T196" s="2463"/>
      <c r="U196" s="198"/>
      <c r="V196" s="81">
        <f>+V197</f>
        <v>100400000</v>
      </c>
      <c r="W196" s="81">
        <f>+W197</f>
        <v>0</v>
      </c>
      <c r="X196" s="214"/>
      <c r="Y196" s="244">
        <f>+Y197</f>
        <v>100400000</v>
      </c>
      <c r="Z196" s="81" t="s">
        <v>21</v>
      </c>
      <c r="AA196" s="214"/>
      <c r="AB196" s="1505"/>
      <c r="AC196" s="1506"/>
      <c r="AD196" s="169"/>
      <c r="AE196" s="1507"/>
      <c r="AF196" s="1530"/>
    </row>
    <row r="197" spans="1:32" ht="48.75" customHeight="1">
      <c r="A197" s="10">
        <f>[3]DATA!A184</f>
        <v>132</v>
      </c>
      <c r="B197" s="10">
        <f>[3]DATA!B184</f>
        <v>0</v>
      </c>
      <c r="C197" s="10" t="str">
        <f>[3]DATA!D184</f>
        <v>NON-INFRASTRUKTUR</v>
      </c>
      <c r="D197" s="10">
        <f>[3]DATA!E184</f>
        <v>11</v>
      </c>
      <c r="E197" s="10" t="str">
        <f>[3]DATA!F184</f>
        <v>Kementerian Kesehatan</v>
      </c>
      <c r="F197" s="10" t="str">
        <f>[3]DATA!H184</f>
        <v>Program for Disease Control, Environmental Health, and Strengthening Health Research and Development</v>
      </c>
      <c r="G197" s="10" t="str">
        <f>[3]DATA!I184</f>
        <v>C</v>
      </c>
      <c r="H197" s="10" t="str">
        <f>[3]DATA!J184</f>
        <v>Program Pengendalian Penyakit, Penyehatan Lingkungan, dan Penguatan Litbang Kesehatan</v>
      </c>
      <c r="I197" s="10">
        <f>[3]DATA!K184</f>
        <v>1</v>
      </c>
      <c r="J197" s="181"/>
      <c r="K197" s="34"/>
      <c r="L197" s="20"/>
      <c r="M197" s="36">
        <v>127</v>
      </c>
      <c r="N197" s="37" t="str">
        <f>[3]DATA!L184</f>
        <v>Improvement of Capacity on Disease Control, Environmental Health, and Strengthening Health’s Research and Development</v>
      </c>
      <c r="O197" s="187">
        <f>[3]DATA!T184</f>
        <v>100400000</v>
      </c>
      <c r="P197" s="187">
        <f>[3]DATA!U184</f>
        <v>100400000</v>
      </c>
      <c r="Q197" s="1446">
        <f>[3]DATA!V184</f>
        <v>10040000</v>
      </c>
      <c r="R197" s="1446">
        <f>[3]DATA!W184</f>
        <v>0</v>
      </c>
      <c r="S197" s="2467">
        <f t="shared" si="12"/>
        <v>110440000</v>
      </c>
      <c r="T197" s="2468"/>
      <c r="U197" s="1449" t="str">
        <f>[3]DATA!Y184</f>
        <v>Jerman (KfW)</v>
      </c>
      <c r="V197" s="77">
        <f>[3]DATA!AA184</f>
        <v>100400000</v>
      </c>
      <c r="W197" s="77">
        <f>[3]DATA!AG184</f>
        <v>0</v>
      </c>
      <c r="X197" s="216" t="str">
        <f>[3]DATA!Y184</f>
        <v>Jerman (KfW)</v>
      </c>
      <c r="Y197" s="245">
        <f>[3]DATA!AT184</f>
        <v>100400000</v>
      </c>
      <c r="Z197" s="109" t="str">
        <f>[3]DATA!AU184</f>
        <v>Jerman (KfW)</v>
      </c>
      <c r="AA197" s="216" t="str">
        <f>[3]DATA!AW184</f>
        <v>-</v>
      </c>
      <c r="AB197" s="245">
        <f>[3]DATA!AM184</f>
        <v>0</v>
      </c>
      <c r="AC197" s="1510" t="str">
        <f>[3]DATA!AN184</f>
        <v>dalam proses
(memiliki)</v>
      </c>
      <c r="AD197" s="1511" t="str">
        <f>[3]DATA!AO184</f>
        <v>dalam proses
(pelaksanaan)</v>
      </c>
      <c r="AE197" s="1519">
        <f>[3]DATA!AQ184</f>
        <v>0</v>
      </c>
      <c r="AF197" s="1533" t="str">
        <f>[3]DATA!AR184</f>
        <v>- tidak diketahui berapa persen proses pelaksanaannya
- penyiapan dokumen R/C</v>
      </c>
    </row>
    <row r="198" spans="1:32" s="5" customFormat="1" ht="33.75" customHeight="1">
      <c r="J198" s="180"/>
      <c r="K198" s="50"/>
      <c r="L198" s="30" t="str">
        <f>[3]DATA!I185</f>
        <v>D</v>
      </c>
      <c r="M198" s="31" t="str">
        <f>[3]DATA!J185</f>
        <v>Program Pelayanan Kesehatan Rujukan</v>
      </c>
      <c r="N198" s="51"/>
      <c r="O198" s="197">
        <f>O199</f>
        <v>1255600000</v>
      </c>
      <c r="P198" s="197">
        <f>P199</f>
        <v>1255600000</v>
      </c>
      <c r="Q198" s="1436">
        <f>Q199</f>
        <v>125560000</v>
      </c>
      <c r="R198" s="1436">
        <f>R199</f>
        <v>0</v>
      </c>
      <c r="S198" s="1559">
        <f t="shared" si="12"/>
        <v>1381160000</v>
      </c>
      <c r="T198" s="2463"/>
      <c r="U198" s="198"/>
      <c r="V198" s="81">
        <f>V199+V200+V201</f>
        <v>500000000</v>
      </c>
      <c r="W198" s="81">
        <f>W199+W200+W201</f>
        <v>755600000</v>
      </c>
      <c r="X198" s="214"/>
      <c r="Y198" s="244">
        <f>Y199+Y200+Y201</f>
        <v>1255600000</v>
      </c>
      <c r="Z198" s="81" t="s">
        <v>21</v>
      </c>
      <c r="AA198" s="214"/>
      <c r="AB198" s="1505"/>
      <c r="AC198" s="1506"/>
      <c r="AD198" s="169"/>
      <c r="AE198" s="1507"/>
      <c r="AF198" s="1530"/>
    </row>
    <row r="199" spans="1:32" ht="17.25" customHeight="1">
      <c r="A199" s="10">
        <f>[3]DATA!A186</f>
        <v>133</v>
      </c>
      <c r="B199" s="10">
        <f>[3]DATA!B186</f>
        <v>0</v>
      </c>
      <c r="C199" s="10" t="str">
        <f>[3]DATA!D186</f>
        <v>NON-INFRASTRUKTUR</v>
      </c>
      <c r="D199" s="10">
        <f>[3]DATA!E186</f>
        <v>11</v>
      </c>
      <c r="E199" s="10" t="str">
        <f>[3]DATA!F186</f>
        <v>Kementerian Kesehatan</v>
      </c>
      <c r="F199" s="10" t="str">
        <f>[3]DATA!H186</f>
        <v>Referral Health Services Program</v>
      </c>
      <c r="G199" s="10" t="str">
        <f>[3]DATA!I186</f>
        <v>D</v>
      </c>
      <c r="H199" s="10" t="str">
        <f>[3]DATA!J186</f>
        <v>Program Pelayanan Kesehatan Rujukan</v>
      </c>
      <c r="I199" s="10">
        <f>[3]DATA!K186</f>
        <v>1</v>
      </c>
      <c r="J199" s="181"/>
      <c r="K199" s="34"/>
      <c r="L199" s="34"/>
      <c r="M199" s="3390">
        <v>128</v>
      </c>
      <c r="N199" s="3393" t="str">
        <f>[3]DATA!L186</f>
        <v>Strengthening of National Referral Hospitals, Province Referral Hospital and Vertical Technical Units</v>
      </c>
      <c r="O199" s="3408">
        <f>[3]DATA!T185</f>
        <v>1255600000</v>
      </c>
      <c r="P199" s="3408">
        <f>[3]DATA!U185</f>
        <v>1255600000</v>
      </c>
      <c r="Q199" s="3436">
        <f>[3]DATA!V185</f>
        <v>125560000</v>
      </c>
      <c r="R199" s="3436">
        <f>[3]DATA!W185</f>
        <v>0</v>
      </c>
      <c r="S199" s="3411">
        <f t="shared" si="12"/>
        <v>1381160000</v>
      </c>
      <c r="T199" s="2465"/>
      <c r="U199" s="1449" t="str">
        <f>[3]DATA!Y186</f>
        <v>IDB</v>
      </c>
      <c r="V199" s="77">
        <f>[3]DATA!AA186</f>
        <v>250000000</v>
      </c>
      <c r="W199" s="77"/>
      <c r="X199" s="216" t="str">
        <f>[3]DATA!Y186</f>
        <v>IDB</v>
      </c>
      <c r="Y199" s="245">
        <f>[3]DATA!AT186</f>
        <v>250000000</v>
      </c>
      <c r="Z199" s="109" t="str">
        <f>[3]DATA!AU186</f>
        <v>IDB</v>
      </c>
      <c r="AA199" s="216" t="str">
        <f>[3]DATA!AW186</f>
        <v>co-financing dengan Jerman (KfW) (USD 250 juta) dan belum ada indikasi (USD 755,6 juta)</v>
      </c>
      <c r="AB199" s="245">
        <f>[3]DATA!AM186</f>
        <v>0</v>
      </c>
      <c r="AC199" s="3495" t="str">
        <f>[3]DATA!AN186</f>
        <v>belum ada keterangan</v>
      </c>
      <c r="AD199" s="3502" t="str">
        <f>[3]DATA!AO186</f>
        <v>belum ada keterangan</v>
      </c>
      <c r="AE199" s="1519">
        <f>[3]DATA!AQ186</f>
        <v>0</v>
      </c>
      <c r="AF199" s="3504" t="str">
        <f>[3]DATA!AR186</f>
        <v>belum ada dokumen R/C</v>
      </c>
    </row>
    <row r="200" spans="1:32" ht="21.75" customHeight="1">
      <c r="A200" s="10">
        <f>[3]DATA!A187</f>
        <v>134</v>
      </c>
      <c r="B200" s="10">
        <f>[3]DATA!B187</f>
        <v>0</v>
      </c>
      <c r="C200" s="10" t="str">
        <f>[3]DATA!D187</f>
        <v>NON-INFRASTRUKTUR</v>
      </c>
      <c r="D200" s="10">
        <f>[3]DATA!E187</f>
        <v>11</v>
      </c>
      <c r="E200" s="10" t="str">
        <f>[3]DATA!F187</f>
        <v>Kementerian Kesehatan</v>
      </c>
      <c r="F200" s="10" t="str">
        <f>[3]DATA!H187</f>
        <v>Referral Health Services Program</v>
      </c>
      <c r="G200" s="10" t="str">
        <f>[3]DATA!I187</f>
        <v>D</v>
      </c>
      <c r="H200" s="10" t="str">
        <f>[3]DATA!J187</f>
        <v>Program Pelayanan Kesehatan Rujukan</v>
      </c>
      <c r="I200" s="10">
        <f>[3]DATA!K187</f>
        <v>1</v>
      </c>
      <c r="J200" s="181"/>
      <c r="K200" s="34"/>
      <c r="L200" s="34"/>
      <c r="M200" s="3392"/>
      <c r="N200" s="3397"/>
      <c r="O200" s="3464"/>
      <c r="P200" s="3464"/>
      <c r="Q200" s="3469"/>
      <c r="R200" s="3469"/>
      <c r="S200" s="3412"/>
      <c r="T200" s="2491"/>
      <c r="U200" s="1449" t="str">
        <f>[3]DATA!Y187</f>
        <v>Jerman (KfW)</v>
      </c>
      <c r="V200" s="77">
        <f>[3]DATA!AA187</f>
        <v>250000000</v>
      </c>
      <c r="W200" s="77"/>
      <c r="X200" s="216" t="str">
        <f>[3]DATA!Y187</f>
        <v>Jerman (KfW)</v>
      </c>
      <c r="Y200" s="245">
        <f>[3]DATA!AT187</f>
        <v>250000000</v>
      </c>
      <c r="Z200" s="109" t="str">
        <f>[3]DATA!AU187</f>
        <v>Jerman (KfW)</v>
      </c>
      <c r="AA200" s="216" t="str">
        <f>[3]DATA!AW187</f>
        <v>co-financing dengan IDB (USD 250 juta) dan belum ada indikasi (USD 755,6 juta)</v>
      </c>
      <c r="AB200" s="245">
        <f>[3]DATA!AM187</f>
        <v>0</v>
      </c>
      <c r="AC200" s="3496"/>
      <c r="AD200" s="3519"/>
      <c r="AE200" s="1519">
        <f>[3]DATA!AQ187</f>
        <v>0</v>
      </c>
      <c r="AF200" s="3509"/>
    </row>
    <row r="201" spans="1:32" ht="20.25" customHeight="1">
      <c r="A201" s="10">
        <f>[3]DATA!A188</f>
        <v>135</v>
      </c>
      <c r="B201" s="10">
        <f>[3]DATA!B188</f>
        <v>0</v>
      </c>
      <c r="C201" s="10" t="str">
        <f>[3]DATA!D188</f>
        <v>NON-INFRASTRUKTUR</v>
      </c>
      <c r="D201" s="10">
        <f>[3]DATA!E188</f>
        <v>11</v>
      </c>
      <c r="E201" s="10" t="str">
        <f>[3]DATA!F188</f>
        <v>Kementerian Kesehatan</v>
      </c>
      <c r="F201" s="10" t="str">
        <f>[3]DATA!H188</f>
        <v>Referral Health Services Program</v>
      </c>
      <c r="G201" s="10" t="str">
        <f>[3]DATA!I188</f>
        <v>D</v>
      </c>
      <c r="H201" s="10" t="str">
        <f>[3]DATA!J188</f>
        <v>Program Pelayanan Kesehatan Rujukan</v>
      </c>
      <c r="I201" s="10">
        <f>[3]DATA!K188</f>
        <v>1</v>
      </c>
      <c r="J201" s="181"/>
      <c r="K201" s="54"/>
      <c r="L201" s="54"/>
      <c r="M201" s="3391"/>
      <c r="N201" s="3394"/>
      <c r="O201" s="3465"/>
      <c r="P201" s="3465"/>
      <c r="Q201" s="3437"/>
      <c r="R201" s="3437"/>
      <c r="S201" s="3413"/>
      <c r="T201" s="2466"/>
      <c r="U201" s="1449" t="str">
        <f>[3]DATA!Y188</f>
        <v>Belum Ada Indikasi</v>
      </c>
      <c r="V201" s="77">
        <v>0</v>
      </c>
      <c r="W201" s="77">
        <f>[3]DATA!AA188</f>
        <v>755600000</v>
      </c>
      <c r="X201" s="216" t="str">
        <f>[3]DATA!Y188</f>
        <v>Belum Ada Indikasi</v>
      </c>
      <c r="Y201" s="245">
        <f>[3]DATA!AT188</f>
        <v>755600000</v>
      </c>
      <c r="Z201" s="109" t="str">
        <f>[3]DATA!AU188</f>
        <v>Belum Ada Indikasi</v>
      </c>
      <c r="AA201" s="216" t="str">
        <f>[3]DATA!AW188</f>
        <v>co-financing dengan IDB (USD 250 juta) dan Jerman (KfW) (USD 250 juta)</v>
      </c>
      <c r="AB201" s="245">
        <f>[3]DATA!AM188</f>
        <v>0</v>
      </c>
      <c r="AC201" s="3497"/>
      <c r="AD201" s="3503"/>
      <c r="AE201" s="1519">
        <f>[3]DATA!AQ188</f>
        <v>0</v>
      </c>
      <c r="AF201" s="3510"/>
    </row>
    <row r="202" spans="1:32" s="4" customFormat="1" ht="24.95" customHeight="1">
      <c r="J202" s="250"/>
      <c r="K202" s="25">
        <v>14</v>
      </c>
      <c r="L202" s="108" t="str">
        <f>[3]DATA!F189</f>
        <v>Pemprov. Aceh</v>
      </c>
      <c r="M202" s="25"/>
      <c r="N202" s="27"/>
      <c r="O202" s="194">
        <f t="shared" ref="O202:R203" si="15">+O203</f>
        <v>106800000</v>
      </c>
      <c r="P202" s="194">
        <f t="shared" si="15"/>
        <v>106800000</v>
      </c>
      <c r="Q202" s="194">
        <f t="shared" si="15"/>
        <v>10700000</v>
      </c>
      <c r="R202" s="194">
        <f t="shared" si="15"/>
        <v>0</v>
      </c>
      <c r="S202" s="194">
        <f t="shared" ref="S202:S207" si="16">P202+Q202+R202</f>
        <v>117500000</v>
      </c>
      <c r="T202" s="2484"/>
      <c r="U202" s="195"/>
      <c r="V202" s="80">
        <f t="shared" ref="V202:Z203" si="17">+V203</f>
        <v>106800000</v>
      </c>
      <c r="W202" s="80">
        <f t="shared" si="17"/>
        <v>0</v>
      </c>
      <c r="X202" s="213">
        <f t="shared" si="17"/>
        <v>0</v>
      </c>
      <c r="Y202" s="242">
        <f t="shared" si="17"/>
        <v>106800000</v>
      </c>
      <c r="Z202" s="80" t="str">
        <f t="shared" si="17"/>
        <v>-</v>
      </c>
      <c r="AA202" s="213"/>
      <c r="AB202" s="1501"/>
      <c r="AC202" s="1502"/>
      <c r="AD202" s="168"/>
      <c r="AE202" s="1503"/>
      <c r="AF202" s="1529"/>
    </row>
    <row r="203" spans="1:32" s="5" customFormat="1" ht="33.75" customHeight="1">
      <c r="J203" s="180"/>
      <c r="K203" s="29"/>
      <c r="L203" s="30" t="str">
        <f>[3]DATA!I189</f>
        <v>A</v>
      </c>
      <c r="M203" s="31" t="str">
        <f>[3]DATA!J189</f>
        <v>Program Pelayanan Kesehatan Rujukan</v>
      </c>
      <c r="N203" s="51"/>
      <c r="O203" s="197">
        <f t="shared" si="15"/>
        <v>106800000</v>
      </c>
      <c r="P203" s="197">
        <f t="shared" si="15"/>
        <v>106800000</v>
      </c>
      <c r="Q203" s="1436">
        <f t="shared" si="15"/>
        <v>10700000</v>
      </c>
      <c r="R203" s="1436">
        <f t="shared" si="15"/>
        <v>0</v>
      </c>
      <c r="S203" s="1559">
        <f t="shared" si="16"/>
        <v>117500000</v>
      </c>
      <c r="T203" s="2463"/>
      <c r="U203" s="198"/>
      <c r="V203" s="81">
        <f t="shared" si="17"/>
        <v>106800000</v>
      </c>
      <c r="W203" s="81">
        <f t="shared" si="17"/>
        <v>0</v>
      </c>
      <c r="X203" s="214"/>
      <c r="Y203" s="244">
        <f t="shared" si="17"/>
        <v>106800000</v>
      </c>
      <c r="Z203" s="81" t="s">
        <v>21</v>
      </c>
      <c r="AA203" s="214"/>
      <c r="AB203" s="1505"/>
      <c r="AC203" s="1506"/>
      <c r="AD203" s="169"/>
      <c r="AE203" s="1507"/>
      <c r="AF203" s="1530"/>
    </row>
    <row r="204" spans="1:32" ht="36.75" customHeight="1">
      <c r="A204" s="10">
        <f>[3]DATA!A189</f>
        <v>136</v>
      </c>
      <c r="B204" s="10">
        <f>[3]DATA!B189</f>
        <v>0</v>
      </c>
      <c r="C204" s="10" t="str">
        <f>[3]DATA!D189</f>
        <v>NON-INFRASTRUKTUR</v>
      </c>
      <c r="D204" s="10">
        <f>[3]DATA!E189</f>
        <v>12</v>
      </c>
      <c r="E204" s="10" t="str">
        <f>[3]DATA!F189</f>
        <v>Pemprov. Aceh</v>
      </c>
      <c r="F204" s="10" t="str">
        <f>[3]DATA!H189</f>
        <v>Health Services Referral Program</v>
      </c>
      <c r="G204" s="10" t="str">
        <f>[3]DATA!I189</f>
        <v>A</v>
      </c>
      <c r="H204" s="10" t="str">
        <f>[3]DATA!J189</f>
        <v>Program Pelayanan Kesehatan Rujukan</v>
      </c>
      <c r="I204" s="10">
        <f>[3]DATA!K189</f>
        <v>1</v>
      </c>
      <c r="J204" s="181"/>
      <c r="K204" s="54"/>
      <c r="L204" s="20"/>
      <c r="M204" s="36">
        <v>129</v>
      </c>
      <c r="N204" s="37" t="str">
        <f>[3]DATA!L189</f>
        <v>Reengineering and Improving The Hospital and Referral System in Selected Aceh Districts</v>
      </c>
      <c r="O204" s="187">
        <f>[3]DATA!T189</f>
        <v>106800000</v>
      </c>
      <c r="P204" s="187">
        <f>[3]DATA!U189</f>
        <v>106800000</v>
      </c>
      <c r="Q204" s="1446">
        <f>[3]DATA!V189</f>
        <v>10700000</v>
      </c>
      <c r="R204" s="1446">
        <f>[3]DATA!W189</f>
        <v>0</v>
      </c>
      <c r="S204" s="2467">
        <f t="shared" si="16"/>
        <v>117500000</v>
      </c>
      <c r="T204" s="2468"/>
      <c r="U204" s="1449" t="str">
        <f>[3]DATA!Y189</f>
        <v>Jerman (KfW)</v>
      </c>
      <c r="V204" s="77">
        <f>[3]DATA!AA189</f>
        <v>106800000</v>
      </c>
      <c r="W204" s="77">
        <v>0</v>
      </c>
      <c r="X204" s="216" t="str">
        <f>[3]DATA!Y189</f>
        <v>Jerman (KfW)</v>
      </c>
      <c r="Y204" s="245">
        <f>[3]DATA!AT189</f>
        <v>106800000</v>
      </c>
      <c r="Z204" s="109" t="str">
        <f>[3]DATA!AU189</f>
        <v>Jerman (KfW)</v>
      </c>
      <c r="AA204" s="216" t="str">
        <f>[3]DATA!AW189</f>
        <v>-</v>
      </c>
      <c r="AB204" s="245" t="str">
        <f>[3]DATA!AM189</f>
        <v>2016; 2015</v>
      </c>
      <c r="AC204" s="1510" t="str">
        <f>[3]DATA!AN189</f>
        <v>dalam proses
(memiliki FS dan DED)</v>
      </c>
      <c r="AD204" s="1511" t="str">
        <f>[3]DATA!AO189</f>
        <v>siap</v>
      </c>
      <c r="AE204" s="1519">
        <f>[3]DATA!AQ189</f>
        <v>0</v>
      </c>
      <c r="AF204" s="1533" t="str">
        <f>[3]DATA!AR189</f>
        <v>-</v>
      </c>
    </row>
    <row r="205" spans="1:32" s="4" customFormat="1" ht="24.95" customHeight="1">
      <c r="J205" s="250"/>
      <c r="K205" s="25">
        <v>15</v>
      </c>
      <c r="L205" s="108" t="str">
        <f>[3]DATA!F190</f>
        <v>Kementerian Pertanian</v>
      </c>
      <c r="M205" s="25"/>
      <c r="N205" s="27"/>
      <c r="O205" s="194">
        <f>+O206+O213</f>
        <v>1445742600</v>
      </c>
      <c r="P205" s="194">
        <f>+P206+P213</f>
        <v>1445742600</v>
      </c>
      <c r="Q205" s="194">
        <f>+Q206+Q213</f>
        <v>154464300</v>
      </c>
      <c r="R205" s="194">
        <f>+R206+R213</f>
        <v>500000</v>
      </c>
      <c r="S205" s="194">
        <f t="shared" si="16"/>
        <v>1600706900</v>
      </c>
      <c r="T205" s="2484"/>
      <c r="U205" s="195"/>
      <c r="V205" s="80">
        <f>+V206+V213</f>
        <v>698900000</v>
      </c>
      <c r="W205" s="80">
        <f>+W206+W213</f>
        <v>746842600</v>
      </c>
      <c r="X205" s="213"/>
      <c r="Y205" s="242">
        <f>+Y206+Y213</f>
        <v>1445742600</v>
      </c>
      <c r="Z205" s="80" t="s">
        <v>21</v>
      </c>
      <c r="AA205" s="213"/>
      <c r="AB205" s="1501"/>
      <c r="AC205" s="1502"/>
      <c r="AD205" s="168"/>
      <c r="AE205" s="1503"/>
      <c r="AF205" s="1529"/>
    </row>
    <row r="206" spans="1:32" s="5" customFormat="1" ht="33.75" customHeight="1">
      <c r="J206" s="180"/>
      <c r="K206" s="29"/>
      <c r="L206" s="30" t="str">
        <f>[3]DATA!I190</f>
        <v>A</v>
      </c>
      <c r="M206" s="3427" t="str">
        <f>[3]DATA!J190</f>
        <v>Program Penyediaan dan Pengembangan Prasarana dan Sarana Pertanian</v>
      </c>
      <c r="N206" s="3428"/>
      <c r="O206" s="197">
        <f>O207+O210</f>
        <v>1346842600</v>
      </c>
      <c r="P206" s="197">
        <f>P207+P210</f>
        <v>1346842600</v>
      </c>
      <c r="Q206" s="197">
        <f>Q207+Q210</f>
        <v>134684300</v>
      </c>
      <c r="R206" s="197">
        <f>R207+R210</f>
        <v>0</v>
      </c>
      <c r="S206" s="1559">
        <f t="shared" si="16"/>
        <v>1481526900</v>
      </c>
      <c r="T206" s="2463"/>
      <c r="U206" s="198"/>
      <c r="V206" s="81">
        <f>V207+V208+V209+V210+V211+V212</f>
        <v>600000000</v>
      </c>
      <c r="W206" s="81">
        <f>W207+W208+W209+W210+W211+W212</f>
        <v>746842600</v>
      </c>
      <c r="X206" s="214"/>
      <c r="Y206" s="244">
        <f>Y207+Y208+Y209+Y210+Y211+Y212</f>
        <v>1346842600</v>
      </c>
      <c r="Z206" s="81" t="s">
        <v>21</v>
      </c>
      <c r="AA206" s="214"/>
      <c r="AB206" s="1505"/>
      <c r="AC206" s="1506"/>
      <c r="AD206" s="169"/>
      <c r="AE206" s="1507"/>
      <c r="AF206" s="1530"/>
    </row>
    <row r="207" spans="1:32" ht="24.75" customHeight="1">
      <c r="J207" s="181"/>
      <c r="K207" s="34"/>
      <c r="L207" s="34"/>
      <c r="M207" s="3390">
        <v>130</v>
      </c>
      <c r="N207" s="3460" t="str">
        <f>[3]DATA!L190</f>
        <v>Extensification of New Paddy Field Area</v>
      </c>
      <c r="O207" s="3411">
        <f>[3]DATA!T190</f>
        <v>811166600</v>
      </c>
      <c r="P207" s="3411">
        <f>[3]DATA!T190</f>
        <v>811166600</v>
      </c>
      <c r="Q207" s="3436">
        <f>[3]DATA!V190</f>
        <v>81116700</v>
      </c>
      <c r="R207" s="3436">
        <f>[3]DATA!W190</f>
        <v>0</v>
      </c>
      <c r="S207" s="3470">
        <f t="shared" si="16"/>
        <v>892283300</v>
      </c>
      <c r="T207" s="3483"/>
      <c r="U207" s="1509" t="str">
        <f>[3]DATA!Y191</f>
        <v>Bank Dunia</v>
      </c>
      <c r="V207" s="1509">
        <f>[3]DATA!AA191</f>
        <v>225000000</v>
      </c>
      <c r="W207" s="77">
        <v>0</v>
      </c>
      <c r="X207" s="216" t="str">
        <f>[3]DATA!Y191</f>
        <v>Bank Dunia</v>
      </c>
      <c r="Y207" s="245">
        <f>[3]DATA!AT191</f>
        <v>225000000</v>
      </c>
      <c r="Z207" s="109" t="str">
        <f>[3]DATA!AU191</f>
        <v>Belum Ada Indikasi</v>
      </c>
      <c r="AA207" s="1520" t="str">
        <f>[3]DATA!AW191</f>
        <v>- co-financing dengan IDB (USD 125 juta) dan belum ada indikasi (USD 686,2 juta)
- Bank Dunia tidak berminat mendanai kegiatan ini.</v>
      </c>
      <c r="AB207" s="245">
        <f>[3]DATA!AM191</f>
        <v>0</v>
      </c>
      <c r="AC207" s="3495" t="str">
        <f>[3]DATA!AN191</f>
        <v>dalam proses
(penyusunan FS)</v>
      </c>
      <c r="AD207" s="3502" t="str">
        <f>[3]DATA!AO191</f>
        <v>belum ada keterangan</v>
      </c>
      <c r="AE207" s="1519">
        <f>[3]DATA!AQ191</f>
        <v>0</v>
      </c>
      <c r="AF207" s="3504" t="str">
        <f>[3]DATA!AR191</f>
        <v>belum ada dokumen R/C</v>
      </c>
    </row>
    <row r="208" spans="1:32" ht="18.75" customHeight="1">
      <c r="J208" s="181"/>
      <c r="K208" s="34"/>
      <c r="L208" s="34"/>
      <c r="M208" s="3392"/>
      <c r="N208" s="3461"/>
      <c r="O208" s="3412"/>
      <c r="P208" s="3412"/>
      <c r="Q208" s="3469"/>
      <c r="R208" s="3469"/>
      <c r="S208" s="3471"/>
      <c r="T208" s="3484"/>
      <c r="U208" s="1509" t="str">
        <f>[3]DATA!Y192</f>
        <v>IDB</v>
      </c>
      <c r="V208" s="1509">
        <f>[3]DATA!AA192</f>
        <v>125000000</v>
      </c>
      <c r="W208" s="77">
        <v>0</v>
      </c>
      <c r="X208" s="216" t="str">
        <f>[3]DATA!Y192</f>
        <v>IDB</v>
      </c>
      <c r="Y208" s="245">
        <f>[3]DATA!AT192</f>
        <v>125000000</v>
      </c>
      <c r="Z208" s="109" t="str">
        <f>[3]DATA!AU192</f>
        <v>IDB</v>
      </c>
      <c r="AA208" s="1520" t="str">
        <f>[3]DATA!AW192</f>
        <v>terdapat sisa pendanaan yang belum ada indikasi lender (USD 686,2 juta)</v>
      </c>
      <c r="AB208" s="245">
        <f>[3]DATA!AM192</f>
        <v>0</v>
      </c>
      <c r="AC208" s="3496"/>
      <c r="AD208" s="3519"/>
      <c r="AE208" s="1519">
        <f>[3]DATA!AQ192</f>
        <v>0</v>
      </c>
      <c r="AF208" s="3509"/>
    </row>
    <row r="209" spans="1:34" ht="16.5" customHeight="1">
      <c r="J209" s="181"/>
      <c r="K209" s="34"/>
      <c r="L209" s="34"/>
      <c r="M209" s="3391"/>
      <c r="N209" s="3462"/>
      <c r="O209" s="3413"/>
      <c r="P209" s="3413"/>
      <c r="Q209" s="3437"/>
      <c r="R209" s="3437"/>
      <c r="S209" s="3472"/>
      <c r="T209" s="3485"/>
      <c r="U209" s="1509" t="str">
        <f>[3]DATA!Y193</f>
        <v>Belum Ada Indikasi</v>
      </c>
      <c r="V209" s="1509">
        <v>0</v>
      </c>
      <c r="W209" s="77">
        <f>[3]DATA!AA193</f>
        <v>461166600</v>
      </c>
      <c r="X209" s="216" t="str">
        <f>[3]DATA!Y193</f>
        <v>Belum Ada Indikasi</v>
      </c>
      <c r="Y209" s="245">
        <f>[3]DATA!AT193</f>
        <v>461166600</v>
      </c>
      <c r="Z209" s="109" t="str">
        <f>[3]DATA!AU193</f>
        <v>Belum Ada Indikasi</v>
      </c>
      <c r="AA209" s="1520" t="str">
        <f>[3]DATA!AW193</f>
        <v>total belum ada indikasi menjadi USD 686,2 juta karena ditambahkan USD 125 juta yang sebelumnya Bank Dunia.</v>
      </c>
      <c r="AB209" s="245">
        <f>[3]DATA!AM193</f>
        <v>0</v>
      </c>
      <c r="AC209" s="3497"/>
      <c r="AD209" s="3503"/>
      <c r="AE209" s="1519">
        <f>[3]DATA!AQ193</f>
        <v>0</v>
      </c>
      <c r="AF209" s="3510"/>
    </row>
    <row r="210" spans="1:34" ht="21" customHeight="1">
      <c r="A210" s="10">
        <f>[3]DATA!A195</f>
        <v>140</v>
      </c>
      <c r="B210" s="10">
        <f>[3]DATA!B195</f>
        <v>0</v>
      </c>
      <c r="C210" s="10" t="str">
        <f>[3]DATA!D195</f>
        <v>NON-INFRASTRUKTUR</v>
      </c>
      <c r="D210" s="10">
        <f>[3]DATA!E195</f>
        <v>13</v>
      </c>
      <c r="E210" s="10" t="str">
        <f>[3]DATA!F195</f>
        <v>Kementerian Pertanian</v>
      </c>
      <c r="F210" s="10" t="str">
        <f>[3]DATA!H195</f>
        <v>Provision and Development of Agriculture Infrastructure Program</v>
      </c>
      <c r="G210" s="10" t="str">
        <f>[3]DATA!I195</f>
        <v>A</v>
      </c>
      <c r="H210" s="10" t="str">
        <f>[3]DATA!J195</f>
        <v>Program Penyediaan dan Pengembangan Prasarana dan Sarana Pertanian</v>
      </c>
      <c r="I210" s="10">
        <f>[3]DATA!K195</f>
        <v>2</v>
      </c>
      <c r="J210" s="181"/>
      <c r="K210" s="34"/>
      <c r="L210" s="34"/>
      <c r="M210" s="3390">
        <v>131</v>
      </c>
      <c r="N210" s="3393" t="str">
        <f>[3]DATA!L194</f>
        <v>Upland Development for National Food Security</v>
      </c>
      <c r="O210" s="3408">
        <f>[3]DATA!T194</f>
        <v>535676000</v>
      </c>
      <c r="P210" s="3408">
        <f>[3]DATA!U194</f>
        <v>535676000</v>
      </c>
      <c r="Q210" s="3436">
        <f>[3]DATA!V194</f>
        <v>53567600</v>
      </c>
      <c r="R210" s="3436">
        <f>[3]DATA!W194</f>
        <v>0</v>
      </c>
      <c r="S210" s="3473">
        <f>P210+Q210+R210</f>
        <v>589243600</v>
      </c>
      <c r="T210" s="3483"/>
      <c r="U210" s="1449" t="str">
        <f>[3]DATA!Y195</f>
        <v>Bank Dunia</v>
      </c>
      <c r="V210" s="77">
        <f>[3]DATA!AA195</f>
        <v>125000000</v>
      </c>
      <c r="W210" s="77">
        <v>0</v>
      </c>
      <c r="X210" s="216" t="str">
        <f>[3]DATA!Y195</f>
        <v>Bank Dunia</v>
      </c>
      <c r="Y210" s="245">
        <f>[3]DATA!AT195</f>
        <v>125000000</v>
      </c>
      <c r="Z210" s="109" t="str">
        <f>[3]DATA!AU195</f>
        <v>Belum Ada Indikasi</v>
      </c>
      <c r="AA210" s="1520" t="str">
        <f>[3]DATA!AW195</f>
        <v>- co-financing dengan IDB (USD 125 juta) dan belum ada indikasi (USD 410,7 juta)
Bank Dunia tidak berminat mendanai kegiatan ini.</v>
      </c>
      <c r="AB210" s="245">
        <f>[3]DATA!AM195</f>
        <v>0</v>
      </c>
      <c r="AC210" s="3495" t="str">
        <f>[3]DATA!AN195</f>
        <v>dalam proses
(penyusunan FS)</v>
      </c>
      <c r="AD210" s="3502" t="str">
        <f>[3]DATA!AO195</f>
        <v>belum ada keterangan</v>
      </c>
      <c r="AE210" s="1519">
        <f>[3]DATA!AQ195</f>
        <v>0</v>
      </c>
      <c r="AF210" s="3504" t="str">
        <f>[3]DATA!AR195</f>
        <v>belum ada dokumen R/C</v>
      </c>
      <c r="AH210" s="174">
        <f>P210+Q210</f>
        <v>589243600</v>
      </c>
    </row>
    <row r="211" spans="1:34" ht="17.25" customHeight="1">
      <c r="A211" s="10">
        <f>[3]DATA!A196</f>
        <v>141</v>
      </c>
      <c r="B211" s="10">
        <f>[3]DATA!B196</f>
        <v>0</v>
      </c>
      <c r="C211" s="10" t="str">
        <f>[3]DATA!D196</f>
        <v>NON-INFRASTRUKTUR</v>
      </c>
      <c r="D211" s="10">
        <f>[3]DATA!E196</f>
        <v>13</v>
      </c>
      <c r="E211" s="10" t="str">
        <f>[3]DATA!F196</f>
        <v>Kementerian Pertanian</v>
      </c>
      <c r="F211" s="10" t="str">
        <f>[3]DATA!H196</f>
        <v>Provision and Development of Agriculture Infrastructure Program</v>
      </c>
      <c r="G211" s="10" t="str">
        <f>[3]DATA!I196</f>
        <v>A</v>
      </c>
      <c r="H211" s="10" t="str">
        <f>[3]DATA!J196</f>
        <v>Program Penyediaan dan Pengembangan Prasarana dan Sarana Pertanian</v>
      </c>
      <c r="I211" s="10">
        <f>[3]DATA!K196</f>
        <v>2</v>
      </c>
      <c r="J211" s="181"/>
      <c r="K211" s="34"/>
      <c r="L211" s="34"/>
      <c r="M211" s="3392"/>
      <c r="N211" s="3397"/>
      <c r="O211" s="3464"/>
      <c r="P211" s="3464"/>
      <c r="Q211" s="3469"/>
      <c r="R211" s="3469"/>
      <c r="S211" s="3474"/>
      <c r="T211" s="3484"/>
      <c r="U211" s="1449" t="str">
        <f>[3]DATA!Y196</f>
        <v>IDB</v>
      </c>
      <c r="V211" s="77">
        <f>[3]DATA!AA196</f>
        <v>125000000</v>
      </c>
      <c r="W211" s="77">
        <v>0</v>
      </c>
      <c r="X211" s="216" t="str">
        <f>[3]DATA!Y196</f>
        <v>IDB</v>
      </c>
      <c r="Y211" s="245">
        <f>[3]DATA!AT196</f>
        <v>125000000</v>
      </c>
      <c r="Z211" s="109" t="str">
        <f>[3]DATA!AU196</f>
        <v>IDB</v>
      </c>
      <c r="AA211" s="1520" t="str">
        <f>[3]DATA!AW196</f>
        <v>terdapat sisa pendanaan yang belum ada indikasi lender (USD 410,7 juta)</v>
      </c>
      <c r="AB211" s="245">
        <f>[3]DATA!AM196</f>
        <v>0</v>
      </c>
      <c r="AC211" s="3496"/>
      <c r="AD211" s="3519"/>
      <c r="AE211" s="1519">
        <f>[3]DATA!AQ196</f>
        <v>0</v>
      </c>
      <c r="AF211" s="3509"/>
    </row>
    <row r="212" spans="1:34" ht="23.25" customHeight="1">
      <c r="A212" s="10">
        <f>[3]DATA!A197</f>
        <v>142</v>
      </c>
      <c r="B212" s="10">
        <f>[3]DATA!B197</f>
        <v>0</v>
      </c>
      <c r="C212" s="10" t="str">
        <f>[3]DATA!D197</f>
        <v>NON-INFRASTRUKTUR</v>
      </c>
      <c r="D212" s="10">
        <f>[3]DATA!E197</f>
        <v>13</v>
      </c>
      <c r="E212" s="10" t="str">
        <f>[3]DATA!F197</f>
        <v>Kementerian Pertanian</v>
      </c>
      <c r="F212" s="10" t="str">
        <f>[3]DATA!H197</f>
        <v>Provision and Development of Agriculture Infrastructure Program</v>
      </c>
      <c r="G212" s="10" t="str">
        <f>[3]DATA!I197</f>
        <v>A</v>
      </c>
      <c r="H212" s="10" t="str">
        <f>[3]DATA!J197</f>
        <v>Program Penyediaan dan Pengembangan Prasarana dan Sarana Pertanian</v>
      </c>
      <c r="I212" s="10">
        <f>[3]DATA!K197</f>
        <v>2</v>
      </c>
      <c r="J212" s="181"/>
      <c r="K212" s="34"/>
      <c r="L212" s="54"/>
      <c r="M212" s="3391"/>
      <c r="N212" s="3394"/>
      <c r="O212" s="3465"/>
      <c r="P212" s="3465"/>
      <c r="Q212" s="3437"/>
      <c r="R212" s="3437"/>
      <c r="S212" s="3475"/>
      <c r="T212" s="3485"/>
      <c r="U212" s="1449" t="str">
        <f>[3]DATA!Y197</f>
        <v>Belum Ada Indikasi</v>
      </c>
      <c r="V212" s="77">
        <v>0</v>
      </c>
      <c r="W212" s="77">
        <f>[3]DATA!AA197</f>
        <v>285676000</v>
      </c>
      <c r="X212" s="216" t="str">
        <f>[3]DATA!Y197</f>
        <v>Belum Ada Indikasi</v>
      </c>
      <c r="Y212" s="245">
        <f>[3]DATA!AT197</f>
        <v>285676000</v>
      </c>
      <c r="Z212" s="109" t="str">
        <f>[3]DATA!AU197</f>
        <v>Belum Ada Indikasi</v>
      </c>
      <c r="AA212" s="1520" t="str">
        <f>[3]DATA!AW197</f>
        <v>total belum ada indikasi menjadi USD 410,7 juta karena ditambahkan USD 125 juta yang sebelumnya Bank Dunia.</v>
      </c>
      <c r="AB212" s="245">
        <f>[3]DATA!AM197</f>
        <v>0</v>
      </c>
      <c r="AC212" s="3497"/>
      <c r="AD212" s="3503"/>
      <c r="AE212" s="1519">
        <f>[3]DATA!AQ197</f>
        <v>0</v>
      </c>
      <c r="AF212" s="3510"/>
    </row>
    <row r="213" spans="1:34" s="5" customFormat="1" ht="33.75" customHeight="1">
      <c r="J213" s="180"/>
      <c r="K213" s="50"/>
      <c r="L213" s="30" t="str">
        <f>[3]DATA!I198</f>
        <v>B</v>
      </c>
      <c r="M213" s="3427" t="str">
        <f>[3]DATA!J198</f>
        <v>Program Peningkatan Penyuluhan, Pendidikan, dan Pelatihan Pertanian</v>
      </c>
      <c r="N213" s="3428"/>
      <c r="O213" s="197">
        <f>+O214+O215</f>
        <v>98900000</v>
      </c>
      <c r="P213" s="197">
        <f>+P214+P215</f>
        <v>98900000</v>
      </c>
      <c r="Q213" s="1436">
        <f>+Q214+Q215</f>
        <v>19780000</v>
      </c>
      <c r="R213" s="1436">
        <f>+R214+R215</f>
        <v>500000</v>
      </c>
      <c r="S213" s="1559">
        <f t="shared" ref="S213:S240" si="18">P213+Q213+R213</f>
        <v>119180000</v>
      </c>
      <c r="T213" s="2463"/>
      <c r="U213" s="198"/>
      <c r="V213" s="81">
        <f>+V214+V215</f>
        <v>98900000</v>
      </c>
      <c r="W213" s="81">
        <f>+W214+W215</f>
        <v>0</v>
      </c>
      <c r="X213" s="214"/>
      <c r="Y213" s="244">
        <f>+Y214+Y215</f>
        <v>98900000</v>
      </c>
      <c r="Z213" s="81" t="s">
        <v>21</v>
      </c>
      <c r="AA213" s="214"/>
      <c r="AB213" s="1505"/>
      <c r="AC213" s="1506"/>
      <c r="AD213" s="169"/>
      <c r="AE213" s="1507"/>
      <c r="AF213" s="1530"/>
    </row>
    <row r="214" spans="1:34" ht="36" customHeight="1">
      <c r="A214" s="10">
        <f>[3]DATA!A198</f>
        <v>143</v>
      </c>
      <c r="B214" s="10">
        <f>[3]DATA!B198</f>
        <v>0</v>
      </c>
      <c r="C214" s="10" t="str">
        <f>[3]DATA!D198</f>
        <v>NON-INFRASTRUKTUR</v>
      </c>
      <c r="D214" s="10">
        <f>[3]DATA!E198</f>
        <v>13</v>
      </c>
      <c r="E214" s="10" t="str">
        <f>[3]DATA!F198</f>
        <v>Kementerian Pertanian</v>
      </c>
      <c r="F214" s="10" t="str">
        <f>[3]DATA!H198</f>
        <v>Agriculture Extention, Education, and Training Improvement Program</v>
      </c>
      <c r="G214" s="10" t="str">
        <f>[3]DATA!I198</f>
        <v>B</v>
      </c>
      <c r="H214" s="10" t="str">
        <f>[3]DATA!J198</f>
        <v>Program Peningkatan Penyuluhan, Pendidikan, dan Pelatihan Pertanian</v>
      </c>
      <c r="I214" s="10">
        <f>[3]DATA!K198</f>
        <v>1</v>
      </c>
      <c r="J214" s="181"/>
      <c r="K214" s="34"/>
      <c r="L214" s="35"/>
      <c r="M214" s="36">
        <v>132</v>
      </c>
      <c r="N214" s="37" t="str">
        <f>[3]DATA!L198</f>
        <v>Young Enterpreneur Growth and Development for Sustainable Agricultural Development</v>
      </c>
      <c r="O214" s="187">
        <f>[3]DATA!T198</f>
        <v>68900000</v>
      </c>
      <c r="P214" s="187">
        <f>[3]DATA!U198</f>
        <v>68900000</v>
      </c>
      <c r="Q214" s="1446">
        <f>[3]DATA!V198</f>
        <v>13780000</v>
      </c>
      <c r="R214" s="1446">
        <f>[3]DATA!W198</f>
        <v>0</v>
      </c>
      <c r="S214" s="2467">
        <f t="shared" si="18"/>
        <v>82680000</v>
      </c>
      <c r="T214" s="2468"/>
      <c r="U214" s="1449" t="str">
        <f>[3]DATA!Y198</f>
        <v>IFAD</v>
      </c>
      <c r="V214" s="77">
        <f>[3]DATA!AA198</f>
        <v>68900000</v>
      </c>
      <c r="W214" s="77">
        <v>0</v>
      </c>
      <c r="X214" s="216" t="str">
        <f>[3]DATA!Y198</f>
        <v>IFAD</v>
      </c>
      <c r="Y214" s="245">
        <f>[3]DATA!AT198</f>
        <v>68900000</v>
      </c>
      <c r="Z214" s="109" t="str">
        <f>[3]DATA!AU198</f>
        <v>IFAD</v>
      </c>
      <c r="AA214" s="216" t="str">
        <f>[3]DATA!AW198</f>
        <v>-</v>
      </c>
      <c r="AB214" s="245">
        <f>[3]DATA!AM198</f>
        <v>0</v>
      </c>
      <c r="AC214" s="1510" t="str">
        <f>[3]DATA!AN198</f>
        <v>belum ada keterangan</v>
      </c>
      <c r="AD214" s="1511" t="str">
        <f>[3]DATA!AO198</f>
        <v>belum ada keterangan</v>
      </c>
      <c r="AE214" s="1519">
        <f>[3]DATA!AQ198</f>
        <v>0</v>
      </c>
      <c r="AF214" s="1533" t="str">
        <f>[3]DATA!AR198</f>
        <v>belum ada dokumen R/C</v>
      </c>
    </row>
    <row r="215" spans="1:34" ht="40.5" customHeight="1">
      <c r="A215" s="10">
        <f>[3]DATA!A199</f>
        <v>144</v>
      </c>
      <c r="B215" s="10">
        <f>[3]DATA!B199</f>
        <v>0</v>
      </c>
      <c r="C215" s="10" t="str">
        <f>[3]DATA!D199</f>
        <v>NON-INFRASTRUKTUR</v>
      </c>
      <c r="D215" s="10">
        <f>[3]DATA!E199</f>
        <v>13</v>
      </c>
      <c r="E215" s="10" t="str">
        <f>[3]DATA!F199</f>
        <v>Kementerian Pertanian</v>
      </c>
      <c r="F215" s="10" t="str">
        <f>[3]DATA!H199</f>
        <v>Agriculture Extention, Education, and Training Improvement Program</v>
      </c>
      <c r="G215" s="10" t="str">
        <f>[3]DATA!I199</f>
        <v>B</v>
      </c>
      <c r="H215" s="10" t="str">
        <f>[3]DATA!J199</f>
        <v>Program Peningkatan Penyuluhan, Pendidikan, dan Pelatihan Pertanian</v>
      </c>
      <c r="I215" s="10">
        <f>[3]DATA!K199</f>
        <v>2</v>
      </c>
      <c r="J215" s="181"/>
      <c r="K215" s="54"/>
      <c r="L215" s="54"/>
      <c r="M215" s="36">
        <v>133</v>
      </c>
      <c r="N215" s="37" t="str">
        <f>[3]DATA!L199</f>
        <v>Rural Empowerment and Agricultural Development (READ) Programme in Sulawesi Island – Phase II</v>
      </c>
      <c r="O215" s="187">
        <f>[3]DATA!T199</f>
        <v>30000000</v>
      </c>
      <c r="P215" s="187">
        <f>[3]DATA!U199</f>
        <v>30000000</v>
      </c>
      <c r="Q215" s="1446">
        <f>[3]DATA!V199</f>
        <v>6000000</v>
      </c>
      <c r="R215" s="1446">
        <f>[3]DATA!W199</f>
        <v>500000</v>
      </c>
      <c r="S215" s="2467">
        <f t="shared" si="18"/>
        <v>36500000</v>
      </c>
      <c r="T215" s="2468"/>
      <c r="U215" s="1449" t="str">
        <f>[3]DATA!Y199</f>
        <v>IFAD</v>
      </c>
      <c r="V215" s="77">
        <f>[3]DATA!AA199</f>
        <v>30000000</v>
      </c>
      <c r="W215" s="77">
        <v>0</v>
      </c>
      <c r="X215" s="216" t="str">
        <f>[3]DATA!Y199</f>
        <v>IFAD</v>
      </c>
      <c r="Y215" s="245">
        <f>[3]DATA!AT199</f>
        <v>30000000</v>
      </c>
      <c r="Z215" s="109" t="str">
        <f>[3]DATA!AU199</f>
        <v>IFAD</v>
      </c>
      <c r="AA215" s="216" t="str">
        <f>[3]DATA!AW199</f>
        <v>-</v>
      </c>
      <c r="AB215" s="245">
        <f>[3]DATA!AM199</f>
        <v>0</v>
      </c>
      <c r="AC215" s="1510" t="str">
        <f>[3]DATA!AN199</f>
        <v>belum ada keterangan</v>
      </c>
      <c r="AD215" s="1511" t="str">
        <f>[3]DATA!AO199</f>
        <v>belum ada keterangan</v>
      </c>
      <c r="AE215" s="1519">
        <f>[3]DATA!AQ199</f>
        <v>0</v>
      </c>
      <c r="AF215" s="1533" t="str">
        <f>[3]DATA!AR199</f>
        <v>belum ada dokumen R/C</v>
      </c>
    </row>
    <row r="216" spans="1:34" s="4" customFormat="1" ht="24.95" customHeight="1">
      <c r="J216" s="250"/>
      <c r="K216" s="25">
        <v>16</v>
      </c>
      <c r="L216" s="108" t="str">
        <f>[3]DATA!F200</f>
        <v>Kementerian Ketenagakerjaan</v>
      </c>
      <c r="M216" s="25"/>
      <c r="N216" s="27"/>
      <c r="O216" s="194">
        <f t="shared" ref="O216:R217" si="19">+O217</f>
        <v>92308000</v>
      </c>
      <c r="P216" s="194">
        <f t="shared" si="19"/>
        <v>92308000</v>
      </c>
      <c r="Q216" s="194">
        <f t="shared" si="19"/>
        <v>2500000</v>
      </c>
      <c r="R216" s="194">
        <f t="shared" si="19"/>
        <v>0</v>
      </c>
      <c r="S216" s="194">
        <f t="shared" si="18"/>
        <v>94808000</v>
      </c>
      <c r="T216" s="2484"/>
      <c r="U216" s="1451" t="str">
        <f t="shared" ref="U216:W217" si="20">+U217</f>
        <v>-</v>
      </c>
      <c r="V216" s="80">
        <f t="shared" si="20"/>
        <v>92308000</v>
      </c>
      <c r="W216" s="80">
        <f t="shared" si="20"/>
        <v>0</v>
      </c>
      <c r="X216" s="213"/>
      <c r="Y216" s="242">
        <f>+Y217</f>
        <v>92308000</v>
      </c>
      <c r="Z216" s="80" t="s">
        <v>21</v>
      </c>
      <c r="AA216" s="213"/>
      <c r="AB216" s="1501"/>
      <c r="AC216" s="1502"/>
      <c r="AD216" s="168"/>
      <c r="AE216" s="1503"/>
      <c r="AF216" s="1529"/>
    </row>
    <row r="217" spans="1:34" s="5" customFormat="1" ht="37.5" customHeight="1">
      <c r="J217" s="180"/>
      <c r="K217" s="29"/>
      <c r="L217" s="30" t="str">
        <f>[3]DATA!I206</f>
        <v>A</v>
      </c>
      <c r="M217" s="3427" t="str">
        <f>[3]DATA!J200</f>
        <v>Program Peningkatan Daya Saing Tenaga Kerja</v>
      </c>
      <c r="N217" s="3428"/>
      <c r="O217" s="197">
        <f t="shared" si="19"/>
        <v>92308000</v>
      </c>
      <c r="P217" s="197">
        <f t="shared" si="19"/>
        <v>92308000</v>
      </c>
      <c r="Q217" s="1436">
        <f t="shared" si="19"/>
        <v>2500000</v>
      </c>
      <c r="R217" s="1436">
        <f t="shared" si="19"/>
        <v>0</v>
      </c>
      <c r="S217" s="1559">
        <f t="shared" si="18"/>
        <v>94808000</v>
      </c>
      <c r="T217" s="2463"/>
      <c r="U217" s="1452" t="s">
        <v>21</v>
      </c>
      <c r="V217" s="81">
        <f t="shared" si="20"/>
        <v>92308000</v>
      </c>
      <c r="W217" s="81">
        <f t="shared" si="20"/>
        <v>0</v>
      </c>
      <c r="X217" s="214"/>
      <c r="Y217" s="244">
        <f>+Y218</f>
        <v>92308000</v>
      </c>
      <c r="Z217" s="81" t="s">
        <v>21</v>
      </c>
      <c r="AA217" s="214"/>
      <c r="AB217" s="1505"/>
      <c r="AC217" s="1506"/>
      <c r="AD217" s="169"/>
      <c r="AE217" s="1507"/>
      <c r="AF217" s="1530"/>
    </row>
    <row r="218" spans="1:34" ht="29.25" customHeight="1">
      <c r="A218" s="10">
        <f>[3]DATA!A200</f>
        <v>145</v>
      </c>
      <c r="B218" s="10">
        <f>[3]DATA!B200</f>
        <v>0</v>
      </c>
      <c r="C218" s="10" t="str">
        <f>[3]DATA!D200</f>
        <v>NON-INFRASTRUKTUR</v>
      </c>
      <c r="D218" s="10">
        <f>[3]DATA!E200</f>
        <v>14</v>
      </c>
      <c r="E218" s="10" t="str">
        <f>[3]DATA!F200</f>
        <v>Kementerian Ketenagakerjaan</v>
      </c>
      <c r="F218" s="10" t="str">
        <f>[3]DATA!H200</f>
        <v>Improving Labor Competitiveness Program</v>
      </c>
      <c r="G218" s="10" t="str">
        <f>[3]DATA!I200</f>
        <v>A</v>
      </c>
      <c r="H218" s="10" t="str">
        <f>[3]DATA!J200</f>
        <v>Program Peningkatan Daya Saing Tenaga Kerja</v>
      </c>
      <c r="I218" s="10">
        <f>[3]DATA!K200</f>
        <v>1</v>
      </c>
      <c r="J218" s="181"/>
      <c r="K218" s="54"/>
      <c r="L218" s="20"/>
      <c r="M218" s="36">
        <v>134</v>
      </c>
      <c r="N218" s="37" t="str">
        <f>[3]DATA!L200</f>
        <v>Development of Maritime Vocational Training Centers</v>
      </c>
      <c r="O218" s="187">
        <f>[3]DATA!T200</f>
        <v>92308000</v>
      </c>
      <c r="P218" s="187">
        <f>[3]DATA!U200</f>
        <v>92308000</v>
      </c>
      <c r="Q218" s="1453">
        <f>[3]DATA!V200</f>
        <v>2500000</v>
      </c>
      <c r="R218" s="1453">
        <f>[3]DATA!W200</f>
        <v>0</v>
      </c>
      <c r="S218" s="2467">
        <f t="shared" si="18"/>
        <v>94808000</v>
      </c>
      <c r="T218" s="2468"/>
      <c r="U218" s="1449" t="str">
        <f>[3]DATA!Y200</f>
        <v>Austria/ JICA/ Singapura</v>
      </c>
      <c r="V218" s="77">
        <f>[3]DATA!AA200</f>
        <v>92308000</v>
      </c>
      <c r="W218" s="77">
        <f>[3]DATA!AG200</f>
        <v>0</v>
      </c>
      <c r="X218" s="216" t="str">
        <f>[3]DATA!Y200</f>
        <v>Austria/ JICA/ Singapura</v>
      </c>
      <c r="Y218" s="245">
        <f>[3]DATA!AT200</f>
        <v>92308000</v>
      </c>
      <c r="Z218" s="109" t="str">
        <f>[3]DATA!AU200</f>
        <v>Austria/ JICA/ Singapura</v>
      </c>
      <c r="AA218" s="1520" t="str">
        <f>[3]DATA!AW200</f>
        <v>belum ada konfirmasi lender yang berminat</v>
      </c>
      <c r="AB218" s="245">
        <f>[3]DATA!AM200</f>
        <v>0</v>
      </c>
      <c r="AC218" s="1510" t="str">
        <f>[3]DATA!AN200</f>
        <v>belum ada keterangan</v>
      </c>
      <c r="AD218" s="1511" t="str">
        <f>[3]DATA!AO200</f>
        <v>belum ada keterangan</v>
      </c>
      <c r="AE218" s="1519">
        <f>[3]DATA!AQ200</f>
        <v>0</v>
      </c>
      <c r="AF218" s="1533" t="str">
        <f>[3]DATA!AR200</f>
        <v>belum ada dokumen R/C</v>
      </c>
    </row>
    <row r="219" spans="1:34" s="4" customFormat="1" ht="24.95" customHeight="1">
      <c r="J219" s="250"/>
      <c r="K219" s="25">
        <v>17</v>
      </c>
      <c r="L219" s="108" t="str">
        <f>[3]DATA!F201</f>
        <v>Kementerian Kelautan dan Perikanan</v>
      </c>
      <c r="M219" s="25"/>
      <c r="N219" s="27"/>
      <c r="O219" s="194">
        <f t="shared" ref="O219:R220" si="21">+O220</f>
        <v>107000000</v>
      </c>
      <c r="P219" s="194">
        <f t="shared" si="21"/>
        <v>107000000</v>
      </c>
      <c r="Q219" s="194">
        <f t="shared" si="21"/>
        <v>4261000</v>
      </c>
      <c r="R219" s="194">
        <f t="shared" si="21"/>
        <v>2160000</v>
      </c>
      <c r="S219" s="194">
        <f t="shared" si="18"/>
        <v>113421000</v>
      </c>
      <c r="T219" s="2484"/>
      <c r="U219" s="195"/>
      <c r="V219" s="80">
        <f t="shared" ref="V219:Y220" si="22">+V220</f>
        <v>0</v>
      </c>
      <c r="W219" s="80">
        <f t="shared" si="22"/>
        <v>107000000</v>
      </c>
      <c r="X219" s="213"/>
      <c r="Y219" s="242">
        <f t="shared" si="22"/>
        <v>107000000</v>
      </c>
      <c r="Z219" s="80" t="s">
        <v>21</v>
      </c>
      <c r="AA219" s="213"/>
      <c r="AB219" s="1501"/>
      <c r="AC219" s="1502"/>
      <c r="AD219" s="168"/>
      <c r="AE219" s="1503"/>
      <c r="AF219" s="1529"/>
    </row>
    <row r="220" spans="1:34" s="5" customFormat="1" ht="33.75" customHeight="1">
      <c r="J220" s="180"/>
      <c r="K220" s="29"/>
      <c r="L220" s="30" t="str">
        <f>[3]DATA!I201</f>
        <v>A</v>
      </c>
      <c r="M220" s="31" t="str">
        <f>[3]DATA!J201</f>
        <v>Program Peningkatan Fasilitas Perikanan</v>
      </c>
      <c r="N220" s="51"/>
      <c r="O220" s="197">
        <f t="shared" si="21"/>
        <v>107000000</v>
      </c>
      <c r="P220" s="197">
        <f t="shared" si="21"/>
        <v>107000000</v>
      </c>
      <c r="Q220" s="1436">
        <f t="shared" si="21"/>
        <v>4261000</v>
      </c>
      <c r="R220" s="1436">
        <f t="shared" si="21"/>
        <v>2160000</v>
      </c>
      <c r="S220" s="1559">
        <f t="shared" si="18"/>
        <v>113421000</v>
      </c>
      <c r="T220" s="2463"/>
      <c r="U220" s="198"/>
      <c r="V220" s="81">
        <f>V221</f>
        <v>0</v>
      </c>
      <c r="W220" s="81">
        <f t="shared" si="22"/>
        <v>107000000</v>
      </c>
      <c r="X220" s="214"/>
      <c r="Y220" s="244">
        <f t="shared" si="22"/>
        <v>107000000</v>
      </c>
      <c r="Z220" s="81" t="s">
        <v>21</v>
      </c>
      <c r="AA220" s="214"/>
      <c r="AB220" s="1505"/>
      <c r="AC220" s="1506"/>
      <c r="AD220" s="169"/>
      <c r="AE220" s="1507"/>
      <c r="AF220" s="1530"/>
    </row>
    <row r="221" spans="1:34" s="9" customFormat="1" ht="25.5" customHeight="1">
      <c r="A221" s="9">
        <f>[3]DATA!A201</f>
        <v>146</v>
      </c>
      <c r="B221" s="9">
        <f>[3]DATA!B201</f>
        <v>0</v>
      </c>
      <c r="C221" s="9" t="str">
        <f>[3]DATA!D201</f>
        <v>NON-INFRASTRUKTUR</v>
      </c>
      <c r="D221" s="9">
        <f>[3]DATA!E201</f>
        <v>15</v>
      </c>
      <c r="E221" s="9" t="str">
        <f>[3]DATA!F201</f>
        <v>Kementerian Kelautan dan Perikanan</v>
      </c>
      <c r="F221" s="9" t="str">
        <f>[3]DATA!H201</f>
        <v>Improvement of Fisheries Facilities Program</v>
      </c>
      <c r="G221" s="9" t="str">
        <f>[3]DATA!I201</f>
        <v>A</v>
      </c>
      <c r="H221" s="9" t="str">
        <f>[3]DATA!J201</f>
        <v>Program Peningkatan Fasilitas Perikanan</v>
      </c>
      <c r="I221" s="9">
        <f>[3]DATA!K201</f>
        <v>1</v>
      </c>
      <c r="J221" s="254"/>
      <c r="K221" s="255"/>
      <c r="L221" s="66"/>
      <c r="M221" s="64">
        <v>135</v>
      </c>
      <c r="N221" s="65" t="s">
        <v>453</v>
      </c>
      <c r="O221" s="258">
        <f>[3]DATA!T201</f>
        <v>107000000</v>
      </c>
      <c r="P221" s="258">
        <f>[3]DATA!U201</f>
        <v>107000000</v>
      </c>
      <c r="Q221" s="1454">
        <f>[3]DATA!V201</f>
        <v>4261000</v>
      </c>
      <c r="R221" s="1454">
        <f>[3]DATA!W201</f>
        <v>2160000</v>
      </c>
      <c r="S221" s="2467">
        <f t="shared" si="18"/>
        <v>113421000</v>
      </c>
      <c r="T221" s="2468"/>
      <c r="U221" s="1455" t="str">
        <f>[3]DATA!Y201</f>
        <v>-</v>
      </c>
      <c r="V221" s="91">
        <v>0</v>
      </c>
      <c r="W221" s="77">
        <f>[3]DATA!AA201</f>
        <v>107000000</v>
      </c>
      <c r="X221" s="216" t="str">
        <f>[3]DATA!Y201</f>
        <v>-</v>
      </c>
      <c r="Y221" s="245">
        <f>[3]DATA!AT201</f>
        <v>107000000</v>
      </c>
      <c r="Z221" s="109" t="str">
        <f>[3]DATA!AU201</f>
        <v>Belum Ada Indikasi</v>
      </c>
      <c r="AA221" s="1521" t="s">
        <v>1043</v>
      </c>
      <c r="AB221" s="245">
        <f>[3]DATA!AM201</f>
        <v>0</v>
      </c>
      <c r="AC221" s="1512" t="str">
        <f>[3]DATA!AN201</f>
        <v>dalam proses
(memiliki FS)</v>
      </c>
      <c r="AD221" s="1522" t="str">
        <f>[3]DATA!AO201</f>
        <v>belum ada keterangan</v>
      </c>
      <c r="AE221" s="1519">
        <f>[3]DATA!AQ201</f>
        <v>0</v>
      </c>
      <c r="AF221" s="1531" t="str">
        <f>[3]DATA!AR201</f>
        <v>Dibatalkan oleh KKP</v>
      </c>
    </row>
    <row r="222" spans="1:34" s="9" customFormat="1" ht="27.75" customHeight="1">
      <c r="J222" s="254"/>
      <c r="K222" s="25">
        <v>18</v>
      </c>
      <c r="L222" s="108" t="s">
        <v>1047</v>
      </c>
      <c r="M222" s="25"/>
      <c r="N222" s="27"/>
      <c r="O222" s="194">
        <f>O223</f>
        <v>0</v>
      </c>
      <c r="P222" s="194">
        <f>P223</f>
        <v>290000000</v>
      </c>
      <c r="Q222" s="194">
        <f>Q223</f>
        <v>0</v>
      </c>
      <c r="R222" s="194">
        <f>R223</f>
        <v>0</v>
      </c>
      <c r="S222" s="194">
        <f t="shared" si="18"/>
        <v>290000000</v>
      </c>
      <c r="T222" s="2484"/>
      <c r="U222" s="1435"/>
      <c r="V222" s="80">
        <f>V223</f>
        <v>0</v>
      </c>
      <c r="W222" s="80">
        <f>W223</f>
        <v>290000000</v>
      </c>
      <c r="X222" s="213"/>
      <c r="Y222" s="242">
        <f>Y223</f>
        <v>290000000</v>
      </c>
      <c r="Z222" s="80" t="s">
        <v>21</v>
      </c>
      <c r="AA222" s="213"/>
      <c r="AB222" s="1501"/>
      <c r="AC222" s="1502"/>
      <c r="AD222" s="168"/>
      <c r="AE222" s="1503"/>
      <c r="AF222" s="1529"/>
    </row>
    <row r="223" spans="1:34" s="9" customFormat="1" ht="25.5" customHeight="1">
      <c r="J223" s="254"/>
      <c r="K223" s="29"/>
      <c r="L223" s="30" t="s">
        <v>23</v>
      </c>
      <c r="M223" s="3427" t="s">
        <v>1049</v>
      </c>
      <c r="N223" s="3446"/>
      <c r="O223" s="197">
        <f>O224+O225+O226+O227</f>
        <v>0</v>
      </c>
      <c r="P223" s="197">
        <f>P224+P225+P226+P227</f>
        <v>290000000</v>
      </c>
      <c r="Q223" s="1436">
        <f>Q224+Q225+Q226+Q227</f>
        <v>0</v>
      </c>
      <c r="R223" s="1436">
        <f>R224+R225+R226+R227</f>
        <v>0</v>
      </c>
      <c r="S223" s="1559">
        <f t="shared" si="18"/>
        <v>290000000</v>
      </c>
      <c r="T223" s="2463"/>
      <c r="U223" s="198"/>
      <c r="V223" s="81">
        <f>V224+V225+V226+V227</f>
        <v>0</v>
      </c>
      <c r="W223" s="81">
        <f>W224+W225+W226+W227</f>
        <v>290000000</v>
      </c>
      <c r="X223" s="214"/>
      <c r="Y223" s="244">
        <f>Y224+Y225+Y226+Y227</f>
        <v>290000000</v>
      </c>
      <c r="Z223" s="81" t="s">
        <v>21</v>
      </c>
      <c r="AA223" s="214"/>
      <c r="AB223" s="1505"/>
      <c r="AC223" s="1506"/>
      <c r="AD223" s="169"/>
      <c r="AE223" s="1507"/>
      <c r="AF223" s="1530"/>
    </row>
    <row r="224" spans="1:34" s="9" customFormat="1" ht="32.25" customHeight="1">
      <c r="J224" s="254"/>
      <c r="K224" s="1690"/>
      <c r="L224" s="35"/>
      <c r="M224" s="36">
        <v>136</v>
      </c>
      <c r="N224" s="2299" t="str">
        <f>[3]DATA!L202</f>
        <v>Upgrading Medical Equipments for Army Hospital of Gatot Subroto</v>
      </c>
      <c r="O224" s="1414">
        <f>[3]DATA!T202</f>
        <v>0</v>
      </c>
      <c r="P224" s="1414">
        <f>[3]DATA!U202</f>
        <v>150000000</v>
      </c>
      <c r="Q224" s="1414">
        <f>[3]DATA!V202</f>
        <v>0</v>
      </c>
      <c r="R224" s="1414">
        <f>[3]DATA!W202</f>
        <v>0</v>
      </c>
      <c r="S224" s="2467">
        <f t="shared" si="18"/>
        <v>150000000</v>
      </c>
      <c r="T224" s="2470"/>
      <c r="U224" s="1440"/>
      <c r="V224" s="1458">
        <v>0</v>
      </c>
      <c r="W224" s="77">
        <f>[3]DATA!AA202</f>
        <v>150000000</v>
      </c>
      <c r="X224" s="216" t="str">
        <f>[3]DATA!Y202</f>
        <v>Belum Ada Indikasi</v>
      </c>
      <c r="Y224" s="245">
        <f>[3]DATA!AT202</f>
        <v>150000000</v>
      </c>
      <c r="Z224" s="109" t="str">
        <f>[3]DATA!AU202</f>
        <v>Austria</v>
      </c>
      <c r="AA224" s="1520">
        <f>[3]DATA!AW202</f>
        <v>0</v>
      </c>
      <c r="AB224" s="245">
        <f>[3]DATA!AM202</f>
        <v>0</v>
      </c>
      <c r="AC224" s="1512" t="str">
        <f>[3]DATA!AN202</f>
        <v>dalam proses
(penyusunan FS)</v>
      </c>
      <c r="AD224" s="1512" t="str">
        <f>[3]DATA!AO202</f>
        <v>belum ada keterangan</v>
      </c>
      <c r="AE224" s="1519">
        <f>[3]DATA!AQ202</f>
        <v>0</v>
      </c>
      <c r="AF224" s="1531" t="str">
        <f>[3]DATA!AR202</f>
        <v>penyiapan dokumen R/C</v>
      </c>
    </row>
    <row r="225" spans="1:33" s="9" customFormat="1" ht="23.25" customHeight="1">
      <c r="J225" s="254"/>
      <c r="K225" s="1690"/>
      <c r="L225" s="34"/>
      <c r="M225" s="36">
        <v>137</v>
      </c>
      <c r="N225" s="2299" t="str">
        <f>[3]DATA!L203</f>
        <v>Upgrading Medical Equipments for Army Hospitals</v>
      </c>
      <c r="O225" s="1414">
        <f>[3]DATA!T203</f>
        <v>0</v>
      </c>
      <c r="P225" s="1414">
        <f>[3]DATA!U203</f>
        <v>55000000</v>
      </c>
      <c r="Q225" s="1414">
        <f>[3]DATA!V203</f>
        <v>0</v>
      </c>
      <c r="R225" s="1414">
        <f>[3]DATA!W203</f>
        <v>0</v>
      </c>
      <c r="S225" s="2467">
        <f t="shared" si="18"/>
        <v>55000000</v>
      </c>
      <c r="T225" s="2470"/>
      <c r="U225" s="1440"/>
      <c r="V225" s="1458">
        <v>0</v>
      </c>
      <c r="W225" s="77">
        <f>[3]DATA!AA203</f>
        <v>55000000</v>
      </c>
      <c r="X225" s="216" t="str">
        <f>[3]DATA!Y203</f>
        <v>Belum Ada Indikasi</v>
      </c>
      <c r="Y225" s="245">
        <f>[3]DATA!AT203</f>
        <v>55000000</v>
      </c>
      <c r="Z225" s="109" t="str">
        <f>[3]DATA!AU203</f>
        <v>Austria</v>
      </c>
      <c r="AA225" s="1520">
        <f>[3]DATA!AW203</f>
        <v>0</v>
      </c>
      <c r="AB225" s="245">
        <f>[3]DATA!AM203</f>
        <v>0</v>
      </c>
      <c r="AC225" s="1512" t="str">
        <f>[3]DATA!AN203</f>
        <v>dalam proses
(penyusunan FS)</v>
      </c>
      <c r="AD225" s="1512" t="str">
        <f>[3]DATA!AO203</f>
        <v>belum ada keterangan</v>
      </c>
      <c r="AE225" s="1519">
        <f>[3]DATA!AQ203</f>
        <v>0</v>
      </c>
      <c r="AF225" s="1531" t="str">
        <f>[3]DATA!AR203</f>
        <v>penyiapan dokumen R/C</v>
      </c>
    </row>
    <row r="226" spans="1:33" s="9" customFormat="1" ht="20.25" customHeight="1">
      <c r="J226" s="254"/>
      <c r="K226" s="1690"/>
      <c r="L226" s="34"/>
      <c r="M226" s="36">
        <v>138</v>
      </c>
      <c r="N226" s="2299" t="str">
        <f>[3]DATA!L204</f>
        <v>Upgrading Medical Equipments for Naval Hospitals</v>
      </c>
      <c r="O226" s="1414">
        <f>[3]DATA!T204</f>
        <v>0</v>
      </c>
      <c r="P226" s="1414">
        <f>[3]DATA!U204</f>
        <v>45000000</v>
      </c>
      <c r="Q226" s="1414">
        <f>[3]DATA!V204</f>
        <v>0</v>
      </c>
      <c r="R226" s="1414">
        <f>[3]DATA!W204</f>
        <v>0</v>
      </c>
      <c r="S226" s="2467">
        <f t="shared" si="18"/>
        <v>45000000</v>
      </c>
      <c r="T226" s="2470"/>
      <c r="U226" s="1440"/>
      <c r="V226" s="1458">
        <v>0</v>
      </c>
      <c r="W226" s="77">
        <f>[3]DATA!AA204</f>
        <v>45000000</v>
      </c>
      <c r="X226" s="216" t="str">
        <f>[3]DATA!Y204</f>
        <v>Belum Ada Indikasi</v>
      </c>
      <c r="Y226" s="245">
        <f>[3]DATA!AT204</f>
        <v>45000000</v>
      </c>
      <c r="Z226" s="109" t="str">
        <f>[3]DATA!AU204</f>
        <v>Austria</v>
      </c>
      <c r="AA226" s="1520">
        <f>[3]DATA!AW204</f>
        <v>0</v>
      </c>
      <c r="AB226" s="245">
        <f>[3]DATA!AM204</f>
        <v>0</v>
      </c>
      <c r="AC226" s="1512" t="str">
        <f>[3]DATA!AN204</f>
        <v>dalam proses
(penyusunan FS)</v>
      </c>
      <c r="AD226" s="1512" t="str">
        <f>[3]DATA!AO204</f>
        <v>belum ada keterangan</v>
      </c>
      <c r="AE226" s="1519">
        <f>[3]DATA!AQ204</f>
        <v>0</v>
      </c>
      <c r="AF226" s="1531" t="str">
        <f>[3]DATA!AR204</f>
        <v>penyiapan dokumen R/C</v>
      </c>
    </row>
    <row r="227" spans="1:33" s="9" customFormat="1" ht="21.75" customHeight="1">
      <c r="J227" s="254"/>
      <c r="K227" s="1690"/>
      <c r="L227" s="54"/>
      <c r="M227" s="36">
        <v>139</v>
      </c>
      <c r="N227" s="2299" t="str">
        <f>[3]DATA!L205</f>
        <v>Upgrading Medical Equipments for Air Force Hospitals</v>
      </c>
      <c r="O227" s="1414">
        <f>[3]DATA!T205</f>
        <v>0</v>
      </c>
      <c r="P227" s="1414">
        <f>[3]DATA!U205</f>
        <v>40000000</v>
      </c>
      <c r="Q227" s="1414">
        <f>[3]DATA!V205</f>
        <v>0</v>
      </c>
      <c r="R227" s="1414">
        <f>[3]DATA!W205</f>
        <v>0</v>
      </c>
      <c r="S227" s="2467">
        <f t="shared" si="18"/>
        <v>40000000</v>
      </c>
      <c r="T227" s="2470"/>
      <c r="U227" s="1440"/>
      <c r="V227" s="1458">
        <v>0</v>
      </c>
      <c r="W227" s="77">
        <f>[3]DATA!AA205</f>
        <v>40000000</v>
      </c>
      <c r="X227" s="216" t="str">
        <f>[3]DATA!Y205</f>
        <v>Belum Ada Indikasi</v>
      </c>
      <c r="Y227" s="245">
        <f>[3]DATA!AT205</f>
        <v>40000000</v>
      </c>
      <c r="Z227" s="109" t="str">
        <f>[3]DATA!AU205</f>
        <v>Austria</v>
      </c>
      <c r="AA227" s="1520">
        <f>[3]DATA!AW205</f>
        <v>0</v>
      </c>
      <c r="AB227" s="245">
        <f>[3]DATA!AM205</f>
        <v>0</v>
      </c>
      <c r="AC227" s="1512" t="str">
        <f>[3]DATA!AN205</f>
        <v>dalam proses
(penyusunan FS)</v>
      </c>
      <c r="AD227" s="1512" t="str">
        <f>[3]DATA!AO205</f>
        <v>belum ada keterangan</v>
      </c>
      <c r="AE227" s="1519">
        <f>[3]DATA!AQ205</f>
        <v>0</v>
      </c>
      <c r="AF227" s="1531" t="str">
        <f>[3]DATA!AR205</f>
        <v>penyiapan dokumen R/C</v>
      </c>
    </row>
    <row r="228" spans="1:33" s="4" customFormat="1" ht="24.95" customHeight="1">
      <c r="J228" s="250"/>
      <c r="K228" s="25">
        <v>19</v>
      </c>
      <c r="L228" s="108" t="str">
        <f>[3]DATA!F206</f>
        <v>Badan Meteorologi, Klimatologi dan Geofisika (BMKG)</v>
      </c>
      <c r="M228" s="25"/>
      <c r="N228" s="27"/>
      <c r="O228" s="194">
        <f t="shared" ref="O228:R229" si="23">+O229</f>
        <v>150000000</v>
      </c>
      <c r="P228" s="194">
        <f t="shared" si="23"/>
        <v>150000000</v>
      </c>
      <c r="Q228" s="194">
        <f t="shared" si="23"/>
        <v>9000000</v>
      </c>
      <c r="R228" s="194">
        <f t="shared" si="23"/>
        <v>0</v>
      </c>
      <c r="S228" s="194">
        <f t="shared" si="18"/>
        <v>159000000</v>
      </c>
      <c r="T228" s="2484"/>
      <c r="U228" s="195"/>
      <c r="V228" s="80">
        <f t="shared" ref="V228:Y229" si="24">+V229</f>
        <v>150000000</v>
      </c>
      <c r="W228" s="80">
        <f t="shared" si="24"/>
        <v>0</v>
      </c>
      <c r="X228" s="213"/>
      <c r="Y228" s="242">
        <f t="shared" si="24"/>
        <v>150000000</v>
      </c>
      <c r="Z228" s="80" t="s">
        <v>21</v>
      </c>
      <c r="AA228" s="213"/>
      <c r="AB228" s="1501"/>
      <c r="AC228" s="1502"/>
      <c r="AD228" s="168"/>
      <c r="AE228" s="1503"/>
      <c r="AF228" s="1529"/>
    </row>
    <row r="229" spans="1:33" s="5" customFormat="1" ht="33.75" customHeight="1">
      <c r="J229" s="180"/>
      <c r="K229" s="29"/>
      <c r="L229" s="30" t="str">
        <f>[3]DATA!I206</f>
        <v>A</v>
      </c>
      <c r="M229" s="3447" t="str">
        <f>[3]DATA!J206</f>
        <v>Program Pengembangan dan Pembinaan Meteorologi, Klimatologi, dan Geofisika</v>
      </c>
      <c r="N229" s="3428"/>
      <c r="O229" s="197">
        <f t="shared" si="23"/>
        <v>150000000</v>
      </c>
      <c r="P229" s="197">
        <f t="shared" si="23"/>
        <v>150000000</v>
      </c>
      <c r="Q229" s="1436">
        <f t="shared" si="23"/>
        <v>9000000</v>
      </c>
      <c r="R229" s="1436">
        <f t="shared" si="23"/>
        <v>0</v>
      </c>
      <c r="S229" s="1559">
        <f t="shared" si="18"/>
        <v>159000000</v>
      </c>
      <c r="T229" s="2463"/>
      <c r="U229" s="1456"/>
      <c r="V229" s="81">
        <f t="shared" si="24"/>
        <v>150000000</v>
      </c>
      <c r="W229" s="81">
        <f t="shared" si="24"/>
        <v>0</v>
      </c>
      <c r="X229" s="214"/>
      <c r="Y229" s="244">
        <f t="shared" si="24"/>
        <v>150000000</v>
      </c>
      <c r="Z229" s="81" t="s">
        <v>21</v>
      </c>
      <c r="AA229" s="214"/>
      <c r="AB229" s="1505"/>
      <c r="AC229" s="1506"/>
      <c r="AD229" s="169"/>
      <c r="AE229" s="1507"/>
      <c r="AF229" s="1530"/>
    </row>
    <row r="230" spans="1:33" ht="86.25" customHeight="1">
      <c r="A230" s="10">
        <f>[3]DATA!A206</f>
        <v>147</v>
      </c>
      <c r="B230" s="10">
        <f>[3]DATA!B206</f>
        <v>0</v>
      </c>
      <c r="C230" s="10" t="str">
        <f>[3]DATA!D206</f>
        <v>NON-INFRASTRUKTUR</v>
      </c>
      <c r="D230" s="10">
        <f>[3]DATA!E206</f>
        <v>16</v>
      </c>
      <c r="E230" s="10" t="str">
        <f>[3]DATA!F206</f>
        <v>Badan Meteorologi, Klimatologi dan Geofisika (BMKG)</v>
      </c>
      <c r="F230" s="10" t="str">
        <f>[3]DATA!H206</f>
        <v>Program for Capacity Development and Guidance of Meteorology, Climatology, and Geophysics</v>
      </c>
      <c r="G230" s="10" t="str">
        <f>[3]DATA!I206</f>
        <v>A</v>
      </c>
      <c r="H230" s="10" t="str">
        <f>[3]DATA!J206</f>
        <v>Program Pengembangan dan Pembinaan Meteorologi, Klimatologi, dan Geofisika</v>
      </c>
      <c r="I230" s="10">
        <f>[3]DATA!K206</f>
        <v>1</v>
      </c>
      <c r="J230" s="181"/>
      <c r="K230" s="54"/>
      <c r="L230" s="36"/>
      <c r="M230" s="36">
        <v>141</v>
      </c>
      <c r="N230" s="37" t="str">
        <f>[3]DATA!L206</f>
        <v>Strengthening Climate and Weather Service Capacity – Phase II:
a) Kegiatan lanjutan dari kegiatan Strengthening BMKG Climate and Weather Services Capacity Phase I
b) Kegiatan pengembangan sistem Layanan Informasi Meteorologi Maritim</v>
      </c>
      <c r="O230" s="187">
        <f>[3]DATA!T206</f>
        <v>150000000</v>
      </c>
      <c r="P230" s="187">
        <f>[3]DATA!U206</f>
        <v>150000000</v>
      </c>
      <c r="Q230" s="1446">
        <f>[3]DATA!V206</f>
        <v>9000000</v>
      </c>
      <c r="R230" s="1446">
        <f>[3]DATA!W206</f>
        <v>0</v>
      </c>
      <c r="S230" s="2467">
        <f t="shared" si="18"/>
        <v>159000000</v>
      </c>
      <c r="T230" s="2468"/>
      <c r="U230" s="1449" t="str">
        <f>[3]DATA!Y206</f>
        <v>US EXIM</v>
      </c>
      <c r="V230" s="77">
        <f>[3]DATA!AA206</f>
        <v>150000000</v>
      </c>
      <c r="W230" s="77">
        <f>[3]DATA!AG206</f>
        <v>0</v>
      </c>
      <c r="X230" s="216" t="str">
        <f>[3]DATA!Y206</f>
        <v>US EXIM</v>
      </c>
      <c r="Y230" s="245">
        <f>[3]DATA!AT206</f>
        <v>150000000</v>
      </c>
      <c r="Z230" s="109" t="str">
        <f>[3]DATA!AU206</f>
        <v>US EXIM</v>
      </c>
      <c r="AA230" s="216" t="str">
        <f>[3]DATA!AW206</f>
        <v>-</v>
      </c>
      <c r="AB230" s="245">
        <f>[3]DATA!AM206</f>
        <v>0</v>
      </c>
      <c r="AC230" s="1510" t="str">
        <f>[3]DATA!AN206</f>
        <v>dalam proses
(penyusunan FS)</v>
      </c>
      <c r="AD230" s="1511" t="str">
        <f>[3]DATA!AO206</f>
        <v>siap</v>
      </c>
      <c r="AE230" s="1519">
        <f>[3]DATA!AQ206</f>
        <v>0</v>
      </c>
      <c r="AF230" s="1533" t="str">
        <f>[3]DATA!AR206</f>
        <v>belum ada dokumen R/C</v>
      </c>
    </row>
    <row r="231" spans="1:33" s="4" customFormat="1" ht="24.95" customHeight="1">
      <c r="J231" s="250"/>
      <c r="K231" s="25">
        <v>20</v>
      </c>
      <c r="L231" s="108" t="str">
        <f>[3]DATA!F207</f>
        <v>Badan Pengkajian dan Penerapan Teknologi (BPPT)</v>
      </c>
      <c r="M231" s="25"/>
      <c r="N231" s="27"/>
      <c r="O231" s="194">
        <f t="shared" ref="O231:R232" si="25">+O232</f>
        <v>114400000</v>
      </c>
      <c r="P231" s="194">
        <f t="shared" si="25"/>
        <v>114400000</v>
      </c>
      <c r="Q231" s="194">
        <f t="shared" si="25"/>
        <v>17200000</v>
      </c>
      <c r="R231" s="194">
        <f t="shared" si="25"/>
        <v>0</v>
      </c>
      <c r="S231" s="194">
        <f t="shared" si="18"/>
        <v>131600000</v>
      </c>
      <c r="T231" s="2484"/>
      <c r="U231" s="1435"/>
      <c r="V231" s="80">
        <f t="shared" ref="V231:Y232" si="26">+V232</f>
        <v>114400000</v>
      </c>
      <c r="W231" s="80">
        <f t="shared" si="26"/>
        <v>0</v>
      </c>
      <c r="X231" s="213"/>
      <c r="Y231" s="242">
        <f t="shared" si="26"/>
        <v>114400000</v>
      </c>
      <c r="Z231" s="80" t="s">
        <v>21</v>
      </c>
      <c r="AA231" s="213"/>
      <c r="AB231" s="1501"/>
      <c r="AC231" s="1502"/>
      <c r="AD231" s="168"/>
      <c r="AE231" s="1503"/>
      <c r="AF231" s="1529"/>
    </row>
    <row r="232" spans="1:33" s="5" customFormat="1" ht="33.75" customHeight="1">
      <c r="J232" s="180"/>
      <c r="K232" s="29"/>
      <c r="L232" s="30" t="str">
        <f>[3]DATA!I207</f>
        <v>A</v>
      </c>
      <c r="M232" s="3427" t="str">
        <f>[3]DATA!J207</f>
        <v>Program Pembangunan Science Park dan Technopark</v>
      </c>
      <c r="N232" s="3446"/>
      <c r="O232" s="197">
        <f t="shared" si="25"/>
        <v>114400000</v>
      </c>
      <c r="P232" s="197">
        <f t="shared" si="25"/>
        <v>114400000</v>
      </c>
      <c r="Q232" s="1436">
        <f t="shared" si="25"/>
        <v>17200000</v>
      </c>
      <c r="R232" s="1436">
        <f t="shared" si="25"/>
        <v>0</v>
      </c>
      <c r="S232" s="1559">
        <f t="shared" si="18"/>
        <v>131600000</v>
      </c>
      <c r="T232" s="2463"/>
      <c r="U232" s="198"/>
      <c r="V232" s="81">
        <f t="shared" si="26"/>
        <v>114400000</v>
      </c>
      <c r="W232" s="81">
        <f t="shared" si="26"/>
        <v>0</v>
      </c>
      <c r="X232" s="214"/>
      <c r="Y232" s="244">
        <f t="shared" si="26"/>
        <v>114400000</v>
      </c>
      <c r="Z232" s="81" t="s">
        <v>21</v>
      </c>
      <c r="AA232" s="214"/>
      <c r="AB232" s="1505"/>
      <c r="AC232" s="1506"/>
      <c r="AD232" s="169"/>
      <c r="AE232" s="1507"/>
      <c r="AF232" s="1530"/>
    </row>
    <row r="233" spans="1:33" ht="59.25" customHeight="1">
      <c r="A233" s="10">
        <f>[3]DATA!A207</f>
        <v>148</v>
      </c>
      <c r="B233" s="10">
        <f>[3]DATA!B207</f>
        <v>0</v>
      </c>
      <c r="C233" s="10" t="str">
        <f>[3]DATA!D207</f>
        <v>NON-INFRASTRUKTUR</v>
      </c>
      <c r="D233" s="10">
        <f>[3]DATA!E207</f>
        <v>17</v>
      </c>
      <c r="E233" s="10" t="str">
        <f>[3]DATA!F207</f>
        <v>Badan Pengkajian dan Penerapan Teknologi (BPPT)</v>
      </c>
      <c r="F233" s="10" t="str">
        <f>[3]DATA!H207</f>
        <v>Science Park and Technopark Development Program</v>
      </c>
      <c r="G233" s="10" t="str">
        <f>[3]DATA!I207</f>
        <v>A</v>
      </c>
      <c r="H233" s="10" t="str">
        <f>[3]DATA!J207</f>
        <v>Program Pembangunan Science Park dan Technopark</v>
      </c>
      <c r="I233" s="10">
        <f>[3]DATA!K207</f>
        <v>1</v>
      </c>
      <c r="J233" s="181"/>
      <c r="K233" s="54"/>
      <c r="L233" s="36"/>
      <c r="M233" s="36">
        <v>142</v>
      </c>
      <c r="N233" s="37" t="str">
        <f>[3]DATA!L207</f>
        <v>Development of Maritime National Science and Technology Park (NTSP) in the Northern Penajam Paser and Revitalization Infrastructure Marine Survey</v>
      </c>
      <c r="O233" s="187">
        <f>[3]DATA!T207</f>
        <v>114400000</v>
      </c>
      <c r="P233" s="187">
        <f>[3]DATA!U207</f>
        <v>114400000</v>
      </c>
      <c r="Q233" s="1446">
        <f>[3]DATA!V207</f>
        <v>17200000</v>
      </c>
      <c r="R233" s="1446">
        <f>[3]DATA!W207</f>
        <v>0</v>
      </c>
      <c r="S233" s="2467">
        <f t="shared" si="18"/>
        <v>131600000</v>
      </c>
      <c r="T233" s="2468"/>
      <c r="U233" s="1449" t="str">
        <f>[3]DATA!Y207</f>
        <v>Perancis (AFD)</v>
      </c>
      <c r="V233" s="77">
        <f>[3]DATA!AA207</f>
        <v>114400000</v>
      </c>
      <c r="W233" s="77">
        <f>[3]DATA!AG207</f>
        <v>0</v>
      </c>
      <c r="X233" s="216" t="str">
        <f>[3]DATA!Y207</f>
        <v>Perancis (AFD)</v>
      </c>
      <c r="Y233" s="245">
        <f>[3]DATA!AT207</f>
        <v>114400000</v>
      </c>
      <c r="Z233" s="109" t="str">
        <f>[3]DATA!AU207</f>
        <v>Perancis (AFD)</v>
      </c>
      <c r="AA233" s="216" t="str">
        <f>[3]DATA!AW207</f>
        <v>-</v>
      </c>
      <c r="AB233" s="245">
        <f>[3]DATA!AM207</f>
        <v>0</v>
      </c>
      <c r="AC233" s="1510" t="str">
        <f>[3]DATA!AN207</f>
        <v>dalam proses
(penyusunan FS)</v>
      </c>
      <c r="AD233" s="1511" t="str">
        <f>[3]DATA!AO207</f>
        <v>dalam proses
(pelaksanaan)</v>
      </c>
      <c r="AE233" s="1519">
        <f>[3]DATA!AQ207</f>
        <v>0</v>
      </c>
      <c r="AF233" s="1533" t="str">
        <f>[3]DATA!AR207</f>
        <v>- tidak diketahui berapa persen proses pelaksanaannya
- belum ada dokumen R/C</v>
      </c>
    </row>
    <row r="234" spans="1:33" ht="24.75" customHeight="1">
      <c r="J234" s="181"/>
      <c r="K234" s="1421">
        <v>21</v>
      </c>
      <c r="L234" s="1422" t="str">
        <f>[3]DATA!F208</f>
        <v>Badan Informasi Geospasial (BIG)</v>
      </c>
      <c r="M234" s="1421"/>
      <c r="N234" s="2490"/>
      <c r="O234" s="194">
        <f t="shared" ref="O234:R235" si="27">O235</f>
        <v>0</v>
      </c>
      <c r="P234" s="194">
        <f t="shared" si="27"/>
        <v>200000000</v>
      </c>
      <c r="Q234" s="194">
        <f t="shared" si="27"/>
        <v>0</v>
      </c>
      <c r="R234" s="194">
        <f t="shared" si="27"/>
        <v>0</v>
      </c>
      <c r="S234" s="194">
        <f t="shared" si="18"/>
        <v>200000000</v>
      </c>
      <c r="T234" s="2484"/>
      <c r="U234" s="1435"/>
      <c r="V234" s="80">
        <f>V235</f>
        <v>0</v>
      </c>
      <c r="W234" s="80">
        <f>W235</f>
        <v>200000000</v>
      </c>
      <c r="X234" s="213"/>
      <c r="Y234" s="242">
        <f>Y235</f>
        <v>200000000</v>
      </c>
      <c r="Z234" s="80" t="s">
        <v>21</v>
      </c>
      <c r="AA234" s="213"/>
      <c r="AB234" s="1501"/>
      <c r="AC234" s="1502"/>
      <c r="AD234" s="168"/>
      <c r="AE234" s="1503"/>
      <c r="AF234" s="1529"/>
    </row>
    <row r="235" spans="1:33" ht="25.5" customHeight="1">
      <c r="J235" s="181"/>
      <c r="K235" s="29"/>
      <c r="L235" s="30" t="s">
        <v>23</v>
      </c>
      <c r="M235" s="3448" t="str">
        <f>[3]DATA!J208</f>
        <v>Program Implementasi Informasi Geospasial</v>
      </c>
      <c r="N235" s="3449"/>
      <c r="O235" s="197">
        <f t="shared" si="27"/>
        <v>0</v>
      </c>
      <c r="P235" s="197">
        <f t="shared" si="27"/>
        <v>200000000</v>
      </c>
      <c r="Q235" s="1436">
        <f t="shared" si="27"/>
        <v>0</v>
      </c>
      <c r="R235" s="1436">
        <f t="shared" si="27"/>
        <v>0</v>
      </c>
      <c r="S235" s="1559">
        <f t="shared" si="18"/>
        <v>200000000</v>
      </c>
      <c r="T235" s="2463"/>
      <c r="U235" s="198"/>
      <c r="V235" s="81">
        <f>V236</f>
        <v>0</v>
      </c>
      <c r="W235" s="81">
        <f>W236</f>
        <v>200000000</v>
      </c>
      <c r="X235" s="214"/>
      <c r="Y235" s="244">
        <f>Y236</f>
        <v>200000000</v>
      </c>
      <c r="Z235" s="81" t="s">
        <v>21</v>
      </c>
      <c r="AA235" s="214"/>
      <c r="AB235" s="1505"/>
      <c r="AC235" s="1506"/>
      <c r="AD235" s="169"/>
      <c r="AE235" s="1507"/>
      <c r="AF235" s="1530"/>
    </row>
    <row r="236" spans="1:33" ht="33" customHeight="1">
      <c r="J236" s="181"/>
      <c r="K236" s="54"/>
      <c r="L236" s="36"/>
      <c r="M236" s="36">
        <v>143</v>
      </c>
      <c r="N236" s="2428" t="str">
        <f>[3]DATA!L208</f>
        <v>The Acceleration Program for One Map Policy Implementation</v>
      </c>
      <c r="O236" s="187">
        <f>[3]DATA!T208</f>
        <v>0</v>
      </c>
      <c r="P236" s="187">
        <f>[3]DATA!U208</f>
        <v>200000000</v>
      </c>
      <c r="Q236" s="187">
        <f>[3]DATA!V208</f>
        <v>0</v>
      </c>
      <c r="R236" s="187">
        <f>[3]DATA!W208</f>
        <v>0</v>
      </c>
      <c r="S236" s="2467">
        <f t="shared" si="18"/>
        <v>200000000</v>
      </c>
      <c r="T236" s="2470"/>
      <c r="U236" s="1440"/>
      <c r="V236" s="1458">
        <v>0</v>
      </c>
      <c r="W236" s="77">
        <f>[3]DATA!AA208</f>
        <v>200000000</v>
      </c>
      <c r="X236" s="216" t="str">
        <f>[3]DATA!Y208</f>
        <v>Belum Ada Indikasi</v>
      </c>
      <c r="Y236" s="245">
        <f>[3]DATA!AT208</f>
        <v>200000000</v>
      </c>
      <c r="Z236" s="109" t="str">
        <f>[3]DATA!AU208</f>
        <v>Belum Ada Indikasi</v>
      </c>
      <c r="AA236" s="216">
        <f>[3]DATA!AW208</f>
        <v>0</v>
      </c>
      <c r="AB236" s="245">
        <f>[3]DATA!AM208</f>
        <v>0</v>
      </c>
      <c r="AC236" s="1510" t="str">
        <f>[3]DATA!AN208</f>
        <v>belum ada keterangan</v>
      </c>
      <c r="AD236" s="1511" t="str">
        <f>[3]DATA!AO208</f>
        <v>belum ada keterangan</v>
      </c>
      <c r="AE236" s="1519">
        <f>[3]DATA!AQ208</f>
        <v>0</v>
      </c>
      <c r="AF236" s="1533" t="str">
        <f>[3]DATA!AR208</f>
        <v>belum ada dokumen R/C</v>
      </c>
    </row>
    <row r="237" spans="1:33" ht="24" customHeight="1">
      <c r="J237" s="181"/>
      <c r="K237" s="1405">
        <v>22</v>
      </c>
      <c r="L237" s="1406" t="str">
        <f>[3]DATA!F209</f>
        <v>Lembaga Ilmu Pengetahuan Indonesia (LIPI)</v>
      </c>
      <c r="M237" s="1405"/>
      <c r="N237" s="2416"/>
      <c r="O237" s="194">
        <f t="shared" ref="O237:R238" si="28">O238</f>
        <v>0</v>
      </c>
      <c r="P237" s="194">
        <f t="shared" si="28"/>
        <v>107950000</v>
      </c>
      <c r="Q237" s="194">
        <f t="shared" si="28"/>
        <v>2950000</v>
      </c>
      <c r="R237" s="194">
        <f t="shared" si="28"/>
        <v>0</v>
      </c>
      <c r="S237" s="194">
        <f t="shared" si="18"/>
        <v>110900000</v>
      </c>
      <c r="T237" s="2484"/>
      <c r="U237" s="1435"/>
      <c r="V237" s="80">
        <f>V238</f>
        <v>0</v>
      </c>
      <c r="W237" s="80">
        <f>W238</f>
        <v>107950000</v>
      </c>
      <c r="X237" s="213"/>
      <c r="Y237" s="242">
        <f>Y238</f>
        <v>107950000</v>
      </c>
      <c r="Z237" s="80" t="s">
        <v>21</v>
      </c>
      <c r="AA237" s="213"/>
      <c r="AB237" s="1501"/>
      <c r="AC237" s="1502"/>
      <c r="AD237" s="168"/>
      <c r="AE237" s="1503"/>
      <c r="AF237" s="1529"/>
    </row>
    <row r="238" spans="1:33" ht="23.25" customHeight="1">
      <c r="A238" s="1397"/>
      <c r="B238" s="20"/>
      <c r="C238" s="20"/>
      <c r="D238" s="20"/>
      <c r="E238" s="20"/>
      <c r="F238" s="20"/>
      <c r="G238" s="20"/>
      <c r="H238" s="20"/>
      <c r="I238" s="186"/>
      <c r="J238" s="181"/>
      <c r="K238" s="29"/>
      <c r="L238" s="30" t="s">
        <v>23</v>
      </c>
      <c r="M238" s="3448" t="str">
        <f>[3]DATA!J209</f>
        <v>Program Pengembangan Penelitian Kelautan</v>
      </c>
      <c r="N238" s="3449"/>
      <c r="O238" s="197">
        <f t="shared" si="28"/>
        <v>0</v>
      </c>
      <c r="P238" s="197">
        <f t="shared" si="28"/>
        <v>107950000</v>
      </c>
      <c r="Q238" s="1436">
        <f t="shared" si="28"/>
        <v>2950000</v>
      </c>
      <c r="R238" s="1436">
        <f t="shared" si="28"/>
        <v>0</v>
      </c>
      <c r="S238" s="1559">
        <f t="shared" si="18"/>
        <v>110900000</v>
      </c>
      <c r="T238" s="2463"/>
      <c r="U238" s="198"/>
      <c r="V238" s="81">
        <f>V239</f>
        <v>0</v>
      </c>
      <c r="W238" s="81">
        <f>W239</f>
        <v>107950000</v>
      </c>
      <c r="X238" s="214"/>
      <c r="Y238" s="244">
        <f>Y239</f>
        <v>107950000</v>
      </c>
      <c r="Z238" s="81" t="s">
        <v>21</v>
      </c>
      <c r="AA238" s="214"/>
      <c r="AB238" s="1505"/>
      <c r="AC238" s="1506"/>
      <c r="AD238" s="169"/>
      <c r="AE238" s="1507"/>
      <c r="AF238" s="1530"/>
    </row>
    <row r="239" spans="1:33" ht="28.5" customHeight="1">
      <c r="A239" s="1397"/>
      <c r="B239" s="20"/>
      <c r="C239" s="20"/>
      <c r="D239" s="20"/>
      <c r="E239" s="20"/>
      <c r="F239" s="20"/>
      <c r="G239" s="20"/>
      <c r="H239" s="20"/>
      <c r="I239" s="186"/>
      <c r="J239" s="181"/>
      <c r="K239" s="54"/>
      <c r="L239" s="36"/>
      <c r="M239" s="36">
        <v>144</v>
      </c>
      <c r="N239" s="2428" t="s">
        <v>1078</v>
      </c>
      <c r="O239" s="1414">
        <v>0</v>
      </c>
      <c r="P239" s="1424">
        <v>107950000</v>
      </c>
      <c r="Q239" s="1459">
        <v>2950000</v>
      </c>
      <c r="R239" s="1459">
        <v>0</v>
      </c>
      <c r="S239" s="2467">
        <f t="shared" si="18"/>
        <v>110900000</v>
      </c>
      <c r="T239" s="2470"/>
      <c r="U239" s="1440"/>
      <c r="V239" s="1458">
        <v>0</v>
      </c>
      <c r="W239" s="77">
        <f>[3]DATA!AA209</f>
        <v>107950000</v>
      </c>
      <c r="X239" s="216" t="str">
        <f>[3]DATA!Y209</f>
        <v>Belum Ada Indikasi</v>
      </c>
      <c r="Y239" s="245">
        <f>[3]DATA!AT209</f>
        <v>107950000</v>
      </c>
      <c r="Z239" s="109" t="str">
        <f>[3]DATA!AU209</f>
        <v>Belum Ada Indikasi</v>
      </c>
      <c r="AA239" s="216">
        <f>[3]DATA!AW209</f>
        <v>0</v>
      </c>
      <c r="AB239" s="245">
        <f>[3]DATA!AM209</f>
        <v>0</v>
      </c>
      <c r="AC239" s="1510" t="str">
        <f>[3]DATA!AN209</f>
        <v>belum ada keterangan</v>
      </c>
      <c r="AD239" s="1511" t="str">
        <f>[3]DATA!AO209</f>
        <v>belum ada keterangan</v>
      </c>
      <c r="AE239" s="1519">
        <f>[3]DATA!AQ209</f>
        <v>0</v>
      </c>
      <c r="AF239" s="1533" t="str">
        <f>[3]DATA!AR209</f>
        <v>belum ada dokumen R/C</v>
      </c>
      <c r="AG239" s="1533">
        <f>[3]DATA!AT211</f>
        <v>0</v>
      </c>
    </row>
    <row r="240" spans="1:33" s="3" customFormat="1" ht="30" customHeight="1">
      <c r="J240" s="3450" t="s">
        <v>477</v>
      </c>
      <c r="K240" s="3451"/>
      <c r="L240" s="3451"/>
      <c r="M240" s="3451"/>
      <c r="N240" s="3452"/>
      <c r="O240" s="278">
        <f>+O9+O168</f>
        <v>36036774300</v>
      </c>
      <c r="P240" s="278">
        <f>+P9+P168</f>
        <v>42273395700</v>
      </c>
      <c r="Q240" s="1460" t="e">
        <f>+Q9+Q168</f>
        <v>#REF!</v>
      </c>
      <c r="R240" s="1460" t="e">
        <f>+R9+R168</f>
        <v>#REF!</v>
      </c>
      <c r="S240" s="2492" t="e">
        <f t="shared" si="18"/>
        <v>#REF!</v>
      </c>
      <c r="T240" s="2493"/>
      <c r="U240" s="279"/>
      <c r="V240" s="280">
        <f>+V9+V168</f>
        <v>33151223596</v>
      </c>
      <c r="W240" s="280">
        <f>+W9+W168</f>
        <v>8905672104</v>
      </c>
      <c r="X240" s="280"/>
      <c r="Y240" s="288">
        <f>+Y9+Y168</f>
        <v>42273395700</v>
      </c>
      <c r="Z240" s="280" t="s">
        <v>21</v>
      </c>
      <c r="AA240" s="280" t="s">
        <v>21</v>
      </c>
      <c r="AB240" s="1523"/>
      <c r="AC240" s="1524"/>
      <c r="AD240" s="1525"/>
      <c r="AE240" s="1526"/>
      <c r="AF240" s="1534"/>
    </row>
    <row r="241" spans="1:32" s="12" customFormat="1">
      <c r="A241" s="10"/>
      <c r="B241" s="10"/>
      <c r="C241" s="10"/>
      <c r="D241" s="10"/>
      <c r="E241" s="10"/>
      <c r="F241" s="10"/>
      <c r="G241" s="10"/>
      <c r="H241" s="10"/>
      <c r="I241" s="10"/>
      <c r="J241" s="11"/>
      <c r="K241" s="10"/>
      <c r="L241" s="10"/>
      <c r="M241" s="10"/>
      <c r="O241" s="13"/>
      <c r="P241" s="13"/>
      <c r="Q241" s="1395"/>
      <c r="R241" s="1395"/>
      <c r="S241" s="13"/>
      <c r="T241" s="13"/>
      <c r="U241" s="14"/>
      <c r="V241" s="13"/>
      <c r="W241" s="13"/>
      <c r="X241" s="13"/>
      <c r="AB241" s="14"/>
      <c r="AC241" s="14"/>
      <c r="AD241" s="14"/>
      <c r="AE241" s="14"/>
      <c r="AF241" s="175"/>
    </row>
    <row r="242" spans="1:32" s="12" customFormat="1">
      <c r="A242" s="10"/>
      <c r="B242" s="10"/>
      <c r="C242" s="10"/>
      <c r="D242" s="10"/>
      <c r="E242" s="10"/>
      <c r="F242" s="10"/>
      <c r="G242" s="10"/>
      <c r="H242" s="10"/>
      <c r="I242" s="10"/>
      <c r="J242" s="11"/>
      <c r="K242" s="10" t="s">
        <v>1111</v>
      </c>
      <c r="L242" s="10"/>
      <c r="M242" s="10"/>
      <c r="O242" s="13"/>
      <c r="P242" s="13"/>
      <c r="Q242" s="1395"/>
      <c r="R242" s="1395"/>
      <c r="S242" s="13"/>
      <c r="T242" s="13"/>
      <c r="U242" s="14"/>
      <c r="V242" s="13">
        <f>V240+W240</f>
        <v>42056895700</v>
      </c>
      <c r="W242" s="13"/>
      <c r="X242" s="13"/>
      <c r="Y242" s="289"/>
      <c r="AB242" s="14"/>
      <c r="AC242" s="14"/>
      <c r="AD242" s="14"/>
      <c r="AE242" s="14"/>
      <c r="AF242" s="175"/>
    </row>
    <row r="243" spans="1:32">
      <c r="V243" s="13">
        <f>V242-Y240</f>
        <v>-216500000</v>
      </c>
    </row>
    <row r="245" spans="1:32">
      <c r="Y245" s="289"/>
    </row>
    <row r="247" spans="1:32" s="12" customFormat="1">
      <c r="A247" s="10"/>
      <c r="B247" s="10"/>
      <c r="C247" s="10"/>
      <c r="D247" s="10"/>
      <c r="E247" s="10"/>
      <c r="F247" s="10"/>
      <c r="G247" s="10"/>
      <c r="H247" s="10"/>
      <c r="I247" s="10"/>
      <c r="J247" s="11"/>
      <c r="K247" s="10"/>
      <c r="L247" s="10"/>
      <c r="M247" s="10"/>
      <c r="O247" s="13"/>
      <c r="P247" s="13"/>
      <c r="Q247" s="1395"/>
      <c r="R247" s="1395"/>
      <c r="S247" s="13"/>
      <c r="T247" s="13"/>
      <c r="U247" s="14"/>
      <c r="V247" s="13"/>
      <c r="W247" s="13"/>
      <c r="X247" s="13"/>
      <c r="Z247" s="289"/>
      <c r="AB247" s="14"/>
      <c r="AC247" s="14"/>
      <c r="AD247" s="14"/>
      <c r="AE247" s="14"/>
      <c r="AF247" s="175"/>
    </row>
    <row r="248" spans="1:32" s="12" customFormat="1">
      <c r="A248" s="10"/>
      <c r="B248" s="10"/>
      <c r="C248" s="10"/>
      <c r="D248" s="10"/>
      <c r="E248" s="10"/>
      <c r="F248" s="10"/>
      <c r="G248" s="10"/>
      <c r="H248" s="10"/>
      <c r="I248" s="10"/>
      <c r="J248" s="11"/>
      <c r="K248" s="10"/>
      <c r="L248" s="10"/>
      <c r="M248" s="10"/>
      <c r="O248" s="13"/>
      <c r="P248" s="13"/>
      <c r="Q248" s="1395"/>
      <c r="R248" s="1395"/>
      <c r="S248" s="13"/>
      <c r="T248" s="13"/>
      <c r="U248" s="14"/>
      <c r="V248" s="13"/>
      <c r="W248" s="13"/>
      <c r="X248" s="13"/>
      <c r="Y248" s="289"/>
      <c r="AB248" s="14"/>
      <c r="AC248" s="14"/>
      <c r="AD248" s="14"/>
      <c r="AE248" s="14"/>
      <c r="AF248" s="175"/>
    </row>
    <row r="249" spans="1:32" s="12" customFormat="1">
      <c r="A249" s="10"/>
      <c r="B249" s="10"/>
      <c r="C249" s="10"/>
      <c r="D249" s="10"/>
      <c r="E249" s="10"/>
      <c r="F249" s="10"/>
      <c r="G249" s="10"/>
      <c r="H249" s="10"/>
      <c r="I249" s="10"/>
      <c r="J249" s="11"/>
      <c r="K249" s="10"/>
      <c r="L249" s="10"/>
      <c r="M249" s="10"/>
      <c r="O249" s="13"/>
      <c r="P249" s="13"/>
      <c r="Q249" s="1395"/>
      <c r="R249" s="1395"/>
      <c r="S249" s="13"/>
      <c r="T249" s="13"/>
      <c r="U249" s="14"/>
      <c r="V249" s="13"/>
      <c r="W249" s="13"/>
      <c r="X249" s="13"/>
      <c r="AB249" s="14"/>
      <c r="AC249" s="14"/>
      <c r="AD249" s="14"/>
      <c r="AE249" s="14"/>
      <c r="AF249" s="175"/>
    </row>
  </sheetData>
  <autoFilter ref="A8:AF240"/>
  <mergeCells count="182">
    <mergeCell ref="AE12:AE13"/>
    <mergeCell ref="AF12:AF13"/>
    <mergeCell ref="AF48:AF51"/>
    <mergeCell ref="AF199:AF201"/>
    <mergeCell ref="AF207:AF209"/>
    <mergeCell ref="AF210:AF212"/>
    <mergeCell ref="J6:N7"/>
    <mergeCell ref="AC199:AC201"/>
    <mergeCell ref="AC207:AC209"/>
    <mergeCell ref="AC210:AC212"/>
    <mergeCell ref="AD12:AD13"/>
    <mergeCell ref="AD44:AD45"/>
    <mergeCell ref="AD48:AD51"/>
    <mergeCell ref="AD68:AD69"/>
    <mergeCell ref="AD70:AD71"/>
    <mergeCell ref="AD96:AD98"/>
    <mergeCell ref="AD199:AD201"/>
    <mergeCell ref="AD207:AD209"/>
    <mergeCell ref="AD210:AD212"/>
    <mergeCell ref="X48:X49"/>
    <mergeCell ref="X70:X71"/>
    <mergeCell ref="X111:X112"/>
    <mergeCell ref="X163:X164"/>
    <mergeCell ref="X165:X167"/>
    <mergeCell ref="AB12:AB13"/>
    <mergeCell ref="AC12:AC13"/>
    <mergeCell ref="AC44:AC45"/>
    <mergeCell ref="AC48:AC51"/>
    <mergeCell ref="AC68:AC69"/>
    <mergeCell ref="AC70:AC71"/>
    <mergeCell ref="AC96:AC98"/>
    <mergeCell ref="V12:V13"/>
    <mergeCell ref="V48:V49"/>
    <mergeCell ref="V70:V71"/>
    <mergeCell ref="V111:V112"/>
    <mergeCell ref="V163:V164"/>
    <mergeCell ref="V165:V167"/>
    <mergeCell ref="W48:W49"/>
    <mergeCell ref="W70:W71"/>
    <mergeCell ref="W111:W112"/>
    <mergeCell ref="W163:W164"/>
    <mergeCell ref="W165:W167"/>
    <mergeCell ref="T6:T7"/>
    <mergeCell ref="T96:T98"/>
    <mergeCell ref="T111:T112"/>
    <mergeCell ref="T163:T164"/>
    <mergeCell ref="T165:T167"/>
    <mergeCell ref="T207:T209"/>
    <mergeCell ref="T210:T212"/>
    <mergeCell ref="U48:U49"/>
    <mergeCell ref="U60:U62"/>
    <mergeCell ref="U70:U71"/>
    <mergeCell ref="R111:R112"/>
    <mergeCell ref="R163:R164"/>
    <mergeCell ref="R165:R167"/>
    <mergeCell ref="R199:R201"/>
    <mergeCell ref="R207:R209"/>
    <mergeCell ref="R210:R212"/>
    <mergeCell ref="S111:S112"/>
    <mergeCell ref="S163:S164"/>
    <mergeCell ref="S165:S167"/>
    <mergeCell ref="S199:S201"/>
    <mergeCell ref="S207:S209"/>
    <mergeCell ref="S210:S212"/>
    <mergeCell ref="S6:S7"/>
    <mergeCell ref="S12:S13"/>
    <mergeCell ref="S44:S45"/>
    <mergeCell ref="S48:S51"/>
    <mergeCell ref="S60:S62"/>
    <mergeCell ref="S68:S69"/>
    <mergeCell ref="S70:S71"/>
    <mergeCell ref="S96:S98"/>
    <mergeCell ref="S107:S109"/>
    <mergeCell ref="R6:R7"/>
    <mergeCell ref="R12:R13"/>
    <mergeCell ref="R44:R45"/>
    <mergeCell ref="R48:R51"/>
    <mergeCell ref="R60:R62"/>
    <mergeCell ref="R68:R69"/>
    <mergeCell ref="R70:R71"/>
    <mergeCell ref="R96:R98"/>
    <mergeCell ref="R107:R109"/>
    <mergeCell ref="P111:P112"/>
    <mergeCell ref="P163:P164"/>
    <mergeCell ref="P165:P167"/>
    <mergeCell ref="P199:P201"/>
    <mergeCell ref="P207:P209"/>
    <mergeCell ref="P210:P212"/>
    <mergeCell ref="Q6:Q7"/>
    <mergeCell ref="Q12:Q13"/>
    <mergeCell ref="Q44:Q45"/>
    <mergeCell ref="Q48:Q51"/>
    <mergeCell ref="Q60:Q62"/>
    <mergeCell ref="Q68:Q69"/>
    <mergeCell ref="Q70:Q71"/>
    <mergeCell ref="Q96:Q98"/>
    <mergeCell ref="Q107:Q109"/>
    <mergeCell ref="Q111:Q112"/>
    <mergeCell ref="Q163:Q164"/>
    <mergeCell ref="Q165:Q167"/>
    <mergeCell ref="Q199:Q201"/>
    <mergeCell ref="Q207:Q209"/>
    <mergeCell ref="Q210:Q212"/>
    <mergeCell ref="P6:P7"/>
    <mergeCell ref="P12:P13"/>
    <mergeCell ref="P44:P45"/>
    <mergeCell ref="P48:P51"/>
    <mergeCell ref="P60:P62"/>
    <mergeCell ref="P68:P69"/>
    <mergeCell ref="P70:P71"/>
    <mergeCell ref="P96:P98"/>
    <mergeCell ref="P107:P109"/>
    <mergeCell ref="O70:O71"/>
    <mergeCell ref="O96:O98"/>
    <mergeCell ref="O107:O109"/>
    <mergeCell ref="O111:O112"/>
    <mergeCell ref="O163:O164"/>
    <mergeCell ref="O165:O167"/>
    <mergeCell ref="O199:O201"/>
    <mergeCell ref="O207:O209"/>
    <mergeCell ref="O210:O212"/>
    <mergeCell ref="M199:M201"/>
    <mergeCell ref="M207:M209"/>
    <mergeCell ref="M210:M212"/>
    <mergeCell ref="N163:N164"/>
    <mergeCell ref="N165:N167"/>
    <mergeCell ref="N199:N201"/>
    <mergeCell ref="N207:N209"/>
    <mergeCell ref="N210:N212"/>
    <mergeCell ref="M206:N206"/>
    <mergeCell ref="N12:N13"/>
    <mergeCell ref="N44:N45"/>
    <mergeCell ref="N48:N51"/>
    <mergeCell ref="N60:N62"/>
    <mergeCell ref="N68:N69"/>
    <mergeCell ref="N70:N71"/>
    <mergeCell ref="N96:N98"/>
    <mergeCell ref="N107:N109"/>
    <mergeCell ref="N111:N112"/>
    <mergeCell ref="M213:N213"/>
    <mergeCell ref="M217:N217"/>
    <mergeCell ref="M223:N223"/>
    <mergeCell ref="M229:N229"/>
    <mergeCell ref="M232:N232"/>
    <mergeCell ref="M235:N235"/>
    <mergeCell ref="M238:N238"/>
    <mergeCell ref="J240:N240"/>
    <mergeCell ref="M146:N146"/>
    <mergeCell ref="M156:N156"/>
    <mergeCell ref="M159:N159"/>
    <mergeCell ref="M162:N162"/>
    <mergeCell ref="M170:N170"/>
    <mergeCell ref="M180:N180"/>
    <mergeCell ref="M189:N189"/>
    <mergeCell ref="M194:N194"/>
    <mergeCell ref="M196:N196"/>
    <mergeCell ref="M163:M164"/>
    <mergeCell ref="M165:M167"/>
    <mergeCell ref="U5:AA5"/>
    <mergeCell ref="AB5:AF5"/>
    <mergeCell ref="U6:X6"/>
    <mergeCell ref="Y6:AA6"/>
    <mergeCell ref="AB6:AF6"/>
    <mergeCell ref="M43:N43"/>
    <mergeCell ref="M55:N55"/>
    <mergeCell ref="M110:N110"/>
    <mergeCell ref="M143:N143"/>
    <mergeCell ref="M12:M13"/>
    <mergeCell ref="M44:M45"/>
    <mergeCell ref="M48:M51"/>
    <mergeCell ref="M60:M62"/>
    <mergeCell ref="M68:M69"/>
    <mergeCell ref="M70:M71"/>
    <mergeCell ref="M96:M98"/>
    <mergeCell ref="M107:M109"/>
    <mergeCell ref="M111:M112"/>
    <mergeCell ref="O6:O7"/>
    <mergeCell ref="O12:O13"/>
    <mergeCell ref="O44:O45"/>
    <mergeCell ref="O48:O51"/>
    <mergeCell ref="O60:O62"/>
    <mergeCell ref="O68:O69"/>
  </mergeCells>
  <printOptions horizontalCentered="1"/>
  <pageMargins left="0.39305555555555599" right="0.39305555555555599" top="0.39305555555555599" bottom="0.39305555555555599" header="0.31458333333333299" footer="0.196527777777778"/>
  <pageSetup paperSize="9" scale="63" fitToHeight="0" orientation="portrait"/>
  <headerFooter>
    <oddFooter>&amp;R&amp;"Cambria,Italic"&amp;9&amp;P/&amp;N</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pageSetUpPr fitToPage="1"/>
  </sheetPr>
  <dimension ref="A1:AT248"/>
  <sheetViews>
    <sheetView tabSelected="1" topLeftCell="M1" zoomScale="70" zoomScaleNormal="70" workbookViewId="0">
      <pane ySplit="7" topLeftCell="A50" activePane="bottomLeft" state="frozen"/>
      <selection pane="bottomLeft" activeCell="AG54" sqref="AG54"/>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1079</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f>Y91-21610980</f>
        <v>0</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DATA!B2</f>
        <v>I</v>
      </c>
      <c r="K8" s="22" t="str">
        <f>DATA!D2</f>
        <v>INFRASTRUKTUR</v>
      </c>
      <c r="L8" s="22"/>
      <c r="M8" s="22"/>
      <c r="N8" s="1404"/>
      <c r="O8" s="212" t="e">
        <f>O9+O108+O111+#REF!+O127+O131+O134+O145+O148+O151</f>
        <v>#REF!</v>
      </c>
      <c r="P8" s="191" t="e">
        <f>P9+P108+P111+#REF!+P127+P131+P134+P145+P148+P151</f>
        <v>#NAME?</v>
      </c>
      <c r="Q8" s="191">
        <f>+Q9+Q108+Q111+Q127+Q131+Q134+Q145+Q148+Q151</f>
        <v>5193160200</v>
      </c>
      <c r="R8" s="191" t="e">
        <f>+R9+R108+R111+R127+R131+R134+R145+R148+R151</f>
        <v>#REF!</v>
      </c>
      <c r="S8" s="240" t="e">
        <f>+S9+S108+S111+S127+S131+S134+S145+S148+S151</f>
        <v>#NAME?</v>
      </c>
      <c r="T8" s="1433"/>
      <c r="U8" s="192"/>
      <c r="V8" s="79" t="e">
        <f>+V9+V108+V111+V127+V131+V134+V145+V148+V151</f>
        <v>#REF!</v>
      </c>
      <c r="W8" s="79" t="e">
        <f>+W9+W108+W111+W127+W131+W134+W145+W148+W151</f>
        <v>#REF!</v>
      </c>
      <c r="X8" s="239">
        <f>+X9+X108+X111+X127+X131+X134</f>
        <v>0</v>
      </c>
      <c r="Y8" s="79">
        <f>+Y9+Y108+Y111+Y127+Y131+Y134+Y145+Y148+Y151</f>
        <v>34686722000</v>
      </c>
      <c r="Z8" s="79"/>
      <c r="AA8" s="224"/>
      <c r="AB8" s="1464"/>
      <c r="AC8" s="1464"/>
      <c r="AD8" s="1464"/>
      <c r="AE8" s="1464"/>
      <c r="AF8" s="1464"/>
      <c r="AG8" s="1495"/>
      <c r="AH8" s="192" t="e">
        <f>+AH9+AH108+AH111+AH127+AH131+AH134+AH145+AH148+AH151</f>
        <v>#REF!</v>
      </c>
      <c r="AI8" s="79" t="s">
        <v>21</v>
      </c>
      <c r="AJ8" s="212" t="e">
        <f>P8-AH8</f>
        <v>#NAME?</v>
      </c>
      <c r="AK8" s="1496"/>
      <c r="AL8" s="1497"/>
      <c r="AM8" s="1498"/>
      <c r="AN8" s="1499"/>
      <c r="AO8" s="1528"/>
    </row>
    <row r="9" spans="1:46" s="4" customFormat="1" ht="24.95" customHeight="1">
      <c r="J9" s="179"/>
      <c r="K9" s="25">
        <f>DATA!E2</f>
        <v>1</v>
      </c>
      <c r="L9" s="26" t="str">
        <f>DATA!F2</f>
        <v>Kementerian Pekerjaan Umum dan Perumahan Rakyat</v>
      </c>
      <c r="M9" s="26"/>
      <c r="N9" s="1416"/>
      <c r="O9" s="213" t="e">
        <f>O10+O14+O20+O29+O42+O54+O57+O62+O65+O76+O80+O93+O101+O104+O106</f>
        <v>#REF!</v>
      </c>
      <c r="P9" s="194" t="e">
        <f>+P10+P14+P20+P29+P42+P54+P57+P62+P65+P76+P80+P93+P101+P106+P104</f>
        <v>#NAME?</v>
      </c>
      <c r="Q9" s="194">
        <f>+Q10+Q14+Q20+Q29+Q42+Q54+Q57+Q62+Q65+Q76+Q80+Q93+Q101+Q106+Q104</f>
        <v>2680312500</v>
      </c>
      <c r="R9" s="194" t="e">
        <f>+R10+R14+R20+R29+R42+R54+R57+R62+R65+R76+R80+R93+R101+R106+R104</f>
        <v>#REF!</v>
      </c>
      <c r="S9" s="242" t="e">
        <f>+S10+S14+S20+S29+S42+S54+S57+S62+S65+S76+S80+S93+S101+S106+S104</f>
        <v>#NAME?</v>
      </c>
      <c r="T9" s="1538"/>
      <c r="U9" s="195"/>
      <c r="V9" s="80" t="e">
        <f>+V10+V14+V20+V29+V42+V54+V57+V62+V65+V76+V80+V93+V101+V104+V106</f>
        <v>#REF!</v>
      </c>
      <c r="W9" s="80" t="e">
        <f>+W10+W14+W20+W29+W42+W54+W57+W62+W65+W76+W80+W93+W101+W104+W106</f>
        <v>#REF!</v>
      </c>
      <c r="X9" s="241">
        <f>+X10+X14+X20+X29+X42+X54+X57+X65+X76+X80+X93+X101+X106</f>
        <v>0</v>
      </c>
      <c r="Y9" s="80">
        <f>+Y10+Y14+Y20+Y29+Y42+Y54+Y57+Y62+Y65+Y76+Y80+Y93+Y101+Y104+Y106</f>
        <v>19439509000</v>
      </c>
      <c r="Z9" s="80"/>
      <c r="AA9" s="226"/>
      <c r="AB9" s="1465"/>
      <c r="AC9" s="1465"/>
      <c r="AD9" s="1465"/>
      <c r="AE9" s="1465"/>
      <c r="AF9" s="1465"/>
      <c r="AG9" s="1540"/>
      <c r="AH9" s="195" t="e">
        <f>+AH10+AH14+AH20+AH29+AH42+AH54+AH57+AH62+AH65+AH76+AH80+AH93+AH101+AH104+AH106</f>
        <v>#REF!</v>
      </c>
      <c r="AI9" s="80" t="s">
        <v>21</v>
      </c>
      <c r="AJ9" s="213"/>
      <c r="AK9" s="1501"/>
      <c r="AL9" s="1541"/>
      <c r="AM9" s="1542"/>
      <c r="AN9" s="1543"/>
      <c r="AO9" s="1546"/>
    </row>
    <row r="10" spans="1:46" s="5" customFormat="1" ht="24.95" customHeight="1">
      <c r="J10" s="180"/>
      <c r="K10" s="29"/>
      <c r="L10" s="30" t="str">
        <f>DATA!I2</f>
        <v>A</v>
      </c>
      <c r="M10" s="31" t="str">
        <f>DATA!J2</f>
        <v xml:space="preserve">Program Pembangunan Jalan Tol </v>
      </c>
      <c r="N10" s="247"/>
      <c r="O10" s="214">
        <f>O11</f>
        <v>1250000000</v>
      </c>
      <c r="P10" s="197">
        <f>P11</f>
        <v>1250000000</v>
      </c>
      <c r="Q10" s="1436">
        <f>Q11</f>
        <v>101250000</v>
      </c>
      <c r="R10" s="1436">
        <f>R11</f>
        <v>0</v>
      </c>
      <c r="S10" s="244">
        <f>S11</f>
        <v>1351250000</v>
      </c>
      <c r="T10" s="1437"/>
      <c r="U10" s="1560"/>
      <c r="V10" s="81">
        <f>V11</f>
        <v>1250000000</v>
      </c>
      <c r="W10" s="81">
        <f>W11</f>
        <v>0</v>
      </c>
      <c r="X10" s="1560"/>
      <c r="Y10" s="81">
        <f>Y11+Y13+Y12</f>
        <v>1250000000</v>
      </c>
      <c r="Z10" s="81"/>
      <c r="AA10" s="228"/>
      <c r="AB10" s="1568"/>
      <c r="AC10" s="1568"/>
      <c r="AD10" s="1568"/>
      <c r="AE10" s="1568"/>
      <c r="AF10" s="1568"/>
      <c r="AG10" s="1577"/>
      <c r="AH10" s="198">
        <f>AH11+AH13</f>
        <v>1250000000</v>
      </c>
      <c r="AI10" s="198" t="s">
        <v>21</v>
      </c>
      <c r="AJ10" s="214"/>
      <c r="AK10" s="1505"/>
      <c r="AL10" s="1578"/>
      <c r="AM10" s="1579"/>
      <c r="AN10" s="1580"/>
      <c r="AO10" s="1586"/>
      <c r="AQ10" s="253"/>
    </row>
    <row r="11" spans="1:46" ht="34.5" customHeight="1">
      <c r="A11" s="10">
        <f>DATA!A3</f>
        <v>1</v>
      </c>
      <c r="B11" s="10">
        <f>DATA!B3</f>
        <v>0</v>
      </c>
      <c r="C11" s="10" t="str">
        <f>DATA!D3</f>
        <v>INFRASTRUKTUR</v>
      </c>
      <c r="D11" s="10">
        <f>DATA!E3</f>
        <v>1</v>
      </c>
      <c r="E11" s="10" t="str">
        <f>DATA!F3</f>
        <v>Kementerian Pekerjaan Umum dan Perumahan Rakyat</v>
      </c>
      <c r="F11" s="10" t="str">
        <f>DATA!H3</f>
        <v>Toll Road Development Program</v>
      </c>
      <c r="G11" s="10" t="str">
        <f>DATA!I3</f>
        <v>A</v>
      </c>
      <c r="H11" s="10" t="str">
        <f>DATA!J3</f>
        <v xml:space="preserve">Program Pembangunan Jalan Tol </v>
      </c>
      <c r="I11" s="10">
        <f>DATA!K3</f>
        <v>1</v>
      </c>
      <c r="J11" s="181"/>
      <c r="K11" s="34"/>
      <c r="L11" s="34"/>
      <c r="M11" s="3390">
        <v>1</v>
      </c>
      <c r="N11" s="3578" t="str">
        <f>DATA!L2</f>
        <v>Toll Road Development in Kalimantan, Sumatera, and Java Islands</v>
      </c>
      <c r="O11" s="3589">
        <f>DATA!T2</f>
        <v>1250000000</v>
      </c>
      <c r="P11" s="3408">
        <f>DATA!U2</f>
        <v>1250000000</v>
      </c>
      <c r="Q11" s="3436">
        <f>DATA!V2</f>
        <v>101250000</v>
      </c>
      <c r="R11" s="3436">
        <f>DATA!W3</f>
        <v>0</v>
      </c>
      <c r="S11" s="3559">
        <f>P11+Q11+R11</f>
        <v>1351250000</v>
      </c>
      <c r="T11" s="1561"/>
      <c r="U11" s="1449" t="str">
        <f>DATA!Y3</f>
        <v>RRT</v>
      </c>
      <c r="V11" s="3414">
        <f>DATA!AA2</f>
        <v>1250000000</v>
      </c>
      <c r="W11" s="77">
        <v>0</v>
      </c>
      <c r="X11" s="1450" t="str">
        <f>DATA!Y3</f>
        <v>RRT</v>
      </c>
      <c r="Y11" s="618">
        <v>156000000</v>
      </c>
      <c r="Z11" s="109" t="s">
        <v>27</v>
      </c>
      <c r="AA11" s="3251" t="s">
        <v>1144</v>
      </c>
      <c r="AB11" s="828"/>
      <c r="AC11" s="828"/>
      <c r="AD11" s="1485"/>
      <c r="AE11" s="1486"/>
      <c r="AF11" s="1486"/>
      <c r="AG11" s="1581" t="s">
        <v>1145</v>
      </c>
      <c r="AH11" s="1509">
        <f>DATA!AT3</f>
        <v>1000000000</v>
      </c>
      <c r="AI11" s="109" t="str">
        <f>DATA!AU3</f>
        <v>RRT</v>
      </c>
      <c r="AJ11" s="1544" t="str">
        <f>DATA!AW3</f>
        <v xml:space="preserve">co-financing dengan Korea (USD 250 juta) </v>
      </c>
      <c r="AK11" s="3520" t="str">
        <f>DATA!AM3</f>
        <v>-</v>
      </c>
      <c r="AL11" s="3502" t="str">
        <f>DATA!AN3</f>
        <v>siap</v>
      </c>
      <c r="AM11" s="3502" t="str">
        <f>DATA!AO3</f>
        <v>dalam proses
(pelaksanaan &lt; 50%)</v>
      </c>
      <c r="AN11" s="3502" t="str">
        <f>DATA!AQ3</f>
        <v>-</v>
      </c>
      <c r="AO11" s="3504" t="str">
        <f>DATA!AR3</f>
        <v>belum ada dokumen R/C</v>
      </c>
      <c r="AQ11" s="10">
        <f t="shared" ref="AQ11:AQ17" si="0">IF(Z11="RRT",Y11,0)</f>
        <v>156000000</v>
      </c>
      <c r="AR11" s="10">
        <f t="shared" ref="AR11:AR75" si="1">IF(Z11="JICA",Y11,0)</f>
        <v>0</v>
      </c>
      <c r="AS11" s="10">
        <f t="shared" ref="AS11:AS75" si="2">IF(Z11="Belum ada indikasi",Y11,0)</f>
        <v>0</v>
      </c>
      <c r="AT11" s="10">
        <f t="shared" ref="AT11:AT75" si="3">IF(Z11="Korea",Y11,0)</f>
        <v>0</v>
      </c>
    </row>
    <row r="12" spans="1:46" ht="34.5" customHeight="1">
      <c r="J12" s="181"/>
      <c r="K12" s="34"/>
      <c r="L12" s="34"/>
      <c r="M12" s="3392"/>
      <c r="N12" s="3579"/>
      <c r="O12" s="3590"/>
      <c r="P12" s="3464"/>
      <c r="Q12" s="3469"/>
      <c r="R12" s="3469"/>
      <c r="S12" s="3560"/>
      <c r="T12" s="1562"/>
      <c r="U12" s="1449"/>
      <c r="V12" s="3494"/>
      <c r="W12" s="77"/>
      <c r="X12" s="1450"/>
      <c r="Y12" s="618">
        <f>1000000000-Y11</f>
        <v>844000000</v>
      </c>
      <c r="Z12" s="109" t="s">
        <v>633</v>
      </c>
      <c r="AA12" s="3251" t="s">
        <v>879</v>
      </c>
      <c r="AB12" s="828"/>
      <c r="AC12" s="828"/>
      <c r="AD12" s="1485"/>
      <c r="AE12" s="1486"/>
      <c r="AF12" s="1486"/>
      <c r="AG12" s="1584"/>
      <c r="AH12" s="1509"/>
      <c r="AI12" s="109"/>
      <c r="AJ12" s="1544"/>
      <c r="AK12" s="3608"/>
      <c r="AL12" s="3519"/>
      <c r="AM12" s="3519"/>
      <c r="AN12" s="3519"/>
      <c r="AO12" s="3509"/>
      <c r="AQ12" s="10">
        <f t="shared" si="0"/>
        <v>0</v>
      </c>
      <c r="AR12" s="10">
        <f t="shared" si="1"/>
        <v>0</v>
      </c>
      <c r="AS12" s="10">
        <f t="shared" si="2"/>
        <v>844000000</v>
      </c>
      <c r="AT12" s="10">
        <f t="shared" si="3"/>
        <v>0</v>
      </c>
    </row>
    <row r="13" spans="1:46" ht="83.25" customHeight="1">
      <c r="A13" s="10">
        <f>DATA!A4</f>
        <v>2</v>
      </c>
      <c r="B13" s="10">
        <f>DATA!B4</f>
        <v>0</v>
      </c>
      <c r="C13" s="10" t="str">
        <f>DATA!D4</f>
        <v>INFRASTRUKTUR</v>
      </c>
      <c r="D13" s="10">
        <f>DATA!E4</f>
        <v>1</v>
      </c>
      <c r="E13" s="10" t="str">
        <f>DATA!F4</f>
        <v>Kementerian Pekerjaan Umum dan Perumahan Rakyat</v>
      </c>
      <c r="F13" s="10" t="str">
        <f>DATA!H4</f>
        <v>Toll Road Development Program</v>
      </c>
      <c r="G13" s="10" t="str">
        <f>DATA!I4</f>
        <v>A</v>
      </c>
      <c r="H13" s="10" t="str">
        <f>DATA!J4</f>
        <v xml:space="preserve">Program Pembangunan Jalan Tol </v>
      </c>
      <c r="I13" s="10">
        <f>DATA!K4</f>
        <v>1</v>
      </c>
      <c r="J13" s="181"/>
      <c r="K13" s="34"/>
      <c r="L13" s="34"/>
      <c r="M13" s="3391"/>
      <c r="N13" s="3572"/>
      <c r="O13" s="3591"/>
      <c r="P13" s="3409"/>
      <c r="Q13" s="3437"/>
      <c r="R13" s="3437"/>
      <c r="S13" s="3561"/>
      <c r="T13" s="1563"/>
      <c r="U13" s="1449" t="str">
        <f>DATA!Y4</f>
        <v>Korea</v>
      </c>
      <c r="V13" s="3415"/>
      <c r="W13" s="77">
        <v>0</v>
      </c>
      <c r="X13" s="1450" t="str">
        <f>DATA!Y4</f>
        <v>Korea</v>
      </c>
      <c r="Y13" s="109">
        <v>250000000</v>
      </c>
      <c r="Z13" s="109" t="s">
        <v>28</v>
      </c>
      <c r="AA13" s="1484" t="s">
        <v>879</v>
      </c>
      <c r="AB13" s="828"/>
      <c r="AC13" s="828"/>
      <c r="AD13" s="1485"/>
      <c r="AE13" s="1486"/>
      <c r="AF13" s="1486"/>
      <c r="AG13" s="3252" t="s">
        <v>1146</v>
      </c>
      <c r="AH13" s="1509">
        <f>DATA!AT4</f>
        <v>250000000</v>
      </c>
      <c r="AI13" s="109" t="str">
        <f>DATA!AU4</f>
        <v>Korea</v>
      </c>
      <c r="AJ13" s="1544" t="str">
        <f>DATA!AW4</f>
        <v>- co-financing dengan RRT (USD 1 Miliar) 
- belum masuk rolling plan EDCF (Korea)</v>
      </c>
      <c r="AK13" s="3521"/>
      <c r="AL13" s="3503"/>
      <c r="AM13" s="3503"/>
      <c r="AN13" s="3503"/>
      <c r="AO13" s="3510"/>
      <c r="AQ13" s="10">
        <f t="shared" si="0"/>
        <v>0</v>
      </c>
      <c r="AR13" s="10">
        <f t="shared" si="1"/>
        <v>0</v>
      </c>
      <c r="AS13" s="10">
        <f t="shared" si="2"/>
        <v>0</v>
      </c>
      <c r="AT13" s="10">
        <f t="shared" si="3"/>
        <v>250000000</v>
      </c>
    </row>
    <row r="14" spans="1:46" s="5" customFormat="1" ht="33.75" customHeight="1">
      <c r="J14" s="180"/>
      <c r="K14" s="50"/>
      <c r="L14" s="30" t="str">
        <f>DATA!I10</f>
        <v>B</v>
      </c>
      <c r="M14" s="31" t="str">
        <f>DATA!J10</f>
        <v xml:space="preserve">Program Pembangunan / Peningkatan Jembatan </v>
      </c>
      <c r="N14" s="1419"/>
      <c r="O14" s="214">
        <f>O15+O16+O17+O18+O19</f>
        <v>1500000000</v>
      </c>
      <c r="P14" s="197">
        <f>P15+P16+P17+P18+P19</f>
        <v>1500000000</v>
      </c>
      <c r="Q14" s="1436">
        <f>Q15+Q16+Q17+Q18+Q19</f>
        <v>126500000</v>
      </c>
      <c r="R14" s="1436">
        <f>R15+R16+R17+R18+R19</f>
        <v>0</v>
      </c>
      <c r="S14" s="244">
        <f t="shared" ref="S14:S30" si="4">P14+Q14+R14</f>
        <v>1626500000</v>
      </c>
      <c r="T14" s="1437"/>
      <c r="U14" s="198"/>
      <c r="V14" s="81">
        <f>SUM(V15:V19)</f>
        <v>1500000000</v>
      </c>
      <c r="W14" s="81">
        <f>SUM(W15:W19)</f>
        <v>0</v>
      </c>
      <c r="X14" s="243">
        <f>SUM(X15:X19)</f>
        <v>0</v>
      </c>
      <c r="Y14" s="81">
        <f>Y15+Y16+Y17+Y18+Y19</f>
        <v>1500000000</v>
      </c>
      <c r="Z14" s="81"/>
      <c r="AA14" s="1469"/>
      <c r="AB14" s="1470"/>
      <c r="AC14" s="1470"/>
      <c r="AD14" s="1569"/>
      <c r="AE14" s="1570"/>
      <c r="AF14" s="1571"/>
      <c r="AG14" s="1577"/>
      <c r="AH14" s="198">
        <f>SUM(AH15:AH19)</f>
        <v>1500000000</v>
      </c>
      <c r="AI14" s="81" t="s">
        <v>21</v>
      </c>
      <c r="AJ14" s="214"/>
      <c r="AK14" s="1505"/>
      <c r="AL14" s="1506"/>
      <c r="AM14" s="169"/>
      <c r="AN14" s="1507"/>
      <c r="AO14" s="1530"/>
      <c r="AQ14" s="10">
        <f t="shared" si="0"/>
        <v>0</v>
      </c>
      <c r="AR14" s="10">
        <f t="shared" si="1"/>
        <v>0</v>
      </c>
      <c r="AS14" s="10">
        <f t="shared" si="2"/>
        <v>0</v>
      </c>
      <c r="AT14" s="10">
        <f t="shared" si="3"/>
        <v>0</v>
      </c>
    </row>
    <row r="15" spans="1:46" ht="42.75" customHeight="1">
      <c r="A15" s="10">
        <f>DATA!A10</f>
        <v>8</v>
      </c>
      <c r="B15" s="10">
        <f>DATA!B10</f>
        <v>0</v>
      </c>
      <c r="C15" s="10" t="str">
        <f>DATA!D10</f>
        <v>INFRASTRUKTUR</v>
      </c>
      <c r="D15" s="10">
        <f>DATA!E10</f>
        <v>1</v>
      </c>
      <c r="E15" s="10" t="str">
        <f>DATA!F10</f>
        <v>Kementerian Pekerjaan Umum dan Perumahan Rakyat</v>
      </c>
      <c r="F15" s="10" t="str">
        <f>DATA!H10</f>
        <v>Development and Improvement of National Bridges Program</v>
      </c>
      <c r="G15" s="10" t="str">
        <f>DATA!I10</f>
        <v>B</v>
      </c>
      <c r="H15" s="10" t="str">
        <f>DATA!J10</f>
        <v xml:space="preserve">Program Pembangunan / Peningkatan Jembatan </v>
      </c>
      <c r="I15" s="10">
        <f>DATA!K10</f>
        <v>1</v>
      </c>
      <c r="J15" s="181"/>
      <c r="K15" s="34"/>
      <c r="L15" s="35"/>
      <c r="M15" s="52">
        <v>2</v>
      </c>
      <c r="N15" s="1556" t="str">
        <f>DATA!L10</f>
        <v>Material Procurement for Construction and Bridge Rehabilitation</v>
      </c>
      <c r="O15" s="1402">
        <f>DATA!T10</f>
        <v>450000000</v>
      </c>
      <c r="P15" s="187">
        <f>DATA!U10</f>
        <v>450000000</v>
      </c>
      <c r="Q15" s="1446">
        <f>DATA!V10</f>
        <v>0</v>
      </c>
      <c r="R15" s="1446">
        <f>DATA!W10</f>
        <v>0</v>
      </c>
      <c r="S15" s="1447">
        <f t="shared" si="4"/>
        <v>450000000</v>
      </c>
      <c r="T15" s="1448"/>
      <c r="U15" s="1449" t="str">
        <f>DATA!Y10</f>
        <v>Spanyol/RRT</v>
      </c>
      <c r="V15" s="77">
        <f>DATA!AA10</f>
        <v>450000000</v>
      </c>
      <c r="W15" s="77">
        <v>0</v>
      </c>
      <c r="X15" s="1450" t="str">
        <f>DATA!Y10</f>
        <v>Spanyol/RRT</v>
      </c>
      <c r="Y15" s="109">
        <v>450000000</v>
      </c>
      <c r="Z15" s="109" t="s">
        <v>601</v>
      </c>
      <c r="AA15" s="1484" t="s">
        <v>879</v>
      </c>
      <c r="AB15" s="828"/>
      <c r="AC15" s="1485"/>
      <c r="AD15" s="1486"/>
      <c r="AE15" s="1486"/>
      <c r="AF15" s="1486"/>
      <c r="AG15" s="1508" t="s">
        <v>1147</v>
      </c>
      <c r="AH15" s="1509">
        <f>DATA!AT10</f>
        <v>450000000</v>
      </c>
      <c r="AI15" s="109" t="str">
        <f>DATA!AU10</f>
        <v>Spanyol/RRT</v>
      </c>
      <c r="AJ15" s="1544" t="str">
        <f>DATA!AW10</f>
        <v>- Spanyol berminat mendanai sebagian (USD 50-100 juta), tetapi setelah permasalahan proyek LIPI selesai.
- RRT belum ada keputusan.</v>
      </c>
      <c r="AK15" s="245">
        <f>DATA!AM10</f>
        <v>0</v>
      </c>
      <c r="AL15" s="1510" t="str">
        <f>DATA!AN10</f>
        <v>belum ada keterangan</v>
      </c>
      <c r="AM15" s="1511" t="str">
        <f>DATA!AO10</f>
        <v>belum ada keterangan</v>
      </c>
      <c r="AN15" s="1510">
        <f>DATA!AQ10</f>
        <v>0</v>
      </c>
      <c r="AO15" s="252" t="str">
        <f>DATA!AR10</f>
        <v>belum ada dokumen R/C</v>
      </c>
      <c r="AQ15" s="10">
        <f t="shared" si="0"/>
        <v>0</v>
      </c>
      <c r="AR15" s="10">
        <f t="shared" si="1"/>
        <v>0</v>
      </c>
      <c r="AS15" s="10">
        <f t="shared" si="2"/>
        <v>0</v>
      </c>
      <c r="AT15" s="10">
        <f t="shared" si="3"/>
        <v>0</v>
      </c>
    </row>
    <row r="16" spans="1:46" ht="60" customHeight="1">
      <c r="A16" s="10">
        <f>DATA!A11</f>
        <v>9</v>
      </c>
      <c r="B16" s="10">
        <f>DATA!B11</f>
        <v>0</v>
      </c>
      <c r="C16" s="10" t="str">
        <f>DATA!D11</f>
        <v>INFRASTRUKTUR</v>
      </c>
      <c r="D16" s="10">
        <f>DATA!E11</f>
        <v>1</v>
      </c>
      <c r="E16" s="10" t="str">
        <f>DATA!F11</f>
        <v>Kementerian Pekerjaan Umum dan Perumahan Rakyat</v>
      </c>
      <c r="F16" s="10" t="str">
        <f>DATA!H11</f>
        <v>Development and Improvement of National Bridges Program</v>
      </c>
      <c r="G16" s="10" t="str">
        <f>DATA!I11</f>
        <v>B</v>
      </c>
      <c r="H16" s="10" t="str">
        <f>DATA!J11</f>
        <v xml:space="preserve">Program Pembangunan / Peningkatan Jembatan </v>
      </c>
      <c r="I16" s="10">
        <f>DATA!K11</f>
        <v>2</v>
      </c>
      <c r="J16" s="181"/>
      <c r="K16" s="34"/>
      <c r="L16" s="34"/>
      <c r="M16" s="52">
        <v>3</v>
      </c>
      <c r="N16" s="199" t="str">
        <f>DATA!L11</f>
        <v>Development of Fly Over/ Under Pass for Railways Crossing</v>
      </c>
      <c r="O16" s="1402">
        <f>DATA!T11</f>
        <v>250000000</v>
      </c>
      <c r="P16" s="187">
        <f>DATA!U11</f>
        <v>250000000</v>
      </c>
      <c r="Q16" s="1446">
        <f>DATA!V11</f>
        <v>50000000</v>
      </c>
      <c r="R16" s="1446">
        <f>DATA!W11</f>
        <v>0</v>
      </c>
      <c r="S16" s="1447">
        <f t="shared" si="4"/>
        <v>300000000</v>
      </c>
      <c r="T16" s="1448"/>
      <c r="U16" s="1449" t="str">
        <f>DATA!Y11</f>
        <v>JICA</v>
      </c>
      <c r="V16" s="77">
        <f>DATA!AA11</f>
        <v>250000000</v>
      </c>
      <c r="W16" s="77">
        <v>0</v>
      </c>
      <c r="X16" s="1450" t="str">
        <f>DATA!Y11</f>
        <v>JICA</v>
      </c>
      <c r="Y16" s="109">
        <v>250000000</v>
      </c>
      <c r="Z16" s="109" t="s">
        <v>55</v>
      </c>
      <c r="AA16" s="1484" t="s">
        <v>879</v>
      </c>
      <c r="AB16" s="828"/>
      <c r="AC16" s="1485"/>
      <c r="AD16" s="1486"/>
      <c r="AE16" s="1486"/>
      <c r="AF16" s="1486"/>
      <c r="AG16" s="3253" t="s">
        <v>1148</v>
      </c>
      <c r="AH16" s="1509">
        <f>DATA!AT11</f>
        <v>250000000</v>
      </c>
      <c r="AI16" s="109" t="str">
        <f>DATA!AU11</f>
        <v>JICA</v>
      </c>
      <c r="AJ16" s="1544" t="str">
        <f>DATA!AW11</f>
        <v>-</v>
      </c>
      <c r="AK16" s="245">
        <f>DATA!AM11</f>
        <v>0</v>
      </c>
      <c r="AL16" s="1510" t="str">
        <f>DATA!AN11</f>
        <v>dalam proses
(penyusunan FS)</v>
      </c>
      <c r="AM16" s="1511" t="str">
        <f>DATA!AO11</f>
        <v>belum ada keterangan</v>
      </c>
      <c r="AN16" s="1510">
        <f>DATA!AQ11</f>
        <v>0</v>
      </c>
      <c r="AO16" s="252" t="str">
        <f>DATA!AR11</f>
        <v>belum ada dokumen R/C</v>
      </c>
      <c r="AQ16" s="10">
        <f t="shared" si="0"/>
        <v>0</v>
      </c>
      <c r="AR16" s="10">
        <f t="shared" si="1"/>
        <v>250000000</v>
      </c>
      <c r="AS16" s="10">
        <f t="shared" si="2"/>
        <v>0</v>
      </c>
      <c r="AT16" s="10">
        <f t="shared" si="3"/>
        <v>0</v>
      </c>
    </row>
    <row r="17" spans="1:46" ht="60.75" customHeight="1">
      <c r="A17" s="10">
        <f>DATA!A12</f>
        <v>10</v>
      </c>
      <c r="B17" s="10">
        <f>DATA!B12</f>
        <v>0</v>
      </c>
      <c r="C17" s="10" t="str">
        <f>DATA!D12</f>
        <v>INFRASTRUKTUR</v>
      </c>
      <c r="D17" s="10">
        <f>DATA!E12</f>
        <v>1</v>
      </c>
      <c r="E17" s="10" t="str">
        <f>DATA!F12</f>
        <v>Kementerian Pekerjaan Umum dan Perumahan Rakyat</v>
      </c>
      <c r="F17" s="10" t="str">
        <f>DATA!H12</f>
        <v>Development and Improvement of National Bridges Program</v>
      </c>
      <c r="G17" s="10" t="str">
        <f>DATA!I12</f>
        <v>B</v>
      </c>
      <c r="H17" s="10" t="str">
        <f>DATA!J12</f>
        <v xml:space="preserve">Program Pembangunan / Peningkatan Jembatan </v>
      </c>
      <c r="I17" s="10">
        <f>DATA!K12</f>
        <v>3</v>
      </c>
      <c r="J17" s="181"/>
      <c r="K17" s="34"/>
      <c r="L17" s="34"/>
      <c r="M17" s="52">
        <v>4</v>
      </c>
      <c r="N17" s="199" t="str">
        <f>DATA!L12</f>
        <v>Development of Fly Over/ Under Pass in Major Cities</v>
      </c>
      <c r="O17" s="1402">
        <f>DATA!T12</f>
        <v>270000000</v>
      </c>
      <c r="P17" s="187">
        <f>DATA!U12</f>
        <v>270000000</v>
      </c>
      <c r="Q17" s="1446">
        <f>DATA!V12</f>
        <v>50000000</v>
      </c>
      <c r="R17" s="1446">
        <f>DATA!W12</f>
        <v>0</v>
      </c>
      <c r="S17" s="1447">
        <f t="shared" si="4"/>
        <v>320000000</v>
      </c>
      <c r="T17" s="1448"/>
      <c r="U17" s="1449" t="str">
        <f>DATA!Y12</f>
        <v>JICA</v>
      </c>
      <c r="V17" s="77">
        <f>DATA!AA12</f>
        <v>270000000</v>
      </c>
      <c r="W17" s="77">
        <v>0</v>
      </c>
      <c r="X17" s="1450" t="str">
        <f>DATA!Y12</f>
        <v>JICA</v>
      </c>
      <c r="Y17" s="109">
        <v>270000000</v>
      </c>
      <c r="Z17" s="109" t="s">
        <v>55</v>
      </c>
      <c r="AA17" s="1484" t="s">
        <v>879</v>
      </c>
      <c r="AB17" s="828"/>
      <c r="AC17" s="1485"/>
      <c r="AD17" s="1486"/>
      <c r="AE17" s="1486"/>
      <c r="AF17" s="1486"/>
      <c r="AG17" s="3253" t="s">
        <v>1149</v>
      </c>
      <c r="AH17" s="1509">
        <f>DATA!AT12</f>
        <v>270000000</v>
      </c>
      <c r="AI17" s="109" t="str">
        <f>DATA!AU12</f>
        <v>JICA</v>
      </c>
      <c r="AJ17" s="1544" t="str">
        <f>DATA!AW12</f>
        <v>-</v>
      </c>
      <c r="AK17" s="245">
        <f>DATA!AM12</f>
        <v>0</v>
      </c>
      <c r="AL17" s="1510" t="str">
        <f>DATA!AN12</f>
        <v>dalam proses
 (penyusunan FS)</v>
      </c>
      <c r="AM17" s="1511" t="str">
        <f>DATA!AO12</f>
        <v>belum ada keterangan</v>
      </c>
      <c r="AN17" s="1510">
        <f>DATA!AQ12</f>
        <v>0</v>
      </c>
      <c r="AO17" s="252" t="str">
        <f>DATA!AR12</f>
        <v>belum ada dokumen R/C</v>
      </c>
      <c r="AQ17" s="10">
        <f t="shared" si="0"/>
        <v>0</v>
      </c>
      <c r="AR17" s="10">
        <f t="shared" si="1"/>
        <v>270000000</v>
      </c>
      <c r="AS17" s="10">
        <f t="shared" si="2"/>
        <v>0</v>
      </c>
      <c r="AT17" s="10">
        <f t="shared" si="3"/>
        <v>0</v>
      </c>
    </row>
    <row r="18" spans="1:46" ht="36.75" customHeight="1">
      <c r="A18" s="10">
        <f>DATA!A13</f>
        <v>11</v>
      </c>
      <c r="B18" s="10">
        <f>DATA!B13</f>
        <v>0</v>
      </c>
      <c r="C18" s="10" t="str">
        <f>DATA!D13</f>
        <v>INFRASTRUKTUR</v>
      </c>
      <c r="D18" s="10">
        <f>DATA!E13</f>
        <v>1</v>
      </c>
      <c r="E18" s="10" t="str">
        <f>DATA!F13</f>
        <v>Kementerian Pekerjaan Umum dan Perumahan Rakyat</v>
      </c>
      <c r="F18" s="10" t="str">
        <f>DATA!H13</f>
        <v>Development and Improvement of National Bridges Program</v>
      </c>
      <c r="G18" s="10" t="str">
        <f>DATA!I13</f>
        <v>B</v>
      </c>
      <c r="H18" s="10" t="str">
        <f>DATA!J13</f>
        <v xml:space="preserve">Program Pembangunan / Peningkatan Jembatan </v>
      </c>
      <c r="I18" s="10">
        <f>DATA!K13</f>
        <v>4</v>
      </c>
      <c r="J18" s="181"/>
      <c r="K18" s="34"/>
      <c r="L18" s="34"/>
      <c r="M18" s="52">
        <v>5</v>
      </c>
      <c r="N18" s="199" t="str">
        <f>DATA!L13</f>
        <v>Balinka - Matur - Ngarai Sianok Tunnel Construction</v>
      </c>
      <c r="O18" s="1402">
        <f>DATA!T13</f>
        <v>175000000</v>
      </c>
      <c r="P18" s="187">
        <f>DATA!U13</f>
        <v>175000000</v>
      </c>
      <c r="Q18" s="1446">
        <f>DATA!V13</f>
        <v>8750000</v>
      </c>
      <c r="R18" s="1446">
        <f>DATA!W13</f>
        <v>0</v>
      </c>
      <c r="S18" s="1447">
        <f t="shared" si="4"/>
        <v>183750000</v>
      </c>
      <c r="T18" s="1448"/>
      <c r="U18" s="1449" t="str">
        <f>DATA!Y13</f>
        <v>Korea/RRT</v>
      </c>
      <c r="V18" s="77">
        <f>DATA!AA13</f>
        <v>175000000</v>
      </c>
      <c r="W18" s="77">
        <v>0</v>
      </c>
      <c r="X18" s="1450" t="str">
        <f>DATA!Y13</f>
        <v>Korea/RRT</v>
      </c>
      <c r="Y18" s="109">
        <v>175000000</v>
      </c>
      <c r="Z18" s="109" t="s">
        <v>613</v>
      </c>
      <c r="AA18" s="1484" t="s">
        <v>879</v>
      </c>
      <c r="AB18" s="828"/>
      <c r="AC18" s="1485"/>
      <c r="AD18" s="1486"/>
      <c r="AE18" s="1486"/>
      <c r="AF18" s="1486"/>
      <c r="AG18" s="3253" t="s">
        <v>1150</v>
      </c>
      <c r="AH18" s="1509">
        <f>DATA!AT13</f>
        <v>175000000</v>
      </c>
      <c r="AI18" s="109" t="str">
        <f>DATA!AU13</f>
        <v>Korea/RRT</v>
      </c>
      <c r="AJ18" s="1544" t="str">
        <f>DATA!AW13</f>
        <v>- RRT dan Korea belum ada keputusan</v>
      </c>
      <c r="AK18" s="245">
        <f>DATA!AM13</f>
        <v>0</v>
      </c>
      <c r="AL18" s="1510" t="str">
        <f>DATA!AN13</f>
        <v>dalam proses
(memiliki FS dan DED)</v>
      </c>
      <c r="AM18" s="1511" t="str">
        <f>DATA!AO13</f>
        <v>belum ada keterangan</v>
      </c>
      <c r="AN18" s="1510">
        <f>DATA!AQ13</f>
        <v>0</v>
      </c>
      <c r="AO18" s="252" t="str">
        <f>DATA!AR13</f>
        <v>belum ada dokumen R/C</v>
      </c>
      <c r="AQ18" s="109">
        <v>175000000</v>
      </c>
      <c r="AR18" s="10">
        <f t="shared" si="1"/>
        <v>0</v>
      </c>
      <c r="AS18" s="10">
        <f t="shared" si="2"/>
        <v>0</v>
      </c>
      <c r="AT18" s="10">
        <f t="shared" si="3"/>
        <v>0</v>
      </c>
    </row>
    <row r="19" spans="1:46" ht="24.75" customHeight="1">
      <c r="A19" s="10">
        <f>DATA!A14</f>
        <v>12</v>
      </c>
      <c r="B19" s="10">
        <f>DATA!B14</f>
        <v>0</v>
      </c>
      <c r="C19" s="10" t="str">
        <f>DATA!D14</f>
        <v>INFRASTRUKTUR</v>
      </c>
      <c r="D19" s="10">
        <f>DATA!E14</f>
        <v>1</v>
      </c>
      <c r="E19" s="10" t="str">
        <f>DATA!F14</f>
        <v>Kementerian Pekerjaan Umum dan Perumahan Rakyat</v>
      </c>
      <c r="F19" s="10" t="str">
        <f>DATA!H14</f>
        <v>Development and Improvement of National Bridges Program</v>
      </c>
      <c r="G19" s="10" t="str">
        <f>DATA!I14</f>
        <v>B</v>
      </c>
      <c r="H19" s="10" t="str">
        <f>DATA!J14</f>
        <v xml:space="preserve">Program Pembangunan / Peningkatan Jembatan </v>
      </c>
      <c r="I19" s="10">
        <f>DATA!K14</f>
        <v>5</v>
      </c>
      <c r="J19" s="181"/>
      <c r="K19" s="34"/>
      <c r="L19" s="54"/>
      <c r="M19" s="52">
        <v>6</v>
      </c>
      <c r="N19" s="199" t="str">
        <f>DATA!L14</f>
        <v>Long Span Bridge Development for Selected Area</v>
      </c>
      <c r="O19" s="1402">
        <f>DATA!T14</f>
        <v>355000000</v>
      </c>
      <c r="P19" s="187">
        <f>DATA!U14</f>
        <v>355000000</v>
      </c>
      <c r="Q19" s="1446">
        <f>DATA!V14</f>
        <v>17750000</v>
      </c>
      <c r="R19" s="1446">
        <f>DATA!W14</f>
        <v>0</v>
      </c>
      <c r="S19" s="1447">
        <f t="shared" si="4"/>
        <v>372750000</v>
      </c>
      <c r="T19" s="1448"/>
      <c r="U19" s="1449" t="str">
        <f>DATA!Y14</f>
        <v>Korea/RRT</v>
      </c>
      <c r="V19" s="77">
        <f>DATA!AA14</f>
        <v>355000000</v>
      </c>
      <c r="W19" s="77">
        <v>0</v>
      </c>
      <c r="X19" s="1450" t="str">
        <f>DATA!Y14</f>
        <v>Korea/RRT</v>
      </c>
      <c r="Y19" s="109">
        <v>355000000</v>
      </c>
      <c r="Z19" s="109" t="s">
        <v>633</v>
      </c>
      <c r="AA19" s="1484" t="s">
        <v>879</v>
      </c>
      <c r="AB19" s="828"/>
      <c r="AC19" s="828"/>
      <c r="AD19" s="1342"/>
      <c r="AE19" s="1572"/>
      <c r="AF19" s="1489"/>
      <c r="AG19" s="252"/>
      <c r="AH19" s="1509">
        <f>DATA!AT14</f>
        <v>355000000</v>
      </c>
      <c r="AI19" s="109" t="str">
        <f>DATA!AU14</f>
        <v>Korea/RRT</v>
      </c>
      <c r="AJ19" s="1544" t="str">
        <f>DATA!AW14</f>
        <v>- RRT dan Korea belum ada keputusan</v>
      </c>
      <c r="AK19" s="245">
        <f>DATA!AM14</f>
        <v>0</v>
      </c>
      <c r="AL19" s="1510" t="str">
        <f>DATA!AN14</f>
        <v>belum ada keterangan</v>
      </c>
      <c r="AM19" s="1511" t="str">
        <f>DATA!AO14</f>
        <v>belum ada keterangan</v>
      </c>
      <c r="AN19" s="1510">
        <f>DATA!AQ14</f>
        <v>0</v>
      </c>
      <c r="AO19" s="252" t="str">
        <f>DATA!AR14</f>
        <v>belum ada dokumen R/C</v>
      </c>
      <c r="AQ19" s="10">
        <f t="shared" ref="AQ19:AQ83" si="5">IF(Z19="RRT",Y19,0)</f>
        <v>0</v>
      </c>
      <c r="AR19" s="10">
        <f t="shared" si="1"/>
        <v>0</v>
      </c>
      <c r="AS19" s="10">
        <f t="shared" si="2"/>
        <v>355000000</v>
      </c>
      <c r="AT19" s="10">
        <f t="shared" si="3"/>
        <v>0</v>
      </c>
    </row>
    <row r="20" spans="1:46" s="5" customFormat="1" ht="33.75" customHeight="1">
      <c r="J20" s="180"/>
      <c r="K20" s="50"/>
      <c r="L20" s="30" t="str">
        <f>DATA!I15</f>
        <v>C</v>
      </c>
      <c r="M20" s="31" t="str">
        <f>DATA!J16</f>
        <v>Program Pembangunan / Peningkatan Jalan</v>
      </c>
      <c r="N20" s="1419"/>
      <c r="O20" s="214" t="e">
        <f>O21+#REF!+O22+O23+O24+O26+O27+O28</f>
        <v>#REF!</v>
      </c>
      <c r="P20" s="197" t="e">
        <f>P21+P22+P23+P24+P26+P27+P28</f>
        <v>#NAME?</v>
      </c>
      <c r="Q20" s="1436">
        <f>SUM(Q21:Q28)</f>
        <v>350000000</v>
      </c>
      <c r="R20" s="1436" t="e">
        <f>R21+#REF!+R22+R23+R24+R26+R27+R28+#REF!</f>
        <v>#REF!</v>
      </c>
      <c r="S20" s="244" t="e">
        <f t="shared" si="4"/>
        <v>#NAME?</v>
      </c>
      <c r="T20" s="1437"/>
      <c r="U20" s="198"/>
      <c r="V20" s="81">
        <f>SUM(V21:V28)</f>
        <v>1705000000</v>
      </c>
      <c r="W20" s="81">
        <f>SUM(W21:W28)</f>
        <v>0</v>
      </c>
      <c r="X20" s="243">
        <f>SUM(X21:X28)</f>
        <v>0</v>
      </c>
      <c r="Y20" s="81">
        <f>Y21+Y22+Y23+Y24+Y26+Y27+Y28+Y25</f>
        <v>1705000000</v>
      </c>
      <c r="Z20" s="81"/>
      <c r="AA20" s="1469"/>
      <c r="AB20" s="1470"/>
      <c r="AC20" s="1470"/>
      <c r="AD20" s="1569"/>
      <c r="AE20" s="1653"/>
      <c r="AF20" s="1568"/>
      <c r="AG20" s="1577"/>
      <c r="AH20" s="198">
        <f>SUM(AH21:AH28)</f>
        <v>1705000000</v>
      </c>
      <c r="AI20" s="81" t="s">
        <v>21</v>
      </c>
      <c r="AJ20" s="214">
        <f>SUM(AJ21:AJ28)</f>
        <v>0</v>
      </c>
      <c r="AK20" s="1505"/>
      <c r="AL20" s="1506"/>
      <c r="AM20" s="169"/>
      <c r="AN20" s="1507"/>
      <c r="AO20" s="1530"/>
      <c r="AQ20" s="10">
        <f t="shared" si="5"/>
        <v>0</v>
      </c>
      <c r="AR20" s="10">
        <f t="shared" si="1"/>
        <v>0</v>
      </c>
      <c r="AS20" s="10">
        <f t="shared" si="2"/>
        <v>0</v>
      </c>
      <c r="AT20" s="10">
        <f t="shared" si="3"/>
        <v>0</v>
      </c>
    </row>
    <row r="21" spans="1:46" s="5" customFormat="1" ht="65.25" customHeight="1">
      <c r="J21" s="180"/>
      <c r="K21" s="50"/>
      <c r="L21" s="55"/>
      <c r="M21" s="36">
        <v>7</v>
      </c>
      <c r="N21" s="199" t="str">
        <f>DATA!L15</f>
        <v>Urban Arterial Road Improvement Project</v>
      </c>
      <c r="O21" s="1557">
        <f>DATA!T15</f>
        <v>250000000</v>
      </c>
      <c r="P21" s="200">
        <f>DATA!U15</f>
        <v>205000000</v>
      </c>
      <c r="Q21" s="1564">
        <f>DATA!V15</f>
        <v>50000000</v>
      </c>
      <c r="R21" s="1564">
        <f>DATA!W15</f>
        <v>0</v>
      </c>
      <c r="S21" s="1447">
        <f t="shared" si="4"/>
        <v>255000000</v>
      </c>
      <c r="T21" s="1448"/>
      <c r="U21" s="1449" t="str">
        <f>DATA!Y15</f>
        <v>JICA</v>
      </c>
      <c r="V21" s="87">
        <f>DATA!AA15</f>
        <v>205000000</v>
      </c>
      <c r="W21" s="87">
        <v>0</v>
      </c>
      <c r="X21" s="1450" t="str">
        <f>DATA!Y15</f>
        <v>JICA</v>
      </c>
      <c r="Y21" s="109">
        <v>205000000</v>
      </c>
      <c r="Z21" s="109" t="s">
        <v>55</v>
      </c>
      <c r="AA21" s="1484" t="s">
        <v>879</v>
      </c>
      <c r="AB21" s="828"/>
      <c r="AC21" s="1485"/>
      <c r="AD21" s="1486"/>
      <c r="AE21" s="1486"/>
      <c r="AF21" s="1486"/>
      <c r="AG21" s="3253" t="s">
        <v>1151</v>
      </c>
      <c r="AH21" s="1509">
        <f>DATA!AT15</f>
        <v>205000000</v>
      </c>
      <c r="AI21" s="109" t="str">
        <f>DATA!AU15</f>
        <v>JICA</v>
      </c>
      <c r="AJ21" s="1544" t="str">
        <f>DATA!AW15</f>
        <v>-</v>
      </c>
      <c r="AK21" s="1510">
        <f>DATA!AM15</f>
        <v>0</v>
      </c>
      <c r="AL21" s="1510" t="str">
        <f>DATA!AN15</f>
        <v>siap</v>
      </c>
      <c r="AM21" s="1511" t="str">
        <f>DATA!AO15</f>
        <v>belum ada keterangan</v>
      </c>
      <c r="AN21" s="1510">
        <f>DATA!AQ15</f>
        <v>0</v>
      </c>
      <c r="AO21" s="1533" t="str">
        <f>DATA!AR15</f>
        <v>- nilai proyek berkurang USD 45 juta, dialihkan untuk kegiatan ESP
- belum ada dokumen R/C</v>
      </c>
      <c r="AQ21" s="10">
        <f t="shared" si="5"/>
        <v>0</v>
      </c>
      <c r="AR21" s="10">
        <f t="shared" si="1"/>
        <v>205000000</v>
      </c>
      <c r="AS21" s="10">
        <f t="shared" si="2"/>
        <v>0</v>
      </c>
      <c r="AT21" s="10">
        <f t="shared" si="3"/>
        <v>0</v>
      </c>
    </row>
    <row r="22" spans="1:46" ht="39.75" customHeight="1">
      <c r="A22" s="10">
        <f>DATA!A17</f>
        <v>15</v>
      </c>
      <c r="B22" s="10">
        <f>DATA!B17</f>
        <v>0</v>
      </c>
      <c r="C22" s="10" t="str">
        <f>DATA!D17</f>
        <v>INFRASTRUKTUR</v>
      </c>
      <c r="D22" s="10">
        <f>DATA!E17</f>
        <v>1</v>
      </c>
      <c r="E22" s="10" t="str">
        <f>DATA!F17</f>
        <v>Kementerian Pekerjaan Umum dan Perumahan Rakyat</v>
      </c>
      <c r="F22" s="10" t="str">
        <f>DATA!H17</f>
        <v>Development and Improvement of National Roads Program</v>
      </c>
      <c r="G22" s="10" t="str">
        <f>DATA!I17</f>
        <v>C</v>
      </c>
      <c r="H22" s="10" t="str">
        <f>DATA!J17</f>
        <v>Program Pembangunan / Peningkatan Jalan</v>
      </c>
      <c r="I22" s="10">
        <f>DATA!K17</f>
        <v>3</v>
      </c>
      <c r="J22" s="181"/>
      <c r="K22" s="34"/>
      <c r="L22" s="34"/>
      <c r="M22" s="36">
        <v>8</v>
      </c>
      <c r="N22" s="199" t="str">
        <f>DATA!L17</f>
        <v>Road Improvement Project to Support Integrated Land and Sea Toll Way - Northern Area</v>
      </c>
      <c r="O22" s="1402">
        <f>DATA!T17</f>
        <v>250000000</v>
      </c>
      <c r="P22" s="187">
        <f>DATA!U17</f>
        <v>250000000</v>
      </c>
      <c r="Q22" s="1564">
        <f>DATA!V17</f>
        <v>50000000</v>
      </c>
      <c r="R22" s="1564">
        <f>DATA!W17</f>
        <v>0</v>
      </c>
      <c r="S22" s="1447">
        <f t="shared" si="4"/>
        <v>300000000</v>
      </c>
      <c r="T22" s="1448"/>
      <c r="U22" s="1449" t="str">
        <f>DATA!Y17</f>
        <v>Bank Dunia</v>
      </c>
      <c r="V22" s="77">
        <f>DATA!AA17</f>
        <v>250000000</v>
      </c>
      <c r="W22" s="77">
        <v>0</v>
      </c>
      <c r="X22" s="1450" t="str">
        <f>DATA!Y17</f>
        <v>Bank Dunia</v>
      </c>
      <c r="Y22" s="109">
        <v>250000000</v>
      </c>
      <c r="Z22" s="109" t="s">
        <v>62</v>
      </c>
      <c r="AA22" s="1484" t="s">
        <v>879</v>
      </c>
      <c r="AB22" s="828"/>
      <c r="AC22" s="1485"/>
      <c r="AD22" s="1486"/>
      <c r="AE22" s="1486"/>
      <c r="AF22" s="1486"/>
      <c r="AG22" s="1508" t="s">
        <v>1152</v>
      </c>
      <c r="AH22" s="1509">
        <f>DATA!AT17</f>
        <v>250000000</v>
      </c>
      <c r="AI22" s="109" t="str">
        <f>DATA!AU17</f>
        <v>Bank Dunia</v>
      </c>
      <c r="AJ22" s="1544" t="str">
        <f>DATA!AW17</f>
        <v>-</v>
      </c>
      <c r="AK22" s="1510">
        <f>DATA!AM17</f>
        <v>0</v>
      </c>
      <c r="AL22" s="1510" t="str">
        <f>DATA!AN17</f>
        <v>belum ada keterangan</v>
      </c>
      <c r="AM22" s="1511" t="str">
        <f>DATA!AO17</f>
        <v>belum ada keterangan</v>
      </c>
      <c r="AN22" s="1510">
        <f>DATA!AQ17</f>
        <v>0</v>
      </c>
      <c r="AO22" s="1533" t="str">
        <f>DATA!AR17</f>
        <v>belum ada dokumen R/C</v>
      </c>
      <c r="AQ22" s="10">
        <f t="shared" si="5"/>
        <v>0</v>
      </c>
      <c r="AR22" s="10">
        <f t="shared" si="1"/>
        <v>0</v>
      </c>
      <c r="AS22" s="10">
        <f t="shared" si="2"/>
        <v>0</v>
      </c>
      <c r="AT22" s="10">
        <f t="shared" si="3"/>
        <v>0</v>
      </c>
    </row>
    <row r="23" spans="1:46" ht="38.25" customHeight="1">
      <c r="A23" s="10">
        <f>DATA!A18</f>
        <v>16</v>
      </c>
      <c r="B23" s="10">
        <f>DATA!B18</f>
        <v>0</v>
      </c>
      <c r="C23" s="10" t="str">
        <f>DATA!D18</f>
        <v>INFRASTRUKTUR</v>
      </c>
      <c r="D23" s="10">
        <f>DATA!E18</f>
        <v>1</v>
      </c>
      <c r="E23" s="10" t="str">
        <f>DATA!F18</f>
        <v>Kementerian Pekerjaan Umum dan Perumahan Rakyat</v>
      </c>
      <c r="F23" s="10" t="str">
        <f>DATA!H18</f>
        <v>Development and Improvement of National Roads Program</v>
      </c>
      <c r="G23" s="10" t="str">
        <f>DATA!I18</f>
        <v>C</v>
      </c>
      <c r="H23" s="10" t="str">
        <f>DATA!J18</f>
        <v>Program Pembangunan / Peningkatan Jalan</v>
      </c>
      <c r="I23" s="10">
        <f>DATA!K18</f>
        <v>4</v>
      </c>
      <c r="J23" s="181"/>
      <c r="K23" s="34"/>
      <c r="L23" s="34"/>
      <c r="M23" s="36">
        <v>9</v>
      </c>
      <c r="N23" s="199" t="str">
        <f>DATA!L18</f>
        <v>Road Improvement Project to Support Integrated Land and Sea Toll Way - Southern Area</v>
      </c>
      <c r="O23" s="1402">
        <f>DATA!T18</f>
        <v>250000000</v>
      </c>
      <c r="P23" s="187">
        <f>DATA!U18</f>
        <v>250000000</v>
      </c>
      <c r="Q23" s="1564">
        <f>DATA!V18</f>
        <v>50000000</v>
      </c>
      <c r="R23" s="1564">
        <f>DATA!W18</f>
        <v>0</v>
      </c>
      <c r="S23" s="1447">
        <f t="shared" si="4"/>
        <v>300000000</v>
      </c>
      <c r="T23" s="1448"/>
      <c r="U23" s="1449" t="str">
        <f>DATA!Y18</f>
        <v>Bank Dunia/ADB</v>
      </c>
      <c r="V23" s="77">
        <f>DATA!AA18</f>
        <v>250000000</v>
      </c>
      <c r="W23" s="77">
        <v>0</v>
      </c>
      <c r="X23" s="1450" t="str">
        <f>DATA!Y18</f>
        <v>Bank Dunia/ADB</v>
      </c>
      <c r="Y23" s="109">
        <v>250000000</v>
      </c>
      <c r="Z23" s="109" t="s">
        <v>62</v>
      </c>
      <c r="AA23" s="1484" t="s">
        <v>879</v>
      </c>
      <c r="AB23" s="828"/>
      <c r="AC23" s="1485"/>
      <c r="AD23" s="1486"/>
      <c r="AE23" s="1486"/>
      <c r="AF23" s="1486"/>
      <c r="AG23" s="1508" t="s">
        <v>1152</v>
      </c>
      <c r="AH23" s="1509">
        <f>DATA!AT18</f>
        <v>250000000</v>
      </c>
      <c r="AI23" s="109" t="str">
        <f>DATA!AU18</f>
        <v>Bank Dunia</v>
      </c>
      <c r="AJ23" s="1544" t="str">
        <f>DATA!AW18</f>
        <v>- usulan K/L lender: Bank Dunia/ADB. 
- Hanya Bank Dunia saja yang berminat.</v>
      </c>
      <c r="AK23" s="1510">
        <f>DATA!AM18</f>
        <v>0</v>
      </c>
      <c r="AL23" s="1510" t="str">
        <f>DATA!AN18</f>
        <v>belum ada keterangan</v>
      </c>
      <c r="AM23" s="1511" t="str">
        <f>DATA!AO18</f>
        <v>belum ada keterangan</v>
      </c>
      <c r="AN23" s="1510">
        <f>DATA!AQ18</f>
        <v>0</v>
      </c>
      <c r="AO23" s="1533" t="str">
        <f>DATA!AR18</f>
        <v>belum ada dokumen R/C</v>
      </c>
      <c r="AQ23" s="10">
        <f t="shared" si="5"/>
        <v>0</v>
      </c>
      <c r="AR23" s="10">
        <f t="shared" si="1"/>
        <v>0</v>
      </c>
      <c r="AS23" s="10">
        <f t="shared" si="2"/>
        <v>0</v>
      </c>
      <c r="AT23" s="10">
        <f t="shared" si="3"/>
        <v>0</v>
      </c>
    </row>
    <row r="24" spans="1:46" ht="78" customHeight="1">
      <c r="A24" s="10">
        <f>DATA!A19</f>
        <v>17</v>
      </c>
      <c r="B24" s="10">
        <f>DATA!B19</f>
        <v>0</v>
      </c>
      <c r="C24" s="10" t="str">
        <f>DATA!D19</f>
        <v>INFRASTRUKTUR</v>
      </c>
      <c r="D24" s="10">
        <f>DATA!E19</f>
        <v>1</v>
      </c>
      <c r="E24" s="10" t="str">
        <f>DATA!F19</f>
        <v>Kementerian Pekerjaan Umum dan Perumahan Rakyat</v>
      </c>
      <c r="F24" s="10" t="str">
        <f>DATA!H19</f>
        <v>Development and Improvement of National Roads Program</v>
      </c>
      <c r="G24" s="10" t="str">
        <f>DATA!I19</f>
        <v>C</v>
      </c>
      <c r="H24" s="10" t="str">
        <f>DATA!J19</f>
        <v>Program Pembangunan / Peningkatan Jalan</v>
      </c>
      <c r="I24" s="10">
        <f>DATA!K19</f>
        <v>5</v>
      </c>
      <c r="J24" s="181"/>
      <c r="K24" s="34"/>
      <c r="L24" s="34"/>
      <c r="M24" s="36">
        <v>10</v>
      </c>
      <c r="N24" s="199" t="str">
        <f>DATA!L19</f>
        <v>National Road Improvement in West and South Kalimantan</v>
      </c>
      <c r="O24" s="1402">
        <f>DATA!T19</f>
        <v>250000000</v>
      </c>
      <c r="P24" s="187">
        <f>DATA!U19</f>
        <v>250000000</v>
      </c>
      <c r="Q24" s="1564">
        <f>DATA!V19</f>
        <v>50000000</v>
      </c>
      <c r="R24" s="1564">
        <f>DATA!W19</f>
        <v>0</v>
      </c>
      <c r="S24" s="1447">
        <f t="shared" si="4"/>
        <v>300000000</v>
      </c>
      <c r="T24" s="1448"/>
      <c r="U24" s="1449" t="str">
        <f>DATA!Y19</f>
        <v>IDB</v>
      </c>
      <c r="V24" s="77">
        <f>DATA!AA19</f>
        <v>250000000</v>
      </c>
      <c r="W24" s="77">
        <v>0</v>
      </c>
      <c r="X24" s="1450" t="str">
        <f>DATA!Y19</f>
        <v>IDB</v>
      </c>
      <c r="Y24" s="109">
        <v>125000000</v>
      </c>
      <c r="Z24" s="109" t="s">
        <v>58</v>
      </c>
      <c r="AA24" s="1484" t="s">
        <v>879</v>
      </c>
      <c r="AB24" s="828"/>
      <c r="AC24" s="1485"/>
      <c r="AD24" s="1486"/>
      <c r="AE24" s="1486"/>
      <c r="AF24" s="1486"/>
      <c r="AG24" s="3624" t="s">
        <v>1153</v>
      </c>
      <c r="AH24" s="1509">
        <f>DATA!AT19</f>
        <v>250000000</v>
      </c>
      <c r="AI24" s="109" t="str">
        <f>DATA!AU19</f>
        <v>IDB</v>
      </c>
      <c r="AJ24" s="1544" t="str">
        <f>DATA!AW19</f>
        <v>-</v>
      </c>
      <c r="AK24" s="1510">
        <f>DATA!AM19</f>
        <v>0</v>
      </c>
      <c r="AL24" s="1510" t="str">
        <f>DATA!AN19</f>
        <v>belum ada keterangan</v>
      </c>
      <c r="AM24" s="1511" t="str">
        <f>DATA!AO19</f>
        <v>belum ada keterangan</v>
      </c>
      <c r="AN24" s="1510">
        <f>DATA!AQ19</f>
        <v>0</v>
      </c>
      <c r="AO24" s="1533" t="str">
        <f>DATA!AR19</f>
        <v>belum ada dokumen R/C</v>
      </c>
      <c r="AQ24" s="10">
        <f t="shared" si="5"/>
        <v>0</v>
      </c>
      <c r="AR24" s="10">
        <f t="shared" si="1"/>
        <v>0</v>
      </c>
      <c r="AS24" s="10">
        <f t="shared" si="2"/>
        <v>0</v>
      </c>
      <c r="AT24" s="10">
        <f t="shared" si="3"/>
        <v>0</v>
      </c>
    </row>
    <row r="25" spans="1:46" ht="78" customHeight="1">
      <c r="J25" s="181"/>
      <c r="K25" s="34"/>
      <c r="L25" s="34"/>
      <c r="M25" s="36"/>
      <c r="N25" s="199"/>
      <c r="O25" s="1402"/>
      <c r="P25" s="187"/>
      <c r="Q25" s="1564"/>
      <c r="R25" s="1564"/>
      <c r="S25" s="1447"/>
      <c r="T25" s="1448"/>
      <c r="U25" s="1449"/>
      <c r="V25" s="77"/>
      <c r="W25" s="77"/>
      <c r="X25" s="1450"/>
      <c r="Y25" s="109">
        <v>125000000</v>
      </c>
      <c r="Z25" s="109" t="s">
        <v>1154</v>
      </c>
      <c r="AA25" s="1477" t="s">
        <v>879</v>
      </c>
      <c r="AB25" s="1478"/>
      <c r="AC25" s="1479"/>
      <c r="AD25" s="1480"/>
      <c r="AE25" s="1480"/>
      <c r="AF25" s="1480"/>
      <c r="AG25" s="3625"/>
      <c r="AH25" s="1509"/>
      <c r="AI25" s="109"/>
      <c r="AJ25" s="1544"/>
      <c r="AK25" s="1510"/>
      <c r="AL25" s="1510"/>
      <c r="AM25" s="1511"/>
      <c r="AN25" s="1510"/>
      <c r="AO25" s="1533"/>
      <c r="AQ25" s="10">
        <f t="shared" si="5"/>
        <v>0</v>
      </c>
      <c r="AR25" s="10">
        <f t="shared" si="1"/>
        <v>0</v>
      </c>
      <c r="AS25" s="10">
        <f t="shared" si="2"/>
        <v>0</v>
      </c>
      <c r="AT25" s="10">
        <f t="shared" si="3"/>
        <v>0</v>
      </c>
    </row>
    <row r="26" spans="1:46" ht="29.25" customHeight="1">
      <c r="A26" s="10">
        <f>DATA!A20</f>
        <v>18</v>
      </c>
      <c r="B26" s="10">
        <f>DATA!B20</f>
        <v>0</v>
      </c>
      <c r="C26" s="10" t="str">
        <f>DATA!D20</f>
        <v>INFRASTRUKTUR</v>
      </c>
      <c r="D26" s="10">
        <f>DATA!E20</f>
        <v>1</v>
      </c>
      <c r="E26" s="10" t="str">
        <f>DATA!F20</f>
        <v>Kementerian Pekerjaan Umum dan Perumahan Rakyat</v>
      </c>
      <c r="F26" s="10" t="str">
        <f>DATA!H20</f>
        <v>Development and Improvement of National Roads Program</v>
      </c>
      <c r="G26" s="10" t="str">
        <f>DATA!I20</f>
        <v>C</v>
      </c>
      <c r="H26" s="10" t="str">
        <f>DATA!J20</f>
        <v>Program Pembangunan / Peningkatan Jalan</v>
      </c>
      <c r="I26" s="10">
        <f>DATA!K20</f>
        <v>6</v>
      </c>
      <c r="J26" s="181"/>
      <c r="K26" s="34"/>
      <c r="L26" s="34"/>
      <c r="M26" s="36">
        <v>11</v>
      </c>
      <c r="N26" s="199" t="str">
        <f>DATA!L20</f>
        <v>National Road Improvement in Central Kalimantan</v>
      </c>
      <c r="O26" s="1402">
        <f>DATA!T20</f>
        <v>250000000</v>
      </c>
      <c r="P26" s="187" t="e">
        <f>'ALL-USD40.1M'!Y202\</f>
        <v>#NAME?</v>
      </c>
      <c r="Q26" s="1564">
        <f>DATA!V20</f>
        <v>50000000</v>
      </c>
      <c r="R26" s="1564">
        <f>DATA!W20</f>
        <v>0</v>
      </c>
      <c r="S26" s="1447" t="e">
        <f t="shared" si="4"/>
        <v>#NAME?</v>
      </c>
      <c r="T26" s="1448"/>
      <c r="U26" s="1449" t="str">
        <f>DATA!Y20</f>
        <v>Bank Dunia/ADB</v>
      </c>
      <c r="V26" s="77">
        <f>DATA!AA20</f>
        <v>250000000</v>
      </c>
      <c r="W26" s="77">
        <v>0</v>
      </c>
      <c r="X26" s="1450" t="str">
        <f>DATA!Y20</f>
        <v>Bank Dunia/ADB</v>
      </c>
      <c r="Y26" s="109">
        <v>250000000</v>
      </c>
      <c r="Z26" s="109" t="s">
        <v>633</v>
      </c>
      <c r="AA26" s="1484" t="s">
        <v>879</v>
      </c>
      <c r="AB26" s="828"/>
      <c r="AC26" s="1485"/>
      <c r="AD26" s="1486"/>
      <c r="AE26" s="1486"/>
      <c r="AF26" s="1486"/>
      <c r="AG26" s="1514"/>
      <c r="AH26" s="1509">
        <f>DATA!AT20</f>
        <v>250000000</v>
      </c>
      <c r="AI26" s="109" t="str">
        <f>DATA!AU20</f>
        <v>Belum Ada Indikasi</v>
      </c>
      <c r="AJ26" s="1544" t="str">
        <f>DATA!AW20</f>
        <v>usulan K/L lender: Bank Dunia/ADB. Kedua calon lender tidak berminat mendanai proyek ini.</v>
      </c>
      <c r="AK26" s="1510">
        <f>DATA!AM20</f>
        <v>0</v>
      </c>
      <c r="AL26" s="1510" t="str">
        <f>DATA!AN20</f>
        <v>siap</v>
      </c>
      <c r="AM26" s="1511" t="str">
        <f>DATA!AO20</f>
        <v>belum ada keterangan</v>
      </c>
      <c r="AN26" s="1510">
        <f>DATA!AQ20</f>
        <v>0</v>
      </c>
      <c r="AO26" s="1533" t="str">
        <f>DATA!AR20</f>
        <v>belum ada dokumen R/C</v>
      </c>
      <c r="AQ26" s="10">
        <f t="shared" si="5"/>
        <v>0</v>
      </c>
      <c r="AR26" s="10">
        <f t="shared" si="1"/>
        <v>0</v>
      </c>
      <c r="AS26" s="10">
        <f t="shared" si="2"/>
        <v>250000000</v>
      </c>
      <c r="AT26" s="10">
        <f t="shared" si="3"/>
        <v>0</v>
      </c>
    </row>
    <row r="27" spans="1:46" ht="34.5" customHeight="1">
      <c r="A27" s="10">
        <f>DATA!A21</f>
        <v>19</v>
      </c>
      <c r="B27" s="10">
        <f>DATA!B21</f>
        <v>0</v>
      </c>
      <c r="C27" s="10" t="str">
        <f>DATA!D21</f>
        <v>INFRASTRUKTUR</v>
      </c>
      <c r="D27" s="10">
        <f>DATA!E21</f>
        <v>1</v>
      </c>
      <c r="E27" s="10" t="str">
        <f>DATA!F21</f>
        <v>Kementerian Pekerjaan Umum dan Perumahan Rakyat</v>
      </c>
      <c r="F27" s="10" t="str">
        <f>DATA!H21</f>
        <v>Development and Improvement of National Roads Program</v>
      </c>
      <c r="G27" s="10" t="str">
        <f>DATA!I21</f>
        <v>C</v>
      </c>
      <c r="H27" s="10" t="str">
        <f>DATA!J21</f>
        <v>Program Pembangunan / Peningkatan Jalan</v>
      </c>
      <c r="I27" s="10">
        <f>DATA!K21</f>
        <v>7</v>
      </c>
      <c r="J27" s="181"/>
      <c r="K27" s="34"/>
      <c r="L27" s="34"/>
      <c r="M27" s="36">
        <v>12</v>
      </c>
      <c r="N27" s="199" t="str">
        <f>DATA!L21</f>
        <v>National Road Improvement in North and East Kalimantan</v>
      </c>
      <c r="O27" s="1402">
        <f>DATA!T21</f>
        <v>250000000</v>
      </c>
      <c r="P27" s="187">
        <f>DATA!U21</f>
        <v>250000000</v>
      </c>
      <c r="Q27" s="1564">
        <f>DATA!V21</f>
        <v>50000000</v>
      </c>
      <c r="R27" s="1564">
        <f>DATA!W21</f>
        <v>0</v>
      </c>
      <c r="S27" s="1447">
        <f t="shared" si="4"/>
        <v>300000000</v>
      </c>
      <c r="T27" s="1448"/>
      <c r="U27" s="1449" t="str">
        <f>DATA!Y21</f>
        <v>IDB</v>
      </c>
      <c r="V27" s="77">
        <f>DATA!AA21</f>
        <v>250000000</v>
      </c>
      <c r="W27" s="77">
        <v>0</v>
      </c>
      <c r="X27" s="1450" t="str">
        <f>DATA!Y21</f>
        <v>IDB</v>
      </c>
      <c r="Y27" s="109">
        <v>250000000</v>
      </c>
      <c r="Z27" s="109" t="s">
        <v>636</v>
      </c>
      <c r="AA27" s="1484" t="s">
        <v>879</v>
      </c>
      <c r="AB27" s="828"/>
      <c r="AC27" s="1485"/>
      <c r="AD27" s="1486"/>
      <c r="AE27" s="1486"/>
      <c r="AF27" s="1486"/>
      <c r="AG27" s="1508" t="s">
        <v>1155</v>
      </c>
      <c r="AH27" s="1509">
        <f>DATA!AT21</f>
        <v>250000000</v>
      </c>
      <c r="AI27" s="109" t="str">
        <f>DATA!AU21</f>
        <v>AIIB</v>
      </c>
      <c r="AJ27" s="1544" t="str">
        <f>DATA!AW21</f>
        <v>- usulan K/L semula lender: IDB. 
- Pihak IDB tidak berminat mendanai kegiatan ini, diusulkan kepada AIIB.</v>
      </c>
      <c r="AK27" s="1510">
        <f>DATA!AM21</f>
        <v>0</v>
      </c>
      <c r="AL27" s="1510" t="str">
        <f>DATA!AN21</f>
        <v>siap</v>
      </c>
      <c r="AM27" s="1511" t="str">
        <f>DATA!AO21</f>
        <v>belum ada keterangan</v>
      </c>
      <c r="AN27" s="1510">
        <f>DATA!AQ21</f>
        <v>0</v>
      </c>
      <c r="AO27" s="1533" t="str">
        <f>DATA!AR21</f>
        <v>belum ada dokumen R/C</v>
      </c>
      <c r="AQ27" s="10">
        <f t="shared" si="5"/>
        <v>0</v>
      </c>
      <c r="AR27" s="10">
        <f t="shared" si="1"/>
        <v>0</v>
      </c>
      <c r="AS27" s="10">
        <f t="shared" si="2"/>
        <v>0</v>
      </c>
      <c r="AT27" s="10">
        <f t="shared" si="3"/>
        <v>0</v>
      </c>
    </row>
    <row r="28" spans="1:46" ht="36" customHeight="1">
      <c r="A28" s="10">
        <f>DATA!A22</f>
        <v>20</v>
      </c>
      <c r="B28" s="10">
        <f>DATA!B22</f>
        <v>0</v>
      </c>
      <c r="C28" s="10" t="str">
        <f>DATA!D22</f>
        <v>INFRASTRUKTUR</v>
      </c>
      <c r="D28" s="10">
        <f>DATA!E22</f>
        <v>1</v>
      </c>
      <c r="E28" s="10" t="str">
        <f>DATA!F22</f>
        <v>Kementerian Pekerjaan Umum dan Perumahan Rakyat</v>
      </c>
      <c r="F28" s="10" t="str">
        <f>DATA!H22</f>
        <v>Development and Improvement of National Roads Program</v>
      </c>
      <c r="G28" s="10" t="str">
        <f>DATA!I22</f>
        <v>C</v>
      </c>
      <c r="H28" s="10" t="str">
        <f>DATA!J22</f>
        <v>Program Pembangunan / Peningkatan Jalan</v>
      </c>
      <c r="I28" s="10">
        <f>DATA!K22</f>
        <v>8</v>
      </c>
      <c r="J28" s="181"/>
      <c r="K28" s="34"/>
      <c r="L28" s="34"/>
      <c r="M28" s="36">
        <v>13</v>
      </c>
      <c r="N28" s="199" t="str">
        <f>DATA!L22</f>
        <v>Road Improvement Project in Sulawesi Island and Major Cities</v>
      </c>
      <c r="O28" s="1402">
        <f>DATA!T22</f>
        <v>250000000</v>
      </c>
      <c r="P28" s="187">
        <f>DATA!U22</f>
        <v>250000000</v>
      </c>
      <c r="Q28" s="1564">
        <f>DATA!V22</f>
        <v>50000000</v>
      </c>
      <c r="R28" s="1564">
        <f>DATA!W22</f>
        <v>0</v>
      </c>
      <c r="S28" s="1447">
        <f t="shared" si="4"/>
        <v>300000000</v>
      </c>
      <c r="T28" s="1448"/>
      <c r="U28" s="1449" t="str">
        <f>DATA!Y22</f>
        <v>IDB</v>
      </c>
      <c r="V28" s="77">
        <f>DATA!AA22</f>
        <v>250000000</v>
      </c>
      <c r="W28" s="77">
        <v>0</v>
      </c>
      <c r="X28" s="1450" t="str">
        <f>DATA!Y22</f>
        <v>IDB</v>
      </c>
      <c r="Y28" s="109">
        <v>250000000</v>
      </c>
      <c r="Z28" s="109" t="s">
        <v>58</v>
      </c>
      <c r="AA28" s="1484" t="s">
        <v>879</v>
      </c>
      <c r="AB28" s="828"/>
      <c r="AC28" s="1485"/>
      <c r="AD28" s="1486"/>
      <c r="AE28" s="1486"/>
      <c r="AF28" s="1486"/>
      <c r="AG28" s="1508" t="s">
        <v>1156</v>
      </c>
      <c r="AH28" s="1509">
        <f>DATA!AT22</f>
        <v>250000000</v>
      </c>
      <c r="AI28" s="109" t="str">
        <f>DATA!AU22</f>
        <v>IDB</v>
      </c>
      <c r="AJ28" s="1544" t="str">
        <f>DATA!AW22</f>
        <v>-</v>
      </c>
      <c r="AK28" s="1510">
        <f>DATA!AM22</f>
        <v>0</v>
      </c>
      <c r="AL28" s="1510" t="str">
        <f>DATA!AN22</f>
        <v>siap</v>
      </c>
      <c r="AM28" s="1511" t="str">
        <f>DATA!AO22</f>
        <v>belum ada keterangan</v>
      </c>
      <c r="AN28" s="1510">
        <f>DATA!AQ22</f>
        <v>0</v>
      </c>
      <c r="AO28" s="1533" t="str">
        <f>DATA!AR22</f>
        <v>belum ada dokumen R/C</v>
      </c>
      <c r="AQ28" s="10">
        <f t="shared" si="5"/>
        <v>0</v>
      </c>
      <c r="AR28" s="10">
        <f t="shared" si="1"/>
        <v>0</v>
      </c>
      <c r="AS28" s="10">
        <f t="shared" si="2"/>
        <v>0</v>
      </c>
      <c r="AT28" s="10">
        <f t="shared" si="3"/>
        <v>0</v>
      </c>
    </row>
    <row r="29" spans="1:46" s="5" customFormat="1" ht="33.75" customHeight="1">
      <c r="J29" s="180"/>
      <c r="K29" s="50"/>
      <c r="L29" s="30" t="str">
        <f>DATA!I24</f>
        <v>D</v>
      </c>
      <c r="M29" s="31" t="str">
        <f>DATA!J24</f>
        <v>Program Pembangunan Air Minum</v>
      </c>
      <c r="N29" s="1419"/>
      <c r="O29" s="214" t="e">
        <f>O30+O32+O33+O34+O36+O37+O38+O39+#REF!+O41+O35+#REF!</f>
        <v>#REF!</v>
      </c>
      <c r="P29" s="197" t="e">
        <f>P30+P32+P33+P34+P36+P37+P38+P39+#REF!+P41+P35+#REF!</f>
        <v>#REF!</v>
      </c>
      <c r="Q29" s="1436">
        <f>SUM(Q30:Q41)</f>
        <v>43634000</v>
      </c>
      <c r="R29" s="1436" t="e">
        <f>R30+R32+R33+R34+R36+R37+R38+R39+#REF!+R41+R35+#REF!</f>
        <v>#REF!</v>
      </c>
      <c r="S29" s="244" t="e">
        <f t="shared" si="4"/>
        <v>#REF!</v>
      </c>
      <c r="T29" s="1437"/>
      <c r="U29" s="198"/>
      <c r="V29" s="81" t="e">
        <f>V30+V32+V33+V34+V35+V36+V37+V38+V39+#REF!+V41+#REF!</f>
        <v>#REF!</v>
      </c>
      <c r="W29" s="81" t="e">
        <f>W30+W32+W33+W34+W35+W36+W37+W38+W39+#REF!+W41+#REF!</f>
        <v>#REF!</v>
      </c>
      <c r="X29" s="243"/>
      <c r="Y29" s="81">
        <f>Y30+Y32+Y33+Y34+Y35+Y36+Y37+Y38+Y39+Y41</f>
        <v>796300000</v>
      </c>
      <c r="Z29" s="81"/>
      <c r="AA29" s="1469"/>
      <c r="AB29" s="1470"/>
      <c r="AC29" s="1471"/>
      <c r="AD29" s="1472"/>
      <c r="AE29" s="1472"/>
      <c r="AF29" s="1472"/>
      <c r="AG29" s="1504"/>
      <c r="AH29" s="198" t="e">
        <f>AH30+AH32+AH33+AH34+AH35+AH36+AH37+AH38+AH39+#REF!+AH41+#REF!</f>
        <v>#REF!</v>
      </c>
      <c r="AI29" s="81" t="s">
        <v>21</v>
      </c>
      <c r="AJ29" s="214"/>
      <c r="AK29" s="1505"/>
      <c r="AL29" s="1506"/>
      <c r="AM29" s="169"/>
      <c r="AN29" s="1507"/>
      <c r="AO29" s="1530"/>
      <c r="AQ29" s="10">
        <f t="shared" si="5"/>
        <v>0</v>
      </c>
      <c r="AR29" s="10">
        <f t="shared" si="1"/>
        <v>0</v>
      </c>
      <c r="AS29" s="10">
        <f t="shared" si="2"/>
        <v>0</v>
      </c>
      <c r="AT29" s="10">
        <f t="shared" si="3"/>
        <v>0</v>
      </c>
    </row>
    <row r="30" spans="1:46" ht="39.75" customHeight="1">
      <c r="A30" s="10">
        <f>DATA!A25</f>
        <v>22</v>
      </c>
      <c r="B30" s="10">
        <f>DATA!B25</f>
        <v>0</v>
      </c>
      <c r="C30" s="10" t="str">
        <f>DATA!D25</f>
        <v>INFRASTRUKTUR</v>
      </c>
      <c r="D30" s="10">
        <f>DATA!E25</f>
        <v>1</v>
      </c>
      <c r="E30" s="10" t="str">
        <f>DATA!F25</f>
        <v>Kementerian Pekerjaan Umum dan Perumahan Rakyat</v>
      </c>
      <c r="F30" s="10" t="str">
        <f>DATA!H25</f>
        <v>Drinking Water Development Program</v>
      </c>
      <c r="G30" s="10" t="str">
        <f>DATA!I25</f>
        <v>D</v>
      </c>
      <c r="H30" s="10" t="str">
        <f>DATA!J25</f>
        <v>Program Pembangunan Air Minum</v>
      </c>
      <c r="I30" s="10">
        <f>DATA!K25</f>
        <v>2</v>
      </c>
      <c r="J30" s="181"/>
      <c r="K30" s="34"/>
      <c r="L30" s="34"/>
      <c r="M30" s="36">
        <v>14</v>
      </c>
      <c r="N30" s="199" t="str">
        <f>DATA!L25</f>
        <v>National Urban Water Supply</v>
      </c>
      <c r="O30" s="1402">
        <f>DATA!T25</f>
        <v>100000000</v>
      </c>
      <c r="P30" s="187">
        <f>DATA!U25</f>
        <v>100000000</v>
      </c>
      <c r="Q30" s="1446">
        <f>DATA!V25</f>
        <v>5000000</v>
      </c>
      <c r="R30" s="1446">
        <f>DATA!W25</f>
        <v>0</v>
      </c>
      <c r="S30" s="1447">
        <f t="shared" si="4"/>
        <v>105000000</v>
      </c>
      <c r="T30" s="1448"/>
      <c r="U30" s="1449" t="str">
        <f>DATA!Y25</f>
        <v>Bank Dunia</v>
      </c>
      <c r="V30" s="77">
        <f>DATA!AA25</f>
        <v>100000000</v>
      </c>
      <c r="W30" s="77">
        <v>0</v>
      </c>
      <c r="X30" s="1450" t="str">
        <f>DATA!Y25</f>
        <v>Bank Dunia</v>
      </c>
      <c r="Y30" s="109">
        <v>100000000</v>
      </c>
      <c r="Z30" s="109" t="s">
        <v>62</v>
      </c>
      <c r="AA30" s="3254" t="s">
        <v>1157</v>
      </c>
      <c r="AB30" s="1474"/>
      <c r="AC30" s="1475"/>
      <c r="AD30" s="1476"/>
      <c r="AE30" s="1476"/>
      <c r="AF30" s="1476"/>
      <c r="AG30" s="1508" t="s">
        <v>1158</v>
      </c>
      <c r="AH30" s="1509">
        <f>DATA!AT25</f>
        <v>100000000</v>
      </c>
      <c r="AI30" s="109" t="str">
        <f>DATA!AU25</f>
        <v>Bank Dunia</v>
      </c>
      <c r="AJ30" s="1544" t="str">
        <f>DATA!AW25</f>
        <v>-</v>
      </c>
      <c r="AK30" s="245">
        <f>DATA!AM25</f>
        <v>0</v>
      </c>
      <c r="AL30" s="1510" t="str">
        <f>DATA!AN25</f>
        <v>belum ada keterangan</v>
      </c>
      <c r="AM30" s="1511" t="str">
        <f>DATA!AO25</f>
        <v>belum ada keterangan</v>
      </c>
      <c r="AN30" s="1510">
        <f>DATA!AQ25</f>
        <v>0</v>
      </c>
      <c r="AO30" s="1533" t="str">
        <f>DATA!AR25</f>
        <v>belum ada dokumen R/C</v>
      </c>
      <c r="AQ30" s="10">
        <f t="shared" si="5"/>
        <v>0</v>
      </c>
      <c r="AR30" s="10">
        <f t="shared" si="1"/>
        <v>0</v>
      </c>
      <c r="AS30" s="10">
        <f t="shared" si="2"/>
        <v>0</v>
      </c>
      <c r="AT30" s="10">
        <f t="shared" si="3"/>
        <v>0</v>
      </c>
    </row>
    <row r="31" spans="1:46" ht="27.75" customHeight="1">
      <c r="J31" s="181"/>
      <c r="K31" s="34"/>
      <c r="L31" s="34"/>
      <c r="M31" s="172">
        <v>15</v>
      </c>
      <c r="N31" s="199" t="s">
        <v>1159</v>
      </c>
      <c r="O31" s="1402"/>
      <c r="P31" s="187"/>
      <c r="Q31" s="1446"/>
      <c r="R31" s="1446"/>
      <c r="S31" s="1447"/>
      <c r="T31" s="1448"/>
      <c r="U31" s="1449"/>
      <c r="V31" s="77"/>
      <c r="W31" s="77"/>
      <c r="X31" s="1450"/>
      <c r="Y31" s="109"/>
      <c r="Z31" s="109"/>
      <c r="AA31" s="1484"/>
      <c r="AB31" s="828"/>
      <c r="AC31" s="1485"/>
      <c r="AD31" s="1486"/>
      <c r="AE31" s="1486"/>
      <c r="AF31" s="1486"/>
      <c r="AG31" s="1514"/>
      <c r="AH31" s="1509"/>
      <c r="AI31" s="109"/>
      <c r="AJ31" s="1544"/>
      <c r="AK31" s="245"/>
      <c r="AL31" s="1510"/>
      <c r="AM31" s="1511"/>
      <c r="AN31" s="1510"/>
      <c r="AO31" s="1533"/>
      <c r="AQ31" s="10">
        <f t="shared" si="5"/>
        <v>0</v>
      </c>
      <c r="AR31" s="10">
        <f t="shared" si="1"/>
        <v>0</v>
      </c>
      <c r="AS31" s="10">
        <f t="shared" si="2"/>
        <v>0</v>
      </c>
      <c r="AT31" s="10">
        <f t="shared" si="3"/>
        <v>0</v>
      </c>
    </row>
    <row r="32" spans="1:46" ht="29.25" customHeight="1">
      <c r="A32" s="10">
        <f>DATA!A27</f>
        <v>24</v>
      </c>
      <c r="B32" s="10">
        <f>DATA!B27</f>
        <v>0</v>
      </c>
      <c r="C32" s="10" t="str">
        <f>DATA!D27</f>
        <v>INFRASTRUKTUR</v>
      </c>
      <c r="D32" s="10">
        <f>DATA!E27</f>
        <v>1</v>
      </c>
      <c r="E32" s="10" t="str">
        <f>DATA!F27</f>
        <v>Kementerian Pekerjaan Umum dan Perumahan Rakyat</v>
      </c>
      <c r="F32" s="10" t="str">
        <f>DATA!H27</f>
        <v>Drinking Water Development Program</v>
      </c>
      <c r="G32" s="10" t="str">
        <f>DATA!I27</f>
        <v>D</v>
      </c>
      <c r="H32" s="10" t="str">
        <f>DATA!J27</f>
        <v>Program Pembangunan Air Minum</v>
      </c>
      <c r="I32" s="10">
        <f>DATA!K27</f>
        <v>3</v>
      </c>
      <c r="J32" s="181"/>
      <c r="K32" s="34"/>
      <c r="L32" s="34"/>
      <c r="M32" s="3390"/>
      <c r="N32" s="199" t="str">
        <f>DATA!L27</f>
        <v xml:space="preserve">Mamminasata Water Supply Development Project </v>
      </c>
      <c r="O32" s="1402">
        <f>DATA!T27</f>
        <v>100000000</v>
      </c>
      <c r="P32" s="187">
        <f>DATA!U27</f>
        <v>100000000</v>
      </c>
      <c r="Q32" s="1446">
        <f>DATA!V27</f>
        <v>5000000</v>
      </c>
      <c r="R32" s="1446">
        <f>DATA!W27</f>
        <v>0</v>
      </c>
      <c r="S32" s="1447">
        <f>P32+Q32+R32</f>
        <v>105000000</v>
      </c>
      <c r="T32" s="1448"/>
      <c r="U32" s="1449" t="str">
        <f>DATA!Y27</f>
        <v>JICA</v>
      </c>
      <c r="V32" s="77">
        <f>DATA!AA27</f>
        <v>100000000</v>
      </c>
      <c r="W32" s="77">
        <v>0</v>
      </c>
      <c r="X32" s="1450" t="str">
        <f>DATA!Y27</f>
        <v>JICA</v>
      </c>
      <c r="Y32" s="109">
        <v>100000000</v>
      </c>
      <c r="Z32" s="109" t="s">
        <v>55</v>
      </c>
      <c r="AA32" s="1484" t="s">
        <v>1160</v>
      </c>
      <c r="AB32" s="828"/>
      <c r="AC32" s="1485"/>
      <c r="AD32" s="1486"/>
      <c r="AE32" s="1486"/>
      <c r="AF32" s="1486"/>
      <c r="AG32" s="3253" t="s">
        <v>1161</v>
      </c>
      <c r="AH32" s="1509">
        <f>DATA!AT27</f>
        <v>100000000</v>
      </c>
      <c r="AI32" s="109" t="str">
        <f>DATA!AU27</f>
        <v>JICA</v>
      </c>
      <c r="AJ32" s="1544" t="str">
        <f>DATA!AW27</f>
        <v>-</v>
      </c>
      <c r="AK32" s="245">
        <f>DATA!AM26</f>
        <v>0</v>
      </c>
      <c r="AL32" s="1510" t="str">
        <f>DATA!AN27</f>
        <v>siap</v>
      </c>
      <c r="AM32" s="1511" t="str">
        <f>DATA!AO27</f>
        <v>dalam proses
(persiapan)</v>
      </c>
      <c r="AN32" s="1510">
        <f>DATA!AQ26</f>
        <v>0</v>
      </c>
      <c r="AO32" s="1533" t="str">
        <f>DATA!AR27</f>
        <v>belum ada dokumen R/C</v>
      </c>
      <c r="AQ32" s="10">
        <f t="shared" si="5"/>
        <v>0</v>
      </c>
      <c r="AR32" s="10">
        <f t="shared" si="1"/>
        <v>100000000</v>
      </c>
      <c r="AS32" s="10">
        <f t="shared" si="2"/>
        <v>0</v>
      </c>
      <c r="AT32" s="10">
        <f t="shared" si="3"/>
        <v>0</v>
      </c>
    </row>
    <row r="33" spans="1:46" ht="35.25" customHeight="1">
      <c r="A33" s="10">
        <f>DATA!A28</f>
        <v>25</v>
      </c>
      <c r="B33" s="10">
        <f>DATA!B28</f>
        <v>0</v>
      </c>
      <c r="C33" s="10" t="str">
        <f>DATA!D28</f>
        <v>INFRASTRUKTUR</v>
      </c>
      <c r="D33" s="10">
        <f>DATA!E28</f>
        <v>1</v>
      </c>
      <c r="E33" s="10" t="str">
        <f>DATA!F28</f>
        <v>Kementerian Pekerjaan Umum dan Perumahan Rakyat</v>
      </c>
      <c r="F33" s="10" t="str">
        <f>DATA!H28</f>
        <v>Drinking Water Development Program</v>
      </c>
      <c r="G33" s="10" t="str">
        <f>DATA!I28</f>
        <v>D</v>
      </c>
      <c r="H33" s="10" t="str">
        <f>DATA!J28</f>
        <v>Program Pembangunan Air Minum</v>
      </c>
      <c r="I33" s="10">
        <f>DATA!K28</f>
        <v>3</v>
      </c>
      <c r="J33" s="181"/>
      <c r="K33" s="34"/>
      <c r="L33" s="34"/>
      <c r="M33" s="3392"/>
      <c r="N33" s="199" t="str">
        <f>DATA!L28</f>
        <v xml:space="preserve">The Development of Regional Water Supply System in Benteng Kobema </v>
      </c>
      <c r="O33" s="1402">
        <f>DATA!T28</f>
        <v>74300000</v>
      </c>
      <c r="P33" s="187">
        <f>DATA!U28</f>
        <v>74300000</v>
      </c>
      <c r="Q33" s="1446">
        <f>DATA!V28</f>
        <v>3715000</v>
      </c>
      <c r="R33" s="1446">
        <f>DATA!W28</f>
        <v>0</v>
      </c>
      <c r="S33" s="1447">
        <f>P33+Q33+R33</f>
        <v>78015000</v>
      </c>
      <c r="T33" s="1448"/>
      <c r="U33" s="1449" t="str">
        <f>DATA!Y28</f>
        <v>Bank Dunia/JICA/ADB</v>
      </c>
      <c r="V33" s="77">
        <f>DATA!AA28</f>
        <v>74300000</v>
      </c>
      <c r="W33" s="77">
        <v>0</v>
      </c>
      <c r="X33" s="1450" t="str">
        <f>DATA!Y28</f>
        <v>Bank Dunia/JICA/ADB</v>
      </c>
      <c r="Y33" s="109">
        <v>74300000</v>
      </c>
      <c r="Z33" s="109" t="s">
        <v>1162</v>
      </c>
      <c r="AA33" s="1484" t="s">
        <v>1163</v>
      </c>
      <c r="AB33" s="828"/>
      <c r="AC33" s="1485"/>
      <c r="AD33" s="1486"/>
      <c r="AE33" s="1486"/>
      <c r="AF33" s="1486"/>
      <c r="AG33" s="3253" t="s">
        <v>1470</v>
      </c>
      <c r="AH33" s="1509">
        <f>DATA!AT28</f>
        <v>74300000</v>
      </c>
      <c r="AI33" s="109" t="str">
        <f>DATA!AU28</f>
        <v>Bank Dunia</v>
      </c>
      <c r="AJ33" s="1544" t="str">
        <f>DATA!AW28</f>
        <v>- usulan K/L lender: Bank Dunia/JICA/ADB. 
- Pihak Bank Dunia berminat, ADB dan JICA tidak minat.</v>
      </c>
      <c r="AK33" s="245">
        <f>DATA!AM27</f>
        <v>0</v>
      </c>
      <c r="AL33" s="1510" t="str">
        <f>DATA!AN28</f>
        <v>dalam proses
(penyusunan FS)</v>
      </c>
      <c r="AM33" s="1511" t="str">
        <f>DATA!AO28</f>
        <v>dalam proses
(persiapan)</v>
      </c>
      <c r="AN33" s="1510">
        <f>DATA!AQ27</f>
        <v>0</v>
      </c>
      <c r="AO33" s="1533" t="str">
        <f>DATA!AR28</f>
        <v>belum ada dokumen R/C</v>
      </c>
      <c r="AQ33" s="10">
        <f t="shared" si="5"/>
        <v>0</v>
      </c>
      <c r="AR33" s="10">
        <f t="shared" si="1"/>
        <v>0</v>
      </c>
      <c r="AS33" s="10">
        <f t="shared" si="2"/>
        <v>0</v>
      </c>
      <c r="AT33" s="10">
        <f t="shared" si="3"/>
        <v>0</v>
      </c>
    </row>
    <row r="34" spans="1:46" ht="40.5" customHeight="1">
      <c r="A34" s="10">
        <f>DATA!A29</f>
        <v>26</v>
      </c>
      <c r="B34" s="10">
        <f>DATA!B29</f>
        <v>0</v>
      </c>
      <c r="C34" s="10" t="str">
        <f>DATA!D29</f>
        <v>INFRASTRUKTUR</v>
      </c>
      <c r="D34" s="10">
        <f>DATA!E29</f>
        <v>1</v>
      </c>
      <c r="E34" s="10" t="str">
        <f>DATA!F29</f>
        <v>Kementerian Pekerjaan Umum dan Perumahan Rakyat</v>
      </c>
      <c r="F34" s="10" t="str">
        <f>DATA!H29</f>
        <v>Drinking Water Development Program</v>
      </c>
      <c r="G34" s="10" t="str">
        <f>DATA!I29</f>
        <v>D</v>
      </c>
      <c r="H34" s="10" t="str">
        <f>DATA!J29</f>
        <v>Program Pembangunan Air Minum</v>
      </c>
      <c r="I34" s="10">
        <f>DATA!K29</f>
        <v>3</v>
      </c>
      <c r="J34" s="181"/>
      <c r="K34" s="34"/>
      <c r="L34" s="34"/>
      <c r="M34" s="3392"/>
      <c r="N34" s="199" t="str">
        <f>DATA!L29</f>
        <v xml:space="preserve">The Development of Regional Water Supply System in Wosusokas </v>
      </c>
      <c r="O34" s="1402">
        <f>DATA!T29</f>
        <v>106200000</v>
      </c>
      <c r="P34" s="187">
        <f>DATA!U29</f>
        <v>106200000</v>
      </c>
      <c r="Q34" s="1446">
        <f>DATA!V29</f>
        <v>5310000</v>
      </c>
      <c r="R34" s="1446">
        <f>DATA!W29</f>
        <v>0</v>
      </c>
      <c r="S34" s="1447">
        <f t="shared" ref="S34:S43" si="6">P34+Q34+R34</f>
        <v>111510000</v>
      </c>
      <c r="T34" s="1448"/>
      <c r="U34" s="1449" t="str">
        <f>DATA!Y29</f>
        <v>Jerman (KfW)</v>
      </c>
      <c r="V34" s="77">
        <f>DATA!AA29</f>
        <v>106200000</v>
      </c>
      <c r="W34" s="77">
        <v>0</v>
      </c>
      <c r="X34" s="1450" t="str">
        <f>DATA!Y29</f>
        <v>Jerman (KfW)</v>
      </c>
      <c r="Y34" s="109">
        <v>106200000</v>
      </c>
      <c r="Z34" s="109" t="s">
        <v>91</v>
      </c>
      <c r="AA34" s="1484" t="s">
        <v>1163</v>
      </c>
      <c r="AB34" s="828"/>
      <c r="AC34" s="1485"/>
      <c r="AD34" s="1486"/>
      <c r="AE34" s="1486"/>
      <c r="AF34" s="1486"/>
      <c r="AG34" s="3255" t="s">
        <v>1471</v>
      </c>
      <c r="AH34" s="1509">
        <f>DATA!AT29</f>
        <v>106200000</v>
      </c>
      <c r="AI34" s="109" t="str">
        <f>DATA!AU29</f>
        <v>Jerman (KfW)</v>
      </c>
      <c r="AJ34" s="1544" t="str">
        <f>DATA!AW29</f>
        <v>-</v>
      </c>
      <c r="AK34" s="245">
        <f>DATA!AM28</f>
        <v>0</v>
      </c>
      <c r="AL34" s="1510" t="str">
        <f>DATA!AN29</f>
        <v>dalam proses
(penyusunan FS)</v>
      </c>
      <c r="AM34" s="1511" t="str">
        <f>DATA!AO29</f>
        <v>dalam proses
(persiapan)</v>
      </c>
      <c r="AN34" s="1510">
        <f>DATA!AQ28</f>
        <v>0</v>
      </c>
      <c r="AO34" s="1533" t="str">
        <f>DATA!AR29</f>
        <v>belum ada dokumen R/C</v>
      </c>
      <c r="AQ34" s="10">
        <f t="shared" si="5"/>
        <v>0</v>
      </c>
      <c r="AR34" s="10">
        <f t="shared" si="1"/>
        <v>0</v>
      </c>
      <c r="AS34" s="10">
        <f t="shared" si="2"/>
        <v>0</v>
      </c>
      <c r="AT34" s="10">
        <f t="shared" si="3"/>
        <v>0</v>
      </c>
    </row>
    <row r="35" spans="1:46" ht="34.5" customHeight="1">
      <c r="A35" s="10">
        <f>DATA!A30</f>
        <v>27</v>
      </c>
      <c r="B35" s="10">
        <f>DATA!B30</f>
        <v>0</v>
      </c>
      <c r="C35" s="10" t="str">
        <f>DATA!D30</f>
        <v>INFRASTRUKTUR</v>
      </c>
      <c r="D35" s="10">
        <f>DATA!E30</f>
        <v>1</v>
      </c>
      <c r="E35" s="10" t="str">
        <f>DATA!F30</f>
        <v>Kementerian Pekerjaan Umum dan Perumahan Rakyat</v>
      </c>
      <c r="F35" s="10" t="str">
        <f>DATA!H30</f>
        <v>Drinking Water Development Program</v>
      </c>
      <c r="G35" s="10" t="str">
        <f>DATA!I30</f>
        <v>D</v>
      </c>
      <c r="H35" s="10" t="str">
        <f>DATA!J30</f>
        <v>Program Pembangunan Air Minum</v>
      </c>
      <c r="I35" s="10">
        <f>DATA!K30</f>
        <v>3</v>
      </c>
      <c r="J35" s="181"/>
      <c r="K35" s="34"/>
      <c r="L35" s="34"/>
      <c r="M35" s="3392"/>
      <c r="N35" s="199" t="str">
        <f>DATA!L30</f>
        <v xml:space="preserve">The Development of Regional Water Supply System of Jatigede </v>
      </c>
      <c r="O35" s="1402">
        <f>DATA!T30</f>
        <v>167000000</v>
      </c>
      <c r="P35" s="187">
        <f>DATA!U30</f>
        <v>140620000</v>
      </c>
      <c r="Q35" s="1446">
        <f>DATA!V30</f>
        <v>8350000</v>
      </c>
      <c r="R35" s="1446">
        <f>DATA!W30</f>
        <v>0</v>
      </c>
      <c r="S35" s="1447">
        <f t="shared" si="6"/>
        <v>148970000</v>
      </c>
      <c r="T35" s="1448"/>
      <c r="U35" s="1449" t="str">
        <f>DATA!Y30</f>
        <v>Bank Dunia/JICA/ADB</v>
      </c>
      <c r="V35" s="77">
        <f>DATA!AA30</f>
        <v>140620000</v>
      </c>
      <c r="W35" s="77">
        <v>0</v>
      </c>
      <c r="X35" s="1450" t="str">
        <f>DATA!Y30</f>
        <v>Bank Dunia/JICA/ADB</v>
      </c>
      <c r="Y35" s="109">
        <v>140620000</v>
      </c>
      <c r="Z35" s="109" t="s">
        <v>636</v>
      </c>
      <c r="AA35" s="1484" t="s">
        <v>1163</v>
      </c>
      <c r="AB35" s="828"/>
      <c r="AC35" s="1485"/>
      <c r="AD35" s="1486"/>
      <c r="AE35" s="1486"/>
      <c r="AF35" s="1486"/>
      <c r="AG35" s="1514" t="s">
        <v>1469</v>
      </c>
      <c r="AH35" s="1509">
        <f>DATA!AT30</f>
        <v>140620000</v>
      </c>
      <c r="AI35" s="109" t="str">
        <f>DATA!AU30</f>
        <v>Belum Ada Indikasi</v>
      </c>
      <c r="AJ35" s="1544" t="str">
        <f>DATA!AW30</f>
        <v xml:space="preserve">- terdapat pengurangan nilai pinjaman sebesar USD 26,38 juta yang dialihkan untuk membiayai kegiatan ES.
- usulan K/L lender: Bank Dunia/JICA/ADB. 
- Pihak Bank Dunia, ADB, dan JICA tidak berminat. </v>
      </c>
      <c r="AK35" s="245">
        <f>DATA!AM29</f>
        <v>0</v>
      </c>
      <c r="AL35" s="1510" t="str">
        <f>DATA!AN30</f>
        <v>belum ada keterangan</v>
      </c>
      <c r="AM35" s="1511" t="str">
        <f>DATA!AO30</f>
        <v>belum ada keterangan</v>
      </c>
      <c r="AN35" s="1510">
        <f>DATA!AQ29</f>
        <v>0</v>
      </c>
      <c r="AO35" s="1533" t="str">
        <f>DATA!AR30</f>
        <v>- nilai pinjaman berkurang sebesar USD 26,38 juta untuk kegiatan ES
- belum ada dokumen R/C</v>
      </c>
      <c r="AQ35" s="10">
        <f t="shared" si="5"/>
        <v>0</v>
      </c>
      <c r="AR35" s="10">
        <f t="shared" si="1"/>
        <v>0</v>
      </c>
      <c r="AS35" s="10">
        <f t="shared" si="2"/>
        <v>0</v>
      </c>
      <c r="AT35" s="10">
        <f t="shared" si="3"/>
        <v>0</v>
      </c>
    </row>
    <row r="36" spans="1:46" ht="41.25" customHeight="1">
      <c r="A36" s="10">
        <f>DATA!A31</f>
        <v>28</v>
      </c>
      <c r="B36" s="10">
        <f>DATA!B31</f>
        <v>0</v>
      </c>
      <c r="C36" s="10" t="str">
        <f>DATA!D31</f>
        <v>INFRASTRUKTUR</v>
      </c>
      <c r="D36" s="10">
        <f>DATA!E31</f>
        <v>1</v>
      </c>
      <c r="E36" s="10" t="str">
        <f>DATA!F31</f>
        <v>Kementerian Pekerjaan Umum dan Perumahan Rakyat</v>
      </c>
      <c r="F36" s="10" t="str">
        <f>DATA!H31</f>
        <v>Drinking Water Development Program</v>
      </c>
      <c r="G36" s="10" t="str">
        <f>DATA!I31</f>
        <v>D</v>
      </c>
      <c r="H36" s="10" t="str">
        <f>DATA!J31</f>
        <v>Program Pembangunan Air Minum</v>
      </c>
      <c r="I36" s="10">
        <f>DATA!K31</f>
        <v>3</v>
      </c>
      <c r="J36" s="181"/>
      <c r="K36" s="34"/>
      <c r="L36" s="34"/>
      <c r="M36" s="3392"/>
      <c r="N36" s="199" t="str">
        <f>DATA!L31</f>
        <v>The Development of Regional Water Supply System of Petanglong</v>
      </c>
      <c r="O36" s="1402">
        <f>DATA!T31</f>
        <v>95380000</v>
      </c>
      <c r="P36" s="187">
        <f>DATA!U31</f>
        <v>95380000</v>
      </c>
      <c r="Q36" s="1446">
        <f>DATA!V31</f>
        <v>4769000</v>
      </c>
      <c r="R36" s="1446">
        <f>DATA!W31</f>
        <v>0</v>
      </c>
      <c r="S36" s="1447">
        <f t="shared" si="6"/>
        <v>100149000</v>
      </c>
      <c r="T36" s="1448"/>
      <c r="U36" s="1449" t="str">
        <f>DATA!Y31</f>
        <v>Bank Dunia/JICA/ADB</v>
      </c>
      <c r="V36" s="77">
        <f>DATA!AA31</f>
        <v>95380000</v>
      </c>
      <c r="W36" s="77">
        <v>0</v>
      </c>
      <c r="X36" s="1450" t="str">
        <f>DATA!Y31</f>
        <v>Bank Dunia/JICA/ADB</v>
      </c>
      <c r="Y36" s="109">
        <v>95380000</v>
      </c>
      <c r="Z36" s="109" t="s">
        <v>1166</v>
      </c>
      <c r="AA36" s="1484" t="s">
        <v>879</v>
      </c>
      <c r="AB36" s="828"/>
      <c r="AC36" s="1485"/>
      <c r="AD36" s="1486"/>
      <c r="AE36" s="1486"/>
      <c r="AF36" s="1486"/>
      <c r="AG36" s="1514"/>
      <c r="AH36" s="1509">
        <f>DATA!AT31</f>
        <v>95380000</v>
      </c>
      <c r="AI36" s="109" t="str">
        <f>DATA!AU31</f>
        <v>Belum Ada Indikasi</v>
      </c>
      <c r="AJ36" s="1544" t="str">
        <f>DATA!AW31</f>
        <v xml:space="preserve">- usulan K/L lender: Bank Dunia/JICA/ADB. 
- Pihak Bank Dunia, ADB, dan JICA tidak berminat. </v>
      </c>
      <c r="AK36" s="245">
        <f>DATA!AM30</f>
        <v>0</v>
      </c>
      <c r="AL36" s="1510" t="str">
        <f>DATA!AN31</f>
        <v>belum ada keterangan</v>
      </c>
      <c r="AM36" s="1511" t="str">
        <f>DATA!AO31</f>
        <v>belum ada keterangan</v>
      </c>
      <c r="AN36" s="1510">
        <f>DATA!AQ30</f>
        <v>0</v>
      </c>
      <c r="AO36" s="1533" t="str">
        <f>DATA!AR31</f>
        <v>belum ada dokumen R/C</v>
      </c>
      <c r="AQ36" s="10">
        <f t="shared" si="5"/>
        <v>0</v>
      </c>
      <c r="AR36" s="10">
        <f t="shared" si="1"/>
        <v>0</v>
      </c>
      <c r="AS36" s="10">
        <f t="shared" si="2"/>
        <v>0</v>
      </c>
      <c r="AT36" s="10">
        <f t="shared" si="3"/>
        <v>0</v>
      </c>
    </row>
    <row r="37" spans="1:46" ht="41.25" customHeight="1">
      <c r="A37" s="10">
        <f>DATA!A32</f>
        <v>29</v>
      </c>
      <c r="B37" s="10">
        <f>DATA!B32</f>
        <v>0</v>
      </c>
      <c r="C37" s="10" t="str">
        <f>DATA!D32</f>
        <v>INFRASTRUKTUR</v>
      </c>
      <c r="D37" s="10">
        <f>DATA!E32</f>
        <v>1</v>
      </c>
      <c r="E37" s="10" t="str">
        <f>DATA!F32</f>
        <v>Kementerian Pekerjaan Umum dan Perumahan Rakyat</v>
      </c>
      <c r="F37" s="10" t="str">
        <f>DATA!H32</f>
        <v>Drinking Water Development Program</v>
      </c>
      <c r="G37" s="10" t="str">
        <f>DATA!I32</f>
        <v>D</v>
      </c>
      <c r="H37" s="10" t="str">
        <f>DATA!J32</f>
        <v>Program Pembangunan Air Minum</v>
      </c>
      <c r="I37" s="10">
        <f>DATA!K32</f>
        <v>3</v>
      </c>
      <c r="J37" s="181"/>
      <c r="K37" s="34"/>
      <c r="L37" s="34"/>
      <c r="M37" s="3392"/>
      <c r="N37" s="199" t="str">
        <f>DATA!L32</f>
        <v xml:space="preserve">The Development of Regional Water Supply System of Durolis </v>
      </c>
      <c r="O37" s="1402">
        <f>DATA!T32</f>
        <v>33400000</v>
      </c>
      <c r="P37" s="187">
        <f>DATA!U32</f>
        <v>33400000</v>
      </c>
      <c r="Q37" s="1446">
        <f>DATA!V32</f>
        <v>1670000</v>
      </c>
      <c r="R37" s="1446">
        <f>DATA!W32</f>
        <v>0</v>
      </c>
      <c r="S37" s="1447">
        <f t="shared" si="6"/>
        <v>35070000</v>
      </c>
      <c r="T37" s="1448"/>
      <c r="U37" s="1449" t="str">
        <f>DATA!Y32</f>
        <v>Bank Dunia/JICA/ADB</v>
      </c>
      <c r="V37" s="77">
        <f>DATA!AA32</f>
        <v>33400000</v>
      </c>
      <c r="W37" s="77">
        <v>0</v>
      </c>
      <c r="X37" s="1450" t="str">
        <f>DATA!Y32</f>
        <v>Bank Dunia/JICA/ADB</v>
      </c>
      <c r="Y37" s="109">
        <v>33400000</v>
      </c>
      <c r="Z37" s="109" t="s">
        <v>1167</v>
      </c>
      <c r="AA37" s="1484" t="s">
        <v>879</v>
      </c>
      <c r="AB37" s="828"/>
      <c r="AC37" s="1485"/>
      <c r="AD37" s="1486"/>
      <c r="AE37" s="1486"/>
      <c r="AF37" s="1486"/>
      <c r="AG37" s="1514"/>
      <c r="AH37" s="1509">
        <f>DATA!AT32</f>
        <v>33400000</v>
      </c>
      <c r="AI37" s="109" t="str">
        <f>DATA!AU32</f>
        <v>Belum Ada Indikasi</v>
      </c>
      <c r="AJ37" s="1544" t="str">
        <f>DATA!AW32</f>
        <v xml:space="preserve">- usulan K/L lender: Bank Dunia/JICA/ADB.
- Pihak Bank Dunia, ADB, dan JICA tidak berminat. </v>
      </c>
      <c r="AK37" s="245">
        <f>DATA!AM31</f>
        <v>0</v>
      </c>
      <c r="AL37" s="1510" t="str">
        <f>DATA!AN32</f>
        <v>siap</v>
      </c>
      <c r="AM37" s="1511" t="str">
        <f>DATA!AO32</f>
        <v>siap</v>
      </c>
      <c r="AN37" s="1510">
        <f>DATA!AQ31</f>
        <v>0</v>
      </c>
      <c r="AO37" s="1533" t="str">
        <f>DATA!AR32</f>
        <v>belum ada dokumen R/C</v>
      </c>
      <c r="AQ37" s="10">
        <f t="shared" si="5"/>
        <v>0</v>
      </c>
      <c r="AR37" s="10">
        <f t="shared" si="1"/>
        <v>0</v>
      </c>
      <c r="AS37" s="10">
        <f t="shared" si="2"/>
        <v>0</v>
      </c>
      <c r="AT37" s="10">
        <f t="shared" si="3"/>
        <v>0</v>
      </c>
    </row>
    <row r="38" spans="1:46" ht="86.25" customHeight="1">
      <c r="A38" s="10">
        <f>DATA!A33</f>
        <v>30</v>
      </c>
      <c r="B38" s="10">
        <f>DATA!B33</f>
        <v>0</v>
      </c>
      <c r="C38" s="10" t="str">
        <f>DATA!D33</f>
        <v>INFRASTRUKTUR</v>
      </c>
      <c r="D38" s="10">
        <f>DATA!E33</f>
        <v>1</v>
      </c>
      <c r="E38" s="10" t="str">
        <f>DATA!F33</f>
        <v>Kementerian Pekerjaan Umum dan Perumahan Rakyat</v>
      </c>
      <c r="F38" s="10" t="str">
        <f>DATA!H33</f>
        <v>Drinking Water Development Program</v>
      </c>
      <c r="G38" s="10" t="str">
        <f>DATA!I33</f>
        <v>D</v>
      </c>
      <c r="H38" s="10" t="str">
        <f>DATA!J33</f>
        <v>Program Pembangunan Air Minum</v>
      </c>
      <c r="I38" s="10">
        <f>DATA!K33</f>
        <v>3</v>
      </c>
      <c r="J38" s="181"/>
      <c r="K38" s="34"/>
      <c r="L38" s="34"/>
      <c r="M38" s="3392"/>
      <c r="N38" s="199" t="str">
        <f>DATA!L33</f>
        <v xml:space="preserve">The Development of Regional Water Supply System of  Banten - Jakarta from Karian Dam </v>
      </c>
      <c r="O38" s="1402">
        <f>DATA!T33</f>
        <v>40000000</v>
      </c>
      <c r="P38" s="187">
        <f>DATA!U33</f>
        <v>40000000</v>
      </c>
      <c r="Q38" s="1446">
        <f>DATA!V33</f>
        <v>2000000</v>
      </c>
      <c r="R38" s="1446">
        <f>DATA!W33</f>
        <v>0</v>
      </c>
      <c r="S38" s="1447">
        <f t="shared" si="6"/>
        <v>42000000</v>
      </c>
      <c r="T38" s="1448"/>
      <c r="U38" s="1449" t="str">
        <f>DATA!Y33</f>
        <v>Korea</v>
      </c>
      <c r="V38" s="77">
        <f>DATA!AA33</f>
        <v>40000000</v>
      </c>
      <c r="W38" s="77">
        <v>0</v>
      </c>
      <c r="X38" s="1450" t="str">
        <f>DATA!Y33</f>
        <v>Korea</v>
      </c>
      <c r="Y38" s="109">
        <v>40000000</v>
      </c>
      <c r="Z38" s="109" t="s">
        <v>28</v>
      </c>
      <c r="AA38" s="1484" t="s">
        <v>879</v>
      </c>
      <c r="AB38" s="828"/>
      <c r="AC38" s="1485"/>
      <c r="AD38" s="1486"/>
      <c r="AE38" s="1486"/>
      <c r="AF38" s="1486"/>
      <c r="AG38" s="3255" t="s">
        <v>1168</v>
      </c>
      <c r="AH38" s="1509">
        <f>DATA!AT33</f>
        <v>40000000</v>
      </c>
      <c r="AI38" s="109" t="str">
        <f>DATA!AU33</f>
        <v>Korea</v>
      </c>
      <c r="AJ38" s="1544" t="str">
        <f>DATA!AW33</f>
        <v>belum masuk rolling plan EDCF (Korea)</v>
      </c>
      <c r="AK38" s="245">
        <f>DATA!AM32</f>
        <v>0</v>
      </c>
      <c r="AL38" s="1510" t="str">
        <f>DATA!AN33</f>
        <v>dalam proses
(memiliki FS)</v>
      </c>
      <c r="AM38" s="1511" t="str">
        <f>DATA!AO33</f>
        <v>dalam proses
(persiapan)</v>
      </c>
      <c r="AN38" s="1510">
        <f>DATA!AQ32</f>
        <v>0</v>
      </c>
      <c r="AO38" s="1533" t="str">
        <f>DATA!AR33</f>
        <v>belum ada dokumen R/C</v>
      </c>
      <c r="AQ38" s="10">
        <f t="shared" si="5"/>
        <v>0</v>
      </c>
      <c r="AR38" s="10">
        <f t="shared" si="1"/>
        <v>0</v>
      </c>
      <c r="AS38" s="10">
        <f t="shared" si="2"/>
        <v>0</v>
      </c>
      <c r="AT38" s="10">
        <f t="shared" si="3"/>
        <v>40000000</v>
      </c>
    </row>
    <row r="39" spans="1:46" ht="41.25" customHeight="1">
      <c r="A39" s="10">
        <f>DATA!A34</f>
        <v>31</v>
      </c>
      <c r="B39" s="10">
        <f>DATA!B34</f>
        <v>0</v>
      </c>
      <c r="C39" s="10" t="str">
        <f>DATA!D34</f>
        <v>INFRASTRUKTUR</v>
      </c>
      <c r="D39" s="10">
        <f>DATA!E34</f>
        <v>1</v>
      </c>
      <c r="E39" s="10" t="str">
        <f>DATA!F34</f>
        <v>Kementerian Pekerjaan Umum dan Perumahan Rakyat</v>
      </c>
      <c r="F39" s="10" t="str">
        <f>DATA!H34</f>
        <v>Drinking Water Development Program</v>
      </c>
      <c r="G39" s="10" t="str">
        <f>DATA!I34</f>
        <v>D</v>
      </c>
      <c r="H39" s="10" t="str">
        <f>DATA!J34</f>
        <v>Program Pembangunan Air Minum</v>
      </c>
      <c r="I39" s="10">
        <f>DATA!K34</f>
        <v>3</v>
      </c>
      <c r="J39" s="181"/>
      <c r="K39" s="34"/>
      <c r="L39" s="34"/>
      <c r="M39" s="3391"/>
      <c r="N39" s="199" t="str">
        <f>DATA!L34</f>
        <v xml:space="preserve">The Development of Regional Water Supply System of Mebidang </v>
      </c>
      <c r="O39" s="1402">
        <f>DATA!T34</f>
        <v>56400000</v>
      </c>
      <c r="P39" s="187">
        <f>DATA!U34</f>
        <v>56400000</v>
      </c>
      <c r="Q39" s="1446">
        <f>DATA!V34</f>
        <v>2820000</v>
      </c>
      <c r="R39" s="1446">
        <f>DATA!W34</f>
        <v>0</v>
      </c>
      <c r="S39" s="1447">
        <f t="shared" si="6"/>
        <v>59220000</v>
      </c>
      <c r="T39" s="1448"/>
      <c r="U39" s="1449" t="str">
        <f>DATA!Y34</f>
        <v>Jerman (KfW)</v>
      </c>
      <c r="V39" s="77">
        <f>DATA!AA34</f>
        <v>56400000</v>
      </c>
      <c r="W39" s="77">
        <v>0</v>
      </c>
      <c r="X39" s="1450" t="str">
        <f>DATA!Y34</f>
        <v>Jerman (KfW)</v>
      </c>
      <c r="Y39" s="109">
        <v>56400000</v>
      </c>
      <c r="Z39" s="109" t="s">
        <v>91</v>
      </c>
      <c r="AA39" s="1484" t="s">
        <v>1169</v>
      </c>
      <c r="AB39" s="828"/>
      <c r="AC39" s="1485"/>
      <c r="AD39" s="1486"/>
      <c r="AE39" s="1486"/>
      <c r="AF39" s="1486"/>
      <c r="AG39" s="3255" t="s">
        <v>1170</v>
      </c>
      <c r="AH39" s="1509">
        <f>DATA!AT34</f>
        <v>56400000</v>
      </c>
      <c r="AI39" s="109" t="str">
        <f>DATA!AU34</f>
        <v>Jerman (KfW)</v>
      </c>
      <c r="AJ39" s="1544" t="str">
        <f>DATA!AW34</f>
        <v>-</v>
      </c>
      <c r="AK39" s="245">
        <f>DATA!AM33</f>
        <v>0</v>
      </c>
      <c r="AL39" s="1510" t="str">
        <f>DATA!AN34</f>
        <v>dalam proses
(memiliki FS dan DED)</v>
      </c>
      <c r="AM39" s="1511" t="str">
        <f>DATA!AO34</f>
        <v>dalam proses
(persiapan)</v>
      </c>
      <c r="AN39" s="1510">
        <f>DATA!AQ33</f>
        <v>0</v>
      </c>
      <c r="AO39" s="1533" t="str">
        <f>DATA!AR34</f>
        <v>belum ada dokumen R/C</v>
      </c>
      <c r="AQ39" s="10">
        <f t="shared" si="5"/>
        <v>0</v>
      </c>
      <c r="AR39" s="10">
        <f t="shared" si="1"/>
        <v>0</v>
      </c>
      <c r="AS39" s="10">
        <f t="shared" si="2"/>
        <v>0</v>
      </c>
      <c r="AT39" s="10">
        <f t="shared" si="3"/>
        <v>0</v>
      </c>
    </row>
    <row r="40" spans="1:46" ht="30" customHeight="1">
      <c r="J40" s="181"/>
      <c r="K40" s="34"/>
      <c r="L40" s="34"/>
      <c r="M40" s="36">
        <v>16</v>
      </c>
      <c r="N40" s="1412" t="s">
        <v>102</v>
      </c>
      <c r="O40" s="1413"/>
      <c r="P40" s="1414"/>
      <c r="Q40" s="1446"/>
      <c r="R40" s="1446"/>
      <c r="S40" s="1447"/>
      <c r="T40" s="1457"/>
      <c r="U40" s="1449"/>
      <c r="V40" s="77"/>
      <c r="W40" s="77"/>
      <c r="X40" s="1450"/>
      <c r="Y40" s="109"/>
      <c r="Z40" s="109"/>
      <c r="AA40" s="1484"/>
      <c r="AB40" s="1484"/>
      <c r="AC40" s="1484"/>
      <c r="AD40" s="1484"/>
      <c r="AE40" s="1484"/>
      <c r="AF40" s="1484"/>
      <c r="AG40" s="1484"/>
      <c r="AH40" s="1509"/>
      <c r="AI40" s="109"/>
      <c r="AJ40" s="1544"/>
      <c r="AK40" s="245"/>
      <c r="AL40" s="1510"/>
      <c r="AM40" s="1511"/>
      <c r="AN40" s="1510"/>
      <c r="AO40" s="1533"/>
      <c r="AQ40" s="10">
        <f t="shared" si="5"/>
        <v>0</v>
      </c>
      <c r="AR40" s="10">
        <f t="shared" si="1"/>
        <v>0</v>
      </c>
      <c r="AS40" s="10">
        <f t="shared" si="2"/>
        <v>0</v>
      </c>
      <c r="AT40" s="10">
        <f t="shared" si="3"/>
        <v>0</v>
      </c>
    </row>
    <row r="41" spans="1:46" ht="53.25" customHeight="1">
      <c r="J41" s="181"/>
      <c r="K41" s="34"/>
      <c r="L41" s="34"/>
      <c r="N41" s="1597" t="str">
        <f>DATA!L39</f>
        <v>IKK Water Supply Program and Small Water Treatment Plant for Water Scarcity Area</v>
      </c>
      <c r="O41" s="1413">
        <v>50000000</v>
      </c>
      <c r="P41" s="1414">
        <v>50000000</v>
      </c>
      <c r="Q41" s="1446">
        <f>DATA!V37</f>
        <v>5000000</v>
      </c>
      <c r="R41" s="1446">
        <f>DATA!W37</f>
        <v>0</v>
      </c>
      <c r="S41" s="1447">
        <f t="shared" si="6"/>
        <v>55000000</v>
      </c>
      <c r="T41" s="1457"/>
      <c r="U41" s="1449" t="str">
        <f>DATA!Y39</f>
        <v>IDB</v>
      </c>
      <c r="V41" s="77">
        <f>DATA!AA39</f>
        <v>50000000</v>
      </c>
      <c r="W41" s="77">
        <v>0</v>
      </c>
      <c r="X41" s="1450" t="str">
        <f>DATA!Y39</f>
        <v>IDB</v>
      </c>
      <c r="Y41" s="109">
        <v>50000000</v>
      </c>
      <c r="Z41" s="109" t="s">
        <v>636</v>
      </c>
      <c r="AA41" s="1484" t="s">
        <v>879</v>
      </c>
      <c r="AB41" s="1484"/>
      <c r="AC41" s="1484"/>
      <c r="AD41" s="1484"/>
      <c r="AE41" s="1484"/>
      <c r="AF41" s="1484"/>
      <c r="AG41" s="1484"/>
      <c r="AH41" s="1509">
        <f>P41</f>
        <v>50000000</v>
      </c>
      <c r="AI41" s="109" t="s">
        <v>633</v>
      </c>
      <c r="AJ41" s="1544" t="str">
        <f>DATA!AW39</f>
        <v>- usulan K/L lender:IDB.
- pihak IDB tidak berminat mendanai kegiatan ini, diusulkan kepada AIIB.
- Indikasi Lender AIIB menjadi belum ada indikasi (konfirmasi tgl 29 Jan'16)</v>
      </c>
      <c r="AK41" s="245">
        <f>DATA!AM39</f>
        <v>0</v>
      </c>
      <c r="AL41" s="1510" t="str">
        <f>DATA!AN39</f>
        <v>siap</v>
      </c>
      <c r="AM41" s="1511" t="str">
        <f>DATA!AO39</f>
        <v>dalam proses
(pelaksanaan &lt;50%)</v>
      </c>
      <c r="AN41" s="1510">
        <f>DATA!AQ39</f>
        <v>0</v>
      </c>
      <c r="AO41" s="1533" t="str">
        <f>DATA!AR39</f>
        <v>belum ada dokumen R/C</v>
      </c>
      <c r="AQ41" s="10">
        <f t="shared" si="5"/>
        <v>0</v>
      </c>
      <c r="AR41" s="10">
        <f t="shared" si="1"/>
        <v>0</v>
      </c>
      <c r="AS41" s="10">
        <f t="shared" si="2"/>
        <v>0</v>
      </c>
      <c r="AT41" s="10">
        <f t="shared" si="3"/>
        <v>0</v>
      </c>
    </row>
    <row r="42" spans="1:46" s="5" customFormat="1" ht="39.75" customHeight="1">
      <c r="J42" s="180"/>
      <c r="K42" s="50"/>
      <c r="L42" s="30" t="str">
        <f>DATA!I41</f>
        <v>E</v>
      </c>
      <c r="M42" s="3427" t="str">
        <f>DATA!J41</f>
        <v xml:space="preserve">Program Pembangunan Sistem Pengelolaan Air Limbah </v>
      </c>
      <c r="N42" s="3556"/>
      <c r="O42" s="214" t="e">
        <f>O43+O45+O47+O48+O52+O53+#REF!</f>
        <v>#REF!</v>
      </c>
      <c r="P42" s="197" t="e">
        <f>P43+P45+P47+P48+P52+P53+#REF!</f>
        <v>#NAME?</v>
      </c>
      <c r="Q42" s="1436">
        <f>SUM(Q43:Q53)</f>
        <v>167500000</v>
      </c>
      <c r="R42" s="1436" t="e">
        <f>R43+R45+R47+R48+R52+R53+#REF!</f>
        <v>#REF!</v>
      </c>
      <c r="S42" s="244" t="e">
        <f t="shared" si="6"/>
        <v>#NAME?</v>
      </c>
      <c r="T42" s="1437"/>
      <c r="U42" s="198"/>
      <c r="V42" s="81">
        <f>SUM(V43:V53)</f>
        <v>3557800000</v>
      </c>
      <c r="W42" s="81">
        <f>SUM(W43:W53)</f>
        <v>0</v>
      </c>
      <c r="X42" s="243">
        <f>SUM(X43:X53)</f>
        <v>0</v>
      </c>
      <c r="Y42" s="81">
        <f>Y43+Y44+Y45+Y47+Y48+Y49+Y50+Y51+Y52+Y53+Y46</f>
        <v>3557800000</v>
      </c>
      <c r="Z42" s="81"/>
      <c r="AA42" s="1484"/>
      <c r="AB42" s="1484"/>
      <c r="AC42" s="1484"/>
      <c r="AD42" s="1484"/>
      <c r="AE42" s="1484"/>
      <c r="AF42" s="1484"/>
      <c r="AG42" s="1484"/>
      <c r="AH42" s="198">
        <f>SUM(AH43:AH53)</f>
        <v>3557800000</v>
      </c>
      <c r="AI42" s="81" t="s">
        <v>21</v>
      </c>
      <c r="AJ42" s="214">
        <f>SUM(AJ43:AJ53)</f>
        <v>0</v>
      </c>
      <c r="AK42" s="1505"/>
      <c r="AL42" s="1506"/>
      <c r="AM42" s="169"/>
      <c r="AN42" s="1507"/>
      <c r="AO42" s="1530"/>
      <c r="AQ42" s="10">
        <f t="shared" si="5"/>
        <v>0</v>
      </c>
      <c r="AR42" s="10">
        <f t="shared" si="1"/>
        <v>0</v>
      </c>
      <c r="AS42" s="10">
        <f t="shared" si="2"/>
        <v>0</v>
      </c>
      <c r="AT42" s="10">
        <f t="shared" si="3"/>
        <v>0</v>
      </c>
    </row>
    <row r="43" spans="1:46" ht="66.95" customHeight="1">
      <c r="J43" s="181"/>
      <c r="K43" s="34"/>
      <c r="L43" s="34"/>
      <c r="M43" s="3399">
        <v>17</v>
      </c>
      <c r="N43" s="3580" t="str">
        <f>DATA!L42</f>
        <v>Community Based Sanitation Program (SANIMAS)</v>
      </c>
      <c r="O43" s="3592">
        <f>DATA!T41</f>
        <v>250000000</v>
      </c>
      <c r="P43" s="3410" t="e">
        <f>'ALL-USD40.1M'!Y134\</f>
        <v>#NAME?</v>
      </c>
      <c r="Q43" s="3438">
        <f>DATA!V41</f>
        <v>12500000</v>
      </c>
      <c r="R43" s="3438">
        <f>DATA!W41</f>
        <v>0</v>
      </c>
      <c r="S43" s="3603" t="e">
        <f t="shared" si="6"/>
        <v>#NAME?</v>
      </c>
      <c r="T43" s="1439"/>
      <c r="U43" s="1449" t="str">
        <f>DATA!Y42</f>
        <v>ADB</v>
      </c>
      <c r="V43" s="77">
        <f>DATA!AA42</f>
        <v>125000000</v>
      </c>
      <c r="W43" s="77">
        <v>0</v>
      </c>
      <c r="X43" s="1450" t="str">
        <f>DATA!Y42</f>
        <v>ADB</v>
      </c>
      <c r="Y43" s="109">
        <v>125000000</v>
      </c>
      <c r="Z43" s="109" t="s">
        <v>117</v>
      </c>
      <c r="AA43" s="1484" t="s">
        <v>1169</v>
      </c>
      <c r="AB43" s="1484"/>
      <c r="AC43" s="1484"/>
      <c r="AD43" s="1484"/>
      <c r="AE43" s="1484"/>
      <c r="AF43" s="1484"/>
      <c r="AG43" s="1484" t="s">
        <v>1171</v>
      </c>
      <c r="AH43" s="1509">
        <f>DATA!AT42</f>
        <v>125000000</v>
      </c>
      <c r="AI43" s="109" t="str">
        <f>DATA!AU42</f>
        <v>ADB</v>
      </c>
      <c r="AJ43" s="1544" t="str">
        <f>DATA!AW42</f>
        <v>-</v>
      </c>
      <c r="AK43" s="1582">
        <f>DATA!AM42</f>
        <v>0</v>
      </c>
      <c r="AL43" s="3515" t="str">
        <f>DATA!AN42</f>
        <v>belum ada keterangan</v>
      </c>
      <c r="AM43" s="3515" t="str">
        <f>DATA!AO42</f>
        <v>tidak butuh lahan</v>
      </c>
      <c r="AN43" s="1545">
        <f>DATA!AQ42</f>
        <v>0</v>
      </c>
      <c r="AO43" s="1664" t="str">
        <f>DATA!AR42</f>
        <v>- untuk wilayah Timur
- belum ada dokumen R/C</v>
      </c>
      <c r="AQ43" s="10">
        <f t="shared" si="5"/>
        <v>0</v>
      </c>
      <c r="AR43" s="10">
        <f t="shared" si="1"/>
        <v>0</v>
      </c>
      <c r="AS43" s="10">
        <f t="shared" si="2"/>
        <v>0</v>
      </c>
      <c r="AT43" s="10">
        <f t="shared" si="3"/>
        <v>0</v>
      </c>
    </row>
    <row r="44" spans="1:46" ht="47.25" customHeight="1">
      <c r="J44" s="181"/>
      <c r="K44" s="34"/>
      <c r="L44" s="34"/>
      <c r="M44" s="3400"/>
      <c r="N44" s="3581"/>
      <c r="O44" s="3591"/>
      <c r="P44" s="3409"/>
      <c r="Q44" s="3439"/>
      <c r="R44" s="3439"/>
      <c r="S44" s="3604"/>
      <c r="T44" s="1443"/>
      <c r="U44" s="1449" t="str">
        <f>DATA!Y43</f>
        <v>IDB</v>
      </c>
      <c r="V44" s="77">
        <f>DATA!AA43</f>
        <v>125000000</v>
      </c>
      <c r="W44" s="77">
        <v>0</v>
      </c>
      <c r="X44" s="1450" t="str">
        <f>DATA!Y43</f>
        <v>IDB</v>
      </c>
      <c r="Y44" s="109">
        <v>125000000</v>
      </c>
      <c r="Z44" s="109" t="s">
        <v>58</v>
      </c>
      <c r="AA44" s="1484" t="s">
        <v>1169</v>
      </c>
      <c r="AB44" s="1484"/>
      <c r="AC44" s="1484"/>
      <c r="AD44" s="1484"/>
      <c r="AE44" s="1484"/>
      <c r="AF44" s="1484"/>
      <c r="AG44" s="1484" t="s">
        <v>1172</v>
      </c>
      <c r="AH44" s="1509">
        <f>DATA!AT43</f>
        <v>125000000</v>
      </c>
      <c r="AI44" s="109" t="str">
        <f>DATA!AU43</f>
        <v>IDB</v>
      </c>
      <c r="AJ44" s="1544" t="str">
        <f>DATA!AW43</f>
        <v>-</v>
      </c>
      <c r="AK44" s="1582">
        <f>DATA!AM43</f>
        <v>0</v>
      </c>
      <c r="AL44" s="3630"/>
      <c r="AM44" s="3630"/>
      <c r="AN44" s="1545">
        <f>DATA!AQ43</f>
        <v>0</v>
      </c>
      <c r="AO44" s="1664" t="str">
        <f>DATA!AR43</f>
        <v>- untuk wilayah Barat
- belum ada dokumen R/C</v>
      </c>
      <c r="AQ44" s="10">
        <f t="shared" si="5"/>
        <v>0</v>
      </c>
      <c r="AR44" s="10">
        <f t="shared" si="1"/>
        <v>0</v>
      </c>
      <c r="AS44" s="10">
        <f t="shared" si="2"/>
        <v>0</v>
      </c>
      <c r="AT44" s="10">
        <f t="shared" si="3"/>
        <v>0</v>
      </c>
    </row>
    <row r="45" spans="1:46" ht="80.25" customHeight="1">
      <c r="A45" s="10">
        <f>DATA!A44</f>
        <v>36</v>
      </c>
      <c r="B45" s="10">
        <f>DATA!B44</f>
        <v>0</v>
      </c>
      <c r="C45" s="10" t="str">
        <f>DATA!D44</f>
        <v>INFRASTRUKTUR</v>
      </c>
      <c r="D45" s="10">
        <f>DATA!E44</f>
        <v>1</v>
      </c>
      <c r="E45" s="10" t="str">
        <f>DATA!F44</f>
        <v>Kementerian Pekerjaan Umum dan Perumahan Rakyat</v>
      </c>
      <c r="F45" s="10" t="str">
        <f>DATA!H44</f>
        <v>Development of Waste Water Management Program</v>
      </c>
      <c r="G45" s="10" t="str">
        <f>DATA!I44</f>
        <v>E</v>
      </c>
      <c r="H45" s="10" t="str">
        <f>DATA!J44</f>
        <v xml:space="preserve">Program Pembangunan Sistem Pengelolaan Air Limbah </v>
      </c>
      <c r="I45" s="10">
        <f>DATA!K44</f>
        <v>2</v>
      </c>
      <c r="J45" s="181"/>
      <c r="K45" s="34"/>
      <c r="L45" s="34"/>
      <c r="M45" s="36">
        <v>18</v>
      </c>
      <c r="N45" s="199" t="str">
        <f>DATA!L44</f>
        <v>Jakarta Sewerage Development Project - Zone 1 and Zone 6</v>
      </c>
      <c r="O45" s="1402">
        <f>DATA!T44</f>
        <v>1950000000</v>
      </c>
      <c r="P45" s="187">
        <f>DATA!U44</f>
        <v>1950000000</v>
      </c>
      <c r="Q45" s="1446">
        <f>DATA!V44</f>
        <v>97500000</v>
      </c>
      <c r="R45" s="1446"/>
      <c r="S45" s="1447">
        <f>P45+Q45+R45</f>
        <v>2047500000</v>
      </c>
      <c r="T45" s="1448"/>
      <c r="U45" s="1449" t="str">
        <f>DATA!Y44</f>
        <v>JICA</v>
      </c>
      <c r="V45" s="77">
        <f>DATA!AA44</f>
        <v>1950000000</v>
      </c>
      <c r="W45" s="77">
        <v>0</v>
      </c>
      <c r="X45" s="1450" t="str">
        <f>DATA!Y44</f>
        <v>JICA</v>
      </c>
      <c r="Y45" s="109">
        <f>1950000000-Y46</f>
        <v>1537500000</v>
      </c>
      <c r="Z45" s="109" t="s">
        <v>55</v>
      </c>
      <c r="AA45" s="109" t="s">
        <v>879</v>
      </c>
      <c r="AB45" s="109"/>
      <c r="AC45" s="109"/>
      <c r="AD45" s="109"/>
      <c r="AE45" s="109"/>
      <c r="AF45" s="109"/>
      <c r="AG45" s="109"/>
      <c r="AH45" s="1509">
        <f>DATA!AT44</f>
        <v>1950000000</v>
      </c>
      <c r="AI45" s="109" t="str">
        <f>DATA!AU44</f>
        <v>JICA</v>
      </c>
      <c r="AJ45" s="1544" t="str">
        <f>DATA!AW44</f>
        <v>-</v>
      </c>
      <c r="AK45" s="245">
        <f>DATA!AM44</f>
        <v>0</v>
      </c>
      <c r="AL45" s="1510" t="str">
        <f>DATA!AN44</f>
        <v>dalam proses
(memiliki FS)</v>
      </c>
      <c r="AM45" s="1511" t="str">
        <f>DATA!AO44</f>
        <v>dalam proses</v>
      </c>
      <c r="AN45" s="1545">
        <f>DATA!AQ44</f>
        <v>0</v>
      </c>
      <c r="AO45" s="1533" t="str">
        <f>DATA!AR44</f>
        <v>- Zona I: dalam pelaksanaan ES (tender konsultan)
- belum ada dokumen R/C</v>
      </c>
      <c r="AQ45" s="10">
        <f>IF(Z46="RRT",Y45,0)</f>
        <v>0</v>
      </c>
      <c r="AR45" s="10">
        <f>IF(Z46="JICA",Y45,0)</f>
        <v>1537500000</v>
      </c>
      <c r="AS45" s="10">
        <f>IF(Z46="Belum ada indikasi",Y45,0)</f>
        <v>0</v>
      </c>
      <c r="AT45" s="10">
        <f>IF(Z46="Korea",Y45,0)</f>
        <v>0</v>
      </c>
    </row>
    <row r="46" spans="1:46" ht="80.25" customHeight="1">
      <c r="J46" s="181"/>
      <c r="K46" s="34"/>
      <c r="L46" s="34"/>
      <c r="M46" s="3292"/>
      <c r="N46" s="199"/>
      <c r="O46" s="1402"/>
      <c r="P46" s="187"/>
      <c r="Q46" s="1446"/>
      <c r="R46" s="1446"/>
      <c r="S46" s="1447"/>
      <c r="T46" s="1448"/>
      <c r="U46" s="1449"/>
      <c r="V46" s="77"/>
      <c r="W46" s="77"/>
      <c r="X46" s="1450"/>
      <c r="Y46" s="109">
        <v>412500000</v>
      </c>
      <c r="Z46" s="109" t="s">
        <v>55</v>
      </c>
      <c r="AA46" s="1484" t="s">
        <v>1160</v>
      </c>
      <c r="AB46" s="1484"/>
      <c r="AC46" s="1484"/>
      <c r="AD46" s="1484"/>
      <c r="AE46" s="1484"/>
      <c r="AF46" s="1484"/>
      <c r="AG46" s="1484" t="s">
        <v>1467</v>
      </c>
      <c r="AH46" s="1509"/>
      <c r="AI46" s="109"/>
      <c r="AJ46" s="1544"/>
      <c r="AK46" s="245"/>
      <c r="AL46" s="1510"/>
      <c r="AM46" s="1511"/>
      <c r="AN46" s="1545"/>
      <c r="AO46" s="1533"/>
    </row>
    <row r="47" spans="1:46" ht="33.75" customHeight="1">
      <c r="A47" s="10">
        <f>DATA!A45</f>
        <v>37</v>
      </c>
      <c r="B47" s="10">
        <f>DATA!B45</f>
        <v>0</v>
      </c>
      <c r="C47" s="10" t="str">
        <f>DATA!D45</f>
        <v>INFRASTRUKTUR</v>
      </c>
      <c r="D47" s="10">
        <f>DATA!E45</f>
        <v>1</v>
      </c>
      <c r="E47" s="10" t="str">
        <f>DATA!F45</f>
        <v>Kementerian Pekerjaan Umum dan Perumahan Rakyat</v>
      </c>
      <c r="F47" s="10" t="str">
        <f>DATA!H45</f>
        <v>Development of Waste Water Management Program</v>
      </c>
      <c r="G47" s="10" t="str">
        <f>DATA!I45</f>
        <v>E</v>
      </c>
      <c r="H47" s="10" t="str">
        <f>DATA!J45</f>
        <v xml:space="preserve">Program Pembangunan Sistem Pengelolaan Air Limbah </v>
      </c>
      <c r="I47" s="10">
        <f>DATA!K45</f>
        <v>3</v>
      </c>
      <c r="J47" s="181"/>
      <c r="K47" s="34"/>
      <c r="L47" s="34"/>
      <c r="M47" s="36">
        <v>19</v>
      </c>
      <c r="N47" s="199" t="str">
        <f>DATA!L45</f>
        <v>The Development of Sewage Treatment Plant Facility in Priority Area</v>
      </c>
      <c r="O47" s="1402">
        <f>DATA!T45</f>
        <v>75000000</v>
      </c>
      <c r="P47" s="187">
        <f>DATA!U45</f>
        <v>75000000</v>
      </c>
      <c r="Q47" s="1446">
        <f>DATA!V45</f>
        <v>3750000</v>
      </c>
      <c r="R47" s="1446"/>
      <c r="S47" s="1447">
        <f>P47+Q47+R47</f>
        <v>78750000</v>
      </c>
      <c r="T47" s="1448"/>
      <c r="U47" s="1449" t="str">
        <f>DATA!Y45</f>
        <v>Bank Dunia/JICA</v>
      </c>
      <c r="V47" s="77">
        <f>DATA!AA45</f>
        <v>75000000</v>
      </c>
      <c r="W47" s="77">
        <v>0</v>
      </c>
      <c r="X47" s="1450" t="str">
        <f>DATA!Y45</f>
        <v>Bank Dunia/JICA</v>
      </c>
      <c r="Y47" s="109">
        <v>75000000</v>
      </c>
      <c r="Z47" s="109" t="s">
        <v>62</v>
      </c>
      <c r="AA47" s="1484" t="s">
        <v>879</v>
      </c>
      <c r="AB47" s="1484"/>
      <c r="AC47" s="1484"/>
      <c r="AD47" s="1484"/>
      <c r="AE47" s="1484"/>
      <c r="AF47" s="1484"/>
      <c r="AG47" s="1484" t="s">
        <v>1164</v>
      </c>
      <c r="AH47" s="1509">
        <f>DATA!AT45</f>
        <v>75000000</v>
      </c>
      <c r="AI47" s="109" t="str">
        <f>DATA!AU45</f>
        <v>Bank Dunia</v>
      </c>
      <c r="AJ47" s="1544" t="str">
        <f>DATA!AW45</f>
        <v xml:space="preserve">- usulan K/L lender: Bank Dunia/JICA/ADB. 
- pihak Bank Dunia berminat, ADB dan JICA tidak berminat
- dalam rencana pembiayaan Bank Dunia, kegiatan ini dijadikan satu paket dengan kegiatan "Sewerage System Development in Indonesia" </v>
      </c>
      <c r="AK47" s="245">
        <f>DATA!AM45</f>
        <v>0</v>
      </c>
      <c r="AL47" s="1510" t="str">
        <f>DATA!AN45</f>
        <v>dalam proses
(memiliki FS)</v>
      </c>
      <c r="AM47" s="1511" t="str">
        <f>DATA!AO45</f>
        <v>belum ada keterangan</v>
      </c>
      <c r="AN47" s="1545">
        <f>DATA!AQ45</f>
        <v>0</v>
      </c>
      <c r="AO47" s="1533" t="str">
        <f>DATA!AR45</f>
        <v>belum ada dokumen R/C</v>
      </c>
      <c r="AQ47" s="10">
        <f t="shared" si="5"/>
        <v>0</v>
      </c>
      <c r="AR47" s="10">
        <f t="shared" si="1"/>
        <v>0</v>
      </c>
      <c r="AS47" s="10">
        <f t="shared" si="2"/>
        <v>0</v>
      </c>
      <c r="AT47" s="10">
        <f t="shared" si="3"/>
        <v>0</v>
      </c>
    </row>
    <row r="48" spans="1:46" s="9" customFormat="1" ht="73.5" customHeight="1">
      <c r="A48" s="9">
        <f>DATA!A47</f>
        <v>38</v>
      </c>
      <c r="B48" s="9">
        <f>DATA!B47</f>
        <v>0</v>
      </c>
      <c r="C48" s="9" t="str">
        <f>DATA!D47</f>
        <v>INFRASTRUKTUR</v>
      </c>
      <c r="D48" s="9">
        <f>DATA!E47</f>
        <v>1</v>
      </c>
      <c r="E48" s="9" t="str">
        <f>DATA!F47</f>
        <v>Kementerian Pekerjaan Umum dan Perumahan Rakyat</v>
      </c>
      <c r="F48" s="9" t="str">
        <f>DATA!H47</f>
        <v>Development of Waste Water Management Program</v>
      </c>
      <c r="G48" s="9" t="str">
        <f>DATA!I47</f>
        <v>E</v>
      </c>
      <c r="H48" s="9" t="str">
        <f>DATA!J47</f>
        <v xml:space="preserve">Program Pembangunan Sistem Pengelolaan Air Limbah </v>
      </c>
      <c r="I48" s="9">
        <f>DATA!K47</f>
        <v>4</v>
      </c>
      <c r="J48" s="254"/>
      <c r="K48" s="63"/>
      <c r="L48" s="63"/>
      <c r="M48" s="3453">
        <v>20</v>
      </c>
      <c r="N48" s="3582" t="str">
        <f>DATA!L47</f>
        <v>Sewerage System Development in Indonesia</v>
      </c>
      <c r="O48" s="3593">
        <f>DATA!T46</f>
        <v>975000000</v>
      </c>
      <c r="P48" s="3431">
        <f>AH48+AH49+AH50+AH51</f>
        <v>949800000</v>
      </c>
      <c r="Q48" s="3440">
        <f>DATA!V46</f>
        <v>48750000</v>
      </c>
      <c r="R48" s="3440"/>
      <c r="S48" s="3605">
        <f>P48+Q48+R48</f>
        <v>998550000</v>
      </c>
      <c r="T48" s="1679"/>
      <c r="U48" s="3486" t="str">
        <f>DATA!Y47</f>
        <v>ADB</v>
      </c>
      <c r="V48" s="3491">
        <f>DATA!AA47</f>
        <v>424800000</v>
      </c>
      <c r="W48" s="3491" t="s">
        <v>21</v>
      </c>
      <c r="X48" s="3616" t="str">
        <f>DATA!Y47</f>
        <v>ADB</v>
      </c>
      <c r="Y48" s="273">
        <v>400000000</v>
      </c>
      <c r="Z48" s="273" t="s">
        <v>117</v>
      </c>
      <c r="AA48" s="1684" t="s">
        <v>1173</v>
      </c>
      <c r="AB48" s="1685"/>
      <c r="AC48" s="1686"/>
      <c r="AD48" s="1687"/>
      <c r="AE48" s="1687"/>
      <c r="AF48" s="1687"/>
      <c r="AG48" s="3255" t="s">
        <v>1466</v>
      </c>
      <c r="AH48" s="281">
        <f>DATA!AT47</f>
        <v>400000000</v>
      </c>
      <c r="AI48" s="273" t="str">
        <f>DATA!AU47</f>
        <v>ADB</v>
      </c>
      <c r="AJ48" s="1688" t="str">
        <f>DATA!AW47</f>
        <v>- nilai kegiatan yang tercantum dalam COBP ADB sebesar USD 400 juta.
- nilai kegiatan berkurang sebesar USD 25,2 yang dialihkan untuk membiayai kegiatan ES</v>
      </c>
      <c r="AK48" s="245">
        <f>DATA!AM47</f>
        <v>0</v>
      </c>
      <c r="AL48" s="3516" t="str">
        <f>DATA!AN47</f>
        <v>belum ada keterangan</v>
      </c>
      <c r="AM48" s="3516" t="str">
        <f>DATA!AO47</f>
        <v>belum ada keterangan</v>
      </c>
      <c r="AN48" s="1545">
        <f>DATA!AQ47</f>
        <v>0</v>
      </c>
      <c r="AO48" s="3506" t="str">
        <f>DATA!AR47</f>
        <v>- nilai pinjaman berkurang sebesar USD 25,20 juta untuk kegiatan ES
- belum ada dokumen R/C</v>
      </c>
      <c r="AQ48" s="10">
        <f t="shared" si="5"/>
        <v>0</v>
      </c>
      <c r="AR48" s="10">
        <f t="shared" si="1"/>
        <v>0</v>
      </c>
      <c r="AS48" s="10">
        <f t="shared" si="2"/>
        <v>0</v>
      </c>
      <c r="AT48" s="10">
        <f t="shared" si="3"/>
        <v>0</v>
      </c>
    </row>
    <row r="49" spans="1:46" s="9" customFormat="1" ht="63.75">
      <c r="J49" s="254"/>
      <c r="K49" s="63"/>
      <c r="L49" s="63"/>
      <c r="M49" s="3454"/>
      <c r="N49" s="3583"/>
      <c r="O49" s="3594"/>
      <c r="P49" s="3432"/>
      <c r="Q49" s="3441"/>
      <c r="R49" s="3441"/>
      <c r="S49" s="3606"/>
      <c r="T49" s="1681"/>
      <c r="U49" s="3487"/>
      <c r="V49" s="3492"/>
      <c r="W49" s="3492"/>
      <c r="X49" s="3617"/>
      <c r="Y49" s="273">
        <v>24800000</v>
      </c>
      <c r="Z49" s="273" t="s">
        <v>1063</v>
      </c>
      <c r="AA49" s="1684" t="s">
        <v>1160</v>
      </c>
      <c r="AB49" s="1685"/>
      <c r="AC49" s="1686"/>
      <c r="AD49" s="1687"/>
      <c r="AE49" s="1687"/>
      <c r="AF49" s="1687"/>
      <c r="AG49" s="3253" t="s">
        <v>1175</v>
      </c>
      <c r="AH49" s="281">
        <f>DATA!AT50</f>
        <v>24800000</v>
      </c>
      <c r="AI49" s="273" t="str">
        <f>DATA!AU50</f>
        <v>Belum Ada Indikasi</v>
      </c>
      <c r="AJ49" s="1689" t="str">
        <f>DATA!AW50</f>
        <v>co-financing dengan ADB (USD 400 juta), IDB (USD 325 juta) &amp; Bank Dunia (USD 200 juta)</v>
      </c>
      <c r="AK49" s="245">
        <f>DATA!AM50</f>
        <v>0</v>
      </c>
      <c r="AL49" s="3517"/>
      <c r="AM49" s="3517"/>
      <c r="AN49" s="1545">
        <f>DATA!AQ50</f>
        <v>0</v>
      </c>
      <c r="AO49" s="3507"/>
      <c r="AQ49" s="10">
        <f t="shared" si="5"/>
        <v>0</v>
      </c>
      <c r="AR49" s="10">
        <f t="shared" si="1"/>
        <v>0</v>
      </c>
      <c r="AS49" s="10">
        <f t="shared" si="2"/>
        <v>0</v>
      </c>
      <c r="AT49" s="10">
        <f t="shared" si="3"/>
        <v>0</v>
      </c>
    </row>
    <row r="50" spans="1:46" s="9" customFormat="1" ht="38.25">
      <c r="A50" s="9">
        <f>DATA!A48</f>
        <v>39</v>
      </c>
      <c r="B50" s="9">
        <f>DATA!B48</f>
        <v>0</v>
      </c>
      <c r="C50" s="9" t="str">
        <f>DATA!D48</f>
        <v>INFRASTRUKTUR</v>
      </c>
      <c r="D50" s="9">
        <f>DATA!E48</f>
        <v>1</v>
      </c>
      <c r="E50" s="9" t="str">
        <f>DATA!F48</f>
        <v>Kementerian Pekerjaan Umum dan Perumahan Rakyat</v>
      </c>
      <c r="F50" s="9" t="str">
        <f>DATA!H48</f>
        <v>Development of Waste Water Management Program</v>
      </c>
      <c r="G50" s="9" t="str">
        <f>DATA!I48</f>
        <v>E</v>
      </c>
      <c r="H50" s="9" t="str">
        <f>DATA!J48</f>
        <v xml:space="preserve">Program Pembangunan Sistem Pengelolaan Air Limbah </v>
      </c>
      <c r="I50" s="9">
        <f>DATA!K48</f>
        <v>4</v>
      </c>
      <c r="J50" s="254"/>
      <c r="K50" s="63"/>
      <c r="L50" s="63"/>
      <c r="M50" s="3454"/>
      <c r="N50" s="3583"/>
      <c r="O50" s="3594"/>
      <c r="P50" s="3432"/>
      <c r="Q50" s="3441"/>
      <c r="R50" s="3441"/>
      <c r="S50" s="3606"/>
      <c r="T50" s="1681"/>
      <c r="U50" s="1455" t="str">
        <f>DATA!Y48</f>
        <v>IDB</v>
      </c>
      <c r="V50" s="91">
        <f>DATA!AA48</f>
        <v>325000000</v>
      </c>
      <c r="W50" s="91">
        <v>0</v>
      </c>
      <c r="X50" s="286" t="str">
        <f>DATA!Y48</f>
        <v>IDB</v>
      </c>
      <c r="Y50" s="273">
        <v>325000000</v>
      </c>
      <c r="Z50" s="273" t="s">
        <v>58</v>
      </c>
      <c r="AA50" s="1684" t="s">
        <v>879</v>
      </c>
      <c r="AB50" s="1685"/>
      <c r="AC50" s="1686"/>
      <c r="AD50" s="1687"/>
      <c r="AE50" s="1687"/>
      <c r="AF50" s="1687"/>
      <c r="AG50" s="3255" t="s">
        <v>1176</v>
      </c>
      <c r="AH50" s="281">
        <f>DATA!AT48</f>
        <v>325000000</v>
      </c>
      <c r="AI50" s="273" t="str">
        <f>DATA!AU48</f>
        <v>IDB</v>
      </c>
      <c r="AJ50" s="1688" t="str">
        <f>DATA!AW48</f>
        <v>-</v>
      </c>
      <c r="AK50" s="245">
        <f>DATA!AM48</f>
        <v>0</v>
      </c>
      <c r="AL50" s="3517"/>
      <c r="AM50" s="3517"/>
      <c r="AN50" s="1545">
        <f>DATA!AQ48</f>
        <v>0</v>
      </c>
      <c r="AO50" s="3507"/>
      <c r="AQ50" s="10">
        <f t="shared" si="5"/>
        <v>0</v>
      </c>
      <c r="AR50" s="10">
        <f t="shared" si="1"/>
        <v>0</v>
      </c>
      <c r="AS50" s="10">
        <f t="shared" si="2"/>
        <v>0</v>
      </c>
      <c r="AT50" s="10">
        <f t="shared" si="3"/>
        <v>0</v>
      </c>
    </row>
    <row r="51" spans="1:46" s="9" customFormat="1" ht="87" customHeight="1">
      <c r="A51" s="9">
        <f>DATA!A49</f>
        <v>40</v>
      </c>
      <c r="B51" s="9">
        <f>DATA!B49</f>
        <v>0</v>
      </c>
      <c r="C51" s="9" t="str">
        <f>DATA!D49</f>
        <v>INFRASTRUKTUR</v>
      </c>
      <c r="D51" s="9">
        <f>DATA!E49</f>
        <v>1</v>
      </c>
      <c r="E51" s="9" t="str">
        <f>DATA!F49</f>
        <v>Kementerian Pekerjaan Umum dan Perumahan Rakyat</v>
      </c>
      <c r="F51" s="9" t="str">
        <f>DATA!H49</f>
        <v>Development of Waste Water Management Program</v>
      </c>
      <c r="G51" s="9" t="str">
        <f>DATA!I49</f>
        <v>E</v>
      </c>
      <c r="H51" s="9" t="str">
        <f>DATA!J49</f>
        <v xml:space="preserve">Program Pembangunan Sistem Pengelolaan Air Limbah </v>
      </c>
      <c r="I51" s="9">
        <f>DATA!K49</f>
        <v>4</v>
      </c>
      <c r="J51" s="254"/>
      <c r="K51" s="63"/>
      <c r="L51" s="63"/>
      <c r="M51" s="3455"/>
      <c r="N51" s="3584"/>
      <c r="O51" s="3595"/>
      <c r="P51" s="3433"/>
      <c r="Q51" s="3442"/>
      <c r="R51" s="3442"/>
      <c r="S51" s="3607"/>
      <c r="T51" s="1683"/>
      <c r="U51" s="1455" t="str">
        <f>DATA!Y49</f>
        <v>Bank Dunia</v>
      </c>
      <c r="V51" s="91">
        <f>DATA!AA49</f>
        <v>200000000</v>
      </c>
      <c r="W51" s="91">
        <v>0</v>
      </c>
      <c r="X51" s="286" t="str">
        <f>DATA!Y49</f>
        <v>Bank Dunia</v>
      </c>
      <c r="Y51" s="273">
        <v>200000000</v>
      </c>
      <c r="Z51" s="273" t="s">
        <v>62</v>
      </c>
      <c r="AA51" s="1684" t="s">
        <v>879</v>
      </c>
      <c r="AB51" s="1685"/>
      <c r="AC51" s="1686"/>
      <c r="AD51" s="1687"/>
      <c r="AE51" s="1687"/>
      <c r="AF51" s="1687"/>
      <c r="AG51" s="3255" t="s">
        <v>1177</v>
      </c>
      <c r="AH51" s="281">
        <f>DATA!AT49</f>
        <v>200000000</v>
      </c>
      <c r="AI51" s="273" t="str">
        <f>DATA!AU49</f>
        <v>Bank Dunia</v>
      </c>
      <c r="AJ51" s="1688" t="str">
        <f>DATA!AW49</f>
        <v>-</v>
      </c>
      <c r="AK51" s="245">
        <f>DATA!AM49</f>
        <v>0</v>
      </c>
      <c r="AL51" s="3518"/>
      <c r="AM51" s="3518"/>
      <c r="AN51" s="1545">
        <f>DATA!AQ49</f>
        <v>0</v>
      </c>
      <c r="AO51" s="3508"/>
      <c r="AQ51" s="10">
        <f t="shared" si="5"/>
        <v>0</v>
      </c>
      <c r="AR51" s="10">
        <f t="shared" si="1"/>
        <v>0</v>
      </c>
      <c r="AS51" s="10">
        <f t="shared" si="2"/>
        <v>0</v>
      </c>
      <c r="AT51" s="10">
        <f t="shared" si="3"/>
        <v>0</v>
      </c>
    </row>
    <row r="52" spans="1:46" ht="64.5" customHeight="1">
      <c r="A52" s="10">
        <f>DATA!A51</f>
        <v>41</v>
      </c>
      <c r="B52" s="10">
        <f>DATA!B51</f>
        <v>0</v>
      </c>
      <c r="C52" s="10" t="str">
        <f>DATA!D51</f>
        <v>INFRASTRUKTUR</v>
      </c>
      <c r="D52" s="10">
        <f>DATA!E51</f>
        <v>1</v>
      </c>
      <c r="E52" s="10" t="str">
        <f>DATA!F51</f>
        <v>Kementerian Pekerjaan Umum dan Perumahan Rakyat</v>
      </c>
      <c r="F52" s="10" t="str">
        <f>DATA!H51</f>
        <v>Development of Waste Water Management Program</v>
      </c>
      <c r="G52" s="10" t="str">
        <f>DATA!I51</f>
        <v>E</v>
      </c>
      <c r="H52" s="10" t="str">
        <f>DATA!J51</f>
        <v xml:space="preserve">Program Pembangunan Sistem Pengelolaan Air Limbah </v>
      </c>
      <c r="I52" s="10">
        <f>DATA!K51</f>
        <v>5</v>
      </c>
      <c r="J52" s="181"/>
      <c r="K52" s="34"/>
      <c r="L52" s="34"/>
      <c r="M52" s="36">
        <v>21</v>
      </c>
      <c r="N52" s="199" t="str">
        <f>DATA!L51</f>
        <v>Denpasar Sewerage Development Project - Phase III</v>
      </c>
      <c r="O52" s="1402">
        <f>DATA!T51</f>
        <v>233000000</v>
      </c>
      <c r="P52" s="187">
        <f>DATA!U51</f>
        <v>233000000</v>
      </c>
      <c r="Q52" s="1446">
        <f>BB[[#This Row],[PENDAMPING BB]]</f>
        <v>5000000</v>
      </c>
      <c r="R52" s="1446"/>
      <c r="S52" s="1447">
        <f t="shared" ref="S52:S58" si="7">P52+Q52+R52</f>
        <v>238000000</v>
      </c>
      <c r="T52" s="1448"/>
      <c r="U52" s="1449" t="str">
        <f>DATA!Y51</f>
        <v>JICA</v>
      </c>
      <c r="V52" s="77">
        <f>DATA!AA51</f>
        <v>233000000</v>
      </c>
      <c r="W52" s="77">
        <v>0</v>
      </c>
      <c r="X52" s="1450" t="str">
        <f>DATA!Y51</f>
        <v>JICA</v>
      </c>
      <c r="Y52" s="109">
        <v>233000000</v>
      </c>
      <c r="Z52" s="109" t="s">
        <v>55</v>
      </c>
      <c r="AA52" s="1484" t="s">
        <v>1160</v>
      </c>
      <c r="AB52" s="828"/>
      <c r="AC52" s="1485"/>
      <c r="AD52" s="1486"/>
      <c r="AE52" s="1486"/>
      <c r="AF52" s="1486"/>
      <c r="AG52" s="3253" t="s">
        <v>1468</v>
      </c>
      <c r="AH52" s="1509">
        <f>DATA!AT51</f>
        <v>233000000</v>
      </c>
      <c r="AI52" s="109" t="str">
        <f>DATA!AU51</f>
        <v>JICA</v>
      </c>
      <c r="AJ52" s="1544" t="str">
        <f>DATA!AW51</f>
        <v>-</v>
      </c>
      <c r="AK52" s="245">
        <f>DATA!AM51</f>
        <v>0</v>
      </c>
      <c r="AL52" s="1510" t="str">
        <f>DATA!AN51</f>
        <v>dalam proses
(memiliki FS)</v>
      </c>
      <c r="AM52" s="1511" t="str">
        <f>DATA!AO51</f>
        <v>belum ada keterangan</v>
      </c>
      <c r="AN52" s="1545">
        <f>DATA!AQ51</f>
        <v>0</v>
      </c>
      <c r="AO52" s="1533" t="str">
        <f>DATA!AR51</f>
        <v>Pengajuan pre-request</v>
      </c>
      <c r="AQ52" s="10">
        <f t="shared" si="5"/>
        <v>0</v>
      </c>
      <c r="AR52" s="10">
        <f t="shared" si="1"/>
        <v>233000000</v>
      </c>
      <c r="AS52" s="10">
        <f t="shared" si="2"/>
        <v>0</v>
      </c>
      <c r="AT52" s="10">
        <f t="shared" si="3"/>
        <v>0</v>
      </c>
    </row>
    <row r="53" spans="1:46" ht="37.5" customHeight="1">
      <c r="A53" s="10">
        <f>DATA!A52</f>
        <v>42</v>
      </c>
      <c r="B53" s="10">
        <f>DATA!B52</f>
        <v>0</v>
      </c>
      <c r="C53" s="10" t="str">
        <f>DATA!D52</f>
        <v>INFRASTRUKTUR</v>
      </c>
      <c r="D53" s="10">
        <f>DATA!E52</f>
        <v>1</v>
      </c>
      <c r="E53" s="10" t="str">
        <f>DATA!F52</f>
        <v>Kementerian Pekerjaan Umum dan Perumahan Rakyat</v>
      </c>
      <c r="F53" s="10" t="str">
        <f>DATA!H52</f>
        <v>Development of Waste Water Management Program</v>
      </c>
      <c r="G53" s="10" t="str">
        <f>DATA!I52</f>
        <v>E</v>
      </c>
      <c r="H53" s="10" t="str">
        <f>DATA!J52</f>
        <v xml:space="preserve">Program Pembangunan Sistem Pengelolaan Air Limbah </v>
      </c>
      <c r="I53" s="10">
        <f>DATA!K52</f>
        <v>6</v>
      </c>
      <c r="J53" s="181"/>
      <c r="K53" s="34"/>
      <c r="L53" s="34"/>
      <c r="M53" s="36">
        <v>22</v>
      </c>
      <c r="N53" s="199" t="str">
        <f>DATA!L52</f>
        <v>The Development and Optimization of Wastewater Treatment in Greater Bandung</v>
      </c>
      <c r="O53" s="1402">
        <f>DATA!T52</f>
        <v>100000000</v>
      </c>
      <c r="P53" s="187">
        <f>DATA!U52</f>
        <v>100000000</v>
      </c>
      <c r="Q53" s="1446">
        <f>BB[[#This Row],[PENDAMPING BB]]</f>
        <v>0</v>
      </c>
      <c r="R53" s="1446"/>
      <c r="S53" s="1447">
        <f t="shared" si="7"/>
        <v>100000000</v>
      </c>
      <c r="T53" s="1448"/>
      <c r="U53" s="1449" t="str">
        <f>DATA!Y52</f>
        <v>Jerman (KfW)</v>
      </c>
      <c r="V53" s="77">
        <f>DATA!AA52</f>
        <v>100000000</v>
      </c>
      <c r="W53" s="77">
        <v>0</v>
      </c>
      <c r="X53" s="1450" t="str">
        <f>DATA!Y52</f>
        <v>Jerman (KfW)</v>
      </c>
      <c r="Y53" s="109">
        <v>100000000</v>
      </c>
      <c r="Z53" s="109" t="s">
        <v>91</v>
      </c>
      <c r="AA53" s="1484" t="s">
        <v>1163</v>
      </c>
      <c r="AB53" s="828"/>
      <c r="AC53" s="1485"/>
      <c r="AD53" s="1486"/>
      <c r="AE53" s="1486"/>
      <c r="AF53" s="1486"/>
      <c r="AG53" s="3256" t="s">
        <v>1472</v>
      </c>
      <c r="AH53" s="1509">
        <f>DATA!AT52</f>
        <v>100000000</v>
      </c>
      <c r="AI53" s="109" t="str">
        <f>DATA!AU52</f>
        <v>Jerman (KfW)</v>
      </c>
      <c r="AJ53" s="1544" t="str">
        <f>DATA!AW52</f>
        <v>-</v>
      </c>
      <c r="AK53" s="245">
        <f>DATA!AM52</f>
        <v>0</v>
      </c>
      <c r="AL53" s="1510" t="str">
        <f>DATA!AN52</f>
        <v>dalam proses
(penyusunan FS)</v>
      </c>
      <c r="AM53" s="1511" t="str">
        <f>DATA!AO52</f>
        <v>belum ada keterangan</v>
      </c>
      <c r="AN53" s="1545">
        <f>DATA!AQ52</f>
        <v>0</v>
      </c>
      <c r="AO53" s="1533" t="str">
        <f>DATA!AR52</f>
        <v>penyiapan dokumen R/C</v>
      </c>
      <c r="AQ53" s="10">
        <f t="shared" si="5"/>
        <v>0</v>
      </c>
      <c r="AR53" s="10">
        <f t="shared" si="1"/>
        <v>0</v>
      </c>
      <c r="AS53" s="10">
        <f t="shared" si="2"/>
        <v>0</v>
      </c>
      <c r="AT53" s="10">
        <f t="shared" si="3"/>
        <v>0</v>
      </c>
    </row>
    <row r="54" spans="1:46" s="5" customFormat="1" ht="33.75" customHeight="1">
      <c r="J54" s="180"/>
      <c r="K54" s="50"/>
      <c r="L54" s="30" t="str">
        <f>DATA!I54</f>
        <v>F</v>
      </c>
      <c r="M54" s="3565" t="str">
        <f>DATA!J54</f>
        <v xml:space="preserve">Program Pembangunan Sistem Pengelolaan Persampahan </v>
      </c>
      <c r="N54" s="3566"/>
      <c r="O54" s="214">
        <f>+O55+O56</f>
        <v>250000000</v>
      </c>
      <c r="P54" s="197">
        <f>+P55+P56</f>
        <v>250000000</v>
      </c>
      <c r="Q54" s="1436">
        <f>+Q55+Q56</f>
        <v>12500000</v>
      </c>
      <c r="R54" s="1436">
        <f>+R55+R56</f>
        <v>0</v>
      </c>
      <c r="S54" s="244">
        <f t="shared" si="7"/>
        <v>262500000</v>
      </c>
      <c r="T54" s="1437"/>
      <c r="U54" s="198"/>
      <c r="V54" s="81">
        <f>+V55+V56</f>
        <v>250000000</v>
      </c>
      <c r="W54" s="81">
        <f>+W55+W56</f>
        <v>0</v>
      </c>
      <c r="X54" s="243"/>
      <c r="Y54" s="81">
        <f>Y55+Y56</f>
        <v>250000000</v>
      </c>
      <c r="Z54" s="81"/>
      <c r="AA54" s="1469"/>
      <c r="AB54" s="1470"/>
      <c r="AC54" s="1471"/>
      <c r="AD54" s="1472"/>
      <c r="AE54" s="1472"/>
      <c r="AF54" s="1472"/>
      <c r="AG54" s="1504"/>
      <c r="AH54" s="198">
        <f>+AH55+AH56</f>
        <v>250000000</v>
      </c>
      <c r="AI54" s="81" t="s">
        <v>21</v>
      </c>
      <c r="AJ54" s="214"/>
      <c r="AK54" s="1505"/>
      <c r="AL54" s="1506"/>
      <c r="AM54" s="169"/>
      <c r="AN54" s="1507"/>
      <c r="AO54" s="1530"/>
      <c r="AQ54" s="10">
        <f t="shared" si="5"/>
        <v>0</v>
      </c>
      <c r="AR54" s="10">
        <f t="shared" si="1"/>
        <v>0</v>
      </c>
      <c r="AS54" s="10">
        <f t="shared" si="2"/>
        <v>0</v>
      </c>
      <c r="AT54" s="10">
        <f t="shared" si="3"/>
        <v>0</v>
      </c>
    </row>
    <row r="55" spans="1:46" ht="37.5" customHeight="1">
      <c r="A55" s="10">
        <f>DATA!A54</f>
        <v>43</v>
      </c>
      <c r="B55" s="10">
        <f>DATA!B54</f>
        <v>0</v>
      </c>
      <c r="C55" s="10" t="str">
        <f>DATA!D54</f>
        <v>INFRASTRUKTUR</v>
      </c>
      <c r="D55" s="10">
        <f>DATA!E54</f>
        <v>1</v>
      </c>
      <c r="E55" s="10" t="str">
        <f>DATA!F54</f>
        <v>Kementerian Pekerjaan Umum dan Perumahan Rakyat</v>
      </c>
      <c r="F55" s="10" t="str">
        <f>DATA!H54</f>
        <v>Development of Solid Waste Management Program</v>
      </c>
      <c r="G55" s="10" t="str">
        <f>DATA!I54</f>
        <v>F</v>
      </c>
      <c r="H55" s="10" t="str">
        <f>DATA!J54</f>
        <v xml:space="preserve">Program Pembangunan Sistem Pengelolaan Persampahan </v>
      </c>
      <c r="I55" s="10">
        <f>DATA!K54</f>
        <v>1</v>
      </c>
      <c r="J55" s="181"/>
      <c r="K55" s="34"/>
      <c r="L55" s="35"/>
      <c r="M55" s="36">
        <v>23</v>
      </c>
      <c r="N55" s="199" t="str">
        <f>DATA!L54</f>
        <v xml:space="preserve">Advanced Solid Waste Management for Sustainable Urban Development (Advance SWM-SUD) </v>
      </c>
      <c r="O55" s="1402">
        <f>DATA!T54</f>
        <v>150000000</v>
      </c>
      <c r="P55" s="187">
        <f>DATA!U54</f>
        <v>150000000</v>
      </c>
      <c r="Q55" s="1446">
        <f>DATA!V54</f>
        <v>7500000</v>
      </c>
      <c r="R55" s="1446">
        <f>DATA!W54</f>
        <v>0</v>
      </c>
      <c r="S55" s="1447">
        <f t="shared" si="7"/>
        <v>157500000</v>
      </c>
      <c r="T55" s="1448"/>
      <c r="U55" s="1449" t="str">
        <f>DATA!Y54</f>
        <v>Jerman (KfW)</v>
      </c>
      <c r="V55" s="77">
        <f>DATA!AA54</f>
        <v>150000000</v>
      </c>
      <c r="W55" s="77">
        <v>0</v>
      </c>
      <c r="X55" s="1450" t="str">
        <f>DATA!Y54</f>
        <v>Jerman (KfW)</v>
      </c>
      <c r="Y55" s="109">
        <v>150000000</v>
      </c>
      <c r="Z55" s="109" t="s">
        <v>91</v>
      </c>
      <c r="AA55" s="1484" t="s">
        <v>1163</v>
      </c>
      <c r="AB55" s="828"/>
      <c r="AC55" s="1485"/>
      <c r="AD55" s="1486"/>
      <c r="AE55" s="1486"/>
      <c r="AF55" s="1486"/>
      <c r="AG55" s="1514" t="s">
        <v>1469</v>
      </c>
      <c r="AH55" s="1509">
        <f>DATA!AT54</f>
        <v>150000000</v>
      </c>
      <c r="AI55" s="109" t="str">
        <f>DATA!AU54</f>
        <v>Jerman (KfW)</v>
      </c>
      <c r="AJ55" s="1544" t="str">
        <f>DATA!AW54</f>
        <v>-</v>
      </c>
      <c r="AK55" s="245">
        <f>DATA!AM54</f>
        <v>0</v>
      </c>
      <c r="AL55" s="1510" t="str">
        <f>DATA!AN54</f>
        <v>dalam proses
(penyusunan FS)</v>
      </c>
      <c r="AM55" s="1511" t="str">
        <f>DATA!AO54</f>
        <v>belum ada keterangan</v>
      </c>
      <c r="AN55" s="1545">
        <f>DATA!AQ54</f>
        <v>0</v>
      </c>
      <c r="AO55" s="1533" t="str">
        <f>DATA!AR54</f>
        <v>belum ada dokumen R/C</v>
      </c>
      <c r="AQ55" s="10">
        <f t="shared" si="5"/>
        <v>0</v>
      </c>
      <c r="AR55" s="10">
        <f t="shared" si="1"/>
        <v>0</v>
      </c>
      <c r="AS55" s="10">
        <f t="shared" si="2"/>
        <v>0</v>
      </c>
      <c r="AT55" s="10">
        <f t="shared" si="3"/>
        <v>0</v>
      </c>
    </row>
    <row r="56" spans="1:46" ht="40.5" customHeight="1">
      <c r="A56" s="10">
        <f>DATA!A55</f>
        <v>44</v>
      </c>
      <c r="B56" s="10">
        <f>DATA!B55</f>
        <v>0</v>
      </c>
      <c r="C56" s="10" t="str">
        <f>DATA!D55</f>
        <v>INFRASTRUKTUR</v>
      </c>
      <c r="D56" s="10">
        <f>DATA!E55</f>
        <v>1</v>
      </c>
      <c r="E56" s="10" t="str">
        <f>DATA!F55</f>
        <v>Kementerian Pekerjaan Umum dan Perumahan Rakyat</v>
      </c>
      <c r="F56" s="10" t="str">
        <f>DATA!H55</f>
        <v>Development of Solid Waste Management Program</v>
      </c>
      <c r="G56" s="10" t="str">
        <f>DATA!I55</f>
        <v>F</v>
      </c>
      <c r="H56" s="10" t="str">
        <f>DATA!J55</f>
        <v xml:space="preserve">Program Pembangunan Sistem Pengelolaan Persampahan </v>
      </c>
      <c r="I56" s="10">
        <f>DATA!K55</f>
        <v>2</v>
      </c>
      <c r="J56" s="181"/>
      <c r="K56" s="34"/>
      <c r="L56" s="54"/>
      <c r="M56" s="36">
        <v>24</v>
      </c>
      <c r="N56" s="199" t="str">
        <f>DATA!L55</f>
        <v>The Improvement of Solid Waste Management to Support Regional Area and Metropolitan Cities</v>
      </c>
      <c r="O56" s="1402">
        <f>DATA!T55</f>
        <v>100000000</v>
      </c>
      <c r="P56" s="187">
        <f>DATA!U55</f>
        <v>100000000</v>
      </c>
      <c r="Q56" s="1446">
        <f>DATA!V55</f>
        <v>5000000</v>
      </c>
      <c r="R56" s="1446">
        <f>DATA!W55</f>
        <v>0</v>
      </c>
      <c r="S56" s="1447">
        <f t="shared" si="7"/>
        <v>105000000</v>
      </c>
      <c r="T56" s="1448"/>
      <c r="U56" s="1449" t="str">
        <f>DATA!Y55</f>
        <v>Bank Dunia</v>
      </c>
      <c r="V56" s="77">
        <f>DATA!AA55</f>
        <v>100000000</v>
      </c>
      <c r="W56" s="77">
        <v>0</v>
      </c>
      <c r="X56" s="1450" t="str">
        <f>DATA!Y55</f>
        <v>Bank Dunia</v>
      </c>
      <c r="Y56" s="109">
        <v>100000000</v>
      </c>
      <c r="Z56" s="109" t="s">
        <v>62</v>
      </c>
      <c r="AA56" s="1484" t="s">
        <v>879</v>
      </c>
      <c r="AB56" s="828"/>
      <c r="AC56" s="1485"/>
      <c r="AD56" s="1486"/>
      <c r="AE56" s="1486"/>
      <c r="AF56" s="1486"/>
      <c r="AG56" s="1514" t="s">
        <v>1164</v>
      </c>
      <c r="AH56" s="1509">
        <f>DATA!AT55</f>
        <v>100000000</v>
      </c>
      <c r="AI56" s="109" t="str">
        <f>DATA!AU55</f>
        <v>Bank Dunia</v>
      </c>
      <c r="AJ56" s="1544" t="str">
        <f>DATA!AW55</f>
        <v>-</v>
      </c>
      <c r="AK56" s="245">
        <f>DATA!AM55</f>
        <v>0</v>
      </c>
      <c r="AL56" s="1510" t="str">
        <f>DATA!AN55</f>
        <v>dalam proses
(memiliki FS)</v>
      </c>
      <c r="AM56" s="1511" t="str">
        <f>DATA!AO55</f>
        <v>dalam proses
(persiapan)</v>
      </c>
      <c r="AN56" s="1545">
        <f>DATA!AQ55</f>
        <v>0</v>
      </c>
      <c r="AO56" s="1533" t="str">
        <f>DATA!AR55</f>
        <v>- karena DED dalam proses finalisasi, maka diasumsikan memiliki FS.
- Dokumen penyiapan: sedang cari tambahan lokasi
- Siap hanya Balikpapan&amp;Tangerang (USD 40 juta)
- belum ada dokumen R/C</v>
      </c>
      <c r="AQ56" s="10">
        <f t="shared" si="5"/>
        <v>0</v>
      </c>
      <c r="AR56" s="10">
        <f t="shared" si="1"/>
        <v>0</v>
      </c>
      <c r="AS56" s="10">
        <f t="shared" si="2"/>
        <v>0</v>
      </c>
      <c r="AT56" s="10">
        <f t="shared" si="3"/>
        <v>0</v>
      </c>
    </row>
    <row r="57" spans="1:46" s="5" customFormat="1" ht="33.75" customHeight="1">
      <c r="J57" s="180"/>
      <c r="K57" s="50"/>
      <c r="L57" s="30" t="str">
        <f>DATA!I56</f>
        <v>G</v>
      </c>
      <c r="M57" s="31" t="str">
        <f>DATA!J56</f>
        <v>Program Penanganan Kumuh</v>
      </c>
      <c r="N57" s="1419"/>
      <c r="O57" s="214" t="e">
        <f>O58+#REF!+O60+O61</f>
        <v>#REF!</v>
      </c>
      <c r="P57" s="197" t="e">
        <f>P58+#REF!+P60+P61</f>
        <v>#REF!</v>
      </c>
      <c r="Q57" s="1567">
        <f>SUM(Q58:Q61)</f>
        <v>128105000</v>
      </c>
      <c r="R57" s="1567" t="e">
        <f>R58+#REF!+R60+R61</f>
        <v>#REF!</v>
      </c>
      <c r="S57" s="244" t="e">
        <f t="shared" si="7"/>
        <v>#REF!</v>
      </c>
      <c r="T57" s="1437"/>
      <c r="U57" s="198"/>
      <c r="V57" s="81" t="e">
        <f>V58+V59+#REF!+V60+V61</f>
        <v>#REF!</v>
      </c>
      <c r="W57" s="81" t="e">
        <f>W58+W59+#REF!+W60+W61</f>
        <v>#REF!</v>
      </c>
      <c r="X57" s="243"/>
      <c r="Y57" s="81">
        <f>Y58+Y59+Y60+Y61</f>
        <v>2851980000</v>
      </c>
      <c r="Z57" s="81"/>
      <c r="AA57" s="1469"/>
      <c r="AB57" s="1470"/>
      <c r="AC57" s="1471"/>
      <c r="AD57" s="1472"/>
      <c r="AE57" s="1472"/>
      <c r="AF57" s="1472"/>
      <c r="AG57" s="1504"/>
      <c r="AH57" s="198" t="e">
        <f>AH58+#REF!+#REF!+AH59+AH60+AH61</f>
        <v>#REF!</v>
      </c>
      <c r="AI57" s="81" t="s">
        <v>21</v>
      </c>
      <c r="AJ57" s="214"/>
      <c r="AK57" s="1505"/>
      <c r="AL57" s="1506"/>
      <c r="AM57" s="169"/>
      <c r="AN57" s="1507"/>
      <c r="AO57" s="1530"/>
      <c r="AQ57" s="10">
        <f t="shared" si="5"/>
        <v>0</v>
      </c>
      <c r="AR57" s="10">
        <f t="shared" si="1"/>
        <v>0</v>
      </c>
      <c r="AS57" s="10">
        <f t="shared" si="2"/>
        <v>0</v>
      </c>
      <c r="AT57" s="10">
        <f t="shared" si="3"/>
        <v>0</v>
      </c>
    </row>
    <row r="58" spans="1:46" ht="115.5" customHeight="1">
      <c r="A58" s="10">
        <f>DATA!A56</f>
        <v>45</v>
      </c>
      <c r="B58" s="10">
        <f>DATA!B56</f>
        <v>0</v>
      </c>
      <c r="C58" s="10" t="str">
        <f>DATA!D56</f>
        <v>INFRASTRUKTUR</v>
      </c>
      <c r="D58" s="10">
        <f>DATA!E56</f>
        <v>1</v>
      </c>
      <c r="E58" s="10" t="str">
        <f>DATA!F56</f>
        <v>Kementerian Pekerjaan Umum dan Perumahan Rakyat</v>
      </c>
      <c r="F58" s="10" t="str">
        <f>DATA!H56</f>
        <v>Slum Alleviation Program</v>
      </c>
      <c r="G58" s="10" t="str">
        <f>DATA!I56</f>
        <v>G</v>
      </c>
      <c r="H58" s="10" t="str">
        <f>DATA!J56</f>
        <v>Program Penanganan Kumuh</v>
      </c>
      <c r="I58" s="10">
        <f>DATA!K56</f>
        <v>1</v>
      </c>
      <c r="J58" s="181"/>
      <c r="K58" s="34"/>
      <c r="L58" s="35"/>
      <c r="M58" s="36">
        <v>25</v>
      </c>
      <c r="N58" s="199" t="str">
        <f>DATA!L56</f>
        <v>Slum Improvement in Strategic Human Settlements Area (SISHA)</v>
      </c>
      <c r="O58" s="1402">
        <f>DATA!T56</f>
        <v>2100000000</v>
      </c>
      <c r="P58" s="187">
        <f>DATA!U56</f>
        <v>2100000000</v>
      </c>
      <c r="Q58" s="1446">
        <f>DATA!V56</f>
        <v>105000000</v>
      </c>
      <c r="R58" s="1446">
        <f>DATA!W56</f>
        <v>0</v>
      </c>
      <c r="S58" s="1447">
        <f t="shared" si="7"/>
        <v>2205000000</v>
      </c>
      <c r="T58" s="1448"/>
      <c r="U58" s="1509" t="str">
        <f>DATA!Y56</f>
        <v>Bank Dunia/JICA/ADB</v>
      </c>
      <c r="V58" s="77">
        <f>DATA!AA56</f>
        <v>2100000000</v>
      </c>
      <c r="W58" s="77">
        <v>0</v>
      </c>
      <c r="X58" s="1450" t="str">
        <f>DATA!Y56</f>
        <v>Bank Dunia/JICA/ADB</v>
      </c>
      <c r="Y58" s="109">
        <v>2100000000</v>
      </c>
      <c r="Z58" s="109" t="s">
        <v>1063</v>
      </c>
      <c r="AA58" s="1484" t="s">
        <v>1160</v>
      </c>
      <c r="AB58" s="828"/>
      <c r="AC58" s="1485"/>
      <c r="AD58" s="1486"/>
      <c r="AE58" s="1486"/>
      <c r="AF58" s="1486"/>
      <c r="AG58" s="3253" t="s">
        <v>1180</v>
      </c>
      <c r="AH58" s="1509">
        <f>DATA!AT56</f>
        <v>2100000000</v>
      </c>
      <c r="AI58" s="109" t="str">
        <f>DATA!AU56</f>
        <v>Belum Ada Indikasi</v>
      </c>
      <c r="AJ58" s="1544" t="str">
        <f>DATA!AW56</f>
        <v xml:space="preserve">- usulan K/L lender: Bank Dunia/JICA/ADB.
- Pihak Bank Dunia, ADB dan JICA tidak berminat. </v>
      </c>
      <c r="AK58" s="245">
        <f>DATA!AM56</f>
        <v>0</v>
      </c>
      <c r="AL58" s="1510" t="str">
        <f>DATA!AN56</f>
        <v>dalam proses
(penyusunan FS)</v>
      </c>
      <c r="AM58" s="1511" t="str">
        <f>DATA!AO56</f>
        <v>dalam proses
(perencanaan)</v>
      </c>
      <c r="AN58" s="1545">
        <f>DATA!AQ56</f>
        <v>0</v>
      </c>
      <c r="AO58" s="1533" t="str">
        <f>DATA!AP56</f>
        <v>belum ada proses tender/lelang</v>
      </c>
      <c r="AQ58" s="10">
        <f t="shared" si="5"/>
        <v>0</v>
      </c>
      <c r="AR58" s="10">
        <f t="shared" si="1"/>
        <v>0</v>
      </c>
      <c r="AS58" s="10">
        <f t="shared" si="2"/>
        <v>0</v>
      </c>
      <c r="AT58" s="10">
        <f t="shared" si="3"/>
        <v>0</v>
      </c>
    </row>
    <row r="59" spans="1:46" ht="23.25" customHeight="1">
      <c r="J59" s="181"/>
      <c r="K59" s="34"/>
      <c r="L59" s="34"/>
      <c r="M59" s="189">
        <v>26</v>
      </c>
      <c r="N59" s="1556" t="str">
        <f>DATA!L59</f>
        <v>National Slum Upgrading</v>
      </c>
      <c r="O59" s="1665">
        <v>289880000</v>
      </c>
      <c r="P59" s="1666">
        <v>289880000</v>
      </c>
      <c r="Q59" s="1599"/>
      <c r="R59" s="1599"/>
      <c r="S59" s="1442"/>
      <c r="T59" s="1443"/>
      <c r="U59" s="1432"/>
      <c r="V59" s="1458">
        <f>DATA!AA61</f>
        <v>289880000</v>
      </c>
      <c r="W59" s="1458">
        <v>0</v>
      </c>
      <c r="X59" s="1441" t="str">
        <f>DATA!Y61</f>
        <v>Belum Ada Indikasi</v>
      </c>
      <c r="Y59" s="109">
        <v>289880000</v>
      </c>
      <c r="Z59" s="109" t="s">
        <v>1154</v>
      </c>
      <c r="AA59" s="1484" t="s">
        <v>879</v>
      </c>
      <c r="AB59" s="828"/>
      <c r="AC59" s="1485"/>
      <c r="AD59" s="1486"/>
      <c r="AE59" s="1486"/>
      <c r="AF59" s="1486"/>
      <c r="AG59" s="1514"/>
      <c r="AH59" s="1509">
        <f>DATA!AT61</f>
        <v>289880000</v>
      </c>
      <c r="AI59" s="109" t="str">
        <f>DATA!AU61</f>
        <v>Belum Ada Indikasi</v>
      </c>
      <c r="AJ59" s="1520" t="str">
        <f>DATA!AW61</f>
        <v>co-financing dengan IDB (USD 329,7 juta), Bank Dunia (USD 216,5 juta) &amp; AIIB (USD 216,5 juta)</v>
      </c>
      <c r="AK59" s="245" t="str">
        <f>DATA!AM61</f>
        <v>-</v>
      </c>
      <c r="AL59" s="1510" t="str">
        <f>DATA!AN61</f>
        <v>belum ada keterangan</v>
      </c>
      <c r="AM59" s="1511" t="str">
        <f>DATA!AO61</f>
        <v>belum ada keterangan</v>
      </c>
      <c r="AN59" s="1545">
        <f>DATA!AQ61</f>
        <v>0</v>
      </c>
      <c r="AO59" s="1533" t="str">
        <f>DATA!AP61</f>
        <v>belum ada proses tender/lelang</v>
      </c>
      <c r="AQ59" s="10">
        <f t="shared" si="5"/>
        <v>0</v>
      </c>
      <c r="AR59" s="10">
        <f t="shared" si="1"/>
        <v>0</v>
      </c>
      <c r="AS59" s="10">
        <f t="shared" si="2"/>
        <v>0</v>
      </c>
      <c r="AT59" s="10">
        <f t="shared" si="3"/>
        <v>0</v>
      </c>
    </row>
    <row r="60" spans="1:46" ht="27" customHeight="1">
      <c r="A60" s="10">
        <f>DATA!A62</f>
        <v>48</v>
      </c>
      <c r="B60" s="10">
        <f>DATA!B62</f>
        <v>0</v>
      </c>
      <c r="C60" s="10" t="str">
        <f>DATA!D62</f>
        <v>INFRASTRUKTUR</v>
      </c>
      <c r="D60" s="10">
        <f>DATA!E62</f>
        <v>1</v>
      </c>
      <c r="E60" s="10" t="str">
        <f>DATA!F62</f>
        <v>Kementerian Pekerjaan Umum dan Perumahan Rakyat</v>
      </c>
      <c r="F60" s="10" t="str">
        <f>DATA!H62</f>
        <v>Slum Alleviation Program</v>
      </c>
      <c r="G60" s="10" t="str">
        <f>DATA!I62</f>
        <v>G</v>
      </c>
      <c r="H60" s="10" t="str">
        <f>DATA!J62</f>
        <v>Program Penanganan Kumuh</v>
      </c>
      <c r="I60" s="10">
        <f>DATA!K62</f>
        <v>3</v>
      </c>
      <c r="J60" s="181"/>
      <c r="K60" s="34"/>
      <c r="L60" s="34"/>
      <c r="M60" s="36">
        <v>27</v>
      </c>
      <c r="N60" s="199" t="str">
        <f>DATA!L62</f>
        <v>Rural Settlement Infrastructure Development (RSID)</v>
      </c>
      <c r="O60" s="1402">
        <f>DATA!T62</f>
        <v>201000000</v>
      </c>
      <c r="P60" s="187">
        <f>DATA!U62</f>
        <v>201000000</v>
      </c>
      <c r="Q60" s="1453">
        <f>DATA!V62</f>
        <v>10050000</v>
      </c>
      <c r="R60" s="1453">
        <f>DATA!W62</f>
        <v>0</v>
      </c>
      <c r="S60" s="1447">
        <f t="shared" ref="S60:S67" si="8">P60+Q60+R60</f>
        <v>211050000</v>
      </c>
      <c r="T60" s="1448"/>
      <c r="U60" s="1449" t="str">
        <f>DATA!Y62</f>
        <v>JICA</v>
      </c>
      <c r="V60" s="77">
        <f>DATA!AA62</f>
        <v>201000000</v>
      </c>
      <c r="W60" s="77">
        <v>0</v>
      </c>
      <c r="X60" s="1450" t="str">
        <f>DATA!Y62</f>
        <v>JICA</v>
      </c>
      <c r="Y60" s="109">
        <v>201000000</v>
      </c>
      <c r="Z60" s="109" t="s">
        <v>55</v>
      </c>
      <c r="AA60" s="1473" t="s">
        <v>1181</v>
      </c>
      <c r="AB60" s="1474"/>
      <c r="AC60" s="1475"/>
      <c r="AD60" s="1476"/>
      <c r="AE60" s="1476"/>
      <c r="AF60" s="1476"/>
      <c r="AG60" s="1508" t="s">
        <v>1182</v>
      </c>
      <c r="AH60" s="1509">
        <f>DATA!AT62</f>
        <v>201000000</v>
      </c>
      <c r="AI60" s="109" t="str">
        <f>DATA!AU62</f>
        <v>JICA</v>
      </c>
      <c r="AJ60" s="1544" t="str">
        <f>DATA!AW62</f>
        <v>-</v>
      </c>
      <c r="AK60" s="245">
        <f>DATA!AM62</f>
        <v>0</v>
      </c>
      <c r="AL60" s="1510" t="str">
        <f>DATA!AN62</f>
        <v>dalam proses
(penyusunan FS)</v>
      </c>
      <c r="AM60" s="1511" t="str">
        <f>DATA!AO62</f>
        <v>dalam proses
(perencanaan)</v>
      </c>
      <c r="AN60" s="1545">
        <f>DATA!AQ62</f>
        <v>0</v>
      </c>
      <c r="AO60" s="1533" t="str">
        <f>DATA!AR62</f>
        <v>belum ada dokumen R/C</v>
      </c>
      <c r="AQ60" s="10">
        <f t="shared" si="5"/>
        <v>0</v>
      </c>
      <c r="AR60" s="10">
        <f t="shared" si="1"/>
        <v>201000000</v>
      </c>
      <c r="AS60" s="10">
        <f t="shared" si="2"/>
        <v>0</v>
      </c>
      <c r="AT60" s="10">
        <f t="shared" si="3"/>
        <v>0</v>
      </c>
    </row>
    <row r="61" spans="1:46" ht="51" customHeight="1">
      <c r="A61" s="10">
        <f>DATA!A63</f>
        <v>49</v>
      </c>
      <c r="B61" s="10">
        <f>DATA!B63</f>
        <v>0</v>
      </c>
      <c r="C61" s="10" t="str">
        <f>DATA!D63</f>
        <v>INFRASTRUKTUR</v>
      </c>
      <c r="D61" s="10">
        <f>DATA!E63</f>
        <v>1</v>
      </c>
      <c r="E61" s="10" t="str">
        <f>DATA!F63</f>
        <v>Kementerian Pekerjaan Umum dan Perumahan Rakyat</v>
      </c>
      <c r="F61" s="10" t="str">
        <f>DATA!H63</f>
        <v>Slum Alleviation Program</v>
      </c>
      <c r="G61" s="10" t="str">
        <f>DATA!I63</f>
        <v>G</v>
      </c>
      <c r="H61" s="10" t="str">
        <f>DATA!J63</f>
        <v>Program Penanganan Kumuh</v>
      </c>
      <c r="I61" s="10">
        <f>DATA!K63</f>
        <v>4</v>
      </c>
      <c r="J61" s="181"/>
      <c r="K61" s="34"/>
      <c r="L61" s="54"/>
      <c r="M61" s="36">
        <v>28</v>
      </c>
      <c r="N61" s="199" t="str">
        <f>DATA!L63</f>
        <v>Building Administration and Capacity Enforcement Development for Seismic Resilience</v>
      </c>
      <c r="O61" s="1402">
        <f>DATA!T63</f>
        <v>261100000</v>
      </c>
      <c r="P61" s="187">
        <f>DATA!U63</f>
        <v>261100000</v>
      </c>
      <c r="Q61" s="1453">
        <f>DATA!V63</f>
        <v>13055000</v>
      </c>
      <c r="R61" s="1453">
        <f>DATA!W63</f>
        <v>0</v>
      </c>
      <c r="S61" s="1447">
        <f t="shared" si="8"/>
        <v>274155000</v>
      </c>
      <c r="T61" s="1448"/>
      <c r="U61" s="1449" t="str">
        <f>DATA!Y63</f>
        <v>JICA</v>
      </c>
      <c r="V61" s="77">
        <f>DATA!AA63</f>
        <v>261100000</v>
      </c>
      <c r="W61" s="77">
        <v>0</v>
      </c>
      <c r="X61" s="1450" t="str">
        <f>DATA!Y63</f>
        <v>JICA</v>
      </c>
      <c r="Y61" s="109">
        <v>261100000</v>
      </c>
      <c r="Z61" s="109" t="s">
        <v>55</v>
      </c>
      <c r="AA61" s="1484" t="s">
        <v>1163</v>
      </c>
      <c r="AB61" s="828"/>
      <c r="AC61" s="1485"/>
      <c r="AD61" s="1486"/>
      <c r="AE61" s="1486"/>
      <c r="AF61" s="1486"/>
      <c r="AG61" s="1508" t="s">
        <v>1183</v>
      </c>
      <c r="AH61" s="1509">
        <f>DATA!AT63</f>
        <v>261100000</v>
      </c>
      <c r="AI61" s="109" t="str">
        <f>DATA!AU63</f>
        <v>JICA</v>
      </c>
      <c r="AJ61" s="1544" t="str">
        <f>DATA!AW63</f>
        <v>-</v>
      </c>
      <c r="AK61" s="245">
        <f>DATA!AM63</f>
        <v>0</v>
      </c>
      <c r="AL61" s="1510" t="str">
        <f>DATA!AN63</f>
        <v>dalam proses
(penyusunan FS)</v>
      </c>
      <c r="AM61" s="1511" t="str">
        <f>DATA!AO63</f>
        <v>tidak butuh lahan</v>
      </c>
      <c r="AN61" s="1545">
        <f>DATA!AQ63</f>
        <v>0</v>
      </c>
      <c r="AO61" s="1533" t="str">
        <f>DATA!AR63</f>
        <v>belum ada dokumen R/C</v>
      </c>
      <c r="AQ61" s="10">
        <f t="shared" si="5"/>
        <v>0</v>
      </c>
      <c r="AR61" s="10">
        <f t="shared" si="1"/>
        <v>261100000</v>
      </c>
      <c r="AS61" s="10">
        <f t="shared" si="2"/>
        <v>0</v>
      </c>
      <c r="AT61" s="10">
        <f t="shared" si="3"/>
        <v>0</v>
      </c>
    </row>
    <row r="62" spans="1:46" ht="33.75" customHeight="1">
      <c r="J62" s="181"/>
      <c r="K62" s="34"/>
      <c r="L62" s="30" t="s">
        <v>161</v>
      </c>
      <c r="M62" s="31" t="s">
        <v>750</v>
      </c>
      <c r="N62" s="1419"/>
      <c r="O62" s="1667">
        <f>O63</f>
        <v>0</v>
      </c>
      <c r="P62" s="197">
        <f>P63</f>
        <v>225000000</v>
      </c>
      <c r="Q62" s="1436">
        <f>Q63</f>
        <v>25000000</v>
      </c>
      <c r="R62" s="1436">
        <f>R63</f>
        <v>0</v>
      </c>
      <c r="S62" s="244">
        <f t="shared" si="8"/>
        <v>250000000</v>
      </c>
      <c r="T62" s="1437"/>
      <c r="U62" s="198"/>
      <c r="V62" s="81">
        <f>V63</f>
        <v>0</v>
      </c>
      <c r="W62" s="81">
        <f>W63</f>
        <v>225000000</v>
      </c>
      <c r="X62" s="243"/>
      <c r="Y62" s="81">
        <f>SUM(Y63:Y64)</f>
        <v>225000000</v>
      </c>
      <c r="Z62" s="81"/>
      <c r="AA62" s="1469"/>
      <c r="AB62" s="1470"/>
      <c r="AC62" s="1471"/>
      <c r="AD62" s="1472"/>
      <c r="AE62" s="1472"/>
      <c r="AF62" s="1472"/>
      <c r="AG62" s="1504"/>
      <c r="AH62" s="198">
        <f>AH63</f>
        <v>225000000</v>
      </c>
      <c r="AI62" s="81" t="s">
        <v>21</v>
      </c>
      <c r="AJ62" s="214"/>
      <c r="AK62" s="1505"/>
      <c r="AL62" s="1506"/>
      <c r="AM62" s="169"/>
      <c r="AN62" s="1507"/>
      <c r="AO62" s="1530"/>
      <c r="AQ62" s="10">
        <f t="shared" si="5"/>
        <v>0</v>
      </c>
      <c r="AR62" s="10">
        <f t="shared" si="1"/>
        <v>0</v>
      </c>
      <c r="AS62" s="10">
        <f t="shared" si="2"/>
        <v>0</v>
      </c>
      <c r="AT62" s="10">
        <f t="shared" si="3"/>
        <v>0</v>
      </c>
    </row>
    <row r="63" spans="1:46" ht="49.5" customHeight="1">
      <c r="J63" s="181"/>
      <c r="K63" s="34"/>
      <c r="L63" s="54"/>
      <c r="M63" s="36">
        <v>29</v>
      </c>
      <c r="N63" s="199" t="str">
        <f>DATA!L64</f>
        <v>National Urban Development Project</v>
      </c>
      <c r="O63" s="1668">
        <f>DATA!T64</f>
        <v>0</v>
      </c>
      <c r="P63" s="1669">
        <f>DATA!U64</f>
        <v>225000000</v>
      </c>
      <c r="Q63" s="1669">
        <f>DATA!V64</f>
        <v>25000000</v>
      </c>
      <c r="R63" s="1669">
        <f>DATA!W64</f>
        <v>0</v>
      </c>
      <c r="S63" s="1447">
        <f t="shared" si="8"/>
        <v>250000000</v>
      </c>
      <c r="T63" s="1448"/>
      <c r="U63" s="1449"/>
      <c r="V63" s="77">
        <v>0</v>
      </c>
      <c r="W63" s="77">
        <f>DATA!AA64</f>
        <v>225000000</v>
      </c>
      <c r="X63" s="1450" t="str">
        <f>DATA!Y64</f>
        <v>Belum Ada Indikasi</v>
      </c>
      <c r="Y63" s="618">
        <v>49610000</v>
      </c>
      <c r="Z63" s="109" t="s">
        <v>62</v>
      </c>
      <c r="AA63" s="3254" t="s">
        <v>1184</v>
      </c>
      <c r="AB63" s="1474"/>
      <c r="AC63" s="1475"/>
      <c r="AD63" s="1476"/>
      <c r="AE63" s="1476"/>
      <c r="AF63" s="1476"/>
      <c r="AG63" s="1514"/>
      <c r="AH63" s="1509">
        <f>DATA!AT64</f>
        <v>225000000</v>
      </c>
      <c r="AI63" s="1509" t="str">
        <f>DATA!AU64</f>
        <v>Belum Ada Indikasi</v>
      </c>
      <c r="AJ63" s="1544">
        <f>DATA!AW64</f>
        <v>0</v>
      </c>
      <c r="AK63" s="245">
        <f>DATA!AM64</f>
        <v>0</v>
      </c>
      <c r="AL63" s="1510" t="str">
        <f>DATA!AN64</f>
        <v>belum ada keterangan</v>
      </c>
      <c r="AM63" s="1511" t="str">
        <f>DATA!AO64</f>
        <v>belum ada keterangan</v>
      </c>
      <c r="AN63" s="1545">
        <f>DATA!AQ64</f>
        <v>0</v>
      </c>
      <c r="AO63" s="1533" t="str">
        <f>DATA!AR64</f>
        <v>belum ada dokumen R/C</v>
      </c>
      <c r="AQ63" s="10">
        <f t="shared" si="5"/>
        <v>0</v>
      </c>
      <c r="AR63" s="10">
        <f t="shared" si="1"/>
        <v>0</v>
      </c>
      <c r="AS63" s="10">
        <f t="shared" si="2"/>
        <v>0</v>
      </c>
      <c r="AT63" s="10">
        <f t="shared" si="3"/>
        <v>0</v>
      </c>
    </row>
    <row r="64" spans="1:46" ht="19.5" customHeight="1">
      <c r="J64" s="181"/>
      <c r="K64" s="34"/>
      <c r="L64" s="54"/>
      <c r="M64" s="36"/>
      <c r="N64" s="199"/>
      <c r="O64" s="1668"/>
      <c r="P64" s="1669"/>
      <c r="Q64" s="1669"/>
      <c r="R64" s="1669"/>
      <c r="S64" s="1447"/>
      <c r="T64" s="1448"/>
      <c r="U64" s="1449"/>
      <c r="V64" s="77"/>
      <c r="W64" s="77"/>
      <c r="X64" s="1450"/>
      <c r="Y64" s="618">
        <f>225000000-49610000</f>
        <v>175390000</v>
      </c>
      <c r="Z64" s="109" t="s">
        <v>62</v>
      </c>
      <c r="AA64" s="1484" t="s">
        <v>879</v>
      </c>
      <c r="AB64" s="828"/>
      <c r="AC64" s="1485"/>
      <c r="AD64" s="1486"/>
      <c r="AE64" s="1486"/>
      <c r="AF64" s="1486"/>
      <c r="AG64" s="1514"/>
      <c r="AH64" s="1509"/>
      <c r="AI64" s="1509"/>
      <c r="AJ64" s="1544"/>
      <c r="AK64" s="245"/>
      <c r="AL64" s="1510"/>
      <c r="AM64" s="1511"/>
      <c r="AN64" s="1545"/>
      <c r="AO64" s="1533"/>
      <c r="AQ64" s="10">
        <f t="shared" si="5"/>
        <v>0</v>
      </c>
      <c r="AR64" s="10">
        <f t="shared" si="1"/>
        <v>0</v>
      </c>
      <c r="AS64" s="10">
        <f t="shared" si="2"/>
        <v>0</v>
      </c>
      <c r="AT64" s="10">
        <f t="shared" si="3"/>
        <v>0</v>
      </c>
    </row>
    <row r="65" spans="1:46" s="5" customFormat="1" ht="33.75" customHeight="1">
      <c r="J65" s="180"/>
      <c r="K65" s="50"/>
      <c r="L65" s="30" t="s">
        <v>185</v>
      </c>
      <c r="M65" s="31" t="str">
        <f>DATA!J67</f>
        <v>Program Pengembangan dan Pengelolaan Irigasi</v>
      </c>
      <c r="N65" s="1419"/>
      <c r="O65" s="214" t="e">
        <f>O66+O67+O69+#REF!+#REF!+O70+O71+O72+O73+O74+#REF!</f>
        <v>#REF!</v>
      </c>
      <c r="P65" s="197" t="e">
        <f>P66+P67+P69+#REF!+#REF!+P70+P72+P73+P74+#REF!+P71</f>
        <v>#REF!</v>
      </c>
      <c r="Q65" s="1436">
        <f>SUM(Q66:Q75)</f>
        <v>357149500</v>
      </c>
      <c r="R65" s="1436" t="e">
        <f>R66+R67+R69+#REF!+#REF!+R70+R72+R73+R74+#REF!+R71</f>
        <v>#REF!</v>
      </c>
      <c r="S65" s="244" t="e">
        <f t="shared" si="8"/>
        <v>#REF!</v>
      </c>
      <c r="T65" s="1437"/>
      <c r="U65" s="198"/>
      <c r="V65" s="81">
        <f>SUM(V66:V74)</f>
        <v>2457531000</v>
      </c>
      <c r="W65" s="81">
        <f>SUM(W66:W74)</f>
        <v>0</v>
      </c>
      <c r="X65" s="243">
        <f>SUM(X66:X74)</f>
        <v>0</v>
      </c>
      <c r="Y65" s="81">
        <f>Y66+Y67+Y68+Y69+Y70+Y71+Y72+Y73+Y74+Y75</f>
        <v>2519431000</v>
      </c>
      <c r="Z65" s="81"/>
      <c r="AA65" s="1469"/>
      <c r="AB65" s="1470"/>
      <c r="AC65" s="1471"/>
      <c r="AD65" s="1472"/>
      <c r="AE65" s="1472"/>
      <c r="AF65" s="1472"/>
      <c r="AG65" s="1504"/>
      <c r="AH65" s="198">
        <f>SUM(AH66:AH75)</f>
        <v>2519431000</v>
      </c>
      <c r="AI65" s="81">
        <f>SUM(AI66:AI74)</f>
        <v>0</v>
      </c>
      <c r="AJ65" s="214">
        <f>SUM(AJ66:AJ74)</f>
        <v>0</v>
      </c>
      <c r="AK65" s="1505"/>
      <c r="AL65" s="1506"/>
      <c r="AM65" s="169"/>
      <c r="AN65" s="1507"/>
      <c r="AO65" s="1530"/>
      <c r="AQ65" s="10">
        <f t="shared" si="5"/>
        <v>0</v>
      </c>
      <c r="AR65" s="10">
        <f t="shared" si="1"/>
        <v>0</v>
      </c>
      <c r="AS65" s="10">
        <f t="shared" si="2"/>
        <v>0</v>
      </c>
      <c r="AT65" s="10">
        <f t="shared" si="3"/>
        <v>0</v>
      </c>
    </row>
    <row r="66" spans="1:46" ht="95.25" customHeight="1">
      <c r="A66" s="10">
        <f>DATA!A67</f>
        <v>51</v>
      </c>
      <c r="B66" s="10">
        <f>DATA!B67</f>
        <v>0</v>
      </c>
      <c r="C66" s="10" t="str">
        <f>DATA!D67</f>
        <v>INFRASTRUKTUR</v>
      </c>
      <c r="D66" s="10">
        <f>DATA!E67</f>
        <v>1</v>
      </c>
      <c r="E66" s="10" t="str">
        <f>DATA!F67</f>
        <v>Kementerian Pekerjaan Umum dan Perumahan Rakyat</v>
      </c>
      <c r="F66" s="10" t="str">
        <f>DATA!H67</f>
        <v xml:space="preserve">Development and Management of Irrigation Program </v>
      </c>
      <c r="G66" s="10" t="str">
        <f>DATA!I67</f>
        <v>I</v>
      </c>
      <c r="H66" s="10" t="str">
        <f>DATA!J67</f>
        <v>Program Pengembangan dan Pengelolaan Irigasi</v>
      </c>
      <c r="I66" s="10">
        <f>DATA!K67</f>
        <v>1</v>
      </c>
      <c r="J66" s="181"/>
      <c r="K66" s="34"/>
      <c r="L66" s="34"/>
      <c r="M66" s="3390">
        <v>30</v>
      </c>
      <c r="N66" s="1412" t="str">
        <f>DATA!L67</f>
        <v>Integrated Participatory Development and Management of Irrigation Project - Phase I</v>
      </c>
      <c r="O66" s="1413">
        <f>DATA!T66</f>
        <v>700000000</v>
      </c>
      <c r="P66" s="1414">
        <f>DATA!U66</f>
        <v>700000000</v>
      </c>
      <c r="Q66" s="1598">
        <f>DATA!V66</f>
        <v>70000000</v>
      </c>
      <c r="R66" s="1598">
        <f>DATA!W66</f>
        <v>0</v>
      </c>
      <c r="S66" s="1438">
        <f t="shared" si="8"/>
        <v>770000000</v>
      </c>
      <c r="T66" s="1439"/>
      <c r="U66" s="1449" t="str">
        <f>DATA!Y67</f>
        <v>ADB</v>
      </c>
      <c r="V66" s="77">
        <f>DATA!AA67</f>
        <v>600000000</v>
      </c>
      <c r="W66" s="77">
        <v>0</v>
      </c>
      <c r="X66" s="1450" t="str">
        <f>DATA!Y67</f>
        <v>ADB</v>
      </c>
      <c r="Y66" s="109">
        <v>600000000</v>
      </c>
      <c r="Z66" s="109" t="s">
        <v>117</v>
      </c>
      <c r="AA66" s="3254" t="s">
        <v>1185</v>
      </c>
      <c r="AB66" s="1474"/>
      <c r="AC66" s="1475"/>
      <c r="AD66" s="1476"/>
      <c r="AE66" s="1476"/>
      <c r="AF66" s="1476"/>
      <c r="AG66" s="3255" t="s">
        <v>1186</v>
      </c>
      <c r="AH66" s="1509">
        <f>DATA!AT67</f>
        <v>600000000</v>
      </c>
      <c r="AI66" s="109" t="str">
        <f>DATA!AU67</f>
        <v>ADB</v>
      </c>
      <c r="AJ66" s="1544" t="str">
        <f>DATA!AW67</f>
        <v>-</v>
      </c>
      <c r="AK66" s="245" t="str">
        <f>DATA!AM67</f>
        <v>2016; 2015</v>
      </c>
      <c r="AL66" s="1624" t="str">
        <f>DATA!AN67</f>
        <v>siap</v>
      </c>
      <c r="AM66" s="1583" t="str">
        <f>DATA!AO67</f>
        <v>belum ada keterangan</v>
      </c>
      <c r="AN66" s="1545">
        <f>DATA!AQ67</f>
        <v>0</v>
      </c>
      <c r="AO66" s="1547" t="str">
        <f>DATA!AR67</f>
        <v>-</v>
      </c>
      <c r="AQ66" s="10">
        <f t="shared" si="5"/>
        <v>0</v>
      </c>
      <c r="AR66" s="10">
        <f t="shared" si="1"/>
        <v>0</v>
      </c>
      <c r="AS66" s="10">
        <f t="shared" si="2"/>
        <v>0</v>
      </c>
      <c r="AT66" s="10">
        <f t="shared" si="3"/>
        <v>0</v>
      </c>
    </row>
    <row r="67" spans="1:46" ht="110.25" customHeight="1">
      <c r="A67" s="10">
        <f>DATA!A70</f>
        <v>53</v>
      </c>
      <c r="B67" s="10">
        <f>DATA!B70</f>
        <v>0</v>
      </c>
      <c r="C67" s="10" t="str">
        <f>DATA!D70</f>
        <v>INFRASTRUKTUR</v>
      </c>
      <c r="D67" s="10">
        <f>DATA!E70</f>
        <v>1</v>
      </c>
      <c r="E67" s="10" t="str">
        <f>DATA!F70</f>
        <v>Kementerian Pekerjaan Umum dan Perumahan Rakyat</v>
      </c>
      <c r="F67" s="10" t="str">
        <f>DATA!H70</f>
        <v xml:space="preserve">Development and Management of Irrigation Program </v>
      </c>
      <c r="G67" s="10" t="str">
        <f>DATA!I70</f>
        <v>I</v>
      </c>
      <c r="H67" s="10" t="str">
        <f>DATA!J70</f>
        <v>Program Pengembangan dan Pengelolaan Irigasi</v>
      </c>
      <c r="I67" s="10">
        <f>DATA!K70</f>
        <v>1</v>
      </c>
      <c r="J67" s="181"/>
      <c r="K67" s="34"/>
      <c r="L67" s="34"/>
      <c r="M67" s="3392"/>
      <c r="N67" s="3578" t="str">
        <f>DATA!L70</f>
        <v>Integrated Participatory Development and Management of Irrigation Project - Phase II</v>
      </c>
      <c r="O67" s="3596">
        <f>DATA!T70</f>
        <v>500000000</v>
      </c>
      <c r="P67" s="3403">
        <f>DATA!U70</f>
        <v>500000000</v>
      </c>
      <c r="Q67" s="3443">
        <f>DATA!V69</f>
        <v>50000000</v>
      </c>
      <c r="R67" s="3443">
        <f>DATA!W69</f>
        <v>0</v>
      </c>
      <c r="S67" s="3603">
        <f t="shared" si="8"/>
        <v>550000000</v>
      </c>
      <c r="T67" s="1439"/>
      <c r="U67" s="3488" t="str">
        <f>DATA!Y70</f>
        <v>ADB</v>
      </c>
      <c r="V67" s="3414">
        <f>DATA!AA70</f>
        <v>500000000</v>
      </c>
      <c r="W67" s="3414">
        <v>0</v>
      </c>
      <c r="X67" s="3618" t="str">
        <f>DATA!Y70</f>
        <v>ADB</v>
      </c>
      <c r="Y67" s="109">
        <v>400000000</v>
      </c>
      <c r="Z67" s="109" t="s">
        <v>117</v>
      </c>
      <c r="AA67" s="1484" t="s">
        <v>879</v>
      </c>
      <c r="AB67" s="828"/>
      <c r="AC67" s="1485"/>
      <c r="AD67" s="1486"/>
      <c r="AE67" s="1486"/>
      <c r="AF67" s="1486"/>
      <c r="AG67" s="3255" t="s">
        <v>1187</v>
      </c>
      <c r="AH67" s="1509">
        <f>DATA!AT70</f>
        <v>400000000</v>
      </c>
      <c r="AI67" s="109" t="str">
        <f>DATA!AU70</f>
        <v>ADB</v>
      </c>
      <c r="AJ67" s="1544" t="str">
        <f>DATA!AW70</f>
        <v>nilai kegiatan yang tercantum dalam COBP ADB sebesar USD 400 juta.</v>
      </c>
      <c r="AK67" s="245">
        <f>DATA!AM70</f>
        <v>0</v>
      </c>
      <c r="AL67" s="3502" t="str">
        <f>DATA!AN70</f>
        <v>belum ada keterangan</v>
      </c>
      <c r="AM67" s="3502" t="str">
        <f>DATA!AO70</f>
        <v>belum ada keterangan</v>
      </c>
      <c r="AN67" s="1545">
        <f>DATA!AQ70</f>
        <v>0</v>
      </c>
      <c r="AO67" s="1547" t="str">
        <f>DATA!AR70</f>
        <v>- untuk yang Phase II: belum ada penyiapan
- belum ada dokumen R/C</v>
      </c>
      <c r="AQ67" s="10">
        <f t="shared" si="5"/>
        <v>0</v>
      </c>
      <c r="AR67" s="10">
        <f t="shared" si="1"/>
        <v>0</v>
      </c>
      <c r="AS67" s="10">
        <f t="shared" si="2"/>
        <v>0</v>
      </c>
      <c r="AT67" s="10">
        <f t="shared" si="3"/>
        <v>0</v>
      </c>
    </row>
    <row r="68" spans="1:46" ht="83.25" customHeight="1">
      <c r="J68" s="181"/>
      <c r="K68" s="34"/>
      <c r="L68" s="34"/>
      <c r="M68" s="3391"/>
      <c r="N68" s="3572"/>
      <c r="O68" s="3597"/>
      <c r="P68" s="3404"/>
      <c r="Q68" s="3445"/>
      <c r="R68" s="3445"/>
      <c r="S68" s="3604"/>
      <c r="T68" s="1443"/>
      <c r="U68" s="3490"/>
      <c r="V68" s="3415"/>
      <c r="W68" s="3415"/>
      <c r="X68" s="3619"/>
      <c r="Y68" s="109">
        <v>100000000</v>
      </c>
      <c r="Z68" s="109" t="s">
        <v>170</v>
      </c>
      <c r="AA68" s="1484" t="s">
        <v>879</v>
      </c>
      <c r="AB68" s="828"/>
      <c r="AC68" s="1485"/>
      <c r="AD68" s="1486"/>
      <c r="AE68" s="1486"/>
      <c r="AF68" s="1486"/>
      <c r="AG68" s="1508" t="s">
        <v>1188</v>
      </c>
      <c r="AH68" s="1509">
        <f>DATA!AT71</f>
        <v>100000000</v>
      </c>
      <c r="AI68" s="109" t="str">
        <f>DATA!AU71</f>
        <v>Belum Ada Indikasi</v>
      </c>
      <c r="AJ68" s="1520" t="str">
        <f>DATA!AW71</f>
        <v>-</v>
      </c>
      <c r="AK68" s="245">
        <f>DATA!AM71</f>
        <v>0</v>
      </c>
      <c r="AL68" s="3503"/>
      <c r="AM68" s="3503"/>
      <c r="AN68" s="1545">
        <f>DATA!AQ71</f>
        <v>0</v>
      </c>
      <c r="AO68" s="1547" t="str">
        <f>DATA!AR71</f>
        <v>- untuk yang Phase II: belum ada penyiapan
- belum ada dokumen R/C</v>
      </c>
      <c r="AQ68" s="10">
        <f t="shared" si="5"/>
        <v>0</v>
      </c>
      <c r="AR68" s="10">
        <f t="shared" si="1"/>
        <v>0</v>
      </c>
      <c r="AS68" s="10">
        <f t="shared" si="2"/>
        <v>0</v>
      </c>
      <c r="AT68" s="10">
        <f t="shared" si="3"/>
        <v>0</v>
      </c>
    </row>
    <row r="69" spans="1:46" ht="93.75" customHeight="1">
      <c r="A69" s="10">
        <f>DATA!A72</f>
        <v>54</v>
      </c>
      <c r="B69" s="10">
        <f>DATA!B72</f>
        <v>0</v>
      </c>
      <c r="C69" s="10" t="str">
        <f>DATA!D72</f>
        <v>INFRASTRUKTUR</v>
      </c>
      <c r="D69" s="10">
        <f>DATA!E72</f>
        <v>1</v>
      </c>
      <c r="E69" s="10" t="str">
        <f>DATA!F72</f>
        <v>Kementerian Pekerjaan Umum dan Perumahan Rakyat</v>
      </c>
      <c r="F69" s="10" t="str">
        <f>DATA!H72</f>
        <v xml:space="preserve">Development and Management of Irrigation Program </v>
      </c>
      <c r="G69" s="10" t="str">
        <f>DATA!I72</f>
        <v>I</v>
      </c>
      <c r="H69" s="10" t="str">
        <f>DATA!J72</f>
        <v>Program Pengembangan dan Pengelolaan Irigasi</v>
      </c>
      <c r="I69" s="10">
        <f>DATA!K72</f>
        <v>2</v>
      </c>
      <c r="J69" s="181"/>
      <c r="K69" s="34"/>
      <c r="L69" s="34"/>
      <c r="M69" s="36">
        <v>31</v>
      </c>
      <c r="N69" s="199" t="str">
        <f>DATA!L72</f>
        <v>The Urgent Rehabilitation of Strategic Irrigation for Western Region of Indonesia</v>
      </c>
      <c r="O69" s="1402">
        <f>DATA!T72</f>
        <v>195778000</v>
      </c>
      <c r="P69" s="187">
        <f>DATA!U72</f>
        <v>195778000</v>
      </c>
      <c r="Q69" s="1446">
        <f>BB[[#This Row],[PENDAMPING BB]]</f>
        <v>50000000</v>
      </c>
      <c r="R69" s="1446">
        <f>BB[[#This Row],[HIBAH BB]]</f>
        <v>0</v>
      </c>
      <c r="S69" s="1447">
        <f t="shared" ref="S69:S90" si="9">P69+Q69+R69</f>
        <v>245778000</v>
      </c>
      <c r="T69" s="1448"/>
      <c r="U69" s="1449" t="str">
        <f>DATA!Y72</f>
        <v>Korea</v>
      </c>
      <c r="V69" s="77">
        <f>DATA!AA72</f>
        <v>195778000</v>
      </c>
      <c r="W69" s="77">
        <v>0</v>
      </c>
      <c r="X69" s="1450" t="str">
        <f>DATA!Y72</f>
        <v>Korea</v>
      </c>
      <c r="Y69" s="109">
        <v>195778000</v>
      </c>
      <c r="Z69" s="109" t="s">
        <v>28</v>
      </c>
      <c r="AA69" s="1484" t="s">
        <v>1189</v>
      </c>
      <c r="AB69" s="828"/>
      <c r="AC69" s="1485"/>
      <c r="AD69" s="1486"/>
      <c r="AE69" s="1486"/>
      <c r="AF69" s="1486"/>
      <c r="AG69" s="3253" t="s">
        <v>1190</v>
      </c>
      <c r="AH69" s="1509">
        <f>DATA!AT72</f>
        <v>195778000</v>
      </c>
      <c r="AI69" s="109" t="str">
        <f>DATA!AU72</f>
        <v>Korea</v>
      </c>
      <c r="AJ69" s="1544" t="str">
        <f>DATA!AW72</f>
        <v>masuk rolling plan EDCF (Korea)</v>
      </c>
      <c r="AK69" s="1625" t="str">
        <f>DATA!AM72</f>
        <v>2016; 2015</v>
      </c>
      <c r="AL69" s="1510" t="str">
        <f>DATA!AN72</f>
        <v>belum ada keterangan</v>
      </c>
      <c r="AM69" s="1511" t="str">
        <f>DATA!AO72</f>
        <v>belum ada keterangan</v>
      </c>
      <c r="AN69" s="1545">
        <f>DATA!AQ72</f>
        <v>0</v>
      </c>
      <c r="AO69" s="1547" t="str">
        <f>DATA!AR72</f>
        <v>-</v>
      </c>
      <c r="AQ69" s="10">
        <f t="shared" si="5"/>
        <v>0</v>
      </c>
      <c r="AR69" s="10">
        <f t="shared" si="1"/>
        <v>0</v>
      </c>
      <c r="AS69" s="10">
        <f t="shared" si="2"/>
        <v>0</v>
      </c>
      <c r="AT69" s="10">
        <f t="shared" si="3"/>
        <v>195778000</v>
      </c>
    </row>
    <row r="70" spans="1:46" ht="24.75" customHeight="1">
      <c r="A70" s="10">
        <f>DATA!A75</f>
        <v>57</v>
      </c>
      <c r="B70" s="10">
        <f>DATA!B75</f>
        <v>0</v>
      </c>
      <c r="C70" s="10" t="str">
        <f>DATA!D75</f>
        <v>INFRASTRUKTUR</v>
      </c>
      <c r="D70" s="10">
        <f>DATA!E75</f>
        <v>1</v>
      </c>
      <c r="E70" s="10" t="str">
        <f>DATA!F75</f>
        <v>Kementerian Pekerjaan Umum dan Perumahan Rakyat</v>
      </c>
      <c r="F70" s="10" t="str">
        <f>DATA!H75</f>
        <v xml:space="preserve">Development and Management of Irrigation Program </v>
      </c>
      <c r="G70" s="10" t="str">
        <f>DATA!I75</f>
        <v>I</v>
      </c>
      <c r="H70" s="10" t="str">
        <f>DATA!J75</f>
        <v>Program Pengembangan dan Pengelolaan Irigasi</v>
      </c>
      <c r="I70" s="10">
        <f>DATA!K75</f>
        <v>5</v>
      </c>
      <c r="J70" s="181"/>
      <c r="K70" s="34"/>
      <c r="L70" s="34"/>
      <c r="M70" s="36">
        <v>32</v>
      </c>
      <c r="N70" s="199" t="str">
        <f>DATA!L75</f>
        <v>Irrigation Development in North Sumatera</v>
      </c>
      <c r="O70" s="1402">
        <f>DATA!T75</f>
        <v>350000000</v>
      </c>
      <c r="P70" s="187">
        <f>DATA!U75</f>
        <v>350000000</v>
      </c>
      <c r="Q70" s="1446">
        <f>BB[[#This Row],[PENDAMPING BB]]</f>
        <v>50000000</v>
      </c>
      <c r="R70" s="1446">
        <f>BB[[#This Row],[HIBAH BB]]</f>
        <v>0</v>
      </c>
      <c r="S70" s="1447">
        <f t="shared" si="9"/>
        <v>400000000</v>
      </c>
      <c r="T70" s="1448"/>
      <c r="U70" s="1449" t="str">
        <f>DATA!Y75</f>
        <v>ADB</v>
      </c>
      <c r="V70" s="77">
        <f>DATA!AA75</f>
        <v>350000000</v>
      </c>
      <c r="W70" s="77">
        <v>0</v>
      </c>
      <c r="X70" s="1450" t="str">
        <f>DATA!Y75</f>
        <v>ADB</v>
      </c>
      <c r="Y70" s="109">
        <v>350000000</v>
      </c>
      <c r="Z70" s="109" t="s">
        <v>633</v>
      </c>
      <c r="AA70" s="1484" t="s">
        <v>879</v>
      </c>
      <c r="AB70" s="828"/>
      <c r="AC70" s="1485"/>
      <c r="AD70" s="1486"/>
      <c r="AE70" s="1486"/>
      <c r="AF70" s="1486"/>
      <c r="AG70" s="1514"/>
      <c r="AH70" s="1509">
        <f>DATA!AT75</f>
        <v>350000000</v>
      </c>
      <c r="AI70" s="109" t="str">
        <f>DATA!AU75</f>
        <v>Belum Ada Indikasi</v>
      </c>
      <c r="AJ70" s="1544" t="str">
        <f>DATA!AW75</f>
        <v>- usulan K/L lender: ADB
- tidak masuk COBP ADB</v>
      </c>
      <c r="AK70" s="245">
        <f>DATA!AM75</f>
        <v>0</v>
      </c>
      <c r="AL70" s="1510" t="str">
        <f>DATA!AN75</f>
        <v>dalam proses
(memiliki FS dan DED)</v>
      </c>
      <c r="AM70" s="1511" t="str">
        <f>DATA!AO75</f>
        <v>belum ada keterangan</v>
      </c>
      <c r="AN70" s="1545">
        <f>DATA!AQ75</f>
        <v>0</v>
      </c>
      <c r="AO70" s="1547" t="str">
        <f>DATA!AR75</f>
        <v>belum ada dokumen R/C</v>
      </c>
      <c r="AQ70" s="10">
        <f t="shared" si="5"/>
        <v>0</v>
      </c>
      <c r="AR70" s="10">
        <f t="shared" si="1"/>
        <v>0</v>
      </c>
      <c r="AS70" s="10">
        <f t="shared" si="2"/>
        <v>350000000</v>
      </c>
      <c r="AT70" s="10">
        <f t="shared" si="3"/>
        <v>0</v>
      </c>
    </row>
    <row r="71" spans="1:46" ht="39.75" customHeight="1">
      <c r="A71" s="10">
        <f>DATA!A76</f>
        <v>58</v>
      </c>
      <c r="B71" s="10">
        <f>DATA!B76</f>
        <v>0</v>
      </c>
      <c r="C71" s="10" t="str">
        <f>DATA!D76</f>
        <v>INFRASTRUKTUR</v>
      </c>
      <c r="D71" s="10">
        <f>DATA!E76</f>
        <v>1</v>
      </c>
      <c r="E71" s="10" t="str">
        <f>DATA!F76</f>
        <v>Kementerian Pekerjaan Umum dan Perumahan Rakyat</v>
      </c>
      <c r="F71" s="10" t="str">
        <f>DATA!H76</f>
        <v xml:space="preserve">Development and Management of Irrigation Program </v>
      </c>
      <c r="G71" s="10" t="str">
        <f>DATA!I76</f>
        <v>I</v>
      </c>
      <c r="H71" s="10" t="str">
        <f>DATA!J76</f>
        <v>Program Pengembangan dan Pengelolaan Irigasi</v>
      </c>
      <c r="I71" s="10">
        <f>DATA!K76</f>
        <v>6</v>
      </c>
      <c r="J71" s="181"/>
      <c r="K71" s="34"/>
      <c r="L71" s="34"/>
      <c r="M71" s="36">
        <v>33</v>
      </c>
      <c r="N71" s="199" t="str">
        <f>DATA!L76</f>
        <v>Integrated Participatory Development and Management of Lhok Guci and Peureulak Irrigation Project</v>
      </c>
      <c r="O71" s="1402">
        <f>DATA!T76</f>
        <v>161298000</v>
      </c>
      <c r="P71" s="187">
        <f>DATA!U76</f>
        <v>161298000</v>
      </c>
      <c r="Q71" s="1446">
        <f>BB[[#This Row],[PENDAMPING BB]]</f>
        <v>50000000</v>
      </c>
      <c r="R71" s="1446">
        <f>BB[[#This Row],[HIBAH BB]]</f>
        <v>0</v>
      </c>
      <c r="S71" s="1447">
        <f t="shared" si="9"/>
        <v>211298000</v>
      </c>
      <c r="T71" s="1448"/>
      <c r="U71" s="1449" t="str">
        <f>DATA!Y76</f>
        <v>ADB</v>
      </c>
      <c r="V71" s="77">
        <f>DATA!AA76</f>
        <v>161298000</v>
      </c>
      <c r="W71" s="77">
        <v>0</v>
      </c>
      <c r="X71" s="1450" t="str">
        <f>DATA!Y76</f>
        <v>ADB</v>
      </c>
      <c r="Y71" s="109">
        <v>161298000</v>
      </c>
      <c r="Z71" s="109" t="s">
        <v>633</v>
      </c>
      <c r="AA71" s="1484" t="s">
        <v>879</v>
      </c>
      <c r="AB71" s="828"/>
      <c r="AC71" s="1485"/>
      <c r="AD71" s="1486"/>
      <c r="AE71" s="1486"/>
      <c r="AF71" s="1486"/>
      <c r="AG71" s="1514"/>
      <c r="AH71" s="1509">
        <f>DATA!AT76</f>
        <v>161298000</v>
      </c>
      <c r="AI71" s="109" t="str">
        <f>DATA!AU76</f>
        <v>Belum Ada Indikasi</v>
      </c>
      <c r="AJ71" s="1544" t="str">
        <f>DATA!AW76</f>
        <v>- usulan K/L lender: ADB
- tidak masuk COBP ADB</v>
      </c>
      <c r="AK71" s="245">
        <f>DATA!AM76</f>
        <v>0</v>
      </c>
      <c r="AL71" s="1510" t="str">
        <f>DATA!AN76</f>
        <v>dalam proses
(memiliki FS dan DED)</v>
      </c>
      <c r="AM71" s="1511" t="str">
        <f>DATA!AO76</f>
        <v>belum ada keterangan</v>
      </c>
      <c r="AN71" s="1545">
        <f>DATA!AQ76</f>
        <v>0</v>
      </c>
      <c r="AO71" s="1547" t="str">
        <f>DATA!AR76</f>
        <v>belum ada dokumen R/C</v>
      </c>
      <c r="AQ71" s="10">
        <f t="shared" si="5"/>
        <v>0</v>
      </c>
      <c r="AR71" s="10">
        <f t="shared" si="1"/>
        <v>0</v>
      </c>
      <c r="AS71" s="10">
        <f t="shared" si="2"/>
        <v>161298000</v>
      </c>
      <c r="AT71" s="10">
        <f t="shared" si="3"/>
        <v>0</v>
      </c>
    </row>
    <row r="72" spans="1:46" ht="39" customHeight="1">
      <c r="A72" s="10">
        <f>DATA!A77</f>
        <v>59</v>
      </c>
      <c r="B72" s="10">
        <f>DATA!B77</f>
        <v>0</v>
      </c>
      <c r="C72" s="10" t="str">
        <f>DATA!D77</f>
        <v>INFRASTRUKTUR</v>
      </c>
      <c r="D72" s="10">
        <f>DATA!E77</f>
        <v>1</v>
      </c>
      <c r="E72" s="10" t="str">
        <f>DATA!F77</f>
        <v>Kementerian Pekerjaan Umum dan Perumahan Rakyat</v>
      </c>
      <c r="F72" s="10" t="str">
        <f>DATA!H77</f>
        <v xml:space="preserve">Development and Management of Irrigation Program </v>
      </c>
      <c r="G72" s="10" t="str">
        <f>DATA!I77</f>
        <v>I</v>
      </c>
      <c r="H72" s="10" t="str">
        <f>DATA!J77</f>
        <v>Program Pengembangan dan Pengelolaan Irigasi</v>
      </c>
      <c r="I72" s="10">
        <f>DATA!K77</f>
        <v>7</v>
      </c>
      <c r="J72" s="181"/>
      <c r="K72" s="34"/>
      <c r="L72" s="34"/>
      <c r="M72" s="36">
        <v>34</v>
      </c>
      <c r="N72" s="199" t="str">
        <f>DATA!L77</f>
        <v>Modernization Strategic Irrigation Project (MSIP)</v>
      </c>
      <c r="O72" s="1402">
        <f>DATA!T77</f>
        <v>278355000</v>
      </c>
      <c r="P72" s="187">
        <f>DATA!U77</f>
        <v>278355000</v>
      </c>
      <c r="Q72" s="1446">
        <f>BB[[#This Row],[PENDAMPING BB]]</f>
        <v>27149500</v>
      </c>
      <c r="R72" s="1446">
        <f>BB[[#This Row],[HIBAH BB]]</f>
        <v>0</v>
      </c>
      <c r="S72" s="1447">
        <f t="shared" si="9"/>
        <v>305504500</v>
      </c>
      <c r="T72" s="1448"/>
      <c r="U72" s="1449" t="str">
        <f>DATA!Y77</f>
        <v>JICA</v>
      </c>
      <c r="V72" s="77">
        <f>DATA!AA77</f>
        <v>278355000</v>
      </c>
      <c r="W72" s="77">
        <v>0</v>
      </c>
      <c r="X72" s="1450" t="str">
        <f>DATA!Y77</f>
        <v>JICA</v>
      </c>
      <c r="Y72" s="109">
        <v>278355000</v>
      </c>
      <c r="Z72" s="3620" t="s">
        <v>62</v>
      </c>
      <c r="AA72" s="3622" t="s">
        <v>1160</v>
      </c>
      <c r="AB72" s="828"/>
      <c r="AC72" s="1485"/>
      <c r="AD72" s="1486"/>
      <c r="AE72" s="1486"/>
      <c r="AF72" s="1486"/>
      <c r="AG72" s="3626" t="s">
        <v>1191</v>
      </c>
      <c r="AH72" s="1509">
        <f>DATA!AT77</f>
        <v>278355000</v>
      </c>
      <c r="AI72" s="109" t="str">
        <f>DATA!AU77</f>
        <v>JICA</v>
      </c>
      <c r="AJ72" s="1544" t="str">
        <f>DATA!AW77</f>
        <v>-</v>
      </c>
      <c r="AK72" s="245">
        <f>DATA!AM77</f>
        <v>0</v>
      </c>
      <c r="AL72" s="1510" t="str">
        <f>DATA!AN77</f>
        <v>belum ada keterangan</v>
      </c>
      <c r="AM72" s="1511" t="str">
        <f>DATA!AO77</f>
        <v>belum ada keterangan</v>
      </c>
      <c r="AN72" s="1545">
        <f>DATA!AQ77</f>
        <v>0</v>
      </c>
      <c r="AO72" s="1547" t="str">
        <f>DATA!AR77</f>
        <v>belum ada dokumen R/C</v>
      </c>
      <c r="AQ72" s="10">
        <f t="shared" si="5"/>
        <v>0</v>
      </c>
      <c r="AR72" s="10">
        <f t="shared" si="1"/>
        <v>0</v>
      </c>
      <c r="AS72" s="10">
        <f t="shared" si="2"/>
        <v>0</v>
      </c>
      <c r="AT72" s="10">
        <f t="shared" si="3"/>
        <v>0</v>
      </c>
    </row>
    <row r="73" spans="1:46" ht="54" customHeight="1">
      <c r="A73" s="10">
        <f>DATA!A78</f>
        <v>60</v>
      </c>
      <c r="B73" s="10">
        <f>DATA!B78</f>
        <v>0</v>
      </c>
      <c r="C73" s="10" t="str">
        <f>DATA!D78</f>
        <v>INFRASTRUKTUR</v>
      </c>
      <c r="D73" s="10">
        <f>DATA!E78</f>
        <v>1</v>
      </c>
      <c r="E73" s="10" t="str">
        <f>DATA!F78</f>
        <v>Kementerian Pekerjaan Umum dan Perumahan Rakyat</v>
      </c>
      <c r="F73" s="10" t="str">
        <f>DATA!H78</f>
        <v xml:space="preserve">Development and Management of Irrigation Program </v>
      </c>
      <c r="G73" s="10" t="str">
        <f>DATA!I78</f>
        <v>I</v>
      </c>
      <c r="H73" s="10" t="str">
        <f>DATA!J78</f>
        <v>Program Pengembangan dan Pengelolaan Irigasi</v>
      </c>
      <c r="I73" s="10">
        <f>DATA!K78</f>
        <v>8</v>
      </c>
      <c r="J73" s="181"/>
      <c r="K73" s="34"/>
      <c r="L73" s="34"/>
      <c r="M73" s="36">
        <v>35</v>
      </c>
      <c r="N73" s="199" t="str">
        <f>DATA!L78</f>
        <v>Urgent Rehabilitation of  Irrigation Project in Indonesia (URIP)</v>
      </c>
      <c r="O73" s="1402">
        <f>DATA!T78</f>
        <v>272100000</v>
      </c>
      <c r="P73" s="187">
        <f>DATA!U78</f>
        <v>272100000</v>
      </c>
      <c r="Q73" s="1446">
        <f>BB[[#This Row],[PENDAMPING BB]]</f>
        <v>48000000</v>
      </c>
      <c r="R73" s="1446">
        <f>BB[[#This Row],[HIBAH BB]]</f>
        <v>0</v>
      </c>
      <c r="S73" s="1447">
        <f t="shared" si="9"/>
        <v>320100000</v>
      </c>
      <c r="T73" s="1448"/>
      <c r="U73" s="1449" t="str">
        <f>DATA!Y78</f>
        <v>Bank Dunia</v>
      </c>
      <c r="V73" s="77">
        <f>DATA!AA78</f>
        <v>272100000</v>
      </c>
      <c r="W73" s="77">
        <v>0</v>
      </c>
      <c r="X73" s="1450" t="str">
        <f>DATA!Y78</f>
        <v>Bank Dunia</v>
      </c>
      <c r="Y73" s="109">
        <v>272100000</v>
      </c>
      <c r="Z73" s="3621"/>
      <c r="AA73" s="3623"/>
      <c r="AB73" s="828"/>
      <c r="AC73" s="1485"/>
      <c r="AD73" s="1486"/>
      <c r="AE73" s="1486"/>
      <c r="AF73" s="1486"/>
      <c r="AG73" s="3627"/>
      <c r="AH73" s="1509">
        <f>DATA!AT78</f>
        <v>272100000</v>
      </c>
      <c r="AI73" s="109" t="str">
        <f>DATA!AU78</f>
        <v>Bank Dunia</v>
      </c>
      <c r="AJ73" s="1544" t="str">
        <f>DATA!AW78</f>
        <v>-</v>
      </c>
      <c r="AK73" s="245">
        <f>DATA!AM78</f>
        <v>0</v>
      </c>
      <c r="AL73" s="1510" t="str">
        <f>DATA!AN78</f>
        <v>belum ada keterangan</v>
      </c>
      <c r="AM73" s="1511" t="str">
        <f>DATA!AO78</f>
        <v>belum ada keterangan</v>
      </c>
      <c r="AN73" s="1545">
        <f>DATA!AQ78</f>
        <v>0</v>
      </c>
      <c r="AO73" s="1547" t="str">
        <f>DATA!AR78</f>
        <v>belum ada dokumen R/C</v>
      </c>
      <c r="AQ73" s="10">
        <f t="shared" si="5"/>
        <v>0</v>
      </c>
      <c r="AR73" s="10">
        <f t="shared" si="1"/>
        <v>0</v>
      </c>
      <c r="AS73" s="10">
        <f t="shared" si="2"/>
        <v>0</v>
      </c>
      <c r="AT73" s="10">
        <f t="shared" si="3"/>
        <v>0</v>
      </c>
    </row>
    <row r="74" spans="1:46" ht="27" customHeight="1">
      <c r="A74" s="10">
        <f>DATA!A79</f>
        <v>61</v>
      </c>
      <c r="B74" s="10">
        <f>DATA!B79</f>
        <v>0</v>
      </c>
      <c r="C74" s="10" t="str">
        <f>DATA!D79</f>
        <v>INFRASTRUKTUR</v>
      </c>
      <c r="D74" s="10">
        <f>DATA!E79</f>
        <v>1</v>
      </c>
      <c r="E74" s="10" t="str">
        <f>DATA!F79</f>
        <v>Kementerian Pekerjaan Umum dan Perumahan Rakyat</v>
      </c>
      <c r="F74" s="10" t="str">
        <f>DATA!H79</f>
        <v xml:space="preserve">Development and Management of Irrigation Program </v>
      </c>
      <c r="G74" s="10" t="str">
        <f>DATA!I79</f>
        <v>I</v>
      </c>
      <c r="H74" s="10" t="str">
        <f>DATA!J79</f>
        <v>Program Pengembangan dan Pengelolaan Irigasi</v>
      </c>
      <c r="I74" s="10">
        <f>DATA!K79</f>
        <v>9</v>
      </c>
      <c r="J74" s="181"/>
      <c r="K74" s="34"/>
      <c r="L74" s="34"/>
      <c r="M74" s="36">
        <v>36</v>
      </c>
      <c r="N74" s="199" t="str">
        <f>DATA!L79</f>
        <v>Revitalization Groundwater Irrigation in Indonesia</v>
      </c>
      <c r="O74" s="1402">
        <f>DATA!T79</f>
        <v>100000000</v>
      </c>
      <c r="P74" s="187">
        <f>DATA!U79</f>
        <v>100000000</v>
      </c>
      <c r="Q74" s="1446">
        <f>BB[[#This Row],[PENDAMPING BB]]</f>
        <v>12000000</v>
      </c>
      <c r="R74" s="1446">
        <f>BB[[#This Row],[HIBAH BB]]</f>
        <v>0</v>
      </c>
      <c r="S74" s="1447">
        <f t="shared" si="9"/>
        <v>112000000</v>
      </c>
      <c r="T74" s="1448"/>
      <c r="U74" s="1449" t="str">
        <f>DATA!Y79</f>
        <v>JICA</v>
      </c>
      <c r="V74" s="77">
        <f>DATA!AA79</f>
        <v>100000000</v>
      </c>
      <c r="W74" s="77">
        <v>0</v>
      </c>
      <c r="X74" s="1450" t="str">
        <f>DATA!Y79</f>
        <v>JICA</v>
      </c>
      <c r="Y74" s="109">
        <v>100000000</v>
      </c>
      <c r="Z74" s="109" t="s">
        <v>28</v>
      </c>
      <c r="AA74" s="1484" t="s">
        <v>879</v>
      </c>
      <c r="AB74" s="828"/>
      <c r="AC74" s="1485"/>
      <c r="AD74" s="1486"/>
      <c r="AE74" s="1486"/>
      <c r="AF74" s="1486"/>
      <c r="AG74" s="1514" t="s">
        <v>1152</v>
      </c>
      <c r="AH74" s="1509">
        <f>DATA!AT79</f>
        <v>100000000</v>
      </c>
      <c r="AI74" s="109" t="str">
        <f>DATA!AU79</f>
        <v>JICA</v>
      </c>
      <c r="AJ74" s="1544" t="str">
        <f>DATA!AW79</f>
        <v>-</v>
      </c>
      <c r="AK74" s="245">
        <f>DATA!AM79</f>
        <v>0</v>
      </c>
      <c r="AL74" s="1510" t="str">
        <f>DATA!AN79</f>
        <v>belum ada keterangan</v>
      </c>
      <c r="AM74" s="1511" t="str">
        <f>DATA!AO79</f>
        <v>belum ada keterangan</v>
      </c>
      <c r="AN74" s="1545">
        <f>DATA!AQ79</f>
        <v>0</v>
      </c>
      <c r="AO74" s="1547" t="str">
        <f>DATA!AR79</f>
        <v>belum ada dokumen R/C</v>
      </c>
      <c r="AQ74" s="10">
        <f t="shared" si="5"/>
        <v>0</v>
      </c>
      <c r="AR74" s="10">
        <f t="shared" si="1"/>
        <v>0</v>
      </c>
      <c r="AS74" s="10">
        <f t="shared" si="2"/>
        <v>0</v>
      </c>
      <c r="AT74" s="10">
        <f t="shared" si="3"/>
        <v>100000000</v>
      </c>
    </row>
    <row r="75" spans="1:46" s="1587" customFormat="1" ht="38.25" customHeight="1">
      <c r="J75" s="1590"/>
      <c r="K75" s="1591"/>
      <c r="L75" s="1592"/>
      <c r="M75" s="36">
        <v>37</v>
      </c>
      <c r="N75" s="1537" t="s">
        <v>182</v>
      </c>
      <c r="O75" s="1593">
        <v>100000000</v>
      </c>
      <c r="P75" s="1453">
        <v>100000000</v>
      </c>
      <c r="Q75" s="1446"/>
      <c r="R75" s="1446"/>
      <c r="S75" s="1600"/>
      <c r="T75" s="1601"/>
      <c r="U75" s="1602"/>
      <c r="V75" s="1603"/>
      <c r="W75" s="1603"/>
      <c r="X75" s="1604"/>
      <c r="Y75" s="1613">
        <v>61900000</v>
      </c>
      <c r="Z75" s="1613" t="s">
        <v>633</v>
      </c>
      <c r="AA75" s="1614" t="s">
        <v>879</v>
      </c>
      <c r="AB75" s="1615"/>
      <c r="AC75" s="2435"/>
      <c r="AD75" s="2436"/>
      <c r="AE75" s="2436"/>
      <c r="AF75" s="2436"/>
      <c r="AG75" s="2438"/>
      <c r="AH75" s="1627">
        <f>100000000-38100000</f>
        <v>61900000</v>
      </c>
      <c r="AI75" s="1613" t="s">
        <v>633</v>
      </c>
      <c r="AJ75" s="1628"/>
      <c r="AK75" s="1629"/>
      <c r="AL75" s="1630"/>
      <c r="AM75" s="1631"/>
      <c r="AN75" s="1632"/>
      <c r="AO75" s="1635"/>
      <c r="AQ75" s="10">
        <f t="shared" si="5"/>
        <v>0</v>
      </c>
      <c r="AR75" s="10">
        <f t="shared" si="1"/>
        <v>0</v>
      </c>
      <c r="AS75" s="10">
        <f t="shared" si="2"/>
        <v>61900000</v>
      </c>
      <c r="AT75" s="10">
        <f t="shared" si="3"/>
        <v>0</v>
      </c>
    </row>
    <row r="76" spans="1:46" s="5" customFormat="1" ht="33.75" customHeight="1">
      <c r="J76" s="180"/>
      <c r="K76" s="50"/>
      <c r="L76" s="30" t="s">
        <v>194</v>
      </c>
      <c r="M76" s="31" t="str">
        <f>DATA!J81</f>
        <v xml:space="preserve">Program Penyediaan dan Pengelolaan Air Baku </v>
      </c>
      <c r="N76" s="1419"/>
      <c r="O76" s="214">
        <f>SUM(O77:O79)</f>
        <v>623862000</v>
      </c>
      <c r="P76" s="197">
        <f>SUM(P77:P79)</f>
        <v>623862000</v>
      </c>
      <c r="Q76" s="1436">
        <f>SUM(Q77:Q79)</f>
        <v>201074000</v>
      </c>
      <c r="R76" s="1436">
        <f>SUM(R77:R79)</f>
        <v>0</v>
      </c>
      <c r="S76" s="244">
        <f t="shared" si="9"/>
        <v>824936000</v>
      </c>
      <c r="T76" s="1437"/>
      <c r="U76" s="198"/>
      <c r="V76" s="81">
        <f>SUM(V77:V79)</f>
        <v>623862000</v>
      </c>
      <c r="W76" s="81">
        <f>SUM(W77:W79)</f>
        <v>0</v>
      </c>
      <c r="X76" s="243">
        <f>SUM(X77:X79)</f>
        <v>0</v>
      </c>
      <c r="Y76" s="81">
        <f>Y77+Y78+Y79</f>
        <v>621862000</v>
      </c>
      <c r="Z76" s="81"/>
      <c r="AA76" s="1469"/>
      <c r="AB76" s="1470"/>
      <c r="AC76" s="1471"/>
      <c r="AD76" s="1472"/>
      <c r="AE76" s="1472"/>
      <c r="AF76" s="1472"/>
      <c r="AG76" s="1504"/>
      <c r="AH76" s="198">
        <f>SUM(AH77:AH79)</f>
        <v>621862000</v>
      </c>
      <c r="AI76" s="81">
        <f>SUM(AI77:AI79)</f>
        <v>0</v>
      </c>
      <c r="AJ76" s="214"/>
      <c r="AK76" s="1505"/>
      <c r="AL76" s="1506"/>
      <c r="AM76" s="169"/>
      <c r="AN76" s="1507"/>
      <c r="AO76" s="1530"/>
      <c r="AQ76" s="10">
        <f t="shared" si="5"/>
        <v>0</v>
      </c>
      <c r="AR76" s="10">
        <f t="shared" ref="AR76:AR139" si="10">IF(Z76="JICA",Y76,0)</f>
        <v>0</v>
      </c>
      <c r="AS76" s="10">
        <f t="shared" ref="AS76:AS139" si="11">IF(Z76="Belum ada indikasi",Y76,0)</f>
        <v>0</v>
      </c>
      <c r="AT76" s="10">
        <f t="shared" ref="AT76:AT139" si="12">IF(Z76="Korea",Y76,0)</f>
        <v>0</v>
      </c>
    </row>
    <row r="77" spans="1:46" ht="84" customHeight="1">
      <c r="A77" s="10">
        <f>DATA!A81</f>
        <v>63</v>
      </c>
      <c r="B77" s="10">
        <f>DATA!B81</f>
        <v>0</v>
      </c>
      <c r="C77" s="10" t="str">
        <f>DATA!D81</f>
        <v>INFRASTRUKTUR</v>
      </c>
      <c r="D77" s="10">
        <f>DATA!E81</f>
        <v>1</v>
      </c>
      <c r="E77" s="10" t="str">
        <f>DATA!F81</f>
        <v>Kementerian Pekerjaan Umum dan Perumahan Rakyat</v>
      </c>
      <c r="F77" s="10" t="str">
        <f>DATA!H81</f>
        <v>Provision and Management of Bulk Water Supply Program</v>
      </c>
      <c r="G77" s="10" t="str">
        <f>DATA!I81</f>
        <v>J</v>
      </c>
      <c r="H77" s="10" t="str">
        <f>DATA!J81</f>
        <v xml:space="preserve">Program Penyediaan dan Pengelolaan Air Baku </v>
      </c>
      <c r="I77" s="10">
        <f>DATA!K81</f>
        <v>1</v>
      </c>
      <c r="J77" s="181"/>
      <c r="K77" s="34"/>
      <c r="L77" s="35"/>
      <c r="M77" s="36">
        <v>38</v>
      </c>
      <c r="N77" s="199" t="str">
        <f>DATA!L81</f>
        <v>Integrated Citarum Water Resources Management Investment Program II</v>
      </c>
      <c r="O77" s="1402">
        <f>DATA!T81</f>
        <v>200000000</v>
      </c>
      <c r="P77" s="187">
        <f>DATA!U81</f>
        <v>200000000</v>
      </c>
      <c r="Q77" s="1446">
        <f>DATA!V81</f>
        <v>20000000</v>
      </c>
      <c r="R77" s="1446">
        <f>DATA!W81</f>
        <v>0</v>
      </c>
      <c r="S77" s="1447">
        <f t="shared" si="9"/>
        <v>220000000</v>
      </c>
      <c r="T77" s="1448"/>
      <c r="U77" s="1449" t="str">
        <f>DATA!Y81</f>
        <v>ADB</v>
      </c>
      <c r="V77" s="77">
        <f>DATA!AA81</f>
        <v>200000000</v>
      </c>
      <c r="W77" s="77">
        <v>0</v>
      </c>
      <c r="X77" s="1450" t="str">
        <f>DATA!Y81</f>
        <v>ADB</v>
      </c>
      <c r="Y77" s="109">
        <v>200000000</v>
      </c>
      <c r="Z77" s="109" t="s">
        <v>633</v>
      </c>
      <c r="AA77" s="1484" t="s">
        <v>879</v>
      </c>
      <c r="AB77" s="828"/>
      <c r="AC77" s="1485"/>
      <c r="AD77" s="1486"/>
      <c r="AE77" s="1486"/>
      <c r="AF77" s="1486"/>
      <c r="AG77" s="1513" t="s">
        <v>1192</v>
      </c>
      <c r="AH77" s="1509">
        <f>DATA!AT81</f>
        <v>200000000</v>
      </c>
      <c r="AI77" s="109" t="str">
        <f>DATA!AU81</f>
        <v>ADB</v>
      </c>
      <c r="AJ77" s="1544" t="str">
        <f>DATA!AW81</f>
        <v>-</v>
      </c>
      <c r="AK77" s="245">
        <f>DATA!AM81</f>
        <v>0</v>
      </c>
      <c r="AL77" s="1510" t="str">
        <f>DATA!AN81</f>
        <v>dalam proses
(memiliki FS dan DED)</v>
      </c>
      <c r="AM77" s="1511" t="str">
        <f>DATA!AO81</f>
        <v>dalam proses
(perencanaan)</v>
      </c>
      <c r="AN77" s="1545">
        <f>DATA!AQ81</f>
        <v>0</v>
      </c>
      <c r="AO77" s="1547" t="str">
        <f>DATA!AR81</f>
        <v>belum ada dokumen R/C</v>
      </c>
      <c r="AQ77" s="10">
        <f t="shared" si="5"/>
        <v>0</v>
      </c>
      <c r="AR77" s="10">
        <f t="shared" si="10"/>
        <v>0</v>
      </c>
      <c r="AS77" s="10">
        <f t="shared" si="11"/>
        <v>200000000</v>
      </c>
      <c r="AT77" s="10">
        <f t="shared" si="12"/>
        <v>0</v>
      </c>
    </row>
    <row r="78" spans="1:46" ht="66" customHeight="1">
      <c r="A78" s="10">
        <f>DATA!A82</f>
        <v>64</v>
      </c>
      <c r="B78" s="10">
        <f>DATA!B82</f>
        <v>0</v>
      </c>
      <c r="C78" s="10" t="str">
        <f>DATA!D82</f>
        <v>INFRASTRUKTUR</v>
      </c>
      <c r="D78" s="10">
        <f>DATA!E82</f>
        <v>1</v>
      </c>
      <c r="E78" s="10" t="str">
        <f>DATA!F82</f>
        <v>Kementerian Pekerjaan Umum dan Perumahan Rakyat</v>
      </c>
      <c r="F78" s="10" t="str">
        <f>DATA!H82</f>
        <v>Provision and Management of Bulk Water Supply Program</v>
      </c>
      <c r="G78" s="10" t="str">
        <f>DATA!I82</f>
        <v>I</v>
      </c>
      <c r="H78" s="10" t="str">
        <f>DATA!J82</f>
        <v xml:space="preserve">Program Penyediaan dan Pengelolaan Air Baku </v>
      </c>
      <c r="I78" s="10">
        <f>DATA!K82</f>
        <v>2</v>
      </c>
      <c r="J78" s="181"/>
      <c r="K78" s="34"/>
      <c r="L78" s="34"/>
      <c r="M78" s="36">
        <v>39</v>
      </c>
      <c r="N78" s="199" t="str">
        <f>DATA!L82</f>
        <v>Karian Dam-Serpong Water Conveyance and Supply System Project</v>
      </c>
      <c r="O78" s="1402">
        <f>DATA!T82</f>
        <v>373862000</v>
      </c>
      <c r="P78" s="187">
        <f>DATA!U82</f>
        <v>373862000</v>
      </c>
      <c r="Q78" s="1446">
        <f>DATA!V82</f>
        <v>181074000</v>
      </c>
      <c r="R78" s="1446">
        <f>DATA!W82</f>
        <v>0</v>
      </c>
      <c r="S78" s="1447">
        <f t="shared" si="9"/>
        <v>554936000</v>
      </c>
      <c r="T78" s="1448"/>
      <c r="U78" s="1449" t="str">
        <f>DATA!Y82</f>
        <v>Korea</v>
      </c>
      <c r="V78" s="77">
        <f>DATA!AA82</f>
        <v>373862000</v>
      </c>
      <c r="W78" s="77">
        <v>0</v>
      </c>
      <c r="X78" s="1450" t="str">
        <f>DATA!Y82</f>
        <v>Korea</v>
      </c>
      <c r="Y78" s="109">
        <v>373862000</v>
      </c>
      <c r="Z78" s="109" t="s">
        <v>28</v>
      </c>
      <c r="AA78" s="1484" t="s">
        <v>879</v>
      </c>
      <c r="AB78" s="828"/>
      <c r="AC78" s="1485"/>
      <c r="AD78" s="1486"/>
      <c r="AE78" s="1486"/>
      <c r="AF78" s="1486"/>
      <c r="AG78" s="1513" t="s">
        <v>1193</v>
      </c>
      <c r="AH78" s="1509">
        <f>DATA!AT82</f>
        <v>373862000</v>
      </c>
      <c r="AI78" s="109" t="str">
        <f>DATA!AU82</f>
        <v>Korea</v>
      </c>
      <c r="AJ78" s="1544" t="str">
        <f>DATA!AW82</f>
        <v>masuk rolling plan EDCF (Korea)</v>
      </c>
      <c r="AK78" s="245">
        <f>DATA!AM82</f>
        <v>0</v>
      </c>
      <c r="AL78" s="1510" t="str">
        <f>DATA!AN82</f>
        <v>dalam proses
(memiliki FS)</v>
      </c>
      <c r="AM78" s="1511" t="str">
        <f>DATA!AO82</f>
        <v>dalam proses
(perencanaan)</v>
      </c>
      <c r="AN78" s="1545">
        <f>DATA!AQ82</f>
        <v>0</v>
      </c>
      <c r="AO78" s="1547" t="str">
        <f>DATA!AR82</f>
        <v>belum ada dokumen R/C</v>
      </c>
      <c r="AQ78" s="10">
        <f t="shared" si="5"/>
        <v>0</v>
      </c>
      <c r="AR78" s="10">
        <f t="shared" si="10"/>
        <v>0</v>
      </c>
      <c r="AS78" s="10">
        <f t="shared" si="11"/>
        <v>0</v>
      </c>
      <c r="AT78" s="10">
        <f t="shared" si="12"/>
        <v>373862000</v>
      </c>
    </row>
    <row r="79" spans="1:46" ht="36" customHeight="1">
      <c r="A79" s="10">
        <f>DATA!A83</f>
        <v>65</v>
      </c>
      <c r="B79" s="10">
        <f>DATA!B83</f>
        <v>0</v>
      </c>
      <c r="C79" s="10" t="str">
        <f>DATA!D83</f>
        <v>INFRASTRUKTUR</v>
      </c>
      <c r="D79" s="10">
        <f>DATA!E83</f>
        <v>1</v>
      </c>
      <c r="E79" s="10" t="str">
        <f>DATA!F83</f>
        <v>Kementerian Pekerjaan Umum dan Perumahan Rakyat</v>
      </c>
      <c r="F79" s="10" t="str">
        <f>DATA!H83</f>
        <v>Provision and Management of Bulk Water Supply Program</v>
      </c>
      <c r="G79" s="10" t="str">
        <f>DATA!I83</f>
        <v>I</v>
      </c>
      <c r="H79" s="10" t="str">
        <f>DATA!J83</f>
        <v xml:space="preserve">Program Penyediaan dan Pengelolaan Air Baku </v>
      </c>
      <c r="I79" s="10">
        <f>DATA!K83</f>
        <v>3</v>
      </c>
      <c r="J79" s="181"/>
      <c r="K79" s="34"/>
      <c r="L79" s="54"/>
      <c r="M79" s="36">
        <v>40</v>
      </c>
      <c r="N79" s="1537" t="str">
        <f>DATA!L83</f>
        <v>Engineering Service for Bulk Water and Water Supply Development Project</v>
      </c>
      <c r="O79" s="1402">
        <f>DATA!T83</f>
        <v>50000000</v>
      </c>
      <c r="P79" s="187">
        <f>DATA!U83</f>
        <v>50000000</v>
      </c>
      <c r="Q79" s="1446">
        <f>DATA!V83</f>
        <v>0</v>
      </c>
      <c r="R79" s="1446">
        <f>DATA!W83</f>
        <v>0</v>
      </c>
      <c r="S79" s="1447">
        <f t="shared" si="9"/>
        <v>50000000</v>
      </c>
      <c r="T79" s="1448"/>
      <c r="U79" s="1449" t="str">
        <f>DATA!Y83</f>
        <v>ADB</v>
      </c>
      <c r="V79" s="77">
        <f>DATA!AA83</f>
        <v>50000000</v>
      </c>
      <c r="W79" s="77">
        <v>0</v>
      </c>
      <c r="X79" s="1450" t="str">
        <f>DATA!Y83</f>
        <v>ADB</v>
      </c>
      <c r="Y79" s="109">
        <v>48000000</v>
      </c>
      <c r="Z79" s="109" t="s">
        <v>633</v>
      </c>
      <c r="AA79" s="1484" t="s">
        <v>879</v>
      </c>
      <c r="AB79" s="828"/>
      <c r="AC79" s="1485"/>
      <c r="AD79" s="1486"/>
      <c r="AE79" s="1486"/>
      <c r="AF79" s="1486"/>
      <c r="AG79" s="1514"/>
      <c r="AH79" s="1509">
        <v>48000000</v>
      </c>
      <c r="AI79" s="109" t="s">
        <v>633</v>
      </c>
      <c r="AJ79" s="1544" t="str">
        <f>DATA!AW83</f>
        <v>-</v>
      </c>
      <c r="AK79" s="1625" t="str">
        <f>DATA!AM83</f>
        <v>2016; 2015</v>
      </c>
      <c r="AL79" s="1510" t="str">
        <f>DATA!AN83</f>
        <v>siap</v>
      </c>
      <c r="AM79" s="1511" t="str">
        <f>DATA!AO83</f>
        <v>tidak butuh lahan</v>
      </c>
      <c r="AN79" s="1545">
        <f>DATA!AQ83</f>
        <v>0</v>
      </c>
      <c r="AO79" s="1547" t="str">
        <f>DATA!AR83</f>
        <v>- sudah GB 2016  
- Nilai pinjaman di GB USD 2.000 ribu</v>
      </c>
      <c r="AQ79" s="10">
        <f t="shared" si="5"/>
        <v>0</v>
      </c>
      <c r="AR79" s="10">
        <f t="shared" si="10"/>
        <v>0</v>
      </c>
      <c r="AS79" s="10">
        <f t="shared" si="11"/>
        <v>48000000</v>
      </c>
      <c r="AT79" s="10">
        <f t="shared" si="12"/>
        <v>0</v>
      </c>
    </row>
    <row r="80" spans="1:46" s="5" customFormat="1" ht="33.75" customHeight="1">
      <c r="J80" s="180"/>
      <c r="K80" s="50"/>
      <c r="L80" s="30" t="s">
        <v>219</v>
      </c>
      <c r="M80" s="31" t="str">
        <f>DATA!J84</f>
        <v xml:space="preserve">Program Pembangunan Waduk </v>
      </c>
      <c r="N80" s="1419"/>
      <c r="O80" s="214" t="e">
        <f>O81+O82+O88+O83+O84+O85+O86+O87+O89+O90+#REF!</f>
        <v>#REF!</v>
      </c>
      <c r="P80" s="197" t="e">
        <f>P81+P82+P88+P83+P84+P85+P86+P87+P89+P90+#REF!</f>
        <v>#REF!</v>
      </c>
      <c r="Q80" s="197">
        <f>SUM(Q81:Q92)</f>
        <v>963200000</v>
      </c>
      <c r="R80" s="197" t="e">
        <f>R81+R82+R88+R83+R84+R85+R86+R87+R89+R90+#REF!</f>
        <v>#REF!</v>
      </c>
      <c r="S80" s="244" t="e">
        <f>S81+S82+S88+S83+S84+S85+S86+S87+S89+S90+#REF!</f>
        <v>#REF!</v>
      </c>
      <c r="T80" s="1437"/>
      <c r="U80" s="198"/>
      <c r="V80" s="81" t="e">
        <f>V81+V82+V83+V84+V85+V86+V87+V88+V89+V90+#REF!+V91+V92</f>
        <v>#REF!</v>
      </c>
      <c r="W80" s="81" t="e">
        <f>W81+W82+W83+W84+W85+W86+W87+W88+W89+W90+#REF!+W91+W92</f>
        <v>#REF!</v>
      </c>
      <c r="X80" s="243">
        <f>SUM(X83:X90)</f>
        <v>0</v>
      </c>
      <c r="Y80" s="81">
        <f>Y81+Y82+Y83+Y84+Y85+Y86+Y87+Y88+Y89+Y90+Y91+Y92</f>
        <v>2131820000</v>
      </c>
      <c r="Z80" s="81"/>
      <c r="AA80" s="1469"/>
      <c r="AB80" s="1470"/>
      <c r="AC80" s="1471"/>
      <c r="AD80" s="1472"/>
      <c r="AE80" s="1472"/>
      <c r="AF80" s="1472"/>
      <c r="AG80" s="1504"/>
      <c r="AH80" s="198" t="e">
        <f>AH81+AH82+AH83+AH84+AH85+AH86+AH87+AH88+AH89+AH90+#REF!+AH91+AH92</f>
        <v>#REF!</v>
      </c>
      <c r="AI80" s="81">
        <f>SUM(AI83:AI90)</f>
        <v>0</v>
      </c>
      <c r="AJ80" s="214"/>
      <c r="AK80" s="1505"/>
      <c r="AL80" s="1506"/>
      <c r="AM80" s="169"/>
      <c r="AN80" s="1507"/>
      <c r="AO80" s="1530"/>
      <c r="AQ80" s="10">
        <f t="shared" si="5"/>
        <v>0</v>
      </c>
      <c r="AR80" s="10">
        <f t="shared" si="10"/>
        <v>0</v>
      </c>
      <c r="AS80" s="10">
        <f t="shared" si="11"/>
        <v>0</v>
      </c>
      <c r="AT80" s="10">
        <f t="shared" si="12"/>
        <v>0</v>
      </c>
    </row>
    <row r="81" spans="1:46" s="1588" customFormat="1" ht="26.25" customHeight="1">
      <c r="J81" s="1594"/>
      <c r="K81" s="1595"/>
      <c r="L81" s="1596"/>
      <c r="M81" s="64">
        <v>41</v>
      </c>
      <c r="N81" s="271" t="str">
        <f>DATA!L84</f>
        <v>Jambo Aye Multipurpose Dam Project</v>
      </c>
      <c r="O81" s="1402">
        <f>DATA!T84</f>
        <v>662200000</v>
      </c>
      <c r="P81" s="187">
        <f>DATA!U84</f>
        <v>662200000</v>
      </c>
      <c r="Q81" s="1446">
        <f>DATA!V84</f>
        <v>460700000</v>
      </c>
      <c r="R81" s="1446">
        <f>DATA!W84</f>
        <v>0</v>
      </c>
      <c r="S81" s="1447">
        <f t="shared" si="9"/>
        <v>1122900000</v>
      </c>
      <c r="T81" s="1605"/>
      <c r="U81" s="1606"/>
      <c r="V81" s="77">
        <f>DATA!AA84</f>
        <v>662200000</v>
      </c>
      <c r="W81" s="77">
        <f>DATA!AB84</f>
        <v>0</v>
      </c>
      <c r="X81" s="1607" t="str">
        <f>DATA!Y84</f>
        <v>Rupiah Murni</v>
      </c>
      <c r="Y81" s="88">
        <v>662200000</v>
      </c>
      <c r="Z81" s="88" t="s">
        <v>633</v>
      </c>
      <c r="AA81" s="1617" t="s">
        <v>879</v>
      </c>
      <c r="AB81" s="1618"/>
      <c r="AC81" s="836"/>
      <c r="AD81" s="2437"/>
      <c r="AE81" s="2437"/>
      <c r="AF81" s="2437"/>
      <c r="AG81" s="2439"/>
      <c r="AH81" s="260">
        <f>DATA!AT84</f>
        <v>662200000</v>
      </c>
      <c r="AI81" s="260" t="str">
        <f>DATA!AU84</f>
        <v>Belum Ada Indikasi</v>
      </c>
      <c r="AJ81" s="1544" t="str">
        <f>DATA!AW84</f>
        <v>-</v>
      </c>
      <c r="AK81" s="245">
        <f>DATA!AM84</f>
        <v>0</v>
      </c>
      <c r="AL81" s="1510" t="str">
        <f>DATA!AN84</f>
        <v>belum ada keterangan</v>
      </c>
      <c r="AM81" s="1510" t="str">
        <f>DATA!AO84</f>
        <v>dalam proses
(perencanaan)</v>
      </c>
      <c r="AN81" s="1545">
        <f>DATA!AQ84</f>
        <v>0</v>
      </c>
      <c r="AO81" s="1547" t="str">
        <f>DATA!AR84</f>
        <v>belum ada dokumen R/C</v>
      </c>
      <c r="AQ81" s="10">
        <f t="shared" si="5"/>
        <v>0</v>
      </c>
      <c r="AR81" s="10">
        <f t="shared" si="10"/>
        <v>0</v>
      </c>
      <c r="AS81" s="10">
        <f t="shared" si="11"/>
        <v>662200000</v>
      </c>
      <c r="AT81" s="10">
        <f t="shared" si="12"/>
        <v>0</v>
      </c>
    </row>
    <row r="82" spans="1:46" s="1588" customFormat="1" ht="51.75" customHeight="1">
      <c r="J82" s="1594"/>
      <c r="K82" s="1595"/>
      <c r="L82" s="1596"/>
      <c r="M82" s="64">
        <v>42</v>
      </c>
      <c r="N82" s="271" t="str">
        <f>DATA!L85</f>
        <v>Komering Multipurpose Dam Project - Phase II</v>
      </c>
      <c r="O82" s="1402">
        <f>DATA!T85</f>
        <v>200000000</v>
      </c>
      <c r="P82" s="187">
        <f>DATA!U85</f>
        <v>200000000</v>
      </c>
      <c r="Q82" s="1446">
        <f>DATA!V85</f>
        <v>20000000</v>
      </c>
      <c r="R82" s="1446">
        <f>DATA!W85</f>
        <v>0</v>
      </c>
      <c r="S82" s="1447">
        <f t="shared" si="9"/>
        <v>220000000</v>
      </c>
      <c r="T82" s="1605"/>
      <c r="U82" s="1606"/>
      <c r="V82" s="77">
        <f>DATA!AA85</f>
        <v>200000000</v>
      </c>
      <c r="W82" s="1608">
        <v>0</v>
      </c>
      <c r="X82" s="1607" t="str">
        <f>DATA!Y85</f>
        <v>Rupiah Murni</v>
      </c>
      <c r="Y82" s="88">
        <v>200000000</v>
      </c>
      <c r="Z82" s="88" t="s">
        <v>55</v>
      </c>
      <c r="AA82" s="1617" t="s">
        <v>879</v>
      </c>
      <c r="AB82" s="1618"/>
      <c r="AC82" s="836"/>
      <c r="AD82" s="2437"/>
      <c r="AE82" s="2437"/>
      <c r="AF82" s="2437"/>
      <c r="AG82" s="1508" t="s">
        <v>1183</v>
      </c>
      <c r="AH82" s="260">
        <f>DATA!AT85</f>
        <v>200000000</v>
      </c>
      <c r="AI82" s="260" t="str">
        <f>DATA!AU85</f>
        <v>Belum Ada Indikasi</v>
      </c>
      <c r="AJ82" s="1544" t="str">
        <f>DATA!AW85</f>
        <v>-</v>
      </c>
      <c r="AK82" s="245">
        <f>DATA!AM85</f>
        <v>0</v>
      </c>
      <c r="AL82" s="1510" t="str">
        <f>DATA!AN85</f>
        <v>dalam proses
(penyusunan FS)</v>
      </c>
      <c r="AM82" s="1510" t="str">
        <f>DATA!AO85</f>
        <v>dalam proses
(perencanaan)</v>
      </c>
      <c r="AN82" s="1545">
        <f>DATA!AQ85</f>
        <v>0</v>
      </c>
      <c r="AO82" s="1547" t="str">
        <f>DATA!AR85</f>
        <v>belum ada dokumen R/C</v>
      </c>
      <c r="AQ82" s="10">
        <f t="shared" si="5"/>
        <v>0</v>
      </c>
      <c r="AR82" s="10">
        <f t="shared" si="10"/>
        <v>200000000</v>
      </c>
      <c r="AS82" s="10">
        <f t="shared" si="11"/>
        <v>0</v>
      </c>
      <c r="AT82" s="10">
        <f t="shared" si="12"/>
        <v>0</v>
      </c>
    </row>
    <row r="83" spans="1:46" ht="135.75" customHeight="1">
      <c r="A83" s="10">
        <f>DATA!A86</f>
        <v>68</v>
      </c>
      <c r="B83" s="10">
        <f>DATA!B86</f>
        <v>0</v>
      </c>
      <c r="C83" s="10" t="str">
        <f>DATA!D86</f>
        <v>INFRASTRUKTUR</v>
      </c>
      <c r="D83" s="10">
        <f>DATA!E86</f>
        <v>1</v>
      </c>
      <c r="E83" s="10" t="str">
        <f>DATA!F86</f>
        <v>Kementerian Pekerjaan Umum dan Perumahan Rakyat</v>
      </c>
      <c r="F83" s="10" t="str">
        <f>DATA!H86</f>
        <v>Dam Development Program</v>
      </c>
      <c r="G83" s="10" t="str">
        <f>DATA!I86</f>
        <v>J</v>
      </c>
      <c r="H83" s="10" t="str">
        <f>DATA!J86</f>
        <v xml:space="preserve">Program Pembangunan Waduk </v>
      </c>
      <c r="I83" s="10">
        <f>DATA!K86</f>
        <v>3</v>
      </c>
      <c r="J83" s="181"/>
      <c r="K83" s="34"/>
      <c r="L83" s="34"/>
      <c r="M83" s="64">
        <v>43</v>
      </c>
      <c r="N83" s="199" t="str">
        <f>DATA!L86</f>
        <v>Pelosika Multipurpose Dam Construction Project</v>
      </c>
      <c r="O83" s="1402">
        <f>DATA!T86</f>
        <v>200000000</v>
      </c>
      <c r="P83" s="187">
        <f>DATA!U86</f>
        <v>200000000</v>
      </c>
      <c r="Q83" s="187">
        <f>DATA!V86</f>
        <v>170000000</v>
      </c>
      <c r="R83" s="1446">
        <f>BB[[#This Row],[HIBAH BB]]</f>
        <v>0</v>
      </c>
      <c r="S83" s="1447">
        <f t="shared" si="9"/>
        <v>370000000</v>
      </c>
      <c r="T83" s="1448"/>
      <c r="U83" s="1449" t="str">
        <f>DATA!Y86</f>
        <v>Rupiah Murni</v>
      </c>
      <c r="V83" s="77">
        <f>DATA!AA86</f>
        <v>200000000</v>
      </c>
      <c r="W83" s="77">
        <v>0</v>
      </c>
      <c r="X83" s="1450" t="str">
        <f>DATA!Y86</f>
        <v>Rupiah Murni</v>
      </c>
      <c r="Y83" s="88">
        <v>200000000</v>
      </c>
      <c r="Z83" s="88" t="s">
        <v>27</v>
      </c>
      <c r="AA83" s="1617" t="s">
        <v>879</v>
      </c>
      <c r="AB83" s="1618"/>
      <c r="AC83" s="836"/>
      <c r="AD83" s="2437"/>
      <c r="AE83" s="2437"/>
      <c r="AF83" s="2437"/>
      <c r="AG83" s="3257" t="s">
        <v>1194</v>
      </c>
      <c r="AH83" s="1509">
        <f>DATA!AT86</f>
        <v>200000000</v>
      </c>
      <c r="AI83" s="109" t="str">
        <f>DATA!AU86</f>
        <v>RRT</v>
      </c>
      <c r="AJ83" s="1544" t="str">
        <f>DATA!AW86</f>
        <v>-</v>
      </c>
      <c r="AK83" s="245">
        <f>DATA!AM86</f>
        <v>0</v>
      </c>
      <c r="AL83" s="1510" t="str">
        <f>DATA!AN86</f>
        <v>dalam proses
(penyusunan FS)</v>
      </c>
      <c r="AM83" s="1511" t="str">
        <f>DATA!AO86</f>
        <v>dalam proses
(perencanaan)</v>
      </c>
      <c r="AN83" s="1545">
        <f>DATA!AQ86</f>
        <v>0</v>
      </c>
      <c r="AO83" s="1547" t="str">
        <f>DATA!AR86</f>
        <v>belum ada dokumen R/C</v>
      </c>
      <c r="AQ83" s="10">
        <f t="shared" si="5"/>
        <v>200000000</v>
      </c>
      <c r="AR83" s="10">
        <f t="shared" si="10"/>
        <v>0</v>
      </c>
      <c r="AS83" s="10">
        <f t="shared" si="11"/>
        <v>0</v>
      </c>
      <c r="AT83" s="10">
        <f t="shared" si="12"/>
        <v>0</v>
      </c>
    </row>
    <row r="84" spans="1:46" ht="25.5">
      <c r="A84" s="10">
        <f>DATA!A87</f>
        <v>69</v>
      </c>
      <c r="B84" s="10">
        <f>DATA!B87</f>
        <v>0</v>
      </c>
      <c r="C84" s="10" t="str">
        <f>DATA!D87</f>
        <v>INFRASTRUKTUR</v>
      </c>
      <c r="D84" s="10">
        <f>DATA!E87</f>
        <v>1</v>
      </c>
      <c r="E84" s="10" t="str">
        <f>DATA!F87</f>
        <v>Kementerian Pekerjaan Umum dan Perumahan Rakyat</v>
      </c>
      <c r="F84" s="10" t="str">
        <f>DATA!H87</f>
        <v>Dam Development Program</v>
      </c>
      <c r="G84" s="10" t="str">
        <f>DATA!I87</f>
        <v>J</v>
      </c>
      <c r="H84" s="10" t="str">
        <f>DATA!J87</f>
        <v xml:space="preserve">Program Pembangunan Waduk </v>
      </c>
      <c r="I84" s="10">
        <f>DATA!K87</f>
        <v>4</v>
      </c>
      <c r="J84" s="181"/>
      <c r="K84" s="34"/>
      <c r="L84" s="34"/>
      <c r="M84" s="64">
        <v>44</v>
      </c>
      <c r="N84" s="199" t="str">
        <f>DATA!L87</f>
        <v>Lambakan  Dam Project</v>
      </c>
      <c r="O84" s="1402">
        <f>DATA!T87</f>
        <v>258000000</v>
      </c>
      <c r="P84" s="187">
        <f>DATA!U87</f>
        <v>258000000</v>
      </c>
      <c r="Q84" s="187">
        <f>DATA!V87</f>
        <v>227000000</v>
      </c>
      <c r="R84" s="1446">
        <f>BB[[#This Row],[HIBAH BB]]</f>
        <v>0</v>
      </c>
      <c r="S84" s="1447">
        <f t="shared" si="9"/>
        <v>485000000</v>
      </c>
      <c r="T84" s="1448"/>
      <c r="U84" s="1449" t="str">
        <f>DATA!Y87</f>
        <v>IDB</v>
      </c>
      <c r="V84" s="77">
        <f>DATA!AA87</f>
        <v>258000000</v>
      </c>
      <c r="W84" s="77">
        <v>0</v>
      </c>
      <c r="X84" s="1450" t="str">
        <f>DATA!Y87</f>
        <v>IDB</v>
      </c>
      <c r="Y84" s="88">
        <v>258000000</v>
      </c>
      <c r="Z84" s="88" t="s">
        <v>58</v>
      </c>
      <c r="AA84" s="1617" t="s">
        <v>879</v>
      </c>
      <c r="AB84" s="1618"/>
      <c r="AC84" s="836"/>
      <c r="AD84" s="2437"/>
      <c r="AE84" s="2437"/>
      <c r="AF84" s="2437"/>
      <c r="AG84" s="1508" t="s">
        <v>1156</v>
      </c>
      <c r="AH84" s="1509">
        <f>DATA!AT87</f>
        <v>258000000</v>
      </c>
      <c r="AI84" s="109" t="str">
        <f>DATA!AU87</f>
        <v>IDB</v>
      </c>
      <c r="AJ84" s="1544" t="str">
        <f>DATA!AW87</f>
        <v>-</v>
      </c>
      <c r="AK84" s="245">
        <f>DATA!AM87</f>
        <v>0</v>
      </c>
      <c r="AL84" s="1510" t="str">
        <f>DATA!AN87</f>
        <v>dalam proses
(penyusunan FS)</v>
      </c>
      <c r="AM84" s="1511" t="str">
        <f>DATA!AO87</f>
        <v>dalam proses
(perencanaan)</v>
      </c>
      <c r="AN84" s="1545">
        <f>DATA!AQ87</f>
        <v>0</v>
      </c>
      <c r="AO84" s="1547" t="str">
        <f>DATA!AR87</f>
        <v>belum ada dokumen R/C</v>
      </c>
      <c r="AQ84" s="10">
        <f t="shared" ref="AQ84:AQ147" si="13">IF(Z84="RRT",Y84,0)</f>
        <v>0</v>
      </c>
      <c r="AR84" s="10">
        <f t="shared" si="10"/>
        <v>0</v>
      </c>
      <c r="AS84" s="10">
        <f t="shared" si="11"/>
        <v>0</v>
      </c>
      <c r="AT84" s="10">
        <f t="shared" si="12"/>
        <v>0</v>
      </c>
    </row>
    <row r="85" spans="1:46" ht="101.25" customHeight="1">
      <c r="A85" s="10">
        <f>DATA!A88</f>
        <v>70</v>
      </c>
      <c r="B85" s="10">
        <f>DATA!B88</f>
        <v>0</v>
      </c>
      <c r="C85" s="10" t="str">
        <f>DATA!D88</f>
        <v>INFRASTRUKTUR</v>
      </c>
      <c r="D85" s="10">
        <f>DATA!E88</f>
        <v>1</v>
      </c>
      <c r="E85" s="10" t="str">
        <f>DATA!F88</f>
        <v>Kementerian Pekerjaan Umum dan Perumahan Rakyat</v>
      </c>
      <c r="F85" s="10" t="str">
        <f>DATA!H88</f>
        <v>Dam Development Program</v>
      </c>
      <c r="G85" s="10" t="str">
        <f>DATA!I88</f>
        <v>J</v>
      </c>
      <c r="H85" s="10" t="str">
        <f>DATA!J88</f>
        <v xml:space="preserve">Program Pembangunan Waduk </v>
      </c>
      <c r="I85" s="10">
        <f>DATA!K88</f>
        <v>5</v>
      </c>
      <c r="J85" s="181"/>
      <c r="K85" s="34"/>
      <c r="L85" s="34"/>
      <c r="M85" s="64">
        <v>45</v>
      </c>
      <c r="N85" s="199" t="str">
        <f>DATA!L88</f>
        <v>Jenelata Dam Construction Project</v>
      </c>
      <c r="O85" s="1402">
        <f>DATA!T88</f>
        <v>200000000</v>
      </c>
      <c r="P85" s="187">
        <f>DATA!U88</f>
        <v>200000000</v>
      </c>
      <c r="Q85" s="187">
        <f>DATA!V88</f>
        <v>20000000</v>
      </c>
      <c r="R85" s="1446">
        <f>BB[[#This Row],[HIBAH BB]]</f>
        <v>0</v>
      </c>
      <c r="S85" s="1447">
        <f t="shared" si="9"/>
        <v>220000000</v>
      </c>
      <c r="T85" s="1448"/>
      <c r="U85" s="1449" t="str">
        <f>DATA!Y88</f>
        <v>RRT</v>
      </c>
      <c r="V85" s="77">
        <f>DATA!AA88</f>
        <v>200000000</v>
      </c>
      <c r="W85" s="77">
        <v>0</v>
      </c>
      <c r="X85" s="1450" t="str">
        <f>DATA!Y88</f>
        <v>RRT</v>
      </c>
      <c r="Y85" s="88">
        <v>200000000</v>
      </c>
      <c r="Z85" s="88" t="s">
        <v>27</v>
      </c>
      <c r="AA85" s="1617" t="s">
        <v>879</v>
      </c>
      <c r="AB85" s="1618"/>
      <c r="AC85" s="836"/>
      <c r="AD85" s="2437"/>
      <c r="AE85" s="2437"/>
      <c r="AF85" s="2437"/>
      <c r="AG85" s="3257" t="s">
        <v>1195</v>
      </c>
      <c r="AH85" s="1509">
        <f>DATA!AT88</f>
        <v>200000000</v>
      </c>
      <c r="AI85" s="109" t="str">
        <f>DATA!AU88</f>
        <v>RRT</v>
      </c>
      <c r="AJ85" s="1544" t="str">
        <f>DATA!AW88</f>
        <v>-</v>
      </c>
      <c r="AK85" s="245">
        <f>DATA!AM88</f>
        <v>0</v>
      </c>
      <c r="AL85" s="1510" t="str">
        <f>DATA!AN88</f>
        <v>siap</v>
      </c>
      <c r="AM85" s="1511" t="str">
        <f>DATA!AO88</f>
        <v>dalam proses
(perencanaan)</v>
      </c>
      <c r="AN85" s="1545">
        <f>DATA!AQ88</f>
        <v>0</v>
      </c>
      <c r="AO85" s="1547" t="str">
        <f>DATA!AR88</f>
        <v>belum ada dokumen R/C</v>
      </c>
      <c r="AQ85" s="10">
        <f t="shared" si="13"/>
        <v>200000000</v>
      </c>
      <c r="AR85" s="10">
        <f t="shared" si="10"/>
        <v>0</v>
      </c>
      <c r="AS85" s="10">
        <f t="shared" si="11"/>
        <v>0</v>
      </c>
      <c r="AT85" s="10">
        <f t="shared" si="12"/>
        <v>0</v>
      </c>
    </row>
    <row r="86" spans="1:46" ht="25.5">
      <c r="A86" s="10">
        <f>DATA!A89</f>
        <v>71</v>
      </c>
      <c r="B86" s="10">
        <f>DATA!B89</f>
        <v>0</v>
      </c>
      <c r="C86" s="10" t="str">
        <f>DATA!D89</f>
        <v>INFRASTRUKTUR</v>
      </c>
      <c r="D86" s="10">
        <f>DATA!E89</f>
        <v>1</v>
      </c>
      <c r="E86" s="10" t="str">
        <f>DATA!F89</f>
        <v>Kementerian Pekerjaan Umum dan Perumahan Rakyat</v>
      </c>
      <c r="F86" s="10" t="str">
        <f>DATA!H89</f>
        <v>Dam Development Program</v>
      </c>
      <c r="G86" s="10" t="str">
        <f>DATA!I89</f>
        <v>J</v>
      </c>
      <c r="H86" s="10" t="str">
        <f>DATA!J89</f>
        <v xml:space="preserve">Program Pembangunan Waduk </v>
      </c>
      <c r="I86" s="10">
        <f>DATA!K89</f>
        <v>6</v>
      </c>
      <c r="J86" s="181"/>
      <c r="K86" s="34"/>
      <c r="L86" s="34"/>
      <c r="M86" s="64">
        <v>46</v>
      </c>
      <c r="N86" s="199" t="str">
        <f>DATA!L89</f>
        <v>Bonehulu Dam Construction Project</v>
      </c>
      <c r="O86" s="1402">
        <f>DATA!T89</f>
        <v>128250000</v>
      </c>
      <c r="P86" s="187">
        <f>DATA!U89</f>
        <v>128250000</v>
      </c>
      <c r="Q86" s="187">
        <f>DATA!V89</f>
        <v>21000000</v>
      </c>
      <c r="R86" s="1446">
        <f>BB[[#This Row],[HIBAH BB]]</f>
        <v>0</v>
      </c>
      <c r="S86" s="1447">
        <f t="shared" si="9"/>
        <v>149250000</v>
      </c>
      <c r="T86" s="1448"/>
      <c r="U86" s="1449" t="str">
        <f>DATA!Y89</f>
        <v>RRT</v>
      </c>
      <c r="V86" s="77">
        <f>DATA!AA89</f>
        <v>128250000</v>
      </c>
      <c r="W86" s="77">
        <v>0</v>
      </c>
      <c r="X86" s="1450" t="str">
        <f>DATA!Y89</f>
        <v>RRT</v>
      </c>
      <c r="Y86" s="88">
        <v>128250000</v>
      </c>
      <c r="Z86" s="88" t="s">
        <v>633</v>
      </c>
      <c r="AA86" s="1617" t="s">
        <v>879</v>
      </c>
      <c r="AB86" s="1618"/>
      <c r="AC86" s="836"/>
      <c r="AD86" s="2437"/>
      <c r="AE86" s="2437"/>
      <c r="AF86" s="2437"/>
      <c r="AG86" s="2439"/>
      <c r="AH86" s="1509">
        <f>DATA!AT89</f>
        <v>128250000</v>
      </c>
      <c r="AI86" s="109" t="str">
        <f>DATA!AU89</f>
        <v>RRT</v>
      </c>
      <c r="AJ86" s="1544" t="str">
        <f>DATA!AW89</f>
        <v>-</v>
      </c>
      <c r="AK86" s="245">
        <f>DATA!AM89</f>
        <v>0</v>
      </c>
      <c r="AL86" s="1510" t="str">
        <f>DATA!AN89</f>
        <v>dalam proses
(penyusunan FS)</v>
      </c>
      <c r="AM86" s="1511" t="str">
        <f>DATA!AO89</f>
        <v>dalam proses
(perencanaan)</v>
      </c>
      <c r="AN86" s="1545">
        <f>DATA!AQ89</f>
        <v>0</v>
      </c>
      <c r="AO86" s="1547" t="str">
        <f>DATA!AR89</f>
        <v>belum ada dokumen R/C</v>
      </c>
      <c r="AQ86" s="10">
        <f t="shared" si="13"/>
        <v>0</v>
      </c>
      <c r="AR86" s="10">
        <f t="shared" si="10"/>
        <v>0</v>
      </c>
      <c r="AS86" s="10">
        <f t="shared" si="11"/>
        <v>128250000</v>
      </c>
      <c r="AT86" s="10">
        <f t="shared" si="12"/>
        <v>0</v>
      </c>
    </row>
    <row r="87" spans="1:46" ht="25.5">
      <c r="A87" s="10">
        <f>DATA!A90</f>
        <v>72</v>
      </c>
      <c r="B87" s="10">
        <f>DATA!B90</f>
        <v>0</v>
      </c>
      <c r="C87" s="10" t="str">
        <f>DATA!D90</f>
        <v>INFRASTRUKTUR</v>
      </c>
      <c r="D87" s="10">
        <f>DATA!E90</f>
        <v>1</v>
      </c>
      <c r="E87" s="10" t="str">
        <f>DATA!F90</f>
        <v>Kementerian Pekerjaan Umum dan Perumahan Rakyat</v>
      </c>
      <c r="F87" s="10" t="str">
        <f>DATA!H90</f>
        <v>Dam Development Program</v>
      </c>
      <c r="G87" s="10" t="str">
        <f>DATA!I90</f>
        <v>J</v>
      </c>
      <c r="H87" s="10" t="str">
        <f>DATA!J90</f>
        <v xml:space="preserve">Program Pembangunan Waduk </v>
      </c>
      <c r="I87" s="10">
        <f>DATA!K90</f>
        <v>7</v>
      </c>
      <c r="J87" s="181"/>
      <c r="K87" s="34"/>
      <c r="L87" s="34"/>
      <c r="M87" s="64">
        <v>47</v>
      </c>
      <c r="N87" s="199" t="str">
        <f>DATA!L90</f>
        <v>Ladongi Dam Construction Project</v>
      </c>
      <c r="O87" s="1402">
        <f>DATA!T90</f>
        <v>70000000</v>
      </c>
      <c r="P87" s="187">
        <f>DATA!U90</f>
        <v>70000000</v>
      </c>
      <c r="Q87" s="187">
        <f>DATA!V90</f>
        <v>7000000</v>
      </c>
      <c r="R87" s="1446">
        <f>BB[[#This Row],[HIBAH BB]]</f>
        <v>0</v>
      </c>
      <c r="S87" s="1447">
        <f t="shared" si="9"/>
        <v>77000000</v>
      </c>
      <c r="T87" s="1448"/>
      <c r="U87" s="1449" t="str">
        <f>DATA!Y90</f>
        <v>RRT</v>
      </c>
      <c r="V87" s="77">
        <f>DATA!AA90</f>
        <v>70000000</v>
      </c>
      <c r="W87" s="77">
        <v>0</v>
      </c>
      <c r="X87" s="1450" t="str">
        <f>DATA!Y90</f>
        <v>RRT</v>
      </c>
      <c r="Y87" s="88">
        <v>70000000</v>
      </c>
      <c r="Z87" s="88" t="s">
        <v>633</v>
      </c>
      <c r="AA87" s="1617" t="s">
        <v>879</v>
      </c>
      <c r="AB87" s="1618"/>
      <c r="AC87" s="836"/>
      <c r="AD87" s="2437"/>
      <c r="AE87" s="2437"/>
      <c r="AF87" s="2437"/>
      <c r="AG87" s="2439"/>
      <c r="AH87" s="1509">
        <f>DATA!AT90</f>
        <v>70000000</v>
      </c>
      <c r="AI87" s="109" t="str">
        <f>DATA!AU90</f>
        <v>RRT</v>
      </c>
      <c r="AJ87" s="1544" t="str">
        <f>DATA!AW90</f>
        <v>-</v>
      </c>
      <c r="AK87" s="245">
        <f>DATA!AM90</f>
        <v>0</v>
      </c>
      <c r="AL87" s="1510" t="str">
        <f>DATA!AN90</f>
        <v>siap</v>
      </c>
      <c r="AM87" s="1511" t="str">
        <f>DATA!AO90</f>
        <v>dalam proses
(perencanaan)</v>
      </c>
      <c r="AN87" s="1545">
        <f>DATA!AQ90</f>
        <v>0</v>
      </c>
      <c r="AO87" s="1547" t="str">
        <f>DATA!AR90</f>
        <v>belum ada dokumen R/C</v>
      </c>
      <c r="AQ87" s="10">
        <f t="shared" si="13"/>
        <v>0</v>
      </c>
      <c r="AR87" s="10">
        <f t="shared" si="10"/>
        <v>0</v>
      </c>
      <c r="AS87" s="10">
        <f t="shared" si="11"/>
        <v>70000000</v>
      </c>
      <c r="AT87" s="10">
        <f t="shared" si="12"/>
        <v>0</v>
      </c>
    </row>
    <row r="88" spans="1:46" ht="33" customHeight="1">
      <c r="J88" s="181"/>
      <c r="K88" s="34"/>
      <c r="L88" s="34"/>
      <c r="M88" s="64">
        <v>48</v>
      </c>
      <c r="N88" s="199" t="str">
        <f>DATA!L91</f>
        <v>Kuwil Kawangkoan Dam Construction Project</v>
      </c>
      <c r="O88" s="1402">
        <f>DATA!T91</f>
        <v>110000000</v>
      </c>
      <c r="P88" s="187">
        <f>DATA!U91</f>
        <v>110000000</v>
      </c>
      <c r="Q88" s="187">
        <f>DATA!V91</f>
        <v>11000000</v>
      </c>
      <c r="R88" s="187">
        <f>DATA!W91</f>
        <v>0</v>
      </c>
      <c r="S88" s="1447">
        <f t="shared" si="9"/>
        <v>121000000</v>
      </c>
      <c r="T88" s="1448"/>
      <c r="U88" s="1449"/>
      <c r="V88" s="77">
        <f>DATA!AA91</f>
        <v>110000000</v>
      </c>
      <c r="W88" s="77"/>
      <c r="X88" s="1450" t="str">
        <f>DATA!Y91</f>
        <v>Rupiah Murni</v>
      </c>
      <c r="Y88" s="88">
        <v>110000000</v>
      </c>
      <c r="Z88" s="88" t="s">
        <v>633</v>
      </c>
      <c r="AA88" s="1617" t="s">
        <v>879</v>
      </c>
      <c r="AB88" s="1618"/>
      <c r="AC88" s="836"/>
      <c r="AD88" s="2437"/>
      <c r="AE88" s="2437"/>
      <c r="AF88" s="2437"/>
      <c r="AG88" s="1508" t="s">
        <v>1196</v>
      </c>
      <c r="AH88" s="1509">
        <f>DATA!AT91</f>
        <v>110000000</v>
      </c>
      <c r="AI88" s="109" t="str">
        <f>DATA!AU91</f>
        <v>Belum Ada Indikasi</v>
      </c>
      <c r="AJ88" s="1544" t="str">
        <f>DATA!AW91</f>
        <v>-</v>
      </c>
      <c r="AK88" s="245">
        <f>DATA!AM91</f>
        <v>0</v>
      </c>
      <c r="AL88" s="1510"/>
      <c r="AM88" s="1511"/>
      <c r="AN88" s="1545">
        <f>DATA!AQ91</f>
        <v>0</v>
      </c>
      <c r="AO88" s="1547" t="str">
        <f>DATA!AR91</f>
        <v>belum ada dokumen R/C</v>
      </c>
      <c r="AQ88" s="10">
        <f t="shared" si="13"/>
        <v>0</v>
      </c>
      <c r="AR88" s="10">
        <f t="shared" si="10"/>
        <v>0</v>
      </c>
      <c r="AS88" s="10">
        <f t="shared" si="11"/>
        <v>110000000</v>
      </c>
      <c r="AT88" s="10">
        <f t="shared" si="12"/>
        <v>0</v>
      </c>
    </row>
    <row r="89" spans="1:46" ht="99.75" customHeight="1">
      <c r="A89" s="10">
        <f>DATA!A92</f>
        <v>74</v>
      </c>
      <c r="B89" s="10">
        <f>DATA!B92</f>
        <v>0</v>
      </c>
      <c r="C89" s="10" t="str">
        <f>DATA!D92</f>
        <v>INFRASTRUKTUR</v>
      </c>
      <c r="D89" s="10">
        <f>DATA!E92</f>
        <v>1</v>
      </c>
      <c r="E89" s="10" t="str">
        <f>DATA!F92</f>
        <v>Kementerian Pekerjaan Umum dan Perumahan Rakyat</v>
      </c>
      <c r="F89" s="10" t="str">
        <f>DATA!H92</f>
        <v>Dam Development Program</v>
      </c>
      <c r="G89" s="10" t="str">
        <f>DATA!I92</f>
        <v>J</v>
      </c>
      <c r="H89" s="10" t="str">
        <f>DATA!J92</f>
        <v xml:space="preserve">Program Pembangunan Waduk </v>
      </c>
      <c r="I89" s="10">
        <f>DATA!K92</f>
        <v>9</v>
      </c>
      <c r="J89" s="181"/>
      <c r="K89" s="34"/>
      <c r="L89" s="34"/>
      <c r="M89" s="64">
        <v>49</v>
      </c>
      <c r="N89" s="199" t="str">
        <f>DATA!L92</f>
        <v>Lompatan Harimau Dam Construction Project (Rokan Kiri Dam Construction Project)</v>
      </c>
      <c r="O89" s="1402">
        <f>DATA!T92</f>
        <v>152100000</v>
      </c>
      <c r="P89" s="187">
        <f>DATA!U92</f>
        <v>152100000</v>
      </c>
      <c r="Q89" s="187">
        <f>DATA!V92</f>
        <v>26500000</v>
      </c>
      <c r="R89" s="1446">
        <f>DATA!W92</f>
        <v>0</v>
      </c>
      <c r="S89" s="1447">
        <f t="shared" si="9"/>
        <v>178600000</v>
      </c>
      <c r="T89" s="1448"/>
      <c r="U89" s="1449" t="str">
        <f>DATA!Y92</f>
        <v>RRT</v>
      </c>
      <c r="V89" s="77">
        <f>DATA!AA92</f>
        <v>152100000</v>
      </c>
      <c r="W89" s="77">
        <v>0</v>
      </c>
      <c r="X89" s="1450" t="str">
        <f>DATA!Y92</f>
        <v>RRT</v>
      </c>
      <c r="Y89" s="88">
        <v>152100000</v>
      </c>
      <c r="Z89" s="88" t="s">
        <v>27</v>
      </c>
      <c r="AA89" s="1617" t="s">
        <v>879</v>
      </c>
      <c r="AB89" s="1618"/>
      <c r="AC89" s="836"/>
      <c r="AD89" s="2437"/>
      <c r="AE89" s="2437"/>
      <c r="AF89" s="2437"/>
      <c r="AG89" s="3257" t="s">
        <v>1197</v>
      </c>
      <c r="AH89" s="1509">
        <f>DATA!AT92</f>
        <v>152100000</v>
      </c>
      <c r="AI89" s="109" t="str">
        <f>DATA!AU92</f>
        <v>RRT</v>
      </c>
      <c r="AJ89" s="1544" t="str">
        <f>DATA!AW92</f>
        <v>-</v>
      </c>
      <c r="AK89" s="245">
        <f>DATA!AM92</f>
        <v>0</v>
      </c>
      <c r="AL89" s="1510" t="str">
        <f>DATA!AN92</f>
        <v>dalam proses
(memiliki FS)</v>
      </c>
      <c r="AM89" s="1511" t="str">
        <f>DATA!AO92</f>
        <v>dalam proses
(perencanaan)</v>
      </c>
      <c r="AN89" s="1545">
        <f>DATA!AQ92</f>
        <v>0</v>
      </c>
      <c r="AO89" s="1547" t="str">
        <f>DATA!AR92</f>
        <v>belum ada dokumen R/C</v>
      </c>
      <c r="AQ89" s="10">
        <f t="shared" si="13"/>
        <v>152100000</v>
      </c>
      <c r="AR89" s="10">
        <f t="shared" si="10"/>
        <v>0</v>
      </c>
      <c r="AS89" s="10">
        <f t="shared" si="11"/>
        <v>0</v>
      </c>
      <c r="AT89" s="10">
        <f t="shared" si="12"/>
        <v>0</v>
      </c>
    </row>
    <row r="90" spans="1:46" ht="23.25" customHeight="1">
      <c r="A90" s="10">
        <f>DATA!A97</f>
        <v>76</v>
      </c>
      <c r="B90" s="10">
        <f>DATA!B97</f>
        <v>0</v>
      </c>
      <c r="C90" s="10" t="str">
        <f>DATA!D97</f>
        <v>INFRASTRUKTUR</v>
      </c>
      <c r="D90" s="10">
        <f>DATA!E97</f>
        <v>1</v>
      </c>
      <c r="E90" s="10" t="str">
        <f>DATA!F97</f>
        <v>Kementerian Pekerjaan Umum dan Perumahan Rakyat</v>
      </c>
      <c r="F90" s="10" t="str">
        <f>DATA!H97</f>
        <v>Dam Development Program</v>
      </c>
      <c r="G90" s="10" t="str">
        <f>DATA!I97</f>
        <v>J</v>
      </c>
      <c r="H90" s="10" t="str">
        <f>DATA!J97</f>
        <v xml:space="preserve">Program Pembangunan Waduk </v>
      </c>
      <c r="I90" s="10">
        <f>DATA!K97</f>
        <v>11</v>
      </c>
      <c r="J90" s="181"/>
      <c r="K90" s="34"/>
      <c r="L90" s="34"/>
      <c r="M90" s="64">
        <v>50</v>
      </c>
      <c r="N90" s="199" t="str">
        <f>DATA!L97</f>
        <v>Additional Loan for Jatigede Dam Project 2</v>
      </c>
      <c r="O90" s="1402">
        <f>DATA!T97</f>
        <v>53200000</v>
      </c>
      <c r="P90" s="187">
        <f>DATA!U97</f>
        <v>53200000</v>
      </c>
      <c r="Q90" s="1446">
        <f>DATA!V97</f>
        <v>0</v>
      </c>
      <c r="R90" s="1446">
        <f>DATA!W97</f>
        <v>0</v>
      </c>
      <c r="S90" s="1447">
        <f t="shared" si="9"/>
        <v>53200000</v>
      </c>
      <c r="T90" s="1448"/>
      <c r="U90" s="1449" t="str">
        <f>DATA!Y97</f>
        <v>RRT</v>
      </c>
      <c r="V90" s="77">
        <f>DATA!AA97</f>
        <v>53200000</v>
      </c>
      <c r="W90" s="77">
        <v>0</v>
      </c>
      <c r="X90" s="1450" t="str">
        <f>DATA!Y97</f>
        <v>RRT</v>
      </c>
      <c r="Y90" s="88">
        <v>53200000</v>
      </c>
      <c r="Z90" s="88" t="s">
        <v>633</v>
      </c>
      <c r="AA90" s="1617" t="s">
        <v>879</v>
      </c>
      <c r="AB90" s="1618"/>
      <c r="AC90" s="836"/>
      <c r="AD90" s="2437"/>
      <c r="AE90" s="2437"/>
      <c r="AF90" s="2437"/>
      <c r="AG90" s="2439"/>
      <c r="AH90" s="1509">
        <f>DATA!AT97</f>
        <v>53200000</v>
      </c>
      <c r="AI90" s="109" t="str">
        <f>DATA!AU97</f>
        <v>RRT</v>
      </c>
      <c r="AJ90" s="1544" t="str">
        <f>DATA!AW97</f>
        <v>-</v>
      </c>
      <c r="AK90" s="1625">
        <f>DATA!AM97</f>
        <v>2015</v>
      </c>
      <c r="AL90" s="1510" t="str">
        <f>DATA!AN97</f>
        <v>dalam proses
(memiliki FS dan DED)</v>
      </c>
      <c r="AM90" s="1511" t="str">
        <f>DATA!AO97</f>
        <v>dalam proses
(persiapan)</v>
      </c>
      <c r="AN90" s="1545">
        <f>DATA!AQ97</f>
        <v>0</v>
      </c>
      <c r="AO90" s="1547" t="str">
        <f>DATA!AR97</f>
        <v>-</v>
      </c>
      <c r="AQ90" s="10">
        <f t="shared" si="13"/>
        <v>0</v>
      </c>
      <c r="AR90" s="10">
        <f t="shared" si="10"/>
        <v>0</v>
      </c>
      <c r="AS90" s="10">
        <f t="shared" si="11"/>
        <v>53200000</v>
      </c>
      <c r="AT90" s="10">
        <f t="shared" si="12"/>
        <v>0</v>
      </c>
    </row>
    <row r="91" spans="1:46" ht="56.25" customHeight="1">
      <c r="J91" s="181"/>
      <c r="K91" s="34"/>
      <c r="L91" s="34"/>
      <c r="M91" s="3399">
        <v>51</v>
      </c>
      <c r="N91" s="3569" t="s">
        <v>214</v>
      </c>
      <c r="O91" s="3598">
        <v>100000000</v>
      </c>
      <c r="P91" s="3411">
        <v>100000000</v>
      </c>
      <c r="Q91" s="3443"/>
      <c r="R91" s="3443"/>
      <c r="S91" s="3603"/>
      <c r="T91" s="3611"/>
      <c r="U91" s="1509" t="str">
        <f>DATA!Y95</f>
        <v>Korea</v>
      </c>
      <c r="V91" s="77">
        <f>DATA!AA95</f>
        <v>21678596</v>
      </c>
      <c r="W91" s="77">
        <v>0</v>
      </c>
      <c r="X91" s="1450" t="str">
        <f>DATA!Y95</f>
        <v>Korea</v>
      </c>
      <c r="Y91" s="618">
        <v>21610980</v>
      </c>
      <c r="Z91" s="109" t="s">
        <v>28</v>
      </c>
      <c r="AA91" s="3254" t="s">
        <v>1198</v>
      </c>
      <c r="AB91" s="1474"/>
      <c r="AC91" s="1475"/>
      <c r="AD91" s="1476"/>
      <c r="AE91" s="1476"/>
      <c r="AF91" s="1476"/>
      <c r="AG91" s="1662" t="s">
        <v>1199</v>
      </c>
      <c r="AH91" s="1509">
        <f>DATA!AT95</f>
        <v>21678596</v>
      </c>
      <c r="AI91" s="109" t="str">
        <f>DATA!AU95</f>
        <v>Korea</v>
      </c>
      <c r="AJ91" s="1544" t="str">
        <f>DATA!AW95</f>
        <v>- co-financing dengan ADB (USD 1,9 juta) dan belum ada indikasi (USD 76,4 juta)
- masuk rolling plan EDCF (Korea)</v>
      </c>
      <c r="AK91" s="1625">
        <f>DATA!AM95</f>
        <v>2016</v>
      </c>
      <c r="AL91" s="3502"/>
      <c r="AM91" s="3502"/>
      <c r="AN91" s="1545">
        <f>DATA!AQ95</f>
        <v>0</v>
      </c>
      <c r="AO91" s="1547" t="str">
        <f>DATA!AR95</f>
        <v>-</v>
      </c>
      <c r="AQ91" s="10">
        <f t="shared" si="13"/>
        <v>0</v>
      </c>
      <c r="AR91" s="10">
        <f t="shared" si="10"/>
        <v>0</v>
      </c>
      <c r="AS91" s="10">
        <f t="shared" si="11"/>
        <v>0</v>
      </c>
      <c r="AT91" s="10">
        <f t="shared" si="12"/>
        <v>21610980</v>
      </c>
    </row>
    <row r="92" spans="1:46" ht="30.75" customHeight="1">
      <c r="J92" s="181"/>
      <c r="K92" s="34"/>
      <c r="L92" s="34"/>
      <c r="M92" s="3574"/>
      <c r="N92" s="3570"/>
      <c r="O92" s="3500"/>
      <c r="P92" s="3602"/>
      <c r="Q92" s="3445"/>
      <c r="R92" s="3445"/>
      <c r="S92" s="3604"/>
      <c r="T92" s="3612"/>
      <c r="U92" s="1509" t="str">
        <f>DATA!Y96</f>
        <v>Belum Ada Indikasi</v>
      </c>
      <c r="V92" s="77">
        <v>0</v>
      </c>
      <c r="W92" s="77">
        <f>DATA!AA96</f>
        <v>76391404</v>
      </c>
      <c r="X92" s="1450" t="str">
        <f>DATA!Y96</f>
        <v>Belum Ada Indikasi</v>
      </c>
      <c r="Y92" s="618">
        <f>98070000-Y91</f>
        <v>76459020</v>
      </c>
      <c r="Z92" s="109" t="s">
        <v>633</v>
      </c>
      <c r="AA92" s="1484" t="s">
        <v>879</v>
      </c>
      <c r="AB92" s="828"/>
      <c r="AC92" s="1485"/>
      <c r="AD92" s="1486"/>
      <c r="AE92" s="1486"/>
      <c r="AF92" s="1486"/>
      <c r="AG92" s="1514"/>
      <c r="AH92" s="1509">
        <f>DATA!AT96</f>
        <v>76391404</v>
      </c>
      <c r="AI92" s="109" t="str">
        <f>DATA!AU96</f>
        <v>Belum Ada Indikasi</v>
      </c>
      <c r="AJ92" s="1544" t="str">
        <f>DATA!AW96</f>
        <v>co-financing dengan Korea (USD 21,7 juta) dan ADB (USD 1,9 juta)</v>
      </c>
      <c r="AK92" s="245">
        <f>DATA!AM96</f>
        <v>0</v>
      </c>
      <c r="AL92" s="3503"/>
      <c r="AM92" s="3503"/>
      <c r="AN92" s="1545">
        <f>DATA!AQ96</f>
        <v>0</v>
      </c>
      <c r="AO92" s="1547" t="str">
        <f>DATA!AR96</f>
        <v>belum ada dokumen R/C</v>
      </c>
      <c r="AQ92" s="10">
        <f t="shared" si="13"/>
        <v>0</v>
      </c>
      <c r="AR92" s="10">
        <f t="shared" si="10"/>
        <v>0</v>
      </c>
      <c r="AS92" s="10">
        <f t="shared" si="11"/>
        <v>76459020</v>
      </c>
      <c r="AT92" s="10">
        <f t="shared" si="12"/>
        <v>0</v>
      </c>
    </row>
    <row r="93" spans="1:46" s="5" customFormat="1" ht="33.75" customHeight="1">
      <c r="J93" s="180"/>
      <c r="K93" s="50"/>
      <c r="L93" s="30" t="s">
        <v>238</v>
      </c>
      <c r="M93" s="31" t="str">
        <f>DATA!J98</f>
        <v>Program Mitigasi Terhadap Daya Rusak Air</v>
      </c>
      <c r="N93" s="1419"/>
      <c r="O93" s="214" t="e">
        <f>+O94+O95+#REF!+O96+O97+#REF!+O98+#REF!</f>
        <v>#REF!</v>
      </c>
      <c r="P93" s="197" t="e">
        <f>+P94+P95+#REF!+P96+P97+#REF!+P98+#REF!</f>
        <v>#REF!</v>
      </c>
      <c r="Q93" s="197">
        <f>SUM(Q94:Q100)</f>
        <v>84400000</v>
      </c>
      <c r="R93" s="197" t="e">
        <f>+R94+R95+#REF!+R96+R97+#REF!+R98+#REF!</f>
        <v>#REF!</v>
      </c>
      <c r="S93" s="244" t="e">
        <f t="shared" ref="S93:S98" si="14">P93+Q93+R93</f>
        <v>#REF!</v>
      </c>
      <c r="T93" s="1437"/>
      <c r="U93" s="198"/>
      <c r="V93" s="81" t="e">
        <f>+V94+V95+#REF!+V96+V97+#REF!+V98+#REF!+V99+V100</f>
        <v>#REF!</v>
      </c>
      <c r="W93" s="81" t="e">
        <f>+W94+W95+#REF!+W96+W97+#REF!+W98+#REF!+W99+W100</f>
        <v>#REF!</v>
      </c>
      <c r="X93" s="243"/>
      <c r="Y93" s="81">
        <f>Y94+Y95+Y96+Y97+Y98+Y99+Y100</f>
        <v>884316000</v>
      </c>
      <c r="Z93" s="81"/>
      <c r="AA93" s="1469"/>
      <c r="AB93" s="1470"/>
      <c r="AC93" s="1471"/>
      <c r="AD93" s="1472"/>
      <c r="AE93" s="1472"/>
      <c r="AF93" s="1472"/>
      <c r="AG93" s="1504"/>
      <c r="AH93" s="198" t="e">
        <f>+AH94+AH95+#REF!+AH96+AH97+#REF!+AH98+#REF!+AH99+AH100</f>
        <v>#REF!</v>
      </c>
      <c r="AI93" s="81" t="s">
        <v>21</v>
      </c>
      <c r="AJ93" s="214"/>
      <c r="AK93" s="1505"/>
      <c r="AL93" s="1506"/>
      <c r="AM93" s="169"/>
      <c r="AN93" s="1507"/>
      <c r="AO93" s="1530"/>
      <c r="AQ93" s="10">
        <f t="shared" si="13"/>
        <v>0</v>
      </c>
      <c r="AR93" s="10">
        <f t="shared" si="10"/>
        <v>0</v>
      </c>
      <c r="AS93" s="10">
        <f t="shared" si="11"/>
        <v>0</v>
      </c>
      <c r="AT93" s="10">
        <f t="shared" si="12"/>
        <v>0</v>
      </c>
    </row>
    <row r="94" spans="1:46" ht="45" customHeight="1">
      <c r="A94" s="10">
        <f>DATA!A98</f>
        <v>77</v>
      </c>
      <c r="B94" s="10">
        <f>DATA!B98</f>
        <v>0</v>
      </c>
      <c r="C94" s="10" t="str">
        <f>DATA!D98</f>
        <v>INFRASTRUKTUR</v>
      </c>
      <c r="D94" s="10">
        <f>DATA!E98</f>
        <v>1</v>
      </c>
      <c r="E94" s="10" t="str">
        <f>DATA!F98</f>
        <v>Kementerian Pekerjaan Umum dan Perumahan Rakyat</v>
      </c>
      <c r="F94" s="10" t="str">
        <f>DATA!H98</f>
        <v>Mitigation of Water Hazards Program</v>
      </c>
      <c r="G94" s="10" t="str">
        <f>DATA!I98</f>
        <v>K</v>
      </c>
      <c r="H94" s="10" t="str">
        <f>DATA!J98</f>
        <v>Program Mitigasi Terhadap Daya Rusak Air</v>
      </c>
      <c r="I94" s="10">
        <f>DATA!K98</f>
        <v>1</v>
      </c>
      <c r="J94" s="181"/>
      <c r="K94" s="34"/>
      <c r="L94" s="35"/>
      <c r="M94" s="36">
        <v>52</v>
      </c>
      <c r="N94" s="199" t="str">
        <f>DATA!L98</f>
        <v>Lower Solo River Improvement Project - Phase II</v>
      </c>
      <c r="O94" s="1402">
        <f>DATA!T98</f>
        <v>155836000</v>
      </c>
      <c r="P94" s="187">
        <f>DATA!U98</f>
        <v>155836000</v>
      </c>
      <c r="Q94" s="1446">
        <f>DATA!V98</f>
        <v>22500000</v>
      </c>
      <c r="R94" s="1446">
        <f>DATA!W98</f>
        <v>0</v>
      </c>
      <c r="S94" s="1447">
        <f t="shared" si="14"/>
        <v>178336000</v>
      </c>
      <c r="T94" s="1448"/>
      <c r="U94" s="1449" t="str">
        <f>DATA!Y98</f>
        <v>JICA</v>
      </c>
      <c r="V94" s="77">
        <f>DATA!AA98</f>
        <v>155836000</v>
      </c>
      <c r="W94" s="77">
        <v>0</v>
      </c>
      <c r="X94" s="1450" t="str">
        <f>DATA!Y98</f>
        <v>JICA</v>
      </c>
      <c r="Y94" s="109">
        <v>155836000</v>
      </c>
      <c r="Z94" s="109" t="s">
        <v>55</v>
      </c>
      <c r="AA94" s="1484" t="s">
        <v>879</v>
      </c>
      <c r="AB94" s="828"/>
      <c r="AC94" s="1485"/>
      <c r="AD94" s="1486"/>
      <c r="AE94" s="1486"/>
      <c r="AF94" s="1486"/>
      <c r="AG94" s="1508" t="s">
        <v>1183</v>
      </c>
      <c r="AH94" s="1509">
        <f>DATA!AT98</f>
        <v>155836000</v>
      </c>
      <c r="AI94" s="109" t="str">
        <f>DATA!AU98</f>
        <v>JICA</v>
      </c>
      <c r="AJ94" s="1544" t="str">
        <f>DATA!AW98</f>
        <v>-</v>
      </c>
      <c r="AK94" s="245">
        <f>DATA!AM98</f>
        <v>0</v>
      </c>
      <c r="AL94" s="1510" t="str">
        <f>DATA!AN98</f>
        <v>siap</v>
      </c>
      <c r="AM94" s="1511" t="str">
        <f>DATA!AO98</f>
        <v>dalam proses
(perencanaan)</v>
      </c>
      <c r="AN94" s="1545">
        <f>DATA!AQ98</f>
        <v>0</v>
      </c>
      <c r="AO94" s="1547" t="str">
        <f>DATA!AR98</f>
        <v>belum ada dokumen R/C</v>
      </c>
      <c r="AQ94" s="10">
        <f t="shared" si="13"/>
        <v>0</v>
      </c>
      <c r="AR94" s="10">
        <f t="shared" si="10"/>
        <v>155836000</v>
      </c>
      <c r="AS94" s="10">
        <f t="shared" si="11"/>
        <v>0</v>
      </c>
      <c r="AT94" s="10">
        <f t="shared" si="12"/>
        <v>0</v>
      </c>
    </row>
    <row r="95" spans="1:46" ht="52.5" customHeight="1">
      <c r="A95" s="10">
        <f>DATA!A99</f>
        <v>78</v>
      </c>
      <c r="B95" s="10">
        <f>DATA!B99</f>
        <v>0</v>
      </c>
      <c r="C95" s="10" t="str">
        <f>DATA!D99</f>
        <v>INFRASTRUKTUR</v>
      </c>
      <c r="D95" s="10">
        <f>DATA!E99</f>
        <v>1</v>
      </c>
      <c r="E95" s="10" t="str">
        <f>DATA!F99</f>
        <v>Kementerian Pekerjaan Umum dan Perumahan Rakyat</v>
      </c>
      <c r="F95" s="10" t="str">
        <f>DATA!H99</f>
        <v>Mitigation of Water Hazards Program</v>
      </c>
      <c r="G95" s="10" t="str">
        <f>DATA!I99</f>
        <v>K</v>
      </c>
      <c r="H95" s="10" t="str">
        <f>DATA!J99</f>
        <v>Program Mitigasi Terhadap Daya Rusak Air</v>
      </c>
      <c r="I95" s="10">
        <f>DATA!K99</f>
        <v>2</v>
      </c>
      <c r="J95" s="181"/>
      <c r="K95" s="34"/>
      <c r="L95" s="34"/>
      <c r="M95" s="36">
        <v>53</v>
      </c>
      <c r="N95" s="199" t="str">
        <f>DATA!L99</f>
        <v>Comprehensive Countermeasure for Sediment &amp; Flood Problems in South Sulawesi Province</v>
      </c>
      <c r="O95" s="1402">
        <f>DATA!T99</f>
        <v>108100000</v>
      </c>
      <c r="P95" s="187">
        <f>DATA!U99</f>
        <v>108100000</v>
      </c>
      <c r="Q95" s="1446">
        <f>DATA!V99</f>
        <v>3900000</v>
      </c>
      <c r="R95" s="1446">
        <f>DATA!W99</f>
        <v>0</v>
      </c>
      <c r="S95" s="1447">
        <f t="shared" si="14"/>
        <v>112000000</v>
      </c>
      <c r="T95" s="1448"/>
      <c r="U95" s="1449" t="str">
        <f>DATA!Y99</f>
        <v>JICA</v>
      </c>
      <c r="V95" s="77">
        <f>DATA!AA99</f>
        <v>108100000</v>
      </c>
      <c r="W95" s="77">
        <v>0</v>
      </c>
      <c r="X95" s="1450" t="str">
        <f>DATA!Y99</f>
        <v>JICA</v>
      </c>
      <c r="Y95" s="109">
        <v>108100000</v>
      </c>
      <c r="Z95" s="109" t="s">
        <v>55</v>
      </c>
      <c r="AA95" s="1484" t="s">
        <v>879</v>
      </c>
      <c r="AB95" s="828"/>
      <c r="AC95" s="1485"/>
      <c r="AD95" s="1486"/>
      <c r="AE95" s="1486"/>
      <c r="AF95" s="1486"/>
      <c r="AG95" s="1508" t="s">
        <v>1183</v>
      </c>
      <c r="AH95" s="1509">
        <f>DATA!AT99</f>
        <v>108100000</v>
      </c>
      <c r="AI95" s="109" t="str">
        <f>DATA!AU99</f>
        <v>JICA</v>
      </c>
      <c r="AJ95" s="1544" t="str">
        <f>DATA!AW99</f>
        <v>-</v>
      </c>
      <c r="AK95" s="245">
        <f>DATA!AM99</f>
        <v>0</v>
      </c>
      <c r="AL95" s="1510" t="str">
        <f>DATA!AN99</f>
        <v>dalam proses
(memiliki FS dan DED)</v>
      </c>
      <c r="AM95" s="1511" t="str">
        <f>DATA!AO99</f>
        <v>belum ada keterangan</v>
      </c>
      <c r="AN95" s="1545">
        <f>DATA!AQ99</f>
        <v>0</v>
      </c>
      <c r="AO95" s="1547" t="str">
        <f>DATA!AR99</f>
        <v>belum ada dokumen R/C</v>
      </c>
      <c r="AQ95" s="10">
        <f t="shared" si="13"/>
        <v>0</v>
      </c>
      <c r="AR95" s="10">
        <f t="shared" si="10"/>
        <v>108100000</v>
      </c>
      <c r="AS95" s="10">
        <f t="shared" si="11"/>
        <v>0</v>
      </c>
      <c r="AT95" s="10">
        <f t="shared" si="12"/>
        <v>0</v>
      </c>
    </row>
    <row r="96" spans="1:46" ht="54.75" customHeight="1">
      <c r="A96" s="10">
        <f>DATA!A101</f>
        <v>80</v>
      </c>
      <c r="B96" s="10">
        <f>DATA!B101</f>
        <v>0</v>
      </c>
      <c r="C96" s="10" t="str">
        <f>DATA!D101</f>
        <v>INFRASTRUKTUR</v>
      </c>
      <c r="D96" s="10">
        <f>DATA!E101</f>
        <v>1</v>
      </c>
      <c r="E96" s="10" t="str">
        <f>DATA!F101</f>
        <v>Kementerian Pekerjaan Umum dan Perumahan Rakyat</v>
      </c>
      <c r="F96" s="10" t="str">
        <f>DATA!H101</f>
        <v>Mitigation of Water Hazards Program</v>
      </c>
      <c r="G96" s="10" t="str">
        <f>DATA!I101</f>
        <v>K</v>
      </c>
      <c r="H96" s="10" t="str">
        <f>DATA!J101</f>
        <v>Program Mitigasi Terhadap Daya Rusak Air</v>
      </c>
      <c r="I96" s="10">
        <f>DATA!K101</f>
        <v>4</v>
      </c>
      <c r="J96" s="181"/>
      <c r="K96" s="34"/>
      <c r="L96" s="34"/>
      <c r="M96" s="36">
        <v>54</v>
      </c>
      <c r="N96" s="199" t="str">
        <f>DATA!L101</f>
        <v xml:space="preserve">Urgent Disaster Reduction of Mt. Sinabung, Mt. Semeru, Mt. Kelud Mt. Lokon, and Mt. Gamalama </v>
      </c>
      <c r="O96" s="1402">
        <f>DATA!T101</f>
        <v>260000000</v>
      </c>
      <c r="P96" s="187">
        <f>DATA!U101</f>
        <v>260000000</v>
      </c>
      <c r="Q96" s="1446">
        <f>DATA!V101</f>
        <v>26000000</v>
      </c>
      <c r="R96" s="1446">
        <f>DATA!W101</f>
        <v>0</v>
      </c>
      <c r="S96" s="1447">
        <f t="shared" si="14"/>
        <v>286000000</v>
      </c>
      <c r="T96" s="1448"/>
      <c r="U96" s="1449" t="str">
        <f>DATA!Y101</f>
        <v>JICA</v>
      </c>
      <c r="V96" s="77">
        <f>DATA!AA101</f>
        <v>260000000</v>
      </c>
      <c r="W96" s="77">
        <v>0</v>
      </c>
      <c r="X96" s="1450" t="str">
        <f>DATA!Y101</f>
        <v>JICA</v>
      </c>
      <c r="Y96" s="109">
        <v>260000000</v>
      </c>
      <c r="Z96" s="109" t="s">
        <v>55</v>
      </c>
      <c r="AA96" s="1484" t="s">
        <v>879</v>
      </c>
      <c r="AB96" s="828"/>
      <c r="AC96" s="1485"/>
      <c r="AD96" s="1486"/>
      <c r="AE96" s="1486"/>
      <c r="AF96" s="1486"/>
      <c r="AG96" s="1508" t="s">
        <v>1183</v>
      </c>
      <c r="AH96" s="1509">
        <f>DATA!AT101</f>
        <v>260000000</v>
      </c>
      <c r="AI96" s="109" t="str">
        <f>DATA!AU101</f>
        <v>JICA</v>
      </c>
      <c r="AJ96" s="1544" t="str">
        <f>DATA!AW101</f>
        <v>-</v>
      </c>
      <c r="AK96" s="245">
        <f>DATA!AM101</f>
        <v>0</v>
      </c>
      <c r="AL96" s="1510" t="str">
        <f>DATA!AN101</f>
        <v>siap</v>
      </c>
      <c r="AM96" s="1511" t="str">
        <f>DATA!AO101</f>
        <v>dalam proses
(persiapan)</v>
      </c>
      <c r="AN96" s="1545">
        <f>DATA!AQ101</f>
        <v>0</v>
      </c>
      <c r="AO96" s="1547" t="str">
        <f>DATA!AR101</f>
        <v>belum ada dokumen R/C</v>
      </c>
      <c r="AQ96" s="10">
        <f t="shared" si="13"/>
        <v>0</v>
      </c>
      <c r="AR96" s="10">
        <f t="shared" si="10"/>
        <v>260000000</v>
      </c>
      <c r="AS96" s="10">
        <f t="shared" si="11"/>
        <v>0</v>
      </c>
      <c r="AT96" s="10">
        <f t="shared" si="12"/>
        <v>0</v>
      </c>
    </row>
    <row r="97" spans="1:46" ht="42.75" customHeight="1">
      <c r="A97" s="10">
        <f>DATA!A102</f>
        <v>81</v>
      </c>
      <c r="B97" s="10">
        <f>DATA!B102</f>
        <v>0</v>
      </c>
      <c r="C97" s="10" t="str">
        <f>DATA!D102</f>
        <v>INFRASTRUKTUR</v>
      </c>
      <c r="D97" s="10">
        <f>DATA!E102</f>
        <v>1</v>
      </c>
      <c r="E97" s="10" t="str">
        <f>DATA!F102</f>
        <v>Kementerian Pekerjaan Umum dan Perumahan Rakyat</v>
      </c>
      <c r="F97" s="10" t="str">
        <f>DATA!H102</f>
        <v>Mitigation of Water Hazards Program</v>
      </c>
      <c r="G97" s="10" t="str">
        <f>DATA!I102</f>
        <v>K</v>
      </c>
      <c r="H97" s="10" t="str">
        <f>DATA!J102</f>
        <v>Program Mitigasi Terhadap Daya Rusak Air</v>
      </c>
      <c r="I97" s="10">
        <f>DATA!K102</f>
        <v>5</v>
      </c>
      <c r="J97" s="181"/>
      <c r="K97" s="34"/>
      <c r="L97" s="34"/>
      <c r="M97" s="36">
        <v>55</v>
      </c>
      <c r="N97" s="199" t="str">
        <f>DATA!L102</f>
        <v xml:space="preserve">Urban Flood Control System Improvement in Selected Cities -Phase II  </v>
      </c>
      <c r="O97" s="1402">
        <f>DATA!T102</f>
        <v>120000000</v>
      </c>
      <c r="P97" s="187">
        <f>DATA!U102</f>
        <v>120000000</v>
      </c>
      <c r="Q97" s="1446">
        <f>DATA!V102</f>
        <v>12000000</v>
      </c>
      <c r="R97" s="1446">
        <f>DATA!W102</f>
        <v>0</v>
      </c>
      <c r="S97" s="1447">
        <f t="shared" si="14"/>
        <v>132000000</v>
      </c>
      <c r="T97" s="1448"/>
      <c r="U97" s="1449" t="str">
        <f>DATA!Y102</f>
        <v>JICA</v>
      </c>
      <c r="V97" s="77">
        <f>DATA!AA102</f>
        <v>120000000</v>
      </c>
      <c r="W97" s="77">
        <v>0</v>
      </c>
      <c r="X97" s="1450" t="str">
        <f>DATA!Y102</f>
        <v>JICA</v>
      </c>
      <c r="Y97" s="109">
        <v>120000000</v>
      </c>
      <c r="Z97" s="109" t="s">
        <v>55</v>
      </c>
      <c r="AA97" s="1484" t="s">
        <v>879</v>
      </c>
      <c r="AB97" s="828"/>
      <c r="AC97" s="1485"/>
      <c r="AD97" s="1486"/>
      <c r="AE97" s="1486"/>
      <c r="AF97" s="1486"/>
      <c r="AG97" s="3253" t="s">
        <v>1200</v>
      </c>
      <c r="AH97" s="1509">
        <f>DATA!AT102</f>
        <v>120000000</v>
      </c>
      <c r="AI97" s="109" t="str">
        <f>DATA!AU102</f>
        <v>JICA</v>
      </c>
      <c r="AJ97" s="1544" t="str">
        <f>DATA!AW102</f>
        <v>-</v>
      </c>
      <c r="AK97" s="245">
        <f>DATA!AM102</f>
        <v>0</v>
      </c>
      <c r="AL97" s="1510" t="str">
        <f>DATA!AN102</f>
        <v>siap</v>
      </c>
      <c r="AM97" s="1511" t="str">
        <f>DATA!AO102</f>
        <v>dalam proses
(perencanaan)</v>
      </c>
      <c r="AN97" s="1545">
        <f>DATA!AQ102</f>
        <v>0</v>
      </c>
      <c r="AO97" s="1547" t="str">
        <f>DATA!AR102</f>
        <v>belum ada dokumen R/C</v>
      </c>
      <c r="AQ97" s="10">
        <f t="shared" si="13"/>
        <v>0</v>
      </c>
      <c r="AR97" s="10">
        <f t="shared" si="10"/>
        <v>120000000</v>
      </c>
      <c r="AS97" s="10">
        <f t="shared" si="11"/>
        <v>0</v>
      </c>
      <c r="AT97" s="10">
        <f t="shared" si="12"/>
        <v>0</v>
      </c>
    </row>
    <row r="98" spans="1:46" ht="42" customHeight="1">
      <c r="A98" s="10">
        <f>DATA!A104</f>
        <v>0</v>
      </c>
      <c r="B98" s="10">
        <f>DATA!B104</f>
        <v>0</v>
      </c>
      <c r="C98" s="10" t="str">
        <f>DATA!D104</f>
        <v>INFRASTRUKTUR</v>
      </c>
      <c r="D98" s="10">
        <f>DATA!E104</f>
        <v>1</v>
      </c>
      <c r="E98" s="10" t="str">
        <f>DATA!F104</f>
        <v>Kementerian Pekerjaan Umum dan Perumahan Rakyat</v>
      </c>
      <c r="F98" s="10" t="str">
        <f>DATA!H104</f>
        <v>Mitigation of Water Hazards Program</v>
      </c>
      <c r="G98" s="10" t="str">
        <f>DATA!I104</f>
        <v>K</v>
      </c>
      <c r="H98" s="10" t="str">
        <f>DATA!J104</f>
        <v>Program Mitigasi Terhadap Daya Rusak Air</v>
      </c>
      <c r="I98" s="10">
        <f>DATA!K104</f>
        <v>6</v>
      </c>
      <c r="J98" s="181"/>
      <c r="K98" s="34"/>
      <c r="L98" s="34"/>
      <c r="M98" s="36">
        <v>56</v>
      </c>
      <c r="N98" s="199" t="str">
        <f>DATA!L108</f>
        <v>Flood Management in Selected River Basins Sector Project (Additional Financing)</v>
      </c>
      <c r="O98" s="1402">
        <f>DATA!T108</f>
        <v>200000000</v>
      </c>
      <c r="P98" s="187">
        <f>DATA!U108</f>
        <v>200000000</v>
      </c>
      <c r="Q98" s="1453">
        <f>DATA!V108</f>
        <v>20000000</v>
      </c>
      <c r="R98" s="1453">
        <f>DATA!W108</f>
        <v>0</v>
      </c>
      <c r="S98" s="1447">
        <f t="shared" si="14"/>
        <v>220000000</v>
      </c>
      <c r="T98" s="1448"/>
      <c r="U98" s="1509" t="str">
        <f>DATA!Y108</f>
        <v>Belum Ada Indikasi</v>
      </c>
      <c r="V98" s="77">
        <v>0</v>
      </c>
      <c r="W98" s="77">
        <f>DATA!AA108</f>
        <v>200000000</v>
      </c>
      <c r="X98" s="1450" t="str">
        <f>DATA!Y108</f>
        <v>Belum Ada Indikasi</v>
      </c>
      <c r="Y98" s="109">
        <v>200000000</v>
      </c>
      <c r="Z98" s="109" t="s">
        <v>117</v>
      </c>
      <c r="AA98" s="1484" t="s">
        <v>879</v>
      </c>
      <c r="AB98" s="828"/>
      <c r="AC98" s="1485"/>
      <c r="AD98" s="1486"/>
      <c r="AE98" s="1486"/>
      <c r="AF98" s="1486"/>
      <c r="AG98" s="1662" t="s">
        <v>1201</v>
      </c>
      <c r="AH98" s="1509">
        <f>DATA!AT108</f>
        <v>200000000</v>
      </c>
      <c r="AI98" s="109" t="str">
        <f>DATA!AU108</f>
        <v>ADB</v>
      </c>
      <c r="AJ98" s="1544" t="str">
        <f>DATA!AW108</f>
        <v>sudah masuk COBP ADB</v>
      </c>
      <c r="AK98" s="245">
        <f>DATA!AM108</f>
        <v>0</v>
      </c>
      <c r="AL98" s="1510" t="str">
        <f>DATA!AN108</f>
        <v>belum ada keterangan</v>
      </c>
      <c r="AM98" s="1511" t="str">
        <f>DATA!AO108</f>
        <v>belum ada keterangan</v>
      </c>
      <c r="AN98" s="1545">
        <f>DATA!AQ108</f>
        <v>0</v>
      </c>
      <c r="AO98" s="1547" t="str">
        <f>DATA!AR108</f>
        <v>belum ada dokumen R/C</v>
      </c>
      <c r="AQ98" s="10">
        <f t="shared" si="13"/>
        <v>0</v>
      </c>
      <c r="AR98" s="10">
        <f t="shared" si="10"/>
        <v>0</v>
      </c>
      <c r="AS98" s="10">
        <f t="shared" si="11"/>
        <v>0</v>
      </c>
      <c r="AT98" s="10">
        <f t="shared" si="12"/>
        <v>0</v>
      </c>
    </row>
    <row r="99" spans="1:46" ht="69" customHeight="1">
      <c r="J99" s="181"/>
      <c r="K99" s="34"/>
      <c r="L99" s="34"/>
      <c r="M99" s="3390">
        <v>57</v>
      </c>
      <c r="N99" s="3569" t="str">
        <f>DATA!L105</f>
        <v>Engineering Service for Coastal and River Development Project</v>
      </c>
      <c r="O99" s="3596">
        <f>DATA!T105</f>
        <v>50000000</v>
      </c>
      <c r="P99" s="3403">
        <f>DATA!U105</f>
        <v>50000000</v>
      </c>
      <c r="Q99" s="3443"/>
      <c r="R99" s="3443"/>
      <c r="S99" s="3603"/>
      <c r="T99" s="188"/>
      <c r="U99" s="1449" t="str">
        <f>DATA!Y105</f>
        <v>Korea</v>
      </c>
      <c r="V99" s="1458">
        <f>DATA!AA105</f>
        <v>10500000</v>
      </c>
      <c r="W99" s="77"/>
      <c r="X99" s="1441" t="str">
        <f>DATA!Y105</f>
        <v>Korea</v>
      </c>
      <c r="Y99" s="1622">
        <v>10094400</v>
      </c>
      <c r="Z99" s="109" t="s">
        <v>28</v>
      </c>
      <c r="AA99" s="3254" t="s">
        <v>1198</v>
      </c>
      <c r="AB99" s="1474"/>
      <c r="AC99" s="1475"/>
      <c r="AD99" s="1476"/>
      <c r="AE99" s="1476"/>
      <c r="AF99" s="1476"/>
      <c r="AG99" s="3257" t="s">
        <v>1202</v>
      </c>
      <c r="AH99" s="1509">
        <f>DATA!AT105</f>
        <v>10500000</v>
      </c>
      <c r="AI99" s="109" t="str">
        <f>DATA!AU105</f>
        <v>Korea</v>
      </c>
      <c r="AJ99" s="1544" t="str">
        <f>DATA!AW105</f>
        <v>- co-financing dengan ADB (USD 9,6 juta) dan belum ada indikasi (USD 29,9 juta)
- masuk rolling plan EDCF (Korea)</v>
      </c>
      <c r="AK99" s="1625">
        <f>DATA!AM105</f>
        <v>2016</v>
      </c>
      <c r="AL99" s="1510" t="str">
        <f>DATA!AN105</f>
        <v>siap</v>
      </c>
      <c r="AM99" s="1511" t="str">
        <f>DATA!AO105</f>
        <v>tidak butuh lahan</v>
      </c>
      <c r="AN99" s="1545">
        <f>DATA!AQ105</f>
        <v>0</v>
      </c>
      <c r="AO99" s="1547" t="str">
        <f>DATA!AR105</f>
        <v>-</v>
      </c>
      <c r="AQ99" s="10">
        <f t="shared" si="13"/>
        <v>0</v>
      </c>
      <c r="AR99" s="10">
        <f t="shared" si="10"/>
        <v>0</v>
      </c>
      <c r="AS99" s="10">
        <f t="shared" si="11"/>
        <v>0</v>
      </c>
      <c r="AT99" s="10">
        <f t="shared" si="12"/>
        <v>10094400</v>
      </c>
    </row>
    <row r="100" spans="1:46" ht="66" customHeight="1">
      <c r="J100" s="181"/>
      <c r="K100" s="34"/>
      <c r="L100" s="34"/>
      <c r="M100" s="3391"/>
      <c r="N100" s="3570"/>
      <c r="O100" s="3597"/>
      <c r="P100" s="3404"/>
      <c r="Q100" s="3445"/>
      <c r="R100" s="3445"/>
      <c r="S100" s="3604"/>
      <c r="T100" s="1439"/>
      <c r="U100" s="1449" t="str">
        <f>DATA!Y106</f>
        <v>Belum Ada Indikasi</v>
      </c>
      <c r="V100" s="1458">
        <v>0</v>
      </c>
      <c r="W100" s="1458">
        <f>DATA!AA106</f>
        <v>29880000</v>
      </c>
      <c r="X100" s="1441" t="str">
        <f>DATA!Y106</f>
        <v>Belum Ada Indikasi</v>
      </c>
      <c r="Y100" s="1622">
        <f>40380000-Y99</f>
        <v>30285600</v>
      </c>
      <c r="Z100" s="109" t="s">
        <v>633</v>
      </c>
      <c r="AA100" s="1484" t="s">
        <v>879</v>
      </c>
      <c r="AB100" s="828"/>
      <c r="AC100" s="1485"/>
      <c r="AD100" s="1486"/>
      <c r="AE100" s="1486"/>
      <c r="AF100" s="1486"/>
      <c r="AG100" s="1513" t="s">
        <v>1203</v>
      </c>
      <c r="AH100" s="1509">
        <f>DATA!AT106</f>
        <v>29880000</v>
      </c>
      <c r="AI100" s="109" t="str">
        <f>DATA!AU106</f>
        <v>Belum Ada Indikasi</v>
      </c>
      <c r="AJ100" s="1544" t="str">
        <f>DATA!AW106</f>
        <v>co-financing dengan Korea (USD 10,5 juta) dan ADB (USD 29,8 juta)</v>
      </c>
      <c r="AK100" s="245" t="str">
        <f>DATA!AM106</f>
        <v>-</v>
      </c>
      <c r="AL100" s="1510" t="str">
        <f>DATA!AN106</f>
        <v>belum ada keterangan</v>
      </c>
      <c r="AM100" s="1511" t="str">
        <f>DATA!AO106</f>
        <v>belum ada keterangan</v>
      </c>
      <c r="AN100" s="1545">
        <f>DATA!AQ106</f>
        <v>0</v>
      </c>
      <c r="AO100" s="1547" t="str">
        <f>DATA!AR106</f>
        <v>-</v>
      </c>
      <c r="AQ100" s="10">
        <f t="shared" si="13"/>
        <v>0</v>
      </c>
      <c r="AR100" s="10">
        <f t="shared" si="10"/>
        <v>0</v>
      </c>
      <c r="AS100" s="10">
        <f t="shared" si="11"/>
        <v>30285600</v>
      </c>
      <c r="AT100" s="10">
        <f t="shared" si="12"/>
        <v>0</v>
      </c>
    </row>
    <row r="101" spans="1:46" s="5" customFormat="1" ht="33.75" customHeight="1">
      <c r="J101" s="180"/>
      <c r="K101" s="50"/>
      <c r="L101" s="30" t="s">
        <v>244</v>
      </c>
      <c r="M101" s="3427" t="str">
        <f>DATA!J110</f>
        <v xml:space="preserve">Program Pengelolaan Infrastruktur Sumber Daya Air </v>
      </c>
      <c r="N101" s="3556"/>
      <c r="O101" s="214" t="e">
        <f>+#REF!+O102+O103</f>
        <v>#REF!</v>
      </c>
      <c r="P101" s="197" t="e">
        <f>+#REF!+P102+P103</f>
        <v>#REF!</v>
      </c>
      <c r="Q101" s="1436">
        <f>SUM(Q102:Q103)</f>
        <v>80000000</v>
      </c>
      <c r="R101" s="1436" t="e">
        <f>+#REF!+R102+R103</f>
        <v>#REF!</v>
      </c>
      <c r="S101" s="244" t="e">
        <f t="shared" ref="S101:S153" si="15">P101+Q101+R101</f>
        <v>#REF!</v>
      </c>
      <c r="T101" s="1437"/>
      <c r="U101" s="1539"/>
      <c r="V101" s="81" t="e">
        <f>+#REF!+V102+V103</f>
        <v>#REF!</v>
      </c>
      <c r="W101" s="81" t="e">
        <f>+#REF!+W102+W103</f>
        <v>#REF!</v>
      </c>
      <c r="X101" s="243"/>
      <c r="Y101" s="81">
        <f>Y102+Y103</f>
        <v>400000000</v>
      </c>
      <c r="Z101" s="81"/>
      <c r="AA101" s="1469"/>
      <c r="AB101" s="1470"/>
      <c r="AC101" s="1471"/>
      <c r="AD101" s="1472"/>
      <c r="AE101" s="1472"/>
      <c r="AF101" s="1472"/>
      <c r="AG101" s="1504"/>
      <c r="AH101" s="198" t="e">
        <f>+#REF!+#REF!+AH102+AH103</f>
        <v>#REF!</v>
      </c>
      <c r="AI101" s="81" t="s">
        <v>21</v>
      </c>
      <c r="AJ101" s="214"/>
      <c r="AK101" s="1505"/>
      <c r="AL101" s="1506"/>
      <c r="AM101" s="169"/>
      <c r="AN101" s="1507"/>
      <c r="AO101" s="1530"/>
      <c r="AQ101" s="10">
        <f t="shared" si="13"/>
        <v>0</v>
      </c>
      <c r="AR101" s="10">
        <f t="shared" si="10"/>
        <v>0</v>
      </c>
      <c r="AS101" s="10">
        <f t="shared" si="11"/>
        <v>0</v>
      </c>
      <c r="AT101" s="10">
        <f t="shared" si="12"/>
        <v>0</v>
      </c>
    </row>
    <row r="102" spans="1:46" ht="27" customHeight="1">
      <c r="A102" s="10">
        <f>DATA!A113</f>
        <v>86</v>
      </c>
      <c r="B102" s="10">
        <f>DATA!B113</f>
        <v>0</v>
      </c>
      <c r="C102" s="10" t="str">
        <f>DATA!D113</f>
        <v>INFRASTRUKTUR</v>
      </c>
      <c r="D102" s="10">
        <f>DATA!E113</f>
        <v>1</v>
      </c>
      <c r="E102" s="10" t="str">
        <f>DATA!F113</f>
        <v>Kementerian Pekerjaan Umum dan Perumahan Rakyat</v>
      </c>
      <c r="F102" s="10" t="str">
        <f>DATA!H113</f>
        <v>Management of Water Resources Infrastructure Program</v>
      </c>
      <c r="G102" s="10" t="str">
        <f>DATA!I113</f>
        <v>L</v>
      </c>
      <c r="H102" s="10" t="str">
        <f>DATA!J113</f>
        <v xml:space="preserve">Program Pengelolaan Infrastruktur Sumber Daya Air </v>
      </c>
      <c r="I102" s="10">
        <f>DATA!K113</f>
        <v>2</v>
      </c>
      <c r="J102" s="181"/>
      <c r="K102" s="34"/>
      <c r="L102" s="34"/>
      <c r="M102" s="36">
        <v>58</v>
      </c>
      <c r="N102" s="199" t="str">
        <f>DATA!L113</f>
        <v xml:space="preserve">Enhanced Water Security Investment Program    </v>
      </c>
      <c r="O102" s="1402">
        <f>DATA!T113</f>
        <v>350000000</v>
      </c>
      <c r="P102" s="187">
        <f>DATA!U113</f>
        <v>350000000</v>
      </c>
      <c r="Q102" s="1446">
        <f>DATA!V113</f>
        <v>70000000</v>
      </c>
      <c r="R102" s="1446">
        <f>DATA!W113</f>
        <v>0</v>
      </c>
      <c r="S102" s="1447">
        <f t="shared" si="15"/>
        <v>420000000</v>
      </c>
      <c r="T102" s="1448"/>
      <c r="U102" s="1449" t="str">
        <f>DATA!Y113</f>
        <v>ADB</v>
      </c>
      <c r="V102" s="77">
        <f>DATA!AA113</f>
        <v>350000000</v>
      </c>
      <c r="W102" s="77">
        <v>0</v>
      </c>
      <c r="X102" s="1450" t="str">
        <f>DATA!Y113</f>
        <v>ADB</v>
      </c>
      <c r="Y102" s="109">
        <v>350000000</v>
      </c>
      <c r="Z102" s="109" t="s">
        <v>117</v>
      </c>
      <c r="AA102" s="1484" t="s">
        <v>879</v>
      </c>
      <c r="AB102" s="828"/>
      <c r="AC102" s="1485"/>
      <c r="AD102" s="1486"/>
      <c r="AE102" s="1486"/>
      <c r="AF102" s="1486"/>
      <c r="AG102" s="1662" t="s">
        <v>1201</v>
      </c>
      <c r="AH102" s="1509">
        <f>DATA!AT113</f>
        <v>350000000</v>
      </c>
      <c r="AI102" s="109" t="str">
        <f>DATA!AU113</f>
        <v>ADB</v>
      </c>
      <c r="AJ102" s="1544" t="str">
        <f>DATA!AW113</f>
        <v>-</v>
      </c>
      <c r="AK102" s="245">
        <f>DATA!AM113</f>
        <v>0</v>
      </c>
      <c r="AL102" s="1510" t="str">
        <f>DATA!AN113</f>
        <v>belum ada keterangan</v>
      </c>
      <c r="AM102" s="1511" t="str">
        <f>DATA!AO113</f>
        <v>belum ada keterangan</v>
      </c>
      <c r="AN102" s="1545">
        <f>DATA!AQ113</f>
        <v>0</v>
      </c>
      <c r="AO102" s="1547" t="str">
        <f>DATA!AR113</f>
        <v>belum ada dokumen R/C</v>
      </c>
      <c r="AQ102" s="10">
        <f t="shared" si="13"/>
        <v>0</v>
      </c>
      <c r="AR102" s="10">
        <f t="shared" si="10"/>
        <v>0</v>
      </c>
      <c r="AS102" s="10">
        <f t="shared" si="11"/>
        <v>0</v>
      </c>
      <c r="AT102" s="10">
        <f t="shared" si="12"/>
        <v>0</v>
      </c>
    </row>
    <row r="103" spans="1:46" ht="38.25" customHeight="1">
      <c r="A103" s="10">
        <f>DATA!A114</f>
        <v>87</v>
      </c>
      <c r="B103" s="10">
        <f>DATA!B114</f>
        <v>0</v>
      </c>
      <c r="C103" s="10" t="str">
        <f>DATA!D114</f>
        <v>INFRASTRUKTUR</v>
      </c>
      <c r="D103" s="10">
        <f>DATA!E114</f>
        <v>1</v>
      </c>
      <c r="E103" s="10" t="str">
        <f>DATA!F114</f>
        <v>Kementerian Pekerjaan Umum dan Perumahan Rakyat</v>
      </c>
      <c r="F103" s="10" t="str">
        <f>DATA!H114</f>
        <v>Management of Water Resources Infrastructure Program</v>
      </c>
      <c r="G103" s="10" t="str">
        <f>DATA!I114</f>
        <v>L</v>
      </c>
      <c r="H103" s="10" t="str">
        <f>DATA!J114</f>
        <v xml:space="preserve">Program Pengelolaan Infrastruktur Sumber Daya Air </v>
      </c>
      <c r="I103" s="10">
        <f>DATA!K114</f>
        <v>3</v>
      </c>
      <c r="J103" s="181"/>
      <c r="K103" s="34"/>
      <c r="L103" s="54"/>
      <c r="M103" s="36">
        <v>59</v>
      </c>
      <c r="N103" s="199" t="str">
        <f>DATA!L114</f>
        <v>Engineering Service for Water Resources Infrastructure Management</v>
      </c>
      <c r="O103" s="1402">
        <f>DATA!T114</f>
        <v>50000000</v>
      </c>
      <c r="P103" s="187">
        <f>DATA!U114</f>
        <v>50000000</v>
      </c>
      <c r="Q103" s="1446">
        <f>DATA!V114</f>
        <v>10000000</v>
      </c>
      <c r="R103" s="1446">
        <f>DATA!W114</f>
        <v>0</v>
      </c>
      <c r="S103" s="1447">
        <f t="shared" si="15"/>
        <v>60000000</v>
      </c>
      <c r="T103" s="1448"/>
      <c r="U103" s="1449" t="str">
        <f>DATA!Y114</f>
        <v>Belum Ada Indikasi</v>
      </c>
      <c r="V103" s="77">
        <v>0</v>
      </c>
      <c r="W103" s="77">
        <f>DATA!AA114</f>
        <v>50000000</v>
      </c>
      <c r="X103" s="1450" t="str">
        <f>DATA!Y114</f>
        <v>Belum Ada Indikasi</v>
      </c>
      <c r="Y103" s="109">
        <v>50000000</v>
      </c>
      <c r="Z103" s="109" t="s">
        <v>633</v>
      </c>
      <c r="AA103" s="1484" t="s">
        <v>879</v>
      </c>
      <c r="AB103" s="828"/>
      <c r="AC103" s="1485"/>
      <c r="AD103" s="1486"/>
      <c r="AE103" s="1486"/>
      <c r="AF103" s="1486"/>
      <c r="AG103" s="1513" t="s">
        <v>1203</v>
      </c>
      <c r="AH103" s="1509">
        <f>DATA!AT114</f>
        <v>50000000</v>
      </c>
      <c r="AI103" s="109" t="str">
        <f>DATA!AU114</f>
        <v>ADB</v>
      </c>
      <c r="AJ103" s="1544" t="str">
        <f>DATA!AW114</f>
        <v>sudah masuk COBP ADB</v>
      </c>
      <c r="AK103" s="245">
        <f>DATA!AM114</f>
        <v>0</v>
      </c>
      <c r="AL103" s="1510" t="str">
        <f>DATA!AN114</f>
        <v>siap</v>
      </c>
      <c r="AM103" s="1511" t="str">
        <f>DATA!AO114</f>
        <v>tidak butuh lahan</v>
      </c>
      <c r="AN103" s="1545">
        <f>DATA!AQ114</f>
        <v>0</v>
      </c>
      <c r="AO103" s="1547" t="str">
        <f>DATA!AR114</f>
        <v>belum ada dokumen R/C</v>
      </c>
      <c r="AQ103" s="10">
        <f t="shared" si="13"/>
        <v>0</v>
      </c>
      <c r="AR103" s="10">
        <f t="shared" si="10"/>
        <v>0</v>
      </c>
      <c r="AS103" s="10">
        <f t="shared" si="11"/>
        <v>50000000</v>
      </c>
      <c r="AT103" s="10">
        <f t="shared" si="12"/>
        <v>0</v>
      </c>
    </row>
    <row r="104" spans="1:46" ht="32.25" customHeight="1">
      <c r="J104" s="181"/>
      <c r="K104" s="34"/>
      <c r="L104" s="30" t="s">
        <v>1093</v>
      </c>
      <c r="M104" s="31" t="s">
        <v>858</v>
      </c>
      <c r="N104" s="1419"/>
      <c r="O104" s="214">
        <f>O105</f>
        <v>0</v>
      </c>
      <c r="P104" s="197">
        <f>P105</f>
        <v>296000000</v>
      </c>
      <c r="Q104" s="1436">
        <f>SUM(Q105)</f>
        <v>40000000</v>
      </c>
      <c r="R104" s="1436">
        <f>R105</f>
        <v>10000000</v>
      </c>
      <c r="S104" s="244">
        <f t="shared" si="15"/>
        <v>346000000</v>
      </c>
      <c r="T104" s="1437"/>
      <c r="U104" s="1539"/>
      <c r="V104" s="81">
        <f>+V105+V106+V107</f>
        <v>300000000</v>
      </c>
      <c r="W104" s="81">
        <v>0</v>
      </c>
      <c r="X104" s="243"/>
      <c r="Y104" s="81">
        <f>Y105</f>
        <v>296000000</v>
      </c>
      <c r="Z104" s="81"/>
      <c r="AA104" s="1469"/>
      <c r="AB104" s="1470"/>
      <c r="AC104" s="1471"/>
      <c r="AD104" s="1472"/>
      <c r="AE104" s="1472"/>
      <c r="AF104" s="1472"/>
      <c r="AG104" s="1504"/>
      <c r="AH104" s="198">
        <f>AH105</f>
        <v>300000000</v>
      </c>
      <c r="AI104" s="81" t="s">
        <v>21</v>
      </c>
      <c r="AJ104" s="214">
        <v>0</v>
      </c>
      <c r="AK104" s="1505"/>
      <c r="AL104" s="1506"/>
      <c r="AM104" s="169"/>
      <c r="AN104" s="1507"/>
      <c r="AO104" s="1530"/>
      <c r="AQ104" s="10">
        <f t="shared" si="13"/>
        <v>0</v>
      </c>
      <c r="AR104" s="10">
        <f t="shared" si="10"/>
        <v>0</v>
      </c>
      <c r="AS104" s="10">
        <f t="shared" si="11"/>
        <v>0</v>
      </c>
      <c r="AT104" s="10">
        <f t="shared" si="12"/>
        <v>0</v>
      </c>
    </row>
    <row r="105" spans="1:46" ht="46.5" customHeight="1">
      <c r="J105" s="181"/>
      <c r="K105" s="34"/>
      <c r="L105" s="20"/>
      <c r="M105" s="36">
        <v>60</v>
      </c>
      <c r="N105" s="1537" t="str">
        <f>DATA!L115</f>
        <v>Integrated Infrastructure Development for National Tourism Strategic Areas</v>
      </c>
      <c r="O105" s="1402">
        <f>DATA!T115</f>
        <v>0</v>
      </c>
      <c r="P105" s="187">
        <f>300000000-4000000</f>
        <v>296000000</v>
      </c>
      <c r="Q105" s="187">
        <f>DATA!V115</f>
        <v>40000000</v>
      </c>
      <c r="R105" s="187">
        <f>DATA!W115</f>
        <v>10000000</v>
      </c>
      <c r="S105" s="1447">
        <f t="shared" si="15"/>
        <v>346000000</v>
      </c>
      <c r="T105" s="1448"/>
      <c r="U105" s="1449"/>
      <c r="V105" s="77">
        <f>DATA!AA115</f>
        <v>300000000</v>
      </c>
      <c r="W105" s="77">
        <v>0</v>
      </c>
      <c r="X105" s="1450" t="str">
        <f>DATA!Y115</f>
        <v>Bank Dunia</v>
      </c>
      <c r="Y105" s="109">
        <v>296000000</v>
      </c>
      <c r="Z105" s="109" t="s">
        <v>62</v>
      </c>
      <c r="AA105" s="1484" t="s">
        <v>1204</v>
      </c>
      <c r="AB105" s="828"/>
      <c r="AC105" s="1485"/>
      <c r="AD105" s="1486"/>
      <c r="AE105" s="1486"/>
      <c r="AF105" s="1486"/>
      <c r="AG105" s="1514" t="s">
        <v>1205</v>
      </c>
      <c r="AH105" s="1509">
        <f>DATA!AT115</f>
        <v>300000000</v>
      </c>
      <c r="AI105" s="1509" t="str">
        <f>DATA!AU115</f>
        <v>Bank Dunia</v>
      </c>
      <c r="AJ105" s="1544">
        <f>DATA!AW115</f>
        <v>0</v>
      </c>
      <c r="AK105" s="245" t="str">
        <f>DATA!AM115</f>
        <v>Rev. 2016</v>
      </c>
      <c r="AL105" s="1510">
        <f>DATA!AN115</f>
        <v>0</v>
      </c>
      <c r="AM105" s="1511">
        <f>DATA!AO115</f>
        <v>0</v>
      </c>
      <c r="AN105" s="1545">
        <f>DATA!AQ115</f>
        <v>0</v>
      </c>
      <c r="AO105" s="1547" t="str">
        <f>DATA!AR115</f>
        <v>Nilai pinjaman di GB USD 4.000 ribu</v>
      </c>
      <c r="AQ105" s="10">
        <f t="shared" si="13"/>
        <v>0</v>
      </c>
      <c r="AR105" s="10">
        <f t="shared" si="10"/>
        <v>0</v>
      </c>
      <c r="AS105" s="10">
        <f t="shared" si="11"/>
        <v>0</v>
      </c>
      <c r="AT105" s="10">
        <f t="shared" si="12"/>
        <v>0</v>
      </c>
    </row>
    <row r="106" spans="1:46" ht="32.25" customHeight="1">
      <c r="J106" s="181"/>
      <c r="K106" s="58"/>
      <c r="L106" s="30" t="s">
        <v>1094</v>
      </c>
      <c r="M106" s="31" t="str">
        <f>DATA!J117</f>
        <v>Program Penyediaaan Perumahan Bagi MBR</v>
      </c>
      <c r="N106" s="1419"/>
      <c r="O106" s="214">
        <f>+O107</f>
        <v>300000000</v>
      </c>
      <c r="P106" s="197">
        <f>+P107</f>
        <v>450000000</v>
      </c>
      <c r="Q106" s="1436">
        <f>Q107</f>
        <v>0</v>
      </c>
      <c r="R106" s="1436">
        <f>+R107</f>
        <v>0</v>
      </c>
      <c r="S106" s="244">
        <f t="shared" si="15"/>
        <v>450000000</v>
      </c>
      <c r="T106" s="1437"/>
      <c r="U106" s="1539"/>
      <c r="V106" s="81">
        <f>+V107</f>
        <v>0</v>
      </c>
      <c r="W106" s="81">
        <f>+W107</f>
        <v>450000000</v>
      </c>
      <c r="X106" s="243"/>
      <c r="Y106" s="81">
        <f>Y107</f>
        <v>450000000</v>
      </c>
      <c r="Z106" s="81"/>
      <c r="AA106" s="1469"/>
      <c r="AB106" s="1470"/>
      <c r="AC106" s="1471"/>
      <c r="AD106" s="1472"/>
      <c r="AE106" s="1472"/>
      <c r="AF106" s="1472"/>
      <c r="AG106" s="1504"/>
      <c r="AH106" s="198">
        <f>+AH107</f>
        <v>450000000</v>
      </c>
      <c r="AI106" s="81" t="s">
        <v>21</v>
      </c>
      <c r="AJ106" s="214">
        <f>+AJ107</f>
        <v>0</v>
      </c>
      <c r="AK106" s="1505"/>
      <c r="AL106" s="1506"/>
      <c r="AM106" s="169"/>
      <c r="AN106" s="1507"/>
      <c r="AO106" s="1530"/>
      <c r="AQ106" s="10">
        <f t="shared" si="13"/>
        <v>0</v>
      </c>
      <c r="AR106" s="10">
        <f t="shared" si="10"/>
        <v>0</v>
      </c>
      <c r="AS106" s="10">
        <f t="shared" si="11"/>
        <v>0</v>
      </c>
      <c r="AT106" s="10">
        <f t="shared" si="12"/>
        <v>0</v>
      </c>
    </row>
    <row r="107" spans="1:46" ht="60" customHeight="1">
      <c r="J107" s="181"/>
      <c r="K107" s="54"/>
      <c r="L107" s="20"/>
      <c r="M107" s="36">
        <v>61</v>
      </c>
      <c r="N107" s="1537" t="str">
        <f>DATA!L116</f>
        <v>National Affordable Housing Project</v>
      </c>
      <c r="O107" s="1402">
        <f>DATA!U115</f>
        <v>300000000</v>
      </c>
      <c r="P107" s="187">
        <f>DATA!U116</f>
        <v>450000000</v>
      </c>
      <c r="Q107" s="187">
        <f>DATA!V116</f>
        <v>0</v>
      </c>
      <c r="R107" s="187">
        <f>DATA!W116</f>
        <v>0</v>
      </c>
      <c r="S107" s="1447">
        <f t="shared" si="15"/>
        <v>450000000</v>
      </c>
      <c r="T107" s="1448"/>
      <c r="U107" s="1449"/>
      <c r="V107" s="77">
        <v>0</v>
      </c>
      <c r="W107" s="77">
        <f>DATA!AA116</f>
        <v>450000000</v>
      </c>
      <c r="X107" s="1450" t="str">
        <f>DATA!Y116</f>
        <v>Belum Ada Indikasi</v>
      </c>
      <c r="Y107" s="109">
        <v>450000000</v>
      </c>
      <c r="Z107" s="109" t="s">
        <v>62</v>
      </c>
      <c r="AA107" s="3254" t="s">
        <v>1206</v>
      </c>
      <c r="AB107" s="1474"/>
      <c r="AC107" s="1475"/>
      <c r="AD107" s="1476"/>
      <c r="AE107" s="1476"/>
      <c r="AF107" s="1476"/>
      <c r="AG107" s="1514"/>
      <c r="AH107" s="1509">
        <f>DATA!AT116</f>
        <v>450000000</v>
      </c>
      <c r="AI107" s="1509" t="str">
        <f>DATA!AU116</f>
        <v>Bank Dunia</v>
      </c>
      <c r="AJ107" s="1544">
        <f>DATA!AW116</f>
        <v>0</v>
      </c>
      <c r="AK107" s="245" t="str">
        <f>DATA!AM116</f>
        <v>Rev. 2016</v>
      </c>
      <c r="AL107" s="1510" t="str">
        <f>DATA!AN116</f>
        <v>siap</v>
      </c>
      <c r="AM107" s="1511" t="str">
        <f>DATA!AO116</f>
        <v>belum ada keterangan</v>
      </c>
      <c r="AN107" s="1545">
        <f>DATA!AQ116</f>
        <v>0</v>
      </c>
      <c r="AO107" s="1547" t="str">
        <f>DATA!AR116</f>
        <v>-</v>
      </c>
      <c r="AQ107" s="10">
        <f t="shared" si="13"/>
        <v>0</v>
      </c>
      <c r="AR107" s="10">
        <f t="shared" si="10"/>
        <v>0</v>
      </c>
      <c r="AS107" s="10">
        <f t="shared" si="11"/>
        <v>0</v>
      </c>
      <c r="AT107" s="10">
        <f t="shared" si="12"/>
        <v>0</v>
      </c>
    </row>
    <row r="108" spans="1:46" s="4" customFormat="1" ht="24.95" customHeight="1">
      <c r="J108" s="250"/>
      <c r="K108" s="25">
        <f>DATA!E118</f>
        <v>2</v>
      </c>
      <c r="L108" s="108" t="str">
        <f>DATA!F118</f>
        <v>PERUMNAS</v>
      </c>
      <c r="M108" s="26"/>
      <c r="N108" s="1416"/>
      <c r="O108" s="213">
        <f t="shared" ref="O108:R109" si="16">+O109</f>
        <v>200000000</v>
      </c>
      <c r="P108" s="194">
        <f t="shared" si="16"/>
        <v>200000000</v>
      </c>
      <c r="Q108" s="194">
        <f t="shared" si="16"/>
        <v>20000000</v>
      </c>
      <c r="R108" s="194">
        <f t="shared" si="16"/>
        <v>0</v>
      </c>
      <c r="S108" s="242">
        <f t="shared" si="15"/>
        <v>220000000</v>
      </c>
      <c r="T108" s="1434"/>
      <c r="U108" s="1549"/>
      <c r="V108" s="80">
        <f t="shared" ref="V108:AJ109" si="17">+V109</f>
        <v>200000000</v>
      </c>
      <c r="W108" s="80">
        <f t="shared" si="17"/>
        <v>0</v>
      </c>
      <c r="X108" s="241">
        <f t="shared" si="17"/>
        <v>0</v>
      </c>
      <c r="Y108" s="80">
        <f>Y109</f>
        <v>200000000</v>
      </c>
      <c r="Z108" s="80"/>
      <c r="AA108" s="1465"/>
      <c r="AB108" s="1466"/>
      <c r="AC108" s="1467"/>
      <c r="AD108" s="1468"/>
      <c r="AE108" s="1468"/>
      <c r="AF108" s="1468"/>
      <c r="AG108" s="1500"/>
      <c r="AH108" s="195">
        <f t="shared" si="17"/>
        <v>200000000</v>
      </c>
      <c r="AI108" s="80" t="str">
        <f t="shared" si="17"/>
        <v>-</v>
      </c>
      <c r="AJ108" s="213" t="str">
        <f t="shared" si="17"/>
        <v>-</v>
      </c>
      <c r="AK108" s="1501"/>
      <c r="AL108" s="1502"/>
      <c r="AM108" s="168"/>
      <c r="AN108" s="1503"/>
      <c r="AO108" s="1529"/>
      <c r="AQ108" s="10">
        <f t="shared" si="13"/>
        <v>0</v>
      </c>
      <c r="AR108" s="10">
        <f t="shared" si="10"/>
        <v>0</v>
      </c>
      <c r="AS108" s="10">
        <f t="shared" si="11"/>
        <v>0</v>
      </c>
      <c r="AT108" s="10">
        <f t="shared" si="12"/>
        <v>0</v>
      </c>
    </row>
    <row r="109" spans="1:46" s="5" customFormat="1" ht="33.75" customHeight="1">
      <c r="J109" s="180"/>
      <c r="K109" s="1670"/>
      <c r="L109" s="30" t="str">
        <f>DATA!I118</f>
        <v>A</v>
      </c>
      <c r="M109" s="31" t="str">
        <f>DATA!J118</f>
        <v>Program Penyediaaan Perumahan Bagi MBR</v>
      </c>
      <c r="N109" s="1419"/>
      <c r="O109" s="214">
        <f t="shared" si="16"/>
        <v>200000000</v>
      </c>
      <c r="P109" s="197">
        <f t="shared" si="16"/>
        <v>200000000</v>
      </c>
      <c r="Q109" s="1436">
        <f t="shared" si="16"/>
        <v>20000000</v>
      </c>
      <c r="R109" s="1436">
        <f t="shared" si="16"/>
        <v>0</v>
      </c>
      <c r="S109" s="244">
        <f t="shared" si="15"/>
        <v>220000000</v>
      </c>
      <c r="T109" s="1437"/>
      <c r="U109" s="1539"/>
      <c r="V109" s="81">
        <f t="shared" si="17"/>
        <v>200000000</v>
      </c>
      <c r="W109" s="81">
        <f t="shared" si="17"/>
        <v>0</v>
      </c>
      <c r="X109" s="243"/>
      <c r="Y109" s="81">
        <f>Y110</f>
        <v>200000000</v>
      </c>
      <c r="Z109" s="81"/>
      <c r="AA109" s="1469"/>
      <c r="AB109" s="1470"/>
      <c r="AC109" s="1471"/>
      <c r="AD109" s="1472"/>
      <c r="AE109" s="1472"/>
      <c r="AF109" s="1472"/>
      <c r="AG109" s="1504"/>
      <c r="AH109" s="198">
        <f t="shared" si="17"/>
        <v>200000000</v>
      </c>
      <c r="AI109" s="81" t="s">
        <v>21</v>
      </c>
      <c r="AJ109" s="214" t="str">
        <f t="shared" si="17"/>
        <v>-</v>
      </c>
      <c r="AK109" s="1505"/>
      <c r="AL109" s="1506"/>
      <c r="AM109" s="169"/>
      <c r="AN109" s="1507"/>
      <c r="AO109" s="1530"/>
      <c r="AQ109" s="10">
        <f t="shared" si="13"/>
        <v>0</v>
      </c>
      <c r="AR109" s="10">
        <f t="shared" si="10"/>
        <v>0</v>
      </c>
      <c r="AS109" s="10">
        <f t="shared" si="11"/>
        <v>0</v>
      </c>
      <c r="AT109" s="10">
        <f t="shared" si="12"/>
        <v>0</v>
      </c>
    </row>
    <row r="110" spans="1:46" ht="53.25" customHeight="1">
      <c r="A110" s="10">
        <f>DATA!A118</f>
        <v>89</v>
      </c>
      <c r="B110" s="10">
        <f>DATA!B118</f>
        <v>0</v>
      </c>
      <c r="C110" s="10" t="str">
        <f>DATA!D118</f>
        <v>INFRASTRUKTUR</v>
      </c>
      <c r="D110" s="10">
        <f>DATA!E118</f>
        <v>2</v>
      </c>
      <c r="E110" s="10" t="str">
        <f>DATA!F118</f>
        <v>PERUMNAS</v>
      </c>
      <c r="F110" s="10" t="str">
        <f>DATA!H118</f>
        <v>Program for Provision of Housing For Low-Income Households</v>
      </c>
      <c r="G110" s="10" t="str">
        <f>DATA!I118</f>
        <v>A</v>
      </c>
      <c r="H110" s="10" t="str">
        <f>DATA!J118</f>
        <v>Program Penyediaaan Perumahan Bagi MBR</v>
      </c>
      <c r="I110" s="10">
        <f>DATA!K118</f>
        <v>1</v>
      </c>
      <c r="J110" s="181"/>
      <c r="K110" s="54"/>
      <c r="L110" s="20"/>
      <c r="M110" s="36">
        <v>62</v>
      </c>
      <c r="N110" s="199" t="str">
        <f>DATA!L118</f>
        <v>Support for National Housing and Urban Development Cooperation</v>
      </c>
      <c r="O110" s="1402">
        <f>DATA!T118</f>
        <v>200000000</v>
      </c>
      <c r="P110" s="187">
        <f>DATA!U118</f>
        <v>200000000</v>
      </c>
      <c r="Q110" s="1446">
        <f>DATA!V118</f>
        <v>20000000</v>
      </c>
      <c r="R110" s="1446"/>
      <c r="S110" s="1447">
        <f t="shared" si="15"/>
        <v>220000000</v>
      </c>
      <c r="T110" s="1448"/>
      <c r="U110" s="1449" t="str">
        <f>DATA!Y118</f>
        <v>JICA</v>
      </c>
      <c r="V110" s="77">
        <f>DATA!AA118</f>
        <v>200000000</v>
      </c>
      <c r="W110" s="77"/>
      <c r="X110" s="1450" t="str">
        <f>DATA!Y118</f>
        <v>JICA</v>
      </c>
      <c r="Y110" s="109">
        <v>200000000</v>
      </c>
      <c r="Z110" s="109" t="s">
        <v>55</v>
      </c>
      <c r="AA110" s="1484" t="s">
        <v>879</v>
      </c>
      <c r="AB110" s="828"/>
      <c r="AC110" s="1485"/>
      <c r="AD110" s="1486"/>
      <c r="AE110" s="1486"/>
      <c r="AF110" s="1486"/>
      <c r="AG110" s="1508" t="s">
        <v>1183</v>
      </c>
      <c r="AH110" s="1509">
        <f>DATA!AT118</f>
        <v>200000000</v>
      </c>
      <c r="AI110" s="109" t="str">
        <f>DATA!AU118</f>
        <v>JICA</v>
      </c>
      <c r="AJ110" s="1544" t="str">
        <f>DATA!AW118</f>
        <v>-</v>
      </c>
      <c r="AK110" s="245">
        <f>DATA!AM118</f>
        <v>0</v>
      </c>
      <c r="AL110" s="1510" t="str">
        <f>DATA!AN118</f>
        <v>dalam proses
(memiliki FS dan DED)</v>
      </c>
      <c r="AM110" s="1511" t="str">
        <f>DATA!AO118</f>
        <v>siap</v>
      </c>
      <c r="AN110" s="1545">
        <f>DATA!AQ118</f>
        <v>0</v>
      </c>
      <c r="AO110" s="1547" t="str">
        <f>DATA!AR118</f>
        <v>belum ada dokumen R/C</v>
      </c>
      <c r="AQ110" s="10">
        <f t="shared" si="13"/>
        <v>0</v>
      </c>
      <c r="AR110" s="10">
        <f t="shared" si="10"/>
        <v>200000000</v>
      </c>
      <c r="AS110" s="10">
        <f t="shared" si="11"/>
        <v>0</v>
      </c>
      <c r="AT110" s="10">
        <f t="shared" si="12"/>
        <v>0</v>
      </c>
    </row>
    <row r="111" spans="1:46" s="4" customFormat="1" ht="24.95" customHeight="1">
      <c r="J111" s="250"/>
      <c r="K111" s="25">
        <f>DATA!E119</f>
        <v>3</v>
      </c>
      <c r="L111" s="108" t="str">
        <f>DATA!F119</f>
        <v>Kementerian Perhubungan</v>
      </c>
      <c r="M111" s="25"/>
      <c r="N111" s="1416"/>
      <c r="O111" s="213">
        <f>O112+O121</f>
        <v>5542336700</v>
      </c>
      <c r="P111" s="194">
        <f>P112+P121</f>
        <v>9122613000</v>
      </c>
      <c r="Q111" s="194">
        <f>Q112+Q121</f>
        <v>1478837700</v>
      </c>
      <c r="R111" s="194" t="e">
        <f>R112+R121</f>
        <v>#REF!</v>
      </c>
      <c r="S111" s="242" t="e">
        <f t="shared" si="15"/>
        <v>#REF!</v>
      </c>
      <c r="T111" s="1434"/>
      <c r="U111" s="1549"/>
      <c r="V111" s="80" t="e">
        <f>+V112+V121</f>
        <v>#REF!</v>
      </c>
      <c r="W111" s="80" t="e">
        <f>+W112+W121</f>
        <v>#REF!</v>
      </c>
      <c r="X111" s="241"/>
      <c r="Y111" s="80">
        <f>+Y112+Y121</f>
        <v>9313613000</v>
      </c>
      <c r="Z111" s="80"/>
      <c r="AA111" s="1465"/>
      <c r="AB111" s="1466"/>
      <c r="AC111" s="1467"/>
      <c r="AD111" s="1468"/>
      <c r="AE111" s="1468"/>
      <c r="AF111" s="1468"/>
      <c r="AG111" s="1500"/>
      <c r="AH111" s="195">
        <f>+AH112+AH121</f>
        <v>9122613000</v>
      </c>
      <c r="AI111" s="80" t="s">
        <v>21</v>
      </c>
      <c r="AJ111" s="213"/>
      <c r="AK111" s="1501"/>
      <c r="AL111" s="1502"/>
      <c r="AM111" s="168"/>
      <c r="AN111" s="1503"/>
      <c r="AO111" s="1529"/>
      <c r="AQ111" s="10">
        <f t="shared" si="13"/>
        <v>0</v>
      </c>
      <c r="AR111" s="10">
        <f t="shared" si="10"/>
        <v>0</v>
      </c>
      <c r="AS111" s="10">
        <f t="shared" si="11"/>
        <v>0</v>
      </c>
      <c r="AT111" s="10">
        <f t="shared" si="12"/>
        <v>0</v>
      </c>
    </row>
    <row r="112" spans="1:46" s="5" customFormat="1" ht="33.75" customHeight="1">
      <c r="J112" s="180"/>
      <c r="K112" s="29"/>
      <c r="L112" s="30" t="str">
        <f>DATA!I119</f>
        <v>A</v>
      </c>
      <c r="M112" s="31" t="str">
        <f>DATA!J119</f>
        <v>Program Pengembangan Perkeretaapian</v>
      </c>
      <c r="N112" s="1419"/>
      <c r="O112" s="214">
        <f>O113+O114+O115+O116+O119+O120+O117+O118</f>
        <v>5542336700</v>
      </c>
      <c r="P112" s="1436">
        <f>P113+P114+P115+P116+P119+P120+P117+P118</f>
        <v>7135239900</v>
      </c>
      <c r="Q112" s="197">
        <f>SUM(Q113:Q120)</f>
        <v>876537700</v>
      </c>
      <c r="R112" s="197" t="e">
        <f>#REF!+R113+R114+R115+R116+R119+R120+R117+R118</f>
        <v>#REF!</v>
      </c>
      <c r="S112" s="244" t="e">
        <f t="shared" si="15"/>
        <v>#REF!</v>
      </c>
      <c r="T112" s="1437"/>
      <c r="U112" s="1539"/>
      <c r="V112" s="81" t="e">
        <f>#REF!+V113+V114+V115+V116+V119+V120+V117+V118</f>
        <v>#REF!</v>
      </c>
      <c r="W112" s="81" t="e">
        <f>#REF!+W113+W114+W115+W116+W119+W120+W117+W118</f>
        <v>#REF!</v>
      </c>
      <c r="X112" s="243"/>
      <c r="Y112" s="81">
        <f>Y113+Y114+Y115+Y116+Y119+Y120+Y117+Y118</f>
        <v>7326239900</v>
      </c>
      <c r="Z112" s="81"/>
      <c r="AA112" s="1469"/>
      <c r="AB112" s="1470"/>
      <c r="AC112" s="1471"/>
      <c r="AD112" s="1472"/>
      <c r="AE112" s="1472"/>
      <c r="AF112" s="1472"/>
      <c r="AG112" s="1504"/>
      <c r="AH112" s="198">
        <f>AH113+AH114+AH115+AH116+AH119+AH120+AH117+AH118</f>
        <v>7135239900</v>
      </c>
      <c r="AI112" s="81" t="s">
        <v>21</v>
      </c>
      <c r="AJ112" s="214"/>
      <c r="AK112" s="1505"/>
      <c r="AL112" s="1506"/>
      <c r="AM112" s="169"/>
      <c r="AN112" s="1507"/>
      <c r="AO112" s="1530"/>
      <c r="AQ112" s="10">
        <f t="shared" si="13"/>
        <v>0</v>
      </c>
      <c r="AR112" s="10">
        <f t="shared" si="10"/>
        <v>0</v>
      </c>
      <c r="AS112" s="10">
        <f t="shared" si="11"/>
        <v>0</v>
      </c>
      <c r="AT112" s="10">
        <f t="shared" si="12"/>
        <v>0</v>
      </c>
    </row>
    <row r="113" spans="1:46" ht="55.5" customHeight="1">
      <c r="A113" s="10">
        <f>DATA!A121</f>
        <v>92</v>
      </c>
      <c r="B113" s="10">
        <f>DATA!B121</f>
        <v>0</v>
      </c>
      <c r="C113" s="10" t="str">
        <f>DATA!D121</f>
        <v>INFRASTRUKTUR</v>
      </c>
      <c r="D113" s="10">
        <f>DATA!E121</f>
        <v>3</v>
      </c>
      <c r="E113" s="10" t="str">
        <f>DATA!F121</f>
        <v>Kementerian Perhubungan</v>
      </c>
      <c r="F113" s="10" t="str">
        <f>DATA!H121</f>
        <v>Railway Development Program</v>
      </c>
      <c r="G113" s="10" t="str">
        <f>DATA!I121</f>
        <v>A</v>
      </c>
      <c r="H113" s="10" t="str">
        <f>DATA!J121</f>
        <v>Program Pengembangan Perkeretaapian</v>
      </c>
      <c r="I113" s="10">
        <f>DATA!K121</f>
        <v>1</v>
      </c>
      <c r="J113" s="181"/>
      <c r="K113" s="34"/>
      <c r="L113" s="34"/>
      <c r="M113" s="3390">
        <v>63</v>
      </c>
      <c r="N113" s="199" t="str">
        <f>DATA!L121</f>
        <v>Procurement of Track Material and Turn Out - Phase III</v>
      </c>
      <c r="O113" s="1402">
        <f>DATA!T121</f>
        <v>292336700</v>
      </c>
      <c r="P113" s="187">
        <f>DATA!U121</f>
        <v>292336700</v>
      </c>
      <c r="Q113" s="1446">
        <f>DATA!V121</f>
        <v>73084200</v>
      </c>
      <c r="R113" s="1446">
        <f>DATA!W121</f>
        <v>0</v>
      </c>
      <c r="S113" s="1447">
        <f t="shared" si="15"/>
        <v>365420900</v>
      </c>
      <c r="T113" s="1448"/>
      <c r="U113" s="1449" t="str">
        <f>DATA!Y121</f>
        <v>Belum Ada Indikasi</v>
      </c>
      <c r="V113" s="77">
        <v>0</v>
      </c>
      <c r="W113" s="77">
        <f>DATA!AA121</f>
        <v>292336700</v>
      </c>
      <c r="X113" s="1450" t="str">
        <f>DATA!Y121</f>
        <v>Belum Ada Indikasi</v>
      </c>
      <c r="Y113" s="109">
        <v>292336700</v>
      </c>
      <c r="Z113" s="109" t="s">
        <v>27</v>
      </c>
      <c r="AA113" s="1484" t="s">
        <v>1160</v>
      </c>
      <c r="AB113" s="828"/>
      <c r="AC113" s="1485"/>
      <c r="AD113" s="1486"/>
      <c r="AE113" s="1486"/>
      <c r="AF113" s="1486"/>
      <c r="AG113" s="3257" t="s">
        <v>1207</v>
      </c>
      <c r="AH113" s="1509">
        <f>DATA!AT121</f>
        <v>292336700</v>
      </c>
      <c r="AI113" s="109" t="str">
        <f>DATA!AU121</f>
        <v>AIIB</v>
      </c>
      <c r="AJ113" s="1544" t="str">
        <f>DATA!AW121</f>
        <v>- usulan K/L semula lender: Belum Ada Indikasi
- usulan Dit.Multilateral, diusulkan kepada AIIB.</v>
      </c>
      <c r="AK113" s="245">
        <f>DATA!AM121</f>
        <v>0</v>
      </c>
      <c r="AL113" s="1512" t="str">
        <f>DATA!AN121</f>
        <v>belum ada keterangan</v>
      </c>
      <c r="AM113" s="1522" t="str">
        <f>DATA!AO121</f>
        <v>tidak butuh lahan</v>
      </c>
      <c r="AN113" s="1545">
        <f>DATA!AQ121</f>
        <v>0</v>
      </c>
      <c r="AO113" s="1547" t="str">
        <f>DATA!AR121</f>
        <v>belum ada dokumen R/C</v>
      </c>
      <c r="AQ113" s="10">
        <f t="shared" si="13"/>
        <v>292336700</v>
      </c>
      <c r="AR113" s="10">
        <f t="shared" si="10"/>
        <v>0</v>
      </c>
      <c r="AS113" s="10">
        <f t="shared" si="11"/>
        <v>0</v>
      </c>
      <c r="AT113" s="10">
        <f t="shared" si="12"/>
        <v>0</v>
      </c>
    </row>
    <row r="114" spans="1:46" ht="44.25" customHeight="1">
      <c r="J114" s="181"/>
      <c r="K114" s="34"/>
      <c r="L114" s="34"/>
      <c r="M114" s="3391"/>
      <c r="N114" s="199" t="str">
        <f>DATA!L122</f>
        <v>Procurement of Track Material and Turn Out - Phase IV</v>
      </c>
      <c r="O114" s="1402">
        <f>DATA!T122</f>
        <v>0</v>
      </c>
      <c r="P114" s="187">
        <f>DATA!U122</f>
        <v>126830200</v>
      </c>
      <c r="Q114" s="187">
        <f>DATA!V122</f>
        <v>22381800</v>
      </c>
      <c r="R114" s="187">
        <f>DATA!W122</f>
        <v>0</v>
      </c>
      <c r="S114" s="1447">
        <f t="shared" si="15"/>
        <v>149212000</v>
      </c>
      <c r="T114" s="1448"/>
      <c r="U114" s="1449"/>
      <c r="V114" s="77">
        <v>0</v>
      </c>
      <c r="W114" s="77">
        <f>DATA!AA122</f>
        <v>126830200</v>
      </c>
      <c r="X114" s="1607" t="str">
        <f>DATA!Y122</f>
        <v>Belum Ada Indikasi</v>
      </c>
      <c r="Y114" s="109">
        <v>126830200</v>
      </c>
      <c r="Z114" s="109" t="s">
        <v>27</v>
      </c>
      <c r="AA114" s="1484" t="s">
        <v>879</v>
      </c>
      <c r="AB114" s="828"/>
      <c r="AC114" s="1485"/>
      <c r="AD114" s="1486"/>
      <c r="AE114" s="1486"/>
      <c r="AF114" s="1486"/>
      <c r="AG114" s="3257" t="s">
        <v>1208</v>
      </c>
      <c r="AH114" s="1509">
        <f>DATA!AT122</f>
        <v>126830200</v>
      </c>
      <c r="AI114" s="109" t="str">
        <f>DATA!AU122</f>
        <v>RRT</v>
      </c>
      <c r="AJ114" s="1544">
        <f>DATA!AW122</f>
        <v>0</v>
      </c>
      <c r="AK114" s="245">
        <f>DATA!AM122</f>
        <v>0</v>
      </c>
      <c r="AL114" s="1512"/>
      <c r="AM114" s="1522"/>
      <c r="AN114" s="1545">
        <f>DATA!AQ122</f>
        <v>0</v>
      </c>
      <c r="AO114" s="1547" t="str">
        <f>DATA!AR122</f>
        <v>belum ada dokumen R/C</v>
      </c>
      <c r="AQ114" s="10">
        <f t="shared" si="13"/>
        <v>126830200</v>
      </c>
      <c r="AR114" s="10">
        <f t="shared" si="10"/>
        <v>0</v>
      </c>
      <c r="AS114" s="10">
        <f t="shared" si="11"/>
        <v>0</v>
      </c>
      <c r="AT114" s="10">
        <f t="shared" si="12"/>
        <v>0</v>
      </c>
    </row>
    <row r="115" spans="1:46" ht="78" customHeight="1">
      <c r="A115" s="10">
        <f>DATA!A123</f>
        <v>93</v>
      </c>
      <c r="B115" s="10">
        <f>DATA!B123</f>
        <v>0</v>
      </c>
      <c r="C115" s="10" t="str">
        <f>DATA!D123</f>
        <v>INFRASTRUKTUR</v>
      </c>
      <c r="D115" s="10">
        <f>DATA!E123</f>
        <v>3</v>
      </c>
      <c r="E115" s="10" t="str">
        <f>DATA!F123</f>
        <v>Kementerian Perhubungan</v>
      </c>
      <c r="F115" s="10" t="str">
        <f>DATA!H123</f>
        <v>Railway Development Program</v>
      </c>
      <c r="G115" s="10" t="str">
        <f>DATA!I123</f>
        <v>A</v>
      </c>
      <c r="H115" s="10" t="str">
        <f>DATA!J123</f>
        <v>Program Pengembangan Perkeretaapian</v>
      </c>
      <c r="I115" s="10">
        <f>DATA!K123</f>
        <v>2</v>
      </c>
      <c r="J115" s="181"/>
      <c r="K115" s="34"/>
      <c r="L115" s="34"/>
      <c r="M115" s="172">
        <v>64</v>
      </c>
      <c r="N115" s="271" t="s">
        <v>1209</v>
      </c>
      <c r="O115" s="1402">
        <f>DATA!T123</f>
        <v>1678000000</v>
      </c>
      <c r="P115" s="187">
        <f>DATA!U123</f>
        <v>1678000000</v>
      </c>
      <c r="Q115" s="1446">
        <f>DATA!V123</f>
        <v>167800000</v>
      </c>
      <c r="R115" s="1446">
        <f>DATA!W123</f>
        <v>0</v>
      </c>
      <c r="S115" s="1447">
        <f t="shared" si="15"/>
        <v>1845800000</v>
      </c>
      <c r="T115" s="1448"/>
      <c r="U115" s="1449" t="str">
        <f>DATA!Y123</f>
        <v>JICA</v>
      </c>
      <c r="V115" s="77">
        <f>DATA!AA123</f>
        <v>1678000000</v>
      </c>
      <c r="W115" s="77">
        <v>0</v>
      </c>
      <c r="X115" s="1450" t="str">
        <f>DATA!Y123</f>
        <v>JICA</v>
      </c>
      <c r="Y115" s="77">
        <v>1869000000</v>
      </c>
      <c r="Z115" s="88" t="s">
        <v>55</v>
      </c>
      <c r="AA115" s="1484" t="s">
        <v>1189</v>
      </c>
      <c r="AB115" s="828"/>
      <c r="AC115" s="1485"/>
      <c r="AD115" s="1486"/>
      <c r="AE115" s="1486"/>
      <c r="AF115" s="1486"/>
      <c r="AG115" s="1663" t="s">
        <v>1210</v>
      </c>
      <c r="AH115" s="1509">
        <f>DATA!AT123</f>
        <v>1678000000</v>
      </c>
      <c r="AI115" s="109" t="str">
        <f>DATA!AU123</f>
        <v>JICA</v>
      </c>
      <c r="AJ115" s="1544" t="str">
        <f>DATA!AW123</f>
        <v>Belum proses</v>
      </c>
      <c r="AK115" s="245">
        <f>DATA!AM123</f>
        <v>0</v>
      </c>
      <c r="AL115" s="1512" t="str">
        <f>DATA!AN123</f>
        <v>dalam proses
(memiliki FS)</v>
      </c>
      <c r="AM115" s="1522" t="str">
        <f>DATA!AO123</f>
        <v>dalam proses
(perencanaan)</v>
      </c>
      <c r="AN115" s="1545">
        <f>DATA!AQ123</f>
        <v>0</v>
      </c>
      <c r="AO115" s="1547" t="str">
        <f>DATA!AR123</f>
        <v>belum ada dokumen R/C</v>
      </c>
      <c r="AQ115" s="10">
        <f t="shared" si="13"/>
        <v>0</v>
      </c>
      <c r="AR115" s="10">
        <f t="shared" si="10"/>
        <v>1869000000</v>
      </c>
      <c r="AS115" s="10">
        <f t="shared" si="11"/>
        <v>0</v>
      </c>
      <c r="AT115" s="10">
        <f t="shared" si="12"/>
        <v>0</v>
      </c>
    </row>
    <row r="116" spans="1:46" ht="78.75" customHeight="1">
      <c r="A116" s="10">
        <f>DATA!A124</f>
        <v>94</v>
      </c>
      <c r="B116" s="10">
        <f>DATA!B124</f>
        <v>0</v>
      </c>
      <c r="C116" s="10" t="str">
        <f>DATA!D124</f>
        <v>INFRASTRUKTUR</v>
      </c>
      <c r="D116" s="10">
        <f>DATA!E124</f>
        <v>3</v>
      </c>
      <c r="E116" s="10" t="str">
        <f>DATA!F124</f>
        <v>Kementerian Perhubungan</v>
      </c>
      <c r="F116" s="10" t="str">
        <f>DATA!H124</f>
        <v>Railway Development Program</v>
      </c>
      <c r="G116" s="10" t="str">
        <f>DATA!I124</f>
        <v>A</v>
      </c>
      <c r="H116" s="10" t="str">
        <f>DATA!J124</f>
        <v>Program Pengembangan Perkeretaapian</v>
      </c>
      <c r="I116" s="10">
        <f>DATA!K124</f>
        <v>3</v>
      </c>
      <c r="J116" s="181"/>
      <c r="K116" s="34"/>
      <c r="L116" s="34"/>
      <c r="M116" s="172">
        <v>65</v>
      </c>
      <c r="N116" s="199" t="str">
        <f>DATA!L124</f>
        <v>Construction of Jakarta Mass Rapid Transit East-West Line Project - Phase I</v>
      </c>
      <c r="O116" s="1402">
        <f>DATA!T124</f>
        <v>3572000000</v>
      </c>
      <c r="P116" s="187">
        <f>DATA!U124</f>
        <v>3572000000</v>
      </c>
      <c r="Q116" s="1446">
        <f>DATA!V124</f>
        <v>357200000</v>
      </c>
      <c r="R116" s="1446">
        <f>DATA!W124</f>
        <v>0</v>
      </c>
      <c r="S116" s="1447">
        <f t="shared" si="15"/>
        <v>3929200000</v>
      </c>
      <c r="T116" s="1448"/>
      <c r="U116" s="1449" t="str">
        <f>DATA!Y124</f>
        <v>JICA</v>
      </c>
      <c r="V116" s="77">
        <f>DATA!AA124</f>
        <v>3572000000</v>
      </c>
      <c r="W116" s="77">
        <v>0</v>
      </c>
      <c r="X116" s="1450" t="str">
        <f>DATA!Y124</f>
        <v>JICA</v>
      </c>
      <c r="Y116" s="109">
        <v>3572000000</v>
      </c>
      <c r="Z116" s="109" t="s">
        <v>55</v>
      </c>
      <c r="AA116" s="1484" t="s">
        <v>879</v>
      </c>
      <c r="AB116" s="828"/>
      <c r="AC116" s="1485"/>
      <c r="AD116" s="1486"/>
      <c r="AE116" s="1486"/>
      <c r="AF116" s="1486"/>
      <c r="AG116" s="1662" t="s">
        <v>1211</v>
      </c>
      <c r="AH116" s="1509">
        <f>DATA!AT124</f>
        <v>3572000000</v>
      </c>
      <c r="AI116" s="109" t="str">
        <f>DATA!AU124</f>
        <v>JICA</v>
      </c>
      <c r="AJ116" s="1544" t="str">
        <f>DATA!AW124</f>
        <v>Sebagian akan diteruspinjamkan kepada Pemprov. DKI Jakarta</v>
      </c>
      <c r="AK116" s="245">
        <f>DATA!AM124</f>
        <v>0</v>
      </c>
      <c r="AL116" s="1512" t="str">
        <f>DATA!AN124</f>
        <v>dalam proses
(memiliki FS)</v>
      </c>
      <c r="AM116" s="1522" t="str">
        <f>DATA!AO124</f>
        <v>dalam proses
(perencanaan)</v>
      </c>
      <c r="AN116" s="1545">
        <f>DATA!AQ124</f>
        <v>0</v>
      </c>
      <c r="AO116" s="1547" t="str">
        <f>DATA!AR124</f>
        <v>belum ada dokumen R/C</v>
      </c>
      <c r="AQ116" s="10">
        <f t="shared" si="13"/>
        <v>0</v>
      </c>
      <c r="AR116" s="10">
        <f t="shared" si="10"/>
        <v>3572000000</v>
      </c>
      <c r="AS116" s="10">
        <f t="shared" si="11"/>
        <v>0</v>
      </c>
      <c r="AT116" s="10">
        <f t="shared" si="12"/>
        <v>0</v>
      </c>
    </row>
    <row r="117" spans="1:46" ht="65.25" customHeight="1">
      <c r="J117" s="181"/>
      <c r="K117" s="34"/>
      <c r="L117" s="34"/>
      <c r="M117" s="172">
        <v>66</v>
      </c>
      <c r="N117" s="199" t="str">
        <f>DATA!L126</f>
        <v>Surabaya Regional Railway Line - Phase I</v>
      </c>
      <c r="O117" s="1402">
        <f>DATA!T126</f>
        <v>0</v>
      </c>
      <c r="P117" s="187">
        <f>DATA!U126</f>
        <v>100000000</v>
      </c>
      <c r="Q117" s="187">
        <f>DATA!V126</f>
        <v>15000000</v>
      </c>
      <c r="R117" s="187">
        <f>DATA!W126</f>
        <v>0</v>
      </c>
      <c r="S117" s="1447">
        <f t="shared" si="15"/>
        <v>115000000</v>
      </c>
      <c r="T117" s="1448"/>
      <c r="U117" s="1449"/>
      <c r="V117" s="77">
        <v>0</v>
      </c>
      <c r="W117" s="77">
        <f>DATA!AA126</f>
        <v>100000000</v>
      </c>
      <c r="X117" s="1450" t="str">
        <f>DATA!Y126</f>
        <v>Belum Ada Indikasi</v>
      </c>
      <c r="Y117" s="109">
        <v>100000000</v>
      </c>
      <c r="Z117" s="109" t="s">
        <v>91</v>
      </c>
      <c r="AA117" s="1484" t="s">
        <v>879</v>
      </c>
      <c r="AB117" s="828"/>
      <c r="AC117" s="1485"/>
      <c r="AD117" s="1486"/>
      <c r="AE117" s="1486"/>
      <c r="AF117" s="1486"/>
      <c r="AG117" s="3258" t="s">
        <v>1212</v>
      </c>
      <c r="AH117" s="1509">
        <f>DATA!AT126</f>
        <v>100000000</v>
      </c>
      <c r="AI117" s="109" t="str">
        <f>DATA!AU126</f>
        <v>Belum Ada Indikasi</v>
      </c>
      <c r="AJ117" s="1544">
        <f>P112+763263600</f>
        <v>7898503500</v>
      </c>
      <c r="AK117" s="245">
        <f>DATA!AM126</f>
        <v>0</v>
      </c>
      <c r="AL117" s="1512" t="str">
        <f>DATA!AN126</f>
        <v>belum ada keterangan</v>
      </c>
      <c r="AM117" s="1512" t="str">
        <f>DATA!AO126</f>
        <v>belum ada keterangan</v>
      </c>
      <c r="AN117" s="1545">
        <f>DATA!AQ126</f>
        <v>0</v>
      </c>
      <c r="AO117" s="1664" t="str">
        <f>DATA!AR126</f>
        <v>belum ada dokumen R/C</v>
      </c>
      <c r="AQ117" s="10">
        <f t="shared" si="13"/>
        <v>0</v>
      </c>
      <c r="AR117" s="10">
        <f t="shared" si="10"/>
        <v>0</v>
      </c>
      <c r="AS117" s="10">
        <f t="shared" si="11"/>
        <v>0</v>
      </c>
      <c r="AT117" s="10">
        <f t="shared" si="12"/>
        <v>0</v>
      </c>
    </row>
    <row r="118" spans="1:46" ht="33.75" customHeight="1">
      <c r="J118" s="181"/>
      <c r="K118" s="34"/>
      <c r="L118" s="34"/>
      <c r="M118" s="172">
        <v>67</v>
      </c>
      <c r="N118" s="199" t="str">
        <f>DATA!L127</f>
        <v>Development of Railway Quality Assurance Facility</v>
      </c>
      <c r="O118" s="1402">
        <f>DATA!T127</f>
        <v>0</v>
      </c>
      <c r="P118" s="187">
        <f>DATA!U127</f>
        <v>461428600</v>
      </c>
      <c r="Q118" s="187">
        <f>DATA!V127</f>
        <v>81428600</v>
      </c>
      <c r="R118" s="187">
        <f>DATA!W127</f>
        <v>0</v>
      </c>
      <c r="S118" s="1447">
        <f t="shared" si="15"/>
        <v>542857200</v>
      </c>
      <c r="T118" s="1550" t="s">
        <v>1095</v>
      </c>
      <c r="U118" s="1449"/>
      <c r="V118" s="77">
        <v>0</v>
      </c>
      <c r="W118" s="77">
        <f>DATA!AA127</f>
        <v>461428600</v>
      </c>
      <c r="X118" s="1450" t="str">
        <f>DATA!Y127</f>
        <v>Belum Ada Indikasi</v>
      </c>
      <c r="Y118" s="109">
        <v>461428600</v>
      </c>
      <c r="Z118" s="109" t="s">
        <v>633</v>
      </c>
      <c r="AA118" s="1484" t="s">
        <v>879</v>
      </c>
      <c r="AB118" s="828"/>
      <c r="AC118" s="1485"/>
      <c r="AD118" s="1486"/>
      <c r="AE118" s="1486"/>
      <c r="AF118" s="1486"/>
      <c r="AG118" s="1514"/>
      <c r="AH118" s="1509">
        <f>DATA!AT127</f>
        <v>461428600</v>
      </c>
      <c r="AI118" s="109" t="str">
        <f>DATA!AU127</f>
        <v>Belum Ada Indikasi</v>
      </c>
      <c r="AJ118" s="1544">
        <f>DATA!AW127</f>
        <v>0</v>
      </c>
      <c r="AK118" s="245">
        <f>DATA!AM127</f>
        <v>0</v>
      </c>
      <c r="AL118" s="1512" t="str">
        <f>DATA!AN127</f>
        <v>belum ada keterangan</v>
      </c>
      <c r="AM118" s="1512" t="str">
        <f>DATA!AO127</f>
        <v>belum ada keterangan</v>
      </c>
      <c r="AN118" s="1545">
        <f>DATA!AQ127</f>
        <v>0</v>
      </c>
      <c r="AO118" s="1664" t="str">
        <f>DATA!AR127</f>
        <v>belum ada dokumen R/C</v>
      </c>
      <c r="AQ118" s="10">
        <f t="shared" si="13"/>
        <v>0</v>
      </c>
      <c r="AR118" s="10">
        <f t="shared" si="10"/>
        <v>0</v>
      </c>
      <c r="AS118" s="10">
        <f t="shared" si="11"/>
        <v>461428600</v>
      </c>
      <c r="AT118" s="10">
        <f t="shared" si="12"/>
        <v>0</v>
      </c>
    </row>
    <row r="119" spans="1:46" ht="34.5" customHeight="1">
      <c r="J119" s="181"/>
      <c r="K119" s="34"/>
      <c r="L119" s="34"/>
      <c r="M119" s="172">
        <v>68</v>
      </c>
      <c r="N119" s="199" t="str">
        <f>DATA!L128</f>
        <v>Construction of Railway line for Bitung - Gorontalo - Isimu</v>
      </c>
      <c r="O119" s="1402">
        <f>DATA!T128</f>
        <v>0</v>
      </c>
      <c r="P119" s="187">
        <f>DATA!U128</f>
        <v>505476800</v>
      </c>
      <c r="Q119" s="187">
        <f>DATA!V128</f>
        <v>89201771</v>
      </c>
      <c r="R119" s="187">
        <f>DATA!W128</f>
        <v>0</v>
      </c>
      <c r="S119" s="1447">
        <f t="shared" si="15"/>
        <v>594678571</v>
      </c>
      <c r="T119" s="1448"/>
      <c r="U119" s="1449"/>
      <c r="V119" s="77">
        <v>0</v>
      </c>
      <c r="W119" s="77">
        <f>DATA!AA128</f>
        <v>505476800</v>
      </c>
      <c r="X119" s="1450" t="str">
        <f>DATA!Y128</f>
        <v>Belum Ada Indikasi</v>
      </c>
      <c r="Y119" s="109">
        <v>505476800</v>
      </c>
      <c r="Z119" s="109" t="s">
        <v>636</v>
      </c>
      <c r="AA119" s="1484" t="s">
        <v>879</v>
      </c>
      <c r="AB119" s="828"/>
      <c r="AC119" s="1485"/>
      <c r="AD119" s="1486"/>
      <c r="AE119" s="1486"/>
      <c r="AF119" s="1486"/>
      <c r="AG119" s="1514"/>
      <c r="AH119" s="1509">
        <f>DATA!AT128</f>
        <v>505476800</v>
      </c>
      <c r="AI119" s="109" t="str">
        <f>DATA!AU128</f>
        <v>Belum Ada Indikasi</v>
      </c>
      <c r="AJ119" s="1544">
        <f>DATA!AW128</f>
        <v>0</v>
      </c>
      <c r="AK119" s="245">
        <f>DATA!AM128</f>
        <v>0</v>
      </c>
      <c r="AL119" s="1512" t="str">
        <f>DATA!AN128</f>
        <v>belum ada keterangan</v>
      </c>
      <c r="AM119" s="1512" t="str">
        <f>DATA!AO128</f>
        <v>belum ada keterangan</v>
      </c>
      <c r="AN119" s="1545">
        <f>DATA!AQ128</f>
        <v>0</v>
      </c>
      <c r="AO119" s="1664" t="str">
        <f>DATA!AR128</f>
        <v>belum ada dokumen R/C</v>
      </c>
      <c r="AQ119" s="10">
        <f t="shared" si="13"/>
        <v>0</v>
      </c>
      <c r="AR119" s="10">
        <f t="shared" si="10"/>
        <v>0</v>
      </c>
      <c r="AS119" s="10">
        <f t="shared" si="11"/>
        <v>0</v>
      </c>
      <c r="AT119" s="10">
        <f t="shared" si="12"/>
        <v>0</v>
      </c>
    </row>
    <row r="120" spans="1:46" ht="33" customHeight="1">
      <c r="J120" s="181"/>
      <c r="K120" s="34"/>
      <c r="L120" s="34"/>
      <c r="M120" s="172">
        <v>69</v>
      </c>
      <c r="N120" s="199" t="str">
        <f>DATA!L129</f>
        <v>Construction of Railway line for Pare-pare - Mamuju</v>
      </c>
      <c r="O120" s="1402">
        <f>DATA!T129</f>
        <v>0</v>
      </c>
      <c r="P120" s="187">
        <f>DATA!U129</f>
        <v>399167600</v>
      </c>
      <c r="Q120" s="187">
        <f>DATA!V129</f>
        <v>70441329</v>
      </c>
      <c r="R120" s="187">
        <f>DATA!W129</f>
        <v>0</v>
      </c>
      <c r="S120" s="1447">
        <f t="shared" si="15"/>
        <v>469608929</v>
      </c>
      <c r="T120" s="1448"/>
      <c r="U120" s="1449"/>
      <c r="V120" s="77">
        <v>0</v>
      </c>
      <c r="W120" s="77">
        <f>DATA!AA129</f>
        <v>399167600</v>
      </c>
      <c r="X120" s="1450" t="str">
        <f>DATA!Y129</f>
        <v>Belum Ada Indikasi</v>
      </c>
      <c r="Y120" s="109">
        <v>399167600</v>
      </c>
      <c r="Z120" s="109" t="s">
        <v>636</v>
      </c>
      <c r="AA120" s="1484" t="s">
        <v>879</v>
      </c>
      <c r="AB120" s="828"/>
      <c r="AC120" s="1485"/>
      <c r="AD120" s="1486"/>
      <c r="AE120" s="1486"/>
      <c r="AF120" s="1486"/>
      <c r="AG120" s="1514"/>
      <c r="AH120" s="1509">
        <f>DATA!AT129</f>
        <v>399167600</v>
      </c>
      <c r="AI120" s="109" t="str">
        <f>DATA!AU129</f>
        <v>Belum Ada Indikasi</v>
      </c>
      <c r="AJ120" s="1544">
        <f>DATA!AW129</f>
        <v>0</v>
      </c>
      <c r="AK120" s="245">
        <f>DATA!AM129</f>
        <v>0</v>
      </c>
      <c r="AL120" s="1512" t="str">
        <f>DATA!AN129</f>
        <v>belum ada keterangan</v>
      </c>
      <c r="AM120" s="1512" t="str">
        <f>DATA!AO129</f>
        <v>belum ada keterangan</v>
      </c>
      <c r="AN120" s="1545">
        <f>DATA!AQ129</f>
        <v>0</v>
      </c>
      <c r="AO120" s="1555" t="str">
        <f>DATA!AR129</f>
        <v>belum ada dokumen R/C</v>
      </c>
      <c r="AQ120" s="10">
        <f t="shared" si="13"/>
        <v>0</v>
      </c>
      <c r="AR120" s="10">
        <f t="shared" si="10"/>
        <v>0</v>
      </c>
      <c r="AS120" s="10">
        <f t="shared" si="11"/>
        <v>0</v>
      </c>
      <c r="AT120" s="10">
        <f t="shared" si="12"/>
        <v>0</v>
      </c>
    </row>
    <row r="121" spans="1:46" ht="30" customHeight="1">
      <c r="J121" s="181"/>
      <c r="K121" s="34"/>
      <c r="L121" s="30" t="s">
        <v>40</v>
      </c>
      <c r="M121" s="31" t="s">
        <v>896</v>
      </c>
      <c r="N121" s="1419"/>
      <c r="O121" s="214">
        <f>O122+O123+O124+O125</f>
        <v>0</v>
      </c>
      <c r="P121" s="197">
        <f>P122+P123+P124+P125</f>
        <v>1987373100</v>
      </c>
      <c r="Q121" s="1436">
        <f>Q122+Q123+Q124+Q125</f>
        <v>602300000</v>
      </c>
      <c r="R121" s="1436">
        <f>R122+R123+R124+R125</f>
        <v>0</v>
      </c>
      <c r="S121" s="244">
        <f t="shared" si="15"/>
        <v>2589673100</v>
      </c>
      <c r="T121" s="1437"/>
      <c r="U121" s="1539"/>
      <c r="V121" s="81">
        <f>V122+V123+V124+V125</f>
        <v>0</v>
      </c>
      <c r="W121" s="81">
        <f>W122+W123+W124+W125</f>
        <v>1987373100</v>
      </c>
      <c r="X121" s="243"/>
      <c r="Y121" s="81">
        <f>Y122+Y123+Y124+Y125+Y126</f>
        <v>1987373100</v>
      </c>
      <c r="Z121" s="81"/>
      <c r="AA121" s="1469"/>
      <c r="AB121" s="1470"/>
      <c r="AC121" s="1471"/>
      <c r="AD121" s="1472"/>
      <c r="AE121" s="1472"/>
      <c r="AF121" s="1472"/>
      <c r="AG121" s="1504"/>
      <c r="AH121" s="198">
        <f>AH122+AH123+AH124+AH125</f>
        <v>1987373100</v>
      </c>
      <c r="AI121" s="81" t="s">
        <v>21</v>
      </c>
      <c r="AJ121" s="214"/>
      <c r="AK121" s="1505"/>
      <c r="AL121" s="1506"/>
      <c r="AM121" s="169"/>
      <c r="AN121" s="1507"/>
      <c r="AO121" s="1530"/>
      <c r="AQ121" s="10">
        <f t="shared" si="13"/>
        <v>0</v>
      </c>
      <c r="AR121" s="10">
        <f t="shared" si="10"/>
        <v>0</v>
      </c>
      <c r="AS121" s="10">
        <f t="shared" si="11"/>
        <v>0</v>
      </c>
      <c r="AT121" s="10">
        <f t="shared" si="12"/>
        <v>0</v>
      </c>
    </row>
    <row r="122" spans="1:46" ht="36" customHeight="1">
      <c r="J122" s="181"/>
      <c r="K122" s="34"/>
      <c r="L122" s="34"/>
      <c r="M122" s="172">
        <v>70</v>
      </c>
      <c r="N122" s="1548" t="str">
        <f>DATA!L131</f>
        <v>Development and Improvement of Indonesian Aids to Navigation</v>
      </c>
      <c r="O122" s="1402">
        <f>DATA!T131</f>
        <v>0</v>
      </c>
      <c r="P122" s="187">
        <f>DATA!U131</f>
        <v>27402600</v>
      </c>
      <c r="Q122" s="187">
        <f>DATA!V131</f>
        <v>7300000</v>
      </c>
      <c r="R122" s="187">
        <f>DATA!W131</f>
        <v>0</v>
      </c>
      <c r="S122" s="1447">
        <f t="shared" si="15"/>
        <v>34702600</v>
      </c>
      <c r="T122" s="1550" t="s">
        <v>1096</v>
      </c>
      <c r="U122" s="1449"/>
      <c r="V122" s="77">
        <v>0</v>
      </c>
      <c r="W122" s="77">
        <f>DATA!AA131</f>
        <v>27402600</v>
      </c>
      <c r="X122" s="1450" t="str">
        <f>DATA!Y131</f>
        <v>Belum Ada Indikasi</v>
      </c>
      <c r="Y122" s="109">
        <v>27402600</v>
      </c>
      <c r="Z122" s="109" t="s">
        <v>1213</v>
      </c>
      <c r="AA122" s="1484" t="s">
        <v>879</v>
      </c>
      <c r="AB122" s="828"/>
      <c r="AC122" s="1485"/>
      <c r="AD122" s="1486"/>
      <c r="AE122" s="1486"/>
      <c r="AF122" s="1486"/>
      <c r="AG122" s="1508" t="s">
        <v>1214</v>
      </c>
      <c r="AH122" s="1509">
        <f>DATA!AT131</f>
        <v>27402600</v>
      </c>
      <c r="AI122" s="109" t="str">
        <f>DATA!AU131</f>
        <v>Belum Ada Indikasi</v>
      </c>
      <c r="AJ122" s="1544">
        <f>DATA!AW131</f>
        <v>0</v>
      </c>
      <c r="AK122" s="245">
        <f>DATA!AM131</f>
        <v>0</v>
      </c>
      <c r="AL122" s="1512" t="str">
        <f>DATA!AN131</f>
        <v>belum ada keterangan</v>
      </c>
      <c r="AM122" s="1512" t="str">
        <f>DATA!AO131</f>
        <v>belum ada keterangan</v>
      </c>
      <c r="AN122" s="1512">
        <f>DATA!AQ131</f>
        <v>0</v>
      </c>
      <c r="AO122" s="1555">
        <f>DATA!AR131</f>
        <v>0</v>
      </c>
      <c r="AQ122" s="10">
        <f t="shared" si="13"/>
        <v>0</v>
      </c>
      <c r="AR122" s="10">
        <f t="shared" si="10"/>
        <v>0</v>
      </c>
      <c r="AS122" s="10">
        <f t="shared" si="11"/>
        <v>0</v>
      </c>
      <c r="AT122" s="10">
        <f t="shared" si="12"/>
        <v>27402600</v>
      </c>
    </row>
    <row r="123" spans="1:46" ht="30.75" customHeight="1">
      <c r="J123" s="181"/>
      <c r="K123" s="34"/>
      <c r="L123" s="34"/>
      <c r="M123" s="172">
        <v>71</v>
      </c>
      <c r="N123" s="1548" t="str">
        <f>DATA!L132</f>
        <v>Procurement of Navigation First Class Vessels</v>
      </c>
      <c r="O123" s="1402">
        <f>DATA!T132</f>
        <v>0</v>
      </c>
      <c r="P123" s="187">
        <f>DATA!U132</f>
        <v>186237900</v>
      </c>
      <c r="Q123" s="187">
        <f>DATA!V132</f>
        <v>0</v>
      </c>
      <c r="R123" s="187">
        <f>DATA!W132</f>
        <v>0</v>
      </c>
      <c r="S123" s="1447">
        <f t="shared" si="15"/>
        <v>186237900</v>
      </c>
      <c r="T123" s="1550" t="s">
        <v>1097</v>
      </c>
      <c r="U123" s="1449"/>
      <c r="V123" s="77">
        <v>0</v>
      </c>
      <c r="W123" s="77">
        <f>DATA!AA132</f>
        <v>186237900</v>
      </c>
      <c r="X123" s="1450" t="str">
        <f>DATA!Y132</f>
        <v>Belum Ada Indikasi</v>
      </c>
      <c r="Y123" s="109">
        <v>186237900</v>
      </c>
      <c r="Z123" s="109" t="s">
        <v>633</v>
      </c>
      <c r="AA123" s="1484" t="s">
        <v>879</v>
      </c>
      <c r="AB123" s="828"/>
      <c r="AC123" s="1485"/>
      <c r="AD123" s="1486"/>
      <c r="AE123" s="1486"/>
      <c r="AF123" s="1486"/>
      <c r="AG123" s="1514"/>
      <c r="AH123" s="1509">
        <f>DATA!AT132</f>
        <v>186237900</v>
      </c>
      <c r="AI123" s="109" t="str">
        <f>DATA!AU132</f>
        <v>Belum Ada Indikasi</v>
      </c>
      <c r="AJ123" s="1544">
        <f>DATA!AW132</f>
        <v>0</v>
      </c>
      <c r="AK123" s="245">
        <f>DATA!AM132</f>
        <v>0</v>
      </c>
      <c r="AL123" s="1512" t="str">
        <f>DATA!AN132</f>
        <v>belum ada keterangan</v>
      </c>
      <c r="AM123" s="1512" t="str">
        <f>DATA!AO132</f>
        <v>belum ada keterangan</v>
      </c>
      <c r="AN123" s="1512">
        <f>DATA!AQ132</f>
        <v>0</v>
      </c>
      <c r="AO123" s="1555">
        <f>DATA!AR132</f>
        <v>0</v>
      </c>
      <c r="AQ123" s="10">
        <f t="shared" si="13"/>
        <v>0</v>
      </c>
      <c r="AR123" s="10">
        <f t="shared" si="10"/>
        <v>0</v>
      </c>
      <c r="AS123" s="10">
        <f t="shared" si="11"/>
        <v>186237900</v>
      </c>
      <c r="AT123" s="10">
        <f t="shared" si="12"/>
        <v>0</v>
      </c>
    </row>
    <row r="124" spans="1:46" ht="78" customHeight="1">
      <c r="J124" s="181"/>
      <c r="K124" s="34"/>
      <c r="L124" s="34"/>
      <c r="M124" s="172">
        <v>72</v>
      </c>
      <c r="N124" s="1548" t="str">
        <f>DATA!L133</f>
        <v>Procurement of Navigation Carrier Vessels</v>
      </c>
      <c r="O124" s="1402">
        <f>DATA!T133</f>
        <v>0</v>
      </c>
      <c r="P124" s="187">
        <f>DATA!U133</f>
        <v>73732600</v>
      </c>
      <c r="Q124" s="187">
        <f>DATA!V133</f>
        <v>0</v>
      </c>
      <c r="R124" s="187">
        <f>DATA!W133</f>
        <v>0</v>
      </c>
      <c r="S124" s="1447">
        <f t="shared" si="15"/>
        <v>73732600</v>
      </c>
      <c r="T124" s="1550" t="s">
        <v>1098</v>
      </c>
      <c r="U124" s="1449"/>
      <c r="V124" s="77">
        <v>0</v>
      </c>
      <c r="W124" s="77">
        <f>DATA!AA133</f>
        <v>73732600</v>
      </c>
      <c r="X124" s="1450" t="str">
        <f>DATA!Y133</f>
        <v>Belum Ada Indikasi</v>
      </c>
      <c r="Y124" s="109">
        <v>73732600</v>
      </c>
      <c r="Z124" s="109" t="s">
        <v>28</v>
      </c>
      <c r="AA124" s="1484" t="s">
        <v>879</v>
      </c>
      <c r="AB124" s="828"/>
      <c r="AC124" s="1485"/>
      <c r="AD124" s="1486"/>
      <c r="AE124" s="1486"/>
      <c r="AF124" s="1486"/>
      <c r="AG124" s="3257" t="s">
        <v>1215</v>
      </c>
      <c r="AH124" s="1509">
        <f>DATA!AT133</f>
        <v>73732600</v>
      </c>
      <c r="AI124" s="109" t="str">
        <f>DATA!AU133</f>
        <v>Belum Ada Indikasi</v>
      </c>
      <c r="AJ124" s="1544">
        <f>DATA!AW133</f>
        <v>0</v>
      </c>
      <c r="AK124" s="245">
        <f>DATA!AM133</f>
        <v>0</v>
      </c>
      <c r="AL124" s="1512" t="str">
        <f>DATA!AN133</f>
        <v>belum ada keterangan</v>
      </c>
      <c r="AM124" s="1512" t="str">
        <f>DATA!AO133</f>
        <v>belum ada keterangan</v>
      </c>
      <c r="AN124" s="1512">
        <f>DATA!AQ133</f>
        <v>0</v>
      </c>
      <c r="AO124" s="1555">
        <f>DATA!AR133</f>
        <v>0</v>
      </c>
      <c r="AQ124" s="10">
        <f t="shared" si="13"/>
        <v>0</v>
      </c>
      <c r="AR124" s="10">
        <f t="shared" si="10"/>
        <v>0</v>
      </c>
      <c r="AS124" s="10">
        <f t="shared" si="11"/>
        <v>0</v>
      </c>
      <c r="AT124" s="10">
        <f t="shared" si="12"/>
        <v>73732600</v>
      </c>
    </row>
    <row r="125" spans="1:46" ht="123" customHeight="1">
      <c r="J125" s="181"/>
      <c r="K125" s="34"/>
      <c r="L125" s="34"/>
      <c r="M125" s="172">
        <v>73</v>
      </c>
      <c r="N125" s="1548" t="str">
        <f>DATA!L134</f>
        <v>The Development of Patimban Port - Stage I</v>
      </c>
      <c r="O125" s="1402">
        <f>DATA!T134</f>
        <v>0</v>
      </c>
      <c r="P125" s="187">
        <f>DATA!U134</f>
        <v>1700000000</v>
      </c>
      <c r="Q125" s="187">
        <f>DATA!V134</f>
        <v>595000000</v>
      </c>
      <c r="R125" s="187">
        <f>DATA!W134</f>
        <v>0</v>
      </c>
      <c r="S125" s="1447">
        <f t="shared" si="15"/>
        <v>2295000000</v>
      </c>
      <c r="T125" s="1448"/>
      <c r="U125" s="1449"/>
      <c r="V125" s="77">
        <v>0</v>
      </c>
      <c r="W125" s="77">
        <f>DATA!AA134</f>
        <v>1700000000</v>
      </c>
      <c r="X125" s="1450" t="str">
        <f>DATA!Y134</f>
        <v>Belum Ada Indikasi</v>
      </c>
      <c r="Y125" s="618">
        <v>1025052000</v>
      </c>
      <c r="Z125" s="109" t="s">
        <v>55</v>
      </c>
      <c r="AA125" s="3259" t="s">
        <v>1216</v>
      </c>
      <c r="AB125" s="1478"/>
      <c r="AC125" s="1479"/>
      <c r="AD125" s="1480"/>
      <c r="AE125" s="1480"/>
      <c r="AF125" s="1480"/>
      <c r="AG125" s="3260" t="s">
        <v>1217</v>
      </c>
      <c r="AH125" s="1509">
        <f>DATA!AT134</f>
        <v>1700000000</v>
      </c>
      <c r="AI125" s="109" t="str">
        <f>DATA!AU134</f>
        <v>JICA</v>
      </c>
      <c r="AJ125" s="1544">
        <f>DATA!AW134</f>
        <v>0</v>
      </c>
      <c r="AK125" s="245">
        <f>DATA!AM134</f>
        <v>0</v>
      </c>
      <c r="AL125" s="1512" t="str">
        <f>DATA!AN134</f>
        <v>belum ada keterangan</v>
      </c>
      <c r="AM125" s="1512" t="str">
        <f>DATA!AO134</f>
        <v>belum ada keterangan</v>
      </c>
      <c r="AN125" s="1512">
        <f>DATA!AQ134</f>
        <v>0</v>
      </c>
      <c r="AO125" s="1555" t="str">
        <f>DATA!AR134</f>
        <v>belum ada dokumen R/C</v>
      </c>
      <c r="AQ125" s="10">
        <f t="shared" si="13"/>
        <v>0</v>
      </c>
      <c r="AR125" s="10">
        <f t="shared" si="10"/>
        <v>1025052000</v>
      </c>
      <c r="AS125" s="10">
        <f t="shared" si="11"/>
        <v>0</v>
      </c>
      <c r="AT125" s="10">
        <f t="shared" si="12"/>
        <v>0</v>
      </c>
    </row>
    <row r="126" spans="1:46" ht="24.75" customHeight="1">
      <c r="J126" s="181"/>
      <c r="K126" s="34"/>
      <c r="L126" s="34"/>
      <c r="M126" s="172"/>
      <c r="N126" s="1548"/>
      <c r="O126" s="1402"/>
      <c r="P126" s="187"/>
      <c r="Q126" s="187"/>
      <c r="R126" s="187"/>
      <c r="S126" s="1447"/>
      <c r="T126" s="1448"/>
      <c r="U126" s="1449"/>
      <c r="V126" s="77"/>
      <c r="W126" s="77"/>
      <c r="X126" s="1450"/>
      <c r="Y126" s="618">
        <f>1700000000-Y125</f>
        <v>674948000</v>
      </c>
      <c r="Z126" s="109" t="s">
        <v>55</v>
      </c>
      <c r="AA126" s="1484" t="s">
        <v>879</v>
      </c>
      <c r="AB126" s="828"/>
      <c r="AC126" s="1485"/>
      <c r="AD126" s="1486"/>
      <c r="AE126" s="1486"/>
      <c r="AF126" s="1486"/>
      <c r="AG126" s="1514"/>
      <c r="AH126" s="1509"/>
      <c r="AI126" s="109"/>
      <c r="AJ126" s="1544"/>
      <c r="AK126" s="245"/>
      <c r="AL126" s="1512"/>
      <c r="AM126" s="1512"/>
      <c r="AN126" s="1553"/>
      <c r="AO126" s="1555"/>
      <c r="AQ126" s="10">
        <f t="shared" si="13"/>
        <v>0</v>
      </c>
      <c r="AR126" s="10">
        <f t="shared" si="10"/>
        <v>674948000</v>
      </c>
      <c r="AS126" s="10">
        <f t="shared" si="11"/>
        <v>0</v>
      </c>
      <c r="AT126" s="10">
        <f t="shared" si="12"/>
        <v>0</v>
      </c>
    </row>
    <row r="127" spans="1:46" s="4" customFormat="1" ht="24.95" customHeight="1">
      <c r="J127" s="250"/>
      <c r="K127" s="25">
        <v>4</v>
      </c>
      <c r="L127" s="108" t="str">
        <f>DATA!F135</f>
        <v>Kementerian Komunikasi dan Informatika</v>
      </c>
      <c r="M127" s="25"/>
      <c r="N127" s="1416"/>
      <c r="O127" s="213">
        <f>+O128</f>
        <v>556000000</v>
      </c>
      <c r="P127" s="194">
        <f>+P128</f>
        <v>556000000</v>
      </c>
      <c r="Q127" s="194">
        <f>+Q128</f>
        <v>61000000</v>
      </c>
      <c r="R127" s="194">
        <f>+R128</f>
        <v>10000000</v>
      </c>
      <c r="S127" s="242">
        <f t="shared" si="15"/>
        <v>627000000</v>
      </c>
      <c r="T127" s="1434"/>
      <c r="U127" s="1549"/>
      <c r="V127" s="80">
        <f>+V128</f>
        <v>145000000</v>
      </c>
      <c r="W127" s="80">
        <f>+W128</f>
        <v>411000000</v>
      </c>
      <c r="X127" s="241"/>
      <c r="Y127" s="80">
        <f>+Y128</f>
        <v>556000000</v>
      </c>
      <c r="Z127" s="80"/>
      <c r="AA127" s="1465"/>
      <c r="AB127" s="1466"/>
      <c r="AC127" s="1467"/>
      <c r="AD127" s="1468"/>
      <c r="AE127" s="1468"/>
      <c r="AF127" s="1468"/>
      <c r="AG127" s="1500"/>
      <c r="AH127" s="195">
        <f>+AH128</f>
        <v>556000000</v>
      </c>
      <c r="AI127" s="80" t="s">
        <v>21</v>
      </c>
      <c r="AJ127" s="213"/>
      <c r="AK127" s="1501"/>
      <c r="AL127" s="1502"/>
      <c r="AM127" s="168"/>
      <c r="AN127" s="1503"/>
      <c r="AO127" s="1529"/>
      <c r="AP127" s="5"/>
      <c r="AQ127" s="10">
        <f t="shared" si="13"/>
        <v>0</v>
      </c>
      <c r="AR127" s="10">
        <f t="shared" si="10"/>
        <v>0</v>
      </c>
      <c r="AS127" s="10">
        <f t="shared" si="11"/>
        <v>0</v>
      </c>
      <c r="AT127" s="10">
        <f t="shared" si="12"/>
        <v>0</v>
      </c>
    </row>
    <row r="128" spans="1:46" s="5" customFormat="1" ht="33.75" customHeight="1">
      <c r="J128" s="180"/>
      <c r="K128" s="1670"/>
      <c r="L128" s="30" t="str">
        <f>DATA!I135</f>
        <v>A</v>
      </c>
      <c r="M128" s="31" t="str">
        <f>DATA!J135</f>
        <v>Program Pengembangan Infrastruktur TIK dan Penyiaran</v>
      </c>
      <c r="N128" s="1419"/>
      <c r="O128" s="214">
        <f>+O129+O130</f>
        <v>556000000</v>
      </c>
      <c r="P128" s="197">
        <f>+P129+P130</f>
        <v>556000000</v>
      </c>
      <c r="Q128" s="1436">
        <f>+Q129+Q130</f>
        <v>61000000</v>
      </c>
      <c r="R128" s="1436">
        <f>+R129+R130</f>
        <v>10000000</v>
      </c>
      <c r="S128" s="244">
        <f t="shared" si="15"/>
        <v>627000000</v>
      </c>
      <c r="T128" s="1437"/>
      <c r="U128" s="1539"/>
      <c r="V128" s="81">
        <f>+V129+V130</f>
        <v>145000000</v>
      </c>
      <c r="W128" s="81">
        <f>+W129+W130</f>
        <v>411000000</v>
      </c>
      <c r="X128" s="243"/>
      <c r="Y128" s="81">
        <f>+Y129+Y130</f>
        <v>556000000</v>
      </c>
      <c r="Z128" s="81"/>
      <c r="AA128" s="1469"/>
      <c r="AB128" s="1470"/>
      <c r="AC128" s="1471"/>
      <c r="AD128" s="1472"/>
      <c r="AE128" s="1472"/>
      <c r="AF128" s="1472"/>
      <c r="AG128" s="1504"/>
      <c r="AH128" s="198">
        <f>+AH129+AH130</f>
        <v>556000000</v>
      </c>
      <c r="AI128" s="81" t="s">
        <v>21</v>
      </c>
      <c r="AJ128" s="214">
        <f>Y128+Y131</f>
        <v>576000000</v>
      </c>
      <c r="AK128" s="1505"/>
      <c r="AL128" s="1506"/>
      <c r="AM128" s="169"/>
      <c r="AN128" s="1507"/>
      <c r="AO128" s="1530"/>
      <c r="AP128" s="10"/>
      <c r="AQ128" s="10">
        <f t="shared" si="13"/>
        <v>0</v>
      </c>
      <c r="AR128" s="10">
        <f t="shared" si="10"/>
        <v>0</v>
      </c>
      <c r="AS128" s="10">
        <f t="shared" si="11"/>
        <v>0</v>
      </c>
      <c r="AT128" s="10">
        <f t="shared" si="12"/>
        <v>0</v>
      </c>
    </row>
    <row r="129" spans="1:46" ht="33" customHeight="1">
      <c r="A129" s="10">
        <f>DATA!A135</f>
        <v>97</v>
      </c>
      <c r="B129" s="10">
        <f>DATA!B135</f>
        <v>0</v>
      </c>
      <c r="C129" s="10" t="str">
        <f>DATA!D135</f>
        <v>INFRASTRUKTUR</v>
      </c>
      <c r="D129" s="10">
        <f>DATA!E135</f>
        <v>5</v>
      </c>
      <c r="E129" s="10" t="str">
        <f>DATA!F135</f>
        <v>Kementerian Komunikasi dan Informatika</v>
      </c>
      <c r="F129" s="10" t="str">
        <f>DATA!H135</f>
        <v>Information Communication And Technology (ICT) And Broadcasting Infrastructure Development Program</v>
      </c>
      <c r="G129" s="10" t="str">
        <f>DATA!I135</f>
        <v>A</v>
      </c>
      <c r="H129" s="10" t="str">
        <f>DATA!J135</f>
        <v>Program Pengembangan Infrastruktur TIK dan Penyiaran</v>
      </c>
      <c r="I129" s="10">
        <f>DATA!K135</f>
        <v>1</v>
      </c>
      <c r="J129" s="181"/>
      <c r="K129" s="34"/>
      <c r="L129" s="35"/>
      <c r="M129" s="36">
        <v>74</v>
      </c>
      <c r="N129" s="199" t="str">
        <f>DATA!L135</f>
        <v>Improvement on TV Transmitting Stations (Digitalization of TVRI) - Phase III</v>
      </c>
      <c r="O129" s="1402">
        <f>DATA!T135</f>
        <v>411000000</v>
      </c>
      <c r="P129" s="187">
        <f>DATA!U135</f>
        <v>411000000</v>
      </c>
      <c r="Q129" s="1446">
        <f>DATA!V135</f>
        <v>41000000</v>
      </c>
      <c r="R129" s="1446">
        <f>DATA!W135</f>
        <v>0</v>
      </c>
      <c r="S129" s="1447">
        <f t="shared" si="15"/>
        <v>452000000</v>
      </c>
      <c r="T129" s="1448"/>
      <c r="U129" s="1449" t="str">
        <f>DATA!Y135</f>
        <v>Belum Ada Indikasi</v>
      </c>
      <c r="V129" s="77">
        <v>0</v>
      </c>
      <c r="W129" s="77">
        <f>DATA!AA135</f>
        <v>411000000</v>
      </c>
      <c r="X129" s="1450" t="str">
        <f>DATA!Y135</f>
        <v>Belum Ada Indikasi</v>
      </c>
      <c r="Y129" s="109">
        <v>411000000</v>
      </c>
      <c r="Z129" s="109" t="s">
        <v>902</v>
      </c>
      <c r="AA129" s="1484" t="s">
        <v>879</v>
      </c>
      <c r="AB129" s="828"/>
      <c r="AC129" s="1485"/>
      <c r="AD129" s="1486"/>
      <c r="AE129" s="1486"/>
      <c r="AF129" s="1486"/>
      <c r="AG129" s="1508" t="s">
        <v>1218</v>
      </c>
      <c r="AH129" s="1509">
        <f>DATA!AT135</f>
        <v>411000000</v>
      </c>
      <c r="AI129" s="109" t="str">
        <f>DATA!AU135</f>
        <v>US EXIM/Perancis</v>
      </c>
      <c r="AJ129" s="216" t="str">
        <f>DATA!AW135</f>
        <v>-</v>
      </c>
      <c r="AK129" s="245">
        <f>DATA!AM135</f>
        <v>0</v>
      </c>
      <c r="AL129" s="1510" t="str">
        <f>DATA!AN135</f>
        <v>dalam proses
(penyusunan FS)</v>
      </c>
      <c r="AM129" s="1511" t="str">
        <f>DATA!AO135</f>
        <v>siap</v>
      </c>
      <c r="AN129" s="1512">
        <f>DATA!AQ135</f>
        <v>0</v>
      </c>
      <c r="AO129" s="1555" t="str">
        <f>DATA!AR135</f>
        <v>belum ada dokumen R/C</v>
      </c>
      <c r="AQ129" s="10">
        <f t="shared" si="13"/>
        <v>0</v>
      </c>
      <c r="AR129" s="10">
        <f t="shared" si="10"/>
        <v>0</v>
      </c>
      <c r="AS129" s="10">
        <f t="shared" si="11"/>
        <v>0</v>
      </c>
      <c r="AT129" s="10">
        <f t="shared" si="12"/>
        <v>0</v>
      </c>
    </row>
    <row r="130" spans="1:46" ht="30.75" customHeight="1">
      <c r="A130" s="10">
        <f>DATA!A136</f>
        <v>98</v>
      </c>
      <c r="B130" s="10">
        <f>DATA!B136</f>
        <v>0</v>
      </c>
      <c r="C130" s="10" t="str">
        <f>DATA!D136</f>
        <v>INFRASTRUKTUR</v>
      </c>
      <c r="D130" s="10">
        <f>DATA!E136</f>
        <v>5</v>
      </c>
      <c r="E130" s="10" t="str">
        <f>DATA!F136</f>
        <v>Kementerian Komunikasi dan Informatika</v>
      </c>
      <c r="F130" s="10" t="str">
        <f>DATA!H136</f>
        <v>Information Communication And Technology (ICT) And Broadcasting Infrastructure Development Program</v>
      </c>
      <c r="G130" s="10" t="str">
        <f>DATA!I136</f>
        <v>A</v>
      </c>
      <c r="H130" s="10" t="str">
        <f>DATA!J136</f>
        <v>Program Pengembangan Infrastruktur TIK dan Penyiaran</v>
      </c>
      <c r="I130" s="10">
        <f>DATA!K136</f>
        <v>2</v>
      </c>
      <c r="J130" s="181"/>
      <c r="K130" s="34"/>
      <c r="L130" s="34"/>
      <c r="M130" s="36">
        <v>75</v>
      </c>
      <c r="N130" s="199" t="str">
        <f>DATA!L136</f>
        <v>Strengthening of e-Government Infrastructure</v>
      </c>
      <c r="O130" s="1402">
        <f>DATA!T136</f>
        <v>145000000</v>
      </c>
      <c r="P130" s="187">
        <f>DATA!U136</f>
        <v>145000000</v>
      </c>
      <c r="Q130" s="1446">
        <f>DATA!V136</f>
        <v>20000000</v>
      </c>
      <c r="R130" s="1446">
        <f>DATA!W136</f>
        <v>10000000</v>
      </c>
      <c r="S130" s="1447">
        <f t="shared" si="15"/>
        <v>175000000</v>
      </c>
      <c r="T130" s="1448"/>
      <c r="U130" s="1449" t="str">
        <f>DATA!Y136</f>
        <v>Korea</v>
      </c>
      <c r="V130" s="77">
        <f>DATA!AA136</f>
        <v>145000000</v>
      </c>
      <c r="W130" s="77"/>
      <c r="X130" s="1450" t="str">
        <f>DATA!Y136</f>
        <v>Korea</v>
      </c>
      <c r="Y130" s="109">
        <v>145000000</v>
      </c>
      <c r="Z130" s="109" t="s">
        <v>28</v>
      </c>
      <c r="AA130" s="1484" t="s">
        <v>879</v>
      </c>
      <c r="AB130" s="828"/>
      <c r="AC130" s="1485"/>
      <c r="AD130" s="1486"/>
      <c r="AE130" s="1486"/>
      <c r="AF130" s="1486"/>
      <c r="AG130" s="1508" t="s">
        <v>1214</v>
      </c>
      <c r="AH130" s="1509">
        <f>DATA!AT136</f>
        <v>145000000</v>
      </c>
      <c r="AI130" s="109" t="str">
        <f>DATA!AU136</f>
        <v>Korea</v>
      </c>
      <c r="AJ130" s="1520" t="str">
        <f>DATA!AW136</f>
        <v>masuk rolling plan EDCF (Korea)</v>
      </c>
      <c r="AK130" s="245">
        <f>DATA!AM136</f>
        <v>0</v>
      </c>
      <c r="AL130" s="1510" t="str">
        <f>DATA!AN136</f>
        <v>dalam proses
(penyusunan FS)</v>
      </c>
      <c r="AM130" s="1511" t="str">
        <f>DATA!AO136</f>
        <v>dalam proses
(persiapan)</v>
      </c>
      <c r="AN130" s="1512">
        <f>DATA!AQ136</f>
        <v>0</v>
      </c>
      <c r="AO130" s="1555" t="str">
        <f>DATA!AR136</f>
        <v>penyiapan dokumen R/C</v>
      </c>
      <c r="AP130" s="4"/>
      <c r="AQ130" s="10">
        <f t="shared" si="13"/>
        <v>0</v>
      </c>
      <c r="AR130" s="10">
        <f t="shared" si="10"/>
        <v>0</v>
      </c>
      <c r="AS130" s="10">
        <f t="shared" si="11"/>
        <v>0</v>
      </c>
      <c r="AT130" s="10">
        <f t="shared" si="12"/>
        <v>145000000</v>
      </c>
    </row>
    <row r="131" spans="1:46" s="4" customFormat="1" ht="24.95" customHeight="1">
      <c r="J131" s="250"/>
      <c r="K131" s="25">
        <v>5</v>
      </c>
      <c r="L131" s="108" t="str">
        <f>DATA!F138</f>
        <v>Kepolisian RI</v>
      </c>
      <c r="M131" s="25"/>
      <c r="N131" s="1416"/>
      <c r="O131" s="213">
        <f t="shared" ref="O131:R132" si="18">+O132</f>
        <v>20000000</v>
      </c>
      <c r="P131" s="194">
        <f t="shared" si="18"/>
        <v>20000000</v>
      </c>
      <c r="Q131" s="194">
        <f t="shared" si="18"/>
        <v>3500000</v>
      </c>
      <c r="R131" s="194">
        <f t="shared" si="18"/>
        <v>0</v>
      </c>
      <c r="S131" s="242">
        <f t="shared" si="15"/>
        <v>23500000</v>
      </c>
      <c r="T131" s="2440"/>
      <c r="U131" s="1549"/>
      <c r="V131" s="80">
        <f t="shared" ref="V131:AH132" si="19">+V132</f>
        <v>20000000</v>
      </c>
      <c r="W131" s="80">
        <f t="shared" si="19"/>
        <v>0</v>
      </c>
      <c r="X131" s="241"/>
      <c r="Y131" s="80">
        <f t="shared" si="19"/>
        <v>20000000</v>
      </c>
      <c r="Z131" s="80"/>
      <c r="AA131" s="1465"/>
      <c r="AB131" s="1466"/>
      <c r="AC131" s="1467"/>
      <c r="AD131" s="1468"/>
      <c r="AE131" s="1468"/>
      <c r="AF131" s="1468"/>
      <c r="AG131" s="1500"/>
      <c r="AH131" s="195">
        <f t="shared" si="19"/>
        <v>20000000</v>
      </c>
      <c r="AI131" s="80" t="s">
        <v>21</v>
      </c>
      <c r="AJ131" s="213"/>
      <c r="AK131" s="1501"/>
      <c r="AL131" s="1502"/>
      <c r="AM131" s="168"/>
      <c r="AN131" s="1503"/>
      <c r="AO131" s="1529"/>
      <c r="AP131" s="5"/>
      <c r="AQ131" s="10">
        <f t="shared" si="13"/>
        <v>0</v>
      </c>
      <c r="AR131" s="10">
        <f t="shared" si="10"/>
        <v>0</v>
      </c>
      <c r="AS131" s="10">
        <f t="shared" si="11"/>
        <v>0</v>
      </c>
      <c r="AT131" s="10">
        <f t="shared" si="12"/>
        <v>0</v>
      </c>
    </row>
    <row r="132" spans="1:46" s="5" customFormat="1" ht="33.75" customHeight="1">
      <c r="J132" s="180"/>
      <c r="K132" s="1670"/>
      <c r="L132" s="30" t="str">
        <f>DATA!I138</f>
        <v>A</v>
      </c>
      <c r="M132" s="3427" t="str">
        <f>DATA!J138</f>
        <v>Program Pengembangan Infrastruktur TIK dan Penyiaran</v>
      </c>
      <c r="N132" s="3556"/>
      <c r="O132" s="214">
        <f t="shared" si="18"/>
        <v>20000000</v>
      </c>
      <c r="P132" s="197">
        <f t="shared" si="18"/>
        <v>20000000</v>
      </c>
      <c r="Q132" s="1436">
        <f t="shared" si="18"/>
        <v>3500000</v>
      </c>
      <c r="R132" s="1436">
        <f t="shared" si="18"/>
        <v>0</v>
      </c>
      <c r="S132" s="244">
        <f t="shared" si="15"/>
        <v>23500000</v>
      </c>
      <c r="T132" s="1437"/>
      <c r="U132" s="1539"/>
      <c r="V132" s="81">
        <f t="shared" si="19"/>
        <v>20000000</v>
      </c>
      <c r="W132" s="81">
        <f t="shared" si="19"/>
        <v>0</v>
      </c>
      <c r="X132" s="243"/>
      <c r="Y132" s="81">
        <f t="shared" si="19"/>
        <v>20000000</v>
      </c>
      <c r="Z132" s="81"/>
      <c r="AA132" s="1469"/>
      <c r="AB132" s="1470"/>
      <c r="AC132" s="1471"/>
      <c r="AD132" s="1472"/>
      <c r="AE132" s="1472"/>
      <c r="AF132" s="1472"/>
      <c r="AG132" s="1504"/>
      <c r="AH132" s="198">
        <f t="shared" si="19"/>
        <v>20000000</v>
      </c>
      <c r="AI132" s="81" t="s">
        <v>21</v>
      </c>
      <c r="AJ132" s="214"/>
      <c r="AK132" s="1505"/>
      <c r="AL132" s="1506"/>
      <c r="AM132" s="169"/>
      <c r="AN132" s="1507"/>
      <c r="AO132" s="1530"/>
      <c r="AP132" s="9"/>
      <c r="AQ132" s="10">
        <f t="shared" si="13"/>
        <v>0</v>
      </c>
      <c r="AR132" s="10">
        <f t="shared" si="10"/>
        <v>0</v>
      </c>
      <c r="AS132" s="10">
        <f t="shared" si="11"/>
        <v>0</v>
      </c>
      <c r="AT132" s="10">
        <f t="shared" si="12"/>
        <v>0</v>
      </c>
    </row>
    <row r="133" spans="1:46" s="9" customFormat="1" ht="45.75" customHeight="1">
      <c r="A133" s="9">
        <f>DATA!A138</f>
        <v>100</v>
      </c>
      <c r="B133" s="9">
        <f>DATA!B138</f>
        <v>0</v>
      </c>
      <c r="C133" s="9" t="str">
        <f>DATA!D138</f>
        <v>INFRASTRUKTUR</v>
      </c>
      <c r="D133" s="9">
        <f>DATA!E138</f>
        <v>6</v>
      </c>
      <c r="E133" s="9" t="str">
        <f>DATA!F138</f>
        <v>Kepolisian RI</v>
      </c>
      <c r="F133" s="9" t="str">
        <f>DATA!H138</f>
        <v>Information Communication And Technology (ICT) And Broadcasting Infrastructure Development Program</v>
      </c>
      <c r="G133" s="9" t="str">
        <f>DATA!I138</f>
        <v>A</v>
      </c>
      <c r="H133" s="9" t="str">
        <f>DATA!J138</f>
        <v>Program Pengembangan Infrastruktur TIK dan Penyiaran</v>
      </c>
      <c r="I133" s="9">
        <f>DATA!K138</f>
        <v>1</v>
      </c>
      <c r="J133" s="254"/>
      <c r="K133" s="255"/>
      <c r="L133" s="66"/>
      <c r="M133" s="64">
        <v>76</v>
      </c>
      <c r="N133" s="271" t="str">
        <f>DATA!L138</f>
        <v>National Criminal Information Center for Indonesian National Police - Phase II</v>
      </c>
      <c r="O133" s="1420">
        <f>DATA!T138</f>
        <v>20000000</v>
      </c>
      <c r="P133" s="258">
        <f>DATA!U138</f>
        <v>20000000</v>
      </c>
      <c r="Q133" s="1454">
        <f>DATA!V138</f>
        <v>3500000</v>
      </c>
      <c r="R133" s="1454">
        <f>DATA!W138</f>
        <v>0</v>
      </c>
      <c r="S133" s="1447">
        <f t="shared" si="15"/>
        <v>23500000</v>
      </c>
      <c r="T133" s="1448"/>
      <c r="U133" s="1455" t="str">
        <f>DATA!Y138</f>
        <v>Korea</v>
      </c>
      <c r="V133" s="2418">
        <f>DATA!AA138</f>
        <v>20000000</v>
      </c>
      <c r="W133" s="91">
        <v>0</v>
      </c>
      <c r="X133" s="2441" t="str">
        <f>DATA!Y138</f>
        <v>Korea</v>
      </c>
      <c r="Y133" s="1879">
        <v>20000000</v>
      </c>
      <c r="Z133" s="1879" t="s">
        <v>28</v>
      </c>
      <c r="AA133" s="1943" t="s">
        <v>879</v>
      </c>
      <c r="AB133" s="2443"/>
      <c r="AC133" s="2444"/>
      <c r="AD133" s="2359"/>
      <c r="AE133" s="2359"/>
      <c r="AF133" s="2359"/>
      <c r="AG133" s="3253" t="s">
        <v>1219</v>
      </c>
      <c r="AH133" s="281">
        <f>DATA!AT138</f>
        <v>20000000</v>
      </c>
      <c r="AI133" s="273" t="str">
        <f>DATA!AU138</f>
        <v>Korea</v>
      </c>
      <c r="AJ133" s="2452" t="str">
        <f>DATA!AW138</f>
        <v>masuk rolling plan EDCF (Korea)</v>
      </c>
      <c r="AK133" s="1625">
        <f>DATA!AM138</f>
        <v>2015</v>
      </c>
      <c r="AL133" s="1512" t="str">
        <f>DATA!AN138</f>
        <v>siap</v>
      </c>
      <c r="AM133" s="1522" t="str">
        <f>DATA!AO138</f>
        <v>tidak butuh lahan</v>
      </c>
      <c r="AN133" s="1512">
        <f>DATA!AQ138</f>
        <v>0</v>
      </c>
      <c r="AO133" s="1531" t="str">
        <f>DATA!AR138</f>
        <v>-</v>
      </c>
      <c r="AP133" s="4"/>
      <c r="AQ133" s="10">
        <f t="shared" si="13"/>
        <v>0</v>
      </c>
      <c r="AR133" s="10">
        <f t="shared" si="10"/>
        <v>0</v>
      </c>
      <c r="AS133" s="10">
        <f t="shared" si="11"/>
        <v>0</v>
      </c>
      <c r="AT133" s="10">
        <f t="shared" si="12"/>
        <v>20000000</v>
      </c>
    </row>
    <row r="134" spans="1:46" s="4" customFormat="1" ht="24.75" customHeight="1">
      <c r="J134" s="250"/>
      <c r="K134" s="25">
        <v>6</v>
      </c>
      <c r="L134" s="108" t="str">
        <f>DATA!F139</f>
        <v xml:space="preserve">PT. PLN    </v>
      </c>
      <c r="M134" s="25"/>
      <c r="N134" s="1416"/>
      <c r="O134" s="213">
        <f>+O135</f>
        <v>4271000000</v>
      </c>
      <c r="P134" s="194">
        <f>+P135</f>
        <v>4271000000</v>
      </c>
      <c r="Q134" s="194">
        <f>+Q135</f>
        <v>843000000</v>
      </c>
      <c r="R134" s="194">
        <f>+R135</f>
        <v>0</v>
      </c>
      <c r="S134" s="242">
        <f t="shared" si="15"/>
        <v>5114000000</v>
      </c>
      <c r="T134" s="1434"/>
      <c r="U134" s="1549"/>
      <c r="V134" s="80">
        <f>+V135</f>
        <v>4271000000</v>
      </c>
      <c r="W134" s="80">
        <f>+W135</f>
        <v>0</v>
      </c>
      <c r="X134" s="241"/>
      <c r="Y134" s="80">
        <f>+Y135</f>
        <v>4271000000</v>
      </c>
      <c r="Z134" s="80"/>
      <c r="AA134" s="1465"/>
      <c r="AB134" s="1466"/>
      <c r="AC134" s="1467"/>
      <c r="AD134" s="1468"/>
      <c r="AE134" s="1468"/>
      <c r="AF134" s="1468"/>
      <c r="AG134" s="1500"/>
      <c r="AH134" s="195">
        <f>+AH135</f>
        <v>4271000000</v>
      </c>
      <c r="AI134" s="80" t="s">
        <v>21</v>
      </c>
      <c r="AJ134" s="213"/>
      <c r="AK134" s="1501"/>
      <c r="AL134" s="1502"/>
      <c r="AM134" s="168"/>
      <c r="AN134" s="1503"/>
      <c r="AO134" s="1529"/>
      <c r="AP134" s="5"/>
      <c r="AQ134" s="10">
        <f t="shared" si="13"/>
        <v>0</v>
      </c>
      <c r="AR134" s="10">
        <f t="shared" si="10"/>
        <v>0</v>
      </c>
      <c r="AS134" s="10">
        <f t="shared" si="11"/>
        <v>0</v>
      </c>
      <c r="AT134" s="10">
        <f t="shared" si="12"/>
        <v>0</v>
      </c>
    </row>
    <row r="135" spans="1:46" s="5" customFormat="1" ht="33.75" customHeight="1">
      <c r="J135" s="180"/>
      <c r="K135" s="1670"/>
      <c r="L135" s="30" t="str">
        <f>DATA!I139</f>
        <v>A</v>
      </c>
      <c r="M135" s="3427" t="str">
        <f>DATA!J139</f>
        <v>Program Pembangunan Infrastruktur Ketenagalistrikan</v>
      </c>
      <c r="N135" s="3556"/>
      <c r="O135" s="214">
        <f>O136+O137+O138+O139+O140+O142+O143+O144</f>
        <v>4271000000</v>
      </c>
      <c r="P135" s="197">
        <f>P136+P137+P138+P139+P140+P142+P143+P144</f>
        <v>4271000000</v>
      </c>
      <c r="Q135" s="1436">
        <f>Q136+Q137+Q138+Q139+Q140+Q142+Q143+Q144</f>
        <v>843000000</v>
      </c>
      <c r="R135" s="1436">
        <f>R136+R137+R138+R139+R140+R142+R143+R144</f>
        <v>0</v>
      </c>
      <c r="S135" s="244">
        <f t="shared" si="15"/>
        <v>5114000000</v>
      </c>
      <c r="T135" s="1437"/>
      <c r="U135" s="1539"/>
      <c r="V135" s="81">
        <f>V136+V137+V138+V139+V140+V142+V143+V144</f>
        <v>4271000000</v>
      </c>
      <c r="W135" s="81">
        <f>W136+W137+W138+W139+W140+W142+W143+W144</f>
        <v>0</v>
      </c>
      <c r="X135" s="243"/>
      <c r="Y135" s="81">
        <f>Y136+Y137+Y138+Y139+Y141+Y142+Y143+Y144+Y140</f>
        <v>4271000000</v>
      </c>
      <c r="Z135" s="81"/>
      <c r="AA135" s="1469"/>
      <c r="AB135" s="1470"/>
      <c r="AC135" s="1471"/>
      <c r="AD135" s="1472"/>
      <c r="AE135" s="1472"/>
      <c r="AF135" s="1472"/>
      <c r="AG135" s="1504"/>
      <c r="AH135" s="198">
        <f>AH136+AH137+AH138+AH139+AH140+AH142+AH143+AH144</f>
        <v>4271000000</v>
      </c>
      <c r="AI135" s="81" t="s">
        <v>21</v>
      </c>
      <c r="AJ135" s="214">
        <f>Y135+Y146</f>
        <v>4332600000</v>
      </c>
      <c r="AK135" s="1505"/>
      <c r="AL135" s="1506"/>
      <c r="AM135" s="169"/>
      <c r="AN135" s="1507"/>
      <c r="AO135" s="1530"/>
      <c r="AP135" s="10"/>
      <c r="AQ135" s="10">
        <f t="shared" si="13"/>
        <v>0</v>
      </c>
      <c r="AR135" s="10">
        <f t="shared" si="10"/>
        <v>0</v>
      </c>
      <c r="AS135" s="10">
        <f t="shared" si="11"/>
        <v>0</v>
      </c>
      <c r="AT135" s="10">
        <f t="shared" si="12"/>
        <v>0</v>
      </c>
    </row>
    <row r="136" spans="1:46" ht="62.25" customHeight="1">
      <c r="A136" s="10">
        <f>DATA!A141</f>
        <v>103</v>
      </c>
      <c r="B136" s="10">
        <f>DATA!B141</f>
        <v>0</v>
      </c>
      <c r="C136" s="10" t="str">
        <f>DATA!D141</f>
        <v>INFRASTRUKTUR</v>
      </c>
      <c r="D136" s="10">
        <f>DATA!E141</f>
        <v>7</v>
      </c>
      <c r="E136" s="10" t="str">
        <f>DATA!F141</f>
        <v xml:space="preserve">PT. PLN    </v>
      </c>
      <c r="F136" s="10" t="str">
        <f>DATA!H141</f>
        <v>Electricity Infrastructure Development Program</v>
      </c>
      <c r="G136" s="10" t="str">
        <f>DATA!I141</f>
        <v>A</v>
      </c>
      <c r="H136" s="10" t="str">
        <f>DATA!J141</f>
        <v>Program Pembangunan Infrastruktur Ketenagalistrikan</v>
      </c>
      <c r="I136" s="10">
        <f>DATA!K141</f>
        <v>1</v>
      </c>
      <c r="J136" s="181"/>
      <c r="K136" s="34"/>
      <c r="L136" s="34"/>
      <c r="M136" s="52">
        <v>77</v>
      </c>
      <c r="N136" s="199" t="str">
        <f>DATA!L141</f>
        <v>Construction of Java Sumatera Interconnection 500 kV (HVDC-Phase 3 &amp; 4)</v>
      </c>
      <c r="O136" s="1402">
        <f>DATA!T141</f>
        <v>933000000</v>
      </c>
      <c r="P136" s="187">
        <f>DATA!U141</f>
        <v>933000000</v>
      </c>
      <c r="Q136" s="1446">
        <f>DATA!V141</f>
        <v>165000000</v>
      </c>
      <c r="R136" s="1446">
        <f>DATA!W141</f>
        <v>0</v>
      </c>
      <c r="S136" s="1447">
        <f t="shared" si="15"/>
        <v>1098000000</v>
      </c>
      <c r="T136" s="1448"/>
      <c r="U136" s="1449" t="str">
        <f>DATA!Y141</f>
        <v>JICA</v>
      </c>
      <c r="V136" s="77">
        <f>DATA!AA141</f>
        <v>933000000</v>
      </c>
      <c r="W136" s="77">
        <v>0</v>
      </c>
      <c r="X136" s="1450" t="str">
        <f>DATA!Y141</f>
        <v>JICA</v>
      </c>
      <c r="Y136" s="109">
        <v>933000000</v>
      </c>
      <c r="Z136" s="109" t="s">
        <v>55</v>
      </c>
      <c r="AA136" s="1484" t="s">
        <v>879</v>
      </c>
      <c r="AB136" s="828"/>
      <c r="AC136" s="1485"/>
      <c r="AD136" s="1486"/>
      <c r="AE136" s="1486"/>
      <c r="AF136" s="1486"/>
      <c r="AG136" s="3255" t="s">
        <v>1220</v>
      </c>
      <c r="AH136" s="1509">
        <f>DATA!AT141</f>
        <v>933000000</v>
      </c>
      <c r="AI136" s="109" t="str">
        <f>DATA!AU141</f>
        <v>JICA</v>
      </c>
      <c r="AJ136" s="216" t="str">
        <f>DATA!AW141</f>
        <v>-</v>
      </c>
      <c r="AK136" s="245">
        <f>DATA!AM141</f>
        <v>0</v>
      </c>
      <c r="AL136" s="1510" t="str">
        <f>DATA!AN141</f>
        <v>belum ada keterangan</v>
      </c>
      <c r="AM136" s="1511" t="str">
        <f>DATA!AO141</f>
        <v>belum ada keterangan</v>
      </c>
      <c r="AN136" s="1512">
        <f>DATA!AQ141</f>
        <v>0</v>
      </c>
      <c r="AO136" s="1531" t="str">
        <f>DATA!AR141</f>
        <v>penyiapan dokumen R/C</v>
      </c>
      <c r="AQ136" s="10">
        <f t="shared" si="13"/>
        <v>0</v>
      </c>
      <c r="AR136" s="10">
        <f t="shared" si="10"/>
        <v>933000000</v>
      </c>
      <c r="AS136" s="10">
        <f t="shared" si="11"/>
        <v>0</v>
      </c>
      <c r="AT136" s="10">
        <f t="shared" si="12"/>
        <v>0</v>
      </c>
    </row>
    <row r="137" spans="1:46" ht="31.5" customHeight="1">
      <c r="A137" s="10">
        <f>DATA!A144</f>
        <v>106</v>
      </c>
      <c r="B137" s="10">
        <f>DATA!B144</f>
        <v>0</v>
      </c>
      <c r="C137" s="10" t="str">
        <f>DATA!D144</f>
        <v>INFRASTRUKTUR</v>
      </c>
      <c r="D137" s="10">
        <f>DATA!E144</f>
        <v>7</v>
      </c>
      <c r="E137" s="10" t="str">
        <f>DATA!F144</f>
        <v xml:space="preserve">PT. PLN    </v>
      </c>
      <c r="F137" s="10" t="str">
        <f>DATA!H144</f>
        <v>Electricity Infrastructure Development Program</v>
      </c>
      <c r="G137" s="10" t="str">
        <f>DATA!I144</f>
        <v>A</v>
      </c>
      <c r="H137" s="10" t="str">
        <f>DATA!J144</f>
        <v>Program Pembangunan Infrastruktur Ketenagalistrikan</v>
      </c>
      <c r="I137" s="10">
        <f>DATA!K144</f>
        <v>2</v>
      </c>
      <c r="J137" s="181"/>
      <c r="K137" s="34"/>
      <c r="L137" s="34"/>
      <c r="M137" s="52">
        <v>78</v>
      </c>
      <c r="N137" s="199" t="str">
        <f>DATA!L144</f>
        <v>Hululais Geothermal Power Plant  1&amp;2 (2x55MW)</v>
      </c>
      <c r="O137" s="1402">
        <f>DATA!T144</f>
        <v>204000000</v>
      </c>
      <c r="P137" s="187">
        <f>DATA!U144</f>
        <v>204000000</v>
      </c>
      <c r="Q137" s="1446">
        <f>DATA!V144</f>
        <v>42000000</v>
      </c>
      <c r="R137" s="1446">
        <f>DATA!W144</f>
        <v>0</v>
      </c>
      <c r="S137" s="1447">
        <f t="shared" si="15"/>
        <v>246000000</v>
      </c>
      <c r="T137" s="1448"/>
      <c r="U137" s="1449" t="str">
        <f>DATA!Y144</f>
        <v>JICA</v>
      </c>
      <c r="V137" s="77">
        <f>DATA!AA144</f>
        <v>204000000</v>
      </c>
      <c r="W137" s="77">
        <v>0</v>
      </c>
      <c r="X137" s="1450" t="str">
        <f>DATA!Y144</f>
        <v>JICA</v>
      </c>
      <c r="Y137" s="109">
        <v>204000000</v>
      </c>
      <c r="Z137" s="109" t="s">
        <v>55</v>
      </c>
      <c r="AA137" s="1484" t="s">
        <v>1160</v>
      </c>
      <c r="AB137" s="828"/>
      <c r="AC137" s="1485"/>
      <c r="AD137" s="1486"/>
      <c r="AE137" s="1486"/>
      <c r="AF137" s="1486"/>
      <c r="AG137" s="3255" t="s">
        <v>1221</v>
      </c>
      <c r="AH137" s="1509">
        <f>DATA!AT144</f>
        <v>204000000</v>
      </c>
      <c r="AI137" s="109" t="str">
        <f>DATA!AU144</f>
        <v>JICA</v>
      </c>
      <c r="AJ137" s="216" t="str">
        <f>DATA!AW144</f>
        <v>-</v>
      </c>
      <c r="AK137" s="245">
        <f>DATA!AM144</f>
        <v>0</v>
      </c>
      <c r="AL137" s="1510" t="str">
        <f>DATA!AN144</f>
        <v>belum ada keterangan</v>
      </c>
      <c r="AM137" s="1511" t="str">
        <f>DATA!AO144</f>
        <v>belum ada keterangan</v>
      </c>
      <c r="AN137" s="1512">
        <f>DATA!AQ144</f>
        <v>0</v>
      </c>
      <c r="AO137" s="1531" t="str">
        <f>DATA!AR144</f>
        <v>belum ada dokumen R/C</v>
      </c>
      <c r="AQ137" s="10">
        <f t="shared" si="13"/>
        <v>0</v>
      </c>
      <c r="AR137" s="10">
        <f t="shared" si="10"/>
        <v>204000000</v>
      </c>
      <c r="AS137" s="10">
        <f t="shared" si="11"/>
        <v>0</v>
      </c>
      <c r="AT137" s="10">
        <f t="shared" si="12"/>
        <v>0</v>
      </c>
    </row>
    <row r="138" spans="1:46" ht="51" customHeight="1">
      <c r="A138" s="10">
        <f>DATA!A145</f>
        <v>107</v>
      </c>
      <c r="B138" s="10">
        <f>DATA!B145</f>
        <v>0</v>
      </c>
      <c r="C138" s="10" t="str">
        <f>DATA!D145</f>
        <v>INFRASTRUKTUR</v>
      </c>
      <c r="D138" s="10">
        <f>DATA!E145</f>
        <v>7</v>
      </c>
      <c r="E138" s="10" t="str">
        <f>DATA!F145</f>
        <v xml:space="preserve">PT. PLN    </v>
      </c>
      <c r="F138" s="10" t="str">
        <f>DATA!H145</f>
        <v>Electricity Infrastructure Development Program</v>
      </c>
      <c r="G138" s="10" t="str">
        <f>DATA!I145</f>
        <v>A</v>
      </c>
      <c r="H138" s="10" t="str">
        <f>DATA!J145</f>
        <v>Program Pembangunan Infrastruktur Ketenagalistrikan</v>
      </c>
      <c r="I138" s="10">
        <f>DATA!K145</f>
        <v>3</v>
      </c>
      <c r="J138" s="181"/>
      <c r="K138" s="34"/>
      <c r="L138" s="34"/>
      <c r="M138" s="52">
        <v>79</v>
      </c>
      <c r="N138" s="199" t="str">
        <f>DATA!L145</f>
        <v>Bakaru II Hydro Electrical Power Plant (2x63MW)</v>
      </c>
      <c r="O138" s="1402">
        <f>DATA!T145</f>
        <v>280000000</v>
      </c>
      <c r="P138" s="187">
        <f>DATA!U145</f>
        <v>280000000</v>
      </c>
      <c r="Q138" s="1446">
        <f>DATA!V145</f>
        <v>20000000</v>
      </c>
      <c r="R138" s="1446">
        <f>DATA!W145</f>
        <v>0</v>
      </c>
      <c r="S138" s="1447">
        <f t="shared" si="15"/>
        <v>300000000</v>
      </c>
      <c r="T138" s="1448"/>
      <c r="U138" s="1449" t="str">
        <f>DATA!Y145</f>
        <v>Jerman (KfW)</v>
      </c>
      <c r="V138" s="77">
        <f>DATA!AA145</f>
        <v>280000000</v>
      </c>
      <c r="W138" s="77">
        <v>0</v>
      </c>
      <c r="X138" s="1450" t="str">
        <f>DATA!Y145</f>
        <v>Jerman (KfW)</v>
      </c>
      <c r="Y138" s="109">
        <v>280000000</v>
      </c>
      <c r="Z138" s="109" t="s">
        <v>633</v>
      </c>
      <c r="AA138" s="1484" t="s">
        <v>879</v>
      </c>
      <c r="AB138" s="828"/>
      <c r="AC138" s="1485"/>
      <c r="AD138" s="1486"/>
      <c r="AE138" s="1486"/>
      <c r="AF138" s="1486"/>
      <c r="AG138" s="3258" t="s">
        <v>1222</v>
      </c>
      <c r="AH138" s="1509">
        <f>DATA!AT145</f>
        <v>280000000</v>
      </c>
      <c r="AI138" s="109" t="str">
        <f>DATA!AU145</f>
        <v>Jerman (KfW)</v>
      </c>
      <c r="AJ138" s="216" t="str">
        <f>DATA!AW145</f>
        <v>-</v>
      </c>
      <c r="AK138" s="245">
        <f>DATA!AM145</f>
        <v>0</v>
      </c>
      <c r="AL138" s="1512" t="str">
        <f>DATA!AN145</f>
        <v>dalam proses</v>
      </c>
      <c r="AM138" s="1522" t="str">
        <f>DATA!AO145</f>
        <v>dalam proses
(perencanaan)</v>
      </c>
      <c r="AN138" s="1512">
        <f>DATA!AQ145</f>
        <v>0</v>
      </c>
      <c r="AO138" s="1531" t="str">
        <f>DATA!AR145</f>
        <v>- tidak diketahui dalam proses apa
- belum ada dokumen R/C</v>
      </c>
      <c r="AQ138" s="10">
        <f t="shared" si="13"/>
        <v>0</v>
      </c>
      <c r="AR138" s="10">
        <f t="shared" si="10"/>
        <v>0</v>
      </c>
      <c r="AS138" s="10">
        <f t="shared" si="11"/>
        <v>280000000</v>
      </c>
      <c r="AT138" s="10">
        <f t="shared" si="12"/>
        <v>0</v>
      </c>
    </row>
    <row r="139" spans="1:46" ht="42.75" customHeight="1">
      <c r="A139" s="10">
        <f>DATA!A146</f>
        <v>108</v>
      </c>
      <c r="B139" s="10">
        <f>DATA!B146</f>
        <v>0</v>
      </c>
      <c r="C139" s="10" t="str">
        <f>DATA!D146</f>
        <v>INFRASTRUKTUR</v>
      </c>
      <c r="D139" s="10">
        <f>DATA!E146</f>
        <v>7</v>
      </c>
      <c r="E139" s="10" t="str">
        <f>DATA!F146</f>
        <v xml:space="preserve">PT. PLN    </v>
      </c>
      <c r="F139" s="10" t="str">
        <f>DATA!H146</f>
        <v>Electricity Infrastructure Development Program</v>
      </c>
      <c r="G139" s="10" t="str">
        <f>DATA!I146</f>
        <v>A</v>
      </c>
      <c r="H139" s="10" t="str">
        <f>DATA!J146</f>
        <v>Program Pembangunan Infrastruktur Ketenagalistrikan</v>
      </c>
      <c r="I139" s="10">
        <f>DATA!K146</f>
        <v>4</v>
      </c>
      <c r="J139" s="181"/>
      <c r="K139" s="34"/>
      <c r="L139" s="34"/>
      <c r="M139" s="52">
        <v>80</v>
      </c>
      <c r="N139" s="199" t="str">
        <f>DATA!L146</f>
        <v>Tulehu Geothermal Power Plant Project Unit 1&amp;2 (2x10MW)</v>
      </c>
      <c r="O139" s="1402">
        <f>DATA!T146</f>
        <v>104000000</v>
      </c>
      <c r="P139" s="187">
        <f>DATA!U146</f>
        <v>104000000</v>
      </c>
      <c r="Q139" s="1446">
        <f>DATA!V146</f>
        <v>18000000</v>
      </c>
      <c r="R139" s="1446">
        <v>0</v>
      </c>
      <c r="S139" s="1447">
        <f t="shared" si="15"/>
        <v>122000000</v>
      </c>
      <c r="T139" s="1448"/>
      <c r="U139" s="1449" t="str">
        <f>DATA!Y146</f>
        <v>JICA</v>
      </c>
      <c r="V139" s="77">
        <f>DATA!AA146</f>
        <v>104000000</v>
      </c>
      <c r="W139" s="77">
        <v>0</v>
      </c>
      <c r="X139" s="1450" t="str">
        <f>DATA!Y146</f>
        <v>JICA</v>
      </c>
      <c r="Y139" s="109">
        <v>104000000</v>
      </c>
      <c r="Z139" s="109" t="s">
        <v>55</v>
      </c>
      <c r="AA139" s="1484" t="s">
        <v>1160</v>
      </c>
      <c r="AB139" s="828"/>
      <c r="AC139" s="1485"/>
      <c r="AD139" s="1486"/>
      <c r="AE139" s="1486"/>
      <c r="AF139" s="1486"/>
      <c r="AG139" s="3255" t="s">
        <v>1221</v>
      </c>
      <c r="AH139" s="1509">
        <f>DATA!AT146</f>
        <v>104000000</v>
      </c>
      <c r="AI139" s="109" t="str">
        <f>DATA!AU146</f>
        <v>JICA</v>
      </c>
      <c r="AJ139" s="216" t="str">
        <f>DATA!AW146</f>
        <v>-</v>
      </c>
      <c r="AK139" s="245">
        <f>DATA!AM146</f>
        <v>0</v>
      </c>
      <c r="AL139" s="1510" t="str">
        <f>DATA!AN146</f>
        <v>dalam proses
(penyusunan FS)</v>
      </c>
      <c r="AM139" s="1511" t="str">
        <f>DATA!AO146</f>
        <v>dalam proses
(pelaksanaan 63%)</v>
      </c>
      <c r="AN139" s="1512">
        <f>DATA!AQ146</f>
        <v>0</v>
      </c>
      <c r="AO139" s="1531" t="str">
        <f>DATA!AR146</f>
        <v>belum ada dokumen R/C</v>
      </c>
      <c r="AQ139" s="10">
        <f t="shared" si="13"/>
        <v>0</v>
      </c>
      <c r="AR139" s="10">
        <f t="shared" si="10"/>
        <v>104000000</v>
      </c>
      <c r="AS139" s="10">
        <f t="shared" si="11"/>
        <v>0</v>
      </c>
      <c r="AT139" s="10">
        <f t="shared" si="12"/>
        <v>0</v>
      </c>
    </row>
    <row r="140" spans="1:46" ht="30" customHeight="1">
      <c r="A140" s="10">
        <f>DATA!A147</f>
        <v>109</v>
      </c>
      <c r="B140" s="10">
        <f>DATA!B147</f>
        <v>0</v>
      </c>
      <c r="C140" s="10" t="str">
        <f>DATA!D147</f>
        <v>INFRASTRUKTUR</v>
      </c>
      <c r="D140" s="10">
        <f>DATA!E147</f>
        <v>7</v>
      </c>
      <c r="E140" s="10" t="str">
        <f>DATA!F147</f>
        <v xml:space="preserve">PT. PLN    </v>
      </c>
      <c r="F140" s="10" t="str">
        <f>DATA!H147</f>
        <v>Electricity Infrastructure Development Program</v>
      </c>
      <c r="G140" s="10" t="str">
        <f>DATA!I147</f>
        <v>A</v>
      </c>
      <c r="H140" s="10" t="str">
        <f>DATA!J147</f>
        <v>Program Pembangunan Infrastruktur Ketenagalistrikan</v>
      </c>
      <c r="I140" s="10">
        <f>DATA!K147</f>
        <v>5</v>
      </c>
      <c r="J140" s="181"/>
      <c r="K140" s="34"/>
      <c r="L140" s="34"/>
      <c r="M140" s="52">
        <v>81</v>
      </c>
      <c r="N140" s="199" t="str">
        <f>DATA!L147</f>
        <v>Indramayu Coal Fired Power Plant  #4 (1x1000MW)</v>
      </c>
      <c r="O140" s="1402">
        <f>DATA!T147</f>
        <v>1845000000</v>
      </c>
      <c r="P140" s="187">
        <f>DATA!U147</f>
        <v>1845000000</v>
      </c>
      <c r="Q140" s="1446">
        <f>DATA!V147</f>
        <v>333000000</v>
      </c>
      <c r="R140" s="1446">
        <v>0</v>
      </c>
      <c r="S140" s="1447">
        <f t="shared" si="15"/>
        <v>2178000000</v>
      </c>
      <c r="T140" s="1448"/>
      <c r="U140" s="1449" t="str">
        <f>DATA!Y147</f>
        <v>JICA</v>
      </c>
      <c r="V140" s="77">
        <f>DATA!AA147</f>
        <v>1845000000</v>
      </c>
      <c r="W140" s="77">
        <v>0</v>
      </c>
      <c r="X140" s="1450" t="str">
        <f>DATA!Y147</f>
        <v>JICA</v>
      </c>
      <c r="Y140" s="618">
        <v>300000000</v>
      </c>
      <c r="Z140" s="109" t="s">
        <v>55</v>
      </c>
      <c r="AA140" s="1477" t="s">
        <v>1223</v>
      </c>
      <c r="AB140" s="1478"/>
      <c r="AC140" s="1479"/>
      <c r="AD140" s="1480"/>
      <c r="AE140" s="1480"/>
      <c r="AF140" s="1480"/>
      <c r="AH140" s="1509">
        <f>DATA!AT147</f>
        <v>1845000000</v>
      </c>
      <c r="AI140" s="109" t="str">
        <f>DATA!AU147</f>
        <v>JICA</v>
      </c>
      <c r="AJ140" s="216" t="str">
        <f>DATA!AW147</f>
        <v>-</v>
      </c>
      <c r="AK140" s="245">
        <f>DATA!AM147</f>
        <v>0</v>
      </c>
      <c r="AL140" s="1510" t="str">
        <f>DATA!AN147</f>
        <v>siap</v>
      </c>
      <c r="AM140" s="1511" t="str">
        <f>DATA!AO147</f>
        <v>dalam proses
(perencanaan)</v>
      </c>
      <c r="AN140" s="1512">
        <f>DATA!AQ147</f>
        <v>0</v>
      </c>
      <c r="AO140" s="1531" t="str">
        <f>DATA!AR147</f>
        <v>belum ada dokumen R/C</v>
      </c>
      <c r="AQ140" s="10">
        <f t="shared" si="13"/>
        <v>0</v>
      </c>
      <c r="AR140" s="10">
        <f t="shared" ref="AR140:AR203" si="20">IF(Z140="JICA",Y140,0)</f>
        <v>300000000</v>
      </c>
      <c r="AS140" s="10">
        <f t="shared" ref="AS140:AS203" si="21">IF(Z140="Belum ada indikasi",Y140,0)</f>
        <v>0</v>
      </c>
      <c r="AT140" s="10">
        <f t="shared" ref="AT140:AT203" si="22">IF(Z140="Korea",Y140,0)</f>
        <v>0</v>
      </c>
    </row>
    <row r="141" spans="1:46" ht="30" customHeight="1">
      <c r="J141" s="181"/>
      <c r="K141" s="34"/>
      <c r="L141" s="34"/>
      <c r="M141" s="52"/>
      <c r="N141" s="199"/>
      <c r="O141" s="1402"/>
      <c r="P141" s="187"/>
      <c r="Q141" s="1446"/>
      <c r="R141" s="1446"/>
      <c r="S141" s="1447"/>
      <c r="T141" s="1448"/>
      <c r="U141" s="1449"/>
      <c r="V141" s="77"/>
      <c r="W141" s="77"/>
      <c r="X141" s="1450"/>
      <c r="Y141" s="618">
        <f>1845000000-300000000</f>
        <v>1545000000</v>
      </c>
      <c r="Z141" s="109" t="s">
        <v>55</v>
      </c>
      <c r="AA141" s="1574" t="s">
        <v>1160</v>
      </c>
      <c r="AB141" s="1478"/>
      <c r="AC141" s="1479"/>
      <c r="AD141" s="1480"/>
      <c r="AE141" s="1480"/>
      <c r="AF141" s="1480"/>
      <c r="AG141" s="3255" t="s">
        <v>1224</v>
      </c>
      <c r="AH141" s="1509"/>
      <c r="AI141" s="109"/>
      <c r="AJ141" s="216"/>
      <c r="AK141" s="245"/>
      <c r="AL141" s="1510"/>
      <c r="AM141" s="1511"/>
      <c r="AN141" s="1512"/>
      <c r="AO141" s="1531"/>
      <c r="AQ141" s="10">
        <f t="shared" si="13"/>
        <v>0</v>
      </c>
      <c r="AR141" s="10">
        <f t="shared" si="20"/>
        <v>1545000000</v>
      </c>
      <c r="AS141" s="10">
        <f t="shared" si="21"/>
        <v>0</v>
      </c>
      <c r="AT141" s="10">
        <f t="shared" si="22"/>
        <v>0</v>
      </c>
    </row>
    <row r="142" spans="1:46" ht="60.75" customHeight="1">
      <c r="A142" s="10">
        <f>DATA!A148</f>
        <v>110</v>
      </c>
      <c r="B142" s="10">
        <f>DATA!B148</f>
        <v>0</v>
      </c>
      <c r="C142" s="10" t="str">
        <f>DATA!D148</f>
        <v>INFRASTRUKTUR</v>
      </c>
      <c r="D142" s="10">
        <f>DATA!E148</f>
        <v>7</v>
      </c>
      <c r="E142" s="10" t="str">
        <f>DATA!F148</f>
        <v xml:space="preserve">PT. PLN    </v>
      </c>
      <c r="F142" s="10" t="str">
        <f>DATA!H148</f>
        <v>Electricity Infrastructure Development Program</v>
      </c>
      <c r="G142" s="10" t="str">
        <f>DATA!I148</f>
        <v>A</v>
      </c>
      <c r="H142" s="10" t="str">
        <f>DATA!J148</f>
        <v>Program Pembangunan Infrastruktur Ketenagalistrikan</v>
      </c>
      <c r="I142" s="10">
        <f>DATA!K148</f>
        <v>6</v>
      </c>
      <c r="J142" s="181"/>
      <c r="K142" s="34"/>
      <c r="L142" s="34"/>
      <c r="M142" s="52">
        <v>82</v>
      </c>
      <c r="N142" s="199" t="str">
        <f>DATA!L148</f>
        <v>Additional Loan for Upper Cisokan Pumped Storage Hydro Electrical Power Plant (4x260MW)</v>
      </c>
      <c r="O142" s="1402">
        <f>DATA!T148</f>
        <v>200000000</v>
      </c>
      <c r="P142" s="187">
        <f>DATA!U148</f>
        <v>200000000</v>
      </c>
      <c r="Q142" s="1446">
        <f>DATA!V148</f>
        <v>0</v>
      </c>
      <c r="R142" s="1446">
        <v>0</v>
      </c>
      <c r="S142" s="1447">
        <f t="shared" si="15"/>
        <v>200000000</v>
      </c>
      <c r="T142" s="1448"/>
      <c r="U142" s="1449" t="str">
        <f>DATA!Y148</f>
        <v>Bank Dunia</v>
      </c>
      <c r="V142" s="77">
        <f>DATA!AA148</f>
        <v>200000000</v>
      </c>
      <c r="W142" s="77">
        <v>0</v>
      </c>
      <c r="X142" s="1450" t="str">
        <f>DATA!Y148</f>
        <v>Bank Dunia</v>
      </c>
      <c r="Y142" s="109">
        <v>200000000</v>
      </c>
      <c r="Z142" s="109" t="s">
        <v>62</v>
      </c>
      <c r="AA142" s="1484" t="s">
        <v>879</v>
      </c>
      <c r="AB142" s="828"/>
      <c r="AC142" s="1485"/>
      <c r="AD142" s="1486"/>
      <c r="AE142" s="1486"/>
      <c r="AF142" s="1486"/>
      <c r="AG142" s="3255" t="s">
        <v>1225</v>
      </c>
      <c r="AH142" s="1509">
        <f>DATA!AT148</f>
        <v>200000000</v>
      </c>
      <c r="AI142" s="109" t="str">
        <f>DATA!AU148</f>
        <v>Bank Dunia</v>
      </c>
      <c r="AJ142" s="216" t="str">
        <f>DATA!AW148</f>
        <v>-</v>
      </c>
      <c r="AK142" s="245">
        <f>DATA!AM148</f>
        <v>0</v>
      </c>
      <c r="AL142" s="1510" t="str">
        <f>DATA!AN148</f>
        <v>siap</v>
      </c>
      <c r="AM142" s="1511" t="str">
        <f>DATA!AO148</f>
        <v>dalam proses
(pelaksanaan 95%)</v>
      </c>
      <c r="AN142" s="1512">
        <f>DATA!AQ148</f>
        <v>0</v>
      </c>
      <c r="AO142" s="1531" t="str">
        <f>DATA!AR148</f>
        <v>belum ada dokumen R/C</v>
      </c>
      <c r="AQ142" s="10">
        <f t="shared" si="13"/>
        <v>0</v>
      </c>
      <c r="AR142" s="10">
        <f t="shared" si="20"/>
        <v>0</v>
      </c>
      <c r="AS142" s="10">
        <f t="shared" si="21"/>
        <v>0</v>
      </c>
      <c r="AT142" s="10">
        <f t="shared" si="22"/>
        <v>0</v>
      </c>
    </row>
    <row r="143" spans="1:46" ht="51.75" customHeight="1">
      <c r="A143" s="10">
        <f>DATA!A149</f>
        <v>111</v>
      </c>
      <c r="B143" s="10">
        <f>DATA!B149</f>
        <v>0</v>
      </c>
      <c r="C143" s="10" t="str">
        <f>DATA!D149</f>
        <v>INFRASTRUKTUR</v>
      </c>
      <c r="D143" s="10">
        <f>DATA!E149</f>
        <v>7</v>
      </c>
      <c r="E143" s="10" t="str">
        <f>DATA!F149</f>
        <v xml:space="preserve">PT. PLN    </v>
      </c>
      <c r="F143" s="10" t="str">
        <f>DATA!H149</f>
        <v>Electricity Infrastructure Development Program</v>
      </c>
      <c r="G143" s="10" t="str">
        <f>DATA!I149</f>
        <v>A</v>
      </c>
      <c r="H143" s="10" t="str">
        <f>DATA!J149</f>
        <v>Program Pembangunan Infrastruktur Ketenagalistrikan</v>
      </c>
      <c r="I143" s="10">
        <f>DATA!K149</f>
        <v>7</v>
      </c>
      <c r="J143" s="181"/>
      <c r="K143" s="34"/>
      <c r="L143" s="34"/>
      <c r="M143" s="52">
        <v>83</v>
      </c>
      <c r="N143" s="199" t="str">
        <f>DATA!L149</f>
        <v>Sungai Penuh Geothermal Power Plant 1&amp;2 (2x55MW)</v>
      </c>
      <c r="O143" s="1402">
        <f>DATA!T149</f>
        <v>205000000</v>
      </c>
      <c r="P143" s="187">
        <f>DATA!U149</f>
        <v>205000000</v>
      </c>
      <c r="Q143" s="1446">
        <f>DATA!V149</f>
        <v>45000000</v>
      </c>
      <c r="R143" s="1446">
        <v>0</v>
      </c>
      <c r="S143" s="1447">
        <f t="shared" si="15"/>
        <v>250000000</v>
      </c>
      <c r="T143" s="1448"/>
      <c r="U143" s="1449" t="str">
        <f>DATA!Y149</f>
        <v>ADB</v>
      </c>
      <c r="V143" s="77">
        <f>DATA!AA149</f>
        <v>205000000</v>
      </c>
      <c r="W143" s="77">
        <v>0</v>
      </c>
      <c r="X143" s="1450" t="str">
        <f>DATA!Y149</f>
        <v>ADB</v>
      </c>
      <c r="Y143" s="109">
        <v>205000000</v>
      </c>
      <c r="Z143" s="109" t="s">
        <v>117</v>
      </c>
      <c r="AA143" s="1484" t="s">
        <v>879</v>
      </c>
      <c r="AB143" s="828"/>
      <c r="AC143" s="1485"/>
      <c r="AD143" s="1486"/>
      <c r="AE143" s="1486"/>
      <c r="AF143" s="1486"/>
      <c r="AG143" s="2453" t="s">
        <v>1226</v>
      </c>
      <c r="AH143" s="1509">
        <f>DATA!AT149</f>
        <v>205000000</v>
      </c>
      <c r="AI143" s="109" t="str">
        <f>DATA!AU149</f>
        <v>ADB</v>
      </c>
      <c r="AJ143" s="216" t="str">
        <f>DATA!AW149</f>
        <v>-</v>
      </c>
      <c r="AK143" s="245">
        <f>DATA!AM149</f>
        <v>0</v>
      </c>
      <c r="AL143" s="1510" t="str">
        <f>DATA!AN149</f>
        <v>siap</v>
      </c>
      <c r="AM143" s="1511" t="str">
        <f>DATA!AO149</f>
        <v>belum ada keterangan</v>
      </c>
      <c r="AN143" s="1512">
        <f>DATA!AQ149</f>
        <v>0</v>
      </c>
      <c r="AO143" s="1531" t="str">
        <f>DATA!AR149</f>
        <v>belum ada dokumen R/C</v>
      </c>
      <c r="AQ143" s="10">
        <f t="shared" si="13"/>
        <v>0</v>
      </c>
      <c r="AR143" s="10">
        <f t="shared" si="20"/>
        <v>0</v>
      </c>
      <c r="AS143" s="10">
        <f t="shared" si="21"/>
        <v>0</v>
      </c>
      <c r="AT143" s="10">
        <f t="shared" si="22"/>
        <v>0</v>
      </c>
    </row>
    <row r="144" spans="1:46" ht="40.5" customHeight="1">
      <c r="A144" s="10">
        <f>DATA!A150</f>
        <v>112</v>
      </c>
      <c r="B144" s="10">
        <f>DATA!B150</f>
        <v>0</v>
      </c>
      <c r="C144" s="10" t="str">
        <f>DATA!D150</f>
        <v>INFRASTRUKTUR</v>
      </c>
      <c r="D144" s="10">
        <f>DATA!E150</f>
        <v>7</v>
      </c>
      <c r="E144" s="10" t="str">
        <f>DATA!F150</f>
        <v xml:space="preserve">PT. PLN    </v>
      </c>
      <c r="F144" s="10" t="str">
        <f>DATA!H150</f>
        <v>Electricity Infrastructure Development Program</v>
      </c>
      <c r="G144" s="10" t="str">
        <f>DATA!I150</f>
        <v>A</v>
      </c>
      <c r="H144" s="10" t="str">
        <f>DATA!J150</f>
        <v>Program Pembangunan Infrastruktur Ketenagalistrikan</v>
      </c>
      <c r="I144" s="10">
        <f>DATA!K150</f>
        <v>8</v>
      </c>
      <c r="J144" s="181"/>
      <c r="K144" s="54"/>
      <c r="L144" s="54"/>
      <c r="M144" s="52">
        <v>84</v>
      </c>
      <c r="N144" s="199" t="str">
        <f>DATA!L150</f>
        <v>Matenggeng Pumped Storage Hydro Electrical Power Plant (4x225MW)</v>
      </c>
      <c r="O144" s="1402">
        <f>DATA!T150</f>
        <v>500000000</v>
      </c>
      <c r="P144" s="187">
        <f>DATA!U150</f>
        <v>500000000</v>
      </c>
      <c r="Q144" s="1446">
        <f>DATA!V150</f>
        <v>220000000</v>
      </c>
      <c r="R144" s="1446">
        <v>0</v>
      </c>
      <c r="S144" s="1447">
        <f t="shared" si="15"/>
        <v>720000000</v>
      </c>
      <c r="T144" s="1448"/>
      <c r="U144" s="1449" t="str">
        <f>DATA!Y150</f>
        <v>Bank Dunia</v>
      </c>
      <c r="V144" s="77">
        <f>DATA!AA150</f>
        <v>500000000</v>
      </c>
      <c r="W144" s="77">
        <v>0</v>
      </c>
      <c r="X144" s="1450" t="str">
        <f>DATA!Y150</f>
        <v>Bank Dunia</v>
      </c>
      <c r="Y144" s="109">
        <v>500000000</v>
      </c>
      <c r="Z144" s="109" t="s">
        <v>62</v>
      </c>
      <c r="AA144" s="1484" t="s">
        <v>1173</v>
      </c>
      <c r="AB144" s="828"/>
      <c r="AC144" s="1485"/>
      <c r="AD144" s="1486"/>
      <c r="AE144" s="1486"/>
      <c r="AF144" s="1486"/>
      <c r="AG144" s="1508" t="s">
        <v>1227</v>
      </c>
      <c r="AH144" s="1509">
        <f>DATA!AT150</f>
        <v>500000000</v>
      </c>
      <c r="AI144" s="109" t="str">
        <f>DATA!AU150</f>
        <v>Bank Dunia</v>
      </c>
      <c r="AJ144" s="216" t="str">
        <f>DATA!AW150</f>
        <v>-</v>
      </c>
      <c r="AK144" s="245">
        <f>DATA!AM150</f>
        <v>0</v>
      </c>
      <c r="AL144" s="1510" t="str">
        <f>DATA!AN150</f>
        <v>dalam proses
(penyusunan FS)</v>
      </c>
      <c r="AM144" s="1511" t="str">
        <f>DATA!AO150</f>
        <v>belum ada keterangan</v>
      </c>
      <c r="AN144" s="1512">
        <f>DATA!AQ150</f>
        <v>0</v>
      </c>
      <c r="AO144" s="1531" t="str">
        <f>DATA!AR150</f>
        <v>belum ada dokumen R/C</v>
      </c>
      <c r="AQ144" s="10">
        <f t="shared" si="13"/>
        <v>0</v>
      </c>
      <c r="AR144" s="10">
        <f t="shared" si="20"/>
        <v>0</v>
      </c>
      <c r="AS144" s="10">
        <f t="shared" si="21"/>
        <v>0</v>
      </c>
      <c r="AT144" s="10">
        <f t="shared" si="22"/>
        <v>0</v>
      </c>
    </row>
    <row r="145" spans="1:46" ht="24" customHeight="1">
      <c r="J145" s="181"/>
      <c r="K145" s="25">
        <v>7</v>
      </c>
      <c r="L145" s="108" t="s">
        <v>426</v>
      </c>
      <c r="M145" s="25"/>
      <c r="N145" s="1416"/>
      <c r="O145" s="213">
        <f>+O146</f>
        <v>0</v>
      </c>
      <c r="P145" s="194">
        <f>+P146</f>
        <v>61600000</v>
      </c>
      <c r="Q145" s="194">
        <f>+Q146</f>
        <v>106510000</v>
      </c>
      <c r="R145" s="194">
        <f>+R146</f>
        <v>7700000</v>
      </c>
      <c r="S145" s="242">
        <f t="shared" si="15"/>
        <v>175810000</v>
      </c>
      <c r="T145" s="1434">
        <f>P145+P199</f>
        <v>168400000</v>
      </c>
      <c r="U145" s="1549"/>
      <c r="V145" s="80">
        <f>+V146</f>
        <v>0</v>
      </c>
      <c r="W145" s="80">
        <f>+W146</f>
        <v>61600000</v>
      </c>
      <c r="X145" s="241"/>
      <c r="Y145" s="80">
        <f>+Y146</f>
        <v>61600000</v>
      </c>
      <c r="Z145" s="80"/>
      <c r="AA145" s="1465"/>
      <c r="AB145" s="1466"/>
      <c r="AC145" s="1467"/>
      <c r="AD145" s="1468"/>
      <c r="AE145" s="1468"/>
      <c r="AF145" s="1468"/>
      <c r="AG145" s="2454"/>
      <c r="AH145" s="195">
        <f>+AH146</f>
        <v>61600000</v>
      </c>
      <c r="AI145" s="80" t="s">
        <v>21</v>
      </c>
      <c r="AJ145" s="213"/>
      <c r="AK145" s="1501"/>
      <c r="AL145" s="1502"/>
      <c r="AM145" s="168"/>
      <c r="AN145" s="1503"/>
      <c r="AO145" s="1529"/>
      <c r="AQ145" s="10">
        <f t="shared" si="13"/>
        <v>0</v>
      </c>
      <c r="AR145" s="10">
        <f t="shared" si="20"/>
        <v>0</v>
      </c>
      <c r="AS145" s="10">
        <f t="shared" si="21"/>
        <v>0</v>
      </c>
      <c r="AT145" s="10">
        <f t="shared" si="22"/>
        <v>0</v>
      </c>
    </row>
    <row r="146" spans="1:46" ht="23.25" customHeight="1">
      <c r="J146" s="181"/>
      <c r="K146" s="59"/>
      <c r="L146" s="30" t="str">
        <f>DATA!I149</f>
        <v>A</v>
      </c>
      <c r="M146" s="3427" t="str">
        <f>DATA!J149</f>
        <v>Program Pembangunan Infrastruktur Ketenagalistrikan</v>
      </c>
      <c r="N146" s="3556"/>
      <c r="O146" s="214">
        <f>O147</f>
        <v>0</v>
      </c>
      <c r="P146" s="1559">
        <f>+P147</f>
        <v>61600000</v>
      </c>
      <c r="Q146" s="1567">
        <f>+Q147</f>
        <v>106510000</v>
      </c>
      <c r="R146" s="1567">
        <f>+R147</f>
        <v>7700000</v>
      </c>
      <c r="S146" s="244">
        <f t="shared" si="15"/>
        <v>175810000</v>
      </c>
      <c r="T146" s="1437"/>
      <c r="U146" s="1539"/>
      <c r="V146" s="81">
        <f>V147</f>
        <v>0</v>
      </c>
      <c r="W146" s="81">
        <f>W147</f>
        <v>61600000</v>
      </c>
      <c r="X146" s="243"/>
      <c r="Y146" s="81">
        <f>Y147</f>
        <v>61600000</v>
      </c>
      <c r="Z146" s="81"/>
      <c r="AA146" s="1469"/>
      <c r="AB146" s="1470"/>
      <c r="AC146" s="1471"/>
      <c r="AD146" s="1472"/>
      <c r="AE146" s="1472"/>
      <c r="AF146" s="1472"/>
      <c r="AG146" s="1504"/>
      <c r="AH146" s="198">
        <f>AH147</f>
        <v>61600000</v>
      </c>
      <c r="AI146" s="81" t="s">
        <v>21</v>
      </c>
      <c r="AJ146" s="214"/>
      <c r="AK146" s="1505"/>
      <c r="AL146" s="1506"/>
      <c r="AM146" s="169"/>
      <c r="AN146" s="1507"/>
      <c r="AO146" s="1530"/>
      <c r="AQ146" s="10">
        <f t="shared" si="13"/>
        <v>0</v>
      </c>
      <c r="AR146" s="10">
        <f t="shared" si="20"/>
        <v>0</v>
      </c>
      <c r="AS146" s="10">
        <f t="shared" si="21"/>
        <v>0</v>
      </c>
      <c r="AT146" s="10">
        <f t="shared" si="22"/>
        <v>0</v>
      </c>
    </row>
    <row r="147" spans="1:46" ht="60.75" customHeight="1">
      <c r="J147" s="181"/>
      <c r="K147" s="54"/>
      <c r="L147" s="54"/>
      <c r="M147" s="52">
        <v>85</v>
      </c>
      <c r="N147" s="199" t="str">
        <f>DATA!L151</f>
        <v>Development of Seulawah Agam Geothermal Working Area for 55 MW-Capacity Geothermal Power Plant in Aceh</v>
      </c>
      <c r="O147" s="1402">
        <f>DATA!T151</f>
        <v>0</v>
      </c>
      <c r="P147" s="187">
        <f>DATA!U151</f>
        <v>61600000</v>
      </c>
      <c r="Q147" s="187">
        <f>DATA!V151</f>
        <v>106510000</v>
      </c>
      <c r="R147" s="187">
        <f>DATA!W151</f>
        <v>7700000</v>
      </c>
      <c r="S147" s="1447">
        <f t="shared" si="15"/>
        <v>175810000</v>
      </c>
      <c r="T147" s="1448"/>
      <c r="U147" s="1449"/>
      <c r="V147" s="77">
        <v>0</v>
      </c>
      <c r="W147" s="77">
        <f>DATA!AA151</f>
        <v>61600000</v>
      </c>
      <c r="X147" s="1450" t="str">
        <f>DATA!Y151</f>
        <v>Belum Ada Indikasi</v>
      </c>
      <c r="Y147" s="109">
        <v>61600000</v>
      </c>
      <c r="Z147" s="109" t="s">
        <v>91</v>
      </c>
      <c r="AA147" s="1484" t="s">
        <v>879</v>
      </c>
      <c r="AB147" s="828"/>
      <c r="AC147" s="1485"/>
      <c r="AD147" s="1486"/>
      <c r="AE147" s="1486"/>
      <c r="AF147" s="1486"/>
      <c r="AG147" s="3255" t="s">
        <v>1228</v>
      </c>
      <c r="AH147" s="1509">
        <f>DATA!AT151</f>
        <v>61600000</v>
      </c>
      <c r="AI147" s="109" t="str">
        <f>DATA!AU151</f>
        <v>Jerman (KfW)</v>
      </c>
      <c r="AJ147" s="216">
        <f>DATA!AW151</f>
        <v>0</v>
      </c>
      <c r="AK147" s="245">
        <f>DATA!AM151</f>
        <v>0</v>
      </c>
      <c r="AL147" s="1510" t="str">
        <f>DATA!AN151</f>
        <v>belum ada keterangan</v>
      </c>
      <c r="AM147" s="1511" t="str">
        <f>DATA!AO151</f>
        <v>belum ada keterangan</v>
      </c>
      <c r="AN147" s="1512">
        <f>DATA!AQ151</f>
        <v>0</v>
      </c>
      <c r="AO147" s="1531" t="str">
        <f>DATA!AR151</f>
        <v>belum ada dokumen R/C</v>
      </c>
      <c r="AQ147" s="10">
        <f t="shared" si="13"/>
        <v>0</v>
      </c>
      <c r="AR147" s="10">
        <f t="shared" si="20"/>
        <v>0</v>
      </c>
      <c r="AS147" s="10">
        <f t="shared" si="21"/>
        <v>0</v>
      </c>
      <c r="AT147" s="10">
        <f t="shared" si="22"/>
        <v>0</v>
      </c>
    </row>
    <row r="148" spans="1:46" ht="24" customHeight="1">
      <c r="J148" s="181"/>
      <c r="K148" s="25">
        <v>8</v>
      </c>
      <c r="L148" s="108" t="s">
        <v>946</v>
      </c>
      <c r="M148" s="25"/>
      <c r="N148" s="1416"/>
      <c r="O148" s="213">
        <f>+O149</f>
        <v>0</v>
      </c>
      <c r="P148" s="1558">
        <f>+P149</f>
        <v>225000000</v>
      </c>
      <c r="Q148" s="1565">
        <f>+Q149</f>
        <v>0</v>
      </c>
      <c r="R148" s="1565">
        <f>+R149</f>
        <v>0</v>
      </c>
      <c r="S148" s="1566">
        <f t="shared" si="15"/>
        <v>225000000</v>
      </c>
      <c r="T148" s="1434"/>
      <c r="U148" s="1549"/>
      <c r="V148" s="80">
        <f>+V149</f>
        <v>0</v>
      </c>
      <c r="W148" s="80">
        <f>+W149</f>
        <v>225000000</v>
      </c>
      <c r="X148" s="241"/>
      <c r="Y148" s="80">
        <f>+Y149</f>
        <v>225000000</v>
      </c>
      <c r="Z148" s="80"/>
      <c r="AA148" s="1465"/>
      <c r="AB148" s="1466"/>
      <c r="AC148" s="1467"/>
      <c r="AD148" s="1468"/>
      <c r="AE148" s="1468"/>
      <c r="AF148" s="1468"/>
      <c r="AG148" s="1500"/>
      <c r="AH148" s="195">
        <f>+AH149</f>
        <v>225000000</v>
      </c>
      <c r="AI148" s="80" t="s">
        <v>21</v>
      </c>
      <c r="AJ148" s="213"/>
      <c r="AK148" s="1501"/>
      <c r="AL148" s="1502"/>
      <c r="AM148" s="168"/>
      <c r="AN148" s="1503"/>
      <c r="AO148" s="1529"/>
      <c r="AQ148" s="10">
        <f t="shared" ref="AQ148:AQ211" si="23">IF(Z148="RRT",Y148,0)</f>
        <v>0</v>
      </c>
      <c r="AR148" s="10">
        <f t="shared" si="20"/>
        <v>0</v>
      </c>
      <c r="AS148" s="10">
        <f t="shared" si="21"/>
        <v>0</v>
      </c>
      <c r="AT148" s="10">
        <f t="shared" si="22"/>
        <v>0</v>
      </c>
    </row>
    <row r="149" spans="1:46" ht="36" customHeight="1">
      <c r="J149" s="181"/>
      <c r="K149" s="35"/>
      <c r="L149" s="30" t="str">
        <f>DATA!I161</f>
        <v>A</v>
      </c>
      <c r="M149" s="3427" t="s">
        <v>948</v>
      </c>
      <c r="N149" s="3556"/>
      <c r="O149" s="214">
        <f>O150</f>
        <v>0</v>
      </c>
      <c r="P149" s="1559">
        <f>+P150</f>
        <v>225000000</v>
      </c>
      <c r="Q149" s="1567">
        <f>+Q150</f>
        <v>0</v>
      </c>
      <c r="R149" s="1567">
        <f>+R150</f>
        <v>0</v>
      </c>
      <c r="S149" s="244">
        <f t="shared" si="15"/>
        <v>225000000</v>
      </c>
      <c r="T149" s="1437"/>
      <c r="U149" s="1539"/>
      <c r="V149" s="81">
        <f>V150</f>
        <v>0</v>
      </c>
      <c r="W149" s="81">
        <f>W150</f>
        <v>225000000</v>
      </c>
      <c r="X149" s="243"/>
      <c r="Y149" s="81">
        <f>Y150</f>
        <v>225000000</v>
      </c>
      <c r="Z149" s="81"/>
      <c r="AA149" s="1469"/>
      <c r="AB149" s="1470"/>
      <c r="AC149" s="1471"/>
      <c r="AD149" s="1472"/>
      <c r="AE149" s="1472"/>
      <c r="AF149" s="1472"/>
      <c r="AG149" s="1504"/>
      <c r="AH149" s="198">
        <f>AH150</f>
        <v>225000000</v>
      </c>
      <c r="AI149" s="81" t="s">
        <v>21</v>
      </c>
      <c r="AJ149" s="214"/>
      <c r="AK149" s="1505"/>
      <c r="AL149" s="1506"/>
      <c r="AM149" s="169"/>
      <c r="AN149" s="1507"/>
      <c r="AO149" s="1530"/>
      <c r="AQ149" s="10">
        <f t="shared" si="23"/>
        <v>0</v>
      </c>
      <c r="AR149" s="10">
        <f t="shared" si="20"/>
        <v>0</v>
      </c>
      <c r="AS149" s="10">
        <f t="shared" si="21"/>
        <v>0</v>
      </c>
      <c r="AT149" s="10">
        <f t="shared" si="22"/>
        <v>0</v>
      </c>
    </row>
    <row r="150" spans="1:46" ht="33.75" customHeight="1">
      <c r="J150" s="181"/>
      <c r="K150" s="54"/>
      <c r="L150" s="54"/>
      <c r="M150" s="52">
        <v>86</v>
      </c>
      <c r="N150" s="199" t="str">
        <f>DATA!L152</f>
        <v>Development and Improvement of Lampung Provincial Roads Project</v>
      </c>
      <c r="O150" s="1402">
        <f>DATA!T152</f>
        <v>0</v>
      </c>
      <c r="P150" s="187">
        <f>DATA!U152</f>
        <v>225000000</v>
      </c>
      <c r="Q150" s="187">
        <f>DATA!V152</f>
        <v>0</v>
      </c>
      <c r="R150" s="187">
        <f>DATA!W152</f>
        <v>0</v>
      </c>
      <c r="S150" s="1447">
        <f t="shared" si="15"/>
        <v>225000000</v>
      </c>
      <c r="T150" s="1448"/>
      <c r="U150" s="1449"/>
      <c r="V150" s="77">
        <v>0</v>
      </c>
      <c r="W150" s="77">
        <f>DATA!AA152</f>
        <v>225000000</v>
      </c>
      <c r="X150" s="1450" t="str">
        <f>DATA!Y152</f>
        <v>Belum Ada Indikasi</v>
      </c>
      <c r="Y150" s="109">
        <v>225000000</v>
      </c>
      <c r="Z150" s="109" t="s">
        <v>633</v>
      </c>
      <c r="AA150" s="1484" t="s">
        <v>879</v>
      </c>
      <c r="AB150" s="828"/>
      <c r="AC150" s="1485"/>
      <c r="AD150" s="1486"/>
      <c r="AE150" s="1486"/>
      <c r="AF150" s="1486"/>
      <c r="AG150" s="1514"/>
      <c r="AH150" s="1509">
        <f>DATA!AT152</f>
        <v>225000000</v>
      </c>
      <c r="AI150" s="109" t="str">
        <f>DATA!AU152</f>
        <v>Belum Ada Indikasi</v>
      </c>
      <c r="AJ150" s="216">
        <f>DATA!AW152</f>
        <v>0</v>
      </c>
      <c r="AK150" s="245">
        <f>DATA!AM152</f>
        <v>0</v>
      </c>
      <c r="AL150" s="1510" t="str">
        <f>DATA!AN152</f>
        <v>belum ada keterangan</v>
      </c>
      <c r="AM150" s="1511" t="str">
        <f>DATA!AO152</f>
        <v>belum ada keterangan</v>
      </c>
      <c r="AN150" s="1512">
        <f>DATA!AQ152</f>
        <v>0</v>
      </c>
      <c r="AO150" s="1531" t="str">
        <f>DATA!AR152</f>
        <v>belum ada dokumen R/C</v>
      </c>
      <c r="AQ150" s="10">
        <f t="shared" si="23"/>
        <v>0</v>
      </c>
      <c r="AR150" s="10">
        <f t="shared" si="20"/>
        <v>0</v>
      </c>
      <c r="AS150" s="10">
        <f t="shared" si="21"/>
        <v>225000000</v>
      </c>
      <c r="AT150" s="10">
        <f t="shared" si="22"/>
        <v>0</v>
      </c>
    </row>
    <row r="151" spans="1:46" ht="24" customHeight="1">
      <c r="J151" s="181"/>
      <c r="K151" s="1405">
        <v>9</v>
      </c>
      <c r="L151" s="1406" t="s">
        <v>950</v>
      </c>
      <c r="M151" s="1405"/>
      <c r="N151" s="1407"/>
      <c r="O151" s="213" t="e">
        <f>O152</f>
        <v>#REF!</v>
      </c>
      <c r="P151" s="194" t="e">
        <f>P152</f>
        <v>#REF!</v>
      </c>
      <c r="Q151" s="194">
        <f>Q152</f>
        <v>0</v>
      </c>
      <c r="R151" s="194" t="e">
        <f>R152</f>
        <v>#REF!</v>
      </c>
      <c r="S151" s="242" t="e">
        <f t="shared" si="15"/>
        <v>#REF!</v>
      </c>
      <c r="T151" s="1434"/>
      <c r="U151" s="1435"/>
      <c r="V151" s="80" t="e">
        <f>V152</f>
        <v>#REF!</v>
      </c>
      <c r="W151" s="80" t="e">
        <f>W152</f>
        <v>#REF!</v>
      </c>
      <c r="X151" s="241"/>
      <c r="Y151" s="80">
        <f>Y152</f>
        <v>600000000</v>
      </c>
      <c r="Z151" s="80"/>
      <c r="AA151" s="1465"/>
      <c r="AB151" s="1466"/>
      <c r="AC151" s="1467"/>
      <c r="AD151" s="1468"/>
      <c r="AE151" s="1468"/>
      <c r="AF151" s="1468"/>
      <c r="AG151" s="1500"/>
      <c r="AH151" s="195" t="e">
        <f>AH152</f>
        <v>#REF!</v>
      </c>
      <c r="AI151" s="80" t="s">
        <v>21</v>
      </c>
      <c r="AJ151" s="213"/>
      <c r="AK151" s="1501"/>
      <c r="AL151" s="1502"/>
      <c r="AM151" s="168"/>
      <c r="AN151" s="1503"/>
      <c r="AO151" s="1529"/>
      <c r="AQ151" s="10">
        <f t="shared" si="23"/>
        <v>0</v>
      </c>
      <c r="AR151" s="10">
        <f t="shared" si="20"/>
        <v>0</v>
      </c>
      <c r="AS151" s="10">
        <f t="shared" si="21"/>
        <v>0</v>
      </c>
      <c r="AT151" s="10">
        <f t="shared" si="22"/>
        <v>0</v>
      </c>
    </row>
    <row r="152" spans="1:46" ht="26.25" customHeight="1">
      <c r="J152" s="181"/>
      <c r="K152" s="29"/>
      <c r="L152" s="1408" t="s">
        <v>23</v>
      </c>
      <c r="M152" s="3567" t="s">
        <v>952</v>
      </c>
      <c r="N152" s="3568"/>
      <c r="O152" s="214" t="e">
        <f>O153+#REF!</f>
        <v>#REF!</v>
      </c>
      <c r="P152" s="197" t="e">
        <f>P153+#REF!</f>
        <v>#REF!</v>
      </c>
      <c r="Q152" s="1436">
        <f>SUM(Q153:Q155)</f>
        <v>0</v>
      </c>
      <c r="R152" s="1436" t="e">
        <f>R153+#REF!</f>
        <v>#REF!</v>
      </c>
      <c r="S152" s="244" t="e">
        <f t="shared" si="15"/>
        <v>#REF!</v>
      </c>
      <c r="T152" s="1437"/>
      <c r="U152" s="198"/>
      <c r="V152" s="81" t="e">
        <f>V153+#REF!+#REF!</f>
        <v>#REF!</v>
      </c>
      <c r="W152" s="81" t="e">
        <f>W153+#REF!+#REF!</f>
        <v>#REF!</v>
      </c>
      <c r="X152" s="243"/>
      <c r="Y152" s="81">
        <f>Y153+Y154+Y155</f>
        <v>600000000</v>
      </c>
      <c r="Z152" s="81"/>
      <c r="AA152" s="1469"/>
      <c r="AB152" s="1470"/>
      <c r="AC152" s="1471"/>
      <c r="AD152" s="1472"/>
      <c r="AE152" s="1472"/>
      <c r="AF152" s="1472"/>
      <c r="AG152" s="1504"/>
      <c r="AH152" s="198" t="e">
        <f>AH153+AH154+#REF!+#REF!+AH155</f>
        <v>#REF!</v>
      </c>
      <c r="AI152" s="81" t="s">
        <v>21</v>
      </c>
      <c r="AJ152" s="214"/>
      <c r="AK152" s="1505"/>
      <c r="AL152" s="1506"/>
      <c r="AM152" s="169"/>
      <c r="AN152" s="1507"/>
      <c r="AO152" s="1530"/>
      <c r="AQ152" s="10">
        <f t="shared" si="23"/>
        <v>0</v>
      </c>
      <c r="AR152" s="10">
        <f t="shared" si="20"/>
        <v>0</v>
      </c>
      <c r="AS152" s="10">
        <f t="shared" si="21"/>
        <v>0</v>
      </c>
      <c r="AT152" s="10">
        <f t="shared" si="22"/>
        <v>0</v>
      </c>
    </row>
    <row r="153" spans="1:46" ht="73.5" customHeight="1">
      <c r="J153" s="1409"/>
      <c r="K153" s="1410"/>
      <c r="L153" s="1411"/>
      <c r="M153" s="3575">
        <v>87</v>
      </c>
      <c r="N153" s="3571" t="str">
        <f>DATA!L154</f>
        <v>Increasing PT Indonesia Infrastructure Finance Financing Capacity in Accelerating Infrastructure Development in Indonesia</v>
      </c>
      <c r="O153" s="3599">
        <f>DATA!T154</f>
        <v>0</v>
      </c>
      <c r="P153" s="3403">
        <f>DATA!U154</f>
        <v>300000000</v>
      </c>
      <c r="Q153" s="3403">
        <f>DATA!V154</f>
        <v>0</v>
      </c>
      <c r="R153" s="3403">
        <f>DATA!W154</f>
        <v>0</v>
      </c>
      <c r="S153" s="3603">
        <f t="shared" si="15"/>
        <v>300000000</v>
      </c>
      <c r="T153" s="3613"/>
      <c r="U153" s="1440"/>
      <c r="V153" s="3414">
        <v>0</v>
      </c>
      <c r="W153" s="3414">
        <f>DATA!AA154</f>
        <v>300000000</v>
      </c>
      <c r="X153" s="3618" t="str">
        <f>DATA!Y154</f>
        <v>Belum Ada Indikasi</v>
      </c>
      <c r="Y153" s="109">
        <v>200000000</v>
      </c>
      <c r="Z153" s="109" t="s">
        <v>62</v>
      </c>
      <c r="AA153" s="3254" t="s">
        <v>1229</v>
      </c>
      <c r="AB153" s="1474"/>
      <c r="AC153" s="1475"/>
      <c r="AD153" s="1476"/>
      <c r="AE153" s="1476"/>
      <c r="AF153" s="1476"/>
      <c r="AG153" s="1508" t="s">
        <v>1230</v>
      </c>
      <c r="AH153" s="1509">
        <f>DATA!AT154</f>
        <v>200000000</v>
      </c>
      <c r="AI153" s="109" t="str">
        <f>DATA!AU154</f>
        <v>Bank Dunia</v>
      </c>
      <c r="AJ153" s="216" t="str">
        <f>DATA!AW154</f>
        <v>co-financing dengan ADB (USD 100 juta)</v>
      </c>
      <c r="AK153" s="245" t="str">
        <f>DATA!AM154</f>
        <v>Rev. 2016</v>
      </c>
      <c r="AL153" s="1510" t="str">
        <f>DATA!AN154</f>
        <v>siap</v>
      </c>
      <c r="AM153" s="1511" t="str">
        <f>DATA!AO154</f>
        <v>siap</v>
      </c>
      <c r="AN153" s="1512">
        <f>DATA!AQ154</f>
        <v>0</v>
      </c>
      <c r="AO153" s="1531" t="str">
        <f>DATA!AR154</f>
        <v>-</v>
      </c>
      <c r="AQ153" s="10">
        <f t="shared" si="23"/>
        <v>0</v>
      </c>
      <c r="AR153" s="10">
        <f t="shared" si="20"/>
        <v>0</v>
      </c>
      <c r="AS153" s="10">
        <f t="shared" si="21"/>
        <v>0</v>
      </c>
      <c r="AT153" s="10">
        <f t="shared" si="22"/>
        <v>0</v>
      </c>
    </row>
    <row r="154" spans="1:46" ht="62.25" customHeight="1">
      <c r="J154" s="181"/>
      <c r="K154" s="34"/>
      <c r="L154" s="33"/>
      <c r="M154" s="3391"/>
      <c r="N154" s="3572"/>
      <c r="O154" s="3597"/>
      <c r="P154" s="3404"/>
      <c r="Q154" s="3404"/>
      <c r="R154" s="3404"/>
      <c r="S154" s="3604"/>
      <c r="T154" s="3612"/>
      <c r="U154" s="1440"/>
      <c r="V154" s="3415"/>
      <c r="W154" s="3415"/>
      <c r="X154" s="3619"/>
      <c r="Y154" s="109">
        <v>100000000</v>
      </c>
      <c r="Z154" s="109" t="s">
        <v>117</v>
      </c>
      <c r="AA154" s="1477" t="s">
        <v>879</v>
      </c>
      <c r="AB154" s="1478"/>
      <c r="AC154" s="1479"/>
      <c r="AD154" s="1480"/>
      <c r="AE154" s="1480"/>
      <c r="AF154" s="1480"/>
      <c r="AG154" s="3255" t="s">
        <v>1231</v>
      </c>
      <c r="AH154" s="1509">
        <f>DATA!AT155</f>
        <v>100000000</v>
      </c>
      <c r="AI154" s="109" t="str">
        <f>DATA!AU155</f>
        <v>ADB</v>
      </c>
      <c r="AJ154" s="216" t="str">
        <f>DATA!AW155</f>
        <v>co-financing dengan Bank Dunia (USD 200 juta)</v>
      </c>
      <c r="AK154" s="245" t="str">
        <f>DATA!AM155</f>
        <v>Rev. 2016</v>
      </c>
      <c r="AL154" s="1510" t="str">
        <f>DATA!AN155</f>
        <v>siap</v>
      </c>
      <c r="AM154" s="1511" t="str">
        <f>DATA!AO155</f>
        <v>siap</v>
      </c>
      <c r="AN154" s="1512">
        <f>DATA!AQ155</f>
        <v>0</v>
      </c>
      <c r="AO154" s="1531" t="str">
        <f>DATA!AR155</f>
        <v>-</v>
      </c>
      <c r="AQ154" s="10">
        <f t="shared" si="23"/>
        <v>0</v>
      </c>
      <c r="AR154" s="10">
        <f t="shared" si="20"/>
        <v>0</v>
      </c>
      <c r="AS154" s="10">
        <f t="shared" si="21"/>
        <v>0</v>
      </c>
      <c r="AT154" s="10">
        <f t="shared" si="22"/>
        <v>0</v>
      </c>
    </row>
    <row r="155" spans="1:46" ht="34.5" customHeight="1">
      <c r="J155" s="256"/>
      <c r="K155" s="54"/>
      <c r="L155" s="52"/>
      <c r="M155" s="172">
        <v>88</v>
      </c>
      <c r="N155" s="1412" t="str">
        <f>DATA!L159</f>
        <v>Financial Regional Infrastructure Projects through Regional Infrastructure Development Fund (RIDF)</v>
      </c>
      <c r="O155" s="1413">
        <f>DATA!T159</f>
        <v>0</v>
      </c>
      <c r="P155" s="1414">
        <f>DATA!U159</f>
        <v>500000000</v>
      </c>
      <c r="Q155" s="205"/>
      <c r="R155" s="205"/>
      <c r="S155" s="1442"/>
      <c r="T155" s="1443"/>
      <c r="U155" s="1440"/>
      <c r="V155" s="217"/>
      <c r="W155" s="217"/>
      <c r="X155" s="1444"/>
      <c r="Y155" s="109">
        <v>300000000</v>
      </c>
      <c r="Z155" s="109" t="s">
        <v>633</v>
      </c>
      <c r="AA155" s="1477" t="s">
        <v>879</v>
      </c>
      <c r="AB155" s="1478"/>
      <c r="AC155" s="1479"/>
      <c r="AD155" s="1480"/>
      <c r="AE155" s="1480"/>
      <c r="AF155" s="1480"/>
      <c r="AG155" s="1514"/>
      <c r="AH155" s="1509">
        <f>DATA!AT159</f>
        <v>300000000</v>
      </c>
      <c r="AI155" s="109" t="str">
        <f>DATA!AU159</f>
        <v>Belum Ada Indikasi</v>
      </c>
      <c r="AJ155" s="216" t="str">
        <f>DATA!AW159</f>
        <v>co-financing dengan Bank Dunia (USD 100 juta) dan AIIB (USD 100 juta)</v>
      </c>
      <c r="AK155" s="245">
        <f>DATA!AM159</f>
        <v>0</v>
      </c>
      <c r="AL155" s="1510" t="str">
        <f>DATA!AN159</f>
        <v>belum ada keterangan</v>
      </c>
      <c r="AM155" s="1511" t="str">
        <f>DATA!AO159</f>
        <v>belum ada keterangan</v>
      </c>
      <c r="AN155" s="1512">
        <f>DATA!AQ159</f>
        <v>0</v>
      </c>
      <c r="AO155" s="1531" t="str">
        <f>DATA!AR159</f>
        <v>-</v>
      </c>
      <c r="AP155" s="3"/>
      <c r="AQ155" s="10">
        <f t="shared" si="23"/>
        <v>0</v>
      </c>
      <c r="AR155" s="10">
        <f t="shared" si="20"/>
        <v>0</v>
      </c>
      <c r="AS155" s="10">
        <f t="shared" si="21"/>
        <v>300000000</v>
      </c>
      <c r="AT155" s="10">
        <f t="shared" si="22"/>
        <v>0</v>
      </c>
    </row>
    <row r="156" spans="1:46" s="3" customFormat="1" ht="30" customHeight="1">
      <c r="J156" s="178" t="s">
        <v>960</v>
      </c>
      <c r="K156" s="112" t="str">
        <f>DATA!D160</f>
        <v>NON-INFRASTRUKTUR</v>
      </c>
      <c r="L156" s="22"/>
      <c r="M156" s="22"/>
      <c r="N156" s="1404"/>
      <c r="O156" s="212" t="e">
        <f>+O157+O168+O182+O188+O199+O202+O211+O214+O226+O230+O217+O233+#REF!+O236</f>
        <v>#REF!</v>
      </c>
      <c r="P156" s="191" t="e">
        <f>+P157+P168+P182+P188+P199+P202+P211+P214+P226+P230+P217+P233+#REF!+P236</f>
        <v>#REF!</v>
      </c>
      <c r="Q156" s="191">
        <f>+Q157+Q168+Q182+Q188+Q199+Q202+Q211+Q214+Q226+Q230+Q217+Q233+Q236</f>
        <v>475459100</v>
      </c>
      <c r="R156" s="191">
        <f>+R157+R168+R182+R188+R199+R202+R211+R214+R226+R230+R217+R233+R236</f>
        <v>2660000</v>
      </c>
      <c r="S156" s="240">
        <f>+S157+S168+S182+S188+S199+S202+S211+S214+S226+S230+S217+S233+S236</f>
        <v>5811862800</v>
      </c>
      <c r="T156" s="1445"/>
      <c r="U156" s="192"/>
      <c r="V156" s="79" t="e">
        <f>+V157+V168+V182+V188+V199+V202+V211+V214+V217+V226+V230+V233+V236</f>
        <v>#REF!</v>
      </c>
      <c r="W156" s="79" t="e">
        <f>+W157+W168+W182+W188+W199+W202+W211+W214+W217+W226+W230+W233+W236</f>
        <v>#REF!</v>
      </c>
      <c r="X156" s="239">
        <f>+X157+X168+X182+X188+X199+X202+X211+X214+X217+X226+X230+X233+X236</f>
        <v>0</v>
      </c>
      <c r="Y156" s="79">
        <f>Y157+Y168+Y182+Y188+Y199+Y202+Y211+Y214+Y217+Y226+Y230+Y233+Y236</f>
        <v>5449739100</v>
      </c>
      <c r="Z156" s="79"/>
      <c r="AA156" s="1464"/>
      <c r="AB156" s="1481"/>
      <c r="AC156" s="1482"/>
      <c r="AD156" s="1483"/>
      <c r="AE156" s="1483"/>
      <c r="AF156" s="1483"/>
      <c r="AG156" s="1515"/>
      <c r="AH156" s="192" t="e">
        <f>AH157+AH168+AH182+AH188+AH199+AH202+AH211+AH214+AH217+AH226+AH230+AH233+AH236</f>
        <v>#REF!</v>
      </c>
      <c r="AI156" s="79" t="s">
        <v>21</v>
      </c>
      <c r="AJ156" s="79" t="s">
        <v>21</v>
      </c>
      <c r="AK156" s="1496"/>
      <c r="AL156" s="1516"/>
      <c r="AM156" s="1517"/>
      <c r="AN156" s="1518"/>
      <c r="AO156" s="1532"/>
      <c r="AP156" s="4"/>
      <c r="AQ156" s="10">
        <f t="shared" si="23"/>
        <v>0</v>
      </c>
      <c r="AR156" s="10">
        <f t="shared" si="20"/>
        <v>0</v>
      </c>
      <c r="AS156" s="10">
        <f t="shared" si="21"/>
        <v>0</v>
      </c>
      <c r="AT156" s="10">
        <f t="shared" si="22"/>
        <v>0</v>
      </c>
    </row>
    <row r="157" spans="1:46" s="4" customFormat="1" ht="24.95" customHeight="1">
      <c r="J157" s="179"/>
      <c r="K157" s="25">
        <v>10</v>
      </c>
      <c r="L157" s="108" t="str">
        <f>DATA!F160</f>
        <v>Kementerian Riset, Teknologi, dan Pendidikan Tinggi</v>
      </c>
      <c r="M157" s="25"/>
      <c r="N157" s="1416"/>
      <c r="O157" s="213">
        <f>+O158</f>
        <v>113538000</v>
      </c>
      <c r="P157" s="194">
        <f>+P158</f>
        <v>350397600</v>
      </c>
      <c r="Q157" s="194">
        <f>+Q158</f>
        <v>38932400</v>
      </c>
      <c r="R157" s="194">
        <f>+R158</f>
        <v>0</v>
      </c>
      <c r="S157" s="242">
        <f t="shared" ref="S157:S196" si="24">P157+Q157+R157</f>
        <v>389330000</v>
      </c>
      <c r="T157" s="1434"/>
      <c r="U157" s="195"/>
      <c r="V157" s="80">
        <f>+V158</f>
        <v>113538000</v>
      </c>
      <c r="W157" s="80">
        <f>+W158</f>
        <v>236859600</v>
      </c>
      <c r="X157" s="241">
        <f>+X158</f>
        <v>0</v>
      </c>
      <c r="Y157" s="80">
        <f>+Y158</f>
        <v>350397600</v>
      </c>
      <c r="Z157" s="80"/>
      <c r="AA157" s="1465"/>
      <c r="AB157" s="1466"/>
      <c r="AC157" s="1467"/>
      <c r="AD157" s="1468"/>
      <c r="AE157" s="1468"/>
      <c r="AF157" s="1468"/>
      <c r="AG157" s="1500"/>
      <c r="AH157" s="195">
        <f>+AH158</f>
        <v>350397600</v>
      </c>
      <c r="AI157" s="80" t="s">
        <v>21</v>
      </c>
      <c r="AJ157" s="213"/>
      <c r="AK157" s="1501"/>
      <c r="AL157" s="1502"/>
      <c r="AM157" s="168"/>
      <c r="AN157" s="1503"/>
      <c r="AO157" s="1529"/>
      <c r="AP157" s="5"/>
      <c r="AQ157" s="10">
        <f t="shared" si="23"/>
        <v>0</v>
      </c>
      <c r="AR157" s="10">
        <f t="shared" si="20"/>
        <v>0</v>
      </c>
      <c r="AS157" s="10">
        <f t="shared" si="21"/>
        <v>0</v>
      </c>
      <c r="AT157" s="10">
        <f t="shared" si="22"/>
        <v>0</v>
      </c>
    </row>
    <row r="158" spans="1:46" s="5" customFormat="1" ht="33.75" customHeight="1">
      <c r="J158" s="180"/>
      <c r="K158" s="29"/>
      <c r="L158" s="30" t="str">
        <f>DATA!I160</f>
        <v>A</v>
      </c>
      <c r="M158" s="3427" t="str">
        <f>DATA!J160</f>
        <v xml:space="preserve">Program Peningkatan Akses, Kualitas, Relevansi, dan Daya Saing Pendidikan Tinggi </v>
      </c>
      <c r="N158" s="3556"/>
      <c r="O158" s="214">
        <f>O159+O161+O162+O163+O164+O165+O166+O167</f>
        <v>113538000</v>
      </c>
      <c r="P158" s="197">
        <f>P159+P161+P162+P163+P164+P165+P166+P167</f>
        <v>350397600</v>
      </c>
      <c r="Q158" s="1436">
        <f>Q159+Q161+Q162+Q163+Q164+Q165+Q166+Q167</f>
        <v>38932400</v>
      </c>
      <c r="R158" s="1436">
        <f>R159+R161+R162+R163+R164+R165+R166+R167</f>
        <v>0</v>
      </c>
      <c r="S158" s="244">
        <f t="shared" si="24"/>
        <v>389330000</v>
      </c>
      <c r="T158" s="1437"/>
      <c r="U158" s="198"/>
      <c r="V158" s="81">
        <f>V159+V161+V162+V163+V164+V165+V166+V167</f>
        <v>113538000</v>
      </c>
      <c r="W158" s="81">
        <f>W159+W161+W162+W163+W164+W165+W166+W167</f>
        <v>236859600</v>
      </c>
      <c r="X158" s="243"/>
      <c r="Y158" s="81">
        <f>Y159+Y161+Y162+Y163+Y164+Y165+Y166+Y167+Y160</f>
        <v>350397600</v>
      </c>
      <c r="Z158" s="81"/>
      <c r="AA158" s="1469"/>
      <c r="AB158" s="1470"/>
      <c r="AC158" s="1471"/>
      <c r="AD158" s="1472"/>
      <c r="AE158" s="1472"/>
      <c r="AF158" s="1472"/>
      <c r="AG158" s="1504"/>
      <c r="AH158" s="198">
        <f>AH159+AH161+AH162+AH163+AH164+AH165+AH166+AH167</f>
        <v>350397600</v>
      </c>
      <c r="AI158" s="81" t="s">
        <v>21</v>
      </c>
      <c r="AJ158" s="214"/>
      <c r="AK158" s="1505"/>
      <c r="AL158" s="1506"/>
      <c r="AM158" s="169"/>
      <c r="AN158" s="1507"/>
      <c r="AO158" s="1530"/>
      <c r="AP158" s="10"/>
      <c r="AQ158" s="10">
        <f t="shared" si="23"/>
        <v>0</v>
      </c>
      <c r="AR158" s="10">
        <f t="shared" si="20"/>
        <v>0</v>
      </c>
      <c r="AS158" s="10">
        <f t="shared" si="21"/>
        <v>0</v>
      </c>
      <c r="AT158" s="10">
        <f t="shared" si="22"/>
        <v>0</v>
      </c>
    </row>
    <row r="159" spans="1:46" ht="37.5" customHeight="1">
      <c r="A159" s="10">
        <f>DATA!A165</f>
        <v>118</v>
      </c>
      <c r="B159" s="10">
        <f>DATA!B165</f>
        <v>0</v>
      </c>
      <c r="C159" s="10" t="str">
        <f>DATA!D165</f>
        <v>NON-INFRASTRUKTUR</v>
      </c>
      <c r="D159" s="10">
        <f>DATA!E165</f>
        <v>8</v>
      </c>
      <c r="E159" s="10" t="str">
        <f>DATA!F165</f>
        <v>Kementerian Riset, Teknologi, dan Pendidikan Tinggi</v>
      </c>
      <c r="F159" s="10" t="str">
        <f>DATA!H165</f>
        <v>Improving Access, Quality, Relevance, and Competitiveness of Higher Education Program</v>
      </c>
      <c r="G159" s="10" t="str">
        <f>DATA!I165</f>
        <v>A</v>
      </c>
      <c r="H159" s="10" t="str">
        <f>DATA!J165</f>
        <v xml:space="preserve">Program Peningkatan Akses, Kualitas, Relevansi, dan Daya Saing Pendidikan Tinggi </v>
      </c>
      <c r="I159" s="10">
        <f>DATA!K165</f>
        <v>1</v>
      </c>
      <c r="J159" s="181"/>
      <c r="K159" s="34"/>
      <c r="L159" s="34"/>
      <c r="M159" s="3390">
        <v>89</v>
      </c>
      <c r="N159" s="3393" t="str">
        <f>DATA!L165</f>
        <v>The Plan of Hasanuddin University Hospital Development</v>
      </c>
      <c r="O159" s="1402">
        <f>DATA!T165</f>
        <v>31565800</v>
      </c>
      <c r="P159" s="187">
        <f>DATA!U165</f>
        <v>31565800</v>
      </c>
      <c r="Q159" s="1446">
        <f>DATA!V165</f>
        <v>2586200</v>
      </c>
      <c r="R159" s="1446">
        <v>0</v>
      </c>
      <c r="S159" s="1447">
        <f t="shared" si="24"/>
        <v>34152000</v>
      </c>
      <c r="T159" s="1448"/>
      <c r="U159" s="1449" t="str">
        <f>DATA!Y165</f>
        <v>Jerman (KfW)</v>
      </c>
      <c r="V159" s="77">
        <f>DATA!AA165</f>
        <v>31565800</v>
      </c>
      <c r="W159" s="77">
        <v>0</v>
      </c>
      <c r="X159" s="1450" t="str">
        <f>DATA!Y165</f>
        <v>Jerman (KfW)</v>
      </c>
      <c r="Y159" s="2445">
        <f>31520000</f>
        <v>31520000</v>
      </c>
      <c r="Z159" s="2446" t="s">
        <v>91</v>
      </c>
      <c r="AA159" s="3261" t="s">
        <v>1232</v>
      </c>
      <c r="AB159" s="1474"/>
      <c r="AC159" s="2447"/>
      <c r="AD159" s="1476"/>
      <c r="AE159" s="1476"/>
      <c r="AF159" s="1476"/>
      <c r="AG159" s="1508" t="s">
        <v>1233</v>
      </c>
      <c r="AH159" s="1509">
        <f>DATA!AT165</f>
        <v>31565800</v>
      </c>
      <c r="AI159" s="109" t="str">
        <f>DATA!AU165</f>
        <v>Jerman (KfW)</v>
      </c>
      <c r="AJ159" s="2455" t="str">
        <f>DATA!AW165</f>
        <v>-</v>
      </c>
      <c r="AK159" s="1625">
        <f>DATA!AM165</f>
        <v>2016</v>
      </c>
      <c r="AL159" s="1510" t="str">
        <f>DATA!AN165</f>
        <v>siap</v>
      </c>
      <c r="AM159" s="1511" t="str">
        <f>DATA!AO165</f>
        <v>siap</v>
      </c>
      <c r="AN159" s="1512">
        <f>DATA!AQ165</f>
        <v>0</v>
      </c>
      <c r="AO159" s="1531" t="str">
        <f>DATA!AR165</f>
        <v>-</v>
      </c>
      <c r="AQ159" s="10">
        <f t="shared" si="23"/>
        <v>0</v>
      </c>
      <c r="AR159" s="10">
        <f t="shared" si="20"/>
        <v>0</v>
      </c>
      <c r="AS159" s="10">
        <f t="shared" si="21"/>
        <v>0</v>
      </c>
      <c r="AT159" s="10">
        <f t="shared" si="22"/>
        <v>0</v>
      </c>
    </row>
    <row r="160" spans="1:46" ht="37.5" customHeight="1">
      <c r="J160" s="181"/>
      <c r="K160" s="34"/>
      <c r="L160" s="34"/>
      <c r="M160" s="3392"/>
      <c r="N160" s="3394"/>
      <c r="O160" s="1402"/>
      <c r="P160" s="187"/>
      <c r="Q160" s="1446"/>
      <c r="R160" s="1446"/>
      <c r="S160" s="1447"/>
      <c r="T160" s="1448"/>
      <c r="U160" s="1449"/>
      <c r="V160" s="77"/>
      <c r="W160" s="77"/>
      <c r="X160" s="1450"/>
      <c r="Y160" s="2448">
        <v>45800</v>
      </c>
      <c r="Z160" s="1656" t="s">
        <v>633</v>
      </c>
      <c r="AA160" s="3262" t="s">
        <v>879</v>
      </c>
      <c r="AB160" s="2449"/>
      <c r="AC160" s="2450"/>
      <c r="AD160" s="1476"/>
      <c r="AE160" s="1476"/>
      <c r="AF160" s="1476"/>
      <c r="AG160" s="2456"/>
      <c r="AH160" s="1509"/>
      <c r="AI160" s="109"/>
      <c r="AJ160" s="2455"/>
      <c r="AK160" s="1625"/>
      <c r="AL160" s="1510"/>
      <c r="AM160" s="1511"/>
      <c r="AN160" s="1512"/>
      <c r="AO160" s="1531"/>
    </row>
    <row r="161" spans="1:46" ht="26.25" customHeight="1">
      <c r="A161" s="10">
        <f>DATA!A166</f>
        <v>119</v>
      </c>
      <c r="B161" s="10">
        <f>DATA!B166</f>
        <v>0</v>
      </c>
      <c r="C161" s="10" t="str">
        <f>DATA!D166</f>
        <v>NON-INFRASTRUKTUR</v>
      </c>
      <c r="D161" s="10">
        <f>DATA!E166</f>
        <v>8</v>
      </c>
      <c r="E161" s="10" t="str">
        <f>DATA!F166</f>
        <v>Kementerian Riset, Teknologi, dan Pendidikan Tinggi</v>
      </c>
      <c r="F161" s="10" t="str">
        <f>DATA!H166</f>
        <v>Improving Access, Quality, Relevance, and Competitiveness of Higher Education Program</v>
      </c>
      <c r="G161" s="10" t="str">
        <f>DATA!I166</f>
        <v>A</v>
      </c>
      <c r="H161" s="10" t="str">
        <f>DATA!J166</f>
        <v xml:space="preserve">Program Peningkatan Akses, Kualitas, Relevansi, dan Daya Saing Pendidikan Tinggi </v>
      </c>
      <c r="I161" s="10">
        <f>DATA!K166</f>
        <v>1</v>
      </c>
      <c r="J161" s="181"/>
      <c r="K161" s="34"/>
      <c r="L161" s="34"/>
      <c r="M161" s="3392"/>
      <c r="N161" s="199" t="str">
        <f>DATA!L166</f>
        <v>Establishment of University of Bengkulu’s Hospital</v>
      </c>
      <c r="O161" s="1402">
        <f>DATA!T166</f>
        <v>10278200</v>
      </c>
      <c r="P161" s="187">
        <f>DATA!U166</f>
        <v>10278200</v>
      </c>
      <c r="Q161" s="1446">
        <f>DATA!V166</f>
        <v>182000</v>
      </c>
      <c r="R161" s="1446">
        <v>0</v>
      </c>
      <c r="S161" s="1447">
        <f t="shared" si="24"/>
        <v>10460200</v>
      </c>
      <c r="T161" s="1448"/>
      <c r="U161" s="1449" t="str">
        <f>DATA!Y166</f>
        <v>JICA</v>
      </c>
      <c r="V161" s="77">
        <f>DATA!AA166</f>
        <v>10278200</v>
      </c>
      <c r="W161" s="77">
        <v>0</v>
      </c>
      <c r="X161" s="1450" t="str">
        <f>DATA!Y166</f>
        <v>JICA</v>
      </c>
      <c r="Y161" s="1612">
        <v>10278200</v>
      </c>
      <c r="Z161" s="1612" t="s">
        <v>1154</v>
      </c>
      <c r="AA161" s="1489" t="s">
        <v>1160</v>
      </c>
      <c r="AB161" s="828"/>
      <c r="AC161" s="2451"/>
      <c r="AD161" s="1486"/>
      <c r="AE161" s="1486"/>
      <c r="AF161" s="1486"/>
      <c r="AG161" s="1514"/>
      <c r="AH161" s="1509">
        <f>DATA!AT166</f>
        <v>10278200</v>
      </c>
      <c r="AI161" s="109" t="str">
        <f>DATA!AU166</f>
        <v>JICA</v>
      </c>
      <c r="AJ161" s="2455" t="str">
        <f>DATA!AW166</f>
        <v>-</v>
      </c>
      <c r="AK161" s="245">
        <f>DATA!AM166</f>
        <v>0</v>
      </c>
      <c r="AL161" s="1510" t="str">
        <f>DATA!AN166</f>
        <v>siap</v>
      </c>
      <c r="AM161" s="1511" t="str">
        <f>DATA!AO166</f>
        <v>siap</v>
      </c>
      <c r="AN161" s="1512">
        <f>DATA!AQ166</f>
        <v>0</v>
      </c>
      <c r="AO161" s="1531" t="str">
        <f>DATA!AR166</f>
        <v>penyiapan dokumen R/C</v>
      </c>
      <c r="AQ161" s="10">
        <f t="shared" si="23"/>
        <v>0</v>
      </c>
      <c r="AR161" s="10">
        <f t="shared" si="20"/>
        <v>0</v>
      </c>
      <c r="AS161" s="10">
        <f t="shared" si="21"/>
        <v>0</v>
      </c>
      <c r="AT161" s="10">
        <f t="shared" si="22"/>
        <v>0</v>
      </c>
    </row>
    <row r="162" spans="1:46" ht="61.5" customHeight="1">
      <c r="A162" s="10">
        <f>DATA!A167</f>
        <v>120</v>
      </c>
      <c r="B162" s="10">
        <f>DATA!B167</f>
        <v>0</v>
      </c>
      <c r="C162" s="10" t="str">
        <f>DATA!D167</f>
        <v>NON-INFRASTRUKTUR</v>
      </c>
      <c r="D162" s="10">
        <f>DATA!E167</f>
        <v>8</v>
      </c>
      <c r="E162" s="10" t="str">
        <f>DATA!F167</f>
        <v>Kementerian Riset, Teknologi, dan Pendidikan Tinggi</v>
      </c>
      <c r="F162" s="10" t="str">
        <f>DATA!H167</f>
        <v>Improving Access, Quality, Relevance, and Competitiveness of Higher Education Program</v>
      </c>
      <c r="G162" s="10" t="str">
        <f>DATA!I167</f>
        <v>A</v>
      </c>
      <c r="H162" s="10" t="str">
        <f>DATA!J167</f>
        <v xml:space="preserve">Program Peningkatan Akses, Kualitas, Relevansi, dan Daya Saing Pendidikan Tinggi </v>
      </c>
      <c r="I162" s="10">
        <f>DATA!K167</f>
        <v>1</v>
      </c>
      <c r="J162" s="181"/>
      <c r="K162" s="34"/>
      <c r="L162" s="34"/>
      <c r="M162" s="3392"/>
      <c r="N162" s="199" t="str">
        <f>DATA!L167</f>
        <v>University of Gadjah Mada Achieving World Class University with Socio-Entrepreneurial Spirit</v>
      </c>
      <c r="O162" s="1402">
        <f>DATA!T167</f>
        <v>71694000</v>
      </c>
      <c r="P162" s="187">
        <f>DATA!U167</f>
        <v>71694000</v>
      </c>
      <c r="Q162" s="1446">
        <f>DATA!V167</f>
        <v>7041900</v>
      </c>
      <c r="R162" s="1446">
        <v>0</v>
      </c>
      <c r="S162" s="1447">
        <f t="shared" si="24"/>
        <v>78735900</v>
      </c>
      <c r="T162" s="1448"/>
      <c r="U162" s="1449" t="str">
        <f>DATA!Y167</f>
        <v>JICA</v>
      </c>
      <c r="V162" s="77">
        <f>DATA!AA167</f>
        <v>71694000</v>
      </c>
      <c r="W162" s="77">
        <v>0</v>
      </c>
      <c r="X162" s="1450" t="str">
        <f>DATA!Y167</f>
        <v>JICA</v>
      </c>
      <c r="Y162" s="109">
        <v>71694000</v>
      </c>
      <c r="Z162" s="109" t="s">
        <v>55</v>
      </c>
      <c r="AA162" s="3254" t="s">
        <v>1234</v>
      </c>
      <c r="AB162" s="1474"/>
      <c r="AC162" s="1475"/>
      <c r="AD162" s="1476"/>
      <c r="AE162" s="1476"/>
      <c r="AF162" s="1476"/>
      <c r="AG162" s="3253" t="s">
        <v>1235</v>
      </c>
      <c r="AH162" s="1509">
        <f>DATA!AT167</f>
        <v>71694000</v>
      </c>
      <c r="AI162" s="109" t="str">
        <f>DATA!AU167</f>
        <v>JICA</v>
      </c>
      <c r="AJ162" s="2455" t="str">
        <f>DATA!AW167</f>
        <v>-</v>
      </c>
      <c r="AK162" s="1625">
        <f>DATA!AM167</f>
        <v>2016</v>
      </c>
      <c r="AL162" s="1510" t="str">
        <f>DATA!AN167</f>
        <v>siap</v>
      </c>
      <c r="AM162" s="1511" t="str">
        <f>DATA!AO167</f>
        <v>siap</v>
      </c>
      <c r="AN162" s="1512">
        <f>DATA!AQ167</f>
        <v>0</v>
      </c>
      <c r="AO162" s="1531" t="str">
        <f>DATA!AR167</f>
        <v>-</v>
      </c>
      <c r="AQ162" s="10">
        <f t="shared" si="23"/>
        <v>0</v>
      </c>
      <c r="AR162" s="10">
        <f t="shared" si="20"/>
        <v>71694000</v>
      </c>
      <c r="AS162" s="10">
        <f t="shared" si="21"/>
        <v>0</v>
      </c>
      <c r="AT162" s="10">
        <f t="shared" si="22"/>
        <v>0</v>
      </c>
    </row>
    <row r="163" spans="1:46" ht="40.5" customHeight="1">
      <c r="J163" s="181"/>
      <c r="K163" s="34"/>
      <c r="L163" s="34"/>
      <c r="M163" s="3392"/>
      <c r="N163" s="199" t="str">
        <f>DATA!L168</f>
        <v>Capacity Building Programmes for Infrastructure in Malikussaleh University</v>
      </c>
      <c r="O163" s="1402">
        <f>DATA!T168</f>
        <v>0</v>
      </c>
      <c r="P163" s="187">
        <f>DATA!U168</f>
        <v>48543100</v>
      </c>
      <c r="Q163" s="187">
        <f>DATA!V168</f>
        <v>6552200</v>
      </c>
      <c r="R163" s="187">
        <f>DATA!W168</f>
        <v>0</v>
      </c>
      <c r="S163" s="1447">
        <f t="shared" si="24"/>
        <v>55095300</v>
      </c>
      <c r="T163" s="1550" t="s">
        <v>1099</v>
      </c>
      <c r="U163" s="1449"/>
      <c r="V163" s="77">
        <v>0</v>
      </c>
      <c r="W163" s="77">
        <f>DATA!AA168</f>
        <v>48543100</v>
      </c>
      <c r="X163" s="1450" t="str">
        <f>DATA!Y168</f>
        <v>Belum Ada Indikasi</v>
      </c>
      <c r="Y163" s="109">
        <v>48543100</v>
      </c>
      <c r="Z163" s="109" t="s">
        <v>117</v>
      </c>
      <c r="AA163" s="1484" t="s">
        <v>1160</v>
      </c>
      <c r="AB163" s="828"/>
      <c r="AC163" s="1485"/>
      <c r="AD163" s="1486"/>
      <c r="AE163" s="1486"/>
      <c r="AF163" s="1486"/>
      <c r="AG163" s="1508" t="s">
        <v>1201</v>
      </c>
      <c r="AH163" s="1509">
        <f>DATA!AT168</f>
        <v>48543100</v>
      </c>
      <c r="AI163" s="109" t="str">
        <f>DATA!AU168</f>
        <v>Belum Ada Indikasi</v>
      </c>
      <c r="AJ163" s="216">
        <f>DATA!AW168</f>
        <v>0</v>
      </c>
      <c r="AK163" s="245">
        <f>DATA!AM168</f>
        <v>0</v>
      </c>
      <c r="AL163" s="1510" t="str">
        <f>DATA!AN168</f>
        <v>belum ada keterangan</v>
      </c>
      <c r="AM163" s="1511" t="str">
        <f>DATA!AO168</f>
        <v>belum ada keterangan</v>
      </c>
      <c r="AN163" s="1512">
        <f>DATA!AQ168</f>
        <v>0</v>
      </c>
      <c r="AO163" s="1531" t="str">
        <f>DATA!AR168</f>
        <v>belum ada dokumen R/C</v>
      </c>
      <c r="AQ163" s="10">
        <f t="shared" si="23"/>
        <v>0</v>
      </c>
      <c r="AR163" s="10">
        <f t="shared" si="20"/>
        <v>0</v>
      </c>
      <c r="AS163" s="10">
        <f t="shared" si="21"/>
        <v>0</v>
      </c>
      <c r="AT163" s="10">
        <f t="shared" si="22"/>
        <v>0</v>
      </c>
    </row>
    <row r="164" spans="1:46" ht="30" customHeight="1">
      <c r="J164" s="181"/>
      <c r="K164" s="34"/>
      <c r="L164" s="34"/>
      <c r="M164" s="3392"/>
      <c r="N164" s="199" t="str">
        <f>DATA!L169</f>
        <v>Development and Upgrading of University of Jambi</v>
      </c>
      <c r="O164" s="1402">
        <f>DATA!T169</f>
        <v>0</v>
      </c>
      <c r="P164" s="187">
        <f>DATA!U169</f>
        <v>53879300</v>
      </c>
      <c r="Q164" s="187">
        <f>DATA!V169</f>
        <v>4967200</v>
      </c>
      <c r="R164" s="187">
        <f>DATA!W169</f>
        <v>0</v>
      </c>
      <c r="S164" s="1447">
        <f t="shared" si="24"/>
        <v>58846500</v>
      </c>
      <c r="T164" s="1550" t="s">
        <v>1100</v>
      </c>
      <c r="U164" s="1449"/>
      <c r="V164" s="77">
        <v>0</v>
      </c>
      <c r="W164" s="77">
        <f>DATA!AA169</f>
        <v>53879300</v>
      </c>
      <c r="X164" s="1450" t="str">
        <f>DATA!Y169</f>
        <v>Belum Ada Indikasi</v>
      </c>
      <c r="Y164" s="109">
        <v>53879300</v>
      </c>
      <c r="Z164" s="109" t="s">
        <v>117</v>
      </c>
      <c r="AA164" s="1484" t="s">
        <v>1160</v>
      </c>
      <c r="AB164" s="828"/>
      <c r="AC164" s="1485"/>
      <c r="AD164" s="1486"/>
      <c r="AE164" s="1486"/>
      <c r="AF164" s="1486"/>
      <c r="AG164" s="1508" t="s">
        <v>1201</v>
      </c>
      <c r="AH164" s="1509">
        <f>DATA!AT169</f>
        <v>53879300</v>
      </c>
      <c r="AI164" s="109" t="str">
        <f>DATA!AU169</f>
        <v>Belum Ada Indikasi</v>
      </c>
      <c r="AJ164" s="216">
        <f>DATA!AW169</f>
        <v>0</v>
      </c>
      <c r="AK164" s="245">
        <f>DATA!AM169</f>
        <v>0</v>
      </c>
      <c r="AL164" s="1510" t="str">
        <f>DATA!AN169</f>
        <v>belum ada keterangan</v>
      </c>
      <c r="AM164" s="1511" t="str">
        <f>DATA!AO169</f>
        <v>belum ada keterangan</v>
      </c>
      <c r="AN164" s="1512">
        <f>DATA!AQ169</f>
        <v>0</v>
      </c>
      <c r="AO164" s="1531" t="str">
        <f>DATA!AR169</f>
        <v>belum ada dokumen R/C</v>
      </c>
      <c r="AQ164" s="10">
        <f t="shared" si="23"/>
        <v>0</v>
      </c>
      <c r="AR164" s="10">
        <f t="shared" si="20"/>
        <v>0</v>
      </c>
      <c r="AS164" s="10">
        <f t="shared" si="21"/>
        <v>0</v>
      </c>
      <c r="AT164" s="10">
        <f t="shared" si="22"/>
        <v>0</v>
      </c>
    </row>
    <row r="165" spans="1:46" ht="42" customHeight="1">
      <c r="J165" s="181"/>
      <c r="K165" s="34"/>
      <c r="L165" s="34"/>
      <c r="M165" s="3392"/>
      <c r="N165" s="199" t="str">
        <f>DATA!L170</f>
        <v>Development and Upgrading of the State University of Jakarta - Phase 2</v>
      </c>
      <c r="O165" s="1402">
        <f>DATA!T170</f>
        <v>0</v>
      </c>
      <c r="P165" s="187">
        <f>DATA!U170</f>
        <v>32709400</v>
      </c>
      <c r="Q165" s="187">
        <f>DATA!V170</f>
        <v>5567500</v>
      </c>
      <c r="R165" s="187">
        <f>DATA!W170</f>
        <v>0</v>
      </c>
      <c r="S165" s="1447">
        <f t="shared" si="24"/>
        <v>38276900</v>
      </c>
      <c r="T165" s="1550" t="s">
        <v>1101</v>
      </c>
      <c r="U165" s="1449"/>
      <c r="V165" s="77">
        <v>0</v>
      </c>
      <c r="W165" s="77">
        <f>DATA!AA170</f>
        <v>32709400</v>
      </c>
      <c r="X165" s="1450" t="str">
        <f>DATA!Y170</f>
        <v>Belum Ada Indikasi</v>
      </c>
      <c r="Y165" s="109">
        <v>32709400</v>
      </c>
      <c r="Z165" s="109" t="s">
        <v>1154</v>
      </c>
      <c r="AA165" s="1484" t="s">
        <v>1160</v>
      </c>
      <c r="AB165" s="828"/>
      <c r="AC165" s="1485"/>
      <c r="AD165" s="1486"/>
      <c r="AE165" s="1486"/>
      <c r="AF165" s="1486"/>
      <c r="AG165" s="1514"/>
      <c r="AH165" s="1509">
        <f>DATA!AT170</f>
        <v>32709400</v>
      </c>
      <c r="AI165" s="109" t="str">
        <f>DATA!AU170</f>
        <v>Belum Ada Indikasi</v>
      </c>
      <c r="AJ165" s="216">
        <f>DATA!AW170</f>
        <v>0</v>
      </c>
      <c r="AK165" s="245">
        <f>DATA!AM170</f>
        <v>0</v>
      </c>
      <c r="AL165" s="1510" t="str">
        <f>DATA!AN170</f>
        <v>belum ada keterangan</v>
      </c>
      <c r="AM165" s="1511" t="str">
        <f>DATA!AO170</f>
        <v>belum ada keterangan</v>
      </c>
      <c r="AN165" s="1512">
        <f>DATA!AQ170</f>
        <v>0</v>
      </c>
      <c r="AO165" s="1531" t="str">
        <f>DATA!AR170</f>
        <v>belum ada dokumen R/C</v>
      </c>
      <c r="AQ165" s="10">
        <f t="shared" si="23"/>
        <v>0</v>
      </c>
      <c r="AR165" s="10">
        <f t="shared" si="20"/>
        <v>0</v>
      </c>
      <c r="AS165" s="10">
        <f t="shared" si="21"/>
        <v>0</v>
      </c>
      <c r="AT165" s="10">
        <f t="shared" si="22"/>
        <v>0</v>
      </c>
    </row>
    <row r="166" spans="1:46" ht="43.5" customHeight="1">
      <c r="J166" s="181"/>
      <c r="K166" s="34"/>
      <c r="L166" s="34"/>
      <c r="M166" s="3392"/>
      <c r="N166" s="199" t="str">
        <f>DATA!L171</f>
        <v xml:space="preserve">Integrated Multi Campus-University for Tomorrow’s Education in Indonesia University of Education </v>
      </c>
      <c r="O166" s="1402">
        <f>DATA!T171</f>
        <v>0</v>
      </c>
      <c r="P166" s="187">
        <f>DATA!U171</f>
        <v>51777700</v>
      </c>
      <c r="Q166" s="187">
        <f>DATA!V171</f>
        <v>6994700</v>
      </c>
      <c r="R166" s="187">
        <f>DATA!W171</f>
        <v>0</v>
      </c>
      <c r="S166" s="1447">
        <f t="shared" si="24"/>
        <v>58772400</v>
      </c>
      <c r="T166" s="1550" t="s">
        <v>1102</v>
      </c>
      <c r="U166" s="1449"/>
      <c r="V166" s="77">
        <v>0</v>
      </c>
      <c r="W166" s="77">
        <f>DATA!AA171</f>
        <v>51777700</v>
      </c>
      <c r="X166" s="1450" t="str">
        <f>DATA!Y171</f>
        <v>Belum Ada Indikasi</v>
      </c>
      <c r="Y166" s="109">
        <v>51777700</v>
      </c>
      <c r="Z166" s="109" t="s">
        <v>117</v>
      </c>
      <c r="AA166" s="1484" t="s">
        <v>1160</v>
      </c>
      <c r="AB166" s="828"/>
      <c r="AC166" s="1485"/>
      <c r="AD166" s="1486"/>
      <c r="AE166" s="1486"/>
      <c r="AF166" s="1486"/>
      <c r="AG166" s="1514" t="s">
        <v>1201</v>
      </c>
      <c r="AH166" s="1509">
        <f>DATA!AT171</f>
        <v>51777700</v>
      </c>
      <c r="AI166" s="109" t="str">
        <f>DATA!AU171</f>
        <v>Belum Ada Indikasi</v>
      </c>
      <c r="AJ166" s="216">
        <f>DATA!AW171</f>
        <v>0</v>
      </c>
      <c r="AK166" s="245">
        <f>DATA!AM171</f>
        <v>0</v>
      </c>
      <c r="AL166" s="1510" t="str">
        <f>DATA!AN171</f>
        <v>belum ada keterangan</v>
      </c>
      <c r="AM166" s="1511" t="str">
        <f>DATA!AO171</f>
        <v>belum ada keterangan</v>
      </c>
      <c r="AN166" s="1512">
        <f>DATA!AQ171</f>
        <v>0</v>
      </c>
      <c r="AO166" s="1531" t="str">
        <f>DATA!AR171</f>
        <v>belum ada dokumen R/C</v>
      </c>
      <c r="AQ166" s="10">
        <f t="shared" si="23"/>
        <v>0</v>
      </c>
      <c r="AR166" s="10">
        <f t="shared" si="20"/>
        <v>0</v>
      </c>
      <c r="AS166" s="10">
        <f t="shared" si="21"/>
        <v>0</v>
      </c>
      <c r="AT166" s="10">
        <f t="shared" si="22"/>
        <v>0</v>
      </c>
    </row>
    <row r="167" spans="1:46" ht="46.5" customHeight="1">
      <c r="J167" s="181"/>
      <c r="K167" s="54"/>
      <c r="L167" s="54"/>
      <c r="M167" s="3391"/>
      <c r="N167" s="199" t="str">
        <f>DATA!L172</f>
        <v xml:space="preserve">Higher Education Quality Improvement of the University of Riau </v>
      </c>
      <c r="O167" s="1402">
        <f>DATA!T172</f>
        <v>0</v>
      </c>
      <c r="P167" s="187">
        <f>DATA!U172</f>
        <v>49950100</v>
      </c>
      <c r="Q167" s="187">
        <f>DATA!V172</f>
        <v>5040700</v>
      </c>
      <c r="R167" s="187">
        <f>DATA!W172</f>
        <v>0</v>
      </c>
      <c r="S167" s="1447">
        <f t="shared" si="24"/>
        <v>54990800</v>
      </c>
      <c r="T167" s="1550" t="s">
        <v>1103</v>
      </c>
      <c r="U167" s="1449"/>
      <c r="V167" s="77">
        <v>0</v>
      </c>
      <c r="W167" s="77">
        <f>DATA!AA172</f>
        <v>49950100</v>
      </c>
      <c r="X167" s="1450" t="str">
        <f>DATA!Y172</f>
        <v>Belum Ada Indikasi</v>
      </c>
      <c r="Y167" s="109">
        <v>49950100</v>
      </c>
      <c r="Z167" s="109" t="s">
        <v>117</v>
      </c>
      <c r="AA167" s="1484" t="s">
        <v>1160</v>
      </c>
      <c r="AB167" s="828"/>
      <c r="AC167" s="1485"/>
      <c r="AD167" s="1486"/>
      <c r="AE167" s="1486"/>
      <c r="AF167" s="1486"/>
      <c r="AG167" s="1514" t="s">
        <v>1201</v>
      </c>
      <c r="AH167" s="1509">
        <f>DATA!AT172</f>
        <v>49950100</v>
      </c>
      <c r="AI167" s="109" t="str">
        <f>DATA!AU172</f>
        <v>Belum Ada Indikasi</v>
      </c>
      <c r="AJ167" s="216">
        <f>DATA!AW172</f>
        <v>0</v>
      </c>
      <c r="AK167" s="245">
        <f>DATA!AM172</f>
        <v>0</v>
      </c>
      <c r="AL167" s="1510" t="str">
        <f>DATA!AN172</f>
        <v>belum ada keterangan</v>
      </c>
      <c r="AM167" s="1511" t="str">
        <f>DATA!AO172</f>
        <v>belum ada keterangan</v>
      </c>
      <c r="AN167" s="1512">
        <f>DATA!AQ172</f>
        <v>0</v>
      </c>
      <c r="AO167" s="1531" t="str">
        <f>DATA!AR172</f>
        <v>belum ada dokumen R/C</v>
      </c>
      <c r="AP167" s="4"/>
      <c r="AQ167" s="10">
        <f t="shared" si="23"/>
        <v>0</v>
      </c>
      <c r="AR167" s="10">
        <f t="shared" si="20"/>
        <v>0</v>
      </c>
      <c r="AS167" s="10">
        <f t="shared" si="21"/>
        <v>0</v>
      </c>
      <c r="AT167" s="10">
        <f t="shared" si="22"/>
        <v>0</v>
      </c>
    </row>
    <row r="168" spans="1:46" s="4" customFormat="1" ht="24.95" customHeight="1">
      <c r="J168" s="250"/>
      <c r="K168" s="25">
        <v>11</v>
      </c>
      <c r="L168" s="108" t="str">
        <f>DATA!F173</f>
        <v>Kementerian Agama</v>
      </c>
      <c r="M168" s="25"/>
      <c r="N168" s="1416"/>
      <c r="O168" s="213">
        <f>+O169</f>
        <v>238210000</v>
      </c>
      <c r="P168" s="194">
        <f>+P169</f>
        <v>298145500</v>
      </c>
      <c r="Q168" s="194">
        <f>+Q169</f>
        <v>60851400</v>
      </c>
      <c r="R168" s="194">
        <f>+R169</f>
        <v>0</v>
      </c>
      <c r="S168" s="242">
        <f t="shared" si="24"/>
        <v>358996900</v>
      </c>
      <c r="T168" s="1434"/>
      <c r="U168" s="195"/>
      <c r="V168" s="80">
        <f>+V169</f>
        <v>238210000</v>
      </c>
      <c r="W168" s="80">
        <f>+W169</f>
        <v>59935500</v>
      </c>
      <c r="X168" s="241"/>
      <c r="Y168" s="80">
        <f>Y169</f>
        <v>414140900</v>
      </c>
      <c r="Z168" s="80"/>
      <c r="AA168" s="1465"/>
      <c r="AB168" s="1466"/>
      <c r="AC168" s="1467"/>
      <c r="AD168" s="1468"/>
      <c r="AE168" s="1468"/>
      <c r="AF168" s="1468"/>
      <c r="AG168" s="1500"/>
      <c r="AH168" s="195">
        <f>+AH169</f>
        <v>298145500</v>
      </c>
      <c r="AI168" s="80" t="s">
        <v>21</v>
      </c>
      <c r="AJ168" s="213"/>
      <c r="AK168" s="1501"/>
      <c r="AL168" s="1502"/>
      <c r="AM168" s="168"/>
      <c r="AN168" s="1503"/>
      <c r="AO168" s="1529"/>
      <c r="AP168" s="5"/>
      <c r="AQ168" s="10">
        <f t="shared" si="23"/>
        <v>0</v>
      </c>
      <c r="AR168" s="10">
        <f t="shared" si="20"/>
        <v>0</v>
      </c>
      <c r="AS168" s="10">
        <f t="shared" si="21"/>
        <v>0</v>
      </c>
      <c r="AT168" s="10">
        <f t="shared" si="22"/>
        <v>0</v>
      </c>
    </row>
    <row r="169" spans="1:46" s="5" customFormat="1" ht="33.75" customHeight="1">
      <c r="J169" s="180"/>
      <c r="K169" s="29"/>
      <c r="L169" s="30" t="str">
        <f>DATA!I173</f>
        <v>A</v>
      </c>
      <c r="M169" s="3427" t="str">
        <f>DATA!J173</f>
        <v>Program Peningkatan Akses, Kualitas, Relevansi, dan Daya Saing Pendidikan Tinggi Islam</v>
      </c>
      <c r="N169" s="3556"/>
      <c r="O169" s="214">
        <f>O170+O171+O172+O174+O175+O176+O178</f>
        <v>238210000</v>
      </c>
      <c r="P169" s="197">
        <f>P170+P171+P172+P174+P175+P176+P178</f>
        <v>298145500</v>
      </c>
      <c r="Q169" s="1436">
        <f>Q170+Q171+Q172+Q174+Q175+Q176+Q178</f>
        <v>60851400</v>
      </c>
      <c r="R169" s="1436">
        <f>R170+R171+R172+R174+R175+R176+R178</f>
        <v>0</v>
      </c>
      <c r="S169" s="244">
        <f t="shared" si="24"/>
        <v>358996900</v>
      </c>
      <c r="T169" s="1437"/>
      <c r="U169" s="198"/>
      <c r="V169" s="81">
        <f>V170+V171+V172+V174+V175+V176+V178</f>
        <v>238210000</v>
      </c>
      <c r="W169" s="81">
        <f>W170+W171+W172+W174+W175+W176+W178</f>
        <v>59935500</v>
      </c>
      <c r="X169" s="243"/>
      <c r="Y169" s="81">
        <f>Y170+Y171+Y172+Y174+Y175+Y176+Y178+Y179+Y180+Y181+Y173+Y177</f>
        <v>414140900</v>
      </c>
      <c r="Z169" s="81"/>
      <c r="AA169" s="1469"/>
      <c r="AB169" s="1470"/>
      <c r="AC169" s="1471"/>
      <c r="AD169" s="1472"/>
      <c r="AE169" s="1472"/>
      <c r="AF169" s="1472"/>
      <c r="AG169" s="1504"/>
      <c r="AH169" s="198">
        <f>AH170+AH171+AH172+AH174+AH175+AH176+AH178</f>
        <v>298145500</v>
      </c>
      <c r="AI169" s="81" t="s">
        <v>21</v>
      </c>
      <c r="AJ169" s="214"/>
      <c r="AK169" s="1505"/>
      <c r="AL169" s="1506"/>
      <c r="AM169" s="169"/>
      <c r="AN169" s="1507"/>
      <c r="AO169" s="1530"/>
      <c r="AP169" s="10"/>
      <c r="AQ169" s="10">
        <f t="shared" si="23"/>
        <v>0</v>
      </c>
      <c r="AR169" s="10">
        <f t="shared" si="20"/>
        <v>0</v>
      </c>
      <c r="AS169" s="10">
        <f t="shared" si="21"/>
        <v>0</v>
      </c>
      <c r="AT169" s="10">
        <f t="shared" si="22"/>
        <v>0</v>
      </c>
    </row>
    <row r="170" spans="1:46" ht="36" customHeight="1">
      <c r="A170" s="10">
        <f>DATA!A174</f>
        <v>124</v>
      </c>
      <c r="B170" s="10">
        <f>DATA!B174</f>
        <v>0</v>
      </c>
      <c r="C170" s="10" t="str">
        <f>DATA!D174</f>
        <v>NON-INFRASTRUKTUR</v>
      </c>
      <c r="D170" s="10">
        <f>DATA!E174</f>
        <v>9</v>
      </c>
      <c r="E170" s="10" t="str">
        <f>DATA!F174</f>
        <v>Kementerian Agama</v>
      </c>
      <c r="F170" s="10" t="str">
        <f>DATA!H174</f>
        <v>Improving Access, Quality, Relevance, and Competitiveness of Islamic Higher Education Program</v>
      </c>
      <c r="G170" s="10" t="str">
        <f>DATA!I174</f>
        <v>A</v>
      </c>
      <c r="H170" s="10" t="str">
        <f>DATA!J174</f>
        <v>Program Peningkatan Akses, Kualitas, Relevansi, dan Daya Saing Pendidikan Tinggi Islam</v>
      </c>
      <c r="I170" s="10">
        <f>DATA!K174</f>
        <v>1</v>
      </c>
      <c r="J170" s="181"/>
      <c r="K170" s="34"/>
      <c r="L170" s="34"/>
      <c r="M170" s="3390">
        <v>90</v>
      </c>
      <c r="N170" s="199" t="str">
        <f>DATA!L174</f>
        <v>Improvement and Optimalization of Sunan Ampel Surabaya State Islamic University</v>
      </c>
      <c r="O170" s="1402">
        <f>DATA!T174</f>
        <v>40000000</v>
      </c>
      <c r="P170" s="187">
        <f>DATA!U174</f>
        <v>40000000</v>
      </c>
      <c r="Q170" s="1453">
        <f>DATA!V174</f>
        <v>10000000</v>
      </c>
      <c r="R170" s="1453">
        <f>DATA!W174</f>
        <v>0</v>
      </c>
      <c r="S170" s="1447">
        <f t="shared" si="24"/>
        <v>50000000</v>
      </c>
      <c r="T170" s="1448"/>
      <c r="U170" s="1449" t="str">
        <f>DATA!Y174</f>
        <v>IDB</v>
      </c>
      <c r="V170" s="77">
        <f>DATA!AA174</f>
        <v>40000000</v>
      </c>
      <c r="W170" s="77">
        <v>0</v>
      </c>
      <c r="X170" s="1450" t="str">
        <f>DATA!Y174</f>
        <v>IDB</v>
      </c>
      <c r="Y170" s="109">
        <f>AH170</f>
        <v>40000000</v>
      </c>
      <c r="Z170" s="109" t="s">
        <v>58</v>
      </c>
      <c r="AA170" s="1484" t="s">
        <v>1189</v>
      </c>
      <c r="AB170" s="828"/>
      <c r="AC170" s="1485"/>
      <c r="AD170" s="1486"/>
      <c r="AE170" s="1486"/>
      <c r="AF170" s="1486"/>
      <c r="AG170" s="1514"/>
      <c r="AH170" s="1509">
        <f>DATA!AT174</f>
        <v>40000000</v>
      </c>
      <c r="AI170" s="109" t="str">
        <f>DATA!AU174</f>
        <v>IDB</v>
      </c>
      <c r="AJ170" s="216" t="str">
        <f>DATA!AW174</f>
        <v>-</v>
      </c>
      <c r="AK170" s="1625">
        <f>DATA!AM174</f>
        <v>2016</v>
      </c>
      <c r="AL170" s="1510" t="str">
        <f>DATA!AN174</f>
        <v>siap</v>
      </c>
      <c r="AM170" s="1511" t="str">
        <f>DATA!AO174</f>
        <v>siap</v>
      </c>
      <c r="AN170" s="1519">
        <f>DATA!AQ174</f>
        <v>0</v>
      </c>
      <c r="AO170" s="1531" t="str">
        <f>DATA!AR174</f>
        <v>-</v>
      </c>
      <c r="AQ170" s="10">
        <f t="shared" si="23"/>
        <v>0</v>
      </c>
      <c r="AR170" s="10">
        <f t="shared" si="20"/>
        <v>0</v>
      </c>
      <c r="AS170" s="10">
        <f t="shared" si="21"/>
        <v>0</v>
      </c>
      <c r="AT170" s="10">
        <f t="shared" si="22"/>
        <v>0</v>
      </c>
    </row>
    <row r="171" spans="1:46" ht="42.75" customHeight="1">
      <c r="A171" s="10">
        <f>DATA!A175</f>
        <v>125</v>
      </c>
      <c r="B171" s="10">
        <f>DATA!B175</f>
        <v>0</v>
      </c>
      <c r="C171" s="10" t="str">
        <f>DATA!D175</f>
        <v>NON-INFRASTRUKTUR</v>
      </c>
      <c r="D171" s="10">
        <f>DATA!E175</f>
        <v>9</v>
      </c>
      <c r="E171" s="10" t="str">
        <f>DATA!F175</f>
        <v>Kementerian Agama</v>
      </c>
      <c r="F171" s="10" t="str">
        <f>DATA!H175</f>
        <v>Improving Access, Quality, Relevance, and Competitiveness of Islamic Higher Education Program</v>
      </c>
      <c r="G171" s="10" t="str">
        <f>DATA!I175</f>
        <v>A</v>
      </c>
      <c r="H171" s="10" t="str">
        <f>DATA!J175</f>
        <v>Program Peningkatan Akses, Kualitas, Relevansi, dan Daya Saing Pendidikan Tinggi Islam</v>
      </c>
      <c r="I171" s="10">
        <f>DATA!K175</f>
        <v>1</v>
      </c>
      <c r="J171" s="181"/>
      <c r="K171" s="34"/>
      <c r="L171" s="34"/>
      <c r="M171" s="3392"/>
      <c r="N171" s="199" t="str">
        <f>DATA!L175</f>
        <v>Improvement Access and Quality of State Islamic Institute  Suthan Maulana Hasanuddin Banten</v>
      </c>
      <c r="O171" s="1402">
        <f>DATA!T175</f>
        <v>40000000</v>
      </c>
      <c r="P171" s="187">
        <f>DATA!U175</f>
        <v>40000000</v>
      </c>
      <c r="Q171" s="1453">
        <f>DATA!V175</f>
        <v>5985000</v>
      </c>
      <c r="R171" s="1453">
        <f>DATA!W175</f>
        <v>0</v>
      </c>
      <c r="S171" s="1447">
        <f t="shared" si="24"/>
        <v>45985000</v>
      </c>
      <c r="T171" s="1448"/>
      <c r="U171" s="1449" t="str">
        <f>DATA!Y175</f>
        <v>IDB</v>
      </c>
      <c r="V171" s="77">
        <f>DATA!AA175</f>
        <v>40000000</v>
      </c>
      <c r="W171" s="77">
        <v>0</v>
      </c>
      <c r="X171" s="1450" t="str">
        <f>DATA!Y175</f>
        <v>IDB</v>
      </c>
      <c r="Y171" s="109">
        <f>AH171</f>
        <v>40000000</v>
      </c>
      <c r="Z171" s="109" t="s">
        <v>58</v>
      </c>
      <c r="AA171" s="1484" t="s">
        <v>1189</v>
      </c>
      <c r="AB171" s="828"/>
      <c r="AC171" s="1485"/>
      <c r="AD171" s="1486"/>
      <c r="AE171" s="1486"/>
      <c r="AF171" s="1486"/>
      <c r="AG171" s="1514"/>
      <c r="AH171" s="1509">
        <f>DATA!AT175</f>
        <v>40000000</v>
      </c>
      <c r="AI171" s="109" t="str">
        <f>DATA!AU175</f>
        <v>IDB</v>
      </c>
      <c r="AJ171" s="216" t="str">
        <f>DATA!AW175</f>
        <v>-</v>
      </c>
      <c r="AK171" s="1625">
        <f>DATA!AM175</f>
        <v>2016</v>
      </c>
      <c r="AL171" s="1510" t="str">
        <f>DATA!AN175</f>
        <v>siap</v>
      </c>
      <c r="AM171" s="1511" t="str">
        <f>DATA!AO175</f>
        <v>siap</v>
      </c>
      <c r="AN171" s="1519">
        <f>DATA!AQ175</f>
        <v>0</v>
      </c>
      <c r="AO171" s="1531" t="str">
        <f>DATA!AR175</f>
        <v>-</v>
      </c>
      <c r="AP171" s="174">
        <f>Y170+Y172+Y171+Y174+Y175+Y176</f>
        <v>238000000</v>
      </c>
      <c r="AQ171" s="10">
        <f t="shared" si="23"/>
        <v>0</v>
      </c>
      <c r="AR171" s="10">
        <f t="shared" si="20"/>
        <v>0</v>
      </c>
      <c r="AS171" s="10">
        <f t="shared" si="21"/>
        <v>0</v>
      </c>
      <c r="AT171" s="10">
        <f t="shared" si="22"/>
        <v>0</v>
      </c>
    </row>
    <row r="172" spans="1:46" ht="35.25" customHeight="1">
      <c r="A172" s="10">
        <f>DATA!A176</f>
        <v>126</v>
      </c>
      <c r="B172" s="10">
        <f>DATA!B176</f>
        <v>0</v>
      </c>
      <c r="C172" s="10" t="str">
        <f>DATA!D176</f>
        <v>NON-INFRASTRUKTUR</v>
      </c>
      <c r="D172" s="10">
        <f>DATA!E176</f>
        <v>9</v>
      </c>
      <c r="E172" s="10" t="str">
        <f>DATA!F176</f>
        <v>Kementerian Agama</v>
      </c>
      <c r="F172" s="10" t="str">
        <f>DATA!H176</f>
        <v>Improving Access, Quality, Relevance, and Competitiveness of Islamic Higher Education Program</v>
      </c>
      <c r="G172" s="10" t="str">
        <f>DATA!I176</f>
        <v>A</v>
      </c>
      <c r="H172" s="10" t="str">
        <f>DATA!J176</f>
        <v>Program Peningkatan Akses, Kualitas, Relevansi, dan Daya Saing Pendidikan Tinggi Islam</v>
      </c>
      <c r="I172" s="10">
        <f>DATA!K176</f>
        <v>1</v>
      </c>
      <c r="J172" s="181"/>
      <c r="K172" s="34"/>
      <c r="L172" s="34"/>
      <c r="M172" s="3392"/>
      <c r="N172" s="3393" t="str">
        <f>DATA!L176</f>
        <v xml:space="preserve">Development and Quality Improvement  of Antasari State Islamic Institute </v>
      </c>
      <c r="O172" s="1402">
        <f>DATA!T176</f>
        <v>39908600</v>
      </c>
      <c r="P172" s="187">
        <f>DATA!U176</f>
        <v>39908600</v>
      </c>
      <c r="Q172" s="1453">
        <f>DATA!V176</f>
        <v>10290700</v>
      </c>
      <c r="R172" s="1453">
        <f>DATA!W176</f>
        <v>0</v>
      </c>
      <c r="S172" s="1447">
        <f t="shared" si="24"/>
        <v>50199300</v>
      </c>
      <c r="T172" s="1448"/>
      <c r="U172" s="1449" t="str">
        <f>DATA!Y176</f>
        <v>IDB</v>
      </c>
      <c r="V172" s="77">
        <f>DATA!AA176</f>
        <v>39900000</v>
      </c>
      <c r="W172" s="77">
        <v>0</v>
      </c>
      <c r="X172" s="1450" t="str">
        <f>DATA!Y176</f>
        <v>IDB</v>
      </c>
      <c r="Y172" s="109">
        <f>39800000</f>
        <v>39800000</v>
      </c>
      <c r="Z172" s="109" t="s">
        <v>58</v>
      </c>
      <c r="AA172" s="1484" t="s">
        <v>1236</v>
      </c>
      <c r="AB172" s="828"/>
      <c r="AC172" s="1485"/>
      <c r="AD172" s="1486"/>
      <c r="AE172" s="1486"/>
      <c r="AF172" s="1486"/>
      <c r="AG172" s="1514"/>
      <c r="AH172" s="1509">
        <f>DATA!AT176</f>
        <v>39900000</v>
      </c>
      <c r="AI172" s="109" t="str">
        <f>DATA!AU176</f>
        <v>IDB</v>
      </c>
      <c r="AJ172" s="216" t="str">
        <f>DATA!AW176</f>
        <v>-</v>
      </c>
      <c r="AK172" s="1625">
        <f>DATA!AM176</f>
        <v>2016</v>
      </c>
      <c r="AL172" s="1510" t="str">
        <f>DATA!AN176</f>
        <v>siap</v>
      </c>
      <c r="AM172" s="1511" t="str">
        <f>DATA!AO176</f>
        <v>siap</v>
      </c>
      <c r="AN172" s="1519">
        <f>DATA!AQ176</f>
        <v>0</v>
      </c>
      <c r="AO172" s="1531" t="str">
        <f>DATA!AR176</f>
        <v>-</v>
      </c>
      <c r="AP172" s="174">
        <f>298145500-Y178-Y177-Y173</f>
        <v>238000000</v>
      </c>
      <c r="AQ172" s="10">
        <f t="shared" si="23"/>
        <v>0</v>
      </c>
      <c r="AR172" s="10">
        <f t="shared" si="20"/>
        <v>0</v>
      </c>
      <c r="AS172" s="10">
        <f t="shared" si="21"/>
        <v>0</v>
      </c>
      <c r="AT172" s="10">
        <f t="shared" si="22"/>
        <v>0</v>
      </c>
    </row>
    <row r="173" spans="1:46" ht="35.25" customHeight="1">
      <c r="J173" s="181"/>
      <c r="K173" s="34"/>
      <c r="L173" s="34"/>
      <c r="M173" s="3392"/>
      <c r="N173" s="3394"/>
      <c r="O173" s="1402"/>
      <c r="P173" s="187"/>
      <c r="Q173" s="1453"/>
      <c r="R173" s="1453"/>
      <c r="S173" s="1447"/>
      <c r="T173" s="1448"/>
      <c r="U173" s="1449"/>
      <c r="V173" s="77"/>
      <c r="W173" s="77"/>
      <c r="X173" s="1450"/>
      <c r="Y173" s="109">
        <v>100000</v>
      </c>
      <c r="Z173" s="109" t="s">
        <v>633</v>
      </c>
      <c r="AA173" s="1484" t="s">
        <v>879</v>
      </c>
      <c r="AB173" s="828"/>
      <c r="AC173" s="1485"/>
      <c r="AD173" s="1486"/>
      <c r="AE173" s="1486"/>
      <c r="AF173" s="1486"/>
      <c r="AG173" s="1514" t="s">
        <v>1237</v>
      </c>
      <c r="AH173" s="1509"/>
      <c r="AI173" s="109"/>
      <c r="AJ173" s="216"/>
      <c r="AK173" s="1625"/>
      <c r="AL173" s="1510"/>
      <c r="AM173" s="1511"/>
      <c r="AN173" s="1519"/>
      <c r="AO173" s="1531"/>
    </row>
    <row r="174" spans="1:46" ht="39.75" customHeight="1">
      <c r="A174" s="10">
        <f>DATA!A177</f>
        <v>127</v>
      </c>
      <c r="B174" s="10">
        <f>DATA!B177</f>
        <v>0</v>
      </c>
      <c r="C174" s="10" t="str">
        <f>DATA!D177</f>
        <v>NON-INFRASTRUKTUR</v>
      </c>
      <c r="D174" s="10" t="str">
        <f>DATA!E177</f>
        <v>z</v>
      </c>
      <c r="E174" s="10" t="str">
        <f>DATA!F177</f>
        <v>Kementerian Agama</v>
      </c>
      <c r="F174" s="10" t="str">
        <f>DATA!H177</f>
        <v>Improving Access, Quality, Relevance, and Competitiveness of Islamic Higher Education Program</v>
      </c>
      <c r="G174" s="10" t="str">
        <f>DATA!I177</f>
        <v>A</v>
      </c>
      <c r="H174" s="10" t="str">
        <f>DATA!J177</f>
        <v>Program Peningkatan Akses, Kualitas, Relevansi, dan Daya Saing Pendidikan Tinggi Islam</v>
      </c>
      <c r="I174" s="10">
        <f>DATA!K177</f>
        <v>1</v>
      </c>
      <c r="J174" s="181"/>
      <c r="K174" s="34"/>
      <c r="L174" s="34"/>
      <c r="M174" s="3392"/>
      <c r="N174" s="199" t="str">
        <f>DATA!L177</f>
        <v xml:space="preserve">Tranformation of State Islamic Institute  Sulthan Thaha Saifuddin to State Islamic University </v>
      </c>
      <c r="O174" s="1402">
        <f>DATA!T177</f>
        <v>40000000</v>
      </c>
      <c r="P174" s="187">
        <f>DATA!U177</f>
        <v>40000000</v>
      </c>
      <c r="Q174" s="1453">
        <f>DATA!V177</f>
        <v>10000000</v>
      </c>
      <c r="R174" s="1453">
        <f>DATA!W177</f>
        <v>0</v>
      </c>
      <c r="S174" s="1447">
        <f t="shared" si="24"/>
        <v>50000000</v>
      </c>
      <c r="T174" s="1448"/>
      <c r="U174" s="1449" t="str">
        <f>DATA!Y177</f>
        <v>IDB</v>
      </c>
      <c r="V174" s="77">
        <f>DATA!AA177</f>
        <v>40000000</v>
      </c>
      <c r="W174" s="77">
        <v>0</v>
      </c>
      <c r="X174" s="1450" t="str">
        <f>DATA!Y177</f>
        <v>IDB</v>
      </c>
      <c r="Y174" s="109">
        <f>AH174</f>
        <v>40000000</v>
      </c>
      <c r="Z174" s="109" t="s">
        <v>58</v>
      </c>
      <c r="AA174" s="1484" t="s">
        <v>1189</v>
      </c>
      <c r="AB174" s="828"/>
      <c r="AC174" s="1485"/>
      <c r="AD174" s="1486"/>
      <c r="AE174" s="1486"/>
      <c r="AF174" s="1486"/>
      <c r="AG174" s="1514"/>
      <c r="AH174" s="1509">
        <f>DATA!AT177</f>
        <v>40000000</v>
      </c>
      <c r="AI174" s="109" t="str">
        <f>DATA!AU177</f>
        <v>IDB</v>
      </c>
      <c r="AJ174" s="216" t="str">
        <f>DATA!AW177</f>
        <v>-</v>
      </c>
      <c r="AK174" s="1625">
        <f>DATA!AM177</f>
        <v>2016</v>
      </c>
      <c r="AL174" s="1510" t="str">
        <f>DATA!AN177</f>
        <v>siap</v>
      </c>
      <c r="AM174" s="1511" t="str">
        <f>DATA!AO177</f>
        <v>siap</v>
      </c>
      <c r="AN174" s="1519">
        <f>DATA!AQ177</f>
        <v>0</v>
      </c>
      <c r="AO174" s="1531" t="str">
        <f>DATA!AR177</f>
        <v>-</v>
      </c>
      <c r="AQ174" s="10">
        <f t="shared" si="23"/>
        <v>0</v>
      </c>
      <c r="AR174" s="10">
        <f t="shared" si="20"/>
        <v>0</v>
      </c>
      <c r="AS174" s="10">
        <f t="shared" si="21"/>
        <v>0</v>
      </c>
      <c r="AT174" s="10">
        <f t="shared" si="22"/>
        <v>0</v>
      </c>
    </row>
    <row r="175" spans="1:46" ht="42" customHeight="1">
      <c r="A175" s="10">
        <f>DATA!A178</f>
        <v>128</v>
      </c>
      <c r="B175" s="10">
        <f>DATA!B178</f>
        <v>0</v>
      </c>
      <c r="C175" s="10" t="str">
        <f>DATA!D178</f>
        <v>NON-INFRASTRUKTUR</v>
      </c>
      <c r="D175" s="10">
        <f>DATA!E178</f>
        <v>9</v>
      </c>
      <c r="E175" s="10" t="str">
        <f>DATA!F178</f>
        <v>Kementerian Agama</v>
      </c>
      <c r="F175" s="10" t="str">
        <f>DATA!H178</f>
        <v>Improving Access, Quality, Relevance, and Competitiveness of Islamic Higher Education Program</v>
      </c>
      <c r="G175" s="10" t="str">
        <f>DATA!I178</f>
        <v>A</v>
      </c>
      <c r="H175" s="10" t="str">
        <f>DATA!J178</f>
        <v>Program Peningkatan Akses, Kualitas, Relevansi, dan Daya Saing Pendidikan Tinggi Islam</v>
      </c>
      <c r="I175" s="10">
        <f>DATA!K178</f>
        <v>1</v>
      </c>
      <c r="J175" s="181"/>
      <c r="K175" s="34"/>
      <c r="L175" s="34"/>
      <c r="M175" s="3392"/>
      <c r="N175" s="199" t="str">
        <f>DATA!L178</f>
        <v>Development and Institutional Transformation of State Islamic Institute  Raden Intan Lampung</v>
      </c>
      <c r="O175" s="1402">
        <f>DATA!T178</f>
        <v>40000000</v>
      </c>
      <c r="P175" s="187">
        <f>DATA!U178</f>
        <v>40000000</v>
      </c>
      <c r="Q175" s="1453">
        <f>DATA!V178</f>
        <v>10000000</v>
      </c>
      <c r="R175" s="1453">
        <f>DATA!W178</f>
        <v>0</v>
      </c>
      <c r="S175" s="1447">
        <f t="shared" si="24"/>
        <v>50000000</v>
      </c>
      <c r="T175" s="1448"/>
      <c r="U175" s="1449" t="str">
        <f>DATA!Y178</f>
        <v>IDB</v>
      </c>
      <c r="V175" s="77">
        <f>DATA!AA178</f>
        <v>40000000</v>
      </c>
      <c r="W175" s="77">
        <v>0</v>
      </c>
      <c r="X175" s="1450" t="str">
        <f>DATA!Y178</f>
        <v>IDB</v>
      </c>
      <c r="Y175" s="109">
        <f>AH175</f>
        <v>40000000</v>
      </c>
      <c r="Z175" s="109" t="s">
        <v>58</v>
      </c>
      <c r="AA175" s="1484" t="s">
        <v>1189</v>
      </c>
      <c r="AB175" s="828"/>
      <c r="AC175" s="1485"/>
      <c r="AD175" s="1486"/>
      <c r="AE175" s="1486"/>
      <c r="AF175" s="1486"/>
      <c r="AG175" s="1514"/>
      <c r="AH175" s="1509">
        <f>DATA!AT178</f>
        <v>40000000</v>
      </c>
      <c r="AI175" s="109" t="str">
        <f>DATA!AU178</f>
        <v>IDB</v>
      </c>
      <c r="AJ175" s="216" t="str">
        <f>DATA!AW178</f>
        <v>-</v>
      </c>
      <c r="AK175" s="1625">
        <f>DATA!AM178</f>
        <v>2016</v>
      </c>
      <c r="AL175" s="1510" t="str">
        <f>DATA!AN178</f>
        <v>siap</v>
      </c>
      <c r="AM175" s="1511" t="str">
        <f>DATA!AO178</f>
        <v>siap</v>
      </c>
      <c r="AN175" s="1519">
        <f>DATA!AQ178</f>
        <v>0</v>
      </c>
      <c r="AO175" s="1531" t="str">
        <f>DATA!AR178</f>
        <v>-</v>
      </c>
      <c r="AQ175" s="10">
        <f t="shared" si="23"/>
        <v>0</v>
      </c>
      <c r="AR175" s="10">
        <f t="shared" si="20"/>
        <v>0</v>
      </c>
      <c r="AS175" s="10">
        <f t="shared" si="21"/>
        <v>0</v>
      </c>
      <c r="AT175" s="10">
        <f t="shared" si="22"/>
        <v>0</v>
      </c>
    </row>
    <row r="176" spans="1:46" ht="36" customHeight="1">
      <c r="A176" s="10">
        <f>DATA!A179</f>
        <v>123</v>
      </c>
      <c r="B176" s="10">
        <f>DATA!B179</f>
        <v>0</v>
      </c>
      <c r="C176" s="10" t="str">
        <f>DATA!D179</f>
        <v>NON-INFRASTRUKTUR</v>
      </c>
      <c r="D176" s="10">
        <f>DATA!E179</f>
        <v>9</v>
      </c>
      <c r="E176" s="10" t="str">
        <f>DATA!F179</f>
        <v>Kementerian Agama</v>
      </c>
      <c r="F176" s="10" t="str">
        <f>DATA!H179</f>
        <v>Improving Access, Quality, Relevance, and Competitiveness of Islamic Higher Education Program</v>
      </c>
      <c r="G176" s="10" t="str">
        <f>DATA!I179</f>
        <v>A</v>
      </c>
      <c r="H176" s="10" t="str">
        <f>DATA!J179</f>
        <v>Program Peningkatan Akses, Kualitas, Relevansi, dan Daya Saing Pendidikan Tinggi Islam</v>
      </c>
      <c r="I176" s="10">
        <f>DATA!K179</f>
        <v>1</v>
      </c>
      <c r="J176" s="181"/>
      <c r="K176" s="34"/>
      <c r="L176" s="34"/>
      <c r="M176" s="3392"/>
      <c r="N176" s="199" t="str">
        <f>DATA!L179</f>
        <v xml:space="preserve">Development of Imam Bonjol State Islamic Institute Project </v>
      </c>
      <c r="O176" s="1402">
        <f>DATA!T179</f>
        <v>38301400</v>
      </c>
      <c r="P176" s="187">
        <f>DATA!U179</f>
        <v>38301400</v>
      </c>
      <c r="Q176" s="1453">
        <f>DATA!V179</f>
        <v>4171400</v>
      </c>
      <c r="R176" s="1453">
        <f>DATA!W179</f>
        <v>0</v>
      </c>
      <c r="S176" s="1447">
        <f t="shared" si="24"/>
        <v>42472800</v>
      </c>
      <c r="T176" s="1448"/>
      <c r="U176" s="1449" t="str">
        <f>DATA!Y179</f>
        <v>IDB</v>
      </c>
      <c r="V176" s="77">
        <f>DATA!AA179</f>
        <v>38310000</v>
      </c>
      <c r="W176" s="77">
        <v>0</v>
      </c>
      <c r="X176" s="1450" t="str">
        <f>DATA!Y179</f>
        <v>IDB</v>
      </c>
      <c r="Y176" s="109">
        <f>38200000</f>
        <v>38200000</v>
      </c>
      <c r="Z176" s="109" t="s">
        <v>58</v>
      </c>
      <c r="AA176" s="1484" t="s">
        <v>1238</v>
      </c>
      <c r="AB176" s="828"/>
      <c r="AC176" s="1485"/>
      <c r="AD176" s="1486"/>
      <c r="AE176" s="1486"/>
      <c r="AF176" s="1486"/>
      <c r="AG176" s="1514"/>
      <c r="AH176" s="1509">
        <f>DATA!AT179</f>
        <v>38310000</v>
      </c>
      <c r="AI176" s="109" t="str">
        <f>DATA!AU179</f>
        <v>IDB</v>
      </c>
      <c r="AJ176" s="216" t="str">
        <f>DATA!AW179</f>
        <v>-</v>
      </c>
      <c r="AK176" s="1625">
        <f>DATA!AM179</f>
        <v>2016</v>
      </c>
      <c r="AL176" s="1510" t="str">
        <f>DATA!AN179</f>
        <v>siap</v>
      </c>
      <c r="AM176" s="1511" t="str">
        <f>DATA!AO179</f>
        <v>siap</v>
      </c>
      <c r="AN176" s="1519">
        <f>DATA!AQ179</f>
        <v>0</v>
      </c>
      <c r="AO176" s="1531" t="str">
        <f>DATA!AR179</f>
        <v>-</v>
      </c>
      <c r="AQ176" s="10">
        <f t="shared" si="23"/>
        <v>0</v>
      </c>
      <c r="AR176" s="10">
        <f t="shared" si="20"/>
        <v>0</v>
      </c>
      <c r="AS176" s="10">
        <f t="shared" si="21"/>
        <v>0</v>
      </c>
      <c r="AT176" s="10">
        <f t="shared" si="22"/>
        <v>0</v>
      </c>
    </row>
    <row r="177" spans="1:46" ht="36" customHeight="1">
      <c r="J177" s="181"/>
      <c r="K177" s="34"/>
      <c r="L177" s="34"/>
      <c r="M177" s="3392"/>
      <c r="N177" s="199"/>
      <c r="O177" s="1402"/>
      <c r="P177" s="187"/>
      <c r="Q177" s="1453"/>
      <c r="R177" s="1453"/>
      <c r="S177" s="1447"/>
      <c r="T177" s="1448"/>
      <c r="U177" s="1449"/>
      <c r="V177" s="77"/>
      <c r="W177" s="77"/>
      <c r="X177" s="1450"/>
      <c r="Y177" s="109">
        <v>110000</v>
      </c>
      <c r="Z177" s="109" t="s">
        <v>633</v>
      </c>
      <c r="AA177" s="1484" t="s">
        <v>879</v>
      </c>
      <c r="AB177" s="828"/>
      <c r="AC177" s="1485"/>
      <c r="AD177" s="1486"/>
      <c r="AE177" s="1486"/>
      <c r="AF177" s="1486"/>
      <c r="AG177" s="1514" t="s">
        <v>1237</v>
      </c>
      <c r="AH177" s="1509"/>
      <c r="AI177" s="109"/>
      <c r="AJ177" s="216"/>
      <c r="AK177" s="1625"/>
      <c r="AL177" s="1510"/>
      <c r="AM177" s="1511"/>
      <c r="AN177" s="1519"/>
      <c r="AO177" s="1531"/>
    </row>
    <row r="178" spans="1:46" ht="41.25" customHeight="1">
      <c r="J178" s="181"/>
      <c r="K178" s="34"/>
      <c r="L178" s="34"/>
      <c r="M178" s="3392"/>
      <c r="N178" s="199" t="str">
        <f>DATA!L180</f>
        <v>The Development of UIN Maulana Malik Ibrahim Malang - Phase II</v>
      </c>
      <c r="O178" s="1402">
        <f>DATA!T180</f>
        <v>0</v>
      </c>
      <c r="P178" s="187">
        <f>DATA!U180</f>
        <v>59935500</v>
      </c>
      <c r="Q178" s="1453">
        <f>DATA!V180</f>
        <v>10404300</v>
      </c>
      <c r="R178" s="1453">
        <f>DATA!W180</f>
        <v>0</v>
      </c>
      <c r="S178" s="1447">
        <f>P178+Q178+R178</f>
        <v>70339800</v>
      </c>
      <c r="T178" s="1550" t="s">
        <v>1104</v>
      </c>
      <c r="U178" s="1449"/>
      <c r="V178" s="77">
        <v>0</v>
      </c>
      <c r="W178" s="77">
        <f>DATA!AA180</f>
        <v>59935500</v>
      </c>
      <c r="X178" s="1450" t="str">
        <f>DATA!Y180</f>
        <v>Belum Ada Indikasi</v>
      </c>
      <c r="Y178" s="109">
        <f>AH178</f>
        <v>59935500</v>
      </c>
      <c r="Z178" s="109" t="s">
        <v>1154</v>
      </c>
      <c r="AA178" s="1484" t="s">
        <v>879</v>
      </c>
      <c r="AB178" s="828"/>
      <c r="AC178" s="1485"/>
      <c r="AD178" s="1486"/>
      <c r="AE178" s="1486"/>
      <c r="AF178" s="1486"/>
      <c r="AG178" s="1514"/>
      <c r="AH178" s="1509">
        <f>DATA!AT180</f>
        <v>59935500</v>
      </c>
      <c r="AI178" s="109" t="str">
        <f>DATA!AU180</f>
        <v>Belum Ada Indikasi</v>
      </c>
      <c r="AJ178" s="216">
        <f>DATA!AW180</f>
        <v>0</v>
      </c>
      <c r="AK178" s="245">
        <f>DATA!AM180</f>
        <v>0</v>
      </c>
      <c r="AL178" s="1510" t="str">
        <f>DATA!AN180</f>
        <v>belum ada keterangan</v>
      </c>
      <c r="AM178" s="1511" t="str">
        <f>DATA!AO180</f>
        <v>belum ada keterangan</v>
      </c>
      <c r="AN178" s="1519">
        <f>DATA!AQ180</f>
        <v>0</v>
      </c>
      <c r="AO178" s="1531">
        <f>DATA!AR180</f>
        <v>0</v>
      </c>
      <c r="AP178" s="4"/>
      <c r="AQ178" s="10">
        <f t="shared" si="23"/>
        <v>0</v>
      </c>
      <c r="AR178" s="10">
        <f t="shared" si="20"/>
        <v>0</v>
      </c>
      <c r="AS178" s="10">
        <f t="shared" si="21"/>
        <v>0</v>
      </c>
      <c r="AT178" s="10">
        <f t="shared" si="22"/>
        <v>0</v>
      </c>
    </row>
    <row r="179" spans="1:46" ht="45.75" customHeight="1">
      <c r="J179" s="181"/>
      <c r="K179" s="34"/>
      <c r="L179" s="34"/>
      <c r="M179" s="3392"/>
      <c r="N179" s="199" t="s">
        <v>1239</v>
      </c>
      <c r="O179" s="1402"/>
      <c r="P179" s="187"/>
      <c r="Q179" s="1453"/>
      <c r="R179" s="1453"/>
      <c r="S179" s="1447"/>
      <c r="T179" s="1550"/>
      <c r="U179" s="1449"/>
      <c r="V179" s="77"/>
      <c r="W179" s="77"/>
      <c r="X179" s="1450"/>
      <c r="Y179" s="109">
        <v>41328200</v>
      </c>
      <c r="Z179" s="109" t="s">
        <v>633</v>
      </c>
      <c r="AA179" s="1484" t="s">
        <v>879</v>
      </c>
      <c r="AB179" s="828"/>
      <c r="AC179" s="1485"/>
      <c r="AD179" s="1486"/>
      <c r="AE179" s="1486"/>
      <c r="AF179" s="1486"/>
      <c r="AG179" s="1514"/>
      <c r="AH179" s="1509"/>
      <c r="AI179" s="109" t="s">
        <v>633</v>
      </c>
      <c r="AJ179" s="216"/>
      <c r="AK179" s="245"/>
      <c r="AL179" s="1510"/>
      <c r="AM179" s="1511"/>
      <c r="AN179" s="1519"/>
      <c r="AO179" s="1531"/>
      <c r="AP179" s="4"/>
      <c r="AQ179" s="10">
        <f t="shared" si="23"/>
        <v>0</v>
      </c>
      <c r="AR179" s="10">
        <f t="shared" si="20"/>
        <v>0</v>
      </c>
      <c r="AS179" s="10">
        <f t="shared" si="21"/>
        <v>41328200</v>
      </c>
      <c r="AT179" s="10">
        <f t="shared" si="22"/>
        <v>0</v>
      </c>
    </row>
    <row r="180" spans="1:46" ht="45.75" customHeight="1">
      <c r="J180" s="181"/>
      <c r="K180" s="34"/>
      <c r="L180" s="34"/>
      <c r="M180" s="3392"/>
      <c r="N180" s="199" t="s">
        <v>1240</v>
      </c>
      <c r="O180" s="1402"/>
      <c r="P180" s="187"/>
      <c r="Q180" s="1453"/>
      <c r="R180" s="1453"/>
      <c r="S180" s="1447"/>
      <c r="T180" s="1550"/>
      <c r="U180" s="1449"/>
      <c r="V180" s="77"/>
      <c r="W180" s="77"/>
      <c r="X180" s="1450"/>
      <c r="Y180" s="109">
        <v>33442700</v>
      </c>
      <c r="Z180" s="109" t="s">
        <v>633</v>
      </c>
      <c r="AA180" s="1484" t="s">
        <v>879</v>
      </c>
      <c r="AB180" s="828"/>
      <c r="AC180" s="1485"/>
      <c r="AD180" s="1486"/>
      <c r="AE180" s="1486"/>
      <c r="AF180" s="1486"/>
      <c r="AG180" s="1514"/>
      <c r="AH180" s="1509"/>
      <c r="AI180" s="109" t="s">
        <v>633</v>
      </c>
      <c r="AJ180" s="216"/>
      <c r="AK180" s="245"/>
      <c r="AL180" s="1510"/>
      <c r="AM180" s="1511"/>
      <c r="AN180" s="1519"/>
      <c r="AO180" s="1531"/>
      <c r="AP180" s="4"/>
      <c r="AQ180" s="10">
        <f t="shared" si="23"/>
        <v>0</v>
      </c>
      <c r="AR180" s="10">
        <f t="shared" si="20"/>
        <v>0</v>
      </c>
      <c r="AS180" s="10">
        <f t="shared" si="21"/>
        <v>33442700</v>
      </c>
      <c r="AT180" s="10">
        <f t="shared" si="22"/>
        <v>0</v>
      </c>
    </row>
    <row r="181" spans="1:46" ht="53.25" customHeight="1">
      <c r="J181" s="181"/>
      <c r="K181" s="54"/>
      <c r="L181" s="54"/>
      <c r="M181" s="3391"/>
      <c r="N181" s="199" t="s">
        <v>1241</v>
      </c>
      <c r="O181" s="1402"/>
      <c r="P181" s="187"/>
      <c r="Q181" s="1453"/>
      <c r="R181" s="1453"/>
      <c r="S181" s="1447"/>
      <c r="T181" s="1550"/>
      <c r="U181" s="1449"/>
      <c r="V181" s="77"/>
      <c r="W181" s="77"/>
      <c r="X181" s="1450"/>
      <c r="Y181" s="109">
        <v>41224500</v>
      </c>
      <c r="Z181" s="109" t="s">
        <v>633</v>
      </c>
      <c r="AA181" s="1484" t="s">
        <v>879</v>
      </c>
      <c r="AB181" s="828"/>
      <c r="AC181" s="1485"/>
      <c r="AD181" s="1486"/>
      <c r="AE181" s="1486"/>
      <c r="AF181" s="1486"/>
      <c r="AG181" s="1514"/>
      <c r="AH181" s="1509"/>
      <c r="AI181" s="109" t="s">
        <v>633</v>
      </c>
      <c r="AJ181" s="216"/>
      <c r="AK181" s="245"/>
      <c r="AL181" s="1510"/>
      <c r="AM181" s="1511"/>
      <c r="AN181" s="1519"/>
      <c r="AO181" s="1531"/>
      <c r="AP181" s="4"/>
      <c r="AQ181" s="10">
        <f t="shared" si="23"/>
        <v>0</v>
      </c>
      <c r="AR181" s="10">
        <f t="shared" si="20"/>
        <v>0</v>
      </c>
      <c r="AS181" s="10">
        <f t="shared" si="21"/>
        <v>41224500</v>
      </c>
      <c r="AT181" s="10">
        <f t="shared" si="22"/>
        <v>0</v>
      </c>
    </row>
    <row r="182" spans="1:46" s="4" customFormat="1" ht="24.95" customHeight="1">
      <c r="J182" s="250"/>
      <c r="K182" s="25">
        <v>12</v>
      </c>
      <c r="L182" s="108" t="str">
        <f>DATA!F181</f>
        <v>Kementerian PPN/Bappenas</v>
      </c>
      <c r="M182" s="25"/>
      <c r="N182" s="1416"/>
      <c r="O182" s="213">
        <f>O183+O186</f>
        <v>300000000</v>
      </c>
      <c r="P182" s="194">
        <f>P183+P186</f>
        <v>325000000</v>
      </c>
      <c r="Q182" s="194">
        <f t="shared" ref="O182:R186" si="25">+Q183</f>
        <v>0</v>
      </c>
      <c r="R182" s="194">
        <f t="shared" si="25"/>
        <v>0</v>
      </c>
      <c r="S182" s="242">
        <f t="shared" si="24"/>
        <v>325000000</v>
      </c>
      <c r="T182" s="1434"/>
      <c r="U182" s="195"/>
      <c r="V182" s="80">
        <f t="shared" ref="V182:AH186" si="26">+V183</f>
        <v>300000000</v>
      </c>
      <c r="W182" s="80">
        <f t="shared" si="26"/>
        <v>0</v>
      </c>
      <c r="X182" s="241"/>
      <c r="Y182" s="80">
        <f>+Y183+Y186</f>
        <v>325000000</v>
      </c>
      <c r="Z182" s="80"/>
      <c r="AA182" s="1465"/>
      <c r="AB182" s="1466"/>
      <c r="AC182" s="1467"/>
      <c r="AD182" s="1468"/>
      <c r="AE182" s="1468"/>
      <c r="AF182" s="1468"/>
      <c r="AG182" s="1500"/>
      <c r="AH182" s="195">
        <f t="shared" si="26"/>
        <v>300000000</v>
      </c>
      <c r="AI182" s="80" t="s">
        <v>21</v>
      </c>
      <c r="AJ182" s="213"/>
      <c r="AK182" s="1501"/>
      <c r="AL182" s="1502"/>
      <c r="AM182" s="168"/>
      <c r="AN182" s="1503"/>
      <c r="AO182" s="1529"/>
      <c r="AP182" s="5"/>
      <c r="AQ182" s="10">
        <f t="shared" si="23"/>
        <v>0</v>
      </c>
      <c r="AR182" s="10">
        <f t="shared" si="20"/>
        <v>0</v>
      </c>
      <c r="AS182" s="10">
        <f t="shared" si="21"/>
        <v>0</v>
      </c>
      <c r="AT182" s="10">
        <f t="shared" si="22"/>
        <v>0</v>
      </c>
    </row>
    <row r="183" spans="1:46" s="5" customFormat="1" ht="33.75" customHeight="1">
      <c r="J183" s="180"/>
      <c r="K183" s="29"/>
      <c r="L183" s="30" t="str">
        <f>DATA!I181</f>
        <v>A</v>
      </c>
      <c r="M183" s="3427" t="str">
        <f>DATA!J181</f>
        <v>Program Pengembangan Sumber Daya Aparatur  dalam Rangka Reformasi Birokrasi</v>
      </c>
      <c r="N183" s="3556"/>
      <c r="O183" s="214">
        <f t="shared" si="25"/>
        <v>300000000</v>
      </c>
      <c r="P183" s="197">
        <f t="shared" si="25"/>
        <v>300000000</v>
      </c>
      <c r="Q183" s="1436">
        <f t="shared" si="25"/>
        <v>0</v>
      </c>
      <c r="R183" s="1436">
        <f t="shared" si="25"/>
        <v>0</v>
      </c>
      <c r="S183" s="244">
        <f t="shared" si="24"/>
        <v>300000000</v>
      </c>
      <c r="T183" s="1437"/>
      <c r="U183" s="198"/>
      <c r="V183" s="81">
        <f t="shared" si="26"/>
        <v>300000000</v>
      </c>
      <c r="W183" s="81">
        <f t="shared" si="26"/>
        <v>0</v>
      </c>
      <c r="X183" s="243"/>
      <c r="Y183" s="81">
        <f>+Y184+Y185</f>
        <v>300000000</v>
      </c>
      <c r="Z183" s="81"/>
      <c r="AA183" s="1469"/>
      <c r="AB183" s="1470"/>
      <c r="AC183" s="1471"/>
      <c r="AD183" s="1472"/>
      <c r="AE183" s="1472"/>
      <c r="AF183" s="1472"/>
      <c r="AG183" s="1504"/>
      <c r="AH183" s="198">
        <f t="shared" si="26"/>
        <v>300000000</v>
      </c>
      <c r="AI183" s="81" t="s">
        <v>21</v>
      </c>
      <c r="AJ183" s="214"/>
      <c r="AK183" s="1505"/>
      <c r="AL183" s="1506"/>
      <c r="AM183" s="169"/>
      <c r="AN183" s="1507"/>
      <c r="AO183" s="1530"/>
      <c r="AP183" s="10"/>
      <c r="AQ183" s="10">
        <f t="shared" si="23"/>
        <v>0</v>
      </c>
      <c r="AR183" s="10">
        <f t="shared" si="20"/>
        <v>0</v>
      </c>
      <c r="AS183" s="10">
        <f t="shared" si="21"/>
        <v>0</v>
      </c>
      <c r="AT183" s="10">
        <f t="shared" si="22"/>
        <v>0</v>
      </c>
    </row>
    <row r="184" spans="1:46" ht="47.25" customHeight="1">
      <c r="A184" s="10">
        <f>DATA!A181</f>
        <v>129</v>
      </c>
      <c r="B184" s="10">
        <f>DATA!B181</f>
        <v>0</v>
      </c>
      <c r="C184" s="10" t="str">
        <f>DATA!D181</f>
        <v>NON-INFRASTRUKTUR</v>
      </c>
      <c r="D184" s="10">
        <f>DATA!E181</f>
        <v>10</v>
      </c>
      <c r="E184" s="10" t="str">
        <f>DATA!F181</f>
        <v>Kementerian PPN/Bappenas</v>
      </c>
      <c r="F184" s="10" t="str">
        <f>DATA!H181</f>
        <v>Human Resources Development for Bureaucracy Reform Program</v>
      </c>
      <c r="G184" s="10" t="str">
        <f>DATA!I181</f>
        <v>A</v>
      </c>
      <c r="H184" s="10" t="str">
        <f>DATA!J181</f>
        <v>Program Pengembangan Sumber Daya Aparatur  dalam Rangka Reformasi Birokrasi</v>
      </c>
      <c r="I184" s="10">
        <f>DATA!K181</f>
        <v>1</v>
      </c>
      <c r="J184" s="181"/>
      <c r="K184" s="34"/>
      <c r="L184" s="34"/>
      <c r="M184" s="3576">
        <v>91</v>
      </c>
      <c r="N184" s="3585" t="str">
        <f>DATA!L181</f>
        <v>Development of Capacity, Quality, and Competency of Human Resources for Government Officer</v>
      </c>
      <c r="O184" s="1402">
        <f>DATA!T181</f>
        <v>300000000</v>
      </c>
      <c r="P184" s="187">
        <f>DATA!U181</f>
        <v>300000000</v>
      </c>
      <c r="Q184" s="1446">
        <f>DATA!V181</f>
        <v>0</v>
      </c>
      <c r="R184" s="1446">
        <f>DATA!W181</f>
        <v>0</v>
      </c>
      <c r="S184" s="1447">
        <f t="shared" si="24"/>
        <v>300000000</v>
      </c>
      <c r="T184" s="1448"/>
      <c r="U184" s="1449" t="str">
        <f>DATA!Y181</f>
        <v>Bank Dunia</v>
      </c>
      <c r="V184" s="77">
        <f>DATA!AA181</f>
        <v>300000000</v>
      </c>
      <c r="W184" s="77"/>
      <c r="X184" s="1450" t="str">
        <f>DATA!Y181</f>
        <v>Bank Dunia</v>
      </c>
      <c r="Y184" s="109">
        <v>150000000</v>
      </c>
      <c r="Z184" s="109" t="s">
        <v>62</v>
      </c>
      <c r="AA184" s="1484" t="s">
        <v>1242</v>
      </c>
      <c r="AB184" s="828"/>
      <c r="AC184" s="1485"/>
      <c r="AD184" s="1486"/>
      <c r="AE184" s="1486"/>
      <c r="AF184" s="1486"/>
      <c r="AG184" s="1514"/>
      <c r="AH184" s="1509">
        <f>DATA!AT181</f>
        <v>300000000</v>
      </c>
      <c r="AI184" s="109" t="str">
        <f>DATA!AU181</f>
        <v>Bank Dunia</v>
      </c>
      <c r="AJ184" s="216" t="str">
        <f>DATA!AW181</f>
        <v>-</v>
      </c>
      <c r="AK184" s="245">
        <f>DATA!AM181</f>
        <v>0</v>
      </c>
      <c r="AL184" s="1510" t="str">
        <f>DATA!AN181</f>
        <v>dalam proses
(penyusunan FS)</v>
      </c>
      <c r="AM184" s="1511" t="str">
        <f>DATA!AO181</f>
        <v>tidak butuh lahan</v>
      </c>
      <c r="AN184" s="1519">
        <f>DATA!AQ181</f>
        <v>0</v>
      </c>
      <c r="AO184" s="1531" t="str">
        <f>DATA!AR181</f>
        <v>belum ada dokumen R/C</v>
      </c>
      <c r="AP184" s="4"/>
      <c r="AQ184" s="10">
        <f t="shared" si="23"/>
        <v>0</v>
      </c>
      <c r="AR184" s="10">
        <f t="shared" si="20"/>
        <v>0</v>
      </c>
      <c r="AS184" s="10">
        <f t="shared" si="21"/>
        <v>0</v>
      </c>
      <c r="AT184" s="10">
        <f t="shared" si="22"/>
        <v>0</v>
      </c>
    </row>
    <row r="185" spans="1:46" ht="47.25" customHeight="1">
      <c r="J185" s="181"/>
      <c r="K185" s="34"/>
      <c r="L185" s="34"/>
      <c r="M185" s="3577"/>
      <c r="N185" s="3586"/>
      <c r="O185" s="1402"/>
      <c r="P185" s="187"/>
      <c r="Q185" s="1446"/>
      <c r="R185" s="1446"/>
      <c r="S185" s="1447"/>
      <c r="T185" s="1448"/>
      <c r="U185" s="1449"/>
      <c r="V185" s="77"/>
      <c r="W185" s="77"/>
      <c r="X185" s="1450"/>
      <c r="Y185" s="109">
        <v>150000000</v>
      </c>
      <c r="Z185" s="109" t="s">
        <v>633</v>
      </c>
      <c r="AA185" s="1484" t="s">
        <v>879</v>
      </c>
      <c r="AB185" s="828"/>
      <c r="AC185" s="1485"/>
      <c r="AD185" s="1486"/>
      <c r="AE185" s="1486"/>
      <c r="AF185" s="1486"/>
      <c r="AG185" s="1514"/>
      <c r="AH185" s="1509"/>
      <c r="AI185" s="109"/>
      <c r="AJ185" s="216"/>
      <c r="AK185" s="245"/>
      <c r="AL185" s="1510"/>
      <c r="AM185" s="1511"/>
      <c r="AN185" s="1519"/>
      <c r="AO185" s="1531"/>
      <c r="AP185" s="4"/>
      <c r="AQ185" s="10">
        <f t="shared" si="23"/>
        <v>0</v>
      </c>
      <c r="AR185" s="10">
        <f t="shared" si="20"/>
        <v>0</v>
      </c>
      <c r="AS185" s="10">
        <f t="shared" si="21"/>
        <v>150000000</v>
      </c>
      <c r="AT185" s="10">
        <f t="shared" si="22"/>
        <v>0</v>
      </c>
    </row>
    <row r="186" spans="1:46" ht="27" customHeight="1">
      <c r="J186" s="181"/>
      <c r="K186" s="34"/>
      <c r="L186" s="30" t="str">
        <f>DATA!I183</f>
        <v>B</v>
      </c>
      <c r="M186" s="3427" t="s">
        <v>1243</v>
      </c>
      <c r="N186" s="3556"/>
      <c r="O186" s="214">
        <f t="shared" si="25"/>
        <v>0</v>
      </c>
      <c r="P186" s="197">
        <f t="shared" si="25"/>
        <v>25000000</v>
      </c>
      <c r="Q186" s="1436">
        <f t="shared" si="25"/>
        <v>0</v>
      </c>
      <c r="R186" s="1436">
        <f t="shared" si="25"/>
        <v>0</v>
      </c>
      <c r="S186" s="244">
        <f t="shared" si="24"/>
        <v>25000000</v>
      </c>
      <c r="T186" s="1437"/>
      <c r="U186" s="198"/>
      <c r="V186" s="81">
        <f t="shared" si="26"/>
        <v>0</v>
      </c>
      <c r="W186" s="81">
        <f t="shared" si="26"/>
        <v>0</v>
      </c>
      <c r="X186" s="243"/>
      <c r="Y186" s="81">
        <f>Y187</f>
        <v>25000000</v>
      </c>
      <c r="Z186" s="81"/>
      <c r="AA186" s="1469"/>
      <c r="AB186" s="1470"/>
      <c r="AC186" s="1471"/>
      <c r="AD186" s="1472"/>
      <c r="AE186" s="1472"/>
      <c r="AF186" s="1472"/>
      <c r="AG186" s="1504"/>
      <c r="AH186" s="198">
        <f t="shared" si="26"/>
        <v>0</v>
      </c>
      <c r="AI186" s="81" t="s">
        <v>21</v>
      </c>
      <c r="AJ186" s="214"/>
      <c r="AK186" s="1505"/>
      <c r="AL186" s="1506"/>
      <c r="AM186" s="169"/>
      <c r="AN186" s="1507"/>
      <c r="AO186" s="1530"/>
      <c r="AP186" s="4"/>
      <c r="AQ186" s="10">
        <f t="shared" si="23"/>
        <v>0</v>
      </c>
      <c r="AR186" s="10">
        <f t="shared" si="20"/>
        <v>0</v>
      </c>
      <c r="AS186" s="10">
        <f t="shared" si="21"/>
        <v>0</v>
      </c>
      <c r="AT186" s="10">
        <f t="shared" si="22"/>
        <v>0</v>
      </c>
    </row>
    <row r="187" spans="1:46" ht="47.25" customHeight="1">
      <c r="J187" s="181"/>
      <c r="K187" s="54"/>
      <c r="L187" s="34"/>
      <c r="M187" s="33">
        <v>92</v>
      </c>
      <c r="N187" s="271" t="s">
        <v>1244</v>
      </c>
      <c r="O187" s="1402">
        <v>0</v>
      </c>
      <c r="P187" s="187">
        <v>25000000</v>
      </c>
      <c r="Q187" s="1446"/>
      <c r="R187" s="1446"/>
      <c r="S187" s="1447"/>
      <c r="T187" s="1448"/>
      <c r="U187" s="1449"/>
      <c r="V187" s="77"/>
      <c r="W187" s="77"/>
      <c r="X187" s="1450"/>
      <c r="Y187" s="109">
        <v>25000000</v>
      </c>
      <c r="Z187" s="109" t="s">
        <v>58</v>
      </c>
      <c r="AA187" s="1484" t="s">
        <v>879</v>
      </c>
      <c r="AB187" s="828"/>
      <c r="AC187" s="1485"/>
      <c r="AD187" s="1486"/>
      <c r="AE187" s="1486"/>
      <c r="AF187" s="1486"/>
      <c r="AG187" s="1508" t="s">
        <v>1245</v>
      </c>
      <c r="AH187" s="1509"/>
      <c r="AI187" s="109" t="s">
        <v>58</v>
      </c>
      <c r="AJ187" s="216"/>
      <c r="AK187" s="245"/>
      <c r="AL187" s="1510"/>
      <c r="AM187" s="1511"/>
      <c r="AN187" s="1519"/>
      <c r="AO187" s="1531"/>
      <c r="AP187" s="4"/>
      <c r="AQ187" s="10">
        <f t="shared" si="23"/>
        <v>0</v>
      </c>
      <c r="AR187" s="10">
        <f t="shared" si="20"/>
        <v>0</v>
      </c>
      <c r="AS187" s="10">
        <f t="shared" si="21"/>
        <v>0</v>
      </c>
      <c r="AT187" s="10">
        <f t="shared" si="22"/>
        <v>0</v>
      </c>
    </row>
    <row r="188" spans="1:46" s="4" customFormat="1" ht="24.95" customHeight="1">
      <c r="J188" s="250"/>
      <c r="K188" s="25">
        <v>13</v>
      </c>
      <c r="L188" s="108" t="str">
        <f>DATA!F182</f>
        <v>Kementerian Kesehatan</v>
      </c>
      <c r="M188" s="25"/>
      <c r="N188" s="1416"/>
      <c r="O188" s="213">
        <f>+O189+O191+O193+O195</f>
        <v>1746000000</v>
      </c>
      <c r="P188" s="194">
        <f>+P189+P191+P193+P195</f>
        <v>1746000000</v>
      </c>
      <c r="Q188" s="2442">
        <f>+Q189+Q191+Q193+Q195</f>
        <v>174600000</v>
      </c>
      <c r="R188" s="2442">
        <f>+R189+R191+R193+R195</f>
        <v>0</v>
      </c>
      <c r="S188" s="242">
        <f t="shared" si="24"/>
        <v>1920600000</v>
      </c>
      <c r="T188" s="1434"/>
      <c r="U188" s="195"/>
      <c r="V188" s="80">
        <f>+V189+V191+V193+V195</f>
        <v>990400000</v>
      </c>
      <c r="W188" s="80">
        <f>+W189+W191+W193+W195</f>
        <v>755600000</v>
      </c>
      <c r="X188" s="241">
        <f>+X189+X191+X193+X195</f>
        <v>0</v>
      </c>
      <c r="Y188" s="80">
        <f>+Y189+Y191+Y193+Y195</f>
        <v>1746000000</v>
      </c>
      <c r="Z188" s="80"/>
      <c r="AA188" s="1465"/>
      <c r="AB188" s="1466"/>
      <c r="AC188" s="1467"/>
      <c r="AD188" s="1468"/>
      <c r="AE188" s="1468"/>
      <c r="AF188" s="1468"/>
      <c r="AG188" s="1500"/>
      <c r="AH188" s="195">
        <f>+AH189+AH191+AH193+AH195</f>
        <v>1746000000</v>
      </c>
      <c r="AI188" s="80" t="s">
        <v>21</v>
      </c>
      <c r="AJ188" s="213"/>
      <c r="AK188" s="1501"/>
      <c r="AL188" s="1502"/>
      <c r="AM188" s="168"/>
      <c r="AN188" s="1503"/>
      <c r="AO188" s="1529"/>
      <c r="AP188" s="5"/>
      <c r="AQ188" s="10">
        <f t="shared" si="23"/>
        <v>0</v>
      </c>
      <c r="AR188" s="10">
        <f t="shared" si="20"/>
        <v>0</v>
      </c>
      <c r="AS188" s="10">
        <f t="shared" si="21"/>
        <v>0</v>
      </c>
      <c r="AT188" s="10">
        <f t="shared" si="22"/>
        <v>0</v>
      </c>
    </row>
    <row r="189" spans="1:46" s="5" customFormat="1" ht="33.75" customHeight="1">
      <c r="J189" s="180"/>
      <c r="K189" s="29"/>
      <c r="L189" s="30" t="str">
        <f>DATA!I181</f>
        <v>A</v>
      </c>
      <c r="M189" s="31" t="str">
        <f>DATA!J182</f>
        <v>Program Pelayanan Kesehatan Dasar</v>
      </c>
      <c r="N189" s="1419"/>
      <c r="O189" s="214">
        <f>+O190</f>
        <v>150000000</v>
      </c>
      <c r="P189" s="197">
        <f>+P190</f>
        <v>150000000</v>
      </c>
      <c r="Q189" s="1436">
        <f>+Q190</f>
        <v>15000000</v>
      </c>
      <c r="R189" s="1436">
        <f>+R190</f>
        <v>0</v>
      </c>
      <c r="S189" s="244">
        <f t="shared" si="24"/>
        <v>165000000</v>
      </c>
      <c r="T189" s="1437"/>
      <c r="U189" s="198"/>
      <c r="V189" s="81">
        <f>+V190</f>
        <v>150000000</v>
      </c>
      <c r="W189" s="81">
        <f>+W190</f>
        <v>0</v>
      </c>
      <c r="X189" s="243"/>
      <c r="Y189" s="81">
        <f>+Y190</f>
        <v>150000000</v>
      </c>
      <c r="Z189" s="81"/>
      <c r="AA189" s="1469"/>
      <c r="AB189" s="1470"/>
      <c r="AC189" s="1471"/>
      <c r="AD189" s="1472"/>
      <c r="AE189" s="1472"/>
      <c r="AF189" s="1472"/>
      <c r="AG189" s="1504"/>
      <c r="AH189" s="198">
        <f>+AH190</f>
        <v>150000000</v>
      </c>
      <c r="AI189" s="81" t="s">
        <v>21</v>
      </c>
      <c r="AJ189" s="214"/>
      <c r="AK189" s="1505"/>
      <c r="AL189" s="1506"/>
      <c r="AM189" s="169"/>
      <c r="AN189" s="1507"/>
      <c r="AO189" s="1530"/>
      <c r="AP189" s="10"/>
      <c r="AQ189" s="10">
        <f t="shared" si="23"/>
        <v>0</v>
      </c>
      <c r="AR189" s="10">
        <f t="shared" si="20"/>
        <v>0</v>
      </c>
      <c r="AS189" s="10">
        <f t="shared" si="21"/>
        <v>0</v>
      </c>
      <c r="AT189" s="10">
        <f t="shared" si="22"/>
        <v>0</v>
      </c>
    </row>
    <row r="190" spans="1:46" ht="129" customHeight="1">
      <c r="A190" s="10">
        <f>DATA!A182</f>
        <v>130</v>
      </c>
      <c r="B190" s="10">
        <f>DATA!B182</f>
        <v>0</v>
      </c>
      <c r="C190" s="10" t="str">
        <f>DATA!D182</f>
        <v>NON-INFRASTRUKTUR</v>
      </c>
      <c r="D190" s="10">
        <f>DATA!E182</f>
        <v>11</v>
      </c>
      <c r="E190" s="10" t="str">
        <f>DATA!F182</f>
        <v>Kementerian Kesehatan</v>
      </c>
      <c r="F190" s="10" t="str">
        <f>DATA!H182</f>
        <v>Basic Health Care Program</v>
      </c>
      <c r="G190" s="10" t="str">
        <f>DATA!I182</f>
        <v>A</v>
      </c>
      <c r="H190" s="10" t="str">
        <f>DATA!J182</f>
        <v>Program Pelayanan Kesehatan Dasar</v>
      </c>
      <c r="I190" s="10">
        <f>DATA!K182</f>
        <v>1</v>
      </c>
      <c r="J190" s="181"/>
      <c r="K190" s="34"/>
      <c r="L190" s="54"/>
      <c r="M190" s="52">
        <v>93</v>
      </c>
      <c r="N190" s="199" t="str">
        <f>DATA!L182</f>
        <v>Improvement of Primary Health Care</v>
      </c>
      <c r="O190" s="1402">
        <f>DATA!T182</f>
        <v>150000000</v>
      </c>
      <c r="P190" s="187">
        <f>DATA!U182</f>
        <v>150000000</v>
      </c>
      <c r="Q190" s="1446">
        <f>DATA!V182</f>
        <v>15000000</v>
      </c>
      <c r="R190" s="1446">
        <f>DATA!W182</f>
        <v>0</v>
      </c>
      <c r="S190" s="1447">
        <f t="shared" si="24"/>
        <v>165000000</v>
      </c>
      <c r="T190" s="1448"/>
      <c r="U190" s="1449" t="str">
        <f>DATA!Y182</f>
        <v>Bank Dunia</v>
      </c>
      <c r="V190" s="77">
        <f>DATA!AA182</f>
        <v>150000000</v>
      </c>
      <c r="W190" s="77"/>
      <c r="X190" s="1450" t="str">
        <f>DATA!Y182</f>
        <v>Bank Dunia</v>
      </c>
      <c r="Y190" s="109">
        <v>150000000</v>
      </c>
      <c r="Z190" s="109" t="s">
        <v>62</v>
      </c>
      <c r="AA190" s="1477" t="s">
        <v>1242</v>
      </c>
      <c r="AB190" s="1478"/>
      <c r="AC190" s="1479"/>
      <c r="AD190" s="1480"/>
      <c r="AE190" s="1480"/>
      <c r="AF190" s="1480"/>
      <c r="AG190" s="3263" t="s">
        <v>1246</v>
      </c>
      <c r="AH190" s="1509">
        <f>DATA!AT182</f>
        <v>150000000</v>
      </c>
      <c r="AI190" s="109" t="str">
        <f>DATA!AU182</f>
        <v>Bank Dunia</v>
      </c>
      <c r="AJ190" s="216" t="str">
        <f>DATA!AW182</f>
        <v>-</v>
      </c>
      <c r="AK190" s="245">
        <f>DATA!AM182</f>
        <v>0</v>
      </c>
      <c r="AL190" s="1510" t="str">
        <f>DATA!AN182</f>
        <v>belum ada keterangan</v>
      </c>
      <c r="AM190" s="1511" t="str">
        <f>DATA!AO182</f>
        <v>tidak butuh lahan</v>
      </c>
      <c r="AN190" s="1519">
        <f>DATA!AQ182</f>
        <v>0</v>
      </c>
      <c r="AO190" s="1531" t="str">
        <f>DATA!AR182</f>
        <v>belum ada dokumen R/C</v>
      </c>
      <c r="AP190" s="5"/>
      <c r="AQ190" s="10">
        <f t="shared" si="23"/>
        <v>0</v>
      </c>
      <c r="AR190" s="10">
        <f t="shared" si="20"/>
        <v>0</v>
      </c>
      <c r="AS190" s="10">
        <f t="shared" si="21"/>
        <v>0</v>
      </c>
      <c r="AT190" s="10">
        <f t="shared" si="22"/>
        <v>0</v>
      </c>
    </row>
    <row r="191" spans="1:46" s="5" customFormat="1" ht="33.75" customHeight="1">
      <c r="J191" s="180"/>
      <c r="K191" s="50"/>
      <c r="L191" s="30" t="str">
        <f>DATA!I183</f>
        <v>B</v>
      </c>
      <c r="M191" s="3427" t="str">
        <f>DATA!J183</f>
        <v>Program Pengembangan Sumber Daya Manusia Kesehatan</v>
      </c>
      <c r="N191" s="3556"/>
      <c r="O191" s="214">
        <f>+O192</f>
        <v>240000000</v>
      </c>
      <c r="P191" s="197">
        <f>+P192</f>
        <v>240000000</v>
      </c>
      <c r="Q191" s="1436">
        <f>+Q192</f>
        <v>24000000</v>
      </c>
      <c r="R191" s="1436">
        <f>+R192</f>
        <v>0</v>
      </c>
      <c r="S191" s="244">
        <f t="shared" si="24"/>
        <v>264000000</v>
      </c>
      <c r="T191" s="1437"/>
      <c r="U191" s="198"/>
      <c r="V191" s="81">
        <f>+V192</f>
        <v>240000000</v>
      </c>
      <c r="W191" s="81">
        <f>+W192</f>
        <v>0</v>
      </c>
      <c r="X191" s="243"/>
      <c r="Y191" s="81">
        <f>+Y192</f>
        <v>240000000</v>
      </c>
      <c r="Z191" s="81"/>
      <c r="AA191" s="1469"/>
      <c r="AB191" s="1470"/>
      <c r="AC191" s="1471"/>
      <c r="AD191" s="1472"/>
      <c r="AE191" s="1472"/>
      <c r="AF191" s="1472"/>
      <c r="AG191" s="1504"/>
      <c r="AH191" s="198">
        <f>+AH192</f>
        <v>240000000</v>
      </c>
      <c r="AI191" s="81" t="s">
        <v>21</v>
      </c>
      <c r="AJ191" s="214"/>
      <c r="AK191" s="1505"/>
      <c r="AL191" s="1506"/>
      <c r="AM191" s="169"/>
      <c r="AN191" s="1507"/>
      <c r="AO191" s="1530"/>
      <c r="AP191" s="10"/>
      <c r="AQ191" s="10">
        <f t="shared" si="23"/>
        <v>0</v>
      </c>
      <c r="AR191" s="10">
        <f t="shared" si="20"/>
        <v>0</v>
      </c>
      <c r="AS191" s="10">
        <f t="shared" si="21"/>
        <v>0</v>
      </c>
      <c r="AT191" s="10">
        <f t="shared" si="22"/>
        <v>0</v>
      </c>
    </row>
    <row r="192" spans="1:46" ht="95.25" customHeight="1">
      <c r="A192" s="10">
        <f>DATA!A183</f>
        <v>131</v>
      </c>
      <c r="B192" s="10">
        <f>DATA!B183</f>
        <v>0</v>
      </c>
      <c r="C192" s="10" t="str">
        <f>DATA!D183</f>
        <v>NON-INFRASTRUKTUR</v>
      </c>
      <c r="D192" s="10">
        <f>DATA!E183</f>
        <v>11</v>
      </c>
      <c r="E192" s="10" t="str">
        <f>DATA!F183</f>
        <v>Kementerian Kesehatan</v>
      </c>
      <c r="F192" s="10" t="str">
        <f>DATA!H183</f>
        <v>Program for Human Resources Development in Health Sector</v>
      </c>
      <c r="G192" s="10" t="str">
        <f>DATA!I183</f>
        <v>B</v>
      </c>
      <c r="H192" s="10" t="str">
        <f>DATA!J183</f>
        <v>Program Pengembangan Sumber Daya Manusia Kesehatan</v>
      </c>
      <c r="I192" s="10">
        <f>DATA!K183</f>
        <v>1</v>
      </c>
      <c r="J192" s="181"/>
      <c r="K192" s="34"/>
      <c r="L192" s="20"/>
      <c r="M192" s="36">
        <v>94</v>
      </c>
      <c r="N192" s="199" t="str">
        <f>DATA!L183</f>
        <v>Improvement of Facilities and Infrastructure for Teaching and Learning Activities in Health Sector</v>
      </c>
      <c r="O192" s="1402">
        <f>DATA!T183</f>
        <v>240000000</v>
      </c>
      <c r="P192" s="187">
        <f>DATA!U183</f>
        <v>240000000</v>
      </c>
      <c r="Q192" s="1446">
        <f>DATA!V183</f>
        <v>24000000</v>
      </c>
      <c r="R192" s="1446">
        <f>DATA!W183</f>
        <v>0</v>
      </c>
      <c r="S192" s="1447">
        <f t="shared" si="24"/>
        <v>264000000</v>
      </c>
      <c r="T192" s="1448"/>
      <c r="U192" s="1449" t="str">
        <f>DATA!Y183</f>
        <v>IDB</v>
      </c>
      <c r="V192" s="77">
        <f>DATA!AA183</f>
        <v>240000000</v>
      </c>
      <c r="W192" s="77">
        <f>DATA!AG183</f>
        <v>0</v>
      </c>
      <c r="X192" s="1450" t="str">
        <f>DATA!Y183</f>
        <v>IDB</v>
      </c>
      <c r="Y192" s="109">
        <v>240000000</v>
      </c>
      <c r="Z192" s="109" t="s">
        <v>58</v>
      </c>
      <c r="AA192" s="1484" t="s">
        <v>1173</v>
      </c>
      <c r="AB192" s="828"/>
      <c r="AC192" s="1485"/>
      <c r="AD192" s="1486"/>
      <c r="AE192" s="1486"/>
      <c r="AF192" s="1486"/>
      <c r="AG192" s="1662" t="s">
        <v>1247</v>
      </c>
      <c r="AH192" s="1509">
        <f>DATA!AT183</f>
        <v>240000000</v>
      </c>
      <c r="AI192" s="109" t="str">
        <f>DATA!AU183</f>
        <v>IDB</v>
      </c>
      <c r="AJ192" s="216" t="str">
        <f>DATA!AW183</f>
        <v>-</v>
      </c>
      <c r="AK192" s="245">
        <f>DATA!AM183</f>
        <v>0</v>
      </c>
      <c r="AL192" s="1510" t="str">
        <f>DATA!AN183</f>
        <v>dalam proses
(memiliki FS dan DED)</v>
      </c>
      <c r="AM192" s="1511" t="str">
        <f>DATA!AO183</f>
        <v>siap</v>
      </c>
      <c r="AN192" s="1519">
        <f>DATA!AQ183</f>
        <v>0</v>
      </c>
      <c r="AO192" s="1533" t="str">
        <f>DATA!AR183</f>
        <v>penyiapan dokumen R/C</v>
      </c>
      <c r="AP192" s="5"/>
      <c r="AQ192" s="10">
        <f t="shared" si="23"/>
        <v>0</v>
      </c>
      <c r="AR192" s="10">
        <f t="shared" si="20"/>
        <v>0</v>
      </c>
      <c r="AS192" s="10">
        <f t="shared" si="21"/>
        <v>0</v>
      </c>
      <c r="AT192" s="10">
        <f t="shared" si="22"/>
        <v>0</v>
      </c>
    </row>
    <row r="193" spans="1:46" s="5" customFormat="1" ht="37.5" customHeight="1">
      <c r="J193" s="180"/>
      <c r="K193" s="50"/>
      <c r="L193" s="30" t="str">
        <f>DATA!I184</f>
        <v>C</v>
      </c>
      <c r="M193" s="3427" t="str">
        <f>DATA!J184</f>
        <v>Program Pengendalian Penyakit, Penyehatan Lingkungan, dan Penguatan Litbang Kesehatan</v>
      </c>
      <c r="N193" s="3556"/>
      <c r="O193" s="214">
        <f>+O194</f>
        <v>100400000</v>
      </c>
      <c r="P193" s="197">
        <f>+P194</f>
        <v>100400000</v>
      </c>
      <c r="Q193" s="1436">
        <f>+Q194</f>
        <v>10040000</v>
      </c>
      <c r="R193" s="1436">
        <f>+R194</f>
        <v>0</v>
      </c>
      <c r="S193" s="244">
        <f t="shared" si="24"/>
        <v>110440000</v>
      </c>
      <c r="T193" s="1437"/>
      <c r="U193" s="198"/>
      <c r="V193" s="81">
        <f>+V194</f>
        <v>100400000</v>
      </c>
      <c r="W193" s="81">
        <f>+W194</f>
        <v>0</v>
      </c>
      <c r="X193" s="243"/>
      <c r="Y193" s="81">
        <f>+Y194</f>
        <v>100400000</v>
      </c>
      <c r="Z193" s="81"/>
      <c r="AA193" s="1469"/>
      <c r="AB193" s="1470"/>
      <c r="AC193" s="1471"/>
      <c r="AD193" s="1472"/>
      <c r="AE193" s="1472"/>
      <c r="AF193" s="1472"/>
      <c r="AG193" s="1504"/>
      <c r="AH193" s="198">
        <f>+AH194</f>
        <v>100400000</v>
      </c>
      <c r="AI193" s="81" t="s">
        <v>21</v>
      </c>
      <c r="AJ193" s="214"/>
      <c r="AK193" s="1505"/>
      <c r="AL193" s="1506"/>
      <c r="AM193" s="169"/>
      <c r="AN193" s="1507"/>
      <c r="AO193" s="1530"/>
      <c r="AP193" s="10"/>
      <c r="AQ193" s="10">
        <f t="shared" si="23"/>
        <v>0</v>
      </c>
      <c r="AR193" s="10">
        <f t="shared" si="20"/>
        <v>0</v>
      </c>
      <c r="AS193" s="10">
        <f t="shared" si="21"/>
        <v>0</v>
      </c>
      <c r="AT193" s="10">
        <f t="shared" si="22"/>
        <v>0</v>
      </c>
    </row>
    <row r="194" spans="1:46" ht="48.75" customHeight="1">
      <c r="A194" s="10">
        <f>DATA!A184</f>
        <v>132</v>
      </c>
      <c r="B194" s="10">
        <f>DATA!B184</f>
        <v>0</v>
      </c>
      <c r="C194" s="10" t="str">
        <f>DATA!D184</f>
        <v>NON-INFRASTRUKTUR</v>
      </c>
      <c r="D194" s="10">
        <f>DATA!E184</f>
        <v>11</v>
      </c>
      <c r="E194" s="10" t="str">
        <f>DATA!F184</f>
        <v>Kementerian Kesehatan</v>
      </c>
      <c r="F194" s="10" t="str">
        <f>DATA!H184</f>
        <v>Program for Disease Control, Environmental Health, and Strengthening Health Research and Development</v>
      </c>
      <c r="G194" s="10" t="str">
        <f>DATA!I184</f>
        <v>C</v>
      </c>
      <c r="H194" s="10" t="str">
        <f>DATA!J184</f>
        <v>Program Pengendalian Penyakit, Penyehatan Lingkungan, dan Penguatan Litbang Kesehatan</v>
      </c>
      <c r="I194" s="10">
        <f>DATA!K184</f>
        <v>1</v>
      </c>
      <c r="J194" s="181"/>
      <c r="K194" s="34"/>
      <c r="L194" s="20"/>
      <c r="M194" s="36">
        <v>95</v>
      </c>
      <c r="N194" s="199" t="str">
        <f>DATA!L184</f>
        <v>Improvement of Capacity on Disease Control, Environmental Health, and Strengthening Health’s Research and Development</v>
      </c>
      <c r="O194" s="1402">
        <f>DATA!T184</f>
        <v>100400000</v>
      </c>
      <c r="P194" s="187">
        <f>DATA!U184</f>
        <v>100400000</v>
      </c>
      <c r="Q194" s="1446">
        <f>DATA!V184</f>
        <v>10040000</v>
      </c>
      <c r="R194" s="1446">
        <f>DATA!W184</f>
        <v>0</v>
      </c>
      <c r="S194" s="1447">
        <f t="shared" si="24"/>
        <v>110440000</v>
      </c>
      <c r="T194" s="1448"/>
      <c r="U194" s="1449" t="str">
        <f>DATA!Y184</f>
        <v>Jerman (KfW)</v>
      </c>
      <c r="V194" s="77">
        <f>DATA!AA184</f>
        <v>100400000</v>
      </c>
      <c r="W194" s="77">
        <f>DATA!AG184</f>
        <v>0</v>
      </c>
      <c r="X194" s="1450" t="str">
        <f>DATA!Y184</f>
        <v>Jerman (KfW)</v>
      </c>
      <c r="Y194" s="109">
        <v>100400000</v>
      </c>
      <c r="Z194" s="109" t="s">
        <v>633</v>
      </c>
      <c r="AA194" s="1484" t="s">
        <v>879</v>
      </c>
      <c r="AB194" s="828"/>
      <c r="AC194" s="1485"/>
      <c r="AD194" s="1486"/>
      <c r="AE194" s="1486"/>
      <c r="AF194" s="1486"/>
      <c r="AG194" s="1514"/>
      <c r="AH194" s="1509">
        <f>DATA!AT184</f>
        <v>100400000</v>
      </c>
      <c r="AI194" s="109" t="str">
        <f>DATA!AU184</f>
        <v>Jerman (KfW)</v>
      </c>
      <c r="AJ194" s="216" t="str">
        <f>DATA!AW184</f>
        <v>-</v>
      </c>
      <c r="AK194" s="245">
        <f>DATA!AM184</f>
        <v>0</v>
      </c>
      <c r="AL194" s="1510" t="str">
        <f>DATA!AN184</f>
        <v>dalam proses
(memiliki)</v>
      </c>
      <c r="AM194" s="1511" t="str">
        <f>DATA!AO184</f>
        <v>dalam proses
(pelaksanaan)</v>
      </c>
      <c r="AN194" s="1519">
        <f>DATA!AQ184</f>
        <v>0</v>
      </c>
      <c r="AO194" s="1533" t="str">
        <f>DATA!AR184</f>
        <v>- tidak diketahui berapa persen proses pelaksanaannya
- penyiapan dokumen R/C</v>
      </c>
      <c r="AP194" s="5"/>
      <c r="AQ194" s="10">
        <f t="shared" si="23"/>
        <v>0</v>
      </c>
      <c r="AR194" s="10">
        <f t="shared" si="20"/>
        <v>0</v>
      </c>
      <c r="AS194" s="10">
        <f t="shared" si="21"/>
        <v>100400000</v>
      </c>
      <c r="AT194" s="10">
        <f t="shared" si="22"/>
        <v>0</v>
      </c>
    </row>
    <row r="195" spans="1:46" s="5" customFormat="1" ht="33.75" customHeight="1">
      <c r="J195" s="180"/>
      <c r="K195" s="1595"/>
      <c r="L195" s="30" t="str">
        <f>DATA!I185</f>
        <v>D</v>
      </c>
      <c r="M195" s="31" t="str">
        <f>DATA!J185</f>
        <v>Program Pelayanan Kesehatan Rujukan</v>
      </c>
      <c r="N195" s="1419"/>
      <c r="O195" s="214">
        <f>O196</f>
        <v>1255600000</v>
      </c>
      <c r="P195" s="197">
        <f>P196</f>
        <v>1255600000</v>
      </c>
      <c r="Q195" s="1436">
        <f>Q196</f>
        <v>125560000</v>
      </c>
      <c r="R195" s="1436">
        <f>R196</f>
        <v>0</v>
      </c>
      <c r="S195" s="244">
        <f t="shared" si="24"/>
        <v>1381160000</v>
      </c>
      <c r="T195" s="1437"/>
      <c r="U195" s="198"/>
      <c r="V195" s="81">
        <f>V196+V197+V198</f>
        <v>500000000</v>
      </c>
      <c r="W195" s="81">
        <f>W196+W197+W198</f>
        <v>755600000</v>
      </c>
      <c r="X195" s="243"/>
      <c r="Y195" s="81">
        <f>Y196+Y197+Y198</f>
        <v>1255600000</v>
      </c>
      <c r="Z195" s="81"/>
      <c r="AA195" s="1469"/>
      <c r="AB195" s="1470"/>
      <c r="AC195" s="1471"/>
      <c r="AD195" s="1472"/>
      <c r="AE195" s="1472"/>
      <c r="AF195" s="1472"/>
      <c r="AG195" s="1504"/>
      <c r="AH195" s="198">
        <f>AH196+AH197+AH198</f>
        <v>1255600000</v>
      </c>
      <c r="AI195" s="81" t="s">
        <v>21</v>
      </c>
      <c r="AJ195" s="214">
        <f>Y195+Y200</f>
        <v>1362400000</v>
      </c>
      <c r="AK195" s="1505"/>
      <c r="AL195" s="1506"/>
      <c r="AM195" s="169"/>
      <c r="AN195" s="1507"/>
      <c r="AO195" s="1530"/>
      <c r="AP195" s="10"/>
      <c r="AQ195" s="10">
        <f t="shared" si="23"/>
        <v>0</v>
      </c>
      <c r="AR195" s="10">
        <f t="shared" si="20"/>
        <v>0</v>
      </c>
      <c r="AS195" s="10">
        <f t="shared" si="21"/>
        <v>0</v>
      </c>
      <c r="AT195" s="10">
        <f t="shared" si="22"/>
        <v>0</v>
      </c>
    </row>
    <row r="196" spans="1:46" ht="17.25" customHeight="1">
      <c r="A196" s="10">
        <f>DATA!A186</f>
        <v>133</v>
      </c>
      <c r="B196" s="10">
        <f>DATA!B186</f>
        <v>0</v>
      </c>
      <c r="C196" s="10" t="str">
        <f>DATA!D186</f>
        <v>NON-INFRASTRUKTUR</v>
      </c>
      <c r="D196" s="10">
        <f>DATA!E186</f>
        <v>11</v>
      </c>
      <c r="E196" s="10" t="str">
        <f>DATA!F186</f>
        <v>Kementerian Kesehatan</v>
      </c>
      <c r="F196" s="10" t="str">
        <f>DATA!H186</f>
        <v>Referral Health Services Program</v>
      </c>
      <c r="G196" s="10" t="str">
        <f>DATA!I186</f>
        <v>D</v>
      </c>
      <c r="H196" s="10" t="str">
        <f>DATA!J186</f>
        <v>Program Pelayanan Kesehatan Rujukan</v>
      </c>
      <c r="I196" s="10">
        <f>DATA!K186</f>
        <v>1</v>
      </c>
      <c r="J196" s="181"/>
      <c r="K196" s="34"/>
      <c r="L196" s="34"/>
      <c r="M196" s="3390">
        <v>96</v>
      </c>
      <c r="N196" s="3578" t="str">
        <f>DATA!L186</f>
        <v>Strengthening of National Referral Hospitals, Province Referral Hospital and Vertical Technical Units</v>
      </c>
      <c r="O196" s="3589">
        <f>DATA!T185</f>
        <v>1255600000</v>
      </c>
      <c r="P196" s="3408">
        <f>DATA!U185</f>
        <v>1255600000</v>
      </c>
      <c r="Q196" s="3436">
        <f>DATA!V185</f>
        <v>125560000</v>
      </c>
      <c r="R196" s="3436">
        <f>DATA!W185</f>
        <v>0</v>
      </c>
      <c r="S196" s="3559">
        <f t="shared" si="24"/>
        <v>1381160000</v>
      </c>
      <c r="T196" s="1561"/>
      <c r="U196" s="1449" t="str">
        <f>DATA!Y186</f>
        <v>IDB</v>
      </c>
      <c r="V196" s="77">
        <f>DATA!AA186</f>
        <v>250000000</v>
      </c>
      <c r="W196" s="77"/>
      <c r="X196" s="1450" t="str">
        <f>DATA!Y186</f>
        <v>IDB</v>
      </c>
      <c r="Y196" s="109">
        <v>250000000</v>
      </c>
      <c r="Z196" s="109" t="s">
        <v>58</v>
      </c>
      <c r="AA196" s="1484" t="s">
        <v>879</v>
      </c>
      <c r="AB196" s="828"/>
      <c r="AC196" s="1485"/>
      <c r="AD196" s="1486"/>
      <c r="AE196" s="1486"/>
      <c r="AF196" s="1486"/>
      <c r="AG196" s="1508" t="s">
        <v>1156</v>
      </c>
      <c r="AH196" s="1509">
        <f>DATA!AT186</f>
        <v>250000000</v>
      </c>
      <c r="AI196" s="109" t="str">
        <f>DATA!AU186</f>
        <v>IDB</v>
      </c>
      <c r="AJ196" s="216" t="str">
        <f>DATA!AW186</f>
        <v>co-financing dengan Jerman (KfW) (USD 250 juta) dan belum ada indikasi (USD 755,6 juta)</v>
      </c>
      <c r="AK196" s="245">
        <f>DATA!AM186</f>
        <v>0</v>
      </c>
      <c r="AL196" s="3502" t="str">
        <f>DATA!AN186</f>
        <v>belum ada keterangan</v>
      </c>
      <c r="AM196" s="3502" t="str">
        <f>DATA!AO186</f>
        <v>belum ada keterangan</v>
      </c>
      <c r="AN196" s="1519">
        <f>DATA!AQ186</f>
        <v>0</v>
      </c>
      <c r="AO196" s="3504" t="str">
        <f>DATA!AR186</f>
        <v>belum ada dokumen R/C</v>
      </c>
      <c r="AQ196" s="10">
        <f t="shared" si="23"/>
        <v>0</v>
      </c>
      <c r="AR196" s="10">
        <f t="shared" si="20"/>
        <v>0</v>
      </c>
      <c r="AS196" s="10">
        <f t="shared" si="21"/>
        <v>0</v>
      </c>
      <c r="AT196" s="10">
        <f t="shared" si="22"/>
        <v>0</v>
      </c>
    </row>
    <row r="197" spans="1:46" ht="21.75" customHeight="1">
      <c r="A197" s="10">
        <f>DATA!A187</f>
        <v>134</v>
      </c>
      <c r="B197" s="10">
        <f>DATA!B187</f>
        <v>0</v>
      </c>
      <c r="C197" s="10" t="str">
        <f>DATA!D187</f>
        <v>NON-INFRASTRUKTUR</v>
      </c>
      <c r="D197" s="10">
        <f>DATA!E187</f>
        <v>11</v>
      </c>
      <c r="E197" s="10" t="str">
        <f>DATA!F187</f>
        <v>Kementerian Kesehatan</v>
      </c>
      <c r="F197" s="10" t="str">
        <f>DATA!H187</f>
        <v>Referral Health Services Program</v>
      </c>
      <c r="G197" s="10" t="str">
        <f>DATA!I187</f>
        <v>D</v>
      </c>
      <c r="H197" s="10" t="str">
        <f>DATA!J187</f>
        <v>Program Pelayanan Kesehatan Rujukan</v>
      </c>
      <c r="I197" s="10">
        <f>DATA!K187</f>
        <v>1</v>
      </c>
      <c r="J197" s="181"/>
      <c r="K197" s="34"/>
      <c r="L197" s="34"/>
      <c r="M197" s="3392"/>
      <c r="N197" s="3579"/>
      <c r="O197" s="3590"/>
      <c r="P197" s="3464"/>
      <c r="Q197" s="3469"/>
      <c r="R197" s="3469"/>
      <c r="S197" s="3560"/>
      <c r="T197" s="1562"/>
      <c r="U197" s="1449" t="str">
        <f>DATA!Y187</f>
        <v>Jerman (KfW)</v>
      </c>
      <c r="V197" s="77">
        <f>DATA!AA187</f>
        <v>250000000</v>
      </c>
      <c r="W197" s="77"/>
      <c r="X197" s="1450" t="str">
        <f>DATA!Y187</f>
        <v>Jerman (KfW)</v>
      </c>
      <c r="Y197" s="109">
        <v>250000000</v>
      </c>
      <c r="Z197" s="109" t="s">
        <v>58</v>
      </c>
      <c r="AA197" s="1484" t="s">
        <v>879</v>
      </c>
      <c r="AB197" s="828"/>
      <c r="AC197" s="1485"/>
      <c r="AD197" s="1486"/>
      <c r="AE197" s="1486"/>
      <c r="AF197" s="1486"/>
      <c r="AG197" s="1514"/>
      <c r="AH197" s="1509">
        <f>DATA!AT187</f>
        <v>250000000</v>
      </c>
      <c r="AI197" s="109" t="str">
        <f>DATA!AU187</f>
        <v>Jerman (KfW)</v>
      </c>
      <c r="AJ197" s="216" t="str">
        <f>DATA!AW187</f>
        <v>co-financing dengan IDB (USD 250 juta) dan belum ada indikasi (USD 755,6 juta)</v>
      </c>
      <c r="AK197" s="245">
        <f>DATA!AM187</f>
        <v>0</v>
      </c>
      <c r="AL197" s="3519"/>
      <c r="AM197" s="3519"/>
      <c r="AN197" s="1519">
        <f>DATA!AQ187</f>
        <v>0</v>
      </c>
      <c r="AO197" s="3509"/>
      <c r="AQ197" s="10">
        <f t="shared" si="23"/>
        <v>0</v>
      </c>
      <c r="AR197" s="10">
        <f t="shared" si="20"/>
        <v>0</v>
      </c>
      <c r="AS197" s="10">
        <f t="shared" si="21"/>
        <v>0</v>
      </c>
      <c r="AT197" s="10">
        <f t="shared" si="22"/>
        <v>0</v>
      </c>
    </row>
    <row r="198" spans="1:46" ht="143.25" customHeight="1">
      <c r="A198" s="10">
        <f>DATA!A188</f>
        <v>135</v>
      </c>
      <c r="B198" s="10">
        <f>DATA!B188</f>
        <v>0</v>
      </c>
      <c r="C198" s="10" t="str">
        <f>DATA!D188</f>
        <v>NON-INFRASTRUKTUR</v>
      </c>
      <c r="D198" s="10">
        <f>DATA!E188</f>
        <v>11</v>
      </c>
      <c r="E198" s="10" t="str">
        <f>DATA!F188</f>
        <v>Kementerian Kesehatan</v>
      </c>
      <c r="F198" s="10" t="str">
        <f>DATA!H188</f>
        <v>Referral Health Services Program</v>
      </c>
      <c r="G198" s="10" t="str">
        <f>DATA!I188</f>
        <v>D</v>
      </c>
      <c r="H198" s="10" t="str">
        <f>DATA!J188</f>
        <v>Program Pelayanan Kesehatan Rujukan</v>
      </c>
      <c r="I198" s="10">
        <f>DATA!K188</f>
        <v>1</v>
      </c>
      <c r="J198" s="181"/>
      <c r="K198" s="54"/>
      <c r="L198" s="54"/>
      <c r="M198" s="3391"/>
      <c r="N198" s="3572"/>
      <c r="O198" s="3600"/>
      <c r="P198" s="3465"/>
      <c r="Q198" s="3437"/>
      <c r="R198" s="3437"/>
      <c r="S198" s="3561"/>
      <c r="T198" s="1563"/>
      <c r="U198" s="1449" t="str">
        <f>DATA!Y188</f>
        <v>Belum Ada Indikasi</v>
      </c>
      <c r="V198" s="77">
        <v>0</v>
      </c>
      <c r="W198" s="77">
        <f>DATA!AA188</f>
        <v>755600000</v>
      </c>
      <c r="X198" s="1450" t="str">
        <f>DATA!Y188</f>
        <v>Belum Ada Indikasi</v>
      </c>
      <c r="Y198" s="109">
        <v>755600000</v>
      </c>
      <c r="Z198" s="109" t="s">
        <v>58</v>
      </c>
      <c r="AA198" s="1484" t="s">
        <v>879</v>
      </c>
      <c r="AB198" s="828"/>
      <c r="AC198" s="1485"/>
      <c r="AD198" s="1486"/>
      <c r="AE198" s="1486"/>
      <c r="AF198" s="1486"/>
      <c r="AG198" s="3253" t="s">
        <v>1246</v>
      </c>
      <c r="AH198" s="1509">
        <f>DATA!AT188</f>
        <v>755600000</v>
      </c>
      <c r="AI198" s="109" t="str">
        <f>DATA!AU188</f>
        <v>Belum Ada Indikasi</v>
      </c>
      <c r="AJ198" s="216" t="str">
        <f>DATA!AW188</f>
        <v>co-financing dengan IDB (USD 250 juta) dan Jerman (KfW) (USD 250 juta)</v>
      </c>
      <c r="AK198" s="245">
        <f>DATA!AM188</f>
        <v>0</v>
      </c>
      <c r="AL198" s="3503"/>
      <c r="AM198" s="3503"/>
      <c r="AN198" s="1519">
        <f>DATA!AQ188</f>
        <v>0</v>
      </c>
      <c r="AO198" s="3510"/>
      <c r="AP198" s="4"/>
      <c r="AQ198" s="10">
        <f t="shared" si="23"/>
        <v>0</v>
      </c>
      <c r="AR198" s="10">
        <f t="shared" si="20"/>
        <v>0</v>
      </c>
      <c r="AS198" s="10">
        <f t="shared" si="21"/>
        <v>0</v>
      </c>
      <c r="AT198" s="10">
        <f t="shared" si="22"/>
        <v>0</v>
      </c>
    </row>
    <row r="199" spans="1:46" s="4" customFormat="1" ht="24.95" customHeight="1">
      <c r="J199" s="250"/>
      <c r="K199" s="25">
        <v>14</v>
      </c>
      <c r="L199" s="108" t="str">
        <f>DATA!F189</f>
        <v>Pemprov. Aceh</v>
      </c>
      <c r="M199" s="25"/>
      <c r="N199" s="1416"/>
      <c r="O199" s="213">
        <f t="shared" ref="O199:R200" si="27">+O200</f>
        <v>106800000</v>
      </c>
      <c r="P199" s="194">
        <f t="shared" si="27"/>
        <v>106800000</v>
      </c>
      <c r="Q199" s="194">
        <f t="shared" si="27"/>
        <v>10700000</v>
      </c>
      <c r="R199" s="194">
        <f t="shared" si="27"/>
        <v>0</v>
      </c>
      <c r="S199" s="242">
        <f t="shared" ref="S199:S204" si="28">P199+Q199+R199</f>
        <v>117500000</v>
      </c>
      <c r="T199" s="1434"/>
      <c r="U199" s="195"/>
      <c r="V199" s="80">
        <f t="shared" ref="V199:AI200" si="29">+V200</f>
        <v>106800000</v>
      </c>
      <c r="W199" s="80">
        <f t="shared" si="29"/>
        <v>0</v>
      </c>
      <c r="X199" s="241">
        <f t="shared" si="29"/>
        <v>0</v>
      </c>
      <c r="Y199" s="80">
        <f t="shared" si="29"/>
        <v>106800000</v>
      </c>
      <c r="Z199" s="80"/>
      <c r="AA199" s="1465"/>
      <c r="AB199" s="1466"/>
      <c r="AC199" s="1467"/>
      <c r="AD199" s="1468"/>
      <c r="AE199" s="1468"/>
      <c r="AF199" s="1468"/>
      <c r="AG199" s="1500"/>
      <c r="AH199" s="195">
        <f t="shared" si="29"/>
        <v>106800000</v>
      </c>
      <c r="AI199" s="80" t="str">
        <f t="shared" si="29"/>
        <v>-</v>
      </c>
      <c r="AJ199" s="213"/>
      <c r="AK199" s="1501"/>
      <c r="AL199" s="1502"/>
      <c r="AM199" s="168"/>
      <c r="AN199" s="1503"/>
      <c r="AO199" s="1529"/>
      <c r="AP199" s="5"/>
      <c r="AQ199" s="10">
        <f t="shared" si="23"/>
        <v>0</v>
      </c>
      <c r="AR199" s="10">
        <f t="shared" si="20"/>
        <v>0</v>
      </c>
      <c r="AS199" s="10">
        <f t="shared" si="21"/>
        <v>0</v>
      </c>
      <c r="AT199" s="10">
        <f t="shared" si="22"/>
        <v>0</v>
      </c>
    </row>
    <row r="200" spans="1:46" s="5" customFormat="1" ht="33.75" customHeight="1">
      <c r="J200" s="180"/>
      <c r="K200" s="1670"/>
      <c r="L200" s="30" t="str">
        <f>DATA!I189</f>
        <v>A</v>
      </c>
      <c r="M200" s="31" t="str">
        <f>DATA!J189</f>
        <v>Program Pelayanan Kesehatan Rujukan</v>
      </c>
      <c r="N200" s="1419"/>
      <c r="O200" s="214">
        <f t="shared" si="27"/>
        <v>106800000</v>
      </c>
      <c r="P200" s="197">
        <f t="shared" si="27"/>
        <v>106800000</v>
      </c>
      <c r="Q200" s="1436">
        <f t="shared" si="27"/>
        <v>10700000</v>
      </c>
      <c r="R200" s="1436">
        <f t="shared" si="27"/>
        <v>0</v>
      </c>
      <c r="S200" s="244">
        <f t="shared" si="28"/>
        <v>117500000</v>
      </c>
      <c r="T200" s="1437"/>
      <c r="U200" s="198"/>
      <c r="V200" s="81">
        <f t="shared" si="29"/>
        <v>106800000</v>
      </c>
      <c r="W200" s="81">
        <f t="shared" si="29"/>
        <v>0</v>
      </c>
      <c r="X200" s="243"/>
      <c r="Y200" s="81">
        <f t="shared" si="29"/>
        <v>106800000</v>
      </c>
      <c r="Z200" s="81"/>
      <c r="AA200" s="1469"/>
      <c r="AB200" s="1470"/>
      <c r="AC200" s="1471"/>
      <c r="AD200" s="1472"/>
      <c r="AE200" s="1472"/>
      <c r="AF200" s="1472"/>
      <c r="AG200" s="1504"/>
      <c r="AH200" s="198">
        <f t="shared" si="29"/>
        <v>106800000</v>
      </c>
      <c r="AI200" s="81" t="s">
        <v>21</v>
      </c>
      <c r="AJ200" s="214"/>
      <c r="AK200" s="1505"/>
      <c r="AL200" s="1506"/>
      <c r="AM200" s="169"/>
      <c r="AN200" s="1507"/>
      <c r="AO200" s="1530"/>
      <c r="AP200" s="10"/>
      <c r="AQ200" s="10">
        <f t="shared" si="23"/>
        <v>0</v>
      </c>
      <c r="AR200" s="10">
        <f t="shared" si="20"/>
        <v>0</v>
      </c>
      <c r="AS200" s="10">
        <f t="shared" si="21"/>
        <v>0</v>
      </c>
      <c r="AT200" s="10">
        <f t="shared" si="22"/>
        <v>0</v>
      </c>
    </row>
    <row r="201" spans="1:46" ht="36.75" customHeight="1">
      <c r="A201" s="10">
        <f>DATA!A189</f>
        <v>136</v>
      </c>
      <c r="B201" s="10">
        <f>DATA!B189</f>
        <v>0</v>
      </c>
      <c r="C201" s="10" t="str">
        <f>DATA!D189</f>
        <v>NON-INFRASTRUKTUR</v>
      </c>
      <c r="D201" s="10">
        <f>DATA!E189</f>
        <v>12</v>
      </c>
      <c r="E201" s="10" t="str">
        <f>DATA!F189</f>
        <v>Pemprov. Aceh</v>
      </c>
      <c r="F201" s="10" t="str">
        <f>DATA!H189</f>
        <v>Health Services Referral Program</v>
      </c>
      <c r="G201" s="10" t="str">
        <f>DATA!I189</f>
        <v>A</v>
      </c>
      <c r="H201" s="10" t="str">
        <f>DATA!J189</f>
        <v>Program Pelayanan Kesehatan Rujukan</v>
      </c>
      <c r="I201" s="10">
        <f>DATA!K189</f>
        <v>1</v>
      </c>
      <c r="J201" s="181"/>
      <c r="K201" s="54"/>
      <c r="L201" s="20"/>
      <c r="M201" s="36">
        <v>97</v>
      </c>
      <c r="N201" s="199" t="str">
        <f>DATA!L189</f>
        <v>Reengineering and Improving The Hospital and Referral System in Selected Aceh Districts</v>
      </c>
      <c r="O201" s="1402">
        <f>DATA!T189</f>
        <v>106800000</v>
      </c>
      <c r="P201" s="187">
        <f>DATA!U189</f>
        <v>106800000</v>
      </c>
      <c r="Q201" s="1446">
        <f>DATA!V189</f>
        <v>10700000</v>
      </c>
      <c r="R201" s="1446">
        <f>DATA!W189</f>
        <v>0</v>
      </c>
      <c r="S201" s="1447">
        <f t="shared" si="28"/>
        <v>117500000</v>
      </c>
      <c r="T201" s="1448"/>
      <c r="U201" s="1449" t="str">
        <f>DATA!Y189</f>
        <v>Jerman (KfW)</v>
      </c>
      <c r="V201" s="77">
        <f>DATA!AA189</f>
        <v>106800000</v>
      </c>
      <c r="W201" s="77">
        <v>0</v>
      </c>
      <c r="X201" s="1450" t="str">
        <f>DATA!Y189</f>
        <v>Jerman (KfW)</v>
      </c>
      <c r="Y201" s="109">
        <v>106800000</v>
      </c>
      <c r="Z201" s="109" t="s">
        <v>633</v>
      </c>
      <c r="AA201" s="1484" t="s">
        <v>879</v>
      </c>
      <c r="AB201" s="828"/>
      <c r="AC201" s="1485"/>
      <c r="AD201" s="1486"/>
      <c r="AE201" s="1486"/>
      <c r="AF201" s="1486"/>
      <c r="AG201" s="1514"/>
      <c r="AH201" s="1509">
        <f>DATA!AT189</f>
        <v>106800000</v>
      </c>
      <c r="AI201" s="109" t="str">
        <f>DATA!AU189</f>
        <v>Jerman (KfW)</v>
      </c>
      <c r="AJ201" s="216" t="str">
        <f>DATA!AW189</f>
        <v>-</v>
      </c>
      <c r="AK201" s="245" t="str">
        <f>DATA!AM189</f>
        <v>2016; 2015</v>
      </c>
      <c r="AL201" s="1510" t="str">
        <f>DATA!AN189</f>
        <v>dalam proses
(memiliki FS dan DED)</v>
      </c>
      <c r="AM201" s="1511" t="str">
        <f>DATA!AO189</f>
        <v>siap</v>
      </c>
      <c r="AN201" s="1519">
        <f>DATA!AQ189</f>
        <v>0</v>
      </c>
      <c r="AO201" s="1533" t="str">
        <f>DATA!AR189</f>
        <v>-</v>
      </c>
      <c r="AP201" s="4"/>
      <c r="AQ201" s="10">
        <f t="shared" si="23"/>
        <v>0</v>
      </c>
      <c r="AR201" s="10">
        <f t="shared" si="20"/>
        <v>0</v>
      </c>
      <c r="AS201" s="10">
        <f t="shared" si="21"/>
        <v>106800000</v>
      </c>
      <c r="AT201" s="10">
        <f t="shared" si="22"/>
        <v>0</v>
      </c>
    </row>
    <row r="202" spans="1:46" s="4" customFormat="1" ht="24.95" customHeight="1">
      <c r="J202" s="250"/>
      <c r="K202" s="25">
        <v>15</v>
      </c>
      <c r="L202" s="108" t="str">
        <f>DATA!F190</f>
        <v>Kementerian Pertanian</v>
      </c>
      <c r="M202" s="25"/>
      <c r="N202" s="1416"/>
      <c r="O202" s="213">
        <f>+O203+O208</f>
        <v>1445742600</v>
      </c>
      <c r="P202" s="194">
        <f>+P203+P208</f>
        <v>1445742600</v>
      </c>
      <c r="Q202" s="194">
        <f>+Q203+Q208</f>
        <v>154464300</v>
      </c>
      <c r="R202" s="194">
        <f>+R203+R208</f>
        <v>500000</v>
      </c>
      <c r="S202" s="242">
        <f t="shared" si="28"/>
        <v>1600706900</v>
      </c>
      <c r="T202" s="1434"/>
      <c r="U202" s="195"/>
      <c r="V202" s="80" t="e">
        <f>+V203+V208</f>
        <v>#REF!</v>
      </c>
      <c r="W202" s="80" t="e">
        <f>+W203+W208</f>
        <v>#REF!</v>
      </c>
      <c r="X202" s="241"/>
      <c r="Y202" s="80">
        <f>+Y203+Y208</f>
        <v>1445742600</v>
      </c>
      <c r="Z202" s="80"/>
      <c r="AA202" s="1465"/>
      <c r="AB202" s="1466"/>
      <c r="AC202" s="1467"/>
      <c r="AD202" s="1468"/>
      <c r="AE202" s="1468"/>
      <c r="AF202" s="1468"/>
      <c r="AG202" s="1500"/>
      <c r="AH202" s="195" t="e">
        <f>+AH203+AH208</f>
        <v>#REF!</v>
      </c>
      <c r="AI202" s="80" t="s">
        <v>21</v>
      </c>
      <c r="AJ202" s="213"/>
      <c r="AK202" s="1501"/>
      <c r="AL202" s="1502"/>
      <c r="AM202" s="168"/>
      <c r="AN202" s="1503"/>
      <c r="AO202" s="1529"/>
      <c r="AP202" s="5"/>
      <c r="AQ202" s="10">
        <f t="shared" si="23"/>
        <v>0</v>
      </c>
      <c r="AR202" s="10">
        <f t="shared" si="20"/>
        <v>0</v>
      </c>
      <c r="AS202" s="10">
        <f t="shared" si="21"/>
        <v>0</v>
      </c>
      <c r="AT202" s="10">
        <f t="shared" si="22"/>
        <v>0</v>
      </c>
    </row>
    <row r="203" spans="1:46" s="5" customFormat="1" ht="33.75" customHeight="1">
      <c r="J203" s="180"/>
      <c r="K203" s="29"/>
      <c r="L203" s="30" t="str">
        <f>DATA!I190</f>
        <v>A</v>
      </c>
      <c r="M203" s="3427" t="str">
        <f>DATA!J190</f>
        <v>Program Penyediaan dan Pengembangan Prasarana dan Sarana Pertanian</v>
      </c>
      <c r="N203" s="3556"/>
      <c r="O203" s="214">
        <f>O204+O206</f>
        <v>1346842600</v>
      </c>
      <c r="P203" s="197">
        <f>P204+P206</f>
        <v>1346842600</v>
      </c>
      <c r="Q203" s="197">
        <f>Q204+Q206</f>
        <v>134684300</v>
      </c>
      <c r="R203" s="197">
        <f>R204+R206</f>
        <v>0</v>
      </c>
      <c r="S203" s="244">
        <f t="shared" si="28"/>
        <v>1481526900</v>
      </c>
      <c r="T203" s="1437"/>
      <c r="U203" s="198"/>
      <c r="V203" s="81" t="e">
        <f>V204+V205+#REF!+V206+V207+#REF!</f>
        <v>#REF!</v>
      </c>
      <c r="W203" s="81" t="e">
        <f>W204+W205+#REF!+W206+W207+#REF!</f>
        <v>#REF!</v>
      </c>
      <c r="X203" s="243"/>
      <c r="Y203" s="81">
        <f>Y204+Y205+Y206+Y207</f>
        <v>1346842600</v>
      </c>
      <c r="Z203" s="81"/>
      <c r="AA203" s="1469"/>
      <c r="AB203" s="1470"/>
      <c r="AC203" s="1471"/>
      <c r="AD203" s="1472"/>
      <c r="AE203" s="1472"/>
      <c r="AF203" s="1472"/>
      <c r="AG203" s="1504"/>
      <c r="AH203" s="198" t="e">
        <f>AH204+AH205+#REF!+AH206+AH207+#REF!</f>
        <v>#REF!</v>
      </c>
      <c r="AI203" s="81" t="s">
        <v>21</v>
      </c>
      <c r="AJ203" s="214"/>
      <c r="AK203" s="1505"/>
      <c r="AL203" s="1506"/>
      <c r="AM203" s="169"/>
      <c r="AN203" s="1507"/>
      <c r="AO203" s="1530"/>
      <c r="AP203" s="10"/>
      <c r="AQ203" s="10">
        <f t="shared" si="23"/>
        <v>0</v>
      </c>
      <c r="AR203" s="10">
        <f t="shared" si="20"/>
        <v>0</v>
      </c>
      <c r="AS203" s="10">
        <f t="shared" si="21"/>
        <v>0</v>
      </c>
      <c r="AT203" s="10">
        <f t="shared" si="22"/>
        <v>0</v>
      </c>
    </row>
    <row r="204" spans="1:46" ht="42.75" customHeight="1">
      <c r="J204" s="181"/>
      <c r="K204" s="34"/>
      <c r="L204" s="34"/>
      <c r="M204" s="3390">
        <v>98</v>
      </c>
      <c r="N204" s="3578" t="str">
        <f>DATA!L190</f>
        <v>Extensification of New Paddy Field Area</v>
      </c>
      <c r="O204" s="3598">
        <f>DATA!T190</f>
        <v>811166600</v>
      </c>
      <c r="P204" s="3411">
        <f>DATA!T190</f>
        <v>811166600</v>
      </c>
      <c r="Q204" s="3436">
        <f>DATA!V190</f>
        <v>81116700</v>
      </c>
      <c r="R204" s="3436">
        <f>DATA!W190</f>
        <v>0</v>
      </c>
      <c r="S204" s="3520">
        <f t="shared" si="28"/>
        <v>892283300</v>
      </c>
      <c r="T204" s="3614"/>
      <c r="U204" s="1509" t="str">
        <f>DATA!Y191</f>
        <v>Bank Dunia</v>
      </c>
      <c r="V204" s="1509">
        <f>DATA!AA191</f>
        <v>225000000</v>
      </c>
      <c r="W204" s="77">
        <v>0</v>
      </c>
      <c r="X204" s="1450" t="str">
        <f>DATA!Y191</f>
        <v>Bank Dunia</v>
      </c>
      <c r="Y204" s="109">
        <f>225000000+461166600</f>
        <v>686166600</v>
      </c>
      <c r="Z204" s="109" t="s">
        <v>1154</v>
      </c>
      <c r="AA204" s="1484" t="s">
        <v>1248</v>
      </c>
      <c r="AB204" s="828"/>
      <c r="AC204" s="1485"/>
      <c r="AD204" s="1486"/>
      <c r="AE204" s="1486"/>
      <c r="AF204" s="1486"/>
      <c r="AG204" s="3253" t="s">
        <v>1249</v>
      </c>
      <c r="AH204" s="1509">
        <f>DATA!AT191</f>
        <v>225000000</v>
      </c>
      <c r="AI204" s="109" t="str">
        <f>DATA!AU191</f>
        <v>Belum Ada Indikasi</v>
      </c>
      <c r="AJ204" s="1520" t="str">
        <f>DATA!AW191</f>
        <v xml:space="preserve">- co-financing dengan IDB (USD 125 juta) dan belum ada indikasi (USD 686,2 juta)
- Bank Dunia tidak berminat mendanai kegiatan ini. </v>
      </c>
      <c r="AK204" s="245">
        <f>DATA!AM191</f>
        <v>0</v>
      </c>
      <c r="AL204" s="3502" t="str">
        <f>DATA!AN191</f>
        <v>dalam proses
(penyusunan FS)</v>
      </c>
      <c r="AM204" s="3502" t="str">
        <f>DATA!AO191</f>
        <v>belum ada keterangan</v>
      </c>
      <c r="AN204" s="1519">
        <f>DATA!AQ191</f>
        <v>0</v>
      </c>
      <c r="AO204" s="3504" t="str">
        <f>DATA!AR191</f>
        <v>belum ada dokumen R/C</v>
      </c>
      <c r="AQ204" s="10">
        <f t="shared" si="23"/>
        <v>0</v>
      </c>
      <c r="AR204" s="10">
        <f t="shared" ref="AR204:AR238" si="30">IF(Z204="JICA",Y204,0)</f>
        <v>0</v>
      </c>
      <c r="AS204" s="10">
        <f t="shared" ref="AS204:AS238" si="31">IF(Z204="Belum ada indikasi",Y204,0)</f>
        <v>0</v>
      </c>
      <c r="AT204" s="10">
        <f t="shared" ref="AT204:AT238" si="32">IF(Z204="Korea",Y204,0)</f>
        <v>0</v>
      </c>
    </row>
    <row r="205" spans="1:46" ht="51">
      <c r="J205" s="181"/>
      <c r="K205" s="34"/>
      <c r="L205" s="34"/>
      <c r="M205" s="3392"/>
      <c r="N205" s="3579"/>
      <c r="O205" s="3601"/>
      <c r="P205" s="3412"/>
      <c r="Q205" s="3469"/>
      <c r="R205" s="3469"/>
      <c r="S205" s="3608"/>
      <c r="T205" s="3615"/>
      <c r="U205" s="1509" t="str">
        <f>DATA!Y192</f>
        <v>IDB</v>
      </c>
      <c r="V205" s="1509">
        <f>DATA!AA192</f>
        <v>125000000</v>
      </c>
      <c r="W205" s="77">
        <v>0</v>
      </c>
      <c r="X205" s="1450" t="str">
        <f>DATA!Y192</f>
        <v>IDB</v>
      </c>
      <c r="Y205" s="109">
        <v>125000000</v>
      </c>
      <c r="Z205" s="109" t="s">
        <v>58</v>
      </c>
      <c r="AA205" s="1484" t="s">
        <v>1248</v>
      </c>
      <c r="AB205" s="828"/>
      <c r="AC205" s="1485"/>
      <c r="AD205" s="1486"/>
      <c r="AE205" s="1486"/>
      <c r="AF205" s="1486"/>
      <c r="AG205" s="1508" t="s">
        <v>1250</v>
      </c>
      <c r="AH205" s="1509">
        <f>DATA!AT192</f>
        <v>125000000</v>
      </c>
      <c r="AI205" s="109" t="str">
        <f>DATA!AU192</f>
        <v>IDB</v>
      </c>
      <c r="AJ205" s="1520" t="str">
        <f>DATA!AW192</f>
        <v xml:space="preserve">terdapat sisa pendanaan yang belum ada indikasi lender (USD 686,2 juta)
</v>
      </c>
      <c r="AK205" s="245">
        <f>DATA!AM192</f>
        <v>0</v>
      </c>
      <c r="AL205" s="3503"/>
      <c r="AM205" s="3503"/>
      <c r="AN205" s="1519">
        <f>DATA!AQ192</f>
        <v>0</v>
      </c>
      <c r="AO205" s="3510"/>
      <c r="AQ205" s="10">
        <f t="shared" si="23"/>
        <v>0</v>
      </c>
      <c r="AR205" s="10">
        <f t="shared" si="30"/>
        <v>0</v>
      </c>
      <c r="AS205" s="10">
        <f t="shared" si="31"/>
        <v>0</v>
      </c>
      <c r="AT205" s="10">
        <f t="shared" si="32"/>
        <v>0</v>
      </c>
    </row>
    <row r="206" spans="1:46" ht="31.5" customHeight="1">
      <c r="A206" s="10">
        <f>DATA!A195</f>
        <v>140</v>
      </c>
      <c r="B206" s="10">
        <f>DATA!B195</f>
        <v>0</v>
      </c>
      <c r="C206" s="10" t="str">
        <f>DATA!D195</f>
        <v>NON-INFRASTRUKTUR</v>
      </c>
      <c r="D206" s="10">
        <f>DATA!E195</f>
        <v>13</v>
      </c>
      <c r="E206" s="10" t="str">
        <f>DATA!F195</f>
        <v>Kementerian Pertanian</v>
      </c>
      <c r="F206" s="10" t="str">
        <f>DATA!H195</f>
        <v>Provision and Development of Agriculture Infrastructure Program</v>
      </c>
      <c r="G206" s="10" t="str">
        <f>DATA!I195</f>
        <v>A</v>
      </c>
      <c r="H206" s="10" t="str">
        <f>DATA!J195</f>
        <v>Program Penyediaan dan Pengembangan Prasarana dan Sarana Pertanian</v>
      </c>
      <c r="I206" s="10">
        <f>DATA!K195</f>
        <v>2</v>
      </c>
      <c r="J206" s="181"/>
      <c r="K206" s="34"/>
      <c r="L206" s="34"/>
      <c r="M206" s="3390">
        <v>99</v>
      </c>
      <c r="N206" s="3578" t="str">
        <f>DATA!L194</f>
        <v>Upland Development for National Food Security</v>
      </c>
      <c r="O206" s="3589">
        <f>DATA!T194</f>
        <v>535676000</v>
      </c>
      <c r="P206" s="3408">
        <f>DATA!U194</f>
        <v>535676000</v>
      </c>
      <c r="Q206" s="3436">
        <f>DATA!V194</f>
        <v>53567600</v>
      </c>
      <c r="R206" s="3436">
        <f>DATA!W194</f>
        <v>0</v>
      </c>
      <c r="S206" s="3609">
        <f>P206+Q206+R206</f>
        <v>589243600</v>
      </c>
      <c r="T206" s="3614"/>
      <c r="U206" s="1449" t="str">
        <f>DATA!Y195</f>
        <v>Bank Dunia</v>
      </c>
      <c r="V206" s="77">
        <f>DATA!AA195</f>
        <v>125000000</v>
      </c>
      <c r="W206" s="77">
        <v>0</v>
      </c>
      <c r="X206" s="1450" t="str">
        <f>DATA!Y195</f>
        <v>Bank Dunia</v>
      </c>
      <c r="Y206" s="109">
        <f>125000000+285676000</f>
        <v>410676000</v>
      </c>
      <c r="Z206" s="109" t="s">
        <v>1154</v>
      </c>
      <c r="AA206" s="1484" t="s">
        <v>1248</v>
      </c>
      <c r="AB206" s="828"/>
      <c r="AC206" s="1485"/>
      <c r="AD206" s="1486"/>
      <c r="AE206" s="1486"/>
      <c r="AF206" s="1486"/>
      <c r="AG206" s="1508" t="s">
        <v>1251</v>
      </c>
      <c r="AH206" s="1509">
        <f>DATA!AT195</f>
        <v>125000000</v>
      </c>
      <c r="AI206" s="109" t="str">
        <f>DATA!AU195</f>
        <v>Belum Ada Indikasi</v>
      </c>
      <c r="AJ206" s="1520" t="str">
        <f>DATA!AW195</f>
        <v xml:space="preserve">- co-financing dengan IDB (USD 125 juta) dan belum ada indikasi (USD 410,7 juta)
Bank Dunia tidak berminat mendanai kegiatan ini. </v>
      </c>
      <c r="AK206" s="245">
        <f>DATA!AM195</f>
        <v>0</v>
      </c>
      <c r="AL206" s="3502" t="str">
        <f>DATA!AN195</f>
        <v>dalam proses
(penyusunan FS)</v>
      </c>
      <c r="AM206" s="3502" t="str">
        <f>DATA!AO195</f>
        <v>belum ada keterangan</v>
      </c>
      <c r="AN206" s="1519">
        <f>DATA!AQ195</f>
        <v>0</v>
      </c>
      <c r="AO206" s="3504" t="str">
        <f>DATA!AR195</f>
        <v>belum ada dokumen R/C</v>
      </c>
      <c r="AQ206" s="10">
        <f t="shared" si="23"/>
        <v>0</v>
      </c>
      <c r="AR206" s="10">
        <f t="shared" si="30"/>
        <v>0</v>
      </c>
      <c r="AS206" s="10">
        <f t="shared" si="31"/>
        <v>0</v>
      </c>
      <c r="AT206" s="10">
        <f t="shared" si="32"/>
        <v>0</v>
      </c>
    </row>
    <row r="207" spans="1:46" ht="51">
      <c r="A207" s="10">
        <f>DATA!A196</f>
        <v>141</v>
      </c>
      <c r="B207" s="10">
        <f>DATA!B196</f>
        <v>0</v>
      </c>
      <c r="C207" s="10" t="str">
        <f>DATA!D196</f>
        <v>NON-INFRASTRUKTUR</v>
      </c>
      <c r="D207" s="10">
        <f>DATA!E196</f>
        <v>13</v>
      </c>
      <c r="E207" s="10" t="str">
        <f>DATA!F196</f>
        <v>Kementerian Pertanian</v>
      </c>
      <c r="F207" s="10" t="str">
        <f>DATA!H196</f>
        <v>Provision and Development of Agriculture Infrastructure Program</v>
      </c>
      <c r="G207" s="10" t="str">
        <f>DATA!I196</f>
        <v>A</v>
      </c>
      <c r="H207" s="10" t="str">
        <f>DATA!J196</f>
        <v>Program Penyediaan dan Pengembangan Prasarana dan Sarana Pertanian</v>
      </c>
      <c r="I207" s="10">
        <f>DATA!K196</f>
        <v>2</v>
      </c>
      <c r="J207" s="181"/>
      <c r="K207" s="34"/>
      <c r="L207" s="34"/>
      <c r="M207" s="3392"/>
      <c r="N207" s="3579"/>
      <c r="O207" s="3590"/>
      <c r="P207" s="3464"/>
      <c r="Q207" s="3469"/>
      <c r="R207" s="3469"/>
      <c r="S207" s="3610"/>
      <c r="T207" s="3615"/>
      <c r="U207" s="1449" t="str">
        <f>DATA!Y196</f>
        <v>IDB</v>
      </c>
      <c r="V207" s="77">
        <f>DATA!AA196</f>
        <v>125000000</v>
      </c>
      <c r="W207" s="77">
        <v>0</v>
      </c>
      <c r="X207" s="1450" t="str">
        <f>DATA!Y196</f>
        <v>IDB</v>
      </c>
      <c r="Y207" s="109">
        <v>125000000</v>
      </c>
      <c r="Z207" s="109" t="s">
        <v>58</v>
      </c>
      <c r="AA207" s="1484" t="s">
        <v>1248</v>
      </c>
      <c r="AB207" s="828"/>
      <c r="AC207" s="1485"/>
      <c r="AD207" s="1486"/>
      <c r="AE207" s="1486"/>
      <c r="AF207" s="1486"/>
      <c r="AG207" s="1508" t="s">
        <v>1252</v>
      </c>
      <c r="AH207" s="1509">
        <f>DATA!AT196</f>
        <v>125000000</v>
      </c>
      <c r="AI207" s="109" t="str">
        <f>DATA!AU196</f>
        <v>IDB</v>
      </c>
      <c r="AJ207" s="1520" t="str">
        <f>DATA!AW196</f>
        <v xml:space="preserve">terdapat sisa pendanaan yang belum ada indikasi lender (USD 410,7 juta)
</v>
      </c>
      <c r="AK207" s="245">
        <f>DATA!AM196</f>
        <v>0</v>
      </c>
      <c r="AL207" s="3503"/>
      <c r="AM207" s="3503"/>
      <c r="AN207" s="1519">
        <f>DATA!AQ196</f>
        <v>0</v>
      </c>
      <c r="AO207" s="3510"/>
      <c r="AP207" s="10">
        <f>68900000+30500000</f>
        <v>99400000</v>
      </c>
      <c r="AQ207" s="10">
        <f t="shared" si="23"/>
        <v>0</v>
      </c>
      <c r="AR207" s="10">
        <f t="shared" si="30"/>
        <v>0</v>
      </c>
      <c r="AS207" s="10">
        <f t="shared" si="31"/>
        <v>0</v>
      </c>
      <c r="AT207" s="10">
        <f t="shared" si="32"/>
        <v>0</v>
      </c>
    </row>
    <row r="208" spans="1:46" s="5" customFormat="1" ht="33.75" customHeight="1">
      <c r="J208" s="180"/>
      <c r="K208" s="50"/>
      <c r="L208" s="30" t="str">
        <f>DATA!I198</f>
        <v>B</v>
      </c>
      <c r="M208" s="3427" t="str">
        <f>DATA!J198</f>
        <v>Program Peningkatan Penyuluhan, Pendidikan, dan Pelatihan Pertanian</v>
      </c>
      <c r="N208" s="3556"/>
      <c r="O208" s="214">
        <f>+O209+O210</f>
        <v>98900000</v>
      </c>
      <c r="P208" s="197">
        <f>+P209+P210</f>
        <v>98900000</v>
      </c>
      <c r="Q208" s="1436">
        <f>+Q209+Q210</f>
        <v>19780000</v>
      </c>
      <c r="R208" s="1436">
        <f>+R209+R210</f>
        <v>500000</v>
      </c>
      <c r="S208" s="244">
        <f t="shared" ref="S208:S239" si="33">P208+Q208+R208</f>
        <v>119180000</v>
      </c>
      <c r="T208" s="1437"/>
      <c r="U208" s="198"/>
      <c r="V208" s="81">
        <f>+V209+V210</f>
        <v>98900000</v>
      </c>
      <c r="W208" s="81">
        <f>+W209+W210</f>
        <v>0</v>
      </c>
      <c r="X208" s="243"/>
      <c r="Y208" s="81">
        <f>+Y209+Y210</f>
        <v>98900000</v>
      </c>
      <c r="Z208" s="81"/>
      <c r="AA208" s="1469"/>
      <c r="AB208" s="1470"/>
      <c r="AC208" s="1471"/>
      <c r="AD208" s="1472"/>
      <c r="AE208" s="1472"/>
      <c r="AF208" s="1472"/>
      <c r="AG208" s="1504"/>
      <c r="AH208" s="198">
        <f>+AH209+AH210</f>
        <v>98900000</v>
      </c>
      <c r="AI208" s="81" t="s">
        <v>21</v>
      </c>
      <c r="AJ208" s="214"/>
      <c r="AK208" s="1505"/>
      <c r="AL208" s="1506"/>
      <c r="AM208" s="169"/>
      <c r="AN208" s="1507"/>
      <c r="AO208" s="1530"/>
      <c r="AP208" s="10"/>
      <c r="AQ208" s="10">
        <f t="shared" si="23"/>
        <v>0</v>
      </c>
      <c r="AR208" s="10">
        <f t="shared" si="30"/>
        <v>0</v>
      </c>
      <c r="AS208" s="10">
        <f t="shared" si="31"/>
        <v>0</v>
      </c>
      <c r="AT208" s="10">
        <f t="shared" si="32"/>
        <v>0</v>
      </c>
    </row>
    <row r="209" spans="1:46" ht="63.75" customHeight="1">
      <c r="A209" s="10">
        <f>DATA!A198</f>
        <v>143</v>
      </c>
      <c r="B209" s="10">
        <f>DATA!B198</f>
        <v>0</v>
      </c>
      <c r="C209" s="10" t="str">
        <f>DATA!D198</f>
        <v>NON-INFRASTRUKTUR</v>
      </c>
      <c r="D209" s="10">
        <f>DATA!E198</f>
        <v>13</v>
      </c>
      <c r="E209" s="10" t="str">
        <f>DATA!F198</f>
        <v>Kementerian Pertanian</v>
      </c>
      <c r="F209" s="10" t="str">
        <f>DATA!H198</f>
        <v>Agriculture Extention, Education, and Training Improvement Program</v>
      </c>
      <c r="G209" s="10" t="str">
        <f>DATA!I198</f>
        <v>B</v>
      </c>
      <c r="H209" s="10" t="str">
        <f>DATA!J198</f>
        <v>Program Peningkatan Penyuluhan, Pendidikan, dan Pelatihan Pertanian</v>
      </c>
      <c r="I209" s="10">
        <f>DATA!K198</f>
        <v>1</v>
      </c>
      <c r="J209" s="181"/>
      <c r="K209" s="34"/>
      <c r="L209" s="35"/>
      <c r="M209" s="36">
        <v>100</v>
      </c>
      <c r="N209" s="199" t="str">
        <f>DATA!L198</f>
        <v>Young Enterpreneur Growth and Development for Sustainable Agricultural Development</v>
      </c>
      <c r="O209" s="1402">
        <f>DATA!T198</f>
        <v>68900000</v>
      </c>
      <c r="P209" s="187">
        <f>DATA!U198</f>
        <v>68900000</v>
      </c>
      <c r="Q209" s="1446">
        <f>DATA!V198</f>
        <v>13780000</v>
      </c>
      <c r="R209" s="1446">
        <f>DATA!W198</f>
        <v>0</v>
      </c>
      <c r="S209" s="1447">
        <f t="shared" si="33"/>
        <v>82680000</v>
      </c>
      <c r="T209" s="1448"/>
      <c r="U209" s="1449" t="str">
        <f>DATA!Y198</f>
        <v>IFAD</v>
      </c>
      <c r="V209" s="77">
        <f>DATA!AA198</f>
        <v>68900000</v>
      </c>
      <c r="W209" s="77">
        <v>0</v>
      </c>
      <c r="X209" s="1450" t="str">
        <f>DATA!Y198</f>
        <v>IFAD</v>
      </c>
      <c r="Y209" s="618">
        <v>68900000</v>
      </c>
      <c r="Z209" s="109" t="s">
        <v>170</v>
      </c>
      <c r="AA209" s="1484" t="s">
        <v>1204</v>
      </c>
      <c r="AB209" s="828"/>
      <c r="AC209" s="1485"/>
      <c r="AD209" s="1486"/>
      <c r="AE209" s="1486"/>
      <c r="AF209" s="1486"/>
      <c r="AG209" s="1508" t="s">
        <v>1253</v>
      </c>
      <c r="AH209" s="1509">
        <f>DATA!AT198</f>
        <v>68900000</v>
      </c>
      <c r="AI209" s="109" t="str">
        <f>DATA!AU198</f>
        <v>IFAD</v>
      </c>
      <c r="AJ209" s="216" t="str">
        <f>DATA!AW198</f>
        <v>-</v>
      </c>
      <c r="AK209" s="245">
        <f>DATA!AM198</f>
        <v>0</v>
      </c>
      <c r="AL209" s="1510" t="str">
        <f>DATA!AN198</f>
        <v>belum ada keterangan</v>
      </c>
      <c r="AM209" s="1511" t="str">
        <f>DATA!AO198</f>
        <v>belum ada keterangan</v>
      </c>
      <c r="AN209" s="1519">
        <f>DATA!AQ198</f>
        <v>0</v>
      </c>
      <c r="AO209" s="1533" t="str">
        <f>DATA!AR198</f>
        <v>belum ada dokumen R/C</v>
      </c>
      <c r="AQ209" s="10">
        <f t="shared" si="23"/>
        <v>0</v>
      </c>
      <c r="AR209" s="10">
        <f t="shared" si="30"/>
        <v>0</v>
      </c>
      <c r="AS209" s="10">
        <f t="shared" si="31"/>
        <v>0</v>
      </c>
      <c r="AT209" s="10">
        <f t="shared" si="32"/>
        <v>0</v>
      </c>
    </row>
    <row r="210" spans="1:46" ht="120" customHeight="1">
      <c r="A210" s="10">
        <f>DATA!A199</f>
        <v>144</v>
      </c>
      <c r="B210" s="10">
        <f>DATA!B199</f>
        <v>0</v>
      </c>
      <c r="C210" s="10" t="str">
        <f>DATA!D199</f>
        <v>NON-INFRASTRUKTUR</v>
      </c>
      <c r="D210" s="10">
        <f>DATA!E199</f>
        <v>13</v>
      </c>
      <c r="E210" s="10" t="str">
        <f>DATA!F199</f>
        <v>Kementerian Pertanian</v>
      </c>
      <c r="F210" s="10" t="str">
        <f>DATA!H199</f>
        <v>Agriculture Extention, Education, and Training Improvement Program</v>
      </c>
      <c r="G210" s="10" t="str">
        <f>DATA!I199</f>
        <v>B</v>
      </c>
      <c r="H210" s="10" t="str">
        <f>DATA!J199</f>
        <v>Program Peningkatan Penyuluhan, Pendidikan, dan Pelatihan Pertanian</v>
      </c>
      <c r="I210" s="10">
        <f>DATA!K199</f>
        <v>2</v>
      </c>
      <c r="J210" s="181"/>
      <c r="K210" s="54"/>
      <c r="L210" s="54"/>
      <c r="M210" s="36">
        <v>101</v>
      </c>
      <c r="N210" s="199" t="str">
        <f>DATA!L199</f>
        <v>Rural Empowerment and Agricultural Development (READ) Programme in Sulawesi Island – Phase II</v>
      </c>
      <c r="O210" s="1402">
        <f>DATA!T199</f>
        <v>30000000</v>
      </c>
      <c r="P210" s="187">
        <f>DATA!U199</f>
        <v>30000000</v>
      </c>
      <c r="Q210" s="1446">
        <f>DATA!V199</f>
        <v>6000000</v>
      </c>
      <c r="R210" s="1446">
        <f>DATA!W199</f>
        <v>500000</v>
      </c>
      <c r="S210" s="1447">
        <f t="shared" si="33"/>
        <v>36500000</v>
      </c>
      <c r="T210" s="1448"/>
      <c r="U210" s="1449" t="str">
        <f>DATA!Y199</f>
        <v>IFAD</v>
      </c>
      <c r="V210" s="77">
        <f>DATA!AA199</f>
        <v>30000000</v>
      </c>
      <c r="W210" s="77">
        <v>0</v>
      </c>
      <c r="X210" s="1450" t="str">
        <f>DATA!Y199</f>
        <v>IFAD</v>
      </c>
      <c r="Y210" s="618">
        <v>30000000</v>
      </c>
      <c r="Z210" s="109" t="s">
        <v>170</v>
      </c>
      <c r="AA210" s="3254" t="s">
        <v>1254</v>
      </c>
      <c r="AB210" s="1474"/>
      <c r="AC210" s="1475"/>
      <c r="AD210" s="1476"/>
      <c r="AE210" s="1476"/>
      <c r="AF210" s="1476"/>
      <c r="AG210" s="3253" t="s">
        <v>1255</v>
      </c>
      <c r="AH210" s="1509">
        <f>DATA!AT199</f>
        <v>30000000</v>
      </c>
      <c r="AI210" s="109" t="str">
        <f>DATA!AU199</f>
        <v>IFAD</v>
      </c>
      <c r="AJ210" s="216" t="str">
        <f>DATA!AW199</f>
        <v>-</v>
      </c>
      <c r="AK210" s="245">
        <f>DATA!AM199</f>
        <v>0</v>
      </c>
      <c r="AL210" s="1510" t="str">
        <f>DATA!AN199</f>
        <v>belum ada keterangan</v>
      </c>
      <c r="AM210" s="1511" t="str">
        <f>DATA!AO199</f>
        <v>belum ada keterangan</v>
      </c>
      <c r="AN210" s="1519">
        <f>DATA!AQ199</f>
        <v>0</v>
      </c>
      <c r="AO210" s="1533" t="str">
        <f>DATA!AR199</f>
        <v>belum ada dokumen R/C</v>
      </c>
      <c r="AP210" s="4"/>
      <c r="AQ210" s="10">
        <f t="shared" si="23"/>
        <v>0</v>
      </c>
      <c r="AR210" s="10">
        <f t="shared" si="30"/>
        <v>0</v>
      </c>
      <c r="AS210" s="10">
        <f t="shared" si="31"/>
        <v>0</v>
      </c>
      <c r="AT210" s="10">
        <f t="shared" si="32"/>
        <v>0</v>
      </c>
    </row>
    <row r="211" spans="1:46" s="4" customFormat="1" ht="24.95" customHeight="1">
      <c r="J211" s="250"/>
      <c r="K211" s="25">
        <v>16</v>
      </c>
      <c r="L211" s="108" t="str">
        <f>DATA!F200</f>
        <v>Kementerian Ketenagakerjaan</v>
      </c>
      <c r="M211" s="25"/>
      <c r="N211" s="1416"/>
      <c r="O211" s="213">
        <f t="shared" ref="O211:R212" si="34">+O212</f>
        <v>92308000</v>
      </c>
      <c r="P211" s="194">
        <f t="shared" si="34"/>
        <v>92308000</v>
      </c>
      <c r="Q211" s="194">
        <f t="shared" si="34"/>
        <v>2500000</v>
      </c>
      <c r="R211" s="194">
        <f t="shared" si="34"/>
        <v>0</v>
      </c>
      <c r="S211" s="242">
        <f t="shared" si="33"/>
        <v>94808000</v>
      </c>
      <c r="T211" s="1434"/>
      <c r="U211" s="1451" t="str">
        <f t="shared" ref="U211:W212" si="35">+U212</f>
        <v>-</v>
      </c>
      <c r="V211" s="80">
        <f t="shared" si="35"/>
        <v>92308000</v>
      </c>
      <c r="W211" s="80">
        <f t="shared" si="35"/>
        <v>0</v>
      </c>
      <c r="X211" s="241"/>
      <c r="Y211" s="80">
        <f>+Y212</f>
        <v>92308000</v>
      </c>
      <c r="Z211" s="80"/>
      <c r="AA211" s="1465"/>
      <c r="AB211" s="1466"/>
      <c r="AC211" s="1467"/>
      <c r="AD211" s="1468"/>
      <c r="AE211" s="1468"/>
      <c r="AF211" s="1468"/>
      <c r="AG211" s="1500"/>
      <c r="AH211" s="195">
        <f>+AH212</f>
        <v>92308000</v>
      </c>
      <c r="AI211" s="80" t="s">
        <v>21</v>
      </c>
      <c r="AJ211" s="213"/>
      <c r="AK211" s="1501"/>
      <c r="AL211" s="1502"/>
      <c r="AM211" s="168"/>
      <c r="AN211" s="1503"/>
      <c r="AO211" s="1529"/>
      <c r="AP211" s="5"/>
      <c r="AQ211" s="10">
        <f t="shared" si="23"/>
        <v>0</v>
      </c>
      <c r="AR211" s="10">
        <f t="shared" si="30"/>
        <v>0</v>
      </c>
      <c r="AS211" s="10">
        <f t="shared" si="31"/>
        <v>0</v>
      </c>
      <c r="AT211" s="10">
        <f t="shared" si="32"/>
        <v>0</v>
      </c>
    </row>
    <row r="212" spans="1:46" s="5" customFormat="1" ht="37.5" customHeight="1">
      <c r="J212" s="180"/>
      <c r="K212" s="29"/>
      <c r="L212" s="30" t="str">
        <f>DATA!I206</f>
        <v>A</v>
      </c>
      <c r="M212" s="3427" t="str">
        <f>DATA!J200</f>
        <v>Program Peningkatan Daya Saing Tenaga Kerja</v>
      </c>
      <c r="N212" s="3556"/>
      <c r="O212" s="214">
        <f t="shared" si="34"/>
        <v>92308000</v>
      </c>
      <c r="P212" s="197">
        <f t="shared" si="34"/>
        <v>92308000</v>
      </c>
      <c r="Q212" s="1436">
        <f t="shared" si="34"/>
        <v>2500000</v>
      </c>
      <c r="R212" s="1436">
        <f t="shared" si="34"/>
        <v>0</v>
      </c>
      <c r="S212" s="244">
        <f t="shared" si="33"/>
        <v>94808000</v>
      </c>
      <c r="T212" s="1437"/>
      <c r="U212" s="1452" t="s">
        <v>21</v>
      </c>
      <c r="V212" s="81">
        <f t="shared" si="35"/>
        <v>92308000</v>
      </c>
      <c r="W212" s="81">
        <f t="shared" si="35"/>
        <v>0</v>
      </c>
      <c r="X212" s="243"/>
      <c r="Y212" s="81">
        <f>+Y213</f>
        <v>92308000</v>
      </c>
      <c r="Z212" s="81"/>
      <c r="AA212" s="1469"/>
      <c r="AB212" s="1470"/>
      <c r="AC212" s="1471"/>
      <c r="AD212" s="1472"/>
      <c r="AE212" s="1472"/>
      <c r="AF212" s="1472"/>
      <c r="AG212" s="1504"/>
      <c r="AH212" s="198">
        <f>+AH213</f>
        <v>92308000</v>
      </c>
      <c r="AI212" s="81" t="s">
        <v>21</v>
      </c>
      <c r="AJ212" s="214"/>
      <c r="AK212" s="1505"/>
      <c r="AL212" s="1506"/>
      <c r="AM212" s="169"/>
      <c r="AN212" s="1507"/>
      <c r="AO212" s="1530"/>
      <c r="AP212" s="10"/>
      <c r="AQ212" s="10">
        <f t="shared" ref="AQ212:AQ238" si="36">IF(Z212="RRT",Y212,0)</f>
        <v>0</v>
      </c>
      <c r="AR212" s="10">
        <f t="shared" si="30"/>
        <v>0</v>
      </c>
      <c r="AS212" s="10">
        <f t="shared" si="31"/>
        <v>0</v>
      </c>
      <c r="AT212" s="10">
        <f t="shared" si="32"/>
        <v>0</v>
      </c>
    </row>
    <row r="213" spans="1:46" ht="72" customHeight="1">
      <c r="A213" s="10">
        <f>DATA!A200</f>
        <v>145</v>
      </c>
      <c r="B213" s="10">
        <f>DATA!B200</f>
        <v>0</v>
      </c>
      <c r="C213" s="10" t="str">
        <f>DATA!D200</f>
        <v>NON-INFRASTRUKTUR</v>
      </c>
      <c r="D213" s="10">
        <f>DATA!E200</f>
        <v>14</v>
      </c>
      <c r="E213" s="10" t="str">
        <f>DATA!F200</f>
        <v>Kementerian Ketenagakerjaan</v>
      </c>
      <c r="F213" s="10" t="str">
        <f>DATA!H200</f>
        <v>Improving Labor Competitiveness Program</v>
      </c>
      <c r="G213" s="10" t="str">
        <f>DATA!I200</f>
        <v>A</v>
      </c>
      <c r="H213" s="10" t="str">
        <f>DATA!J200</f>
        <v>Program Peningkatan Daya Saing Tenaga Kerja</v>
      </c>
      <c r="I213" s="10">
        <f>DATA!K200</f>
        <v>1</v>
      </c>
      <c r="J213" s="181"/>
      <c r="K213" s="54"/>
      <c r="L213" s="20"/>
      <c r="M213" s="36">
        <v>102</v>
      </c>
      <c r="N213" s="199" t="str">
        <f>DATA!L200</f>
        <v>Development of Maritime Vocational Training Centers</v>
      </c>
      <c r="O213" s="1402">
        <f>DATA!T200</f>
        <v>92308000</v>
      </c>
      <c r="P213" s="187">
        <f>DATA!U200</f>
        <v>92308000</v>
      </c>
      <c r="Q213" s="1453">
        <f>DATA!V200</f>
        <v>2500000</v>
      </c>
      <c r="R213" s="1453">
        <f>DATA!W200</f>
        <v>0</v>
      </c>
      <c r="S213" s="1447">
        <f t="shared" si="33"/>
        <v>94808000</v>
      </c>
      <c r="T213" s="1448"/>
      <c r="U213" s="1449" t="str">
        <f>DATA!Y200</f>
        <v>Austria/ JICA/ Singapura</v>
      </c>
      <c r="V213" s="77">
        <f>DATA!AA200</f>
        <v>92308000</v>
      </c>
      <c r="W213" s="77">
        <f>DATA!AG200</f>
        <v>0</v>
      </c>
      <c r="X213" s="1450" t="str">
        <f>DATA!Y200</f>
        <v>Austria/ JICA/ Singapura</v>
      </c>
      <c r="Y213" s="109">
        <v>92308000</v>
      </c>
      <c r="Z213" s="109" t="s">
        <v>1256</v>
      </c>
      <c r="AA213" s="1484" t="s">
        <v>879</v>
      </c>
      <c r="AB213" s="828"/>
      <c r="AC213" s="1485"/>
      <c r="AD213" s="1486"/>
      <c r="AE213" s="1486"/>
      <c r="AF213" s="1486"/>
      <c r="AG213" s="3258" t="s">
        <v>1257</v>
      </c>
      <c r="AH213" s="1509">
        <f>DATA!AT200</f>
        <v>92308000</v>
      </c>
      <c r="AI213" s="109" t="str">
        <f>DATA!AU200</f>
        <v>Austria/ JICA/ Singapura</v>
      </c>
      <c r="AJ213" s="1520" t="str">
        <f>DATA!AW200</f>
        <v>belum ada konfirmasi lender yang berminat</v>
      </c>
      <c r="AK213" s="245">
        <f>DATA!AM200</f>
        <v>0</v>
      </c>
      <c r="AL213" s="1510" t="str">
        <f>DATA!AN200</f>
        <v>belum ada keterangan</v>
      </c>
      <c r="AM213" s="1511" t="str">
        <f>DATA!AO200</f>
        <v>belum ada keterangan</v>
      </c>
      <c r="AN213" s="1519">
        <f>DATA!AQ200</f>
        <v>0</v>
      </c>
      <c r="AO213" s="1533" t="str">
        <f>DATA!AR200</f>
        <v>belum ada dokumen R/C</v>
      </c>
      <c r="AP213" s="4"/>
      <c r="AQ213" s="10">
        <f t="shared" si="36"/>
        <v>0</v>
      </c>
      <c r="AR213" s="10">
        <f t="shared" si="30"/>
        <v>0</v>
      </c>
      <c r="AS213" s="10">
        <f t="shared" si="31"/>
        <v>0</v>
      </c>
      <c r="AT213" s="10">
        <f t="shared" si="32"/>
        <v>0</v>
      </c>
    </row>
    <row r="214" spans="1:46" s="4" customFormat="1" ht="24.95" customHeight="1">
      <c r="J214" s="250"/>
      <c r="K214" s="25">
        <v>17</v>
      </c>
      <c r="L214" s="108" t="str">
        <f>DATA!F201</f>
        <v>Kementerian Kelautan dan Perikanan</v>
      </c>
      <c r="M214" s="25"/>
      <c r="N214" s="1416"/>
      <c r="O214" s="213">
        <f t="shared" ref="O214:R215" si="37">+O215</f>
        <v>107000000</v>
      </c>
      <c r="P214" s="194">
        <f t="shared" si="37"/>
        <v>107000000</v>
      </c>
      <c r="Q214" s="194">
        <f t="shared" si="37"/>
        <v>4261000</v>
      </c>
      <c r="R214" s="194">
        <f t="shared" si="37"/>
        <v>2160000</v>
      </c>
      <c r="S214" s="242">
        <f t="shared" si="33"/>
        <v>113421000</v>
      </c>
      <c r="T214" s="1434"/>
      <c r="U214" s="195"/>
      <c r="V214" s="80">
        <f t="shared" ref="V214:AH215" si="38">+V215</f>
        <v>0</v>
      </c>
      <c r="W214" s="80">
        <f t="shared" si="38"/>
        <v>107000000</v>
      </c>
      <c r="X214" s="241"/>
      <c r="Y214" s="80">
        <f t="shared" si="38"/>
        <v>107000000</v>
      </c>
      <c r="Z214" s="80"/>
      <c r="AA214" s="1465"/>
      <c r="AB214" s="1466"/>
      <c r="AC214" s="1467"/>
      <c r="AD214" s="1468"/>
      <c r="AE214" s="1468"/>
      <c r="AF214" s="1468"/>
      <c r="AG214" s="1500"/>
      <c r="AH214" s="195">
        <f t="shared" si="38"/>
        <v>107000000</v>
      </c>
      <c r="AI214" s="80" t="s">
        <v>21</v>
      </c>
      <c r="AJ214" s="213"/>
      <c r="AK214" s="1501"/>
      <c r="AL214" s="1502"/>
      <c r="AM214" s="168"/>
      <c r="AN214" s="1503"/>
      <c r="AO214" s="1529"/>
      <c r="AP214" s="5"/>
      <c r="AQ214" s="10">
        <f t="shared" si="36"/>
        <v>0</v>
      </c>
      <c r="AR214" s="10">
        <f t="shared" si="30"/>
        <v>0</v>
      </c>
      <c r="AS214" s="10">
        <f t="shared" si="31"/>
        <v>0</v>
      </c>
      <c r="AT214" s="10">
        <f t="shared" si="32"/>
        <v>0</v>
      </c>
    </row>
    <row r="215" spans="1:46" s="5" customFormat="1" ht="33.75" customHeight="1">
      <c r="J215" s="180"/>
      <c r="K215" s="29"/>
      <c r="L215" s="30" t="str">
        <f>DATA!I201</f>
        <v>A</v>
      </c>
      <c r="M215" s="31" t="str">
        <f>DATA!J201</f>
        <v>Program Peningkatan Fasilitas Perikanan</v>
      </c>
      <c r="N215" s="1419"/>
      <c r="O215" s="214">
        <f t="shared" si="37"/>
        <v>107000000</v>
      </c>
      <c r="P215" s="197">
        <f t="shared" si="37"/>
        <v>107000000</v>
      </c>
      <c r="Q215" s="1436">
        <f t="shared" si="37"/>
        <v>4261000</v>
      </c>
      <c r="R215" s="1436">
        <f t="shared" si="37"/>
        <v>2160000</v>
      </c>
      <c r="S215" s="244">
        <f t="shared" si="33"/>
        <v>113421000</v>
      </c>
      <c r="T215" s="1437"/>
      <c r="U215" s="198"/>
      <c r="V215" s="81">
        <f>V216</f>
        <v>0</v>
      </c>
      <c r="W215" s="81">
        <f t="shared" si="38"/>
        <v>107000000</v>
      </c>
      <c r="X215" s="243"/>
      <c r="Y215" s="81">
        <f t="shared" si="38"/>
        <v>107000000</v>
      </c>
      <c r="Z215" s="81"/>
      <c r="AA215" s="1469"/>
      <c r="AB215" s="1470"/>
      <c r="AC215" s="1471"/>
      <c r="AD215" s="1472"/>
      <c r="AE215" s="1472"/>
      <c r="AF215" s="1472"/>
      <c r="AG215" s="1504"/>
      <c r="AH215" s="198">
        <f t="shared" si="38"/>
        <v>107000000</v>
      </c>
      <c r="AI215" s="81" t="s">
        <v>21</v>
      </c>
      <c r="AJ215" s="214"/>
      <c r="AK215" s="1505"/>
      <c r="AL215" s="1506"/>
      <c r="AM215" s="169"/>
      <c r="AN215" s="1507"/>
      <c r="AO215" s="1530"/>
      <c r="AP215" s="9"/>
      <c r="AQ215" s="10">
        <f t="shared" si="36"/>
        <v>0</v>
      </c>
      <c r="AR215" s="10">
        <f t="shared" si="30"/>
        <v>0</v>
      </c>
      <c r="AS215" s="10">
        <f t="shared" si="31"/>
        <v>0</v>
      </c>
      <c r="AT215" s="10">
        <f t="shared" si="32"/>
        <v>0</v>
      </c>
    </row>
    <row r="216" spans="1:46" s="9" customFormat="1" ht="25.5" customHeight="1">
      <c r="A216" s="9">
        <f>DATA!A201</f>
        <v>146</v>
      </c>
      <c r="B216" s="9">
        <f>DATA!B201</f>
        <v>0</v>
      </c>
      <c r="C216" s="9" t="str">
        <f>DATA!D201</f>
        <v>NON-INFRASTRUKTUR</v>
      </c>
      <c r="D216" s="9">
        <f>DATA!E201</f>
        <v>15</v>
      </c>
      <c r="E216" s="9" t="str">
        <f>DATA!F201</f>
        <v>Kementerian Kelautan dan Perikanan</v>
      </c>
      <c r="F216" s="9" t="str">
        <f>DATA!H201</f>
        <v>Improvement of Fisheries Facilities Program</v>
      </c>
      <c r="G216" s="9" t="str">
        <f>DATA!I201</f>
        <v>A</v>
      </c>
      <c r="H216" s="9" t="str">
        <f>DATA!J201</f>
        <v>Program Peningkatan Fasilitas Perikanan</v>
      </c>
      <c r="I216" s="9">
        <f>DATA!K201</f>
        <v>1</v>
      </c>
      <c r="J216" s="254"/>
      <c r="K216" s="255"/>
      <c r="L216" s="66"/>
      <c r="M216" s="64">
        <v>103</v>
      </c>
      <c r="N216" s="271" t="s">
        <v>453</v>
      </c>
      <c r="O216" s="1420">
        <f>DATA!T201</f>
        <v>107000000</v>
      </c>
      <c r="P216" s="258">
        <f>DATA!U201</f>
        <v>107000000</v>
      </c>
      <c r="Q216" s="1454">
        <f>DATA!V201</f>
        <v>4261000</v>
      </c>
      <c r="R216" s="1454">
        <f>DATA!W201</f>
        <v>2160000</v>
      </c>
      <c r="S216" s="1447">
        <f t="shared" si="33"/>
        <v>113421000</v>
      </c>
      <c r="T216" s="1448"/>
      <c r="U216" s="1455" t="str">
        <f>DATA!Y201</f>
        <v>-</v>
      </c>
      <c r="V216" s="91">
        <v>0</v>
      </c>
      <c r="W216" s="77">
        <f>DATA!AA201</f>
        <v>107000000</v>
      </c>
      <c r="X216" s="1450" t="str">
        <f>DATA!Y201</f>
        <v>-</v>
      </c>
      <c r="Y216" s="109">
        <v>107000000</v>
      </c>
      <c r="Z216" s="109" t="s">
        <v>633</v>
      </c>
      <c r="AA216" s="1484" t="s">
        <v>879</v>
      </c>
      <c r="AB216" s="828"/>
      <c r="AC216" s="1485"/>
      <c r="AD216" s="1486"/>
      <c r="AE216" s="1486"/>
      <c r="AF216" s="1486"/>
      <c r="AG216" s="1514"/>
      <c r="AH216" s="1509">
        <f>DATA!AT201</f>
        <v>107000000</v>
      </c>
      <c r="AI216" s="109" t="str">
        <f>DATA!AU201</f>
        <v>Belum Ada Indikasi</v>
      </c>
      <c r="AJ216" s="1521" t="s">
        <v>1043</v>
      </c>
      <c r="AK216" s="245">
        <f>DATA!AM201</f>
        <v>0</v>
      </c>
      <c r="AL216" s="1512" t="str">
        <f>DATA!AN201</f>
        <v>dalam proses
(memiliki FS)</v>
      </c>
      <c r="AM216" s="1522" t="str">
        <f>DATA!AO201</f>
        <v>belum ada keterangan</v>
      </c>
      <c r="AN216" s="1519">
        <f>DATA!AQ201</f>
        <v>0</v>
      </c>
      <c r="AO216" s="1531" t="str">
        <f>DATA!AR201</f>
        <v>Dibatalkan oleh KKP</v>
      </c>
      <c r="AQ216" s="10">
        <f t="shared" si="36"/>
        <v>0</v>
      </c>
      <c r="AR216" s="10">
        <f t="shared" si="30"/>
        <v>0</v>
      </c>
      <c r="AS216" s="10">
        <f t="shared" si="31"/>
        <v>107000000</v>
      </c>
      <c r="AT216" s="10">
        <f t="shared" si="32"/>
        <v>0</v>
      </c>
    </row>
    <row r="217" spans="1:46" s="9" customFormat="1" ht="27.75" customHeight="1">
      <c r="J217" s="254"/>
      <c r="K217" s="25">
        <v>18</v>
      </c>
      <c r="L217" s="108" t="s">
        <v>1047</v>
      </c>
      <c r="M217" s="25"/>
      <c r="N217" s="1416"/>
      <c r="O217" s="213">
        <f>O218</f>
        <v>0</v>
      </c>
      <c r="P217" s="194">
        <f>P218</f>
        <v>290000000</v>
      </c>
      <c r="Q217" s="194">
        <f>Q218</f>
        <v>0</v>
      </c>
      <c r="R217" s="194">
        <f>R218</f>
        <v>0</v>
      </c>
      <c r="S217" s="242">
        <f t="shared" si="33"/>
        <v>290000000</v>
      </c>
      <c r="T217" s="1434"/>
      <c r="U217" s="1435"/>
      <c r="V217" s="80">
        <f>V218</f>
        <v>0</v>
      </c>
      <c r="W217" s="80">
        <f>W218</f>
        <v>290000000</v>
      </c>
      <c r="X217" s="241"/>
      <c r="Y217" s="80">
        <f>Y218</f>
        <v>290000000</v>
      </c>
      <c r="Z217" s="80"/>
      <c r="AA217" s="1465"/>
      <c r="AB217" s="1466"/>
      <c r="AC217" s="1467"/>
      <c r="AD217" s="1468"/>
      <c r="AE217" s="1468"/>
      <c r="AF217" s="1468"/>
      <c r="AG217" s="1500"/>
      <c r="AH217" s="195">
        <f>AH218</f>
        <v>290000000</v>
      </c>
      <c r="AI217" s="80" t="s">
        <v>21</v>
      </c>
      <c r="AJ217" s="213"/>
      <c r="AK217" s="1501"/>
      <c r="AL217" s="1502"/>
      <c r="AM217" s="168"/>
      <c r="AN217" s="1503"/>
      <c r="AO217" s="1529"/>
      <c r="AQ217" s="10">
        <f t="shared" si="36"/>
        <v>0</v>
      </c>
      <c r="AR217" s="10">
        <f t="shared" si="30"/>
        <v>0</v>
      </c>
      <c r="AS217" s="10">
        <f t="shared" si="31"/>
        <v>0</v>
      </c>
      <c r="AT217" s="10">
        <f t="shared" si="32"/>
        <v>0</v>
      </c>
    </row>
    <row r="218" spans="1:46" s="9" customFormat="1" ht="25.5" customHeight="1">
      <c r="J218" s="254"/>
      <c r="K218" s="29"/>
      <c r="L218" s="30" t="s">
        <v>23</v>
      </c>
      <c r="M218" s="3427" t="s">
        <v>1049</v>
      </c>
      <c r="N218" s="3564"/>
      <c r="O218" s="214">
        <f>O219+O220+O222+O224</f>
        <v>0</v>
      </c>
      <c r="P218" s="197">
        <f>P219+P220+P222+P224</f>
        <v>290000000</v>
      </c>
      <c r="Q218" s="1436">
        <f>Q219+Q220+Q222+Q224</f>
        <v>0</v>
      </c>
      <c r="R218" s="1436">
        <f>R219+R220+R222+R224</f>
        <v>0</v>
      </c>
      <c r="S218" s="244">
        <f t="shared" si="33"/>
        <v>290000000</v>
      </c>
      <c r="T218" s="1437"/>
      <c r="U218" s="198"/>
      <c r="V218" s="81">
        <f>V219+V220+V222+V224</f>
        <v>0</v>
      </c>
      <c r="W218" s="81">
        <f>W219+W220+W222+W224</f>
        <v>290000000</v>
      </c>
      <c r="X218" s="243"/>
      <c r="Y218" s="81">
        <f>Y219+Y220+Y222+Y224+Y221+Y223+Y225</f>
        <v>290000000</v>
      </c>
      <c r="Z218" s="81"/>
      <c r="AA218" s="1469"/>
      <c r="AB218" s="1470"/>
      <c r="AC218" s="1471"/>
      <c r="AD218" s="1472"/>
      <c r="AE218" s="1472"/>
      <c r="AF218" s="1472"/>
      <c r="AG218" s="1504"/>
      <c r="AH218" s="198">
        <f>AH219+AH220+AH222+AH224</f>
        <v>290000000</v>
      </c>
      <c r="AI218" s="81" t="s">
        <v>21</v>
      </c>
      <c r="AJ218" s="214"/>
      <c r="AK218" s="1505"/>
      <c r="AL218" s="1506"/>
      <c r="AM218" s="169"/>
      <c r="AN218" s="1507"/>
      <c r="AO218" s="1530"/>
      <c r="AQ218" s="10">
        <f t="shared" si="36"/>
        <v>0</v>
      </c>
      <c r="AR218" s="10">
        <f t="shared" si="30"/>
        <v>0</v>
      </c>
      <c r="AS218" s="10">
        <f t="shared" si="31"/>
        <v>0</v>
      </c>
      <c r="AT218" s="10">
        <f t="shared" si="32"/>
        <v>0</v>
      </c>
    </row>
    <row r="219" spans="1:46" s="9" customFormat="1" ht="32.25" customHeight="1">
      <c r="J219" s="254"/>
      <c r="K219" s="1690"/>
      <c r="L219" s="35"/>
      <c r="M219" s="36">
        <v>104</v>
      </c>
      <c r="N219" s="1691" t="str">
        <f>DATA!L202</f>
        <v>Upgrading Medical Equipments for Army Hospital of Gatot Subroto</v>
      </c>
      <c r="O219" s="1413">
        <f>DATA!T202</f>
        <v>0</v>
      </c>
      <c r="P219" s="1414">
        <f>DATA!U202</f>
        <v>150000000</v>
      </c>
      <c r="Q219" s="1414">
        <f>DATA!V202</f>
        <v>0</v>
      </c>
      <c r="R219" s="1414">
        <f>DATA!W202</f>
        <v>0</v>
      </c>
      <c r="S219" s="1447">
        <f t="shared" si="33"/>
        <v>150000000</v>
      </c>
      <c r="T219" s="1457"/>
      <c r="U219" s="1440"/>
      <c r="V219" s="1458">
        <v>0</v>
      </c>
      <c r="W219" s="77">
        <f>DATA!AA202</f>
        <v>150000000</v>
      </c>
      <c r="X219" s="1450" t="str">
        <f>DATA!Y202</f>
        <v>Belum Ada Indikasi</v>
      </c>
      <c r="Y219" s="109">
        <v>150000000</v>
      </c>
      <c r="Z219" s="618" t="s">
        <v>1051</v>
      </c>
      <c r="AA219" s="1477" t="s">
        <v>879</v>
      </c>
      <c r="AB219" s="1478"/>
      <c r="AC219" s="1479"/>
      <c r="AD219" s="1480"/>
      <c r="AE219" s="1480"/>
      <c r="AF219" s="1480"/>
      <c r="AG219" s="1508"/>
      <c r="AH219" s="1509">
        <f>DATA!AT202</f>
        <v>150000000</v>
      </c>
      <c r="AI219" s="109" t="str">
        <f>DATA!AU202</f>
        <v>Austria</v>
      </c>
      <c r="AJ219" s="1520">
        <f>DATA!AW202</f>
        <v>0</v>
      </c>
      <c r="AK219" s="245">
        <f>DATA!AM202</f>
        <v>0</v>
      </c>
      <c r="AL219" s="1512" t="str">
        <f>DATA!AN202</f>
        <v>dalam proses
(penyusunan FS)</v>
      </c>
      <c r="AM219" s="1512" t="str">
        <f>DATA!AO202</f>
        <v>belum ada keterangan</v>
      </c>
      <c r="AN219" s="1519">
        <f>DATA!AQ202</f>
        <v>0</v>
      </c>
      <c r="AO219" s="1531" t="str">
        <f>DATA!AR202</f>
        <v>penyiapan dokumen R/C</v>
      </c>
      <c r="AQ219" s="10">
        <f t="shared" si="36"/>
        <v>0</v>
      </c>
      <c r="AR219" s="10">
        <f t="shared" si="30"/>
        <v>0</v>
      </c>
      <c r="AS219" s="10">
        <f t="shared" si="31"/>
        <v>0</v>
      </c>
      <c r="AT219" s="10">
        <f t="shared" si="32"/>
        <v>0</v>
      </c>
    </row>
    <row r="220" spans="1:46" s="9" customFormat="1" ht="30.75" customHeight="1">
      <c r="J220" s="254"/>
      <c r="K220" s="1690"/>
      <c r="L220" s="34"/>
      <c r="M220" s="36">
        <v>105</v>
      </c>
      <c r="N220" s="1691" t="str">
        <f>DATA!L203</f>
        <v>Upgrading Medical Equipments for Army Hospitals</v>
      </c>
      <c r="O220" s="1413">
        <f>DATA!T203</f>
        <v>0</v>
      </c>
      <c r="P220" s="1414">
        <f>DATA!U203</f>
        <v>55000000</v>
      </c>
      <c r="Q220" s="1414">
        <f>DATA!V203</f>
        <v>0</v>
      </c>
      <c r="R220" s="1414">
        <f>DATA!W203</f>
        <v>0</v>
      </c>
      <c r="S220" s="1447">
        <f t="shared" si="33"/>
        <v>55000000</v>
      </c>
      <c r="T220" s="1457"/>
      <c r="U220" s="1440"/>
      <c r="V220" s="1458">
        <v>0</v>
      </c>
      <c r="W220" s="77">
        <f>DATA!AA203</f>
        <v>55000000</v>
      </c>
      <c r="X220" s="1450" t="str">
        <f>DATA!Y203</f>
        <v>Belum Ada Indikasi</v>
      </c>
      <c r="Y220" s="618">
        <v>30000000</v>
      </c>
      <c r="Z220" s="618" t="s">
        <v>1051</v>
      </c>
      <c r="AA220" s="1477" t="s">
        <v>1258</v>
      </c>
      <c r="AB220" s="1478"/>
      <c r="AC220" s="1479"/>
      <c r="AD220" s="1480"/>
      <c r="AE220" s="1480"/>
      <c r="AF220" s="1480"/>
      <c r="AG220" s="3253" t="s">
        <v>1259</v>
      </c>
      <c r="AH220" s="1509">
        <f>DATA!AT203</f>
        <v>55000000</v>
      </c>
      <c r="AI220" s="109" t="str">
        <f>DATA!AU203</f>
        <v>Austria</v>
      </c>
      <c r="AJ220" s="1520">
        <f>DATA!AW203</f>
        <v>0</v>
      </c>
      <c r="AK220" s="245">
        <f>DATA!AM203</f>
        <v>0</v>
      </c>
      <c r="AL220" s="1512" t="str">
        <f>DATA!AN203</f>
        <v>dalam proses
(penyusunan FS)</v>
      </c>
      <c r="AM220" s="1512" t="str">
        <f>DATA!AO203</f>
        <v>belum ada keterangan</v>
      </c>
      <c r="AN220" s="1519">
        <f>DATA!AQ203</f>
        <v>0</v>
      </c>
      <c r="AO220" s="1531" t="str">
        <f>DATA!AR203</f>
        <v>penyiapan dokumen R/C</v>
      </c>
      <c r="AQ220" s="10">
        <f t="shared" si="36"/>
        <v>0</v>
      </c>
      <c r="AR220" s="10">
        <f t="shared" si="30"/>
        <v>0</v>
      </c>
      <c r="AS220" s="10">
        <f t="shared" si="31"/>
        <v>0</v>
      </c>
      <c r="AT220" s="10">
        <f t="shared" si="32"/>
        <v>0</v>
      </c>
    </row>
    <row r="221" spans="1:46" s="9" customFormat="1" ht="23.25" customHeight="1">
      <c r="J221" s="254"/>
      <c r="K221" s="1690"/>
      <c r="L221" s="34"/>
      <c r="M221" s="36"/>
      <c r="N221" s="1691"/>
      <c r="O221" s="1413"/>
      <c r="P221" s="1414"/>
      <c r="Q221" s="1414"/>
      <c r="R221" s="1414"/>
      <c r="S221" s="1447"/>
      <c r="T221" s="1457"/>
      <c r="U221" s="1440"/>
      <c r="V221" s="1458"/>
      <c r="W221" s="77"/>
      <c r="X221" s="1450"/>
      <c r="Y221" s="618">
        <f>55000000-30000000</f>
        <v>25000000</v>
      </c>
      <c r="Z221" s="618" t="s">
        <v>633</v>
      </c>
      <c r="AA221" s="1477" t="s">
        <v>879</v>
      </c>
      <c r="AB221" s="1478"/>
      <c r="AC221" s="1479"/>
      <c r="AD221" s="1480"/>
      <c r="AE221" s="1480"/>
      <c r="AF221" s="1480"/>
      <c r="AG221" s="1508"/>
      <c r="AH221" s="1509"/>
      <c r="AI221" s="109"/>
      <c r="AJ221" s="1520"/>
      <c r="AK221" s="245"/>
      <c r="AL221" s="1512"/>
      <c r="AM221" s="1512"/>
      <c r="AN221" s="1519"/>
      <c r="AO221" s="1531"/>
      <c r="AQ221" s="10">
        <f t="shared" si="36"/>
        <v>0</v>
      </c>
      <c r="AR221" s="10">
        <f t="shared" si="30"/>
        <v>0</v>
      </c>
      <c r="AS221" s="10">
        <f t="shared" si="31"/>
        <v>25000000</v>
      </c>
      <c r="AT221" s="10">
        <f t="shared" si="32"/>
        <v>0</v>
      </c>
    </row>
    <row r="222" spans="1:46" s="9" customFormat="1" ht="20.25" customHeight="1">
      <c r="J222" s="254"/>
      <c r="K222" s="1690"/>
      <c r="L222" s="34"/>
      <c r="M222" s="36">
        <v>106</v>
      </c>
      <c r="N222" s="1691" t="str">
        <f>DATA!L204</f>
        <v>Upgrading Medical Equipments for Naval Hospitals</v>
      </c>
      <c r="O222" s="1413">
        <f>DATA!T204</f>
        <v>0</v>
      </c>
      <c r="P222" s="1414">
        <f>DATA!U204</f>
        <v>45000000</v>
      </c>
      <c r="Q222" s="1414">
        <f>DATA!V204</f>
        <v>0</v>
      </c>
      <c r="R222" s="1414">
        <f>DATA!W204</f>
        <v>0</v>
      </c>
      <c r="S222" s="1447">
        <f t="shared" si="33"/>
        <v>45000000</v>
      </c>
      <c r="T222" s="1457"/>
      <c r="U222" s="1440"/>
      <c r="V222" s="1458">
        <v>0</v>
      </c>
      <c r="W222" s="77">
        <f>DATA!AA204</f>
        <v>45000000</v>
      </c>
      <c r="X222" s="1450" t="str">
        <f>DATA!Y204</f>
        <v>Belum Ada Indikasi</v>
      </c>
      <c r="Y222" s="618">
        <v>15000000</v>
      </c>
      <c r="Z222" s="618" t="s">
        <v>1051</v>
      </c>
      <c r="AA222" s="1477" t="s">
        <v>1260</v>
      </c>
      <c r="AB222" s="1478"/>
      <c r="AC222" s="1479"/>
      <c r="AD222" s="1480"/>
      <c r="AE222" s="1480"/>
      <c r="AF222" s="1480"/>
      <c r="AG222" s="3253" t="s">
        <v>1261</v>
      </c>
      <c r="AH222" s="1509">
        <f>DATA!AT204</f>
        <v>45000000</v>
      </c>
      <c r="AI222" s="109" t="str">
        <f>DATA!AU204</f>
        <v>Austria</v>
      </c>
      <c r="AJ222" s="1520">
        <f>DATA!AW204</f>
        <v>0</v>
      </c>
      <c r="AK222" s="245">
        <f>DATA!AM204</f>
        <v>0</v>
      </c>
      <c r="AL222" s="1512" t="str">
        <f>DATA!AN204</f>
        <v>dalam proses
(penyusunan FS)</v>
      </c>
      <c r="AM222" s="1512" t="str">
        <f>DATA!AO204</f>
        <v>belum ada keterangan</v>
      </c>
      <c r="AN222" s="1519">
        <f>DATA!AQ204</f>
        <v>0</v>
      </c>
      <c r="AO222" s="1531" t="str">
        <f>DATA!AR204</f>
        <v>penyiapan dokumen R/C</v>
      </c>
      <c r="AQ222" s="10">
        <f t="shared" si="36"/>
        <v>0</v>
      </c>
      <c r="AR222" s="10">
        <f t="shared" si="30"/>
        <v>0</v>
      </c>
      <c r="AS222" s="10">
        <f t="shared" si="31"/>
        <v>0</v>
      </c>
      <c r="AT222" s="10">
        <f t="shared" si="32"/>
        <v>0</v>
      </c>
    </row>
    <row r="223" spans="1:46" s="9" customFormat="1" ht="20.25" customHeight="1">
      <c r="J223" s="254"/>
      <c r="K223" s="1690"/>
      <c r="L223" s="34"/>
      <c r="M223" s="36"/>
      <c r="N223" s="1691"/>
      <c r="O223" s="1413"/>
      <c r="P223" s="1414"/>
      <c r="Q223" s="1414"/>
      <c r="R223" s="1414"/>
      <c r="S223" s="1447"/>
      <c r="T223" s="1457"/>
      <c r="U223" s="1440"/>
      <c r="V223" s="1458"/>
      <c r="W223" s="77"/>
      <c r="X223" s="1450"/>
      <c r="Y223" s="618">
        <f>45000000-15000000</f>
        <v>30000000</v>
      </c>
      <c r="Z223" s="618" t="s">
        <v>633</v>
      </c>
      <c r="AA223" s="1477" t="s">
        <v>879</v>
      </c>
      <c r="AB223" s="1478"/>
      <c r="AC223" s="1479"/>
      <c r="AD223" s="1480"/>
      <c r="AE223" s="1480"/>
      <c r="AF223" s="1480"/>
      <c r="AG223" s="1508"/>
      <c r="AH223" s="1509"/>
      <c r="AI223" s="109"/>
      <c r="AJ223" s="1520"/>
      <c r="AK223" s="245"/>
      <c r="AL223" s="1512"/>
      <c r="AM223" s="1512"/>
      <c r="AN223" s="1519"/>
      <c r="AO223" s="1531"/>
      <c r="AQ223" s="10">
        <f t="shared" si="36"/>
        <v>0</v>
      </c>
      <c r="AR223" s="10">
        <f t="shared" si="30"/>
        <v>0</v>
      </c>
      <c r="AS223" s="10">
        <f t="shared" si="31"/>
        <v>30000000</v>
      </c>
      <c r="AT223" s="10">
        <f t="shared" si="32"/>
        <v>0</v>
      </c>
    </row>
    <row r="224" spans="1:46" s="9" customFormat="1" ht="21.75" customHeight="1">
      <c r="J224" s="254"/>
      <c r="K224" s="1690"/>
      <c r="L224" s="54"/>
      <c r="M224" s="36">
        <v>107</v>
      </c>
      <c r="N224" s="1691" t="str">
        <f>DATA!L205</f>
        <v>Upgrading Medical Equipments for Air Force Hospitals</v>
      </c>
      <c r="O224" s="1413">
        <f>DATA!T205</f>
        <v>0</v>
      </c>
      <c r="P224" s="1414">
        <f>DATA!U205</f>
        <v>40000000</v>
      </c>
      <c r="Q224" s="1414">
        <f>DATA!V205</f>
        <v>0</v>
      </c>
      <c r="R224" s="1414">
        <f>DATA!W205</f>
        <v>0</v>
      </c>
      <c r="S224" s="1447">
        <f t="shared" si="33"/>
        <v>40000000</v>
      </c>
      <c r="T224" s="1457"/>
      <c r="U224" s="1440"/>
      <c r="V224" s="1458">
        <v>0</v>
      </c>
      <c r="W224" s="77">
        <f>DATA!AA205</f>
        <v>40000000</v>
      </c>
      <c r="X224" s="1450" t="str">
        <f>DATA!Y205</f>
        <v>Belum Ada Indikasi</v>
      </c>
      <c r="Y224" s="618">
        <v>15000000</v>
      </c>
      <c r="Z224" s="618" t="s">
        <v>1051</v>
      </c>
      <c r="AA224" s="1477" t="s">
        <v>1260</v>
      </c>
      <c r="AB224" s="1478"/>
      <c r="AC224" s="1479"/>
      <c r="AD224" s="1480"/>
      <c r="AE224" s="1480"/>
      <c r="AF224" s="1480"/>
      <c r="AG224" s="3253" t="s">
        <v>1262</v>
      </c>
      <c r="AH224" s="1509">
        <f>DATA!AT205</f>
        <v>40000000</v>
      </c>
      <c r="AI224" s="109" t="str">
        <f>DATA!AU205</f>
        <v>Austria</v>
      </c>
      <c r="AJ224" s="1520">
        <f>DATA!AW205</f>
        <v>0</v>
      </c>
      <c r="AK224" s="245">
        <f>DATA!AM205</f>
        <v>0</v>
      </c>
      <c r="AL224" s="1512" t="str">
        <f>DATA!AN205</f>
        <v>dalam proses
(penyusunan FS)</v>
      </c>
      <c r="AM224" s="1512" t="str">
        <f>DATA!AO205</f>
        <v>belum ada keterangan</v>
      </c>
      <c r="AN224" s="1519">
        <f>DATA!AQ205</f>
        <v>0</v>
      </c>
      <c r="AO224" s="1531" t="str">
        <f>DATA!AR205</f>
        <v>penyiapan dokumen R/C</v>
      </c>
      <c r="AP224" s="4"/>
      <c r="AQ224" s="10">
        <f t="shared" si="36"/>
        <v>0</v>
      </c>
      <c r="AR224" s="10">
        <f t="shared" si="30"/>
        <v>0</v>
      </c>
      <c r="AS224" s="10">
        <f t="shared" si="31"/>
        <v>0</v>
      </c>
      <c r="AT224" s="10">
        <f t="shared" si="32"/>
        <v>0</v>
      </c>
    </row>
    <row r="225" spans="1:46" s="9" customFormat="1" ht="21.75" customHeight="1">
      <c r="J225" s="254"/>
      <c r="K225" s="1690"/>
      <c r="L225" s="54"/>
      <c r="M225" s="36"/>
      <c r="N225" s="1691"/>
      <c r="O225" s="1413"/>
      <c r="P225" s="1414"/>
      <c r="Q225" s="1414"/>
      <c r="R225" s="1414"/>
      <c r="S225" s="1447"/>
      <c r="T225" s="1457"/>
      <c r="U225" s="1440"/>
      <c r="V225" s="1458"/>
      <c r="W225" s="77"/>
      <c r="X225" s="1450"/>
      <c r="Y225" s="618">
        <f>40000000-15000000</f>
        <v>25000000</v>
      </c>
      <c r="Z225" s="618" t="s">
        <v>633</v>
      </c>
      <c r="AA225" s="1477" t="s">
        <v>879</v>
      </c>
      <c r="AB225" s="1478"/>
      <c r="AC225" s="1479"/>
      <c r="AD225" s="1480"/>
      <c r="AE225" s="1480"/>
      <c r="AF225" s="1480"/>
      <c r="AG225" s="1508"/>
      <c r="AH225" s="1509"/>
      <c r="AI225" s="109"/>
      <c r="AJ225" s="1520"/>
      <c r="AK225" s="245"/>
      <c r="AL225" s="1512"/>
      <c r="AM225" s="1512"/>
      <c r="AN225" s="1519"/>
      <c r="AO225" s="1531"/>
      <c r="AP225" s="4"/>
      <c r="AQ225" s="10">
        <f t="shared" si="36"/>
        <v>0</v>
      </c>
      <c r="AR225" s="10">
        <f t="shared" si="30"/>
        <v>0</v>
      </c>
      <c r="AS225" s="10">
        <f t="shared" si="31"/>
        <v>25000000</v>
      </c>
      <c r="AT225" s="10">
        <f t="shared" si="32"/>
        <v>0</v>
      </c>
    </row>
    <row r="226" spans="1:46" s="4" customFormat="1" ht="24.95" customHeight="1">
      <c r="J226" s="250"/>
      <c r="K226" s="25">
        <v>19</v>
      </c>
      <c r="L226" s="108" t="str">
        <f>DATA!F206</f>
        <v>Badan Meteorologi, Klimatologi dan Geofisika (BMKG)</v>
      </c>
      <c r="M226" s="25"/>
      <c r="N226" s="1416"/>
      <c r="O226" s="213">
        <f t="shared" ref="O226:R227" si="39">+O227</f>
        <v>150000000</v>
      </c>
      <c r="P226" s="194">
        <f t="shared" si="39"/>
        <v>150000000</v>
      </c>
      <c r="Q226" s="194">
        <f t="shared" si="39"/>
        <v>9000000</v>
      </c>
      <c r="R226" s="194">
        <f t="shared" si="39"/>
        <v>0</v>
      </c>
      <c r="S226" s="242">
        <f t="shared" si="33"/>
        <v>159000000</v>
      </c>
      <c r="T226" s="1434"/>
      <c r="U226" s="195"/>
      <c r="V226" s="80">
        <f t="shared" ref="V226:AH227" si="40">+V227</f>
        <v>150000000</v>
      </c>
      <c r="W226" s="80">
        <f t="shared" si="40"/>
        <v>0</v>
      </c>
      <c r="X226" s="241"/>
      <c r="Y226" s="80">
        <f t="shared" si="40"/>
        <v>150000000</v>
      </c>
      <c r="Z226" s="80"/>
      <c r="AA226" s="1465"/>
      <c r="AB226" s="1466"/>
      <c r="AC226" s="1467"/>
      <c r="AD226" s="1468"/>
      <c r="AE226" s="1468"/>
      <c r="AF226" s="1468"/>
      <c r="AG226" s="1500"/>
      <c r="AH226" s="195">
        <f>+AH227</f>
        <v>150000000</v>
      </c>
      <c r="AI226" s="80" t="s">
        <v>21</v>
      </c>
      <c r="AJ226" s="213"/>
      <c r="AK226" s="1501"/>
      <c r="AL226" s="1502"/>
      <c r="AM226" s="168"/>
      <c r="AN226" s="1503"/>
      <c r="AO226" s="1529"/>
      <c r="AP226" s="5"/>
      <c r="AQ226" s="10">
        <f t="shared" si="36"/>
        <v>0</v>
      </c>
      <c r="AR226" s="10">
        <f t="shared" si="30"/>
        <v>0</v>
      </c>
      <c r="AS226" s="10">
        <f t="shared" si="31"/>
        <v>0</v>
      </c>
      <c r="AT226" s="10">
        <f t="shared" si="32"/>
        <v>0</v>
      </c>
    </row>
    <row r="227" spans="1:46" s="5" customFormat="1" ht="33.75" customHeight="1">
      <c r="J227" s="180"/>
      <c r="K227" s="29"/>
      <c r="L227" s="30" t="str">
        <f>DATA!I206</f>
        <v>A</v>
      </c>
      <c r="M227" s="3447" t="str">
        <f>DATA!J206</f>
        <v>Program Pengembangan dan Pembinaan Meteorologi, Klimatologi, dan Geofisika</v>
      </c>
      <c r="N227" s="3556"/>
      <c r="O227" s="214">
        <f t="shared" si="39"/>
        <v>150000000</v>
      </c>
      <c r="P227" s="197">
        <f t="shared" si="39"/>
        <v>150000000</v>
      </c>
      <c r="Q227" s="1436">
        <f t="shared" si="39"/>
        <v>9000000</v>
      </c>
      <c r="R227" s="1436">
        <f t="shared" si="39"/>
        <v>0</v>
      </c>
      <c r="S227" s="244">
        <f t="shared" si="33"/>
        <v>159000000</v>
      </c>
      <c r="T227" s="1437"/>
      <c r="U227" s="1456"/>
      <c r="V227" s="81">
        <f t="shared" si="40"/>
        <v>150000000</v>
      </c>
      <c r="W227" s="81">
        <f t="shared" si="40"/>
        <v>0</v>
      </c>
      <c r="X227" s="243"/>
      <c r="Y227" s="81">
        <f>+Y228+Y229</f>
        <v>150000000</v>
      </c>
      <c r="Z227" s="81"/>
      <c r="AA227" s="1469"/>
      <c r="AB227" s="1470"/>
      <c r="AC227" s="1471"/>
      <c r="AD227" s="1472"/>
      <c r="AE227" s="1472"/>
      <c r="AF227" s="1472"/>
      <c r="AG227" s="1504"/>
      <c r="AH227" s="198">
        <f t="shared" si="40"/>
        <v>150000000</v>
      </c>
      <c r="AI227" s="81" t="s">
        <v>21</v>
      </c>
      <c r="AJ227" s="214"/>
      <c r="AK227" s="1505"/>
      <c r="AL227" s="1506"/>
      <c r="AM227" s="169"/>
      <c r="AN227" s="1507"/>
      <c r="AO227" s="1530"/>
      <c r="AP227" s="10"/>
      <c r="AQ227" s="10">
        <f t="shared" si="36"/>
        <v>0</v>
      </c>
      <c r="AR227" s="10">
        <f t="shared" si="30"/>
        <v>0</v>
      </c>
      <c r="AS227" s="10">
        <f t="shared" si="31"/>
        <v>0</v>
      </c>
      <c r="AT227" s="10">
        <f t="shared" si="32"/>
        <v>0</v>
      </c>
    </row>
    <row r="228" spans="1:46" ht="58.5" customHeight="1">
      <c r="A228" s="10">
        <f>DATA!A206</f>
        <v>147</v>
      </c>
      <c r="B228" s="10">
        <f>DATA!B206</f>
        <v>0</v>
      </c>
      <c r="C228" s="10" t="str">
        <f>DATA!D206</f>
        <v>NON-INFRASTRUKTUR</v>
      </c>
      <c r="D228" s="10">
        <f>DATA!E206</f>
        <v>16</v>
      </c>
      <c r="E228" s="10" t="str">
        <f>DATA!F206</f>
        <v>Badan Meteorologi, Klimatologi dan Geofisika (BMKG)</v>
      </c>
      <c r="F228" s="10" t="str">
        <f>DATA!H206</f>
        <v>Program for Capacity Development and Guidance of Meteorology, Climatology, and Geophysics</v>
      </c>
      <c r="G228" s="10" t="str">
        <f>DATA!I206</f>
        <v>A</v>
      </c>
      <c r="H228" s="10" t="str">
        <f>DATA!J206</f>
        <v>Program Pengembangan dan Pembinaan Meteorologi, Klimatologi, dan Geofisika</v>
      </c>
      <c r="I228" s="10">
        <f>DATA!K206</f>
        <v>1</v>
      </c>
      <c r="J228" s="181"/>
      <c r="K228" s="54"/>
      <c r="L228" s="36"/>
      <c r="M228" s="36">
        <v>108</v>
      </c>
      <c r="N228" s="3393" t="str">
        <f>DATA!L206</f>
        <v xml:space="preserve">Strengthening Climate and Weather Service Capacity – Phase II:
a) Kegiatan lanjutan dari kegiatan Strengthening BMKG Climate and Weather Services Capacity Phase I
b) Kegiatan pengembangan sistem Layanan Informasi Meteorologi Maritim </v>
      </c>
      <c r="O228" s="1402">
        <f>DATA!T206</f>
        <v>150000000</v>
      </c>
      <c r="P228" s="187">
        <f>DATA!U206</f>
        <v>150000000</v>
      </c>
      <c r="Q228" s="1446">
        <f>DATA!V206</f>
        <v>9000000</v>
      </c>
      <c r="R228" s="1446">
        <f>DATA!W206</f>
        <v>0</v>
      </c>
      <c r="S228" s="1447">
        <f t="shared" si="33"/>
        <v>159000000</v>
      </c>
      <c r="T228" s="1448"/>
      <c r="U228" s="1449" t="str">
        <f>DATA!Y206</f>
        <v>US EXIM</v>
      </c>
      <c r="V228" s="77">
        <f>DATA!AA206</f>
        <v>150000000</v>
      </c>
      <c r="W228" s="77">
        <f>DATA!AG206</f>
        <v>0</v>
      </c>
      <c r="X228" s="1450" t="str">
        <f>DATA!Y206</f>
        <v>US EXIM</v>
      </c>
      <c r="Y228" s="618">
        <v>78900000</v>
      </c>
      <c r="Z228" s="1487" t="s">
        <v>1263</v>
      </c>
      <c r="AA228" s="3622" t="s">
        <v>1189</v>
      </c>
      <c r="AB228" s="828"/>
      <c r="AC228" s="1485"/>
      <c r="AD228" s="1486"/>
      <c r="AE228" s="1486"/>
      <c r="AF228" s="1486"/>
      <c r="AG228" s="3628" t="s">
        <v>1264</v>
      </c>
      <c r="AH228" s="1509">
        <f>DATA!AT206</f>
        <v>150000000</v>
      </c>
      <c r="AI228" s="109" t="str">
        <f>DATA!AU206</f>
        <v>US EXIM</v>
      </c>
      <c r="AJ228" s="216" t="str">
        <f>DATA!AW206</f>
        <v>-</v>
      </c>
      <c r="AK228" s="245">
        <f>DATA!AM206</f>
        <v>0</v>
      </c>
      <c r="AL228" s="1510" t="str">
        <f>DATA!AN206</f>
        <v>dalam proses
(penyusunan FS)</v>
      </c>
      <c r="AM228" s="1511" t="str">
        <f>DATA!AO206</f>
        <v>siap</v>
      </c>
      <c r="AN228" s="1519">
        <f>DATA!AQ206</f>
        <v>0</v>
      </c>
      <c r="AO228" s="1533" t="str">
        <f>DATA!AR206</f>
        <v>belum ada dokumen R/C</v>
      </c>
      <c r="AP228" s="4"/>
      <c r="AQ228" s="10">
        <f t="shared" si="36"/>
        <v>0</v>
      </c>
      <c r="AR228" s="10">
        <f t="shared" si="30"/>
        <v>0</v>
      </c>
      <c r="AS228" s="10">
        <f t="shared" si="31"/>
        <v>0</v>
      </c>
      <c r="AT228" s="10">
        <f t="shared" si="32"/>
        <v>0</v>
      </c>
    </row>
    <row r="229" spans="1:46" ht="66.75" customHeight="1">
      <c r="J229" s="181"/>
      <c r="K229" s="54"/>
      <c r="L229" s="36"/>
      <c r="M229" s="36"/>
      <c r="N229" s="3394"/>
      <c r="O229" s="1402"/>
      <c r="P229" s="187"/>
      <c r="Q229" s="1446"/>
      <c r="R229" s="1446"/>
      <c r="S229" s="1447"/>
      <c r="T229" s="1448"/>
      <c r="U229" s="1449"/>
      <c r="V229" s="77"/>
      <c r="W229" s="77"/>
      <c r="X229" s="1450"/>
      <c r="Y229" s="618">
        <v>71100000</v>
      </c>
      <c r="Z229" s="109" t="s">
        <v>462</v>
      </c>
      <c r="AA229" s="3623"/>
      <c r="AB229" s="828"/>
      <c r="AC229" s="1485"/>
      <c r="AD229" s="1486"/>
      <c r="AE229" s="1486"/>
      <c r="AF229" s="1486"/>
      <c r="AG229" s="3629"/>
      <c r="AH229" s="1509"/>
      <c r="AI229" s="109"/>
      <c r="AJ229" s="216"/>
      <c r="AK229" s="245"/>
      <c r="AL229" s="1510"/>
      <c r="AM229" s="1511"/>
      <c r="AN229" s="1519"/>
      <c r="AO229" s="1533"/>
      <c r="AP229" s="4"/>
      <c r="AQ229" s="10">
        <f t="shared" si="36"/>
        <v>0</v>
      </c>
      <c r="AR229" s="10">
        <f t="shared" si="30"/>
        <v>0</v>
      </c>
      <c r="AS229" s="10">
        <f t="shared" si="31"/>
        <v>0</v>
      </c>
      <c r="AT229" s="10">
        <f t="shared" si="32"/>
        <v>0</v>
      </c>
    </row>
    <row r="230" spans="1:46" s="4" customFormat="1" ht="24.95" customHeight="1">
      <c r="J230" s="250"/>
      <c r="K230" s="25">
        <v>20</v>
      </c>
      <c r="L230" s="108" t="str">
        <f>DATA!F207</f>
        <v>Badan Pengkajian dan Penerapan Teknologi (BPPT)</v>
      </c>
      <c r="M230" s="25"/>
      <c r="N230" s="1416"/>
      <c r="O230" s="213">
        <f t="shared" ref="O230:R231" si="41">+O231</f>
        <v>114400000</v>
      </c>
      <c r="P230" s="194">
        <f t="shared" si="41"/>
        <v>114400000</v>
      </c>
      <c r="Q230" s="194">
        <f t="shared" si="41"/>
        <v>17200000</v>
      </c>
      <c r="R230" s="194">
        <f t="shared" si="41"/>
        <v>0</v>
      </c>
      <c r="S230" s="242">
        <f t="shared" si="33"/>
        <v>131600000</v>
      </c>
      <c r="T230" s="1434"/>
      <c r="U230" s="1435"/>
      <c r="V230" s="80">
        <f t="shared" ref="V230:AH231" si="42">+V231</f>
        <v>114400000</v>
      </c>
      <c r="W230" s="80">
        <f t="shared" si="42"/>
        <v>0</v>
      </c>
      <c r="X230" s="241"/>
      <c r="Y230" s="80">
        <f t="shared" si="42"/>
        <v>114400000</v>
      </c>
      <c r="Z230" s="80"/>
      <c r="AA230" s="1465"/>
      <c r="AB230" s="1466"/>
      <c r="AC230" s="1467"/>
      <c r="AD230" s="1468"/>
      <c r="AE230" s="1468"/>
      <c r="AF230" s="1468"/>
      <c r="AG230" s="1500"/>
      <c r="AH230" s="195">
        <f t="shared" si="42"/>
        <v>114400000</v>
      </c>
      <c r="AI230" s="80" t="s">
        <v>21</v>
      </c>
      <c r="AJ230" s="213"/>
      <c r="AK230" s="1501"/>
      <c r="AL230" s="1502"/>
      <c r="AM230" s="168"/>
      <c r="AN230" s="1503"/>
      <c r="AO230" s="1529"/>
      <c r="AP230" s="5"/>
      <c r="AQ230" s="10">
        <f t="shared" si="36"/>
        <v>0</v>
      </c>
      <c r="AR230" s="10">
        <f t="shared" si="30"/>
        <v>0</v>
      </c>
      <c r="AS230" s="10">
        <f t="shared" si="31"/>
        <v>0</v>
      </c>
      <c r="AT230" s="10">
        <f t="shared" si="32"/>
        <v>0</v>
      </c>
    </row>
    <row r="231" spans="1:46" s="5" customFormat="1" ht="33.75" customHeight="1">
      <c r="J231" s="180"/>
      <c r="K231" s="29"/>
      <c r="L231" s="30" t="str">
        <f>DATA!I207</f>
        <v>A</v>
      </c>
      <c r="M231" s="3427" t="str">
        <f>DATA!J207</f>
        <v>Program Pembangunan Science Park dan Technopark</v>
      </c>
      <c r="N231" s="3564"/>
      <c r="O231" s="214">
        <f t="shared" si="41"/>
        <v>114400000</v>
      </c>
      <c r="P231" s="197">
        <f t="shared" si="41"/>
        <v>114400000</v>
      </c>
      <c r="Q231" s="1436">
        <f t="shared" si="41"/>
        <v>17200000</v>
      </c>
      <c r="R231" s="1436">
        <f t="shared" si="41"/>
        <v>0</v>
      </c>
      <c r="S231" s="244">
        <f t="shared" si="33"/>
        <v>131600000</v>
      </c>
      <c r="T231" s="1437"/>
      <c r="U231" s="198"/>
      <c r="V231" s="81">
        <f t="shared" si="42"/>
        <v>114400000</v>
      </c>
      <c r="W231" s="81">
        <f t="shared" si="42"/>
        <v>0</v>
      </c>
      <c r="X231" s="243"/>
      <c r="Y231" s="81">
        <f t="shared" si="42"/>
        <v>114400000</v>
      </c>
      <c r="Z231" s="80"/>
      <c r="AA231" s="1469"/>
      <c r="AB231" s="1470"/>
      <c r="AC231" s="1471"/>
      <c r="AD231" s="1472"/>
      <c r="AE231" s="1472"/>
      <c r="AF231" s="1472"/>
      <c r="AG231" s="1504"/>
      <c r="AH231" s="198">
        <f t="shared" si="42"/>
        <v>114400000</v>
      </c>
      <c r="AI231" s="81" t="s">
        <v>21</v>
      </c>
      <c r="AJ231" s="214"/>
      <c r="AK231" s="1505"/>
      <c r="AL231" s="1506"/>
      <c r="AM231" s="169"/>
      <c r="AN231" s="1507"/>
      <c r="AO231" s="1530"/>
      <c r="AP231" s="10"/>
      <c r="AQ231" s="10">
        <f t="shared" si="36"/>
        <v>0</v>
      </c>
      <c r="AR231" s="10">
        <f t="shared" si="30"/>
        <v>0</v>
      </c>
      <c r="AS231" s="10">
        <f t="shared" si="31"/>
        <v>0</v>
      </c>
      <c r="AT231" s="10">
        <f t="shared" si="32"/>
        <v>0</v>
      </c>
    </row>
    <row r="232" spans="1:46" ht="59.25" customHeight="1">
      <c r="A232" s="10">
        <f>DATA!A207</f>
        <v>148</v>
      </c>
      <c r="B232" s="10">
        <f>DATA!B207</f>
        <v>0</v>
      </c>
      <c r="C232" s="10" t="str">
        <f>DATA!D207</f>
        <v>NON-INFRASTRUKTUR</v>
      </c>
      <c r="D232" s="10">
        <f>DATA!E207</f>
        <v>17</v>
      </c>
      <c r="E232" s="10" t="str">
        <f>DATA!F207</f>
        <v>Badan Pengkajian dan Penerapan Teknologi (BPPT)</v>
      </c>
      <c r="F232" s="10" t="str">
        <f>DATA!H207</f>
        <v>Science Park and Technopark Development Program</v>
      </c>
      <c r="G232" s="10" t="str">
        <f>DATA!I207</f>
        <v>A</v>
      </c>
      <c r="H232" s="10" t="str">
        <f>DATA!J207</f>
        <v>Program Pembangunan Science Park dan Technopark</v>
      </c>
      <c r="I232" s="10">
        <f>DATA!K207</f>
        <v>1</v>
      </c>
      <c r="J232" s="181"/>
      <c r="K232" s="54"/>
      <c r="L232" s="36"/>
      <c r="M232" s="36">
        <v>109</v>
      </c>
      <c r="N232" s="199" t="str">
        <f>DATA!L207</f>
        <v>Development of Maritime National Science and Technology Park (NTSP) in the Northern Penajam Paser and Revitalization Infrastructure Marine Survey</v>
      </c>
      <c r="O232" s="1402">
        <f>DATA!T207</f>
        <v>114400000</v>
      </c>
      <c r="P232" s="187">
        <f>DATA!U207</f>
        <v>114400000</v>
      </c>
      <c r="Q232" s="1446">
        <f>DATA!V207</f>
        <v>17200000</v>
      </c>
      <c r="R232" s="1446">
        <f>DATA!W207</f>
        <v>0</v>
      </c>
      <c r="S232" s="1447">
        <f t="shared" si="33"/>
        <v>131600000</v>
      </c>
      <c r="T232" s="1448"/>
      <c r="U232" s="1449" t="str">
        <f>DATA!Y207</f>
        <v xml:space="preserve">Perancis (AFD)  </v>
      </c>
      <c r="V232" s="77">
        <f>DATA!AA207</f>
        <v>114400000</v>
      </c>
      <c r="W232" s="77">
        <f>DATA!AG207</f>
        <v>0</v>
      </c>
      <c r="X232" s="1450" t="str">
        <f>DATA!Y207</f>
        <v xml:space="preserve">Perancis (AFD)  </v>
      </c>
      <c r="Y232" s="109">
        <v>114400000</v>
      </c>
      <c r="Z232" s="109" t="s">
        <v>1063</v>
      </c>
      <c r="AA232" s="1484" t="s">
        <v>1169</v>
      </c>
      <c r="AB232" s="828"/>
      <c r="AC232" s="1485"/>
      <c r="AD232" s="1486"/>
      <c r="AE232" s="1486"/>
      <c r="AF232" s="1486"/>
      <c r="AG232" s="1514" t="s">
        <v>1265</v>
      </c>
      <c r="AH232" s="1509">
        <f>DATA!AT207</f>
        <v>114400000</v>
      </c>
      <c r="AI232" s="109" t="str">
        <f>DATA!AU207</f>
        <v xml:space="preserve">Perancis (AFD)  </v>
      </c>
      <c r="AJ232" s="216" t="str">
        <f>DATA!AW207</f>
        <v>-</v>
      </c>
      <c r="AK232" s="245">
        <f>DATA!AM207</f>
        <v>0</v>
      </c>
      <c r="AL232" s="1510" t="str">
        <f>DATA!AN207</f>
        <v>dalam proses
(penyusunan FS)</v>
      </c>
      <c r="AM232" s="1511" t="str">
        <f>DATA!AO207</f>
        <v>dalam proses
(pelaksanaan)</v>
      </c>
      <c r="AN232" s="1519">
        <f>DATA!AQ207</f>
        <v>0</v>
      </c>
      <c r="AO232" s="1533" t="str">
        <f>DATA!AR207</f>
        <v>- tidak diketahui berapa persen proses pelaksanaannya
- belum ada dokumen R/C</v>
      </c>
      <c r="AQ232" s="10">
        <f t="shared" si="36"/>
        <v>0</v>
      </c>
      <c r="AR232" s="10">
        <f t="shared" si="30"/>
        <v>0</v>
      </c>
      <c r="AS232" s="10">
        <f t="shared" si="31"/>
        <v>0</v>
      </c>
      <c r="AT232" s="10">
        <f t="shared" si="32"/>
        <v>0</v>
      </c>
    </row>
    <row r="233" spans="1:46" ht="24.75" customHeight="1">
      <c r="J233" s="181"/>
      <c r="K233" s="1421">
        <v>21</v>
      </c>
      <c r="L233" s="1422" t="s">
        <v>1105</v>
      </c>
      <c r="M233" s="1421"/>
      <c r="N233" s="1423"/>
      <c r="O233" s="213">
        <f t="shared" ref="O233:R234" si="43">O234</f>
        <v>0</v>
      </c>
      <c r="P233" s="194">
        <f t="shared" si="43"/>
        <v>200000000</v>
      </c>
      <c r="Q233" s="194">
        <f t="shared" si="43"/>
        <v>0</v>
      </c>
      <c r="R233" s="194">
        <f t="shared" si="43"/>
        <v>0</v>
      </c>
      <c r="S233" s="242">
        <f t="shared" si="33"/>
        <v>200000000</v>
      </c>
      <c r="T233" s="1434"/>
      <c r="U233" s="1435"/>
      <c r="V233" s="80">
        <f>V234</f>
        <v>0</v>
      </c>
      <c r="W233" s="80">
        <f>W234</f>
        <v>200000000</v>
      </c>
      <c r="X233" s="241"/>
      <c r="Y233" s="80">
        <f>Y234</f>
        <v>200000000</v>
      </c>
      <c r="Z233" s="80"/>
      <c r="AA233" s="1465"/>
      <c r="AB233" s="1466"/>
      <c r="AC233" s="1467"/>
      <c r="AD233" s="1468"/>
      <c r="AE233" s="1468"/>
      <c r="AF233" s="1468"/>
      <c r="AG233" s="1500"/>
      <c r="AH233" s="195">
        <f>AH234</f>
        <v>200000000</v>
      </c>
      <c r="AI233" s="80" t="s">
        <v>21</v>
      </c>
      <c r="AJ233" s="213"/>
      <c r="AK233" s="1501"/>
      <c r="AL233" s="1502"/>
      <c r="AM233" s="168"/>
      <c r="AN233" s="1503"/>
      <c r="AO233" s="1529"/>
      <c r="AQ233" s="10">
        <f t="shared" si="36"/>
        <v>0</v>
      </c>
      <c r="AR233" s="10">
        <f t="shared" si="30"/>
        <v>0</v>
      </c>
      <c r="AS233" s="10">
        <f t="shared" si="31"/>
        <v>0</v>
      </c>
      <c r="AT233" s="10">
        <f t="shared" si="32"/>
        <v>0</v>
      </c>
    </row>
    <row r="234" spans="1:46" ht="36.75" customHeight="1">
      <c r="J234" s="181"/>
      <c r="K234" s="29"/>
      <c r="L234" s="30" t="s">
        <v>23</v>
      </c>
      <c r="M234" s="3448" t="s">
        <v>1106</v>
      </c>
      <c r="N234" s="3427"/>
      <c r="O234" s="214">
        <f t="shared" si="43"/>
        <v>0</v>
      </c>
      <c r="P234" s="197">
        <f t="shared" si="43"/>
        <v>200000000</v>
      </c>
      <c r="Q234" s="1436">
        <f t="shared" si="43"/>
        <v>0</v>
      </c>
      <c r="R234" s="1436">
        <f t="shared" si="43"/>
        <v>0</v>
      </c>
      <c r="S234" s="244">
        <f t="shared" si="33"/>
        <v>200000000</v>
      </c>
      <c r="T234" s="1437"/>
      <c r="U234" s="198"/>
      <c r="V234" s="81">
        <f>V235</f>
        <v>0</v>
      </c>
      <c r="W234" s="81">
        <f>W235</f>
        <v>200000000</v>
      </c>
      <c r="X234" s="243"/>
      <c r="Y234" s="81">
        <f>Y235</f>
        <v>200000000</v>
      </c>
      <c r="Z234" s="81"/>
      <c r="AA234" s="1469"/>
      <c r="AB234" s="1470"/>
      <c r="AC234" s="1471"/>
      <c r="AD234" s="1472"/>
      <c r="AE234" s="1472"/>
      <c r="AF234" s="1472"/>
      <c r="AG234" s="1504"/>
      <c r="AH234" s="198">
        <f>AH235</f>
        <v>200000000</v>
      </c>
      <c r="AI234" s="81" t="s">
        <v>21</v>
      </c>
      <c r="AJ234" s="214"/>
      <c r="AK234" s="1505"/>
      <c r="AL234" s="1506"/>
      <c r="AM234" s="169"/>
      <c r="AN234" s="1507"/>
      <c r="AO234" s="1530"/>
      <c r="AQ234" s="10">
        <f t="shared" si="36"/>
        <v>0</v>
      </c>
      <c r="AR234" s="10">
        <f t="shared" si="30"/>
        <v>0</v>
      </c>
      <c r="AS234" s="10">
        <f t="shared" si="31"/>
        <v>0</v>
      </c>
      <c r="AT234" s="10">
        <f t="shared" si="32"/>
        <v>0</v>
      </c>
    </row>
    <row r="235" spans="1:46" ht="63" customHeight="1">
      <c r="J235" s="181"/>
      <c r="K235" s="54"/>
      <c r="L235" s="36"/>
      <c r="M235" s="36">
        <v>110</v>
      </c>
      <c r="N235" s="271" t="s">
        <v>1107</v>
      </c>
      <c r="O235" s="1402">
        <f>DATA!T208</f>
        <v>0</v>
      </c>
      <c r="P235" s="187">
        <f>DATA!U208</f>
        <v>200000000</v>
      </c>
      <c r="Q235" s="187">
        <f>DATA!V208</f>
        <v>0</v>
      </c>
      <c r="R235" s="187">
        <f>DATA!W208</f>
        <v>0</v>
      </c>
      <c r="S235" s="1447">
        <f t="shared" si="33"/>
        <v>200000000</v>
      </c>
      <c r="T235" s="1457"/>
      <c r="U235" s="1440"/>
      <c r="V235" s="1458">
        <v>0</v>
      </c>
      <c r="W235" s="77">
        <f>DATA!AA208</f>
        <v>200000000</v>
      </c>
      <c r="X235" s="1450" t="str">
        <f>DATA!Y208</f>
        <v>Belum Ada Indikasi</v>
      </c>
      <c r="Y235" s="273">
        <v>200000000</v>
      </c>
      <c r="Z235" s="109" t="s">
        <v>62</v>
      </c>
      <c r="AA235" s="1484" t="s">
        <v>1266</v>
      </c>
      <c r="AB235" s="828"/>
      <c r="AC235" s="1485"/>
      <c r="AD235" s="1486"/>
      <c r="AE235" s="1486"/>
      <c r="AF235" s="1486"/>
      <c r="AG235" s="3253" t="s">
        <v>1267</v>
      </c>
      <c r="AH235" s="1509">
        <f>DATA!AT208</f>
        <v>200000000</v>
      </c>
      <c r="AI235" s="109" t="str">
        <f>DATA!AU208</f>
        <v>Belum Ada Indikasi</v>
      </c>
      <c r="AJ235" s="216">
        <f>DATA!AW208</f>
        <v>0</v>
      </c>
      <c r="AK235" s="245">
        <f>DATA!AM208</f>
        <v>0</v>
      </c>
      <c r="AL235" s="1510" t="str">
        <f>DATA!AN208</f>
        <v>belum ada keterangan</v>
      </c>
      <c r="AM235" s="1511" t="str">
        <f>DATA!AO208</f>
        <v>belum ada keterangan</v>
      </c>
      <c r="AN235" s="1519">
        <f>DATA!AQ208</f>
        <v>0</v>
      </c>
      <c r="AO235" s="1533" t="str">
        <f>DATA!AR208</f>
        <v>belum ada dokumen R/C</v>
      </c>
      <c r="AQ235" s="10">
        <f t="shared" si="36"/>
        <v>0</v>
      </c>
      <c r="AR235" s="10">
        <f t="shared" si="30"/>
        <v>0</v>
      </c>
      <c r="AS235" s="10">
        <f t="shared" si="31"/>
        <v>0</v>
      </c>
      <c r="AT235" s="10">
        <f t="shared" si="32"/>
        <v>0</v>
      </c>
    </row>
    <row r="236" spans="1:46" ht="24" customHeight="1">
      <c r="J236" s="181"/>
      <c r="K236" s="1405">
        <v>22</v>
      </c>
      <c r="L236" s="1406" t="str">
        <f>DATA!F209</f>
        <v>Lembaga Ilmu Pengetahuan Indonesia (LIPI)</v>
      </c>
      <c r="M236" s="1405"/>
      <c r="N236" s="1407"/>
      <c r="O236" s="213">
        <f t="shared" ref="O236:R237" si="44">O237</f>
        <v>0</v>
      </c>
      <c r="P236" s="194">
        <f t="shared" si="44"/>
        <v>107950000</v>
      </c>
      <c r="Q236" s="194">
        <f t="shared" si="44"/>
        <v>2950000</v>
      </c>
      <c r="R236" s="194">
        <f t="shared" si="44"/>
        <v>0</v>
      </c>
      <c r="S236" s="242">
        <f t="shared" si="33"/>
        <v>110900000</v>
      </c>
      <c r="T236" s="1434"/>
      <c r="U236" s="1435"/>
      <c r="V236" s="80">
        <f>V237</f>
        <v>0</v>
      </c>
      <c r="W236" s="80">
        <f>W237</f>
        <v>107950000</v>
      </c>
      <c r="X236" s="241"/>
      <c r="Y236" s="80">
        <f>Y237</f>
        <v>107950000</v>
      </c>
      <c r="Z236" s="80"/>
      <c r="AA236" s="1465"/>
      <c r="AB236" s="1466"/>
      <c r="AC236" s="1467"/>
      <c r="AD236" s="1468"/>
      <c r="AE236" s="1468"/>
      <c r="AF236" s="1468"/>
      <c r="AG236" s="1500"/>
      <c r="AH236" s="195">
        <f>AH237</f>
        <v>107950000</v>
      </c>
      <c r="AI236" s="80" t="s">
        <v>21</v>
      </c>
      <c r="AJ236" s="213"/>
      <c r="AK236" s="1501"/>
      <c r="AL236" s="1502"/>
      <c r="AM236" s="168"/>
      <c r="AN236" s="1503"/>
      <c r="AO236" s="1529"/>
      <c r="AQ236" s="10">
        <f t="shared" si="36"/>
        <v>0</v>
      </c>
      <c r="AR236" s="10">
        <f t="shared" si="30"/>
        <v>0</v>
      </c>
      <c r="AS236" s="10">
        <f t="shared" si="31"/>
        <v>0</v>
      </c>
      <c r="AT236" s="10">
        <f t="shared" si="32"/>
        <v>0</v>
      </c>
    </row>
    <row r="237" spans="1:46" ht="23.25" customHeight="1">
      <c r="A237" s="1397"/>
      <c r="B237" s="20"/>
      <c r="C237" s="20"/>
      <c r="D237" s="20"/>
      <c r="E237" s="20"/>
      <c r="F237" s="20"/>
      <c r="G237" s="20"/>
      <c r="H237" s="20"/>
      <c r="I237" s="186"/>
      <c r="J237" s="181"/>
      <c r="K237" s="29"/>
      <c r="L237" s="30" t="s">
        <v>23</v>
      </c>
      <c r="M237" s="3448" t="str">
        <f>DATA!J209</f>
        <v xml:space="preserve">Program Pengembangan Penelitian Kelautan </v>
      </c>
      <c r="N237" s="3427"/>
      <c r="O237" s="214">
        <f t="shared" si="44"/>
        <v>0</v>
      </c>
      <c r="P237" s="197">
        <f t="shared" si="44"/>
        <v>107950000</v>
      </c>
      <c r="Q237" s="1436">
        <f t="shared" si="44"/>
        <v>2950000</v>
      </c>
      <c r="R237" s="1436">
        <f t="shared" si="44"/>
        <v>0</v>
      </c>
      <c r="S237" s="244">
        <f t="shared" si="33"/>
        <v>110900000</v>
      </c>
      <c r="T237" s="1437"/>
      <c r="U237" s="198"/>
      <c r="V237" s="81">
        <f>V238</f>
        <v>0</v>
      </c>
      <c r="W237" s="81">
        <f>W238</f>
        <v>107950000</v>
      </c>
      <c r="X237" s="243"/>
      <c r="Y237" s="81">
        <f>Y238</f>
        <v>107950000</v>
      </c>
      <c r="Z237" s="81"/>
      <c r="AA237" s="1469"/>
      <c r="AB237" s="1470"/>
      <c r="AC237" s="1471"/>
      <c r="AD237" s="1472"/>
      <c r="AE237" s="1472"/>
      <c r="AF237" s="1472"/>
      <c r="AG237" s="1504"/>
      <c r="AH237" s="198">
        <f>AH238</f>
        <v>107950000</v>
      </c>
      <c r="AI237" s="81" t="s">
        <v>21</v>
      </c>
      <c r="AJ237" s="214"/>
      <c r="AK237" s="1505"/>
      <c r="AL237" s="1506"/>
      <c r="AM237" s="169"/>
      <c r="AN237" s="1507"/>
      <c r="AO237" s="1530"/>
      <c r="AP237" s="1533">
        <f>DATA!AT211</f>
        <v>0</v>
      </c>
      <c r="AQ237" s="10">
        <f t="shared" si="36"/>
        <v>0</v>
      </c>
      <c r="AR237" s="10">
        <f t="shared" si="30"/>
        <v>0</v>
      </c>
      <c r="AS237" s="10">
        <f t="shared" si="31"/>
        <v>0</v>
      </c>
      <c r="AT237" s="10">
        <f t="shared" si="32"/>
        <v>0</v>
      </c>
    </row>
    <row r="238" spans="1:46" ht="28.5" customHeight="1">
      <c r="A238" s="1397"/>
      <c r="B238" s="20"/>
      <c r="C238" s="20"/>
      <c r="D238" s="20"/>
      <c r="E238" s="20"/>
      <c r="F238" s="20"/>
      <c r="G238" s="20"/>
      <c r="H238" s="20"/>
      <c r="I238" s="186"/>
      <c r="J238" s="181"/>
      <c r="K238" s="54"/>
      <c r="L238" s="36"/>
      <c r="M238" s="36">
        <v>111</v>
      </c>
      <c r="N238" s="199" t="s">
        <v>1078</v>
      </c>
      <c r="O238" s="1413">
        <v>0</v>
      </c>
      <c r="P238" s="1424">
        <v>107950000</v>
      </c>
      <c r="Q238" s="1459">
        <v>2950000</v>
      </c>
      <c r="R238" s="1459">
        <v>0</v>
      </c>
      <c r="S238" s="1447">
        <f t="shared" si="33"/>
        <v>110900000</v>
      </c>
      <c r="T238" s="1457"/>
      <c r="U238" s="1440"/>
      <c r="V238" s="1458">
        <v>0</v>
      </c>
      <c r="W238" s="77">
        <f>DATA!AA209</f>
        <v>107950000</v>
      </c>
      <c r="X238" s="1450" t="str">
        <f>DATA!Y209</f>
        <v>Belum Ada Indikasi</v>
      </c>
      <c r="Y238" s="109">
        <v>107950000</v>
      </c>
      <c r="Z238" s="109" t="s">
        <v>633</v>
      </c>
      <c r="AA238" s="1484" t="s">
        <v>879</v>
      </c>
      <c r="AB238" s="828"/>
      <c r="AC238" s="1485"/>
      <c r="AD238" s="1486"/>
      <c r="AE238" s="1486"/>
      <c r="AF238" s="1486"/>
      <c r="AG238" s="1514"/>
      <c r="AH238" s="1509">
        <f>DATA!AT209</f>
        <v>107950000</v>
      </c>
      <c r="AI238" s="109" t="str">
        <f>DATA!AU209</f>
        <v>Belum Ada Indikasi</v>
      </c>
      <c r="AJ238" s="216">
        <f>DATA!AW209</f>
        <v>0</v>
      </c>
      <c r="AK238" s="245">
        <f>DATA!AM209</f>
        <v>0</v>
      </c>
      <c r="AL238" s="1510" t="str">
        <f>DATA!AN209</f>
        <v>belum ada keterangan</v>
      </c>
      <c r="AM238" s="1511" t="str">
        <f>DATA!AO209</f>
        <v>belum ada keterangan</v>
      </c>
      <c r="AN238" s="1519">
        <f>DATA!AQ209</f>
        <v>0</v>
      </c>
      <c r="AO238" s="1533" t="str">
        <f>DATA!AR209</f>
        <v>belum ada dokumen R/C</v>
      </c>
      <c r="AP238" s="3"/>
      <c r="AQ238" s="10">
        <f t="shared" si="36"/>
        <v>0</v>
      </c>
      <c r="AR238" s="10">
        <f t="shared" si="30"/>
        <v>0</v>
      </c>
      <c r="AS238" s="10">
        <f t="shared" si="31"/>
        <v>107950000</v>
      </c>
      <c r="AT238" s="10">
        <f t="shared" si="32"/>
        <v>0</v>
      </c>
    </row>
    <row r="239" spans="1:46" s="3" customFormat="1" ht="30" customHeight="1">
      <c r="J239" s="3450" t="s">
        <v>477</v>
      </c>
      <c r="K239" s="3451"/>
      <c r="L239" s="3451"/>
      <c r="M239" s="3573"/>
      <c r="N239" s="3573"/>
      <c r="O239" s="282" t="e">
        <f>+O8+O156</f>
        <v>#REF!</v>
      </c>
      <c r="P239" s="278" t="e">
        <f>+P8+P156</f>
        <v>#NAME?</v>
      </c>
      <c r="Q239" s="1460">
        <f>+Q8+Q156</f>
        <v>5668619300</v>
      </c>
      <c r="R239" s="1460" t="e">
        <f>+R8+R156</f>
        <v>#REF!</v>
      </c>
      <c r="S239" s="288" t="e">
        <f t="shared" si="33"/>
        <v>#NAME?</v>
      </c>
      <c r="T239" s="1461"/>
      <c r="U239" s="279"/>
      <c r="V239" s="280" t="e">
        <f>+V8+V156</f>
        <v>#REF!</v>
      </c>
      <c r="W239" s="280" t="e">
        <f>+W8+W156</f>
        <v>#REF!</v>
      </c>
      <c r="X239" s="287"/>
      <c r="Y239" s="280">
        <f>+Y8+Y156</f>
        <v>40136461100</v>
      </c>
      <c r="Z239" s="280"/>
      <c r="AA239" s="280"/>
      <c r="AB239" s="1490"/>
      <c r="AC239" s="1490"/>
      <c r="AD239" s="1490"/>
      <c r="AE239" s="1490"/>
      <c r="AF239" s="1490"/>
      <c r="AG239" s="285"/>
      <c r="AH239" s="279" t="e">
        <f>+AH8+AH156</f>
        <v>#REF!</v>
      </c>
      <c r="AI239" s="280" t="s">
        <v>21</v>
      </c>
      <c r="AJ239" s="280" t="s">
        <v>21</v>
      </c>
      <c r="AK239" s="1523"/>
      <c r="AL239" s="1524"/>
      <c r="AM239" s="1525"/>
      <c r="AN239" s="1526"/>
      <c r="AO239" s="1534"/>
      <c r="AP239" s="12"/>
      <c r="AQ239" s="1535">
        <f>SUM(AQ11:AQ238)</f>
        <v>1302266900</v>
      </c>
      <c r="AR239" s="1535">
        <f>SUM(AR11:AR238)</f>
        <v>14400230000</v>
      </c>
      <c r="AS239" s="1535">
        <f>SUM(AS11:AS238)</f>
        <v>5671404520</v>
      </c>
      <c r="AT239" s="1535">
        <f>SUM(AT11:AT238)</f>
        <v>1257480580</v>
      </c>
    </row>
    <row r="240" spans="1:46" s="12" customFormat="1">
      <c r="A240" s="10"/>
      <c r="B240" s="10"/>
      <c r="C240" s="10"/>
      <c r="D240" s="10"/>
      <c r="E240" s="10"/>
      <c r="F240" s="10"/>
      <c r="G240" s="10"/>
      <c r="H240" s="10"/>
      <c r="I240" s="10"/>
      <c r="J240" s="11"/>
      <c r="K240" s="10"/>
      <c r="L240" s="10"/>
      <c r="M240" s="1425"/>
      <c r="N240" s="1426"/>
      <c r="O240" s="13"/>
      <c r="P240" s="13"/>
      <c r="Q240" s="1395"/>
      <c r="R240" s="1395"/>
      <c r="S240" s="13"/>
      <c r="T240" s="13"/>
      <c r="U240" s="14"/>
      <c r="V240" s="13"/>
      <c r="W240" s="13"/>
      <c r="X240" s="13"/>
      <c r="Y240" s="13"/>
      <c r="Z240" s="13"/>
      <c r="AA240" s="13"/>
      <c r="AB240" s="13"/>
      <c r="AC240" s="13"/>
      <c r="AD240" s="13"/>
      <c r="AE240" s="13"/>
      <c r="AF240" s="13"/>
      <c r="AG240" s="13"/>
      <c r="AK240" s="14"/>
      <c r="AL240" s="14"/>
      <c r="AM240" s="14"/>
      <c r="AN240" s="14"/>
      <c r="AO240" s="175"/>
    </row>
    <row r="241" spans="1:42" s="12" customFormat="1">
      <c r="A241" s="10"/>
      <c r="B241" s="10"/>
      <c r="C241" s="10"/>
      <c r="D241" s="10"/>
      <c r="E241" s="10"/>
      <c r="F241" s="10"/>
      <c r="G241" s="10"/>
      <c r="H241" s="10"/>
      <c r="I241" s="10"/>
      <c r="J241" s="11"/>
      <c r="K241" s="10" t="s">
        <v>1111</v>
      </c>
      <c r="L241" s="10"/>
      <c r="M241" s="10"/>
      <c r="O241" s="13"/>
      <c r="P241" s="13"/>
      <c r="Q241" s="1395"/>
      <c r="R241" s="1395"/>
      <c r="S241" s="13"/>
      <c r="T241" s="13"/>
      <c r="U241" s="14"/>
      <c r="V241" s="13" t="e">
        <f>V239+W239</f>
        <v>#REF!</v>
      </c>
      <c r="W241" s="13"/>
      <c r="X241" s="13"/>
      <c r="Y241" s="13"/>
      <c r="Z241" s="13"/>
      <c r="AA241" s="13"/>
      <c r="AB241" s="13"/>
      <c r="AC241" s="13"/>
      <c r="AD241" s="13"/>
      <c r="AE241" s="13"/>
      <c r="AF241" s="13"/>
      <c r="AG241" s="13"/>
      <c r="AH241" s="289"/>
      <c r="AK241" s="14"/>
      <c r="AL241" s="14"/>
      <c r="AM241" s="14"/>
      <c r="AN241" s="14"/>
      <c r="AO241" s="175"/>
      <c r="AP241" s="10"/>
    </row>
    <row r="242" spans="1:42">
      <c r="V242" s="13" t="e">
        <f>V241-AH239</f>
        <v>#REF!</v>
      </c>
      <c r="Y242" s="13">
        <f>Y239+5809063500</f>
        <v>45945524600</v>
      </c>
      <c r="Z242" s="13" t="e">
        <f>Y239-#REF!</f>
        <v>#REF!</v>
      </c>
    </row>
    <row r="244" spans="1:42">
      <c r="AH244" s="289"/>
    </row>
    <row r="245" spans="1:42">
      <c r="Y245" s="13">
        <f>Y229+Y224+Y222+Y220+Y210+Y190+Y184+Y176+Y175+Y174+Y172+Y171+Y170+Y162+Y159+Y153+Y140+Y125+Y115+Y107+Y99+Y91</f>
        <v>4678071380</v>
      </c>
      <c r="AP245" s="12"/>
    </row>
    <row r="246" spans="1:42" s="12" customFormat="1">
      <c r="A246" s="10"/>
      <c r="B246" s="10"/>
      <c r="C246" s="10"/>
      <c r="D246" s="10"/>
      <c r="E246" s="10"/>
      <c r="F246" s="10"/>
      <c r="G246" s="10"/>
      <c r="H246" s="10"/>
      <c r="I246" s="10"/>
      <c r="J246" s="11"/>
      <c r="K246" s="10"/>
      <c r="L246" s="10"/>
      <c r="M246" s="10"/>
      <c r="O246" s="13"/>
      <c r="P246" s="13"/>
      <c r="Q246" s="1395"/>
      <c r="R246" s="1395"/>
      <c r="S246" s="13"/>
      <c r="T246" s="13"/>
      <c r="U246" s="14"/>
      <c r="V246" s="13"/>
      <c r="W246" s="13"/>
      <c r="X246" s="13"/>
      <c r="Y246" s="13"/>
      <c r="Z246" s="13"/>
      <c r="AA246" s="13"/>
      <c r="AB246" s="13"/>
      <c r="AC246" s="13"/>
      <c r="AD246" s="13"/>
      <c r="AE246" s="13"/>
      <c r="AF246" s="13"/>
      <c r="AG246" s="13"/>
      <c r="AI246" s="289"/>
      <c r="AK246" s="14"/>
      <c r="AL246" s="14"/>
      <c r="AM246" s="14"/>
      <c r="AN246" s="14"/>
      <c r="AO246" s="175"/>
    </row>
    <row r="247" spans="1:42" s="12" customFormat="1">
      <c r="A247" s="10"/>
      <c r="B247" s="10"/>
      <c r="C247" s="10"/>
      <c r="D247" s="10"/>
      <c r="E247" s="10"/>
      <c r="F247" s="10"/>
      <c r="G247" s="10"/>
      <c r="H247" s="10"/>
      <c r="I247" s="10"/>
      <c r="J247" s="11"/>
      <c r="K247" s="10"/>
      <c r="L247" s="10"/>
      <c r="M247" s="10"/>
      <c r="O247" s="13"/>
      <c r="P247" s="13"/>
      <c r="Q247" s="1395"/>
      <c r="R247" s="1395"/>
      <c r="S247" s="13"/>
      <c r="T247" s="13"/>
      <c r="U247" s="14"/>
      <c r="V247" s="13"/>
      <c r="W247" s="13"/>
      <c r="X247" s="13"/>
      <c r="Y247" s="13">
        <f>Y228+Y224+Y222+Y220+Y210+Y190+Y176+Y175+Y174+Y172+Y171+Y170+Y162+Y159+Y153+Y140+Y125+Y115+Y107+Y99+Y69+Y91+Y66+Y63+Y60+Y30+Y11+71100000</f>
        <v>5909359380</v>
      </c>
      <c r="Z247" s="13"/>
      <c r="AA247" s="13"/>
      <c r="AB247" s="13"/>
      <c r="AC247" s="13"/>
      <c r="AD247" s="13"/>
      <c r="AE247" s="13"/>
      <c r="AF247" s="13"/>
      <c r="AG247" s="13"/>
      <c r="AH247" s="289"/>
      <c r="AK247" s="14"/>
      <c r="AL247" s="14"/>
      <c r="AM247" s="14"/>
      <c r="AN247" s="14"/>
      <c r="AO247" s="175"/>
      <c r="AP247" s="1536"/>
    </row>
    <row r="248" spans="1:42" s="12" customFormat="1">
      <c r="A248" s="10"/>
      <c r="B248" s="10"/>
      <c r="C248" s="10"/>
      <c r="D248" s="10"/>
      <c r="E248" s="10"/>
      <c r="F248" s="10"/>
      <c r="G248" s="10"/>
      <c r="H248" s="10"/>
      <c r="I248" s="10"/>
      <c r="J248" s="11"/>
      <c r="K248" s="10"/>
      <c r="L248" s="10"/>
      <c r="M248" s="10"/>
      <c r="O248" s="13"/>
      <c r="P248" s="13"/>
      <c r="Q248" s="1395"/>
      <c r="R248" s="1395"/>
      <c r="S248" s="13"/>
      <c r="T248" s="13"/>
      <c r="U248" s="14"/>
      <c r="V248" s="13"/>
      <c r="W248" s="13"/>
      <c r="X248" s="13"/>
      <c r="Y248" s="13"/>
      <c r="Z248" s="13"/>
      <c r="AA248" s="13"/>
      <c r="AB248" s="13"/>
      <c r="AC248" s="13"/>
      <c r="AD248" s="13"/>
      <c r="AE248" s="13"/>
      <c r="AF248" s="13"/>
      <c r="AG248" s="13"/>
      <c r="AK248" s="14"/>
      <c r="AL248" s="14"/>
      <c r="AM248" s="14"/>
      <c r="AN248" s="14"/>
      <c r="AO248" s="175"/>
      <c r="AP248" s="10"/>
    </row>
  </sheetData>
  <autoFilter ref="A7:AO239"/>
  <mergeCells count="166">
    <mergeCell ref="AM43:AM44"/>
    <mergeCell ref="AM48:AM51"/>
    <mergeCell ref="AM67:AM68"/>
    <mergeCell ref="AM91:AM92"/>
    <mergeCell ref="AM196:AM198"/>
    <mergeCell ref="AM204:AM205"/>
    <mergeCell ref="AM206:AM207"/>
    <mergeCell ref="AN11:AN13"/>
    <mergeCell ref="AO11:AO13"/>
    <mergeCell ref="AO48:AO51"/>
    <mergeCell ref="AO196:AO198"/>
    <mergeCell ref="AO204:AO205"/>
    <mergeCell ref="AO206:AO207"/>
    <mergeCell ref="AA72:AA73"/>
    <mergeCell ref="AA228:AA229"/>
    <mergeCell ref="AG5:AG6"/>
    <mergeCell ref="AG24:AG25"/>
    <mergeCell ref="AG72:AG73"/>
    <mergeCell ref="AG228:AG229"/>
    <mergeCell ref="AK11:AK13"/>
    <mergeCell ref="AL11:AL13"/>
    <mergeCell ref="AL43:AL44"/>
    <mergeCell ref="AL48:AL51"/>
    <mergeCell ref="AL67:AL68"/>
    <mergeCell ref="AL91:AL92"/>
    <mergeCell ref="AL196:AL198"/>
    <mergeCell ref="AL204:AL205"/>
    <mergeCell ref="AL206:AL207"/>
    <mergeCell ref="W48:W49"/>
    <mergeCell ref="W67:W68"/>
    <mergeCell ref="W153:W154"/>
    <mergeCell ref="X48:X49"/>
    <mergeCell ref="X67:X68"/>
    <mergeCell ref="X153:X154"/>
    <mergeCell ref="Y5:Y6"/>
    <mergeCell ref="Z5:Z6"/>
    <mergeCell ref="Z72:Z73"/>
    <mergeCell ref="T91:T92"/>
    <mergeCell ref="T153:T154"/>
    <mergeCell ref="T204:T205"/>
    <mergeCell ref="T206:T207"/>
    <mergeCell ref="U48:U49"/>
    <mergeCell ref="U67:U68"/>
    <mergeCell ref="V11:V13"/>
    <mergeCell ref="V48:V49"/>
    <mergeCell ref="V67:V68"/>
    <mergeCell ref="V153:V154"/>
    <mergeCell ref="S43:S44"/>
    <mergeCell ref="S48:S51"/>
    <mergeCell ref="S67:S68"/>
    <mergeCell ref="S91:S92"/>
    <mergeCell ref="S99:S100"/>
    <mergeCell ref="S153:S154"/>
    <mergeCell ref="S196:S198"/>
    <mergeCell ref="S204:S205"/>
    <mergeCell ref="S206:S207"/>
    <mergeCell ref="R43:R44"/>
    <mergeCell ref="R48:R51"/>
    <mergeCell ref="R67:R68"/>
    <mergeCell ref="R91:R92"/>
    <mergeCell ref="R99:R100"/>
    <mergeCell ref="R153:R154"/>
    <mergeCell ref="R196:R198"/>
    <mergeCell ref="R204:R205"/>
    <mergeCell ref="R206:R207"/>
    <mergeCell ref="Q43:Q44"/>
    <mergeCell ref="Q48:Q51"/>
    <mergeCell ref="Q67:Q68"/>
    <mergeCell ref="Q91:Q92"/>
    <mergeCell ref="Q99:Q100"/>
    <mergeCell ref="Q153:Q154"/>
    <mergeCell ref="Q196:Q198"/>
    <mergeCell ref="Q204:Q205"/>
    <mergeCell ref="Q206:Q207"/>
    <mergeCell ref="P43:P44"/>
    <mergeCell ref="P48:P51"/>
    <mergeCell ref="P67:P68"/>
    <mergeCell ref="P91:P92"/>
    <mergeCell ref="P99:P100"/>
    <mergeCell ref="P153:P154"/>
    <mergeCell ref="P196:P198"/>
    <mergeCell ref="P204:P205"/>
    <mergeCell ref="P206:P207"/>
    <mergeCell ref="N228:N229"/>
    <mergeCell ref="O5:O6"/>
    <mergeCell ref="O11:O13"/>
    <mergeCell ref="O43:O44"/>
    <mergeCell ref="O48:O51"/>
    <mergeCell ref="O67:O68"/>
    <mergeCell ref="O91:O92"/>
    <mergeCell ref="O99:O100"/>
    <mergeCell ref="O153:O154"/>
    <mergeCell ref="O196:O198"/>
    <mergeCell ref="O204:O205"/>
    <mergeCell ref="O206:O207"/>
    <mergeCell ref="J5:N6"/>
    <mergeCell ref="M183:N183"/>
    <mergeCell ref="M186:N186"/>
    <mergeCell ref="M191:N191"/>
    <mergeCell ref="M193:N193"/>
    <mergeCell ref="M203:N203"/>
    <mergeCell ref="M208:N208"/>
    <mergeCell ref="M231:N231"/>
    <mergeCell ref="M234:N234"/>
    <mergeCell ref="M237:N237"/>
    <mergeCell ref="J239:N239"/>
    <mergeCell ref="M11:M13"/>
    <mergeCell ref="M32:M39"/>
    <mergeCell ref="M43:M44"/>
    <mergeCell ref="M48:M51"/>
    <mergeCell ref="M66:M68"/>
    <mergeCell ref="M91:M92"/>
    <mergeCell ref="M99:M100"/>
    <mergeCell ref="M113:M114"/>
    <mergeCell ref="M153:M154"/>
    <mergeCell ref="M159:M167"/>
    <mergeCell ref="M170:M181"/>
    <mergeCell ref="M184:M185"/>
    <mergeCell ref="M196:M198"/>
    <mergeCell ref="M204:M205"/>
    <mergeCell ref="M206:M207"/>
    <mergeCell ref="N11:N13"/>
    <mergeCell ref="N43:N44"/>
    <mergeCell ref="N48:N51"/>
    <mergeCell ref="N67:N68"/>
    <mergeCell ref="N91:N92"/>
    <mergeCell ref="M212:N212"/>
    <mergeCell ref="M218:N218"/>
    <mergeCell ref="M227:N227"/>
    <mergeCell ref="M54:N54"/>
    <mergeCell ref="M101:N101"/>
    <mergeCell ref="M132:N132"/>
    <mergeCell ref="M135:N135"/>
    <mergeCell ref="M146:N146"/>
    <mergeCell ref="M149:N149"/>
    <mergeCell ref="M152:N152"/>
    <mergeCell ref="M158:N158"/>
    <mergeCell ref="M169:N169"/>
    <mergeCell ref="N99:N100"/>
    <mergeCell ref="N153:N154"/>
    <mergeCell ref="N159:N160"/>
    <mergeCell ref="N172:N173"/>
    <mergeCell ref="N184:N185"/>
    <mergeCell ref="N196:N198"/>
    <mergeCell ref="N204:N205"/>
    <mergeCell ref="N206:N207"/>
    <mergeCell ref="J1:AO1"/>
    <mergeCell ref="J2:AO2"/>
    <mergeCell ref="U4:AJ4"/>
    <mergeCell ref="AK4:AO4"/>
    <mergeCell ref="U5:X5"/>
    <mergeCell ref="AB5:AF5"/>
    <mergeCell ref="AH5:AJ5"/>
    <mergeCell ref="AK5:AO5"/>
    <mergeCell ref="M42:N42"/>
    <mergeCell ref="P5:P6"/>
    <mergeCell ref="P11:P13"/>
    <mergeCell ref="Q5:Q6"/>
    <mergeCell ref="Q11:Q13"/>
    <mergeCell ref="R5:R6"/>
    <mergeCell ref="R11:R13"/>
    <mergeCell ref="S5:S6"/>
    <mergeCell ref="S11:S13"/>
    <mergeCell ref="T5:T6"/>
    <mergeCell ref="AA5:AA6"/>
    <mergeCell ref="AM11:AM13"/>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D272"/>
  <sheetViews>
    <sheetView topLeftCell="J1" zoomScale="85" zoomScaleNormal="85" workbookViewId="0">
      <pane ySplit="9" topLeftCell="A252" activePane="bottomLeft" state="frozen"/>
      <selection pane="bottomLeft" activeCell="N47" sqref="N47"/>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6.28515625" style="12" customWidth="1"/>
    <col min="15" max="16" width="9.140625" style="10" hidden="1" customWidth="1"/>
    <col min="17" max="17" width="19.85546875" style="10" hidden="1" customWidth="1"/>
    <col min="18" max="18" width="21" style="13" customWidth="1"/>
    <col min="19" max="19" width="24.85546875" style="14" hidden="1" customWidth="1"/>
    <col min="20" max="20" width="21.85546875" style="13" hidden="1" customWidth="1"/>
    <col min="21" max="21" width="21" style="13" hidden="1" customWidth="1"/>
    <col min="22" max="22" width="28.5703125" style="13" hidden="1" customWidth="1"/>
    <col min="23" max="23" width="21.42578125" style="12" hidden="1" customWidth="1"/>
    <col min="24" max="24" width="23.7109375" style="12" customWidth="1"/>
    <col min="25" max="25" width="51.28515625" style="12" hidden="1" customWidth="1"/>
    <col min="26" max="26" width="21.5703125" style="14" hidden="1" customWidth="1"/>
    <col min="27" max="27" width="22.42578125" style="14" hidden="1" customWidth="1"/>
    <col min="28" max="28" width="21.5703125" style="14" customWidth="1"/>
    <col min="29" max="29" width="21" style="1487" hidden="1" customWidth="1"/>
    <col min="30" max="30" width="15.28515625" style="10" customWidth="1"/>
    <col min="31" max="16384" width="9.140625" style="10"/>
  </cols>
  <sheetData>
    <row r="1" spans="1:30" s="1" customFormat="1" ht="18">
      <c r="J1" s="3356" t="s">
        <v>1268</v>
      </c>
      <c r="K1" s="3356"/>
      <c r="L1" s="3356"/>
      <c r="M1" s="3356"/>
      <c r="N1" s="3356"/>
      <c r="O1" s="3356"/>
      <c r="P1" s="3356"/>
      <c r="Q1" s="3356"/>
      <c r="R1" s="3356"/>
      <c r="S1" s="3356"/>
      <c r="T1" s="3356"/>
      <c r="U1" s="3356"/>
      <c r="V1" s="3356"/>
      <c r="W1" s="3356"/>
      <c r="X1" s="3356"/>
      <c r="Y1" s="3356"/>
      <c r="Z1" s="3356"/>
      <c r="AA1" s="3356"/>
      <c r="AB1" s="3356"/>
      <c r="AC1" s="3356"/>
    </row>
    <row r="2" spans="1:30" s="1" customFormat="1" ht="18" hidden="1" customHeight="1">
      <c r="J2" s="3356" t="s">
        <v>1113</v>
      </c>
      <c r="K2" s="3356"/>
      <c r="L2" s="3356"/>
      <c r="M2" s="3356"/>
      <c r="N2" s="3356"/>
      <c r="O2" s="3356"/>
      <c r="P2" s="3356"/>
      <c r="Q2" s="3356"/>
      <c r="R2" s="3356"/>
      <c r="S2" s="3356"/>
      <c r="T2" s="3356"/>
      <c r="U2" s="3356"/>
      <c r="V2" s="3356"/>
      <c r="W2" s="3356"/>
      <c r="X2" s="3356"/>
      <c r="Y2" s="3356"/>
      <c r="Z2" s="3356"/>
      <c r="AA2" s="3356"/>
      <c r="AB2" s="3356"/>
      <c r="AC2" s="15"/>
    </row>
    <row r="3" spans="1:30" s="1" customFormat="1" ht="18" hidden="1" customHeight="1">
      <c r="J3" s="3357" t="s">
        <v>1114</v>
      </c>
      <c r="K3" s="3357"/>
      <c r="L3" s="3357"/>
      <c r="M3" s="3357"/>
      <c r="N3" s="3357"/>
      <c r="O3" s="3357"/>
      <c r="P3" s="3357"/>
      <c r="Q3" s="3357"/>
      <c r="R3" s="3357"/>
      <c r="S3" s="3357"/>
      <c r="T3" s="3357"/>
      <c r="U3" s="3357"/>
      <c r="V3" s="3357"/>
      <c r="W3" s="3357"/>
      <c r="X3" s="3357"/>
      <c r="Y3" s="3357"/>
      <c r="Z3" s="3357"/>
      <c r="AA3" s="3357"/>
      <c r="AB3" s="3357"/>
      <c r="AC3" s="15"/>
    </row>
    <row r="4" spans="1:30" s="1" customFormat="1" ht="15.75" customHeight="1">
      <c r="J4" s="3631" t="s">
        <v>1269</v>
      </c>
      <c r="K4" s="3356"/>
      <c r="L4" s="3356"/>
      <c r="M4" s="3356"/>
      <c r="N4" s="3356"/>
      <c r="O4" s="3356"/>
      <c r="P4" s="3356"/>
      <c r="Q4" s="3356"/>
      <c r="R4" s="3356"/>
      <c r="S4" s="3356"/>
      <c r="T4" s="3356"/>
      <c r="U4" s="3356"/>
      <c r="V4" s="3356"/>
      <c r="W4" s="3356"/>
      <c r="X4" s="3356"/>
      <c r="Y4" s="3356"/>
      <c r="Z4" s="3356"/>
      <c r="AA4" s="3356"/>
      <c r="AB4" s="3356"/>
      <c r="AC4" s="3356"/>
    </row>
    <row r="6" spans="1:30" s="2" customFormat="1" ht="24.95" customHeight="1">
      <c r="J6" s="3388" t="s">
        <v>2</v>
      </c>
      <c r="K6" s="3372"/>
      <c r="L6" s="3372"/>
      <c r="M6" s="3372"/>
      <c r="N6" s="3372"/>
      <c r="O6" s="176"/>
      <c r="P6" s="176"/>
      <c r="Q6" s="185"/>
      <c r="R6" s="3634" t="s">
        <v>485</v>
      </c>
      <c r="S6" s="3423" t="s">
        <v>7</v>
      </c>
      <c r="T6" s="3423"/>
      <c r="U6" s="3423"/>
      <c r="V6" s="3423"/>
      <c r="W6" s="3423"/>
      <c r="X6" s="3423"/>
      <c r="Y6" s="3528"/>
      <c r="Z6" s="3542" t="s">
        <v>1086</v>
      </c>
      <c r="AA6" s="3543"/>
      <c r="AB6" s="3544"/>
      <c r="AC6" s="3634" t="s">
        <v>1270</v>
      </c>
    </row>
    <row r="7" spans="1:30" s="2" customFormat="1" ht="5.25" customHeight="1">
      <c r="J7" s="3540"/>
      <c r="K7" s="3541"/>
      <c r="L7" s="3541"/>
      <c r="M7" s="3541"/>
      <c r="N7" s="3541"/>
      <c r="O7" s="2384"/>
      <c r="P7" s="2384"/>
      <c r="Q7" s="2385"/>
      <c r="R7" s="3635"/>
      <c r="S7" s="3364" t="s">
        <v>1088</v>
      </c>
      <c r="T7" s="3364"/>
      <c r="U7" s="3364"/>
      <c r="V7" s="3530"/>
      <c r="W7" s="3531" t="s">
        <v>1089</v>
      </c>
      <c r="X7" s="3361"/>
      <c r="Y7" s="3532"/>
      <c r="Z7" s="3545"/>
      <c r="AA7" s="3546"/>
      <c r="AB7" s="3547"/>
      <c r="AC7" s="3635"/>
    </row>
    <row r="8" spans="1:30" s="2" customFormat="1" ht="35.25" customHeight="1">
      <c r="J8" s="3389"/>
      <c r="K8" s="3359"/>
      <c r="L8" s="3359"/>
      <c r="M8" s="3359"/>
      <c r="N8" s="3359"/>
      <c r="O8" s="16"/>
      <c r="P8" s="16"/>
      <c r="Q8" s="117"/>
      <c r="R8" s="3636"/>
      <c r="S8" s="97" t="s">
        <v>11</v>
      </c>
      <c r="T8" s="74" t="s">
        <v>1115</v>
      </c>
      <c r="U8" s="74" t="s">
        <v>1116</v>
      </c>
      <c r="V8" s="207" t="s">
        <v>509</v>
      </c>
      <c r="W8" s="237" t="s">
        <v>507</v>
      </c>
      <c r="X8" s="76" t="s">
        <v>510</v>
      </c>
      <c r="Y8" s="238" t="s">
        <v>511</v>
      </c>
      <c r="Z8" s="2393" t="s">
        <v>1091</v>
      </c>
      <c r="AA8" s="2394" t="s">
        <v>15</v>
      </c>
      <c r="AB8" s="2395" t="s">
        <v>511</v>
      </c>
      <c r="AC8" s="3636"/>
    </row>
    <row r="9" spans="1:30">
      <c r="J9" s="177"/>
      <c r="K9" s="18"/>
      <c r="L9" s="18"/>
      <c r="M9" s="18"/>
      <c r="N9" s="19"/>
      <c r="O9" s="20"/>
      <c r="P9" s="20"/>
      <c r="Q9" s="186"/>
      <c r="R9" s="2386"/>
      <c r="S9" s="1432"/>
      <c r="T9" s="209"/>
      <c r="U9" s="209"/>
      <c r="V9" s="210"/>
      <c r="W9" s="209"/>
      <c r="X9" s="209"/>
      <c r="Y9" s="223"/>
      <c r="AC9" s="2391"/>
    </row>
    <row r="10" spans="1:30" s="3" customFormat="1" ht="30" customHeight="1">
      <c r="A10" s="3" t="s">
        <v>21</v>
      </c>
      <c r="B10" s="3" t="s">
        <v>21</v>
      </c>
      <c r="C10" s="3" t="s">
        <v>21</v>
      </c>
      <c r="D10" s="3" t="s">
        <v>21</v>
      </c>
      <c r="E10" s="3" t="s">
        <v>21</v>
      </c>
      <c r="F10" s="3" t="s">
        <v>21</v>
      </c>
      <c r="G10" s="3" t="s">
        <v>21</v>
      </c>
      <c r="H10" s="3" t="s">
        <v>21</v>
      </c>
      <c r="I10" s="3" t="s">
        <v>21</v>
      </c>
      <c r="J10" s="178" t="str">
        <f>[2]DATA!B2</f>
        <v>I</v>
      </c>
      <c r="K10" s="22" t="str">
        <f>[2]DATA!C2</f>
        <v>INFRASTRUKTUR</v>
      </c>
      <c r="L10" s="22"/>
      <c r="M10" s="22"/>
      <c r="N10" s="23"/>
      <c r="O10" s="22"/>
      <c r="P10" s="22"/>
      <c r="Q10" s="190"/>
      <c r="R10" s="2387">
        <f>+R11+R125+R128+R145+R148+R152+R155+R167+R170+R173</f>
        <v>40319012000</v>
      </c>
      <c r="S10" s="192"/>
      <c r="T10" s="79" t="e">
        <f>+T11+T125+T128+T145+T148+T152+T155</f>
        <v>#REF!</v>
      </c>
      <c r="U10" s="79" t="e">
        <f>+U11+U125+U128+U145+U148+U152+U155</f>
        <v>#REF!</v>
      </c>
      <c r="V10" s="212" t="e">
        <f>+V11+V125+V128+V145+V148+V152+V155</f>
        <v>#REF!</v>
      </c>
      <c r="W10" s="240" t="e">
        <f>+W11+W125+W128+W145+W148+W152+W155</f>
        <v>#REF!</v>
      </c>
      <c r="X10" s="79" t="s">
        <v>21</v>
      </c>
      <c r="Y10" s="225"/>
      <c r="Z10" s="2396"/>
      <c r="AA10" s="2396"/>
      <c r="AB10" s="2396"/>
      <c r="AC10" s="2397"/>
    </row>
    <row r="11" spans="1:30" s="4" customFormat="1" ht="24.95" customHeight="1">
      <c r="J11" s="179"/>
      <c r="K11" s="25">
        <f>[2]DATA!D2</f>
        <v>1</v>
      </c>
      <c r="L11" s="26" t="str">
        <f>[2]DATA!E2</f>
        <v>Kementerian Pekerjaan Umum dan Perumahan Rakyat</v>
      </c>
      <c r="M11" s="26"/>
      <c r="N11" s="27"/>
      <c r="O11" s="26"/>
      <c r="P11" s="26"/>
      <c r="Q11" s="193"/>
      <c r="R11" s="2388">
        <f>+R12+R19+R25+R35+R52+R64+R67+R74+R76+R90+R94+R108+R117+R121+R123</f>
        <v>22963199000</v>
      </c>
      <c r="S11" s="195"/>
      <c r="T11" s="80" t="e">
        <f>+T12+T19+T25+T35+T52+T64+T67+T76+T90+T94+T108+T117+#REF!</f>
        <v>#REF!</v>
      </c>
      <c r="U11" s="80" t="e">
        <f>+U12+U19+U25+U35+U52+U64+U67+U76+U90+U94+U108+U117+#REF!</f>
        <v>#REF!</v>
      </c>
      <c r="V11" s="213" t="e">
        <f>+V12+V19+V25+V35+V52+V64+V67+V76+V90+V94+V108+V117+#REF!</f>
        <v>#REF!</v>
      </c>
      <c r="W11" s="242" t="e">
        <f>+W12+W19+W25+W35+W52+W64+W67+W76+W90+W94+W108+W117+#REF!</f>
        <v>#REF!</v>
      </c>
      <c r="X11" s="80" t="s">
        <v>21</v>
      </c>
      <c r="Y11" s="227"/>
      <c r="Z11" s="2398"/>
      <c r="AA11" s="2398"/>
      <c r="AB11" s="2398"/>
      <c r="AC11" s="2399"/>
    </row>
    <row r="12" spans="1:30" s="5" customFormat="1" ht="24.95" customHeight="1">
      <c r="J12" s="180"/>
      <c r="K12" s="29"/>
      <c r="L12" s="30" t="str">
        <f>[2]DATA!G2</f>
        <v>A</v>
      </c>
      <c r="M12" s="31" t="str">
        <f>[2]DATA!H2</f>
        <v>Program Pembangunan Jalan Tol</v>
      </c>
      <c r="N12" s="32"/>
      <c r="O12" s="31"/>
      <c r="P12" s="31"/>
      <c r="Q12" s="196"/>
      <c r="R12" s="2389">
        <f>R13+R15+R16+R17+R18</f>
        <v>2025000000</v>
      </c>
      <c r="S12" s="198"/>
      <c r="T12" s="81">
        <f t="shared" ref="T12:U12" si="0">T13+T15+T16+T17+T18</f>
        <v>2025000000</v>
      </c>
      <c r="U12" s="81">
        <f t="shared" si="0"/>
        <v>0</v>
      </c>
      <c r="V12" s="214"/>
      <c r="W12" s="244">
        <f>W13+W14+W15+W16+W17+W18</f>
        <v>2025000000</v>
      </c>
      <c r="X12" s="81" t="s">
        <v>21</v>
      </c>
      <c r="Y12" s="229"/>
      <c r="Z12" s="2400"/>
      <c r="AA12" s="2400"/>
      <c r="AB12" s="2400"/>
      <c r="AC12" s="2401"/>
      <c r="AD12" s="2402"/>
    </row>
    <row r="13" spans="1:30" ht="15" customHeight="1">
      <c r="A13" s="10">
        <f>[2]DATA!A3</f>
        <v>1</v>
      </c>
      <c r="B13" s="10">
        <f>[2]DATA!B3</f>
        <v>0</v>
      </c>
      <c r="C13" s="10" t="str">
        <f>[2]DATA!C3</f>
        <v>INFRASTRUKTUR</v>
      </c>
      <c r="D13" s="10">
        <f>[2]DATA!D3</f>
        <v>1</v>
      </c>
      <c r="E13" s="10" t="str">
        <f>[2]DATA!E3</f>
        <v>Kementerian Pekerjaan Umum dan Perumahan Rakyat</v>
      </c>
      <c r="F13" s="10" t="str">
        <f>[2]DATA!F3</f>
        <v>Toll Road Development Program</v>
      </c>
      <c r="G13" s="10" t="str">
        <f>[2]DATA!G3</f>
        <v>A</v>
      </c>
      <c r="H13" s="10" t="str">
        <f>[2]DATA!H3</f>
        <v>Program Pembangunan Jalan Tol</v>
      </c>
      <c r="I13" s="10">
        <f>[2]DATA!I3</f>
        <v>1</v>
      </c>
      <c r="J13" s="181"/>
      <c r="K13" s="34"/>
      <c r="L13" s="34"/>
      <c r="M13" s="3390">
        <v>1</v>
      </c>
      <c r="N13" s="3393" t="str">
        <f>[2]DATA!J2</f>
        <v>Toll Road Development in Kalimantan, Sumatera, and Java Islands</v>
      </c>
      <c r="O13" s="20">
        <f>[2]DATA!O3</f>
        <v>0.5</v>
      </c>
      <c r="P13" s="20">
        <f>[2]DATA!P3</f>
        <v>0</v>
      </c>
      <c r="Q13" s="186">
        <f>[2]DATA!Q3</f>
        <v>0</v>
      </c>
      <c r="R13" s="3637">
        <f>[2]DATA!R2</f>
        <v>1250000000</v>
      </c>
      <c r="S13" s="1449" t="str">
        <f>[2]DATA!W3</f>
        <v>RRT</v>
      </c>
      <c r="T13" s="3414">
        <f>[2]DATA!Z2</f>
        <v>1250000000</v>
      </c>
      <c r="U13" s="77">
        <v>0</v>
      </c>
      <c r="V13" s="216" t="str">
        <f>[2]DATA!W3</f>
        <v>RRT</v>
      </c>
      <c r="W13" s="245">
        <f>[2]DATA!AN3</f>
        <v>1000000000</v>
      </c>
      <c r="X13" s="109" t="str">
        <f>[2]DATA!AO3</f>
        <v>RRT</v>
      </c>
      <c r="Y13" s="246" t="str">
        <f>[2]DATA!AP3</f>
        <v>-</v>
      </c>
      <c r="Z13" s="3535" t="s">
        <v>568</v>
      </c>
      <c r="AA13" s="3535" t="s">
        <v>686</v>
      </c>
      <c r="AB13" s="3535"/>
      <c r="AC13" s="3648"/>
      <c r="AD13" s="2404"/>
    </row>
    <row r="14" spans="1:30" ht="23.25" customHeight="1">
      <c r="A14" s="10">
        <f>[2]DATA!A4</f>
        <v>2</v>
      </c>
      <c r="B14" s="10">
        <f>[2]DATA!B4</f>
        <v>0</v>
      </c>
      <c r="C14" s="10" t="str">
        <f>[2]DATA!C4</f>
        <v>INFRASTRUKTUR</v>
      </c>
      <c r="D14" s="10">
        <f>[2]DATA!D4</f>
        <v>1</v>
      </c>
      <c r="E14" s="10" t="str">
        <f>[2]DATA!E4</f>
        <v>Kementerian Pekerjaan Umum dan Perumahan Rakyat</v>
      </c>
      <c r="F14" s="10" t="str">
        <f>[2]DATA!F4</f>
        <v>Toll Road Development Program</v>
      </c>
      <c r="G14" s="10" t="str">
        <f>[2]DATA!G4</f>
        <v>A</v>
      </c>
      <c r="H14" s="10" t="str">
        <f>[2]DATA!H4</f>
        <v>Program Pembangunan Jalan Tol</v>
      </c>
      <c r="I14" s="10">
        <f>[2]DATA!I4</f>
        <v>1</v>
      </c>
      <c r="J14" s="181"/>
      <c r="K14" s="34"/>
      <c r="L14" s="34"/>
      <c r="M14" s="3391"/>
      <c r="N14" s="3394"/>
      <c r="O14" s="20">
        <f>[2]DATA!O4</f>
        <v>0.5</v>
      </c>
      <c r="P14" s="20">
        <f>[2]DATA!P4</f>
        <v>0</v>
      </c>
      <c r="Q14" s="186">
        <f>[2]DATA!Q4</f>
        <v>0</v>
      </c>
      <c r="R14" s="3638"/>
      <c r="S14" s="1449" t="str">
        <f>[2]DATA!W4</f>
        <v>Korea</v>
      </c>
      <c r="T14" s="3415"/>
      <c r="U14" s="77">
        <v>0</v>
      </c>
      <c r="V14" s="216" t="str">
        <f>[2]DATA!W4</f>
        <v>Korea</v>
      </c>
      <c r="W14" s="245">
        <f>[2]DATA!AN4</f>
        <v>250000000</v>
      </c>
      <c r="X14" s="109" t="str">
        <f>[2]DATA!AO4</f>
        <v>Korea</v>
      </c>
      <c r="Y14" s="246" t="str">
        <f>[2]DATA!AP4</f>
        <v>belum masuk rolling plan EDCF (Korea)</v>
      </c>
      <c r="Z14" s="3536"/>
      <c r="AA14" s="3536"/>
      <c r="AB14" s="3536"/>
      <c r="AC14" s="3649"/>
      <c r="AD14" s="2404"/>
    </row>
    <row r="15" spans="1:30" ht="28.5" customHeight="1">
      <c r="A15" s="10">
        <f>[2]DATA!A6</f>
        <v>4</v>
      </c>
      <c r="B15" s="10">
        <f>[2]DATA!B6</f>
        <v>0</v>
      </c>
      <c r="C15" s="10" t="str">
        <f>[2]DATA!C6</f>
        <v>INFRASTRUKTUR</v>
      </c>
      <c r="D15" s="10">
        <f>[2]DATA!D6</f>
        <v>1</v>
      </c>
      <c r="E15" s="10" t="str">
        <f>[2]DATA!E6</f>
        <v>Kementerian Pekerjaan Umum dan Perumahan Rakyat</v>
      </c>
      <c r="F15" s="10" t="str">
        <f>[2]DATA!F6</f>
        <v>Toll Road Development Program</v>
      </c>
      <c r="G15" s="10" t="str">
        <f>[2]DATA!G6</f>
        <v>A</v>
      </c>
      <c r="H15" s="10" t="str">
        <f>[2]DATA!H6</f>
        <v>Program Pembangunan Jalan Tol</v>
      </c>
      <c r="I15" s="10">
        <f>[2]DATA!I6</f>
        <v>2</v>
      </c>
      <c r="J15" s="181"/>
      <c r="K15" s="34"/>
      <c r="L15" s="34"/>
      <c r="M15" s="36">
        <v>2</v>
      </c>
      <c r="N15" s="56" t="str">
        <f>[2]DATA!J6</f>
        <v>Development of Cileunyi - Sumedang - Dawuan Toll Road Phase II</v>
      </c>
      <c r="O15" s="20">
        <f>[2]DATA!O6</f>
        <v>1</v>
      </c>
      <c r="P15" s="20">
        <f>[2]DATA!P6</f>
        <v>1</v>
      </c>
      <c r="Q15" s="186">
        <f>[2]DATA!Q6</f>
        <v>2</v>
      </c>
      <c r="R15" s="2386">
        <f>[2]DATA!R6</f>
        <v>330000000</v>
      </c>
      <c r="S15" s="1449" t="str">
        <f>[2]DATA!W6</f>
        <v>RRT</v>
      </c>
      <c r="T15" s="77">
        <f>[2]DATA!Z6</f>
        <v>330000000</v>
      </c>
      <c r="U15" s="77">
        <v>0</v>
      </c>
      <c r="V15" s="216" t="str">
        <f>[2]DATA!W6</f>
        <v>RRT</v>
      </c>
      <c r="W15" s="245">
        <f>[2]DATA!AN6</f>
        <v>330000000</v>
      </c>
      <c r="X15" s="109" t="str">
        <f>[2]DATA!AO6</f>
        <v>RRT</v>
      </c>
      <c r="Y15" s="246" t="str">
        <f>[2]DATA!AP6</f>
        <v>-</v>
      </c>
      <c r="Z15" s="2405" t="s">
        <v>582</v>
      </c>
      <c r="AA15" s="2405" t="s">
        <v>583</v>
      </c>
      <c r="AB15" s="2405"/>
      <c r="AC15" s="2391"/>
      <c r="AD15" s="2404"/>
    </row>
    <row r="16" spans="1:30" ht="24.75" customHeight="1">
      <c r="A16" s="10">
        <f>[2]DATA!A7</f>
        <v>5</v>
      </c>
      <c r="B16" s="10">
        <f>[2]DATA!B7</f>
        <v>0</v>
      </c>
      <c r="C16" s="10" t="str">
        <f>[2]DATA!C7</f>
        <v>INFRASTRUKTUR</v>
      </c>
      <c r="D16" s="10">
        <f>[2]DATA!D7</f>
        <v>1</v>
      </c>
      <c r="E16" s="10" t="str">
        <f>[2]DATA!E7</f>
        <v>Kementerian Pekerjaan Umum dan Perumahan Rakyat</v>
      </c>
      <c r="F16" s="10" t="str">
        <f>[2]DATA!F7</f>
        <v>Toll Road Development Program</v>
      </c>
      <c r="G16" s="10" t="str">
        <f>[2]DATA!G7</f>
        <v>A</v>
      </c>
      <c r="H16" s="10" t="str">
        <f>[2]DATA!H7</f>
        <v>Program Pembangunan Jalan Tol</v>
      </c>
      <c r="I16" s="10">
        <f>[2]DATA!I7</f>
        <v>2</v>
      </c>
      <c r="J16" s="181"/>
      <c r="K16" s="34"/>
      <c r="L16" s="34"/>
      <c r="M16" s="36">
        <v>3</v>
      </c>
      <c r="N16" s="56" t="str">
        <f>[2]DATA!J7</f>
        <v>Toll Road Development of Balikpapan - Samarinda</v>
      </c>
      <c r="O16" s="20">
        <f>[2]DATA!O7</f>
        <v>1</v>
      </c>
      <c r="P16" s="20">
        <f>[2]DATA!P7</f>
        <v>1</v>
      </c>
      <c r="Q16" s="186">
        <f>[2]DATA!Q7</f>
        <v>3</v>
      </c>
      <c r="R16" s="2386">
        <f>[2]DATA!R7</f>
        <v>65000000</v>
      </c>
      <c r="S16" s="1449" t="str">
        <f>[2]DATA!W7</f>
        <v>RRT</v>
      </c>
      <c r="T16" s="77">
        <f>[2]DATA!Z7</f>
        <v>65000000</v>
      </c>
      <c r="U16" s="77">
        <v>0</v>
      </c>
      <c r="V16" s="216" t="str">
        <f>[2]DATA!W7</f>
        <v>RRT</v>
      </c>
      <c r="W16" s="245">
        <f>[2]DATA!AN7</f>
        <v>65000000</v>
      </c>
      <c r="X16" s="109" t="str">
        <f>[2]DATA!AO7</f>
        <v>RRT</v>
      </c>
      <c r="Y16" s="246" t="str">
        <f>[2]DATA!AP7</f>
        <v>-</v>
      </c>
      <c r="Z16" s="2405" t="s">
        <v>582</v>
      </c>
      <c r="AA16" s="2405" t="s">
        <v>590</v>
      </c>
      <c r="AB16" s="2405"/>
      <c r="AC16" s="2391"/>
      <c r="AD16" s="2404"/>
    </row>
    <row r="17" spans="1:30" ht="23.25" customHeight="1">
      <c r="A17" s="10">
        <f>[2]DATA!A8</f>
        <v>6</v>
      </c>
      <c r="B17" s="10">
        <f>[2]DATA!B8</f>
        <v>0</v>
      </c>
      <c r="C17" s="10" t="str">
        <f>[2]DATA!C8</f>
        <v>INFRASTRUKTUR</v>
      </c>
      <c r="D17" s="10">
        <f>[2]DATA!D8</f>
        <v>1</v>
      </c>
      <c r="E17" s="10" t="str">
        <f>[2]DATA!E8</f>
        <v>Kementerian Pekerjaan Umum dan Perumahan Rakyat</v>
      </c>
      <c r="F17" s="10" t="str">
        <f>[2]DATA!F8</f>
        <v>Toll Road Development Program</v>
      </c>
      <c r="G17" s="10" t="str">
        <f>[2]DATA!G8</f>
        <v>A</v>
      </c>
      <c r="H17" s="10" t="str">
        <f>[2]DATA!H8</f>
        <v>Program Pembangunan Jalan Tol</v>
      </c>
      <c r="I17" s="10">
        <f>[2]DATA!I8</f>
        <v>2</v>
      </c>
      <c r="J17" s="181"/>
      <c r="K17" s="34"/>
      <c r="L17" s="34"/>
      <c r="M17" s="36">
        <v>4</v>
      </c>
      <c r="N17" s="56" t="str">
        <f>[2]DATA!J8</f>
        <v>Toll Road Development of Manado - Bitung</v>
      </c>
      <c r="O17" s="20">
        <f>[2]DATA!O8</f>
        <v>1</v>
      </c>
      <c r="P17" s="20">
        <f>[2]DATA!P8</f>
        <v>1</v>
      </c>
      <c r="Q17" s="186">
        <f>[2]DATA!Q8</f>
        <v>4</v>
      </c>
      <c r="R17" s="2386">
        <f>[2]DATA!R8</f>
        <v>80000000</v>
      </c>
      <c r="S17" s="1449" t="str">
        <f>[2]DATA!W8</f>
        <v>RRT</v>
      </c>
      <c r="T17" s="77">
        <f>[2]DATA!Z8</f>
        <v>80000000</v>
      </c>
      <c r="U17" s="77">
        <v>0</v>
      </c>
      <c r="V17" s="216" t="str">
        <f>[2]DATA!W8</f>
        <v>RRT</v>
      </c>
      <c r="W17" s="245">
        <f>[2]DATA!AN8</f>
        <v>80000000</v>
      </c>
      <c r="X17" s="109" t="str">
        <f>[2]DATA!AO8</f>
        <v>RRT</v>
      </c>
      <c r="Y17" s="246" t="str">
        <f>[2]DATA!AP8</f>
        <v>-</v>
      </c>
      <c r="Z17" s="2405" t="s">
        <v>582</v>
      </c>
      <c r="AA17" s="2405" t="s">
        <v>594</v>
      </c>
      <c r="AB17" s="2405"/>
      <c r="AC17" s="2391"/>
      <c r="AD17" s="2404"/>
    </row>
    <row r="18" spans="1:30" ht="26.25" customHeight="1">
      <c r="A18" s="10">
        <f>[2]DATA!A9</f>
        <v>7</v>
      </c>
      <c r="B18" s="10">
        <f>[2]DATA!B9</f>
        <v>0</v>
      </c>
      <c r="C18" s="10" t="str">
        <f>[2]DATA!C9</f>
        <v>INFRASTRUKTUR</v>
      </c>
      <c r="D18" s="10">
        <f>[2]DATA!D9</f>
        <v>1</v>
      </c>
      <c r="E18" s="10" t="str">
        <f>[2]DATA!E9</f>
        <v>Kementerian Pekerjaan Umum dan Perumahan Rakyat</v>
      </c>
      <c r="F18" s="10" t="str">
        <f>[2]DATA!F9</f>
        <v>Toll Road Development Program</v>
      </c>
      <c r="G18" s="10" t="str">
        <f>[2]DATA!G9</f>
        <v>A</v>
      </c>
      <c r="H18" s="10" t="str">
        <f>[2]DATA!H9</f>
        <v>Program Pembangunan Jalan Tol</v>
      </c>
      <c r="I18" s="10">
        <f>[2]DATA!I9</f>
        <v>2</v>
      </c>
      <c r="J18" s="181"/>
      <c r="K18" s="34"/>
      <c r="L18" s="34"/>
      <c r="M18" s="172">
        <v>5</v>
      </c>
      <c r="N18" s="173" t="str">
        <f>[2]DATA!J9</f>
        <v>Toll Road Development of Solo - Kertosono</v>
      </c>
      <c r="O18" s="20">
        <f>[2]DATA!O9</f>
        <v>1</v>
      </c>
      <c r="P18" s="20">
        <f>[2]DATA!P9</f>
        <v>1</v>
      </c>
      <c r="Q18" s="186">
        <f>[2]DATA!Q9</f>
        <v>5</v>
      </c>
      <c r="R18" s="2386">
        <f>[2]DATA!R9</f>
        <v>300000000</v>
      </c>
      <c r="S18" s="1449" t="str">
        <f>[2]DATA!W9</f>
        <v>RRT</v>
      </c>
      <c r="T18" s="77">
        <f>[2]DATA!Z9</f>
        <v>300000000</v>
      </c>
      <c r="U18" s="77">
        <v>0</v>
      </c>
      <c r="V18" s="216" t="str">
        <f>[2]DATA!W9</f>
        <v>RRT</v>
      </c>
      <c r="W18" s="245">
        <f>[2]DATA!AN9</f>
        <v>300000000</v>
      </c>
      <c r="X18" s="109" t="str">
        <f>[2]DATA!AO9</f>
        <v>RRT</v>
      </c>
      <c r="Y18" s="246" t="str">
        <f>[2]DATA!AP9</f>
        <v>-</v>
      </c>
      <c r="Z18" s="2405" t="s">
        <v>582</v>
      </c>
      <c r="AA18" s="2405" t="s">
        <v>598</v>
      </c>
      <c r="AB18" s="2405"/>
      <c r="AC18" s="2391"/>
      <c r="AD18" s="2404"/>
    </row>
    <row r="19" spans="1:30" s="5" customFormat="1" ht="33.75" customHeight="1">
      <c r="J19" s="180"/>
      <c r="K19" s="50"/>
      <c r="L19" s="30" t="str">
        <f>[2]DATA!G10</f>
        <v>B</v>
      </c>
      <c r="M19" s="31" t="str">
        <f>[2]DATA!H10</f>
        <v>Program Pembangunan / Peningkatan Jembatan</v>
      </c>
      <c r="N19" s="51"/>
      <c r="O19" s="31"/>
      <c r="P19" s="31"/>
      <c r="Q19" s="196"/>
      <c r="R19" s="2389">
        <f>R20+R21+R22+R23+R24</f>
        <v>1500000000</v>
      </c>
      <c r="S19" s="198"/>
      <c r="T19" s="81">
        <f t="shared" ref="T19:W19" si="1">SUM(T20:T24)</f>
        <v>1500000000</v>
      </c>
      <c r="U19" s="81">
        <f t="shared" si="1"/>
        <v>0</v>
      </c>
      <c r="V19" s="214">
        <f t="shared" si="1"/>
        <v>0</v>
      </c>
      <c r="W19" s="244">
        <f t="shared" si="1"/>
        <v>1500000000</v>
      </c>
      <c r="X19" s="81" t="s">
        <v>21</v>
      </c>
      <c r="Y19" s="229"/>
      <c r="Z19" s="2400"/>
      <c r="AA19" s="2400"/>
      <c r="AB19" s="2400"/>
      <c r="AC19" s="2401"/>
      <c r="AD19" s="2402"/>
    </row>
    <row r="20" spans="1:30" ht="29.25" customHeight="1">
      <c r="A20" s="10">
        <f>[2]DATA!A10</f>
        <v>8</v>
      </c>
      <c r="B20" s="10">
        <f>[2]DATA!B10</f>
        <v>0</v>
      </c>
      <c r="C20" s="10" t="str">
        <f>[2]DATA!C10</f>
        <v>INFRASTRUKTUR</v>
      </c>
      <c r="D20" s="10">
        <f>[2]DATA!D10</f>
        <v>1</v>
      </c>
      <c r="E20" s="10" t="str">
        <f>[2]DATA!E10</f>
        <v>Kementerian Pekerjaan Umum dan Perumahan Rakyat</v>
      </c>
      <c r="F20" s="10" t="str">
        <f>[2]DATA!F10</f>
        <v>Development and Improvement of National Bridges Program</v>
      </c>
      <c r="G20" s="10" t="str">
        <f>[2]DATA!G10</f>
        <v>B</v>
      </c>
      <c r="H20" s="10" t="str">
        <f>[2]DATA!H10</f>
        <v>Program Pembangunan / Peningkatan Jembatan</v>
      </c>
      <c r="I20" s="10">
        <f>[2]DATA!I10</f>
        <v>1</v>
      </c>
      <c r="J20" s="181"/>
      <c r="K20" s="34"/>
      <c r="L20" s="35"/>
      <c r="M20" s="52">
        <v>6</v>
      </c>
      <c r="N20" s="53" t="str">
        <f>[2]DATA!J10</f>
        <v>Material Procurement for Construction and Bridge Rehabilitation</v>
      </c>
      <c r="O20" s="20">
        <f>[2]DATA!O10</f>
        <v>1</v>
      </c>
      <c r="P20" s="20">
        <f>[2]DATA!P10</f>
        <v>1</v>
      </c>
      <c r="Q20" s="186">
        <f>[2]DATA!Q10</f>
        <v>6</v>
      </c>
      <c r="R20" s="2386">
        <f>[2]DATA!R10</f>
        <v>450000000</v>
      </c>
      <c r="S20" s="1449" t="str">
        <f>[2]DATA!W10</f>
        <v>Spanyol/RRT</v>
      </c>
      <c r="T20" s="77">
        <f>[2]DATA!Z10</f>
        <v>450000000</v>
      </c>
      <c r="U20" s="77">
        <v>0</v>
      </c>
      <c r="V20" s="216" t="str">
        <f>[2]DATA!W10</f>
        <v>Spanyol/RRT</v>
      </c>
      <c r="W20" s="245">
        <f>[2]DATA!AN10</f>
        <v>450000000</v>
      </c>
      <c r="X20" s="109" t="str">
        <f>[2]DATA!AO10</f>
        <v>Spanyol/RRT</v>
      </c>
      <c r="Y20" s="246" t="str">
        <f>[2]DATA!AP10</f>
        <v>- Spanyol berminat mendanai sebagian (USD 50-100 juta), tetapi setelah permasalahan proyek LIPI selesai.
- RRT belum ada keputusan.</v>
      </c>
      <c r="Z20" s="2405" t="s">
        <v>603</v>
      </c>
      <c r="AA20" s="2405" t="s">
        <v>603</v>
      </c>
      <c r="AB20" s="2405"/>
      <c r="AC20" s="2391"/>
      <c r="AD20" s="2404"/>
    </row>
    <row r="21" spans="1:30" ht="32.25" customHeight="1">
      <c r="A21" s="10">
        <f>[2]DATA!A11</f>
        <v>9</v>
      </c>
      <c r="B21" s="10">
        <f>[2]DATA!B11</f>
        <v>0</v>
      </c>
      <c r="C21" s="10" t="str">
        <f>[2]DATA!C11</f>
        <v>INFRASTRUKTUR</v>
      </c>
      <c r="D21" s="10">
        <f>[2]DATA!D11</f>
        <v>1</v>
      </c>
      <c r="E21" s="10" t="str">
        <f>[2]DATA!E11</f>
        <v>Kementerian Pekerjaan Umum dan Perumahan Rakyat</v>
      </c>
      <c r="F21" s="10" t="str">
        <f>[2]DATA!F11</f>
        <v>Development and Improvement of National Bridges Program</v>
      </c>
      <c r="G21" s="10" t="str">
        <f>[2]DATA!G11</f>
        <v>B</v>
      </c>
      <c r="H21" s="10" t="str">
        <f>[2]DATA!H11</f>
        <v>Program Pembangunan / Peningkatan Jembatan</v>
      </c>
      <c r="I21" s="10">
        <f>[2]DATA!I11</f>
        <v>2</v>
      </c>
      <c r="J21" s="181"/>
      <c r="K21" s="34"/>
      <c r="L21" s="34"/>
      <c r="M21" s="52">
        <v>7</v>
      </c>
      <c r="N21" s="37" t="str">
        <f>[2]DATA!J11</f>
        <v>Development of Fly Over/ Under Pass for Railways Crossing</v>
      </c>
      <c r="O21" s="20">
        <f>[2]DATA!O11</f>
        <v>1</v>
      </c>
      <c r="P21" s="20">
        <f>[2]DATA!P11</f>
        <v>1</v>
      </c>
      <c r="Q21" s="186">
        <f>[2]DATA!Q11</f>
        <v>7</v>
      </c>
      <c r="R21" s="2386">
        <f>[2]DATA!R11</f>
        <v>250000000</v>
      </c>
      <c r="S21" s="1449" t="str">
        <f>[2]DATA!W11</f>
        <v>JICA</v>
      </c>
      <c r="T21" s="77">
        <f>[2]DATA!Z11</f>
        <v>250000000</v>
      </c>
      <c r="U21" s="77">
        <v>0</v>
      </c>
      <c r="V21" s="216" t="str">
        <f>[2]DATA!W11</f>
        <v>JICA</v>
      </c>
      <c r="W21" s="245">
        <f>[2]DATA!AN11</f>
        <v>250000000</v>
      </c>
      <c r="X21" s="109" t="str">
        <f>[2]DATA!AO11</f>
        <v>JICA</v>
      </c>
      <c r="Y21" s="246" t="str">
        <f>[2]DATA!AP11</f>
        <v>-</v>
      </c>
      <c r="Z21" s="2405" t="s">
        <v>608</v>
      </c>
      <c r="AA21" s="2405" t="s">
        <v>603</v>
      </c>
      <c r="AB21" s="2405"/>
      <c r="AC21" s="2391"/>
      <c r="AD21" s="2404"/>
    </row>
    <row r="22" spans="1:30" ht="25.5">
      <c r="A22" s="10">
        <f>[2]DATA!A12</f>
        <v>10</v>
      </c>
      <c r="B22" s="10">
        <f>[2]DATA!B12</f>
        <v>0</v>
      </c>
      <c r="C22" s="10" t="str">
        <f>[2]DATA!C12</f>
        <v>INFRASTRUKTUR</v>
      </c>
      <c r="D22" s="10">
        <f>[2]DATA!D12</f>
        <v>1</v>
      </c>
      <c r="E22" s="10" t="str">
        <f>[2]DATA!E12</f>
        <v>Kementerian Pekerjaan Umum dan Perumahan Rakyat</v>
      </c>
      <c r="F22" s="10" t="str">
        <f>[2]DATA!F12</f>
        <v>Development and Improvement of National Bridges Program</v>
      </c>
      <c r="G22" s="10" t="str">
        <f>[2]DATA!G12</f>
        <v>B</v>
      </c>
      <c r="H22" s="10" t="str">
        <f>[2]DATA!H12</f>
        <v>Program Pembangunan / Peningkatan Jembatan</v>
      </c>
      <c r="I22" s="10">
        <f>[2]DATA!I12</f>
        <v>3</v>
      </c>
      <c r="J22" s="181"/>
      <c r="K22" s="34"/>
      <c r="L22" s="34"/>
      <c r="M22" s="52">
        <v>8</v>
      </c>
      <c r="N22" s="37" t="str">
        <f>[2]DATA!J12</f>
        <v>Development of Fly Over/ Under Pass in Major Cities</v>
      </c>
      <c r="O22" s="20">
        <f>[2]DATA!O12</f>
        <v>1</v>
      </c>
      <c r="P22" s="20">
        <f>[2]DATA!P12</f>
        <v>1</v>
      </c>
      <c r="Q22" s="186">
        <f>[2]DATA!Q12</f>
        <v>8</v>
      </c>
      <c r="R22" s="2386">
        <f>[2]DATA!R12</f>
        <v>270000000</v>
      </c>
      <c r="S22" s="1449" t="str">
        <f>[2]DATA!W12</f>
        <v>JICA</v>
      </c>
      <c r="T22" s="77">
        <f>[2]DATA!Z12</f>
        <v>270000000</v>
      </c>
      <c r="U22" s="77">
        <v>0</v>
      </c>
      <c r="V22" s="216" t="str">
        <f>[2]DATA!W12</f>
        <v>JICA</v>
      </c>
      <c r="W22" s="245">
        <f>[2]DATA!AN12</f>
        <v>270000000</v>
      </c>
      <c r="X22" s="109" t="str">
        <f>[2]DATA!AO12</f>
        <v>JICA</v>
      </c>
      <c r="Y22" s="246" t="str">
        <f>[2]DATA!AP12</f>
        <v>-</v>
      </c>
      <c r="Z22" s="2405" t="s">
        <v>611</v>
      </c>
      <c r="AA22" s="2405" t="s">
        <v>603</v>
      </c>
      <c r="AB22" s="2405"/>
      <c r="AC22" s="2391"/>
      <c r="AD22" s="2404"/>
    </row>
    <row r="23" spans="1:30" ht="23.25" customHeight="1">
      <c r="A23" s="10">
        <f>[2]DATA!A13</f>
        <v>11</v>
      </c>
      <c r="B23" s="10">
        <f>[2]DATA!B13</f>
        <v>0</v>
      </c>
      <c r="C23" s="10" t="str">
        <f>[2]DATA!C13</f>
        <v>INFRASTRUKTUR</v>
      </c>
      <c r="D23" s="10">
        <f>[2]DATA!D13</f>
        <v>1</v>
      </c>
      <c r="E23" s="10" t="str">
        <f>[2]DATA!E13</f>
        <v>Kementerian Pekerjaan Umum dan Perumahan Rakyat</v>
      </c>
      <c r="F23" s="10" t="str">
        <f>[2]DATA!F13</f>
        <v>Development and Improvement of National Bridges Program</v>
      </c>
      <c r="G23" s="10" t="str">
        <f>[2]DATA!G13</f>
        <v>B</v>
      </c>
      <c r="H23" s="10" t="str">
        <f>[2]DATA!H13</f>
        <v>Program Pembangunan / Peningkatan Jembatan</v>
      </c>
      <c r="I23" s="10">
        <f>[2]DATA!I13</f>
        <v>4</v>
      </c>
      <c r="J23" s="181"/>
      <c r="K23" s="34"/>
      <c r="L23" s="34"/>
      <c r="M23" s="52">
        <v>9</v>
      </c>
      <c r="N23" s="37" t="str">
        <f>[2]DATA!J13</f>
        <v>Balinka - Matur - Ngarai Sianok Tunnel Construction</v>
      </c>
      <c r="O23" s="20">
        <f>[2]DATA!O13</f>
        <v>1</v>
      </c>
      <c r="P23" s="20">
        <f>[2]DATA!P13</f>
        <v>1</v>
      </c>
      <c r="Q23" s="186">
        <f>[2]DATA!Q13</f>
        <v>9</v>
      </c>
      <c r="R23" s="2386">
        <f>[2]DATA!R13</f>
        <v>175000000</v>
      </c>
      <c r="S23" s="1449" t="str">
        <f>[2]DATA!W13</f>
        <v>Korea/RRT</v>
      </c>
      <c r="T23" s="77">
        <f>[2]DATA!Z13</f>
        <v>175000000</v>
      </c>
      <c r="U23" s="77">
        <v>0</v>
      </c>
      <c r="V23" s="216" t="str">
        <f>[2]DATA!W13</f>
        <v>Korea/RRT</v>
      </c>
      <c r="W23" s="245">
        <f>[2]DATA!AN13</f>
        <v>175000000</v>
      </c>
      <c r="X23" s="109" t="str">
        <f>[2]DATA!AO13</f>
        <v>Korea/RRT</v>
      </c>
      <c r="Y23" s="246" t="str">
        <f>[2]DATA!AP13</f>
        <v>- RRT dan Korea belum ada keputusan</v>
      </c>
      <c r="Z23" s="2405" t="s">
        <v>614</v>
      </c>
      <c r="AA23" s="2405" t="s">
        <v>603</v>
      </c>
      <c r="AB23" s="2405"/>
      <c r="AC23" s="2391"/>
      <c r="AD23" s="2404"/>
    </row>
    <row r="24" spans="1:30" ht="21.75" customHeight="1">
      <c r="A24" s="10">
        <f>[2]DATA!A14</f>
        <v>12</v>
      </c>
      <c r="B24" s="10">
        <f>[2]DATA!B14</f>
        <v>0</v>
      </c>
      <c r="C24" s="10" t="str">
        <f>[2]DATA!C14</f>
        <v>INFRASTRUKTUR</v>
      </c>
      <c r="D24" s="10">
        <f>[2]DATA!D14</f>
        <v>1</v>
      </c>
      <c r="E24" s="10" t="str">
        <f>[2]DATA!E14</f>
        <v>Kementerian Pekerjaan Umum dan Perumahan Rakyat</v>
      </c>
      <c r="F24" s="10" t="str">
        <f>[2]DATA!F14</f>
        <v>Development and Improvement of National Bridges Program</v>
      </c>
      <c r="G24" s="10" t="str">
        <f>[2]DATA!G14</f>
        <v>B</v>
      </c>
      <c r="H24" s="10" t="str">
        <f>[2]DATA!H14</f>
        <v>Program Pembangunan / Peningkatan Jembatan</v>
      </c>
      <c r="I24" s="10">
        <f>[2]DATA!I14</f>
        <v>5</v>
      </c>
      <c r="J24" s="181"/>
      <c r="K24" s="34"/>
      <c r="L24" s="54"/>
      <c r="M24" s="52">
        <v>10</v>
      </c>
      <c r="N24" s="37" t="str">
        <f>[2]DATA!J14</f>
        <v>Long Span Bridge Development for Selected Area</v>
      </c>
      <c r="O24" s="20">
        <f>[2]DATA!O14</f>
        <v>1</v>
      </c>
      <c r="P24" s="20">
        <f>[2]DATA!P14</f>
        <v>1</v>
      </c>
      <c r="Q24" s="186">
        <f>[2]DATA!Q14</f>
        <v>10</v>
      </c>
      <c r="R24" s="2386">
        <f>[2]DATA!R14</f>
        <v>355000000</v>
      </c>
      <c r="S24" s="1449" t="str">
        <f>[2]DATA!W14</f>
        <v>Korea/RRT</v>
      </c>
      <c r="T24" s="77">
        <f>[2]DATA!Z14</f>
        <v>355000000</v>
      </c>
      <c r="U24" s="77">
        <v>0</v>
      </c>
      <c r="V24" s="216" t="str">
        <f>[2]DATA!W14</f>
        <v>Korea/RRT</v>
      </c>
      <c r="W24" s="245">
        <f>[2]DATA!AN14</f>
        <v>355000000</v>
      </c>
      <c r="X24" s="109" t="str">
        <f>[2]DATA!AO14</f>
        <v>Korea/RRT</v>
      </c>
      <c r="Y24" s="246" t="str">
        <f>[2]DATA!AP14</f>
        <v>- RRT dan Korea belum ada keputusan</v>
      </c>
      <c r="Z24" s="2405" t="s">
        <v>603</v>
      </c>
      <c r="AA24" s="2405" t="s">
        <v>603</v>
      </c>
      <c r="AB24" s="2405"/>
      <c r="AC24" s="2391"/>
      <c r="AD24" s="2404"/>
    </row>
    <row r="25" spans="1:30" s="5" customFormat="1" ht="33.75" customHeight="1">
      <c r="J25" s="180"/>
      <c r="K25" s="50"/>
      <c r="L25" s="30" t="str">
        <f>[2]DATA!G15</f>
        <v>C</v>
      </c>
      <c r="M25" s="31" t="str">
        <f>[2]DATA!H16</f>
        <v>Program Pembangunan / Peningkatan Jalan</v>
      </c>
      <c r="N25" s="51"/>
      <c r="O25" s="31"/>
      <c r="P25" s="31"/>
      <c r="Q25" s="196"/>
      <c r="R25" s="2389">
        <f>SUM(R26:R34)</f>
        <v>2000000000</v>
      </c>
      <c r="S25" s="198"/>
      <c r="T25" s="81">
        <f>SUM(T26:T34)</f>
        <v>2000000000</v>
      </c>
      <c r="U25" s="81">
        <f t="shared" ref="U25:Y25" si="2">SUM(U26:U34)</f>
        <v>0</v>
      </c>
      <c r="V25" s="214">
        <f t="shared" si="2"/>
        <v>0</v>
      </c>
      <c r="W25" s="244">
        <f t="shared" si="2"/>
        <v>2000000000</v>
      </c>
      <c r="X25" s="81" t="s">
        <v>21</v>
      </c>
      <c r="Y25" s="229">
        <f t="shared" si="2"/>
        <v>0</v>
      </c>
      <c r="Z25" s="2400"/>
      <c r="AA25" s="2400"/>
      <c r="AB25" s="2400"/>
      <c r="AC25" s="2401"/>
      <c r="AD25" s="2402"/>
    </row>
    <row r="26" spans="1:30" s="5" customFormat="1" ht="23.25" customHeight="1">
      <c r="J26" s="180"/>
      <c r="K26" s="50"/>
      <c r="L26" s="55"/>
      <c r="M26" s="36">
        <v>11</v>
      </c>
      <c r="N26" s="37" t="str">
        <f>[2]DATA!J15</f>
        <v>Urban Arterial Road Improvement Project</v>
      </c>
      <c r="O26" s="37">
        <f>[2]DATA!O15</f>
        <v>1</v>
      </c>
      <c r="P26" s="37">
        <f>[2]DATA!P15</f>
        <v>1</v>
      </c>
      <c r="Q26" s="199">
        <f>[2]DATA!Q15</f>
        <v>0</v>
      </c>
      <c r="R26" s="2390">
        <v>205000000</v>
      </c>
      <c r="S26" s="1449" t="str">
        <f>[2]DATA!W15</f>
        <v>JICA</v>
      </c>
      <c r="T26" s="87">
        <f>[2]DATA!Z15</f>
        <v>205000000</v>
      </c>
      <c r="U26" s="87">
        <v>0</v>
      </c>
      <c r="V26" s="216" t="str">
        <f>[2]DATA!W15</f>
        <v>JICA</v>
      </c>
      <c r="W26" s="245">
        <f>[2]DATA!AN15</f>
        <v>205000000</v>
      </c>
      <c r="X26" s="109" t="str">
        <f>[2]DATA!AO15</f>
        <v>JICA</v>
      </c>
      <c r="Y26" s="246" t="str">
        <f>[2]DATA!AP15</f>
        <v>-</v>
      </c>
      <c r="Z26" s="2405" t="s">
        <v>568</v>
      </c>
      <c r="AA26" s="2405" t="s">
        <v>603</v>
      </c>
      <c r="AB26" s="2405" t="s">
        <v>1117</v>
      </c>
      <c r="AC26" s="2406"/>
      <c r="AD26" s="2402"/>
    </row>
    <row r="27" spans="1:30" ht="33.75" customHeight="1">
      <c r="A27" s="10">
        <f>[2]DATA!A16</f>
        <v>14</v>
      </c>
      <c r="B27" s="10">
        <f>[2]DATA!B16</f>
        <v>0</v>
      </c>
      <c r="C27" s="10" t="str">
        <f>[2]DATA!C16</f>
        <v>INFRASTRUKTUR</v>
      </c>
      <c r="D27" s="10">
        <f>[2]DATA!D16</f>
        <v>1</v>
      </c>
      <c r="E27" s="10" t="str">
        <f>[2]DATA!E16</f>
        <v>Kementerian Pekerjaan Umum dan Perumahan Rakyat</v>
      </c>
      <c r="F27" s="10" t="str">
        <f>[2]DATA!F16</f>
        <v>Development and Improvement of National Roads Program</v>
      </c>
      <c r="G27" s="10" t="str">
        <f>[2]DATA!G16</f>
        <v>C</v>
      </c>
      <c r="H27" s="10" t="str">
        <f>[2]DATA!H16</f>
        <v>Program Pembangunan / Peningkatan Jalan</v>
      </c>
      <c r="I27" s="10">
        <f>[2]DATA!I16</f>
        <v>2</v>
      </c>
      <c r="J27" s="181"/>
      <c r="K27" s="34"/>
      <c r="L27" s="34"/>
      <c r="M27" s="36">
        <v>12</v>
      </c>
      <c r="N27" s="37" t="str">
        <f>[2]DATA!J16</f>
        <v>Construction of Development of Trans South-South, Eastern Java</v>
      </c>
      <c r="O27" s="20">
        <f>[2]DATA!O16</f>
        <v>1</v>
      </c>
      <c r="P27" s="20">
        <f>[2]DATA!P16</f>
        <v>1</v>
      </c>
      <c r="Q27" s="186">
        <f>[2]DATA!Q16</f>
        <v>12</v>
      </c>
      <c r="R27" s="2386">
        <f>[2]DATA!R16</f>
        <v>250000000</v>
      </c>
      <c r="S27" s="203" t="str">
        <f>[2]DATA!W16</f>
        <v>IDB</v>
      </c>
      <c r="T27" s="77">
        <f>[2]DATA!Z16</f>
        <v>250000000</v>
      </c>
      <c r="U27" s="77">
        <v>0</v>
      </c>
      <c r="V27" s="216" t="str">
        <f>[2]DATA!W16</f>
        <v>IDB</v>
      </c>
      <c r="W27" s="245">
        <f>[2]DATA!AN16</f>
        <v>250000000</v>
      </c>
      <c r="X27" s="109" t="str">
        <f>[2]DATA!AO16</f>
        <v>IDB</v>
      </c>
      <c r="Y27" s="246" t="str">
        <f>[2]DATA!AP16</f>
        <v>-</v>
      </c>
      <c r="Z27" s="2405" t="s">
        <v>568</v>
      </c>
      <c r="AA27" s="2405" t="s">
        <v>603</v>
      </c>
      <c r="AB27" s="2405"/>
      <c r="AC27" s="2391"/>
      <c r="AD27" s="2404"/>
    </row>
    <row r="28" spans="1:30" ht="28.5" customHeight="1">
      <c r="A28" s="10">
        <f>[2]DATA!A17</f>
        <v>15</v>
      </c>
      <c r="B28" s="10">
        <f>[2]DATA!B17</f>
        <v>0</v>
      </c>
      <c r="C28" s="10" t="str">
        <f>[2]DATA!C17</f>
        <v>INFRASTRUKTUR</v>
      </c>
      <c r="D28" s="10">
        <f>[2]DATA!D17</f>
        <v>1</v>
      </c>
      <c r="E28" s="10" t="str">
        <f>[2]DATA!E17</f>
        <v>Kementerian Pekerjaan Umum dan Perumahan Rakyat</v>
      </c>
      <c r="F28" s="10" t="str">
        <f>[2]DATA!F17</f>
        <v>Development and Improvement of National Roads Program</v>
      </c>
      <c r="G28" s="10" t="str">
        <f>[2]DATA!G17</f>
        <v>C</v>
      </c>
      <c r="H28" s="10" t="str">
        <f>[2]DATA!H17</f>
        <v>Program Pembangunan / Peningkatan Jalan</v>
      </c>
      <c r="I28" s="10">
        <f>[2]DATA!I17</f>
        <v>3</v>
      </c>
      <c r="J28" s="181"/>
      <c r="K28" s="34"/>
      <c r="L28" s="34"/>
      <c r="M28" s="36">
        <v>13</v>
      </c>
      <c r="N28" s="37" t="str">
        <f>[2]DATA!J17</f>
        <v>Road Improvement Project to Support Integrated Land and Sea Toll Way - Northern Area</v>
      </c>
      <c r="O28" s="20">
        <f>[2]DATA!O17</f>
        <v>1</v>
      </c>
      <c r="P28" s="20">
        <f>[2]DATA!P17</f>
        <v>1</v>
      </c>
      <c r="Q28" s="186">
        <f>[2]DATA!Q17</f>
        <v>13</v>
      </c>
      <c r="R28" s="2386">
        <f>[2]DATA!R17</f>
        <v>250000000</v>
      </c>
      <c r="S28" s="1449" t="str">
        <f>[2]DATA!W17</f>
        <v>Bank Dunia</v>
      </c>
      <c r="T28" s="77">
        <f>[2]DATA!Z17</f>
        <v>250000000</v>
      </c>
      <c r="U28" s="77">
        <v>0</v>
      </c>
      <c r="V28" s="216" t="str">
        <f>[2]DATA!W17</f>
        <v>Bank Dunia</v>
      </c>
      <c r="W28" s="245">
        <f>[2]DATA!AN17</f>
        <v>250000000</v>
      </c>
      <c r="X28" s="109" t="str">
        <f>[2]DATA!AO17</f>
        <v>Bank Dunia</v>
      </c>
      <c r="Y28" s="246" t="str">
        <f>[2]DATA!AP17</f>
        <v>-</v>
      </c>
      <c r="Z28" s="2405" t="s">
        <v>603</v>
      </c>
      <c r="AA28" s="2405" t="s">
        <v>603</v>
      </c>
      <c r="AB28" s="2405"/>
      <c r="AC28" s="2391"/>
      <c r="AD28" s="2404"/>
    </row>
    <row r="29" spans="1:30" ht="33" customHeight="1">
      <c r="A29" s="10">
        <f>[2]DATA!A18</f>
        <v>16</v>
      </c>
      <c r="B29" s="10">
        <f>[2]DATA!B18</f>
        <v>0</v>
      </c>
      <c r="C29" s="10" t="str">
        <f>[2]DATA!C18</f>
        <v>INFRASTRUKTUR</v>
      </c>
      <c r="D29" s="10">
        <f>[2]DATA!D18</f>
        <v>1</v>
      </c>
      <c r="E29" s="10" t="str">
        <f>[2]DATA!E18</f>
        <v>Kementerian Pekerjaan Umum dan Perumahan Rakyat</v>
      </c>
      <c r="F29" s="10" t="str">
        <f>[2]DATA!F18</f>
        <v>Development and Improvement of National Roads Program</v>
      </c>
      <c r="G29" s="10" t="str">
        <f>[2]DATA!G18</f>
        <v>C</v>
      </c>
      <c r="H29" s="10" t="str">
        <f>[2]DATA!H18</f>
        <v>Program Pembangunan / Peningkatan Jalan</v>
      </c>
      <c r="I29" s="10">
        <f>[2]DATA!I18</f>
        <v>4</v>
      </c>
      <c r="J29" s="181"/>
      <c r="K29" s="34"/>
      <c r="L29" s="34"/>
      <c r="M29" s="36">
        <v>14</v>
      </c>
      <c r="N29" s="37" t="str">
        <f>[2]DATA!J18</f>
        <v>Road Improvement Project to Support Integrated Land and Sea Toll Way - Southern Area</v>
      </c>
      <c r="O29" s="20">
        <f>[2]DATA!O18</f>
        <v>1</v>
      </c>
      <c r="P29" s="20">
        <f>[2]DATA!P18</f>
        <v>1</v>
      </c>
      <c r="Q29" s="186">
        <f>[2]DATA!Q18</f>
        <v>14</v>
      </c>
      <c r="R29" s="2386">
        <f>[2]DATA!R18</f>
        <v>250000000</v>
      </c>
      <c r="S29" s="1449" t="str">
        <f>[2]DATA!W18</f>
        <v>Bank Dunia/ADB</v>
      </c>
      <c r="T29" s="77">
        <f>[2]DATA!Z18</f>
        <v>250000000</v>
      </c>
      <c r="U29" s="77">
        <v>0</v>
      </c>
      <c r="V29" s="216" t="str">
        <f>[2]DATA!W18</f>
        <v>Bank Dunia/ADB</v>
      </c>
      <c r="W29" s="245">
        <f>[2]DATA!AN18</f>
        <v>250000000</v>
      </c>
      <c r="X29" s="109" t="str">
        <f>[2]DATA!AO18</f>
        <v>Bank Dunia</v>
      </c>
      <c r="Y29" s="246" t="str">
        <f>[2]DATA!AP18</f>
        <v>- usulan K/L lender: Bank Dunia/ADB. 
- Hanya Bank Dunia saja yang berminat.</v>
      </c>
      <c r="Z29" s="2405" t="s">
        <v>603</v>
      </c>
      <c r="AA29" s="2405" t="s">
        <v>603</v>
      </c>
      <c r="AB29" s="2405"/>
      <c r="AC29" s="2391"/>
      <c r="AD29" s="2404"/>
    </row>
    <row r="30" spans="1:30" ht="34.5" customHeight="1">
      <c r="A30" s="10">
        <f>[2]DATA!A19</f>
        <v>17</v>
      </c>
      <c r="B30" s="10">
        <f>[2]DATA!B19</f>
        <v>0</v>
      </c>
      <c r="C30" s="10" t="str">
        <f>[2]DATA!C19</f>
        <v>INFRASTRUKTUR</v>
      </c>
      <c r="D30" s="10">
        <f>[2]DATA!D19</f>
        <v>1</v>
      </c>
      <c r="E30" s="10" t="str">
        <f>[2]DATA!E19</f>
        <v>Kementerian Pekerjaan Umum dan Perumahan Rakyat</v>
      </c>
      <c r="F30" s="10" t="str">
        <f>[2]DATA!F19</f>
        <v>Development and Improvement of National Roads Program</v>
      </c>
      <c r="G30" s="10" t="str">
        <f>[2]DATA!G19</f>
        <v>C</v>
      </c>
      <c r="H30" s="10" t="str">
        <f>[2]DATA!H19</f>
        <v>Program Pembangunan / Peningkatan Jalan</v>
      </c>
      <c r="I30" s="10">
        <f>[2]DATA!I19</f>
        <v>5</v>
      </c>
      <c r="J30" s="181"/>
      <c r="K30" s="34"/>
      <c r="L30" s="34"/>
      <c r="M30" s="36">
        <v>15</v>
      </c>
      <c r="N30" s="37" t="str">
        <f>[2]DATA!J19</f>
        <v>National Road Improvement in West and South Kalimantan</v>
      </c>
      <c r="O30" s="20">
        <f>[2]DATA!O19</f>
        <v>1</v>
      </c>
      <c r="P30" s="20">
        <f>[2]DATA!P19</f>
        <v>1</v>
      </c>
      <c r="Q30" s="186">
        <f>[2]DATA!Q19</f>
        <v>15</v>
      </c>
      <c r="R30" s="2386">
        <f>[2]DATA!R19</f>
        <v>250000000</v>
      </c>
      <c r="S30" s="1449" t="str">
        <f>[2]DATA!W19</f>
        <v>IDB</v>
      </c>
      <c r="T30" s="77">
        <f>[2]DATA!Z19</f>
        <v>250000000</v>
      </c>
      <c r="U30" s="77">
        <v>0</v>
      </c>
      <c r="V30" s="216" t="str">
        <f>[2]DATA!W19</f>
        <v>IDB</v>
      </c>
      <c r="W30" s="245">
        <f>[2]DATA!AN19</f>
        <v>250000000</v>
      </c>
      <c r="X30" s="109" t="str">
        <f>[2]DATA!AO19</f>
        <v>IDB</v>
      </c>
      <c r="Y30" s="246" t="str">
        <f>[2]DATA!AP19</f>
        <v>-</v>
      </c>
      <c r="Z30" s="2405" t="s">
        <v>603</v>
      </c>
      <c r="AA30" s="2405" t="s">
        <v>603</v>
      </c>
      <c r="AB30" s="2405"/>
      <c r="AC30" s="2391"/>
      <c r="AD30" s="2404"/>
    </row>
    <row r="31" spans="1:30" ht="21.75" customHeight="1">
      <c r="A31" s="10">
        <f>[2]DATA!A20</f>
        <v>18</v>
      </c>
      <c r="B31" s="10">
        <f>[2]DATA!B20</f>
        <v>0</v>
      </c>
      <c r="C31" s="10" t="str">
        <f>[2]DATA!C20</f>
        <v>INFRASTRUKTUR</v>
      </c>
      <c r="D31" s="10">
        <f>[2]DATA!D20</f>
        <v>1</v>
      </c>
      <c r="E31" s="10" t="str">
        <f>[2]DATA!E20</f>
        <v>Kementerian Pekerjaan Umum dan Perumahan Rakyat</v>
      </c>
      <c r="F31" s="10" t="str">
        <f>[2]DATA!F20</f>
        <v>Development and Improvement of National Roads Program</v>
      </c>
      <c r="G31" s="10" t="str">
        <f>[2]DATA!G20</f>
        <v>C</v>
      </c>
      <c r="H31" s="10" t="str">
        <f>[2]DATA!H20</f>
        <v>Program Pembangunan / Peningkatan Jalan</v>
      </c>
      <c r="I31" s="10">
        <f>[2]DATA!I20</f>
        <v>6</v>
      </c>
      <c r="J31" s="181"/>
      <c r="K31" s="34"/>
      <c r="L31" s="34"/>
      <c r="M31" s="36">
        <v>16</v>
      </c>
      <c r="N31" s="37" t="str">
        <f>[2]DATA!J20</f>
        <v>National Road Improvement in Central Kalimantan</v>
      </c>
      <c r="O31" s="20">
        <f>[2]DATA!O20</f>
        <v>1</v>
      </c>
      <c r="P31" s="20">
        <f>[2]DATA!P20</f>
        <v>1</v>
      </c>
      <c r="Q31" s="186">
        <f>[2]DATA!Q20</f>
        <v>16</v>
      </c>
      <c r="R31" s="2386">
        <f>[2]DATA!R20</f>
        <v>250000000</v>
      </c>
      <c r="S31" s="1449" t="str">
        <f>[2]DATA!W20</f>
        <v>Bank Dunia/ADB</v>
      </c>
      <c r="T31" s="77">
        <f>[2]DATA!Z20</f>
        <v>250000000</v>
      </c>
      <c r="U31" s="77">
        <v>0</v>
      </c>
      <c r="V31" s="216" t="str">
        <f>[2]DATA!W20</f>
        <v>Bank Dunia/ADB</v>
      </c>
      <c r="W31" s="245">
        <f>[2]DATA!AN20</f>
        <v>250000000</v>
      </c>
      <c r="X31" s="109" t="str">
        <f>[2]DATA!AO20</f>
        <v>Belum Ada Indikasi</v>
      </c>
      <c r="Y31" s="246" t="str">
        <f>[2]DATA!AP20</f>
        <v>usulan K/L lender: Bank Dunia/ADB. Kedua calon lender tidak berminat mendanai proyek ini.</v>
      </c>
      <c r="Z31" s="2405" t="s">
        <v>568</v>
      </c>
      <c r="AA31" s="2405" t="s">
        <v>603</v>
      </c>
      <c r="AB31" s="2405"/>
      <c r="AC31" s="2391"/>
      <c r="AD31" s="2404"/>
    </row>
    <row r="32" spans="1:30" ht="32.25" customHeight="1">
      <c r="A32" s="10">
        <f>[2]DATA!A21</f>
        <v>19</v>
      </c>
      <c r="B32" s="10">
        <f>[2]DATA!B21</f>
        <v>0</v>
      </c>
      <c r="C32" s="10" t="str">
        <f>[2]DATA!C21</f>
        <v>INFRASTRUKTUR</v>
      </c>
      <c r="D32" s="10">
        <f>[2]DATA!D21</f>
        <v>1</v>
      </c>
      <c r="E32" s="10" t="str">
        <f>[2]DATA!E21</f>
        <v>Kementerian Pekerjaan Umum dan Perumahan Rakyat</v>
      </c>
      <c r="F32" s="10" t="str">
        <f>[2]DATA!F21</f>
        <v>Development and Improvement of National Roads Program</v>
      </c>
      <c r="G32" s="10" t="str">
        <f>[2]DATA!G21</f>
        <v>C</v>
      </c>
      <c r="H32" s="10" t="str">
        <f>[2]DATA!H21</f>
        <v>Program Pembangunan / Peningkatan Jalan</v>
      </c>
      <c r="I32" s="10">
        <f>[2]DATA!I21</f>
        <v>7</v>
      </c>
      <c r="J32" s="181"/>
      <c r="K32" s="34"/>
      <c r="L32" s="34"/>
      <c r="M32" s="36">
        <v>17</v>
      </c>
      <c r="N32" s="37" t="str">
        <f>[2]DATA!J21</f>
        <v>National Road Improvement in North and East Kalimantan</v>
      </c>
      <c r="O32" s="20">
        <f>[2]DATA!O21</f>
        <v>1</v>
      </c>
      <c r="P32" s="20">
        <f>[2]DATA!P21</f>
        <v>1</v>
      </c>
      <c r="Q32" s="186">
        <f>[2]DATA!Q21</f>
        <v>17</v>
      </c>
      <c r="R32" s="2386">
        <f>[2]DATA!R21</f>
        <v>250000000</v>
      </c>
      <c r="S32" s="1449" t="str">
        <f>[2]DATA!W21</f>
        <v>IDB</v>
      </c>
      <c r="T32" s="77">
        <f>[2]DATA!Z21</f>
        <v>250000000</v>
      </c>
      <c r="U32" s="77">
        <v>0</v>
      </c>
      <c r="V32" s="216" t="str">
        <f>[2]DATA!W21</f>
        <v>IDB</v>
      </c>
      <c r="W32" s="245">
        <f>[2]DATA!AN21</f>
        <v>250000000</v>
      </c>
      <c r="X32" s="109" t="str">
        <f>[2]DATA!AO21</f>
        <v>AIIB</v>
      </c>
      <c r="Y32" s="246" t="str">
        <f>[2]DATA!AP21</f>
        <v>- usulan K/L semula lender: IDB. 
- Pihak IDB tidak berminat mendanai kegiatan ini, diusulkan kepada AIIB.</v>
      </c>
      <c r="Z32" s="2405" t="s">
        <v>568</v>
      </c>
      <c r="AA32" s="2405" t="s">
        <v>603</v>
      </c>
      <c r="AB32" s="2405"/>
      <c r="AC32" s="2391"/>
      <c r="AD32" s="2404"/>
    </row>
    <row r="33" spans="1:30" ht="31.5" customHeight="1">
      <c r="A33" s="10">
        <f>[2]DATA!A22</f>
        <v>20</v>
      </c>
      <c r="B33" s="10">
        <f>[2]DATA!B22</f>
        <v>0</v>
      </c>
      <c r="C33" s="10" t="str">
        <f>[2]DATA!C22</f>
        <v>INFRASTRUKTUR</v>
      </c>
      <c r="D33" s="10">
        <f>[2]DATA!D22</f>
        <v>1</v>
      </c>
      <c r="E33" s="10" t="str">
        <f>[2]DATA!E22</f>
        <v>Kementerian Pekerjaan Umum dan Perumahan Rakyat</v>
      </c>
      <c r="F33" s="10" t="str">
        <f>[2]DATA!F22</f>
        <v>Development and Improvement of National Roads Program</v>
      </c>
      <c r="G33" s="10" t="str">
        <f>[2]DATA!G22</f>
        <v>C</v>
      </c>
      <c r="H33" s="10" t="str">
        <f>[2]DATA!H22</f>
        <v>Program Pembangunan / Peningkatan Jalan</v>
      </c>
      <c r="I33" s="10">
        <f>[2]DATA!I22</f>
        <v>8</v>
      </c>
      <c r="J33" s="181"/>
      <c r="K33" s="34"/>
      <c r="L33" s="54"/>
      <c r="M33" s="36">
        <v>18</v>
      </c>
      <c r="N33" s="37" t="str">
        <f>[2]DATA!J22</f>
        <v>Road Improvement Project in Sulawesi Island and Major Cities</v>
      </c>
      <c r="O33" s="20">
        <f>[2]DATA!O22</f>
        <v>1</v>
      </c>
      <c r="P33" s="20">
        <f>[2]DATA!P22</f>
        <v>1</v>
      </c>
      <c r="Q33" s="186">
        <f>[2]DATA!Q22</f>
        <v>18</v>
      </c>
      <c r="R33" s="2386">
        <f>[2]DATA!R22</f>
        <v>250000000</v>
      </c>
      <c r="S33" s="1449" t="str">
        <f>[2]DATA!W22</f>
        <v>IDB</v>
      </c>
      <c r="T33" s="77">
        <f>[2]DATA!Z22</f>
        <v>250000000</v>
      </c>
      <c r="U33" s="77">
        <v>0</v>
      </c>
      <c r="V33" s="216" t="str">
        <f>[2]DATA!W22</f>
        <v>IDB</v>
      </c>
      <c r="W33" s="245">
        <f>[2]DATA!AN22</f>
        <v>250000000</v>
      </c>
      <c r="X33" s="109" t="str">
        <f>[2]DATA!AO22</f>
        <v>IDB</v>
      </c>
      <c r="Y33" s="246" t="str">
        <f>[2]DATA!AP22</f>
        <v>-</v>
      </c>
      <c r="Z33" s="2405" t="s">
        <v>568</v>
      </c>
      <c r="AA33" s="2405" t="s">
        <v>603</v>
      </c>
      <c r="AB33" s="2405"/>
      <c r="AC33" s="2391"/>
      <c r="AD33" s="2404"/>
    </row>
    <row r="34" spans="1:30" ht="33" customHeight="1">
      <c r="J34" s="181"/>
      <c r="K34" s="34"/>
      <c r="L34" s="54"/>
      <c r="M34" s="36">
        <v>19</v>
      </c>
      <c r="N34" s="56" t="str">
        <f>[2]DATA!J23</f>
        <v>Engineering Service for National Roads Development Project</v>
      </c>
      <c r="O34" s="36">
        <f>[2]DATA!O23</f>
        <v>0</v>
      </c>
      <c r="P34" s="36">
        <f>[2]DATA!P23</f>
        <v>0</v>
      </c>
      <c r="Q34" s="17">
        <f>[2]DATA!Q23</f>
        <v>0</v>
      </c>
      <c r="R34" s="2391">
        <v>45000000</v>
      </c>
      <c r="S34" s="203" t="str">
        <f>[2]DATA!W23</f>
        <v>ADB</v>
      </c>
      <c r="T34" s="88">
        <f>[2]DATA!Z23</f>
        <v>45000000</v>
      </c>
      <c r="U34" s="88">
        <v>0</v>
      </c>
      <c r="V34" s="216" t="str">
        <f>[2]DATA!W23</f>
        <v>ADB</v>
      </c>
      <c r="W34" s="245">
        <f>[2]DATA!AN23</f>
        <v>45000000</v>
      </c>
      <c r="X34" s="109" t="str">
        <f>[2]DATA!AO23</f>
        <v>ADB</v>
      </c>
      <c r="Y34" s="246" t="str">
        <f>[2]DATA!AP23</f>
        <v>-</v>
      </c>
      <c r="Z34" s="2405" t="s">
        <v>603</v>
      </c>
      <c r="AA34" s="2405" t="s">
        <v>603</v>
      </c>
      <c r="AB34" s="2405"/>
      <c r="AC34" s="2391"/>
      <c r="AD34" s="2404"/>
    </row>
    <row r="35" spans="1:30" s="5" customFormat="1" ht="33.75" customHeight="1">
      <c r="J35" s="180"/>
      <c r="K35" s="50"/>
      <c r="L35" s="30" t="str">
        <f>[2]DATA!G24</f>
        <v>D</v>
      </c>
      <c r="M35" s="31" t="str">
        <f>[2]DATA!H24</f>
        <v>Program Pembangunan Air Minum</v>
      </c>
      <c r="N35" s="51"/>
      <c r="O35" s="31"/>
      <c r="P35" s="31"/>
      <c r="Q35" s="196"/>
      <c r="R35" s="2389">
        <f>+R36+R37+R39+R40+R41+R42+R43+R44+R45+R46+R48+R49+R51</f>
        <v>1197680000</v>
      </c>
      <c r="S35" s="198"/>
      <c r="T35" s="81">
        <f>+T36+T37+T39+T40+T41+T42+T43+T44+T45+T46+T48+T49+T50+T51</f>
        <v>1197680000</v>
      </c>
      <c r="U35" s="81">
        <f t="shared" ref="U35" si="3">+U36+U37+U39+U40+U41+U42+U43+U44+U45+U46+U48+U49+U51</f>
        <v>0</v>
      </c>
      <c r="V35" s="214"/>
      <c r="W35" s="244">
        <f>+W36+W37+W39+W40+W41+W42+W43+W44+W45+W46+W48+W49+W50+W51</f>
        <v>1197680000</v>
      </c>
      <c r="X35" s="81" t="s">
        <v>21</v>
      </c>
      <c r="Y35" s="229"/>
      <c r="Z35" s="2400"/>
      <c r="AA35" s="2400"/>
      <c r="AB35" s="2400"/>
      <c r="AC35" s="2401"/>
      <c r="AD35" s="2402"/>
    </row>
    <row r="36" spans="1:30" ht="33" customHeight="1">
      <c r="A36" s="10">
        <f>[2]DATA!A24</f>
        <v>21</v>
      </c>
      <c r="B36" s="10">
        <f>[2]DATA!B24</f>
        <v>0</v>
      </c>
      <c r="C36" s="10" t="str">
        <f>[2]DATA!C24</f>
        <v>INFRASTRUKTUR</v>
      </c>
      <c r="D36" s="10">
        <f>[2]DATA!D24</f>
        <v>1</v>
      </c>
      <c r="E36" s="10" t="str">
        <f>[2]DATA!E24</f>
        <v>Kementerian Pekerjaan Umum dan Perumahan Rakyat</v>
      </c>
      <c r="F36" s="10" t="str">
        <f>[2]DATA!F24</f>
        <v>Drinking Water Development Program</v>
      </c>
      <c r="G36" s="10" t="str">
        <f>[2]DATA!G24</f>
        <v>D</v>
      </c>
      <c r="H36" s="10" t="str">
        <f>[2]DATA!H24</f>
        <v>Program Pembangunan Air Minum</v>
      </c>
      <c r="I36" s="10">
        <f>[2]DATA!I24</f>
        <v>1</v>
      </c>
      <c r="J36" s="181"/>
      <c r="K36" s="34"/>
      <c r="L36" s="35"/>
      <c r="M36" s="36">
        <v>20</v>
      </c>
      <c r="N36" s="37" t="str">
        <f>[2]DATA!J24</f>
        <v>Community Based Water and Sanitation Program  (PAMSIMAS)</v>
      </c>
      <c r="O36" s="20">
        <f>[2]DATA!O24</f>
        <v>1</v>
      </c>
      <c r="P36" s="20">
        <f>[2]DATA!P24</f>
        <v>1</v>
      </c>
      <c r="Q36" s="186">
        <f>[2]DATA!Q24</f>
        <v>19</v>
      </c>
      <c r="R36" s="2386">
        <f>[2]DATA!R24</f>
        <v>300000000</v>
      </c>
      <c r="S36" s="1449" t="str">
        <f>[2]DATA!W24</f>
        <v>Bank Dunia</v>
      </c>
      <c r="T36" s="77">
        <f>[2]DATA!Z24</f>
        <v>300000000</v>
      </c>
      <c r="U36" s="77">
        <v>0</v>
      </c>
      <c r="V36" s="216" t="str">
        <f>[2]DATA!W24</f>
        <v>Bank Dunia</v>
      </c>
      <c r="W36" s="245">
        <f>[2]DATA!AN24</f>
        <v>300000000</v>
      </c>
      <c r="X36" s="109" t="str">
        <f>[2]DATA!AO24</f>
        <v>Bank Dunia</v>
      </c>
      <c r="Y36" s="246" t="str">
        <f>[2]DATA!AP24</f>
        <v>-</v>
      </c>
      <c r="Z36" s="2405" t="s">
        <v>614</v>
      </c>
      <c r="AA36" s="2405" t="s">
        <v>603</v>
      </c>
      <c r="AB36" s="2405"/>
      <c r="AC36" s="2391"/>
      <c r="AD36" s="2404"/>
    </row>
    <row r="37" spans="1:30" ht="22.5" customHeight="1">
      <c r="A37" s="10">
        <f>[2]DATA!A25</f>
        <v>22</v>
      </c>
      <c r="B37" s="10">
        <f>[2]DATA!B25</f>
        <v>0</v>
      </c>
      <c r="C37" s="10" t="str">
        <f>[2]DATA!C25</f>
        <v>INFRASTRUKTUR</v>
      </c>
      <c r="D37" s="10">
        <f>[2]DATA!D25</f>
        <v>1</v>
      </c>
      <c r="E37" s="10" t="str">
        <f>[2]DATA!E25</f>
        <v>Kementerian Pekerjaan Umum dan Perumahan Rakyat</v>
      </c>
      <c r="F37" s="10" t="str">
        <f>[2]DATA!F25</f>
        <v>Drinking Water Development Program</v>
      </c>
      <c r="G37" s="10" t="str">
        <f>[2]DATA!G25</f>
        <v>D</v>
      </c>
      <c r="H37" s="10" t="str">
        <f>[2]DATA!H25</f>
        <v>Program Pembangunan Air Minum</v>
      </c>
      <c r="I37" s="10">
        <f>[2]DATA!I25</f>
        <v>2</v>
      </c>
      <c r="J37" s="181"/>
      <c r="K37" s="34"/>
      <c r="L37" s="34"/>
      <c r="M37" s="36">
        <v>21</v>
      </c>
      <c r="N37" s="37" t="str">
        <f>[2]DATA!J25</f>
        <v>National Urban Water Supply</v>
      </c>
      <c r="O37" s="20">
        <f>[2]DATA!O25</f>
        <v>1</v>
      </c>
      <c r="P37" s="20">
        <f>[2]DATA!P25</f>
        <v>1</v>
      </c>
      <c r="Q37" s="186">
        <f>[2]DATA!Q25</f>
        <v>20</v>
      </c>
      <c r="R37" s="2386">
        <f>[2]DATA!R25</f>
        <v>100000000</v>
      </c>
      <c r="S37" s="1449" t="str">
        <f>[2]DATA!W25</f>
        <v>Bank Dunia</v>
      </c>
      <c r="T37" s="77">
        <f>[2]DATA!Z25</f>
        <v>100000000</v>
      </c>
      <c r="U37" s="77">
        <v>0</v>
      </c>
      <c r="V37" s="216" t="str">
        <f>[2]DATA!W25</f>
        <v>Bank Dunia</v>
      </c>
      <c r="W37" s="245">
        <f>[2]DATA!AN25</f>
        <v>100000000</v>
      </c>
      <c r="X37" s="109" t="str">
        <f>[2]DATA!AO25</f>
        <v>Bank Dunia</v>
      </c>
      <c r="Y37" s="246" t="str">
        <f>[2]DATA!AP25</f>
        <v>-</v>
      </c>
      <c r="Z37" s="2405" t="s">
        <v>603</v>
      </c>
      <c r="AA37" s="2405" t="s">
        <v>603</v>
      </c>
      <c r="AB37" s="2405"/>
      <c r="AC37" s="2391"/>
      <c r="AD37" s="2404"/>
    </row>
    <row r="38" spans="1:30" ht="30" customHeight="1">
      <c r="J38" s="181"/>
      <c r="K38" s="34"/>
      <c r="L38" s="34"/>
      <c r="M38" s="172">
        <v>22</v>
      </c>
      <c r="N38" s="37" t="s">
        <v>1159</v>
      </c>
      <c r="O38" s="20"/>
      <c r="P38" s="20"/>
      <c r="Q38" s="186"/>
      <c r="R38" s="2386"/>
      <c r="S38" s="1449"/>
      <c r="T38" s="77"/>
      <c r="U38" s="77"/>
      <c r="V38" s="216"/>
      <c r="W38" s="245"/>
      <c r="X38" s="109"/>
      <c r="Y38" s="246"/>
      <c r="Z38" s="2405"/>
      <c r="AA38" s="2405"/>
      <c r="AB38" s="2405"/>
      <c r="AC38" s="2391"/>
      <c r="AD38" s="2404"/>
    </row>
    <row r="39" spans="1:30" ht="21.75" customHeight="1">
      <c r="A39" s="10">
        <f>[2]DATA!A27</f>
        <v>24</v>
      </c>
      <c r="B39" s="10">
        <f>[2]DATA!B27</f>
        <v>0</v>
      </c>
      <c r="C39" s="10" t="str">
        <f>[2]DATA!C27</f>
        <v>INFRASTRUKTUR</v>
      </c>
      <c r="D39" s="10">
        <f>[2]DATA!D27</f>
        <v>1</v>
      </c>
      <c r="E39" s="10" t="str">
        <f>[2]DATA!E27</f>
        <v>Kementerian Pekerjaan Umum dan Perumahan Rakyat</v>
      </c>
      <c r="F39" s="10" t="str">
        <f>[2]DATA!F27</f>
        <v>Drinking Water Development Program</v>
      </c>
      <c r="G39" s="10" t="str">
        <f>[2]DATA!G27</f>
        <v>D</v>
      </c>
      <c r="H39" s="10" t="str">
        <f>[2]DATA!H27</f>
        <v>Program Pembangunan Air Minum</v>
      </c>
      <c r="I39" s="10">
        <f>[2]DATA!I27</f>
        <v>3</v>
      </c>
      <c r="J39" s="181"/>
      <c r="K39" s="34"/>
      <c r="L39" s="34"/>
      <c r="M39" s="3390"/>
      <c r="N39" s="37" t="str">
        <f>[2]DATA!J27</f>
        <v>Maminasata Water Supply Development Project</v>
      </c>
      <c r="O39" s="20">
        <f>[2]DATA!O27</f>
        <v>1</v>
      </c>
      <c r="P39" s="20">
        <f>[2]DATA!P27</f>
        <v>1</v>
      </c>
      <c r="Q39" s="186">
        <f>[2]DATA!Q27</f>
        <v>21</v>
      </c>
      <c r="R39" s="2386">
        <f>[2]DATA!R27</f>
        <v>100000000</v>
      </c>
      <c r="S39" s="1449" t="str">
        <f>[2]DATA!W27</f>
        <v>JICA</v>
      </c>
      <c r="T39" s="77">
        <f>[2]DATA!Z27</f>
        <v>100000000</v>
      </c>
      <c r="U39" s="77">
        <v>0</v>
      </c>
      <c r="V39" s="216" t="str">
        <f>[2]DATA!W27</f>
        <v>JICA</v>
      </c>
      <c r="W39" s="245">
        <f>[2]DATA!AN27</f>
        <v>100000000</v>
      </c>
      <c r="X39" s="109" t="str">
        <f>[2]DATA!AO27</f>
        <v>JICA</v>
      </c>
      <c r="Y39" s="246" t="str">
        <f>[2]DATA!AP27</f>
        <v>-</v>
      </c>
      <c r="Z39" s="2405" t="s">
        <v>568</v>
      </c>
      <c r="AA39" s="2405" t="s">
        <v>654</v>
      </c>
      <c r="AB39" s="2405"/>
      <c r="AC39" s="2391"/>
      <c r="AD39" s="2404"/>
    </row>
    <row r="40" spans="1:30" ht="32.25" customHeight="1">
      <c r="A40" s="10">
        <f>[2]DATA!A28</f>
        <v>25</v>
      </c>
      <c r="B40" s="10">
        <f>[2]DATA!B28</f>
        <v>0</v>
      </c>
      <c r="C40" s="10" t="str">
        <f>[2]DATA!C28</f>
        <v>INFRASTRUKTUR</v>
      </c>
      <c r="D40" s="10">
        <f>[2]DATA!D28</f>
        <v>1</v>
      </c>
      <c r="E40" s="10" t="str">
        <f>[2]DATA!E28</f>
        <v>Kementerian Pekerjaan Umum dan Perumahan Rakyat</v>
      </c>
      <c r="F40" s="10" t="str">
        <f>[2]DATA!F28</f>
        <v>Drinking Water Development Program</v>
      </c>
      <c r="G40" s="10" t="str">
        <f>[2]DATA!G28</f>
        <v>D</v>
      </c>
      <c r="H40" s="10" t="str">
        <f>[2]DATA!H28</f>
        <v>Program Pembangunan Air Minum</v>
      </c>
      <c r="I40" s="10">
        <f>[2]DATA!I28</f>
        <v>3</v>
      </c>
      <c r="J40" s="181"/>
      <c r="K40" s="34"/>
      <c r="L40" s="34"/>
      <c r="M40" s="3392"/>
      <c r="N40" s="37" t="str">
        <f>[2]DATA!J28</f>
        <v>The Development of Regional Water Supply System in Benteng Kobema</v>
      </c>
      <c r="O40" s="20">
        <f>[2]DATA!O28</f>
        <v>1</v>
      </c>
      <c r="P40" s="20">
        <f>[2]DATA!P28</f>
        <v>1</v>
      </c>
      <c r="Q40" s="186">
        <f>[2]DATA!Q28</f>
        <v>22</v>
      </c>
      <c r="R40" s="2386">
        <f>[2]DATA!R28</f>
        <v>74300000</v>
      </c>
      <c r="S40" s="1449" t="str">
        <f>[2]DATA!W28</f>
        <v>Bank Dunia/JICA/ADB</v>
      </c>
      <c r="T40" s="77">
        <f>[2]DATA!Z28</f>
        <v>74300000</v>
      </c>
      <c r="U40" s="77">
        <v>0</v>
      </c>
      <c r="V40" s="216" t="str">
        <f>[2]DATA!W28</f>
        <v>Bank Dunia/JICA/ADB</v>
      </c>
      <c r="W40" s="245">
        <f>[2]DATA!AN28</f>
        <v>74300000</v>
      </c>
      <c r="X40" s="109" t="str">
        <f>[2]DATA!AO28</f>
        <v>Bank Dunia</v>
      </c>
      <c r="Y40" s="246" t="str">
        <f>[2]DATA!AP28</f>
        <v>- usulan K/L lender: Bank Dunia/JICA/ADB. 
- Pihak Bank Dunia berminat, ADB dan JICA tidak minat.</v>
      </c>
      <c r="Z40" s="2405" t="s">
        <v>608</v>
      </c>
      <c r="AA40" s="2405" t="s">
        <v>654</v>
      </c>
      <c r="AB40" s="2405"/>
      <c r="AC40" s="2391"/>
      <c r="AD40" s="2404"/>
    </row>
    <row r="41" spans="1:30" ht="33" customHeight="1">
      <c r="A41" s="10">
        <f>[2]DATA!A29</f>
        <v>26</v>
      </c>
      <c r="B41" s="10">
        <f>[2]DATA!B29</f>
        <v>0</v>
      </c>
      <c r="C41" s="10" t="str">
        <f>[2]DATA!C29</f>
        <v>INFRASTRUKTUR</v>
      </c>
      <c r="D41" s="10">
        <f>[2]DATA!D29</f>
        <v>1</v>
      </c>
      <c r="E41" s="10" t="str">
        <f>[2]DATA!E29</f>
        <v>Kementerian Pekerjaan Umum dan Perumahan Rakyat</v>
      </c>
      <c r="F41" s="10" t="str">
        <f>[2]DATA!F29</f>
        <v>Drinking Water Development Program</v>
      </c>
      <c r="G41" s="10" t="str">
        <f>[2]DATA!G29</f>
        <v>D</v>
      </c>
      <c r="H41" s="10" t="str">
        <f>[2]DATA!H29</f>
        <v>Program Pembangunan Air Minum</v>
      </c>
      <c r="I41" s="10">
        <f>[2]DATA!I29</f>
        <v>3</v>
      </c>
      <c r="J41" s="181"/>
      <c r="K41" s="34"/>
      <c r="L41" s="34"/>
      <c r="M41" s="3392"/>
      <c r="N41" s="37" t="str">
        <f>[2]DATA!J29</f>
        <v>The Development of Regional Water Supply System in Wosusokas</v>
      </c>
      <c r="O41" s="20">
        <f>[2]DATA!O29</f>
        <v>1</v>
      </c>
      <c r="P41" s="20">
        <f>[2]DATA!P29</f>
        <v>1</v>
      </c>
      <c r="Q41" s="186">
        <f>[2]DATA!Q29</f>
        <v>23</v>
      </c>
      <c r="R41" s="2386">
        <f>[2]DATA!R29</f>
        <v>106200000</v>
      </c>
      <c r="S41" s="1449" t="str">
        <f>[2]DATA!W29</f>
        <v>Jerman (KfW)</v>
      </c>
      <c r="T41" s="77">
        <f>[2]DATA!Z29</f>
        <v>106200000</v>
      </c>
      <c r="U41" s="77">
        <v>0</v>
      </c>
      <c r="V41" s="216" t="str">
        <f>[2]DATA!W29</f>
        <v>Jerman (KfW)</v>
      </c>
      <c r="W41" s="245">
        <f>[2]DATA!AN29</f>
        <v>106200000</v>
      </c>
      <c r="X41" s="109" t="str">
        <f>[2]DATA!AO29</f>
        <v>Jerman (KfW)</v>
      </c>
      <c r="Y41" s="246" t="str">
        <f>[2]DATA!AP29</f>
        <v>-</v>
      </c>
      <c r="Z41" s="2405" t="s">
        <v>608</v>
      </c>
      <c r="AA41" s="2405" t="s">
        <v>654</v>
      </c>
      <c r="AB41" s="2405"/>
      <c r="AC41" s="2391"/>
      <c r="AD41" s="2404"/>
    </row>
    <row r="42" spans="1:30" ht="33.75" customHeight="1">
      <c r="A42" s="10">
        <f>[2]DATA!A30</f>
        <v>27</v>
      </c>
      <c r="B42" s="10">
        <f>[2]DATA!B30</f>
        <v>0</v>
      </c>
      <c r="C42" s="10" t="str">
        <f>[2]DATA!C30</f>
        <v>INFRASTRUKTUR</v>
      </c>
      <c r="D42" s="10">
        <f>[2]DATA!D30</f>
        <v>1</v>
      </c>
      <c r="E42" s="10" t="str">
        <f>[2]DATA!E30</f>
        <v>Kementerian Pekerjaan Umum dan Perumahan Rakyat</v>
      </c>
      <c r="F42" s="10" t="str">
        <f>[2]DATA!F30</f>
        <v>Drinking Water Development Program</v>
      </c>
      <c r="G42" s="10" t="str">
        <f>[2]DATA!G30</f>
        <v>D</v>
      </c>
      <c r="H42" s="10" t="str">
        <f>[2]DATA!H30</f>
        <v>Program Pembangunan Air Minum</v>
      </c>
      <c r="I42" s="10">
        <f>[2]DATA!I30</f>
        <v>3</v>
      </c>
      <c r="J42" s="181"/>
      <c r="K42" s="34"/>
      <c r="L42" s="34"/>
      <c r="M42" s="3392"/>
      <c r="N42" s="37" t="str">
        <f>[2]DATA!J30</f>
        <v>The Development of Regional Water Supply System of Jatigede</v>
      </c>
      <c r="O42" s="20">
        <f>[2]DATA!O30</f>
        <v>1</v>
      </c>
      <c r="P42" s="20">
        <f>[2]DATA!P30</f>
        <v>1</v>
      </c>
      <c r="Q42" s="186">
        <f>[2]DATA!Q30</f>
        <v>24</v>
      </c>
      <c r="R42" s="2386">
        <v>140620000</v>
      </c>
      <c r="S42" s="1449" t="str">
        <f>[2]DATA!W30</f>
        <v>Bank Dunia/JICA/ADB</v>
      </c>
      <c r="T42" s="77">
        <f>[2]DATA!Z30</f>
        <v>140620000</v>
      </c>
      <c r="U42" s="77">
        <v>0</v>
      </c>
      <c r="V42" s="216" t="str">
        <f>[2]DATA!W30</f>
        <v>Bank Dunia/JICA/ADB</v>
      </c>
      <c r="W42" s="245">
        <f>[2]DATA!AN30</f>
        <v>140620000</v>
      </c>
      <c r="X42" s="109" t="str">
        <f>[2]DATA!AO30</f>
        <v>Belum Ada Indikasi</v>
      </c>
      <c r="Y42" s="246" t="str">
        <f>[2]DATA!AP30</f>
        <v>- terdapat pengurangan nilai pinjaman sebesar USD 26,38 juta yang dialihkan untuk membiayai kegiatan ES.
- usulan K/L lender: Bank Dunia/JICA/ADB. 
- Pihak Bank Dunia, ADB, dan JICA tidak berminat.</v>
      </c>
      <c r="Z42" s="2405" t="s">
        <v>603</v>
      </c>
      <c r="AA42" s="2405" t="s">
        <v>603</v>
      </c>
      <c r="AB42" s="2405" t="s">
        <v>1118</v>
      </c>
      <c r="AC42" s="2391"/>
      <c r="AD42" s="2404"/>
    </row>
    <row r="43" spans="1:30" ht="27.75" customHeight="1">
      <c r="A43" s="10">
        <f>[2]DATA!A31</f>
        <v>28</v>
      </c>
      <c r="B43" s="10">
        <f>[2]DATA!B31</f>
        <v>0</v>
      </c>
      <c r="C43" s="10" t="str">
        <f>[2]DATA!C31</f>
        <v>INFRASTRUKTUR</v>
      </c>
      <c r="D43" s="10">
        <f>[2]DATA!D31</f>
        <v>1</v>
      </c>
      <c r="E43" s="10" t="str">
        <f>[2]DATA!E31</f>
        <v>Kementerian Pekerjaan Umum dan Perumahan Rakyat</v>
      </c>
      <c r="F43" s="10" t="str">
        <f>[2]DATA!F31</f>
        <v>Drinking Water Development Program</v>
      </c>
      <c r="G43" s="10" t="str">
        <f>[2]DATA!G31</f>
        <v>D</v>
      </c>
      <c r="H43" s="10" t="str">
        <f>[2]DATA!H31</f>
        <v>Program Pembangunan Air Minum</v>
      </c>
      <c r="I43" s="10">
        <f>[2]DATA!I31</f>
        <v>3</v>
      </c>
      <c r="J43" s="181"/>
      <c r="K43" s="34"/>
      <c r="L43" s="34"/>
      <c r="M43" s="3392"/>
      <c r="N43" s="37" t="str">
        <f>[2]DATA!J31</f>
        <v>The Development of Regional Water Supply System of Petanglong</v>
      </c>
      <c r="O43" s="20">
        <f>[2]DATA!O31</f>
        <v>1</v>
      </c>
      <c r="P43" s="20">
        <f>[2]DATA!P31</f>
        <v>1</v>
      </c>
      <c r="Q43" s="186">
        <f>[2]DATA!Q31</f>
        <v>25</v>
      </c>
      <c r="R43" s="2386">
        <f>[2]DATA!R31</f>
        <v>95380000</v>
      </c>
      <c r="S43" s="1449" t="str">
        <f>[2]DATA!W31</f>
        <v>Bank Dunia/JICA/ADB</v>
      </c>
      <c r="T43" s="77">
        <f>[2]DATA!Z31</f>
        <v>95380000</v>
      </c>
      <c r="U43" s="77">
        <v>0</v>
      </c>
      <c r="V43" s="216" t="str">
        <f>[2]DATA!W31</f>
        <v>Bank Dunia/JICA/ADB</v>
      </c>
      <c r="W43" s="245">
        <f>[2]DATA!AN31</f>
        <v>95380000</v>
      </c>
      <c r="X43" s="109" t="str">
        <f>[2]DATA!AO31</f>
        <v>Belum Ada Indikasi</v>
      </c>
      <c r="Y43" s="246" t="str">
        <f>[2]DATA!AP31</f>
        <v>- usulan K/L lender: Bank Dunia/JICA/ADB. 
- Pihak Bank Dunia, ADB, dan JICA tidak berminat.</v>
      </c>
      <c r="Z43" s="2405" t="s">
        <v>603</v>
      </c>
      <c r="AA43" s="2405" t="s">
        <v>603</v>
      </c>
      <c r="AB43" s="2405"/>
      <c r="AC43" s="2391"/>
      <c r="AD43" s="2404"/>
    </row>
    <row r="44" spans="1:30" ht="33" customHeight="1">
      <c r="A44" s="10">
        <f>[2]DATA!A32</f>
        <v>29</v>
      </c>
      <c r="B44" s="10">
        <f>[2]DATA!B32</f>
        <v>0</v>
      </c>
      <c r="C44" s="10" t="str">
        <f>[2]DATA!C32</f>
        <v>INFRASTRUKTUR</v>
      </c>
      <c r="D44" s="10">
        <f>[2]DATA!D32</f>
        <v>1</v>
      </c>
      <c r="E44" s="10" t="str">
        <f>[2]DATA!E32</f>
        <v>Kementerian Pekerjaan Umum dan Perumahan Rakyat</v>
      </c>
      <c r="F44" s="10" t="str">
        <f>[2]DATA!F32</f>
        <v>Drinking Water Development Program</v>
      </c>
      <c r="G44" s="10" t="str">
        <f>[2]DATA!G32</f>
        <v>D</v>
      </c>
      <c r="H44" s="10" t="str">
        <f>[2]DATA!H32</f>
        <v>Program Pembangunan Air Minum</v>
      </c>
      <c r="I44" s="10">
        <f>[2]DATA!I32</f>
        <v>3</v>
      </c>
      <c r="J44" s="181"/>
      <c r="K44" s="34"/>
      <c r="L44" s="34"/>
      <c r="M44" s="3392"/>
      <c r="N44" s="37" t="str">
        <f>[2]DATA!J32</f>
        <v>The Development of Regional Water Supply System of Durolis</v>
      </c>
      <c r="O44" s="20">
        <f>[2]DATA!O32</f>
        <v>1</v>
      </c>
      <c r="P44" s="20">
        <f>[2]DATA!P32</f>
        <v>1</v>
      </c>
      <c r="Q44" s="186">
        <f>[2]DATA!Q32</f>
        <v>26</v>
      </c>
      <c r="R44" s="2386">
        <f>[2]DATA!R32</f>
        <v>33400000</v>
      </c>
      <c r="S44" s="1449" t="str">
        <f>[2]DATA!W32</f>
        <v>Bank Dunia/JICA/ADB</v>
      </c>
      <c r="T44" s="77">
        <f>[2]DATA!Z32</f>
        <v>33400000</v>
      </c>
      <c r="U44" s="77">
        <v>0</v>
      </c>
      <c r="V44" s="216" t="str">
        <f>[2]DATA!W32</f>
        <v>Bank Dunia/JICA/ADB</v>
      </c>
      <c r="W44" s="245">
        <f>[2]DATA!AN32</f>
        <v>33400000</v>
      </c>
      <c r="X44" s="109" t="str">
        <f>[2]DATA!AO32</f>
        <v>Belum Ada Indikasi</v>
      </c>
      <c r="Y44" s="246" t="str">
        <f>[2]DATA!AP32</f>
        <v>- usulan K/L lender: Bank Dunia/JICA/ADB.
- Pihak Bank Dunia, ADB, dan JICA tidak berminat.</v>
      </c>
      <c r="Z44" s="2405" t="s">
        <v>568</v>
      </c>
      <c r="AA44" s="2405" t="s">
        <v>568</v>
      </c>
      <c r="AB44" s="2405"/>
      <c r="AC44" s="2391"/>
      <c r="AD44" s="2404"/>
    </row>
    <row r="45" spans="1:30" ht="35.25" customHeight="1">
      <c r="A45" s="10">
        <f>[2]DATA!A33</f>
        <v>30</v>
      </c>
      <c r="B45" s="10">
        <f>[2]DATA!B33</f>
        <v>0</v>
      </c>
      <c r="C45" s="10" t="str">
        <f>[2]DATA!C33</f>
        <v>INFRASTRUKTUR</v>
      </c>
      <c r="D45" s="10">
        <f>[2]DATA!D33</f>
        <v>1</v>
      </c>
      <c r="E45" s="10" t="str">
        <f>[2]DATA!E33</f>
        <v>Kementerian Pekerjaan Umum dan Perumahan Rakyat</v>
      </c>
      <c r="F45" s="10" t="str">
        <f>[2]DATA!F33</f>
        <v>Drinking Water Development Program</v>
      </c>
      <c r="G45" s="10" t="str">
        <f>[2]DATA!G33</f>
        <v>D</v>
      </c>
      <c r="H45" s="10" t="str">
        <f>[2]DATA!H33</f>
        <v>Program Pembangunan Air Minum</v>
      </c>
      <c r="I45" s="10">
        <f>[2]DATA!I33</f>
        <v>3</v>
      </c>
      <c r="J45" s="181"/>
      <c r="K45" s="34"/>
      <c r="L45" s="34"/>
      <c r="M45" s="3392"/>
      <c r="N45" s="37" t="str">
        <f>[2]DATA!J33</f>
        <v>The Development of Regional Water Supply System of  Banten - Jakarta from Karian Dam</v>
      </c>
      <c r="O45" s="20">
        <f>[2]DATA!O33</f>
        <v>1</v>
      </c>
      <c r="P45" s="20">
        <f>[2]DATA!P33</f>
        <v>1</v>
      </c>
      <c r="Q45" s="186">
        <f>[2]DATA!Q33</f>
        <v>27</v>
      </c>
      <c r="R45" s="2386">
        <f>[2]DATA!R33</f>
        <v>40000000</v>
      </c>
      <c r="S45" s="1449" t="str">
        <f>[2]DATA!W33</f>
        <v>Korea</v>
      </c>
      <c r="T45" s="77">
        <f>[2]DATA!Z33</f>
        <v>40000000</v>
      </c>
      <c r="U45" s="77">
        <v>0</v>
      </c>
      <c r="V45" s="216" t="str">
        <f>[2]DATA!W33</f>
        <v>Korea</v>
      </c>
      <c r="W45" s="245">
        <f>[2]DATA!AN33</f>
        <v>40000000</v>
      </c>
      <c r="X45" s="109" t="str">
        <f>[2]DATA!AO33</f>
        <v>Korea</v>
      </c>
      <c r="Y45" s="246" t="str">
        <f>[2]DATA!AP33</f>
        <v>belum masuk rolling plan EDCF (Korea)</v>
      </c>
      <c r="Z45" s="2405" t="s">
        <v>675</v>
      </c>
      <c r="AA45" s="2405" t="s">
        <v>675</v>
      </c>
      <c r="AB45" s="2405"/>
      <c r="AC45" s="2391"/>
      <c r="AD45" s="2404"/>
    </row>
    <row r="46" spans="1:30" ht="36.75" customHeight="1">
      <c r="A46" s="10">
        <f>[2]DATA!A34</f>
        <v>31</v>
      </c>
      <c r="B46" s="10">
        <f>[2]DATA!B34</f>
        <v>0</v>
      </c>
      <c r="C46" s="10" t="str">
        <f>[2]DATA!C34</f>
        <v>INFRASTRUKTUR</v>
      </c>
      <c r="D46" s="10">
        <f>[2]DATA!D34</f>
        <v>1</v>
      </c>
      <c r="E46" s="10" t="str">
        <f>[2]DATA!E34</f>
        <v>Kementerian Pekerjaan Umum dan Perumahan Rakyat</v>
      </c>
      <c r="F46" s="10" t="str">
        <f>[2]DATA!F34</f>
        <v>Drinking Water Development Program</v>
      </c>
      <c r="G46" s="10" t="str">
        <f>[2]DATA!G34</f>
        <v>D</v>
      </c>
      <c r="H46" s="10" t="str">
        <f>[2]DATA!H34</f>
        <v>Program Pembangunan Air Minum</v>
      </c>
      <c r="I46" s="10">
        <f>[2]DATA!I34</f>
        <v>3</v>
      </c>
      <c r="J46" s="181"/>
      <c r="K46" s="34"/>
      <c r="L46" s="34"/>
      <c r="M46" s="3391"/>
      <c r="N46" s="37" t="str">
        <f>[2]DATA!J34</f>
        <v>The Development of Regional Water Supply System of Mebidang</v>
      </c>
      <c r="O46" s="20">
        <f>[2]DATA!O34</f>
        <v>1</v>
      </c>
      <c r="P46" s="20">
        <f>[2]DATA!P34</f>
        <v>1</v>
      </c>
      <c r="Q46" s="186">
        <f>[2]DATA!Q34</f>
        <v>28</v>
      </c>
      <c r="R46" s="2386">
        <f>[2]DATA!R34</f>
        <v>56400000</v>
      </c>
      <c r="S46" s="1449" t="str">
        <f>[2]DATA!W34</f>
        <v>Jerman (KfW)</v>
      </c>
      <c r="T46" s="77">
        <f>[2]DATA!Z34</f>
        <v>56400000</v>
      </c>
      <c r="U46" s="77">
        <v>0</v>
      </c>
      <c r="V46" s="216" t="str">
        <f>[2]DATA!W34</f>
        <v>Jerman (KfW)</v>
      </c>
      <c r="W46" s="245">
        <f>[2]DATA!AN34</f>
        <v>56400000</v>
      </c>
      <c r="X46" s="109" t="str">
        <f>[2]DATA!AO34</f>
        <v>Jerman (KfW)</v>
      </c>
      <c r="Y46" s="246" t="str">
        <f>[2]DATA!AP34</f>
        <v>-</v>
      </c>
      <c r="Z46" s="2405" t="s">
        <v>614</v>
      </c>
      <c r="AA46" s="2405" t="s">
        <v>614</v>
      </c>
      <c r="AB46" s="2405"/>
      <c r="AC46" s="2391"/>
      <c r="AD46" s="2404"/>
    </row>
    <row r="47" spans="1:30" ht="18.75" customHeight="1">
      <c r="J47" s="181"/>
      <c r="K47" s="34"/>
      <c r="L47" s="34"/>
      <c r="M47" s="33">
        <v>23</v>
      </c>
      <c r="N47" s="37" t="s">
        <v>102</v>
      </c>
      <c r="O47" s="20"/>
      <c r="P47" s="20"/>
      <c r="Q47" s="186"/>
      <c r="R47" s="2386"/>
      <c r="S47" s="1449"/>
      <c r="T47" s="77"/>
      <c r="U47" s="77"/>
      <c r="V47" s="216"/>
      <c r="W47" s="245"/>
      <c r="X47" s="109"/>
      <c r="Y47" s="246"/>
      <c r="Z47" s="2405"/>
      <c r="AA47" s="2405"/>
      <c r="AB47" s="2405"/>
      <c r="AC47" s="2391"/>
      <c r="AD47" s="2404"/>
    </row>
    <row r="48" spans="1:30" ht="24" customHeight="1">
      <c r="A48" s="10">
        <f>[2]DATA!A36</f>
        <v>33</v>
      </c>
      <c r="B48" s="10">
        <f>[2]DATA!B36</f>
        <v>0</v>
      </c>
      <c r="C48" s="10" t="str">
        <f>[2]DATA!C36</f>
        <v>INFRASTRUKTUR</v>
      </c>
      <c r="D48" s="10">
        <f>[2]DATA!D36</f>
        <v>1</v>
      </c>
      <c r="E48" s="10" t="str">
        <f>[2]DATA!E36</f>
        <v>Kementerian Pekerjaan Umum dan Perumahan Rakyat</v>
      </c>
      <c r="F48" s="10" t="str">
        <f>[2]DATA!F36</f>
        <v>Drinking Water Development Program</v>
      </c>
      <c r="G48" s="10" t="str">
        <f>[2]DATA!G36</f>
        <v>D</v>
      </c>
      <c r="H48" s="10" t="str">
        <f>[2]DATA!H36</f>
        <v>Program Pembangunan Air Minum</v>
      </c>
      <c r="I48" s="10">
        <f>[2]DATA!I36</f>
        <v>4</v>
      </c>
      <c r="J48" s="181"/>
      <c r="K48" s="34"/>
      <c r="L48" s="34"/>
      <c r="M48" s="3390"/>
      <c r="N48" s="37" t="str">
        <f>[2]DATA!J36</f>
        <v>Small Scale Water Treatment Plants for Emergency Relief</v>
      </c>
      <c r="O48" s="20">
        <f>[2]DATA!O36</f>
        <v>1</v>
      </c>
      <c r="P48" s="20">
        <f>[2]DATA!P36</f>
        <v>1</v>
      </c>
      <c r="Q48" s="186">
        <f>[2]DATA!Q36</f>
        <v>29</v>
      </c>
      <c r="R48" s="2386">
        <f>[2]DATA!R36</f>
        <v>25000000</v>
      </c>
      <c r="S48" s="1449" t="str">
        <f>[2]DATA!W36</f>
        <v>Spanyol</v>
      </c>
      <c r="T48" s="77">
        <f>[2]DATA!Z36</f>
        <v>25000000</v>
      </c>
      <c r="U48" s="77">
        <v>0</v>
      </c>
      <c r="V48" s="216" t="str">
        <f>[2]DATA!W36</f>
        <v>Spanyol</v>
      </c>
      <c r="W48" s="245">
        <f>[2]DATA!AN36</f>
        <v>25000000</v>
      </c>
      <c r="X48" s="109" t="str">
        <f>[2]DATA!AO36</f>
        <v>Spanyol</v>
      </c>
      <c r="Y48" s="246" t="str">
        <f>[2]DATA!AP36</f>
        <v>-</v>
      </c>
      <c r="Z48" s="2405" t="s">
        <v>568</v>
      </c>
      <c r="AA48" s="2405" t="s">
        <v>654</v>
      </c>
      <c r="AB48" s="2405"/>
      <c r="AC48" s="2391"/>
      <c r="AD48" s="2404"/>
    </row>
    <row r="49" spans="1:30" ht="15" customHeight="1">
      <c r="A49" s="10">
        <f>[2]DATA!A38</f>
        <v>34</v>
      </c>
      <c r="B49" s="10">
        <f>[2]DATA!B38</f>
        <v>0</v>
      </c>
      <c r="C49" s="10" t="str">
        <f>[2]DATA!C38</f>
        <v>INFRASTRUKTUR</v>
      </c>
      <c r="D49" s="10">
        <f>[2]DATA!D38</f>
        <v>1</v>
      </c>
      <c r="E49" s="10" t="str">
        <f>[2]DATA!E38</f>
        <v>Kementerian Pekerjaan Umum dan Perumahan Rakyat</v>
      </c>
      <c r="F49" s="10" t="str">
        <f>[2]DATA!F38</f>
        <v>Drinking Water Development Program</v>
      </c>
      <c r="G49" s="10" t="str">
        <f>[2]DATA!G38</f>
        <v>D</v>
      </c>
      <c r="H49" s="10" t="str">
        <f>[2]DATA!H38</f>
        <v>Program Pembangunan Air Minum</v>
      </c>
      <c r="I49" s="10">
        <f>[2]DATA!I38</f>
        <v>4</v>
      </c>
      <c r="J49" s="181"/>
      <c r="K49" s="34"/>
      <c r="L49" s="34"/>
      <c r="M49" s="3392"/>
      <c r="N49" s="3393" t="str">
        <f>[2]DATA!J38</f>
        <v>IKK Water Supply Program and Small Water Treatment Plant for Water Scarcity Area</v>
      </c>
      <c r="O49" s="20">
        <f>[2]DATA!O38</f>
        <v>0.5</v>
      </c>
      <c r="P49" s="20">
        <f>[2]DATA!P38</f>
        <v>1</v>
      </c>
      <c r="Q49" s="186">
        <f>[2]DATA!Q38</f>
        <v>0</v>
      </c>
      <c r="R49" s="3639">
        <f>[2]DATA!R37</f>
        <v>100000000</v>
      </c>
      <c r="S49" s="1449" t="str">
        <f>[2]DATA!W38</f>
        <v>Hungaria</v>
      </c>
      <c r="T49" s="77">
        <f>[2]DATA!Z38</f>
        <v>50000000</v>
      </c>
      <c r="U49" s="77">
        <v>0</v>
      </c>
      <c r="V49" s="216" t="str">
        <f>[2]DATA!W38</f>
        <v>Hungaria</v>
      </c>
      <c r="W49" s="245">
        <f>[2]DATA!AN38</f>
        <v>50000000</v>
      </c>
      <c r="X49" s="109" t="str">
        <f>[2]DATA!AO38</f>
        <v>Hungaria</v>
      </c>
      <c r="Y49" s="246" t="str">
        <f>[2]DATA!AP38</f>
        <v>-</v>
      </c>
      <c r="Z49" s="3535" t="s">
        <v>568</v>
      </c>
      <c r="AA49" s="3535" t="s">
        <v>1119</v>
      </c>
      <c r="AB49" s="3535"/>
      <c r="AC49" s="3639"/>
      <c r="AD49" s="2404"/>
    </row>
    <row r="50" spans="1:30" ht="27.75" customHeight="1">
      <c r="J50" s="181"/>
      <c r="K50" s="34"/>
      <c r="L50" s="54"/>
      <c r="M50" s="3391"/>
      <c r="N50" s="3394"/>
      <c r="O50" s="20">
        <f>[2]DATA!O39</f>
        <v>0.5</v>
      </c>
      <c r="P50" s="20">
        <f>[2]DATA!P39</f>
        <v>0</v>
      </c>
      <c r="Q50" s="186">
        <f>[2]DATA!Q39</f>
        <v>0</v>
      </c>
      <c r="R50" s="3640"/>
      <c r="S50" s="1449" t="str">
        <f>[2]DATA!W39</f>
        <v>IDB</v>
      </c>
      <c r="T50" s="77">
        <f>[2]DATA!Z39</f>
        <v>50000000</v>
      </c>
      <c r="U50" s="77">
        <v>0</v>
      </c>
      <c r="V50" s="216" t="str">
        <f>[2]DATA!W39</f>
        <v>IDB</v>
      </c>
      <c r="W50" s="245">
        <f>[2]DATA!AN39</f>
        <v>50000000</v>
      </c>
      <c r="X50" s="109" t="str">
        <f>[2]DATA!AO39</f>
        <v>AIIB</v>
      </c>
      <c r="Y50" s="246" t="str">
        <f>[2]DATA!AP39</f>
        <v>- usulan K/L lender:IDB.
- pihak IDB tidak berminat mendanai kegiatan ini, diusulkan kepada AIIB.</v>
      </c>
      <c r="Z50" s="3537"/>
      <c r="AA50" s="3537"/>
      <c r="AB50" s="3537"/>
      <c r="AC50" s="3640"/>
      <c r="AD50" s="2404"/>
    </row>
    <row r="51" spans="1:30" ht="27.75" customHeight="1">
      <c r="J51" s="181"/>
      <c r="K51" s="34"/>
      <c r="L51" s="54"/>
      <c r="M51" s="36">
        <v>24</v>
      </c>
      <c r="N51" s="37" t="str">
        <f>[2]DATA!J40</f>
        <v>Engineering Service for Water Supply Development Project</v>
      </c>
      <c r="O51" s="20">
        <f>[2]DATA!O40</f>
        <v>0</v>
      </c>
      <c r="P51" s="20">
        <f>[2]DATA!P40</f>
        <v>0</v>
      </c>
      <c r="Q51" s="186">
        <f>[2]DATA!Q40</f>
        <v>0</v>
      </c>
      <c r="R51" s="2386">
        <v>26380000</v>
      </c>
      <c r="S51" s="1449" t="str">
        <f>[2]DATA!W40</f>
        <v>ADB</v>
      </c>
      <c r="T51" s="77">
        <f>[2]DATA!Z40</f>
        <v>26380000</v>
      </c>
      <c r="U51" s="77">
        <v>0</v>
      </c>
      <c r="V51" s="216" t="str">
        <f>[2]DATA!W40</f>
        <v>ADB</v>
      </c>
      <c r="W51" s="245">
        <f>[2]DATA!AN40</f>
        <v>26380000</v>
      </c>
      <c r="X51" s="109" t="str">
        <f>[2]DATA!AO40</f>
        <v>ADB</v>
      </c>
      <c r="Y51" s="246" t="str">
        <f>[2]DATA!AP40</f>
        <v>-</v>
      </c>
      <c r="Z51" s="2405" t="s">
        <v>603</v>
      </c>
      <c r="AA51" s="2405" t="s">
        <v>603</v>
      </c>
      <c r="AB51" s="2405"/>
      <c r="AC51" s="2391"/>
      <c r="AD51" s="2404"/>
    </row>
    <row r="52" spans="1:30" s="5" customFormat="1" ht="39.75" customHeight="1">
      <c r="J52" s="180"/>
      <c r="K52" s="50"/>
      <c r="L52" s="30" t="str">
        <f>[2]DATA!G41</f>
        <v>E</v>
      </c>
      <c r="M52" s="3427" t="str">
        <f>[2]DATA!H41</f>
        <v>Program Pembangunan Sistem Pengelolaan Air Limbah</v>
      </c>
      <c r="N52" s="3428"/>
      <c r="O52" s="31"/>
      <c r="P52" s="31"/>
      <c r="Q52" s="196"/>
      <c r="R52" s="2389">
        <f>R53+R55+R56+R57+R61+R62+R63</f>
        <v>3583000000</v>
      </c>
      <c r="S52" s="198"/>
      <c r="T52" s="81">
        <f>SUM(T53:T63)</f>
        <v>3583000000</v>
      </c>
      <c r="U52" s="81">
        <f t="shared" ref="U52:Y52" si="4">SUM(U53:U63)</f>
        <v>0</v>
      </c>
      <c r="V52" s="214">
        <f t="shared" si="4"/>
        <v>0</v>
      </c>
      <c r="W52" s="244">
        <f t="shared" si="4"/>
        <v>3583000000</v>
      </c>
      <c r="X52" s="81" t="s">
        <v>21</v>
      </c>
      <c r="Y52" s="229">
        <f t="shared" si="4"/>
        <v>0</v>
      </c>
      <c r="Z52" s="2407"/>
      <c r="AA52" s="2407"/>
      <c r="AB52" s="2407"/>
      <c r="AC52" s="2401"/>
      <c r="AD52" s="2402"/>
    </row>
    <row r="53" spans="1:30" ht="15" customHeight="1">
      <c r="J53" s="181"/>
      <c r="K53" s="34"/>
      <c r="L53" s="34"/>
      <c r="M53" s="3399">
        <v>25</v>
      </c>
      <c r="N53" s="3395" t="str">
        <f>[2]DATA!J42</f>
        <v>Community Based Sanitation Program (SANIMAS)</v>
      </c>
      <c r="O53" s="183">
        <f>[2]DATA!O42</f>
        <v>0.5</v>
      </c>
      <c r="P53" s="183">
        <f>[2]DATA!P42</f>
        <v>1</v>
      </c>
      <c r="Q53" s="206">
        <f>[2]DATA!Q42</f>
        <v>31</v>
      </c>
      <c r="R53" s="3641">
        <f>[2]DATA!R41</f>
        <v>250000000</v>
      </c>
      <c r="S53" s="1449" t="str">
        <f>[2]DATA!W42</f>
        <v>ADB</v>
      </c>
      <c r="T53" s="37">
        <f>[2]DATA!Z42</f>
        <v>125000000</v>
      </c>
      <c r="U53" s="77">
        <v>0</v>
      </c>
      <c r="V53" s="216" t="str">
        <f>[2]DATA!W42</f>
        <v>ADB</v>
      </c>
      <c r="W53" s="245">
        <f>[2]DATA!AN42</f>
        <v>125000000</v>
      </c>
      <c r="X53" s="109" t="str">
        <f>[2]DATA!AO42</f>
        <v>ADB</v>
      </c>
      <c r="Y53" s="246" t="str">
        <f>[2]DATA!AP42</f>
        <v>-</v>
      </c>
      <c r="Z53" s="3538" t="s">
        <v>603</v>
      </c>
      <c r="AA53" s="3538" t="s">
        <v>645</v>
      </c>
      <c r="AB53" s="3538"/>
      <c r="AC53" s="3650"/>
      <c r="AD53" s="2404"/>
    </row>
    <row r="54" spans="1:30" ht="5.25" customHeight="1">
      <c r="J54" s="181"/>
      <c r="K54" s="34"/>
      <c r="L54" s="34"/>
      <c r="M54" s="3400"/>
      <c r="N54" s="3396"/>
      <c r="O54" s="183"/>
      <c r="P54" s="183"/>
      <c r="Q54" s="206"/>
      <c r="R54" s="3638"/>
      <c r="S54" s="1449" t="str">
        <f>[2]DATA!W43</f>
        <v>IDB</v>
      </c>
      <c r="T54" s="37">
        <f>[2]DATA!Z43</f>
        <v>125000000</v>
      </c>
      <c r="U54" s="77">
        <v>0</v>
      </c>
      <c r="V54" s="216" t="str">
        <f>[2]DATA!W43</f>
        <v>IDB</v>
      </c>
      <c r="W54" s="245">
        <f>[2]DATA!AN43</f>
        <v>125000000</v>
      </c>
      <c r="X54" s="109" t="str">
        <f>[2]DATA!AO43</f>
        <v>IDB</v>
      </c>
      <c r="Y54" s="246" t="str">
        <f>[2]DATA!AP43</f>
        <v>-</v>
      </c>
      <c r="Z54" s="3539"/>
      <c r="AA54" s="3539"/>
      <c r="AB54" s="3539"/>
      <c r="AC54" s="3649"/>
      <c r="AD54" s="2404"/>
    </row>
    <row r="55" spans="1:30" ht="33" customHeight="1">
      <c r="A55" s="10">
        <f>[2]DATA!A44</f>
        <v>36</v>
      </c>
      <c r="B55" s="10">
        <f>[2]DATA!B44</f>
        <v>0</v>
      </c>
      <c r="C55" s="10" t="str">
        <f>[2]DATA!C44</f>
        <v>INFRASTRUKTUR</v>
      </c>
      <c r="D55" s="10">
        <f>[2]DATA!D44</f>
        <v>1</v>
      </c>
      <c r="E55" s="10" t="str">
        <f>[2]DATA!E44</f>
        <v>Kementerian Pekerjaan Umum dan Perumahan Rakyat</v>
      </c>
      <c r="F55" s="10" t="str">
        <f>[2]DATA!F44</f>
        <v>Development of Waste Water Management Program</v>
      </c>
      <c r="G55" s="10" t="str">
        <f>[2]DATA!G44</f>
        <v>E</v>
      </c>
      <c r="H55" s="10" t="str">
        <f>[2]DATA!H44</f>
        <v>Program Pembangunan Sistem Pengelolaan Air Limbah</v>
      </c>
      <c r="I55" s="10">
        <f>[2]DATA!I44</f>
        <v>2</v>
      </c>
      <c r="J55" s="181"/>
      <c r="K55" s="34"/>
      <c r="L55" s="34"/>
      <c r="M55" s="36">
        <v>26</v>
      </c>
      <c r="N55" s="37" t="str">
        <f>[2]DATA!J44</f>
        <v>Jakarta Sewerage Development Project - Zone 1 and Zone 6</v>
      </c>
      <c r="O55" s="20">
        <f>[2]DATA!O44</f>
        <v>1</v>
      </c>
      <c r="P55" s="20">
        <f>[2]DATA!P44</f>
        <v>1</v>
      </c>
      <c r="Q55" s="186">
        <f>[2]DATA!Q44</f>
        <v>32</v>
      </c>
      <c r="R55" s="2386">
        <f>[2]DATA!R44</f>
        <v>1950000000</v>
      </c>
      <c r="S55" s="1449" t="str">
        <f>[2]DATA!W44</f>
        <v>JICA</v>
      </c>
      <c r="T55" s="77">
        <f>[2]DATA!Z44</f>
        <v>1950000000</v>
      </c>
      <c r="U55" s="77">
        <v>0</v>
      </c>
      <c r="V55" s="216" t="str">
        <f>[2]DATA!W44</f>
        <v>JICA</v>
      </c>
      <c r="W55" s="245">
        <f>[2]DATA!AN44</f>
        <v>1950000000</v>
      </c>
      <c r="X55" s="109" t="str">
        <f>[2]DATA!AO44</f>
        <v>JICA</v>
      </c>
      <c r="Y55" s="246" t="str">
        <f>[2]DATA!AP44</f>
        <v>-</v>
      </c>
      <c r="Z55" s="2408" t="s">
        <v>675</v>
      </c>
      <c r="AA55" s="2409" t="s">
        <v>702</v>
      </c>
      <c r="AB55" s="2409" t="s">
        <v>1120</v>
      </c>
      <c r="AC55" s="2391"/>
      <c r="AD55" s="2404"/>
    </row>
    <row r="56" spans="1:30" ht="33.75" customHeight="1">
      <c r="A56" s="10">
        <f>[2]DATA!A45</f>
        <v>37</v>
      </c>
      <c r="B56" s="10">
        <f>[2]DATA!B45</f>
        <v>0</v>
      </c>
      <c r="C56" s="10" t="str">
        <f>[2]DATA!C45</f>
        <v>INFRASTRUKTUR</v>
      </c>
      <c r="D56" s="10">
        <f>[2]DATA!D45</f>
        <v>1</v>
      </c>
      <c r="E56" s="10" t="str">
        <f>[2]DATA!E45</f>
        <v>Kementerian Pekerjaan Umum dan Perumahan Rakyat</v>
      </c>
      <c r="F56" s="10" t="str">
        <f>[2]DATA!F45</f>
        <v>Development of Waste Water Management Program</v>
      </c>
      <c r="G56" s="10" t="str">
        <f>[2]DATA!G45</f>
        <v>E</v>
      </c>
      <c r="H56" s="10" t="str">
        <f>[2]DATA!H45</f>
        <v>Program Pembangunan Sistem Pengelolaan Air Limbah</v>
      </c>
      <c r="I56" s="10">
        <f>[2]DATA!I45</f>
        <v>3</v>
      </c>
      <c r="J56" s="181"/>
      <c r="K56" s="34"/>
      <c r="L56" s="34"/>
      <c r="M56" s="36">
        <v>27</v>
      </c>
      <c r="N56" s="37" t="str">
        <f>[2]DATA!J45</f>
        <v>The Development of Sewage Treatment Plant Facility in Priority Area</v>
      </c>
      <c r="O56" s="20">
        <f>[2]DATA!O45</f>
        <v>1</v>
      </c>
      <c r="P56" s="20">
        <f>[2]DATA!P45</f>
        <v>1</v>
      </c>
      <c r="Q56" s="186">
        <f>[2]DATA!Q45</f>
        <v>33</v>
      </c>
      <c r="R56" s="2386">
        <f>[2]DATA!R45</f>
        <v>75000000</v>
      </c>
      <c r="S56" s="1449" t="str">
        <f>[2]DATA!W45</f>
        <v>Bank Dunia/JICA</v>
      </c>
      <c r="T56" s="77">
        <f>[2]DATA!Z45</f>
        <v>75000000</v>
      </c>
      <c r="U56" s="77">
        <v>0</v>
      </c>
      <c r="V56" s="216" t="str">
        <f>[2]DATA!W45</f>
        <v>Bank Dunia/JICA</v>
      </c>
      <c r="W56" s="245">
        <f>[2]DATA!AN45</f>
        <v>75000000</v>
      </c>
      <c r="X56" s="109" t="str">
        <f>[2]DATA!AO45</f>
        <v>Bank Dunia</v>
      </c>
      <c r="Y56" s="246" t="str">
        <f>[2]DATA!AP45</f>
        <v>- usulan K/L lender: Bank Dunia/JICA/ADB. 
- pihak Bank Dunia berminat, ADB dan JICA tidak berminat
- dalam rencana pembiayaan Bank Dunia, kegiatan ini dijadikan satu paket dengan kegiatan "Sewerage System Development in Indonesia"</v>
      </c>
      <c r="Z56" s="2408" t="s">
        <v>675</v>
      </c>
      <c r="AA56" s="2408" t="s">
        <v>603</v>
      </c>
      <c r="AB56" s="2408"/>
      <c r="AC56" s="2391"/>
      <c r="AD56" s="2404"/>
    </row>
    <row r="57" spans="1:30" ht="13.5" customHeight="1">
      <c r="A57" s="10">
        <f>[2]DATA!A47</f>
        <v>38</v>
      </c>
      <c r="B57" s="10">
        <f>[2]DATA!B47</f>
        <v>0</v>
      </c>
      <c r="C57" s="10" t="str">
        <f>[2]DATA!C47</f>
        <v>INFRASTRUKTUR</v>
      </c>
      <c r="D57" s="10">
        <f>[2]DATA!D47</f>
        <v>1</v>
      </c>
      <c r="E57" s="10" t="str">
        <f>[2]DATA!E47</f>
        <v>Kementerian Pekerjaan Umum dan Perumahan Rakyat</v>
      </c>
      <c r="F57" s="10" t="str">
        <f>[2]DATA!F47</f>
        <v>Development of Waste Water Management Program</v>
      </c>
      <c r="G57" s="10" t="str">
        <f>[2]DATA!G47</f>
        <v>E</v>
      </c>
      <c r="H57" s="10" t="str">
        <f>[2]DATA!H47</f>
        <v>Program Pembangunan Sistem Pengelolaan Air Limbah</v>
      </c>
      <c r="I57" s="10">
        <f>[2]DATA!I47</f>
        <v>4</v>
      </c>
      <c r="J57" s="181"/>
      <c r="K57" s="34"/>
      <c r="L57" s="34"/>
      <c r="M57" s="3390">
        <v>28</v>
      </c>
      <c r="N57" s="3393" t="str">
        <f>[2]DATA!J47</f>
        <v>Sewerage System Development in Indonesia</v>
      </c>
      <c r="O57" s="20">
        <f>[2]DATA!O47</f>
        <v>0.33333333333333298</v>
      </c>
      <c r="P57" s="20">
        <f>[2]DATA!P47</f>
        <v>0</v>
      </c>
      <c r="Q57" s="186">
        <f>[2]DATA!Q47</f>
        <v>0</v>
      </c>
      <c r="R57" s="3639">
        <v>949800000</v>
      </c>
      <c r="S57" s="3488" t="str">
        <f>[2]DATA!W47</f>
        <v>ADB</v>
      </c>
      <c r="T57" s="3414">
        <f>[2]DATA!Z47</f>
        <v>424800000</v>
      </c>
      <c r="U57" s="3414">
        <v>0</v>
      </c>
      <c r="V57" s="3416" t="str">
        <f>[2]DATA!W47</f>
        <v>ADB</v>
      </c>
      <c r="W57" s="245">
        <f>[2]DATA!AN47</f>
        <v>400000000</v>
      </c>
      <c r="X57" s="109" t="str">
        <f>[2]DATA!AO47</f>
        <v>ADB</v>
      </c>
      <c r="Y57" s="246" t="str">
        <f>[2]DATA!AP47</f>
        <v>- nilai kegiatan yang tercantum dalam COBP ADB sebesar USD 400 juta.
- nilai kegiatan berkurang sebesar USD 25,2 yang dialihkan untuk membiayai kegiatan ES</v>
      </c>
      <c r="Z57" s="3411" t="s">
        <v>603</v>
      </c>
      <c r="AA57" s="3411" t="s">
        <v>603</v>
      </c>
      <c r="AB57" s="3411" t="s">
        <v>1121</v>
      </c>
      <c r="AC57" s="3639"/>
      <c r="AD57" s="2410"/>
    </row>
    <row r="58" spans="1:30" ht="7.5" hidden="1" customHeight="1">
      <c r="J58" s="181"/>
      <c r="K58" s="34"/>
      <c r="L58" s="34"/>
      <c r="M58" s="3392"/>
      <c r="N58" s="3397"/>
      <c r="O58" s="20"/>
      <c r="P58" s="20"/>
      <c r="Q58" s="186"/>
      <c r="R58" s="3642"/>
      <c r="S58" s="3490"/>
      <c r="T58" s="3415"/>
      <c r="U58" s="3415"/>
      <c r="V58" s="3417"/>
      <c r="W58" s="245">
        <f>[2]DATA!AN50</f>
        <v>24800000</v>
      </c>
      <c r="X58" s="109" t="str">
        <f>[2]DATA!AO50</f>
        <v>Belum Ada Indikasi</v>
      </c>
      <c r="Y58" s="248" t="str">
        <f>[2]DATA!AP50</f>
        <v>-</v>
      </c>
      <c r="Z58" s="3412"/>
      <c r="AA58" s="3412"/>
      <c r="AB58" s="3412"/>
      <c r="AC58" s="3642"/>
      <c r="AD58" s="2404"/>
    </row>
    <row r="59" spans="1:30" ht="30.75" hidden="1" customHeight="1">
      <c r="A59" s="10">
        <f>[2]DATA!A48</f>
        <v>39</v>
      </c>
      <c r="B59" s="10">
        <f>[2]DATA!B48</f>
        <v>0</v>
      </c>
      <c r="C59" s="10" t="str">
        <f>[2]DATA!C48</f>
        <v>INFRASTRUKTUR</v>
      </c>
      <c r="D59" s="10">
        <f>[2]DATA!D48</f>
        <v>1</v>
      </c>
      <c r="E59" s="10" t="str">
        <f>[2]DATA!E48</f>
        <v>Kementerian Pekerjaan Umum dan Perumahan Rakyat</v>
      </c>
      <c r="F59" s="10" t="str">
        <f>[2]DATA!F48</f>
        <v>Development of Waste Water Management Program</v>
      </c>
      <c r="G59" s="10" t="str">
        <f>[2]DATA!G48</f>
        <v>E</v>
      </c>
      <c r="H59" s="10" t="str">
        <f>[2]DATA!H48</f>
        <v>Program Pembangunan Sistem Pengelolaan Air Limbah</v>
      </c>
      <c r="I59" s="10">
        <f>[2]DATA!I48</f>
        <v>4</v>
      </c>
      <c r="J59" s="181"/>
      <c r="K59" s="34"/>
      <c r="L59" s="34"/>
      <c r="M59" s="3392"/>
      <c r="N59" s="3397"/>
      <c r="O59" s="20"/>
      <c r="P59" s="20"/>
      <c r="Q59" s="186"/>
      <c r="R59" s="3642"/>
      <c r="S59" s="1449" t="str">
        <f>[2]DATA!W48</f>
        <v>IDB</v>
      </c>
      <c r="T59" s="77">
        <f>[2]DATA!Z48</f>
        <v>325000000</v>
      </c>
      <c r="U59" s="77">
        <v>0</v>
      </c>
      <c r="V59" s="216" t="str">
        <f>[2]DATA!W48</f>
        <v>IDB</v>
      </c>
      <c r="W59" s="245">
        <f>[2]DATA!AN48</f>
        <v>325000000</v>
      </c>
      <c r="X59" s="109" t="str">
        <f>[2]DATA!AO48</f>
        <v>IDB</v>
      </c>
      <c r="Y59" s="246" t="str">
        <f>[2]DATA!AP48</f>
        <v>-</v>
      </c>
      <c r="Z59" s="3412"/>
      <c r="AA59" s="3412"/>
      <c r="AB59" s="3412"/>
      <c r="AC59" s="3642"/>
      <c r="AD59" s="2404"/>
    </row>
    <row r="60" spans="1:30" ht="6.75" customHeight="1">
      <c r="A60" s="10">
        <f>[2]DATA!A49</f>
        <v>40</v>
      </c>
      <c r="B60" s="10">
        <f>[2]DATA!B49</f>
        <v>0</v>
      </c>
      <c r="C60" s="10" t="str">
        <f>[2]DATA!C49</f>
        <v>INFRASTRUKTUR</v>
      </c>
      <c r="D60" s="10">
        <f>[2]DATA!D49</f>
        <v>1</v>
      </c>
      <c r="E60" s="10" t="str">
        <f>[2]DATA!E49</f>
        <v>Kementerian Pekerjaan Umum dan Perumahan Rakyat</v>
      </c>
      <c r="F60" s="10" t="str">
        <f>[2]DATA!F49</f>
        <v>Development of Waste Water Management Program</v>
      </c>
      <c r="G60" s="10" t="str">
        <f>[2]DATA!G49</f>
        <v>E</v>
      </c>
      <c r="H60" s="10" t="str">
        <f>[2]DATA!H49</f>
        <v>Program Pembangunan Sistem Pengelolaan Air Limbah</v>
      </c>
      <c r="I60" s="10">
        <f>[2]DATA!I49</f>
        <v>4</v>
      </c>
      <c r="J60" s="181"/>
      <c r="K60" s="34"/>
      <c r="L60" s="34"/>
      <c r="M60" s="3391"/>
      <c r="N60" s="3394"/>
      <c r="O60" s="20"/>
      <c r="P60" s="20"/>
      <c r="Q60" s="186"/>
      <c r="R60" s="3640"/>
      <c r="S60" s="1449" t="str">
        <f>[2]DATA!W49</f>
        <v>Bank Dunia</v>
      </c>
      <c r="T60" s="77">
        <f>[2]DATA!Z49</f>
        <v>200000000</v>
      </c>
      <c r="U60" s="77">
        <v>0</v>
      </c>
      <c r="V60" s="216" t="str">
        <f>[2]DATA!W49</f>
        <v>Bank Dunia</v>
      </c>
      <c r="W60" s="245">
        <f>[2]DATA!AN49</f>
        <v>200000000</v>
      </c>
      <c r="X60" s="109" t="str">
        <f>[2]DATA!AO49</f>
        <v>Bank Dunia</v>
      </c>
      <c r="Y60" s="246" t="str">
        <f>[2]DATA!AP49</f>
        <v>-</v>
      </c>
      <c r="Z60" s="3413"/>
      <c r="AA60" s="3413"/>
      <c r="AB60" s="3413"/>
      <c r="AC60" s="3640"/>
      <c r="AD60" s="2404"/>
    </row>
    <row r="61" spans="1:30" ht="24" customHeight="1">
      <c r="A61" s="10">
        <f>[2]DATA!A51</f>
        <v>41</v>
      </c>
      <c r="B61" s="10">
        <f>[2]DATA!B51</f>
        <v>0</v>
      </c>
      <c r="C61" s="10" t="str">
        <f>[2]DATA!C51</f>
        <v>INFRASTRUKTUR</v>
      </c>
      <c r="D61" s="10">
        <f>[2]DATA!D51</f>
        <v>1</v>
      </c>
      <c r="E61" s="10" t="str">
        <f>[2]DATA!E51</f>
        <v>Kementerian Pekerjaan Umum dan Perumahan Rakyat</v>
      </c>
      <c r="F61" s="10" t="str">
        <f>[2]DATA!F51</f>
        <v>Development of Waste Water Management Program</v>
      </c>
      <c r="G61" s="10" t="str">
        <f>[2]DATA!G51</f>
        <v>E</v>
      </c>
      <c r="H61" s="10" t="str">
        <f>[2]DATA!H51</f>
        <v>Program Pembangunan Sistem Pengelolaan Air Limbah</v>
      </c>
      <c r="I61" s="10">
        <f>[2]DATA!I51</f>
        <v>5</v>
      </c>
      <c r="J61" s="181"/>
      <c r="K61" s="34"/>
      <c r="L61" s="34"/>
      <c r="M61" s="36">
        <v>29</v>
      </c>
      <c r="N61" s="37" t="str">
        <f>[2]DATA!J51</f>
        <v>Denpasar Sewerage Development Project - Phase III</v>
      </c>
      <c r="O61" s="20">
        <f>[2]DATA!O51</f>
        <v>1</v>
      </c>
      <c r="P61" s="20">
        <f>[2]DATA!P51</f>
        <v>1</v>
      </c>
      <c r="Q61" s="186">
        <f>[2]DATA!Q51</f>
        <v>35</v>
      </c>
      <c r="R61" s="2386">
        <f>[2]DATA!R51</f>
        <v>233000000</v>
      </c>
      <c r="S61" s="1449" t="str">
        <f>[2]DATA!W51</f>
        <v>JICA</v>
      </c>
      <c r="T61" s="77">
        <f>[2]DATA!Z51</f>
        <v>233000000</v>
      </c>
      <c r="U61" s="77">
        <v>0</v>
      </c>
      <c r="V61" s="216" t="str">
        <f>[2]DATA!W51</f>
        <v>JICA</v>
      </c>
      <c r="W61" s="245">
        <f>[2]DATA!AN51</f>
        <v>233000000</v>
      </c>
      <c r="X61" s="109" t="str">
        <f>[2]DATA!AO51</f>
        <v>JICA</v>
      </c>
      <c r="Y61" s="246" t="str">
        <f>[2]DATA!AP51</f>
        <v>-</v>
      </c>
      <c r="Z61" s="2408" t="s">
        <v>675</v>
      </c>
      <c r="AA61" s="2408" t="s">
        <v>603</v>
      </c>
      <c r="AB61" s="2408"/>
      <c r="AC61" s="2391"/>
      <c r="AD61" s="2404"/>
    </row>
    <row r="62" spans="1:30" ht="27" customHeight="1">
      <c r="A62" s="10">
        <f>[2]DATA!A52</f>
        <v>42</v>
      </c>
      <c r="B62" s="10">
        <f>[2]DATA!B52</f>
        <v>0</v>
      </c>
      <c r="C62" s="10" t="str">
        <f>[2]DATA!C52</f>
        <v>INFRASTRUKTUR</v>
      </c>
      <c r="D62" s="10">
        <f>[2]DATA!D52</f>
        <v>1</v>
      </c>
      <c r="E62" s="10" t="str">
        <f>[2]DATA!E52</f>
        <v>Kementerian Pekerjaan Umum dan Perumahan Rakyat</v>
      </c>
      <c r="F62" s="10" t="str">
        <f>[2]DATA!F52</f>
        <v>Development of Waste Water Management Program</v>
      </c>
      <c r="G62" s="10" t="str">
        <f>[2]DATA!G52</f>
        <v>E</v>
      </c>
      <c r="H62" s="10" t="str">
        <f>[2]DATA!H52</f>
        <v>Program Pembangunan Sistem Pengelolaan Air Limbah</v>
      </c>
      <c r="I62" s="10">
        <f>[2]DATA!I52</f>
        <v>6</v>
      </c>
      <c r="J62" s="181"/>
      <c r="K62" s="34"/>
      <c r="L62" s="34"/>
      <c r="M62" s="36">
        <v>30</v>
      </c>
      <c r="N62" s="37" t="str">
        <f>[2]DATA!J52</f>
        <v>The Development and Optimization of Wastewater Treatment in Greater Bandung</v>
      </c>
      <c r="O62" s="20">
        <f>[2]DATA!O52</f>
        <v>1</v>
      </c>
      <c r="P62" s="20">
        <f>[2]DATA!P52</f>
        <v>1</v>
      </c>
      <c r="Q62" s="186">
        <f>[2]DATA!Q52</f>
        <v>36</v>
      </c>
      <c r="R62" s="2386">
        <f>[2]DATA!R52</f>
        <v>100000000</v>
      </c>
      <c r="S62" s="1449" t="str">
        <f>[2]DATA!W52</f>
        <v>Jerman (KfW)</v>
      </c>
      <c r="T62" s="77">
        <f>[2]DATA!Z52</f>
        <v>100000000</v>
      </c>
      <c r="U62" s="77">
        <v>0</v>
      </c>
      <c r="V62" s="216" t="str">
        <f>[2]DATA!W52</f>
        <v>Jerman (KfW)</v>
      </c>
      <c r="W62" s="245">
        <f>[2]DATA!AN52</f>
        <v>100000000</v>
      </c>
      <c r="X62" s="109" t="str">
        <f>[2]DATA!AO52</f>
        <v>Jerman (KfW)</v>
      </c>
      <c r="Y62" s="246" t="str">
        <f>[2]DATA!AP52</f>
        <v>-</v>
      </c>
      <c r="Z62" s="2408" t="s">
        <v>608</v>
      </c>
      <c r="AA62" s="2408" t="s">
        <v>603</v>
      </c>
      <c r="AB62" s="2408"/>
      <c r="AC62" s="2391"/>
      <c r="AD62" s="2404"/>
    </row>
    <row r="63" spans="1:30" ht="25.5" customHeight="1">
      <c r="J63" s="181"/>
      <c r="K63" s="34"/>
      <c r="L63" s="54"/>
      <c r="M63" s="36">
        <v>31</v>
      </c>
      <c r="N63" s="56" t="str">
        <f>[2]DATA!J53</f>
        <v>Engineering Service for Sanitation Improvement Project</v>
      </c>
      <c r="O63" s="36">
        <f>[2]DATA!O53</f>
        <v>0</v>
      </c>
      <c r="P63" s="36">
        <f>[2]DATA!P53</f>
        <v>0</v>
      </c>
      <c r="Q63" s="17">
        <f>[2]DATA!Q53</f>
        <v>0</v>
      </c>
      <c r="R63" s="2391">
        <v>25200000</v>
      </c>
      <c r="S63" s="203" t="str">
        <f>[2]DATA!W53</f>
        <v>ADB</v>
      </c>
      <c r="T63" s="88">
        <f>[2]DATA!Z53</f>
        <v>25200000</v>
      </c>
      <c r="U63" s="88">
        <v>0</v>
      </c>
      <c r="V63" s="216" t="str">
        <f>[2]DATA!W53</f>
        <v>ADB</v>
      </c>
      <c r="W63" s="245">
        <f>[2]DATA!AN53</f>
        <v>25200000</v>
      </c>
      <c r="X63" s="109" t="str">
        <f>[2]DATA!AO53</f>
        <v>ADB</v>
      </c>
      <c r="Y63" s="246" t="str">
        <f>[2]DATA!AP53</f>
        <v>pada konfirmasi K/L nilai ES sebesar USD 26,38 juta, seharusnya USD 25,2 juta.</v>
      </c>
      <c r="Z63" s="2408" t="s">
        <v>603</v>
      </c>
      <c r="AA63" s="2408" t="s">
        <v>645</v>
      </c>
      <c r="AB63" s="2408"/>
      <c r="AC63" s="2391"/>
      <c r="AD63" s="2404"/>
    </row>
    <row r="64" spans="1:30" s="5" customFormat="1" ht="33.75" customHeight="1">
      <c r="J64" s="180"/>
      <c r="K64" s="50"/>
      <c r="L64" s="30" t="str">
        <f>[2]DATA!G54</f>
        <v>F</v>
      </c>
      <c r="M64" s="3427" t="str">
        <f>[2]DATA!H54</f>
        <v>Program Pembangunan Sistem Pengelolaan Persampahan</v>
      </c>
      <c r="N64" s="3428"/>
      <c r="O64" s="31"/>
      <c r="P64" s="31"/>
      <c r="Q64" s="196"/>
      <c r="R64" s="2389">
        <f>+R65+R66</f>
        <v>250000000</v>
      </c>
      <c r="S64" s="198"/>
      <c r="T64" s="81">
        <f t="shared" ref="T64:U64" si="5">+T65+T66</f>
        <v>250000000</v>
      </c>
      <c r="U64" s="81">
        <f t="shared" si="5"/>
        <v>0</v>
      </c>
      <c r="V64" s="214"/>
      <c r="W64" s="244">
        <f>+W65+W66</f>
        <v>250000000</v>
      </c>
      <c r="X64" s="81" t="s">
        <v>21</v>
      </c>
      <c r="Y64" s="229"/>
      <c r="Z64" s="2407"/>
      <c r="AA64" s="2407"/>
      <c r="AB64" s="2407"/>
      <c r="AC64" s="2401"/>
      <c r="AD64" s="2402"/>
    </row>
    <row r="65" spans="1:30" ht="33.75" customHeight="1">
      <c r="A65" s="10">
        <f>[2]DATA!A54</f>
        <v>43</v>
      </c>
      <c r="B65" s="10">
        <f>[2]DATA!B54</f>
        <v>0</v>
      </c>
      <c r="C65" s="10" t="str">
        <f>[2]DATA!C54</f>
        <v>INFRASTRUKTUR</v>
      </c>
      <c r="D65" s="10">
        <f>[2]DATA!D54</f>
        <v>1</v>
      </c>
      <c r="E65" s="10" t="str">
        <f>[2]DATA!E54</f>
        <v>Kementerian Pekerjaan Umum dan Perumahan Rakyat</v>
      </c>
      <c r="F65" s="10" t="str">
        <f>[2]DATA!F54</f>
        <v>Development of Solid Waste Management Program</v>
      </c>
      <c r="G65" s="10" t="str">
        <f>[2]DATA!G54</f>
        <v>F</v>
      </c>
      <c r="H65" s="10" t="str">
        <f>[2]DATA!H54</f>
        <v>Program Pembangunan Sistem Pengelolaan Persampahan</v>
      </c>
      <c r="I65" s="10">
        <f>[2]DATA!I54</f>
        <v>1</v>
      </c>
      <c r="J65" s="181"/>
      <c r="K65" s="34"/>
      <c r="L65" s="35"/>
      <c r="M65" s="36">
        <v>32</v>
      </c>
      <c r="N65" s="37" t="str">
        <f>[2]DATA!J54</f>
        <v>Advanced Solid Waste Management for Sustainable Urban Development (Advance SWM-SUD)</v>
      </c>
      <c r="O65" s="20">
        <f>[2]DATA!O54</f>
        <v>1</v>
      </c>
      <c r="P65" s="20">
        <f>[2]DATA!P54</f>
        <v>1</v>
      </c>
      <c r="Q65" s="186">
        <f>[2]DATA!Q54</f>
        <v>37</v>
      </c>
      <c r="R65" s="2386">
        <f>[2]DATA!R54</f>
        <v>150000000</v>
      </c>
      <c r="S65" s="1449" t="str">
        <f>[2]DATA!W54</f>
        <v>Jerman (KfW)</v>
      </c>
      <c r="T65" s="77">
        <f>[2]DATA!Z54</f>
        <v>150000000</v>
      </c>
      <c r="U65" s="77">
        <v>0</v>
      </c>
      <c r="V65" s="216" t="str">
        <f>[2]DATA!W54</f>
        <v>Jerman (KfW)</v>
      </c>
      <c r="W65" s="245">
        <f>[2]DATA!AN54</f>
        <v>150000000</v>
      </c>
      <c r="X65" s="109" t="str">
        <f>[2]DATA!AO54</f>
        <v>Jerman (KfW)</v>
      </c>
      <c r="Y65" s="246" t="str">
        <f>[2]DATA!AP54</f>
        <v>-</v>
      </c>
      <c r="Z65" s="2408" t="s">
        <v>608</v>
      </c>
      <c r="AA65" s="2408" t="s">
        <v>603</v>
      </c>
      <c r="AB65" s="2408"/>
      <c r="AC65" s="2391"/>
      <c r="AD65" s="2404"/>
    </row>
    <row r="66" spans="1:30" ht="31.5" customHeight="1">
      <c r="A66" s="10">
        <f>[2]DATA!A55</f>
        <v>44</v>
      </c>
      <c r="B66" s="10">
        <f>[2]DATA!B55</f>
        <v>0</v>
      </c>
      <c r="C66" s="10" t="str">
        <f>[2]DATA!C55</f>
        <v>INFRASTRUKTUR</v>
      </c>
      <c r="D66" s="10">
        <f>[2]DATA!D55</f>
        <v>1</v>
      </c>
      <c r="E66" s="10" t="str">
        <f>[2]DATA!E55</f>
        <v>Kementerian Pekerjaan Umum dan Perumahan Rakyat</v>
      </c>
      <c r="F66" s="10" t="str">
        <f>[2]DATA!F55</f>
        <v>Development of Solid Waste Management Program</v>
      </c>
      <c r="G66" s="10" t="str">
        <f>[2]DATA!G55</f>
        <v>F</v>
      </c>
      <c r="H66" s="10" t="str">
        <f>[2]DATA!H55</f>
        <v>Program Pembangunan Sistem Pengelolaan Persampahan</v>
      </c>
      <c r="I66" s="10">
        <f>[2]DATA!I55</f>
        <v>2</v>
      </c>
      <c r="J66" s="181"/>
      <c r="K66" s="34"/>
      <c r="L66" s="54"/>
      <c r="M66" s="36">
        <v>33</v>
      </c>
      <c r="N66" s="37" t="str">
        <f>[2]DATA!J55</f>
        <v>The Improvement of Solid Waste Management to Support Regional Area and Metropolitan Cities</v>
      </c>
      <c r="O66" s="20">
        <f>[2]DATA!O55</f>
        <v>1</v>
      </c>
      <c r="P66" s="20">
        <f>[2]DATA!P55</f>
        <v>1</v>
      </c>
      <c r="Q66" s="186">
        <f>[2]DATA!Q55</f>
        <v>38</v>
      </c>
      <c r="R66" s="2386">
        <f>[2]DATA!R55</f>
        <v>100000000</v>
      </c>
      <c r="S66" s="1449" t="str">
        <f>[2]DATA!W55</f>
        <v>Bank Dunia</v>
      </c>
      <c r="T66" s="77">
        <f>[2]DATA!Z55</f>
        <v>100000000</v>
      </c>
      <c r="U66" s="77">
        <v>0</v>
      </c>
      <c r="V66" s="216" t="str">
        <f>[2]DATA!W55</f>
        <v>Bank Dunia</v>
      </c>
      <c r="W66" s="245">
        <f>[2]DATA!AN55</f>
        <v>100000000</v>
      </c>
      <c r="X66" s="109" t="str">
        <f>[2]DATA!AO55</f>
        <v>Bank Dunia</v>
      </c>
      <c r="Y66" s="246" t="str">
        <f>[2]DATA!AP55</f>
        <v>-</v>
      </c>
      <c r="Z66" s="2409" t="s">
        <v>675</v>
      </c>
      <c r="AA66" s="2408" t="s">
        <v>654</v>
      </c>
      <c r="AB66" s="2409" t="s">
        <v>1122</v>
      </c>
      <c r="AC66" s="2391"/>
      <c r="AD66" s="2404"/>
    </row>
    <row r="67" spans="1:30" s="5" customFormat="1" ht="33.75" customHeight="1">
      <c r="J67" s="180"/>
      <c r="K67" s="50"/>
      <c r="L67" s="30" t="str">
        <f>[2]DATA!G56</f>
        <v>G</v>
      </c>
      <c r="M67" s="31" t="str">
        <f>[2]DATA!H56</f>
        <v>Program Penanganan Kumuh</v>
      </c>
      <c r="N67" s="51"/>
      <c r="O67" s="31"/>
      <c r="P67" s="31"/>
      <c r="Q67" s="196"/>
      <c r="R67" s="2389">
        <f>R68+R69+R72+R73</f>
        <v>3614740000</v>
      </c>
      <c r="S67" s="198"/>
      <c r="T67" s="81">
        <f>T68+T69+T70+T72+T73</f>
        <v>3614740000</v>
      </c>
      <c r="U67" s="81">
        <f t="shared" ref="U67" si="6">U68+U69+U72+U73</f>
        <v>0</v>
      </c>
      <c r="V67" s="214"/>
      <c r="W67" s="244">
        <f>W68+W69+W70+W71+W72+W73</f>
        <v>3614740000</v>
      </c>
      <c r="X67" s="81" t="s">
        <v>21</v>
      </c>
      <c r="Y67" s="229"/>
      <c r="Z67" s="2407"/>
      <c r="AA67" s="2407"/>
      <c r="AB67" s="2407"/>
      <c r="AC67" s="2401"/>
      <c r="AD67" s="2402"/>
    </row>
    <row r="68" spans="1:30" ht="46.5" customHeight="1">
      <c r="A68" s="10">
        <f>[2]DATA!A56</f>
        <v>45</v>
      </c>
      <c r="B68" s="10">
        <f>[2]DATA!B56</f>
        <v>0</v>
      </c>
      <c r="C68" s="10" t="str">
        <f>[2]DATA!C56</f>
        <v>INFRASTRUKTUR</v>
      </c>
      <c r="D68" s="10">
        <f>[2]DATA!D56</f>
        <v>1</v>
      </c>
      <c r="E68" s="10" t="str">
        <f>[2]DATA!E56</f>
        <v>Kementerian Pekerjaan Umum dan Perumahan Rakyat</v>
      </c>
      <c r="F68" s="10" t="str">
        <f>[2]DATA!F56</f>
        <v>Slum Alleviation Program</v>
      </c>
      <c r="G68" s="10" t="str">
        <f>[2]DATA!G56</f>
        <v>G</v>
      </c>
      <c r="H68" s="10" t="str">
        <f>[2]DATA!H56</f>
        <v>Program Penanganan Kumuh</v>
      </c>
      <c r="I68" s="10">
        <f>[2]DATA!I56</f>
        <v>1</v>
      </c>
      <c r="J68" s="181"/>
      <c r="K68" s="34"/>
      <c r="L68" s="35"/>
      <c r="M68" s="36">
        <v>34</v>
      </c>
      <c r="N68" s="37" t="str">
        <f>[2]DATA!J56</f>
        <v>Slum Improvement in Strategic Human Settlements Area (SISHA)</v>
      </c>
      <c r="O68" s="20">
        <f>[2]DATA!O56</f>
        <v>1</v>
      </c>
      <c r="P68" s="20">
        <f>[2]DATA!P56</f>
        <v>1</v>
      </c>
      <c r="Q68" s="186">
        <f>[2]DATA!Q56</f>
        <v>39</v>
      </c>
      <c r="R68" s="2386">
        <f>[2]DATA!R56</f>
        <v>2100000000</v>
      </c>
      <c r="S68" s="1509" t="str">
        <f>[2]DATA!W56</f>
        <v>Bank Dunia/JICA/ADB</v>
      </c>
      <c r="T68" s="77">
        <f>[2]DATA!Z56</f>
        <v>2100000000</v>
      </c>
      <c r="U68" s="77">
        <v>0</v>
      </c>
      <c r="V68" s="216" t="str">
        <f>[2]DATA!W56</f>
        <v>Bank Dunia/JICA/ADB</v>
      </c>
      <c r="W68" s="245">
        <f>[2]DATA!AN56</f>
        <v>2100000000</v>
      </c>
      <c r="X68" s="109" t="str">
        <f>[2]DATA!AO56</f>
        <v>Belum Ada Indikasi</v>
      </c>
      <c r="Y68" s="246" t="str">
        <f>[2]DATA!AP56</f>
        <v>- usulan K/L lender: Bank Dunia/JICA/ADB.
- Pihak Bank Dunia, ADB dan JICA tidak berminat.</v>
      </c>
      <c r="Z68" s="2408" t="s">
        <v>608</v>
      </c>
      <c r="AA68" s="2408" t="s">
        <v>729</v>
      </c>
      <c r="AB68" s="2408"/>
      <c r="AC68" s="2391"/>
      <c r="AD68" s="2404"/>
    </row>
    <row r="69" spans="1:30" ht="10.5" customHeight="1">
      <c r="A69" s="10">
        <f>[2]DATA!A58</f>
        <v>46</v>
      </c>
      <c r="B69" s="10">
        <f>[2]DATA!B58</f>
        <v>0</v>
      </c>
      <c r="C69" s="10" t="str">
        <f>[2]DATA!C58</f>
        <v>INFRASTRUKTUR</v>
      </c>
      <c r="D69" s="10">
        <f>[2]DATA!D58</f>
        <v>1</v>
      </c>
      <c r="E69" s="10" t="str">
        <f>[2]DATA!E58</f>
        <v>Kementerian Pekerjaan Umum dan Perumahan Rakyat</v>
      </c>
      <c r="F69" s="10" t="str">
        <f>[2]DATA!F58</f>
        <v>Slum Alleviation Program</v>
      </c>
      <c r="G69" s="10" t="str">
        <f>[2]DATA!G58</f>
        <v>G</v>
      </c>
      <c r="H69" s="10" t="str">
        <f>[2]DATA!H58</f>
        <v>Program Penanganan Kumuh</v>
      </c>
      <c r="I69" s="10">
        <f>[2]DATA!I58</f>
        <v>2</v>
      </c>
      <c r="J69" s="181"/>
      <c r="K69" s="34"/>
      <c r="L69" s="34"/>
      <c r="M69" s="3399">
        <v>35</v>
      </c>
      <c r="N69" s="3457" t="str">
        <f>[2]DATA!J58</f>
        <v>National Slum Upgrading</v>
      </c>
      <c r="O69" s="66">
        <f>[2]DATA!O58</f>
        <v>0.5</v>
      </c>
      <c r="P69" s="66">
        <f>[2]DATA!P58</f>
        <v>0</v>
      </c>
      <c r="Q69" s="257">
        <f>[2]DATA!Q58</f>
        <v>0</v>
      </c>
      <c r="R69" s="3643">
        <f>[2]DATA!R57</f>
        <v>1052640000</v>
      </c>
      <c r="S69" s="1449" t="str">
        <f>[2]DATA!W58</f>
        <v>IDB</v>
      </c>
      <c r="T69" s="77">
        <f>[2]DATA!Z58</f>
        <v>329750000</v>
      </c>
      <c r="U69" s="77">
        <v>0</v>
      </c>
      <c r="V69" s="216" t="str">
        <f>[2]DATA!W58</f>
        <v>IDB</v>
      </c>
      <c r="W69" s="245">
        <f>[2]DATA!AN58</f>
        <v>329750000</v>
      </c>
      <c r="X69" s="109" t="str">
        <f>[2]DATA!AO58</f>
        <v>IDB</v>
      </c>
      <c r="Y69" s="246" t="str">
        <f>[2]DATA!AP58</f>
        <v>-</v>
      </c>
      <c r="Z69" s="3411" t="s">
        <v>608</v>
      </c>
      <c r="AA69" s="3411" t="s">
        <v>654</v>
      </c>
      <c r="AB69" s="3411"/>
      <c r="AC69" s="3643"/>
      <c r="AD69" s="2404"/>
    </row>
    <row r="70" spans="1:30" ht="17.25" customHeight="1">
      <c r="A70" s="10">
        <f>[2]DATA!A59</f>
        <v>47</v>
      </c>
      <c r="B70" s="10">
        <f>[2]DATA!B59</f>
        <v>0</v>
      </c>
      <c r="C70" s="10" t="str">
        <f>[2]DATA!C59</f>
        <v>INFRASTRUKTUR</v>
      </c>
      <c r="D70" s="10">
        <f>[2]DATA!D59</f>
        <v>1</v>
      </c>
      <c r="E70" s="10" t="str">
        <f>[2]DATA!E59</f>
        <v>Kementerian Pekerjaan Umum dan Perumahan Rakyat</v>
      </c>
      <c r="F70" s="10" t="str">
        <f>[2]DATA!F59</f>
        <v>Slum Alleviation Program</v>
      </c>
      <c r="G70" s="10" t="str">
        <f>[2]DATA!G59</f>
        <v>G</v>
      </c>
      <c r="H70" s="10" t="str">
        <f>[2]DATA!H59</f>
        <v>Program Penanganan Kumuh</v>
      </c>
      <c r="I70" s="10">
        <f>[2]DATA!I59</f>
        <v>2</v>
      </c>
      <c r="J70" s="181"/>
      <c r="K70" s="34"/>
      <c r="L70" s="34"/>
      <c r="M70" s="3401"/>
      <c r="N70" s="3458"/>
      <c r="O70" s="66"/>
      <c r="P70" s="66"/>
      <c r="Q70" s="257"/>
      <c r="R70" s="3644"/>
      <c r="S70" s="3488" t="str">
        <f>[2]DATA!W59</f>
        <v>Bank Dunia</v>
      </c>
      <c r="T70" s="3414">
        <f>[2]DATA!Z59</f>
        <v>722890000</v>
      </c>
      <c r="U70" s="3414">
        <v>0</v>
      </c>
      <c r="V70" s="3416" t="str">
        <f>[2]DATA!W59</f>
        <v>Bank Dunia</v>
      </c>
      <c r="W70" s="245">
        <f>[2]DATA!AN59</f>
        <v>433000000</v>
      </c>
      <c r="X70" s="109" t="str">
        <f>[2]DATA!AO59</f>
        <v>Bank Dunia</v>
      </c>
      <c r="Y70" s="246" t="str">
        <f>[2]DATA!AP59</f>
        <v>- Bank Dunia berminat sebesar USD 433 juta.
- Ada informasi dari hasil rapat dengan K/L, bahwa nilai proyek turun menjadi USD 700 juta-an (pendanaan IDB dan Bank Dunia).</v>
      </c>
      <c r="Z70" s="3412"/>
      <c r="AA70" s="3412"/>
      <c r="AB70" s="3412"/>
      <c r="AC70" s="3644"/>
      <c r="AD70" s="2404"/>
    </row>
    <row r="71" spans="1:30" ht="41.25" hidden="1" customHeight="1">
      <c r="J71" s="181"/>
      <c r="K71" s="34"/>
      <c r="L71" s="34"/>
      <c r="M71" s="3402"/>
      <c r="N71" s="3459"/>
      <c r="O71" s="66"/>
      <c r="P71" s="66"/>
      <c r="Q71" s="257"/>
      <c r="R71" s="3645"/>
      <c r="S71" s="3490"/>
      <c r="T71" s="3415"/>
      <c r="U71" s="3415"/>
      <c r="V71" s="3417"/>
      <c r="W71" s="245">
        <f>[2]DATA!AN60</f>
        <v>289890000</v>
      </c>
      <c r="X71" s="109" t="str">
        <f>[2]DATA!AO60</f>
        <v>Belum Ada Indikasi</v>
      </c>
      <c r="Y71" s="252">
        <f>[2]DATA!AP60</f>
        <v>0</v>
      </c>
      <c r="Z71" s="3413"/>
      <c r="AA71" s="3413"/>
      <c r="AB71" s="3413"/>
      <c r="AC71" s="3645"/>
      <c r="AD71" s="2404"/>
    </row>
    <row r="72" spans="1:30" ht="24.75" customHeight="1">
      <c r="A72" s="10">
        <f>[2]DATA!A61</f>
        <v>48</v>
      </c>
      <c r="B72" s="10">
        <f>[2]DATA!B61</f>
        <v>0</v>
      </c>
      <c r="C72" s="10" t="str">
        <f>[2]DATA!C61</f>
        <v>INFRASTRUKTUR</v>
      </c>
      <c r="D72" s="10">
        <f>[2]DATA!D61</f>
        <v>1</v>
      </c>
      <c r="E72" s="10" t="str">
        <f>[2]DATA!E61</f>
        <v>Kementerian Pekerjaan Umum dan Perumahan Rakyat</v>
      </c>
      <c r="F72" s="10" t="str">
        <f>[2]DATA!F61</f>
        <v>Slum Alleviation Program</v>
      </c>
      <c r="G72" s="10" t="str">
        <f>[2]DATA!G61</f>
        <v>G</v>
      </c>
      <c r="H72" s="10" t="str">
        <f>[2]DATA!H61</f>
        <v>Program Penanganan Kumuh</v>
      </c>
      <c r="I72" s="10">
        <f>[2]DATA!I61</f>
        <v>3</v>
      </c>
      <c r="J72" s="181"/>
      <c r="K72" s="34"/>
      <c r="L72" s="34"/>
      <c r="M72" s="36">
        <v>36</v>
      </c>
      <c r="N72" s="56" t="str">
        <f>[2]DATA!J61</f>
        <v>Rural Settlement Infrastructure Development (RSID)</v>
      </c>
      <c r="O72" s="20">
        <f>[2]DATA!O61</f>
        <v>1</v>
      </c>
      <c r="P72" s="20">
        <f>[2]DATA!P61</f>
        <v>1</v>
      </c>
      <c r="Q72" s="186">
        <f>[2]DATA!Q61</f>
        <v>41</v>
      </c>
      <c r="R72" s="2386">
        <f>[2]DATA!R61</f>
        <v>201000000</v>
      </c>
      <c r="S72" s="1449" t="str">
        <f>[2]DATA!W61</f>
        <v>JICA</v>
      </c>
      <c r="T72" s="77">
        <f>[2]DATA!Z61</f>
        <v>201000000</v>
      </c>
      <c r="U72" s="77">
        <v>0</v>
      </c>
      <c r="V72" s="216" t="str">
        <f>[2]DATA!W61</f>
        <v>JICA</v>
      </c>
      <c r="W72" s="245">
        <f>[2]DATA!AN61</f>
        <v>201000000</v>
      </c>
      <c r="X72" s="109" t="str">
        <f>[2]DATA!AO61</f>
        <v>JICA</v>
      </c>
      <c r="Y72" s="246" t="str">
        <f>[2]DATA!AP61</f>
        <v>-</v>
      </c>
      <c r="Z72" s="2408" t="s">
        <v>608</v>
      </c>
      <c r="AA72" s="2408" t="s">
        <v>729</v>
      </c>
      <c r="AB72" s="2408"/>
      <c r="AC72" s="2391"/>
      <c r="AD72" s="2404"/>
    </row>
    <row r="73" spans="1:30" ht="37.5" customHeight="1">
      <c r="A73" s="10">
        <f>[2]DATA!A62</f>
        <v>49</v>
      </c>
      <c r="B73" s="10">
        <f>[2]DATA!B62</f>
        <v>0</v>
      </c>
      <c r="C73" s="10" t="str">
        <f>[2]DATA!C62</f>
        <v>INFRASTRUKTUR</v>
      </c>
      <c r="D73" s="10">
        <f>[2]DATA!D62</f>
        <v>1</v>
      </c>
      <c r="E73" s="10" t="str">
        <f>[2]DATA!E62</f>
        <v>Kementerian Pekerjaan Umum dan Perumahan Rakyat</v>
      </c>
      <c r="F73" s="10" t="str">
        <f>[2]DATA!F62</f>
        <v>Slum Alleviation Program</v>
      </c>
      <c r="G73" s="10" t="str">
        <f>[2]DATA!G62</f>
        <v>G</v>
      </c>
      <c r="H73" s="10" t="str">
        <f>[2]DATA!H62</f>
        <v>Program Penanganan Kumuh</v>
      </c>
      <c r="I73" s="10">
        <f>[2]DATA!I62</f>
        <v>4</v>
      </c>
      <c r="J73" s="181"/>
      <c r="K73" s="34"/>
      <c r="L73" s="54"/>
      <c r="M73" s="36">
        <v>37</v>
      </c>
      <c r="N73" s="37" t="str">
        <f>[2]DATA!J62</f>
        <v>Building Administration and Capacity Enforcement Development for Seismic Resilience</v>
      </c>
      <c r="O73" s="20">
        <f>[2]DATA!O62</f>
        <v>1</v>
      </c>
      <c r="P73" s="20">
        <f>[2]DATA!P62</f>
        <v>1</v>
      </c>
      <c r="Q73" s="186">
        <f>[2]DATA!Q62</f>
        <v>42</v>
      </c>
      <c r="R73" s="2386">
        <f>[2]DATA!R62</f>
        <v>261100000</v>
      </c>
      <c r="S73" s="1449" t="str">
        <f>[2]DATA!W62</f>
        <v>JICA</v>
      </c>
      <c r="T73" s="77">
        <f>[2]DATA!Z62</f>
        <v>261100000</v>
      </c>
      <c r="U73" s="77">
        <v>0</v>
      </c>
      <c r="V73" s="216" t="str">
        <f>[2]DATA!W62</f>
        <v>JICA</v>
      </c>
      <c r="W73" s="245">
        <f>[2]DATA!AN62</f>
        <v>261100000</v>
      </c>
      <c r="X73" s="109" t="str">
        <f>[2]DATA!AO62</f>
        <v>JICA</v>
      </c>
      <c r="Y73" s="246" t="str">
        <f>[2]DATA!AP62</f>
        <v>-</v>
      </c>
      <c r="Z73" s="2408" t="s">
        <v>608</v>
      </c>
      <c r="AA73" s="2408" t="s">
        <v>645</v>
      </c>
      <c r="AB73" s="2408"/>
      <c r="AC73" s="2391"/>
      <c r="AD73" s="2404"/>
    </row>
    <row r="74" spans="1:30" ht="37.5" customHeight="1">
      <c r="J74" s="181"/>
      <c r="K74" s="34"/>
      <c r="L74" s="30" t="s">
        <v>161</v>
      </c>
      <c r="M74" s="31" t="s">
        <v>750</v>
      </c>
      <c r="N74" s="1419"/>
      <c r="O74" s="20"/>
      <c r="P74" s="20"/>
      <c r="Q74" s="186"/>
      <c r="R74" s="2389">
        <f>R75</f>
        <v>225000000</v>
      </c>
      <c r="S74" s="1449"/>
      <c r="T74" s="77"/>
      <c r="U74" s="77"/>
      <c r="V74" s="216"/>
      <c r="W74" s="245"/>
      <c r="X74" s="109"/>
      <c r="Y74" s="246"/>
      <c r="Z74" s="2408"/>
      <c r="AA74" s="2408"/>
      <c r="AB74" s="2408"/>
      <c r="AC74" s="2401"/>
    </row>
    <row r="75" spans="1:30" ht="26.25" customHeight="1">
      <c r="J75" s="181"/>
      <c r="K75" s="34"/>
      <c r="L75" s="54"/>
      <c r="M75" s="36">
        <v>38</v>
      </c>
      <c r="N75" s="199" t="s">
        <v>751</v>
      </c>
      <c r="O75" s="20"/>
      <c r="P75" s="20"/>
      <c r="Q75" s="186"/>
      <c r="R75" s="2386">
        <v>225000000</v>
      </c>
      <c r="S75" s="1449"/>
      <c r="T75" s="77"/>
      <c r="U75" s="77"/>
      <c r="V75" s="216"/>
      <c r="W75" s="245"/>
      <c r="X75" s="109"/>
      <c r="Y75" s="246"/>
      <c r="Z75" s="2408"/>
      <c r="AA75" s="2408"/>
      <c r="AB75" s="2408"/>
      <c r="AC75" s="2391" t="s">
        <v>1271</v>
      </c>
    </row>
    <row r="76" spans="1:30" s="5" customFormat="1" ht="33.75" customHeight="1">
      <c r="J76" s="180"/>
      <c r="K76" s="50"/>
      <c r="L76" s="30" t="s">
        <v>185</v>
      </c>
      <c r="M76" s="31" t="str">
        <f>[2]DATA!H64</f>
        <v>Program Pengembangan dan Pengelolaan Irigasi</v>
      </c>
      <c r="N76" s="51"/>
      <c r="O76" s="31"/>
      <c r="P76" s="31"/>
      <c r="Q76" s="196"/>
      <c r="R76" s="2389">
        <f>R77+R79+R81+R82+R83+R84+R85+R86+R87+R88+R89</f>
        <v>3257531000</v>
      </c>
      <c r="S76" s="198"/>
      <c r="T76" s="81">
        <f>SUM(T77:T89)</f>
        <v>3257531000</v>
      </c>
      <c r="U76" s="81">
        <f t="shared" ref="U76:Y76" si="7">SUM(U77:U89)</f>
        <v>0</v>
      </c>
      <c r="V76" s="214">
        <f t="shared" si="7"/>
        <v>0</v>
      </c>
      <c r="W76" s="244">
        <f t="shared" si="7"/>
        <v>3257531000</v>
      </c>
      <c r="X76" s="81">
        <f t="shared" si="7"/>
        <v>0</v>
      </c>
      <c r="Y76" s="229">
        <f t="shared" si="7"/>
        <v>0</v>
      </c>
      <c r="Z76" s="2407"/>
      <c r="AA76" s="2407"/>
      <c r="AB76" s="2407"/>
      <c r="AC76" s="2401"/>
      <c r="AD76" s="2402"/>
    </row>
    <row r="77" spans="1:30" ht="18.75" customHeight="1">
      <c r="A77" s="10">
        <f>[2]DATA!A64</f>
        <v>51</v>
      </c>
      <c r="B77" s="10">
        <f>[2]DATA!B64</f>
        <v>0</v>
      </c>
      <c r="C77" s="10" t="str">
        <f>[2]DATA!C64</f>
        <v>INFRASTRUKTUR</v>
      </c>
      <c r="D77" s="10">
        <f>[2]DATA!D64</f>
        <v>1</v>
      </c>
      <c r="E77" s="10" t="str">
        <f>[2]DATA!E64</f>
        <v>Kementerian Pekerjaan Umum dan Perumahan Rakyat</v>
      </c>
      <c r="F77" s="10" t="str">
        <f>[2]DATA!F64</f>
        <v>Development and Management of Irrigation Program</v>
      </c>
      <c r="G77" s="10" t="str">
        <f>[2]DATA!G64</f>
        <v>H</v>
      </c>
      <c r="H77" s="10" t="str">
        <f>[2]DATA!H64</f>
        <v>Program Pengembangan dan Pengelolaan Irigasi</v>
      </c>
      <c r="I77" s="10">
        <f>[2]DATA!I64</f>
        <v>1</v>
      </c>
      <c r="J77" s="181"/>
      <c r="K77" s="34"/>
      <c r="L77" s="34"/>
      <c r="M77" s="3390">
        <v>39</v>
      </c>
      <c r="N77" s="3393" t="str">
        <f>[2]DATA!J64</f>
        <v>Integrated Participatory Development and Management of Irrigation Project - Phase I</v>
      </c>
      <c r="O77" s="20">
        <f>[2]DATA!O64</f>
        <v>0.5</v>
      </c>
      <c r="P77" s="20">
        <f>[2]DATA!P64</f>
        <v>1</v>
      </c>
      <c r="Q77" s="186">
        <f>[2]DATA!Q64</f>
        <v>43</v>
      </c>
      <c r="R77" s="3639">
        <f>[2]DATA!R64</f>
        <v>700000000</v>
      </c>
      <c r="S77" s="1449" t="str">
        <f>[2]DATA!W64</f>
        <v>ADB</v>
      </c>
      <c r="T77" s="77">
        <f>[2]DATA!Z64</f>
        <v>600000000</v>
      </c>
      <c r="U77" s="77">
        <v>0</v>
      </c>
      <c r="V77" s="216" t="str">
        <f>[2]DATA!W64</f>
        <v>ADB</v>
      </c>
      <c r="W77" s="245">
        <f>[2]DATA!AN64</f>
        <v>600000000</v>
      </c>
      <c r="X77" s="109" t="str">
        <f>[2]DATA!AO64</f>
        <v>ADB</v>
      </c>
      <c r="Y77" s="246" t="str">
        <f>[2]DATA!AP64</f>
        <v>-</v>
      </c>
      <c r="Z77" s="3411" t="s">
        <v>568</v>
      </c>
      <c r="AA77" s="3411" t="s">
        <v>603</v>
      </c>
      <c r="AB77" s="3411" t="s">
        <v>1123</v>
      </c>
      <c r="AC77" s="3639"/>
      <c r="AD77" s="2404"/>
    </row>
    <row r="78" spans="1:30" ht="18" customHeight="1">
      <c r="A78" s="10">
        <f>[2]DATA!A65</f>
        <v>52</v>
      </c>
      <c r="B78" s="10">
        <f>[2]DATA!B65</f>
        <v>0</v>
      </c>
      <c r="C78" s="10" t="str">
        <f>[2]DATA!C65</f>
        <v>INFRASTRUKTUR</v>
      </c>
      <c r="D78" s="10">
        <f>[2]DATA!D65</f>
        <v>1</v>
      </c>
      <c r="E78" s="10" t="str">
        <f>[2]DATA!E65</f>
        <v>Kementerian Pekerjaan Umum dan Perumahan Rakyat</v>
      </c>
      <c r="F78" s="10" t="str">
        <f>[2]DATA!F65</f>
        <v>Development and Management of Irrigation Program</v>
      </c>
      <c r="G78" s="10" t="str">
        <f>[2]DATA!G65</f>
        <v>H</v>
      </c>
      <c r="H78" s="10" t="str">
        <f>[2]DATA!H65</f>
        <v>Program Pengembangan dan Pengelolaan Irigasi</v>
      </c>
      <c r="I78" s="10">
        <f>[2]DATA!I65</f>
        <v>1</v>
      </c>
      <c r="J78" s="181"/>
      <c r="K78" s="34"/>
      <c r="L78" s="34"/>
      <c r="M78" s="3392"/>
      <c r="N78" s="3394"/>
      <c r="O78" s="20"/>
      <c r="P78" s="20"/>
      <c r="Q78" s="186"/>
      <c r="R78" s="3640"/>
      <c r="S78" s="1449" t="str">
        <f>[2]DATA!W65</f>
        <v>IFAD</v>
      </c>
      <c r="T78" s="77">
        <f>[2]DATA!Z65</f>
        <v>100000000</v>
      </c>
      <c r="U78" s="77">
        <v>0</v>
      </c>
      <c r="V78" s="216" t="str">
        <f>[2]DATA!W65</f>
        <v>IFAD</v>
      </c>
      <c r="W78" s="245">
        <f>[2]DATA!AN65</f>
        <v>100000000</v>
      </c>
      <c r="X78" s="109" t="str">
        <f>[2]DATA!AO65</f>
        <v>IFAD</v>
      </c>
      <c r="Y78" s="246" t="str">
        <f>[2]DATA!AP65</f>
        <v>-</v>
      </c>
      <c r="Z78" s="3413"/>
      <c r="AA78" s="3413"/>
      <c r="AB78" s="3413"/>
      <c r="AC78" s="3640"/>
      <c r="AD78" s="2404"/>
    </row>
    <row r="79" spans="1:30" ht="21.75" customHeight="1">
      <c r="A79" s="10">
        <f>[2]DATA!A66</f>
        <v>53</v>
      </c>
      <c r="B79" s="10">
        <f>[2]DATA!B66</f>
        <v>0</v>
      </c>
      <c r="C79" s="10" t="str">
        <f>[2]DATA!C66</f>
        <v>INFRASTRUKTUR</v>
      </c>
      <c r="D79" s="10">
        <f>[2]DATA!D66</f>
        <v>1</v>
      </c>
      <c r="E79" s="10" t="str">
        <f>[2]DATA!E66</f>
        <v>Kementerian Pekerjaan Umum dan Perumahan Rakyat</v>
      </c>
      <c r="F79" s="10" t="str">
        <f>[2]DATA!F66</f>
        <v>Development and Management of Irrigation Program</v>
      </c>
      <c r="G79" s="10" t="str">
        <f>[2]DATA!G66</f>
        <v>H</v>
      </c>
      <c r="H79" s="10" t="str">
        <f>[2]DATA!H66</f>
        <v>Program Pengembangan dan Pengelolaan Irigasi</v>
      </c>
      <c r="I79" s="10">
        <f>[2]DATA!I66</f>
        <v>1</v>
      </c>
      <c r="J79" s="181"/>
      <c r="K79" s="34"/>
      <c r="L79" s="34"/>
      <c r="M79" s="3392"/>
      <c r="N79" s="3393" t="str">
        <f>[2]DATA!J66</f>
        <v>Integrated Participatory Development and Management of Irrigation Project - Phase II</v>
      </c>
      <c r="O79" s="20">
        <f>[2]DATA!O66</f>
        <v>1</v>
      </c>
      <c r="P79" s="20">
        <f>[2]DATA!P66</f>
        <v>1</v>
      </c>
      <c r="Q79" s="186">
        <f>[2]DATA!Q66</f>
        <v>44</v>
      </c>
      <c r="R79" s="3639">
        <f>[2]DATA!R66</f>
        <v>500000000</v>
      </c>
      <c r="S79" s="3488" t="str">
        <f>[2]DATA!W66</f>
        <v>ADB</v>
      </c>
      <c r="T79" s="3414">
        <f>[2]DATA!Z66</f>
        <v>500000000</v>
      </c>
      <c r="U79" s="3414">
        <v>0</v>
      </c>
      <c r="V79" s="3416" t="str">
        <f>[2]DATA!W66</f>
        <v>ADB</v>
      </c>
      <c r="W79" s="245">
        <f>[2]DATA!AN66</f>
        <v>400000000</v>
      </c>
      <c r="X79" s="109" t="str">
        <f>[2]DATA!AO66</f>
        <v>ADB</v>
      </c>
      <c r="Y79" s="246" t="str">
        <f>[2]DATA!AP66</f>
        <v>nilai kegiatan yang tercantum dalam COBP ADB sebesar USD 400 juta.</v>
      </c>
      <c r="Z79" s="3411" t="s">
        <v>603</v>
      </c>
      <c r="AA79" s="3411" t="s">
        <v>603</v>
      </c>
      <c r="AB79" s="3411"/>
      <c r="AC79" s="3639"/>
      <c r="AD79" s="2404"/>
    </row>
    <row r="80" spans="1:30" ht="18" customHeight="1">
      <c r="J80" s="181"/>
      <c r="K80" s="34"/>
      <c r="L80" s="34"/>
      <c r="M80" s="3391"/>
      <c r="N80" s="3394"/>
      <c r="O80" s="20"/>
      <c r="P80" s="20"/>
      <c r="Q80" s="186"/>
      <c r="R80" s="3640"/>
      <c r="S80" s="3490"/>
      <c r="T80" s="3415"/>
      <c r="U80" s="3415"/>
      <c r="V80" s="3417"/>
      <c r="W80" s="245">
        <f>[2]DATA!AN67</f>
        <v>100000000</v>
      </c>
      <c r="X80" s="109" t="str">
        <f>[2]DATA!AO67</f>
        <v>Belum Ada Indikasi</v>
      </c>
      <c r="Y80" s="252" t="str">
        <f>[2]DATA!AP67</f>
        <v>-</v>
      </c>
      <c r="Z80" s="3413"/>
      <c r="AA80" s="3413"/>
      <c r="AB80" s="3413"/>
      <c r="AC80" s="3640"/>
      <c r="AD80" s="2404"/>
    </row>
    <row r="81" spans="1:30" ht="37.5" customHeight="1">
      <c r="A81" s="10">
        <f>[2]DATA!A68</f>
        <v>54</v>
      </c>
      <c r="B81" s="10">
        <f>[2]DATA!B68</f>
        <v>0</v>
      </c>
      <c r="C81" s="10" t="str">
        <f>[2]DATA!C68</f>
        <v>INFRASTRUKTUR</v>
      </c>
      <c r="D81" s="10">
        <f>[2]DATA!D68</f>
        <v>1</v>
      </c>
      <c r="E81" s="10" t="str">
        <f>[2]DATA!E68</f>
        <v>Kementerian Pekerjaan Umum dan Perumahan Rakyat</v>
      </c>
      <c r="F81" s="10" t="str">
        <f>[2]DATA!F68</f>
        <v>Development and Management of Irrigation Program</v>
      </c>
      <c r="G81" s="10" t="str">
        <f>[2]DATA!G68</f>
        <v>H</v>
      </c>
      <c r="H81" s="10" t="str">
        <f>[2]DATA!H68</f>
        <v>Program Pengembangan dan Pengelolaan Irigasi</v>
      </c>
      <c r="I81" s="10">
        <f>[2]DATA!I68</f>
        <v>2</v>
      </c>
      <c r="J81" s="181"/>
      <c r="K81" s="34"/>
      <c r="L81" s="34"/>
      <c r="M81" s="36">
        <v>40</v>
      </c>
      <c r="N81" s="37" t="str">
        <f>[2]DATA!J68</f>
        <v>The Urgent Rehabilitation of Strategic Irrigation for Western Region of Indonesia</v>
      </c>
      <c r="O81" s="20">
        <f>[2]DATA!O68</f>
        <v>1</v>
      </c>
      <c r="P81" s="20">
        <f>[2]DATA!P68</f>
        <v>1</v>
      </c>
      <c r="Q81" s="186">
        <f>[2]DATA!Q68</f>
        <v>45</v>
      </c>
      <c r="R81" s="2386">
        <f>[2]DATA!R68</f>
        <v>195778000</v>
      </c>
      <c r="S81" s="1449" t="str">
        <f>[2]DATA!W68</f>
        <v>Korea</v>
      </c>
      <c r="T81" s="77">
        <f>[2]DATA!Z68</f>
        <v>195778000</v>
      </c>
      <c r="U81" s="77">
        <v>0</v>
      </c>
      <c r="V81" s="216" t="str">
        <f>[2]DATA!W68</f>
        <v>Korea</v>
      </c>
      <c r="W81" s="245">
        <f>[2]DATA!AN68</f>
        <v>195778000</v>
      </c>
      <c r="X81" s="109" t="str">
        <f>[2]DATA!AO68</f>
        <v>Korea</v>
      </c>
      <c r="Y81" s="246" t="str">
        <f>[2]DATA!AP68</f>
        <v>masuk rolling plan EDCF (Korea)</v>
      </c>
      <c r="Z81" s="2408" t="s">
        <v>603</v>
      </c>
      <c r="AA81" s="2408" t="s">
        <v>603</v>
      </c>
      <c r="AB81" s="2408"/>
      <c r="AC81" s="2391"/>
      <c r="AD81" s="2404"/>
    </row>
    <row r="82" spans="1:30" ht="23.25" customHeight="1">
      <c r="A82" s="10">
        <f>[2]DATA!A69</f>
        <v>55</v>
      </c>
      <c r="B82" s="10">
        <f>[2]DATA!B69</f>
        <v>0</v>
      </c>
      <c r="C82" s="10" t="str">
        <f>[2]DATA!C69</f>
        <v>INFRASTRUKTUR</v>
      </c>
      <c r="D82" s="10">
        <f>[2]DATA!D69</f>
        <v>1</v>
      </c>
      <c r="E82" s="10" t="str">
        <f>[2]DATA!E69</f>
        <v>Kementerian Pekerjaan Umum dan Perumahan Rakyat</v>
      </c>
      <c r="F82" s="10" t="str">
        <f>[2]DATA!F69</f>
        <v>Development and Management of Irrigation Program</v>
      </c>
      <c r="G82" s="10" t="str">
        <f>[2]DATA!G69</f>
        <v>H</v>
      </c>
      <c r="H82" s="10" t="str">
        <f>[2]DATA!H69</f>
        <v>Program Pengembangan dan Pengelolaan Irigasi</v>
      </c>
      <c r="I82" s="10">
        <f>[2]DATA!I69</f>
        <v>3</v>
      </c>
      <c r="J82" s="181"/>
      <c r="K82" s="34"/>
      <c r="L82" s="34"/>
      <c r="M82" s="36">
        <v>41</v>
      </c>
      <c r="N82" s="37" t="str">
        <f>[2]DATA!J69</f>
        <v>Rentang Modernization Strategic Irrigation (RIMP)</v>
      </c>
      <c r="O82" s="20">
        <f>[2]DATA!O69</f>
        <v>1</v>
      </c>
      <c r="P82" s="20">
        <f>[2]DATA!P69</f>
        <v>1</v>
      </c>
      <c r="Q82" s="186">
        <f>[2]DATA!Q69</f>
        <v>46</v>
      </c>
      <c r="R82" s="2386">
        <f>[2]DATA!R69</f>
        <v>480000000</v>
      </c>
      <c r="S82" s="1449" t="str">
        <f>[2]DATA!W69</f>
        <v>JICA</v>
      </c>
      <c r="T82" s="77">
        <f>[2]DATA!Z69</f>
        <v>480000000</v>
      </c>
      <c r="U82" s="77">
        <v>0</v>
      </c>
      <c r="V82" s="216" t="str">
        <f>[2]DATA!W69</f>
        <v>JICA</v>
      </c>
      <c r="W82" s="245">
        <f>[2]DATA!AN69</f>
        <v>480000000</v>
      </c>
      <c r="X82" s="109" t="str">
        <f>[2]DATA!AO69</f>
        <v>JICA</v>
      </c>
      <c r="Y82" s="246" t="str">
        <f>[2]DATA!AP69</f>
        <v>-</v>
      </c>
      <c r="Z82" s="2408" t="s">
        <v>568</v>
      </c>
      <c r="AA82" s="2408" t="s">
        <v>645</v>
      </c>
      <c r="AB82" s="2408"/>
      <c r="AC82" s="2391"/>
      <c r="AD82" s="2404"/>
    </row>
    <row r="83" spans="1:30" ht="20.25" customHeight="1">
      <c r="A83" s="10">
        <f>[2]DATA!A70</f>
        <v>56</v>
      </c>
      <c r="B83" s="10">
        <f>[2]DATA!B70</f>
        <v>0</v>
      </c>
      <c r="C83" s="10" t="str">
        <f>[2]DATA!C70</f>
        <v>INFRASTRUKTUR</v>
      </c>
      <c r="D83" s="10">
        <f>[2]DATA!D70</f>
        <v>1</v>
      </c>
      <c r="E83" s="10" t="str">
        <f>[2]DATA!E70</f>
        <v>Kementerian Pekerjaan Umum dan Perumahan Rakyat</v>
      </c>
      <c r="F83" s="10" t="str">
        <f>[2]DATA!F70</f>
        <v>Development and Management of Irrigation Program</v>
      </c>
      <c r="G83" s="10" t="str">
        <f>[2]DATA!G70</f>
        <v>H</v>
      </c>
      <c r="H83" s="10" t="str">
        <f>[2]DATA!H70</f>
        <v>Program Pengembangan dan Pengelolaan Irigasi</v>
      </c>
      <c r="I83" s="10">
        <f>[2]DATA!I70</f>
        <v>4</v>
      </c>
      <c r="J83" s="181"/>
      <c r="K83" s="34"/>
      <c r="L83" s="34"/>
      <c r="M83" s="36">
        <v>42</v>
      </c>
      <c r="N83" s="37" t="str">
        <f>[2]DATA!J70</f>
        <v>Komering Irrigation Project Stage III</v>
      </c>
      <c r="O83" s="20">
        <f>[2]DATA!O70</f>
        <v>1</v>
      </c>
      <c r="P83" s="20">
        <f>[2]DATA!P70</f>
        <v>1</v>
      </c>
      <c r="Q83" s="186">
        <f>[2]DATA!Q70</f>
        <v>47</v>
      </c>
      <c r="R83" s="2386">
        <f>[2]DATA!R70</f>
        <v>120000000</v>
      </c>
      <c r="S83" s="1449" t="str">
        <f>[2]DATA!W70</f>
        <v>JICA</v>
      </c>
      <c r="T83" s="77">
        <f>[2]DATA!Z70</f>
        <v>120000000</v>
      </c>
      <c r="U83" s="77">
        <v>0</v>
      </c>
      <c r="V83" s="216" t="str">
        <f>[2]DATA!W70</f>
        <v>JICA</v>
      </c>
      <c r="W83" s="245">
        <f>[2]DATA!AN70</f>
        <v>120000000</v>
      </c>
      <c r="X83" s="109" t="str">
        <f>[2]DATA!AO70</f>
        <v>JICA</v>
      </c>
      <c r="Y83" s="246" t="str">
        <f>[2]DATA!AP70</f>
        <v>-</v>
      </c>
      <c r="Z83" s="2408" t="s">
        <v>568</v>
      </c>
      <c r="AA83" s="2408" t="s">
        <v>603</v>
      </c>
      <c r="AB83" s="2408"/>
      <c r="AC83" s="2391"/>
      <c r="AD83" s="2404"/>
    </row>
    <row r="84" spans="1:30" ht="25.5" customHeight="1">
      <c r="A84" s="10">
        <f>[2]DATA!A71</f>
        <v>57</v>
      </c>
      <c r="B84" s="10">
        <f>[2]DATA!B71</f>
        <v>0</v>
      </c>
      <c r="C84" s="10" t="str">
        <f>[2]DATA!C71</f>
        <v>INFRASTRUKTUR</v>
      </c>
      <c r="D84" s="10">
        <f>[2]DATA!D71</f>
        <v>1</v>
      </c>
      <c r="E84" s="10" t="str">
        <f>[2]DATA!E71</f>
        <v>Kementerian Pekerjaan Umum dan Perumahan Rakyat</v>
      </c>
      <c r="F84" s="10" t="str">
        <f>[2]DATA!F71</f>
        <v>Development and Management of Irrigation Program</v>
      </c>
      <c r="G84" s="10" t="str">
        <f>[2]DATA!G71</f>
        <v>H</v>
      </c>
      <c r="H84" s="10" t="str">
        <f>[2]DATA!H71</f>
        <v>Program Pengembangan dan Pengelolaan Irigasi</v>
      </c>
      <c r="I84" s="10">
        <f>[2]DATA!I71</f>
        <v>5</v>
      </c>
      <c r="J84" s="181"/>
      <c r="K84" s="34"/>
      <c r="L84" s="34"/>
      <c r="M84" s="36">
        <v>43</v>
      </c>
      <c r="N84" s="37" t="str">
        <f>[2]DATA!J71</f>
        <v>Irrigation Development in North Sumatera</v>
      </c>
      <c r="O84" s="20">
        <f>[2]DATA!O71</f>
        <v>1</v>
      </c>
      <c r="P84" s="20">
        <f>[2]DATA!P71</f>
        <v>1</v>
      </c>
      <c r="Q84" s="186">
        <f>[2]DATA!Q71</f>
        <v>48</v>
      </c>
      <c r="R84" s="2386">
        <f>[2]DATA!R71</f>
        <v>350000000</v>
      </c>
      <c r="S84" s="1449" t="str">
        <f>[2]DATA!W71</f>
        <v>ADB</v>
      </c>
      <c r="T84" s="77">
        <f>[2]DATA!Z71</f>
        <v>350000000</v>
      </c>
      <c r="U84" s="77">
        <v>0</v>
      </c>
      <c r="V84" s="216" t="str">
        <f>[2]DATA!W71</f>
        <v>ADB</v>
      </c>
      <c r="W84" s="245">
        <f>[2]DATA!AN71</f>
        <v>350000000</v>
      </c>
      <c r="X84" s="109" t="str">
        <f>[2]DATA!AO71</f>
        <v>Belum Ada Indikasi</v>
      </c>
      <c r="Y84" s="246" t="str">
        <f>[2]DATA!AP71</f>
        <v>- usulan K/L lender: ADB
- tidak masuk COBP ADB</v>
      </c>
      <c r="Z84" s="2408" t="s">
        <v>614</v>
      </c>
      <c r="AA84" s="2408" t="s">
        <v>603</v>
      </c>
      <c r="AB84" s="2408"/>
      <c r="AC84" s="2391"/>
      <c r="AD84" s="2404"/>
    </row>
    <row r="85" spans="1:30" ht="42" customHeight="1">
      <c r="A85" s="10">
        <f>[2]DATA!A72</f>
        <v>58</v>
      </c>
      <c r="B85" s="10">
        <f>[2]DATA!B72</f>
        <v>0</v>
      </c>
      <c r="C85" s="10" t="str">
        <f>[2]DATA!C72</f>
        <v>INFRASTRUKTUR</v>
      </c>
      <c r="D85" s="10">
        <f>[2]DATA!D72</f>
        <v>1</v>
      </c>
      <c r="E85" s="10" t="str">
        <f>[2]DATA!E72</f>
        <v>Kementerian Pekerjaan Umum dan Perumahan Rakyat</v>
      </c>
      <c r="F85" s="10" t="str">
        <f>[2]DATA!F72</f>
        <v>Development and Management of Irrigation Program</v>
      </c>
      <c r="G85" s="10" t="str">
        <f>[2]DATA!G72</f>
        <v>H</v>
      </c>
      <c r="H85" s="10" t="str">
        <f>[2]DATA!H72</f>
        <v>Program Pengembangan dan Pengelolaan Irigasi</v>
      </c>
      <c r="I85" s="10">
        <f>[2]DATA!I72</f>
        <v>6</v>
      </c>
      <c r="J85" s="181"/>
      <c r="K85" s="34"/>
      <c r="L85" s="34"/>
      <c r="M85" s="36">
        <v>44</v>
      </c>
      <c r="N85" s="37" t="str">
        <f>[2]DATA!J72</f>
        <v>Integrated Participatory Development and Management of Lhok Guci and Peureulak Irrigation Project</v>
      </c>
      <c r="O85" s="20">
        <f>[2]DATA!O72</f>
        <v>1</v>
      </c>
      <c r="P85" s="20">
        <f>[2]DATA!P72</f>
        <v>1</v>
      </c>
      <c r="Q85" s="186">
        <f>[2]DATA!Q72</f>
        <v>49</v>
      </c>
      <c r="R85" s="2386">
        <f>[2]DATA!R72</f>
        <v>161298000</v>
      </c>
      <c r="S85" s="1449" t="str">
        <f>[2]DATA!W72</f>
        <v>ADB</v>
      </c>
      <c r="T85" s="77">
        <f>[2]DATA!Z72</f>
        <v>161298000</v>
      </c>
      <c r="U85" s="77">
        <v>0</v>
      </c>
      <c r="V85" s="216" t="str">
        <f>[2]DATA!W72</f>
        <v>ADB</v>
      </c>
      <c r="W85" s="245">
        <f>[2]DATA!AN72</f>
        <v>161298000</v>
      </c>
      <c r="X85" s="109" t="str">
        <f>[2]DATA!AO72</f>
        <v>Belum Ada Indikasi</v>
      </c>
      <c r="Y85" s="246" t="str">
        <f>[2]DATA!AP72</f>
        <v>- usulan K/L lender: ADB
- tidak masuk COBP ADB</v>
      </c>
      <c r="Z85" s="2408" t="s">
        <v>614</v>
      </c>
      <c r="AA85" s="2408" t="s">
        <v>603</v>
      </c>
      <c r="AB85" s="2408"/>
      <c r="AC85" s="2391"/>
      <c r="AD85" s="2404"/>
    </row>
    <row r="86" spans="1:30" ht="22.5" customHeight="1">
      <c r="A86" s="10">
        <f>[2]DATA!A73</f>
        <v>59</v>
      </c>
      <c r="B86" s="10">
        <f>[2]DATA!B73</f>
        <v>0</v>
      </c>
      <c r="C86" s="10" t="str">
        <f>[2]DATA!C73</f>
        <v>INFRASTRUKTUR</v>
      </c>
      <c r="D86" s="10">
        <f>[2]DATA!D73</f>
        <v>1</v>
      </c>
      <c r="E86" s="10" t="str">
        <f>[2]DATA!E73</f>
        <v>Kementerian Pekerjaan Umum dan Perumahan Rakyat</v>
      </c>
      <c r="F86" s="10" t="str">
        <f>[2]DATA!F73</f>
        <v>Development and Management of Irrigation Program</v>
      </c>
      <c r="G86" s="10" t="str">
        <f>[2]DATA!G73</f>
        <v>H</v>
      </c>
      <c r="H86" s="10" t="str">
        <f>[2]DATA!H73</f>
        <v>Program Pengembangan dan Pengelolaan Irigasi</v>
      </c>
      <c r="I86" s="10">
        <f>[2]DATA!I73</f>
        <v>7</v>
      </c>
      <c r="J86" s="181"/>
      <c r="K86" s="34"/>
      <c r="L86" s="34"/>
      <c r="M86" s="36">
        <v>45</v>
      </c>
      <c r="N86" s="37" t="str">
        <f>[2]DATA!J73</f>
        <v>Modernization Strategic Irrigation Project (MSIP)</v>
      </c>
      <c r="O86" s="20">
        <f>[2]DATA!O73</f>
        <v>1</v>
      </c>
      <c r="P86" s="20">
        <f>[2]DATA!P73</f>
        <v>1</v>
      </c>
      <c r="Q86" s="186">
        <f>[2]DATA!Q73</f>
        <v>50</v>
      </c>
      <c r="R86" s="2386">
        <f>[2]DATA!R73</f>
        <v>278355000</v>
      </c>
      <c r="S86" s="1449" t="str">
        <f>[2]DATA!W73</f>
        <v>JICA</v>
      </c>
      <c r="T86" s="77">
        <f>[2]DATA!Z73</f>
        <v>278355000</v>
      </c>
      <c r="U86" s="77">
        <v>0</v>
      </c>
      <c r="V86" s="216" t="str">
        <f>[2]DATA!W73</f>
        <v>JICA</v>
      </c>
      <c r="W86" s="245">
        <f>[2]DATA!AN73</f>
        <v>278355000</v>
      </c>
      <c r="X86" s="109" t="str">
        <f>[2]DATA!AO73</f>
        <v>JICA</v>
      </c>
      <c r="Y86" s="246" t="str">
        <f>[2]DATA!AP73</f>
        <v>-</v>
      </c>
      <c r="Z86" s="2408" t="s">
        <v>603</v>
      </c>
      <c r="AA86" s="2408" t="s">
        <v>603</v>
      </c>
      <c r="AB86" s="2408"/>
      <c r="AC86" s="2391"/>
      <c r="AD86" s="2404"/>
    </row>
    <row r="87" spans="1:30" ht="36" customHeight="1">
      <c r="A87" s="10">
        <f>[2]DATA!A74</f>
        <v>60</v>
      </c>
      <c r="B87" s="10">
        <f>[2]DATA!B74</f>
        <v>0</v>
      </c>
      <c r="C87" s="10" t="str">
        <f>[2]DATA!C74</f>
        <v>INFRASTRUKTUR</v>
      </c>
      <c r="D87" s="10">
        <f>[2]DATA!D74</f>
        <v>1</v>
      </c>
      <c r="E87" s="10" t="str">
        <f>[2]DATA!E74</f>
        <v>Kementerian Pekerjaan Umum dan Perumahan Rakyat</v>
      </c>
      <c r="F87" s="10" t="str">
        <f>[2]DATA!F74</f>
        <v>Development and Management of Irrigation Program</v>
      </c>
      <c r="G87" s="10" t="str">
        <f>[2]DATA!G74</f>
        <v>H</v>
      </c>
      <c r="H87" s="10" t="str">
        <f>[2]DATA!H74</f>
        <v>Program Pengembangan dan Pengelolaan Irigasi</v>
      </c>
      <c r="I87" s="10">
        <f>[2]DATA!I74</f>
        <v>8</v>
      </c>
      <c r="J87" s="181"/>
      <c r="K87" s="34"/>
      <c r="L87" s="34"/>
      <c r="M87" s="36">
        <v>46</v>
      </c>
      <c r="N87" s="37" t="str">
        <f>[2]DATA!J74</f>
        <v>Urgent Rehabilitation of  Irrigation Project in Indonesia (URIP)</v>
      </c>
      <c r="O87" s="20">
        <f>[2]DATA!O74</f>
        <v>1</v>
      </c>
      <c r="P87" s="20">
        <f>[2]DATA!P74</f>
        <v>1</v>
      </c>
      <c r="Q87" s="186">
        <f>[2]DATA!Q74</f>
        <v>51</v>
      </c>
      <c r="R87" s="2386">
        <f>[2]DATA!R74</f>
        <v>272100000</v>
      </c>
      <c r="S87" s="1449" t="str">
        <f>[2]DATA!W74</f>
        <v>Bank Dunia</v>
      </c>
      <c r="T87" s="77">
        <f>[2]DATA!Z74</f>
        <v>272100000</v>
      </c>
      <c r="U87" s="77">
        <v>0</v>
      </c>
      <c r="V87" s="216" t="str">
        <f>[2]DATA!W74</f>
        <v>Bank Dunia</v>
      </c>
      <c r="W87" s="245">
        <f>[2]DATA!AN74</f>
        <v>272100000</v>
      </c>
      <c r="X87" s="109" t="str">
        <f>[2]DATA!AO74</f>
        <v>Bank Dunia</v>
      </c>
      <c r="Y87" s="246" t="str">
        <f>[2]DATA!AP74</f>
        <v>-</v>
      </c>
      <c r="Z87" s="2408" t="s">
        <v>603</v>
      </c>
      <c r="AA87" s="2408" t="s">
        <v>603</v>
      </c>
      <c r="AB87" s="2408"/>
      <c r="AC87" s="2391"/>
      <c r="AD87" s="2404"/>
    </row>
    <row r="88" spans="1:30" ht="27" customHeight="1">
      <c r="A88" s="10">
        <f>[2]DATA!A75</f>
        <v>61</v>
      </c>
      <c r="B88" s="10">
        <f>[2]DATA!B75</f>
        <v>0</v>
      </c>
      <c r="C88" s="10" t="str">
        <f>[2]DATA!C75</f>
        <v>INFRASTRUKTUR</v>
      </c>
      <c r="D88" s="10">
        <f>[2]DATA!D75</f>
        <v>1</v>
      </c>
      <c r="E88" s="10" t="str">
        <f>[2]DATA!E75</f>
        <v>Kementerian Pekerjaan Umum dan Perumahan Rakyat</v>
      </c>
      <c r="F88" s="10" t="str">
        <f>[2]DATA!F75</f>
        <v>Development and Management of Irrigation Program</v>
      </c>
      <c r="G88" s="10" t="str">
        <f>[2]DATA!G75</f>
        <v>H</v>
      </c>
      <c r="H88" s="10" t="str">
        <f>[2]DATA!H75</f>
        <v>Program Pengembangan dan Pengelolaan Irigasi</v>
      </c>
      <c r="I88" s="10">
        <f>[2]DATA!I75</f>
        <v>9</v>
      </c>
      <c r="J88" s="181"/>
      <c r="K88" s="34"/>
      <c r="L88" s="34"/>
      <c r="M88" s="36">
        <v>47</v>
      </c>
      <c r="N88" s="37" t="str">
        <f>[2]DATA!J75</f>
        <v>Revitalition Groundwater Irrigation in Indonesia</v>
      </c>
      <c r="O88" s="20">
        <f>[2]DATA!O75</f>
        <v>1</v>
      </c>
      <c r="P88" s="20">
        <f>[2]DATA!P75</f>
        <v>1</v>
      </c>
      <c r="Q88" s="186">
        <f>[2]DATA!Q75</f>
        <v>52</v>
      </c>
      <c r="R88" s="2386">
        <f>[2]DATA!R75</f>
        <v>100000000</v>
      </c>
      <c r="S88" s="1449" t="str">
        <f>[2]DATA!W75</f>
        <v>JICA</v>
      </c>
      <c r="T88" s="77">
        <f>[2]DATA!Z75</f>
        <v>100000000</v>
      </c>
      <c r="U88" s="77">
        <v>0</v>
      </c>
      <c r="V88" s="216" t="str">
        <f>[2]DATA!W75</f>
        <v>JICA</v>
      </c>
      <c r="W88" s="245">
        <f>[2]DATA!AN75</f>
        <v>100000000</v>
      </c>
      <c r="X88" s="109" t="str">
        <f>[2]DATA!AO75</f>
        <v>JICA</v>
      </c>
      <c r="Y88" s="246" t="str">
        <f>[2]DATA!AP75</f>
        <v>-</v>
      </c>
      <c r="Z88" s="2408" t="s">
        <v>603</v>
      </c>
      <c r="AA88" s="2408" t="s">
        <v>603</v>
      </c>
      <c r="AB88" s="2408"/>
      <c r="AC88" s="2391"/>
      <c r="AD88" s="2404"/>
    </row>
    <row r="89" spans="1:30" ht="29.25" customHeight="1">
      <c r="A89" s="10">
        <f>[2]DATA!A76</f>
        <v>62</v>
      </c>
      <c r="B89" s="10">
        <f>[2]DATA!B76</f>
        <v>0</v>
      </c>
      <c r="C89" s="10" t="str">
        <f>[2]DATA!C76</f>
        <v>INFRASTRUKTUR</v>
      </c>
      <c r="D89" s="10">
        <f>[2]DATA!D76</f>
        <v>1</v>
      </c>
      <c r="E89" s="10" t="str">
        <f>[2]DATA!E76</f>
        <v>Kementerian Pekerjaan Umum dan Perumahan Rakyat</v>
      </c>
      <c r="F89" s="10" t="str">
        <f>[2]DATA!F76</f>
        <v>Development and Management of Irrigation Program</v>
      </c>
      <c r="G89" s="10" t="str">
        <f>[2]DATA!G76</f>
        <v>H</v>
      </c>
      <c r="H89" s="10" t="str">
        <f>[2]DATA!H76</f>
        <v>Program Pengembangan dan Pengelolaan Irigasi</v>
      </c>
      <c r="I89" s="10">
        <f>[2]DATA!I76</f>
        <v>10</v>
      </c>
      <c r="J89" s="181"/>
      <c r="K89" s="34"/>
      <c r="L89" s="54"/>
      <c r="M89" s="36">
        <v>48</v>
      </c>
      <c r="N89" s="37" t="str">
        <f>[2]DATA!J76</f>
        <v>Engineering Service for Irrigation and Low Land Development Project</v>
      </c>
      <c r="O89" s="20">
        <f>[2]DATA!O76</f>
        <v>1</v>
      </c>
      <c r="P89" s="20">
        <f>[2]DATA!P76</f>
        <v>1</v>
      </c>
      <c r="Q89" s="186">
        <f>[2]DATA!Q76</f>
        <v>53</v>
      </c>
      <c r="R89" s="2386">
        <f>[2]DATA!R76</f>
        <v>100000000</v>
      </c>
      <c r="S89" s="1449" t="str">
        <f>[2]DATA!W76</f>
        <v>ADB</v>
      </c>
      <c r="T89" s="77">
        <f>[2]DATA!Z76</f>
        <v>100000000</v>
      </c>
      <c r="U89" s="77">
        <v>0</v>
      </c>
      <c r="V89" s="216" t="str">
        <f>[2]DATA!W76</f>
        <v>ADB</v>
      </c>
      <c r="W89" s="245">
        <f>[2]DATA!AN76</f>
        <v>100000000</v>
      </c>
      <c r="X89" s="109" t="str">
        <f>[2]DATA!AO76</f>
        <v>ADB</v>
      </c>
      <c r="Y89" s="246" t="str">
        <f>[2]DATA!AP76</f>
        <v>-</v>
      </c>
      <c r="Z89" s="2408" t="s">
        <v>568</v>
      </c>
      <c r="AA89" s="2408" t="s">
        <v>645</v>
      </c>
      <c r="AB89" s="2408"/>
      <c r="AC89" s="2391"/>
      <c r="AD89" s="2404"/>
    </row>
    <row r="90" spans="1:30" s="5" customFormat="1" ht="33.75" customHeight="1">
      <c r="J90" s="180"/>
      <c r="K90" s="50"/>
      <c r="L90" s="30" t="s">
        <v>194</v>
      </c>
      <c r="M90" s="31" t="str">
        <f>[2]DATA!H77</f>
        <v>Program Penyediaan Air Baku</v>
      </c>
      <c r="N90" s="51"/>
      <c r="O90" s="31"/>
      <c r="P90" s="31"/>
      <c r="Q90" s="196"/>
      <c r="R90" s="2389">
        <f>R91+R92+R93</f>
        <v>623862000</v>
      </c>
      <c r="S90" s="198"/>
      <c r="T90" s="81">
        <f t="shared" ref="T90:X90" si="8">SUM(T91:T93)</f>
        <v>623862000</v>
      </c>
      <c r="U90" s="81">
        <f t="shared" si="8"/>
        <v>0</v>
      </c>
      <c r="V90" s="214">
        <f t="shared" si="8"/>
        <v>0</v>
      </c>
      <c r="W90" s="244">
        <f t="shared" si="8"/>
        <v>623862000</v>
      </c>
      <c r="X90" s="81">
        <f t="shared" si="8"/>
        <v>0</v>
      </c>
      <c r="Y90" s="229"/>
      <c r="Z90" s="2407"/>
      <c r="AA90" s="2407"/>
      <c r="AB90" s="2407"/>
      <c r="AC90" s="2401"/>
      <c r="AD90" s="2402"/>
    </row>
    <row r="91" spans="1:30" ht="29.25" customHeight="1">
      <c r="A91" s="10">
        <f>[2]DATA!A77</f>
        <v>63</v>
      </c>
      <c r="B91" s="10">
        <f>[2]DATA!B77</f>
        <v>0</v>
      </c>
      <c r="C91" s="10" t="str">
        <f>[2]DATA!C77</f>
        <v>INFRASTRUKTUR</v>
      </c>
      <c r="D91" s="10">
        <f>[2]DATA!D77</f>
        <v>1</v>
      </c>
      <c r="E91" s="10" t="str">
        <f>[2]DATA!E77</f>
        <v>Kementerian Pekerjaan Umum dan Perumahan Rakyat</v>
      </c>
      <c r="F91" s="10" t="str">
        <f>[2]DATA!F77</f>
        <v>Provision and Management of Bulk Water Supply Program</v>
      </c>
      <c r="G91" s="10" t="str">
        <f>[2]DATA!G77</f>
        <v>I</v>
      </c>
      <c r="H91" s="10" t="str">
        <f>[2]DATA!H77</f>
        <v>Program Penyediaan Air Baku</v>
      </c>
      <c r="I91" s="10">
        <f>[2]DATA!I77</f>
        <v>1</v>
      </c>
      <c r="J91" s="181"/>
      <c r="K91" s="34"/>
      <c r="L91" s="35"/>
      <c r="M91" s="36">
        <v>49</v>
      </c>
      <c r="N91" s="37" t="str">
        <f>[2]DATA!J77</f>
        <v>Integrated Citarum Water Resources Management Investment Program II</v>
      </c>
      <c r="O91" s="20">
        <f>[2]DATA!O77</f>
        <v>1</v>
      </c>
      <c r="P91" s="20">
        <f>[2]DATA!P77</f>
        <v>1</v>
      </c>
      <c r="Q91" s="186">
        <f>[2]DATA!Q77</f>
        <v>54</v>
      </c>
      <c r="R91" s="2386">
        <f>[2]DATA!R77</f>
        <v>200000000</v>
      </c>
      <c r="S91" s="1449" t="str">
        <f>[2]DATA!W77</f>
        <v>ADB</v>
      </c>
      <c r="T91" s="77">
        <f>[2]DATA!Z77</f>
        <v>200000000</v>
      </c>
      <c r="U91" s="77">
        <v>0</v>
      </c>
      <c r="V91" s="216" t="str">
        <f>[2]DATA!W77</f>
        <v>ADB</v>
      </c>
      <c r="W91" s="245">
        <f>[2]DATA!AN77</f>
        <v>200000000</v>
      </c>
      <c r="X91" s="109" t="str">
        <f>[2]DATA!AO77</f>
        <v>ADB</v>
      </c>
      <c r="Y91" s="246" t="str">
        <f>[2]DATA!AP77</f>
        <v>-</v>
      </c>
      <c r="Z91" s="2408" t="s">
        <v>614</v>
      </c>
      <c r="AA91" s="2408" t="s">
        <v>729</v>
      </c>
      <c r="AB91" s="2408"/>
      <c r="AC91" s="2391"/>
      <c r="AD91" s="2404"/>
    </row>
    <row r="92" spans="1:30" ht="32.25" customHeight="1">
      <c r="A92" s="10">
        <f>[2]DATA!A78</f>
        <v>64</v>
      </c>
      <c r="B92" s="10">
        <f>[2]DATA!B78</f>
        <v>0</v>
      </c>
      <c r="C92" s="10" t="str">
        <f>[2]DATA!C78</f>
        <v>INFRASTRUKTUR</v>
      </c>
      <c r="D92" s="10">
        <f>[2]DATA!D78</f>
        <v>1</v>
      </c>
      <c r="E92" s="10" t="str">
        <f>[2]DATA!E78</f>
        <v>Kementerian Pekerjaan Umum dan Perumahan Rakyat</v>
      </c>
      <c r="F92" s="10" t="str">
        <f>[2]DATA!F78</f>
        <v>Provision and Management of Bulk Water Supply Program</v>
      </c>
      <c r="G92" s="10" t="str">
        <f>[2]DATA!G78</f>
        <v>I</v>
      </c>
      <c r="H92" s="10" t="str">
        <f>[2]DATA!H78</f>
        <v>Program Penyediaan Air Baku</v>
      </c>
      <c r="I92" s="10">
        <f>[2]DATA!I78</f>
        <v>2</v>
      </c>
      <c r="J92" s="181"/>
      <c r="K92" s="34"/>
      <c r="L92" s="34"/>
      <c r="M92" s="36">
        <v>50</v>
      </c>
      <c r="N92" s="37" t="str">
        <f>[2]DATA!J78</f>
        <v>Karian Dam-Serpong Water Conveyance and Supply System Project</v>
      </c>
      <c r="O92" s="20">
        <f>[2]DATA!O78</f>
        <v>1</v>
      </c>
      <c r="P92" s="20">
        <f>[2]DATA!P78</f>
        <v>1</v>
      </c>
      <c r="Q92" s="186">
        <f>[2]DATA!Q78</f>
        <v>55</v>
      </c>
      <c r="R92" s="2386">
        <f>[2]DATA!R78</f>
        <v>373862000</v>
      </c>
      <c r="S92" s="1449" t="str">
        <f>[2]DATA!W78</f>
        <v>Korea</v>
      </c>
      <c r="T92" s="77">
        <f>[2]DATA!Z78</f>
        <v>373862000</v>
      </c>
      <c r="U92" s="77">
        <v>0</v>
      </c>
      <c r="V92" s="216" t="str">
        <f>[2]DATA!W78</f>
        <v>Korea</v>
      </c>
      <c r="W92" s="245">
        <f>[2]DATA!AN78</f>
        <v>373862000</v>
      </c>
      <c r="X92" s="109" t="str">
        <f>[2]DATA!AO78</f>
        <v>Korea</v>
      </c>
      <c r="Y92" s="246" t="str">
        <f>[2]DATA!AP78</f>
        <v>masuk rolling plan EDCF (Korea)</v>
      </c>
      <c r="Z92" s="2408" t="s">
        <v>675</v>
      </c>
      <c r="AA92" s="2408" t="s">
        <v>729</v>
      </c>
      <c r="AB92" s="2408"/>
      <c r="AC92" s="2391"/>
      <c r="AD92" s="2404"/>
    </row>
    <row r="93" spans="1:30" ht="33.75" customHeight="1">
      <c r="A93" s="10">
        <f>[2]DATA!A79</f>
        <v>65</v>
      </c>
      <c r="B93" s="10">
        <f>[2]DATA!B79</f>
        <v>0</v>
      </c>
      <c r="C93" s="10" t="str">
        <f>[2]DATA!C79</f>
        <v>INFRASTRUKTUR</v>
      </c>
      <c r="D93" s="10">
        <f>[2]DATA!D79</f>
        <v>1</v>
      </c>
      <c r="E93" s="10" t="str">
        <f>[2]DATA!E79</f>
        <v>Kementerian Pekerjaan Umum dan Perumahan Rakyat</v>
      </c>
      <c r="F93" s="10" t="str">
        <f>[2]DATA!F79</f>
        <v>Provision and Management of Bulk Water Supply Program</v>
      </c>
      <c r="G93" s="10" t="str">
        <f>[2]DATA!G79</f>
        <v>I</v>
      </c>
      <c r="H93" s="10" t="str">
        <f>[2]DATA!H79</f>
        <v>Program Penyediaan Air Baku</v>
      </c>
      <c r="I93" s="10">
        <f>[2]DATA!I79</f>
        <v>3</v>
      </c>
      <c r="J93" s="181"/>
      <c r="K93" s="34"/>
      <c r="L93" s="54"/>
      <c r="M93" s="36">
        <v>51</v>
      </c>
      <c r="N93" s="37" t="str">
        <f>[2]DATA!J79</f>
        <v>Engineering Service for Bulk Water and Water Supply Development Project</v>
      </c>
      <c r="O93" s="20">
        <f>[2]DATA!O79</f>
        <v>1</v>
      </c>
      <c r="P93" s="20">
        <f>[2]DATA!P79</f>
        <v>1</v>
      </c>
      <c r="Q93" s="186">
        <f>[2]DATA!Q79</f>
        <v>56</v>
      </c>
      <c r="R93" s="2386">
        <f>[2]DATA!R79</f>
        <v>50000000</v>
      </c>
      <c r="S93" s="1449" t="str">
        <f>[2]DATA!W79</f>
        <v>ADB</v>
      </c>
      <c r="T93" s="77">
        <f>[2]DATA!Z79</f>
        <v>50000000</v>
      </c>
      <c r="U93" s="77">
        <v>0</v>
      </c>
      <c r="V93" s="216" t="str">
        <f>[2]DATA!W79</f>
        <v>ADB</v>
      </c>
      <c r="W93" s="245">
        <f>[2]DATA!AN79</f>
        <v>50000000</v>
      </c>
      <c r="X93" s="109" t="str">
        <f>[2]DATA!AO79</f>
        <v>ADB</v>
      </c>
      <c r="Y93" s="246" t="str">
        <f>[2]DATA!AP79</f>
        <v>-</v>
      </c>
      <c r="Z93" s="2408" t="s">
        <v>568</v>
      </c>
      <c r="AA93" s="2408" t="s">
        <v>645</v>
      </c>
      <c r="AB93" s="2408"/>
      <c r="AC93" s="2391"/>
      <c r="AD93" s="2404"/>
    </row>
    <row r="94" spans="1:30" s="5" customFormat="1" ht="33.75" customHeight="1">
      <c r="J94" s="180"/>
      <c r="K94" s="50"/>
      <c r="L94" s="30" t="str">
        <f>[2]DATA!G80</f>
        <v>J</v>
      </c>
      <c r="M94" s="31" t="str">
        <f>[2]DATA!H80</f>
        <v>Program Pembangunan Waduk</v>
      </c>
      <c r="N94" s="51"/>
      <c r="O94" s="31"/>
      <c r="P94" s="31"/>
      <c r="Q94" s="196"/>
      <c r="R94" s="2389">
        <f>R95+R96+R97+R98+R99+R100+R101+R102+R103+R104+R107</f>
        <v>2133750000</v>
      </c>
      <c r="S94" s="198"/>
      <c r="T94" s="81">
        <f t="shared" ref="T94:X94" si="9">SUM(T95:T107)</f>
        <v>2057358596</v>
      </c>
      <c r="U94" s="81">
        <f t="shared" si="9"/>
        <v>76391404</v>
      </c>
      <c r="V94" s="214">
        <f t="shared" si="9"/>
        <v>0</v>
      </c>
      <c r="W94" s="244">
        <f t="shared" si="9"/>
        <v>2133750000</v>
      </c>
      <c r="X94" s="81">
        <f t="shared" si="9"/>
        <v>0</v>
      </c>
      <c r="Y94" s="229"/>
      <c r="Z94" s="2407"/>
      <c r="AA94" s="2407"/>
      <c r="AB94" s="2407"/>
      <c r="AC94" s="2401"/>
      <c r="AD94" s="2412"/>
    </row>
    <row r="95" spans="1:30" ht="23.25" customHeight="1">
      <c r="A95" s="10">
        <f>[2]DATA!A80</f>
        <v>66</v>
      </c>
      <c r="B95" s="10">
        <f>[2]DATA!B80</f>
        <v>0</v>
      </c>
      <c r="C95" s="10" t="str">
        <f>[2]DATA!C80</f>
        <v>INFRASTRUKTUR</v>
      </c>
      <c r="D95" s="10">
        <f>[2]DATA!D80</f>
        <v>1</v>
      </c>
      <c r="E95" s="10" t="str">
        <f>[2]DATA!E80</f>
        <v>Kementerian Pekerjaan Umum dan Perumahan Rakyat</v>
      </c>
      <c r="F95" s="10" t="str">
        <f>[2]DATA!F80</f>
        <v>Dam Development Program</v>
      </c>
      <c r="G95" s="10" t="str">
        <f>[2]DATA!G80</f>
        <v>J</v>
      </c>
      <c r="H95" s="10" t="str">
        <f>[2]DATA!H80</f>
        <v>Program Pembangunan Waduk</v>
      </c>
      <c r="I95" s="10">
        <f>[2]DATA!I80</f>
        <v>1</v>
      </c>
      <c r="J95" s="181"/>
      <c r="K95" s="34"/>
      <c r="L95" s="35"/>
      <c r="M95" s="36">
        <v>52</v>
      </c>
      <c r="N95" s="37" t="str">
        <f>[2]DATA!J80</f>
        <v>Jambo Aye Multipurpose Dam Project</v>
      </c>
      <c r="O95" s="20">
        <f>[2]DATA!O80</f>
        <v>1</v>
      </c>
      <c r="P95" s="20">
        <f>[2]DATA!P80</f>
        <v>1</v>
      </c>
      <c r="Q95" s="186">
        <f>[2]DATA!Q80</f>
        <v>57</v>
      </c>
      <c r="R95" s="2386">
        <f>[2]DATA!R80</f>
        <v>662200000</v>
      </c>
      <c r="S95" s="1449" t="str">
        <f>[2]DATA!W80</f>
        <v>Rupiah Murni</v>
      </c>
      <c r="T95" s="77">
        <f>[2]DATA!Z80</f>
        <v>662200000</v>
      </c>
      <c r="U95" s="77">
        <v>0</v>
      </c>
      <c r="V95" s="216" t="str">
        <f>[2]DATA!W80</f>
        <v>Rupiah Murni</v>
      </c>
      <c r="W95" s="245">
        <f>[2]DATA!AN80</f>
        <v>662200000</v>
      </c>
      <c r="X95" s="109" t="str">
        <f>[2]DATA!AO80</f>
        <v>Rupiah Murni</v>
      </c>
      <c r="Y95" s="246" t="str">
        <f>[2]DATA!AP80</f>
        <v>-</v>
      </c>
      <c r="Z95" s="2408" t="s">
        <v>603</v>
      </c>
      <c r="AA95" s="2408" t="s">
        <v>729</v>
      </c>
      <c r="AB95" s="2408">
        <f>T94+U94-W94</f>
        <v>0</v>
      </c>
      <c r="AC95" s="2391"/>
      <c r="AD95" s="2404"/>
    </row>
    <row r="96" spans="1:30" ht="24.75" customHeight="1">
      <c r="A96" s="10">
        <f>[2]DATA!A81</f>
        <v>67</v>
      </c>
      <c r="B96" s="10">
        <f>[2]DATA!B81</f>
        <v>0</v>
      </c>
      <c r="C96" s="10" t="str">
        <f>[2]DATA!C81</f>
        <v>INFRASTRUKTUR</v>
      </c>
      <c r="D96" s="10">
        <f>[2]DATA!D81</f>
        <v>1</v>
      </c>
      <c r="E96" s="10" t="str">
        <f>[2]DATA!E81</f>
        <v>Kementerian Pekerjaan Umum dan Perumahan Rakyat</v>
      </c>
      <c r="F96" s="10" t="str">
        <f>[2]DATA!F81</f>
        <v>Dam Development Program</v>
      </c>
      <c r="G96" s="10" t="str">
        <f>[2]DATA!G81</f>
        <v>J</v>
      </c>
      <c r="H96" s="10" t="str">
        <f>[2]DATA!H81</f>
        <v>Program Pembangunan Waduk</v>
      </c>
      <c r="I96" s="10">
        <f>[2]DATA!I81</f>
        <v>2</v>
      </c>
      <c r="J96" s="181"/>
      <c r="K96" s="34"/>
      <c r="L96" s="34"/>
      <c r="M96" s="36">
        <v>53</v>
      </c>
      <c r="N96" s="37" t="str">
        <f>[2]DATA!J81</f>
        <v>Komering Multipurpose Dam Project - Phase II</v>
      </c>
      <c r="O96" s="20">
        <f>[2]DATA!O81</f>
        <v>1</v>
      </c>
      <c r="P96" s="20">
        <f>[2]DATA!P81</f>
        <v>1</v>
      </c>
      <c r="Q96" s="186">
        <f>[2]DATA!Q81</f>
        <v>58</v>
      </c>
      <c r="R96" s="2386">
        <f>[2]DATA!R81</f>
        <v>200000000</v>
      </c>
      <c r="S96" s="1449" t="str">
        <f>[2]DATA!W81</f>
        <v>Rupiah Murni</v>
      </c>
      <c r="T96" s="77">
        <f>[2]DATA!Z81</f>
        <v>200000000</v>
      </c>
      <c r="U96" s="77">
        <v>0</v>
      </c>
      <c r="V96" s="216" t="str">
        <f>[2]DATA!W81</f>
        <v>Rupiah Murni</v>
      </c>
      <c r="W96" s="245">
        <f>[2]DATA!AN81</f>
        <v>200000000</v>
      </c>
      <c r="X96" s="109" t="str">
        <f>[2]DATA!AO81</f>
        <v>Rupiah Murni</v>
      </c>
      <c r="Y96" s="246" t="str">
        <f>[2]DATA!AP81</f>
        <v>-</v>
      </c>
      <c r="Z96" s="2408" t="s">
        <v>608</v>
      </c>
      <c r="AA96" s="2408" t="s">
        <v>729</v>
      </c>
      <c r="AB96" s="2409" t="s">
        <v>1124</v>
      </c>
      <c r="AC96" s="2391"/>
      <c r="AD96" s="2404"/>
    </row>
    <row r="97" spans="1:30" ht="25.5" customHeight="1">
      <c r="A97" s="10">
        <f>[2]DATA!A82</f>
        <v>68</v>
      </c>
      <c r="B97" s="10">
        <f>[2]DATA!B82</f>
        <v>0</v>
      </c>
      <c r="C97" s="10" t="str">
        <f>[2]DATA!C82</f>
        <v>INFRASTRUKTUR</v>
      </c>
      <c r="D97" s="10">
        <f>[2]DATA!D82</f>
        <v>1</v>
      </c>
      <c r="E97" s="10" t="str">
        <f>[2]DATA!E82</f>
        <v>Kementerian Pekerjaan Umum dan Perumahan Rakyat</v>
      </c>
      <c r="F97" s="10" t="str">
        <f>[2]DATA!F82</f>
        <v>Dam Development Program</v>
      </c>
      <c r="G97" s="10" t="str">
        <f>[2]DATA!G82</f>
        <v>J</v>
      </c>
      <c r="H97" s="10" t="str">
        <f>[2]DATA!H82</f>
        <v>Program Pembangunan Waduk</v>
      </c>
      <c r="I97" s="10">
        <f>[2]DATA!I82</f>
        <v>3</v>
      </c>
      <c r="J97" s="181"/>
      <c r="K97" s="34"/>
      <c r="L97" s="34"/>
      <c r="M97" s="36">
        <v>54</v>
      </c>
      <c r="N97" s="37" t="str">
        <f>[2]DATA!J82</f>
        <v>Pelosika Multipurpose Dam Construction Project</v>
      </c>
      <c r="O97" s="20">
        <f>[2]DATA!O82</f>
        <v>1</v>
      </c>
      <c r="P97" s="20">
        <f>[2]DATA!P82</f>
        <v>1</v>
      </c>
      <c r="Q97" s="186">
        <f>[2]DATA!Q82</f>
        <v>59</v>
      </c>
      <c r="R97" s="2386">
        <f>[2]DATA!R82</f>
        <v>200000000</v>
      </c>
      <c r="S97" s="1449" t="str">
        <f>[2]DATA!W82</f>
        <v>Rupiah Murni</v>
      </c>
      <c r="T97" s="77">
        <f>[2]DATA!Z82</f>
        <v>200000000</v>
      </c>
      <c r="U97" s="77">
        <v>0</v>
      </c>
      <c r="V97" s="216" t="str">
        <f>[2]DATA!W82</f>
        <v>Rupiah Murni</v>
      </c>
      <c r="W97" s="245">
        <f>[2]DATA!AN82</f>
        <v>200000000</v>
      </c>
      <c r="X97" s="109" t="str">
        <f>[2]DATA!AO82</f>
        <v>Rupiah Murni</v>
      </c>
      <c r="Y97" s="246" t="str">
        <f>[2]DATA!AP82</f>
        <v>-</v>
      </c>
      <c r="Z97" s="2408" t="s">
        <v>608</v>
      </c>
      <c r="AA97" s="2408" t="s">
        <v>729</v>
      </c>
      <c r="AB97" s="2409" t="s">
        <v>1124</v>
      </c>
      <c r="AC97" s="2391"/>
      <c r="AD97" s="2404"/>
    </row>
    <row r="98" spans="1:30" ht="18.75" customHeight="1">
      <c r="A98" s="10">
        <f>[2]DATA!A83</f>
        <v>69</v>
      </c>
      <c r="B98" s="10">
        <f>[2]DATA!B83</f>
        <v>0</v>
      </c>
      <c r="C98" s="10" t="str">
        <f>[2]DATA!C83</f>
        <v>INFRASTRUKTUR</v>
      </c>
      <c r="D98" s="10">
        <f>[2]DATA!D83</f>
        <v>1</v>
      </c>
      <c r="E98" s="10" t="str">
        <f>[2]DATA!E83</f>
        <v>Kementerian Pekerjaan Umum dan Perumahan Rakyat</v>
      </c>
      <c r="F98" s="10" t="str">
        <f>[2]DATA!F83</f>
        <v>Dam Development Program</v>
      </c>
      <c r="G98" s="10" t="str">
        <f>[2]DATA!G83</f>
        <v>J</v>
      </c>
      <c r="H98" s="10" t="str">
        <f>[2]DATA!H83</f>
        <v>Program Pembangunan Waduk</v>
      </c>
      <c r="I98" s="10">
        <f>[2]DATA!I83</f>
        <v>4</v>
      </c>
      <c r="J98" s="181"/>
      <c r="K98" s="34"/>
      <c r="L98" s="34"/>
      <c r="M98" s="36">
        <v>55</v>
      </c>
      <c r="N98" s="37" t="str">
        <f>[2]DATA!J83</f>
        <v>Lambakan  Dam Project</v>
      </c>
      <c r="O98" s="20">
        <f>[2]DATA!O83</f>
        <v>1</v>
      </c>
      <c r="P98" s="20">
        <f>[2]DATA!P83</f>
        <v>1</v>
      </c>
      <c r="Q98" s="186">
        <f>[2]DATA!Q83</f>
        <v>60</v>
      </c>
      <c r="R98" s="2386">
        <f>[2]DATA!R83</f>
        <v>258000000</v>
      </c>
      <c r="S98" s="1449" t="str">
        <f>[2]DATA!W83</f>
        <v>IDB</v>
      </c>
      <c r="T98" s="77">
        <f>[2]DATA!Z83</f>
        <v>258000000</v>
      </c>
      <c r="U98" s="77">
        <v>0</v>
      </c>
      <c r="V98" s="216" t="str">
        <f>[2]DATA!W83</f>
        <v>IDB</v>
      </c>
      <c r="W98" s="245">
        <f>[2]DATA!AN83</f>
        <v>258000000</v>
      </c>
      <c r="X98" s="109" t="str">
        <f>[2]DATA!AO83</f>
        <v>IDB</v>
      </c>
      <c r="Y98" s="246" t="str">
        <f>[2]DATA!AP83</f>
        <v>-</v>
      </c>
      <c r="Z98" s="2408" t="s">
        <v>608</v>
      </c>
      <c r="AA98" s="2408" t="s">
        <v>729</v>
      </c>
      <c r="AB98" s="2409" t="s">
        <v>1124</v>
      </c>
      <c r="AC98" s="2391"/>
      <c r="AD98" s="2404"/>
    </row>
    <row r="99" spans="1:30" ht="24.75" customHeight="1">
      <c r="A99" s="10">
        <f>[2]DATA!A84</f>
        <v>70</v>
      </c>
      <c r="B99" s="10">
        <f>[2]DATA!B84</f>
        <v>0</v>
      </c>
      <c r="C99" s="10" t="str">
        <f>[2]DATA!C84</f>
        <v>INFRASTRUKTUR</v>
      </c>
      <c r="D99" s="10">
        <f>[2]DATA!D84</f>
        <v>1</v>
      </c>
      <c r="E99" s="10" t="str">
        <f>[2]DATA!E84</f>
        <v>Kementerian Pekerjaan Umum dan Perumahan Rakyat</v>
      </c>
      <c r="F99" s="10" t="str">
        <f>[2]DATA!F84</f>
        <v>Dam Development Program</v>
      </c>
      <c r="G99" s="10" t="str">
        <f>[2]DATA!G84</f>
        <v>J</v>
      </c>
      <c r="H99" s="10" t="str">
        <f>[2]DATA!H84</f>
        <v>Program Pembangunan Waduk</v>
      </c>
      <c r="I99" s="10">
        <f>[2]DATA!I84</f>
        <v>5</v>
      </c>
      <c r="J99" s="181"/>
      <c r="K99" s="34"/>
      <c r="L99" s="34"/>
      <c r="M99" s="36">
        <v>56</v>
      </c>
      <c r="N99" s="37" t="str">
        <f>[2]DATA!J84</f>
        <v>Jenelata Dam Construction Project</v>
      </c>
      <c r="O99" s="20">
        <f>[2]DATA!O84</f>
        <v>1</v>
      </c>
      <c r="P99" s="20">
        <f>[2]DATA!P84</f>
        <v>1</v>
      </c>
      <c r="Q99" s="186">
        <f>[2]DATA!Q84</f>
        <v>61</v>
      </c>
      <c r="R99" s="2386">
        <f>[2]DATA!R84</f>
        <v>200000000</v>
      </c>
      <c r="S99" s="1449" t="str">
        <f>[2]DATA!W84</f>
        <v>RRT</v>
      </c>
      <c r="T99" s="77">
        <f>[2]DATA!Z84</f>
        <v>200000000</v>
      </c>
      <c r="U99" s="77">
        <v>0</v>
      </c>
      <c r="V99" s="216" t="str">
        <f>[2]DATA!W84</f>
        <v>RRT</v>
      </c>
      <c r="W99" s="245">
        <f>[2]DATA!AN84</f>
        <v>200000000</v>
      </c>
      <c r="X99" s="109" t="str">
        <f>[2]DATA!AO84</f>
        <v>RRT</v>
      </c>
      <c r="Y99" s="246" t="str">
        <f>[2]DATA!AP84</f>
        <v>-</v>
      </c>
      <c r="Z99" s="2408" t="s">
        <v>568</v>
      </c>
      <c r="AA99" s="2408" t="s">
        <v>729</v>
      </c>
      <c r="AB99" s="2408"/>
      <c r="AC99" s="2391"/>
      <c r="AD99" s="2404"/>
    </row>
    <row r="100" spans="1:30" ht="20.25" customHeight="1">
      <c r="A100" s="10">
        <f>[2]DATA!A85</f>
        <v>71</v>
      </c>
      <c r="B100" s="10">
        <f>[2]DATA!B85</f>
        <v>0</v>
      </c>
      <c r="C100" s="10" t="str">
        <f>[2]DATA!C85</f>
        <v>INFRASTRUKTUR</v>
      </c>
      <c r="D100" s="10">
        <f>[2]DATA!D85</f>
        <v>1</v>
      </c>
      <c r="E100" s="10" t="str">
        <f>[2]DATA!E85</f>
        <v>Kementerian Pekerjaan Umum dan Perumahan Rakyat</v>
      </c>
      <c r="F100" s="10" t="str">
        <f>[2]DATA!F85</f>
        <v>Dam Development Program</v>
      </c>
      <c r="G100" s="10" t="str">
        <f>[2]DATA!G85</f>
        <v>J</v>
      </c>
      <c r="H100" s="10" t="str">
        <f>[2]DATA!H85</f>
        <v>Program Pembangunan Waduk</v>
      </c>
      <c r="I100" s="10">
        <f>[2]DATA!I85</f>
        <v>6</v>
      </c>
      <c r="J100" s="181"/>
      <c r="K100" s="34"/>
      <c r="L100" s="34"/>
      <c r="M100" s="36">
        <v>57</v>
      </c>
      <c r="N100" s="37" t="str">
        <f>[2]DATA!J85</f>
        <v>Bonehulu Dam Construction Project</v>
      </c>
      <c r="O100" s="20">
        <f>[2]DATA!O85</f>
        <v>1</v>
      </c>
      <c r="P100" s="20">
        <f>[2]DATA!P85</f>
        <v>1</v>
      </c>
      <c r="Q100" s="186">
        <f>[2]DATA!Q85</f>
        <v>62</v>
      </c>
      <c r="R100" s="2386">
        <f>[2]DATA!R85</f>
        <v>128250000</v>
      </c>
      <c r="S100" s="1449" t="str">
        <f>[2]DATA!W85</f>
        <v>RRT</v>
      </c>
      <c r="T100" s="77">
        <f>[2]DATA!Z85</f>
        <v>128250000</v>
      </c>
      <c r="U100" s="77">
        <v>0</v>
      </c>
      <c r="V100" s="216" t="str">
        <f>[2]DATA!W85</f>
        <v>RRT</v>
      </c>
      <c r="W100" s="245">
        <f>[2]DATA!AN85</f>
        <v>128250000</v>
      </c>
      <c r="X100" s="109" t="str">
        <f>[2]DATA!AO85</f>
        <v>RRT</v>
      </c>
      <c r="Y100" s="246" t="str">
        <f>[2]DATA!AP85</f>
        <v>-</v>
      </c>
      <c r="Z100" s="2408" t="s">
        <v>608</v>
      </c>
      <c r="AA100" s="2408" t="s">
        <v>729</v>
      </c>
      <c r="AB100" s="2408"/>
      <c r="AC100" s="2391"/>
      <c r="AD100" s="2404"/>
    </row>
    <row r="101" spans="1:30" ht="21" customHeight="1">
      <c r="A101" s="10">
        <f>[2]DATA!A86</f>
        <v>72</v>
      </c>
      <c r="B101" s="10">
        <f>[2]DATA!B86</f>
        <v>0</v>
      </c>
      <c r="C101" s="10" t="str">
        <f>[2]DATA!C86</f>
        <v>INFRASTRUKTUR</v>
      </c>
      <c r="D101" s="10">
        <f>[2]DATA!D86</f>
        <v>1</v>
      </c>
      <c r="E101" s="10" t="str">
        <f>[2]DATA!E86</f>
        <v>Kementerian Pekerjaan Umum dan Perumahan Rakyat</v>
      </c>
      <c r="F101" s="10" t="str">
        <f>[2]DATA!F86</f>
        <v>Dam Development Program</v>
      </c>
      <c r="G101" s="10" t="str">
        <f>[2]DATA!G86</f>
        <v>J</v>
      </c>
      <c r="H101" s="10" t="str">
        <f>[2]DATA!H86</f>
        <v>Program Pembangunan Waduk</v>
      </c>
      <c r="I101" s="10">
        <f>[2]DATA!I86</f>
        <v>7</v>
      </c>
      <c r="J101" s="181"/>
      <c r="K101" s="34"/>
      <c r="L101" s="34"/>
      <c r="M101" s="36">
        <v>58</v>
      </c>
      <c r="N101" s="37" t="str">
        <f>[2]DATA!J86</f>
        <v>Ladongi Dam Construction Project</v>
      </c>
      <c r="O101" s="20">
        <f>[2]DATA!O86</f>
        <v>1</v>
      </c>
      <c r="P101" s="20">
        <f>[2]DATA!P86</f>
        <v>1</v>
      </c>
      <c r="Q101" s="186">
        <f>[2]DATA!Q86</f>
        <v>63</v>
      </c>
      <c r="R101" s="2386">
        <f>[2]DATA!R86</f>
        <v>70000000</v>
      </c>
      <c r="S101" s="1449" t="str">
        <f>[2]DATA!W86</f>
        <v>RRT</v>
      </c>
      <c r="T101" s="77">
        <f>[2]DATA!Z86</f>
        <v>70000000</v>
      </c>
      <c r="U101" s="77">
        <v>0</v>
      </c>
      <c r="V101" s="216" t="str">
        <f>[2]DATA!W86</f>
        <v>RRT</v>
      </c>
      <c r="W101" s="245">
        <f>[2]DATA!AN86</f>
        <v>70000000</v>
      </c>
      <c r="X101" s="109" t="str">
        <f>[2]DATA!AO86</f>
        <v>RRT</v>
      </c>
      <c r="Y101" s="246" t="str">
        <f>[2]DATA!AP86</f>
        <v>-</v>
      </c>
      <c r="Z101" s="2408" t="s">
        <v>568</v>
      </c>
      <c r="AA101" s="2408" t="s">
        <v>729</v>
      </c>
      <c r="AB101" s="2408"/>
      <c r="AC101" s="2391"/>
      <c r="AD101" s="2404"/>
    </row>
    <row r="102" spans="1:30" ht="23.25" customHeight="1">
      <c r="A102" s="10">
        <f>[2]DATA!A87</f>
        <v>73</v>
      </c>
      <c r="B102" s="10">
        <f>[2]DATA!B87</f>
        <v>0</v>
      </c>
      <c r="C102" s="10" t="str">
        <f>[2]DATA!C87</f>
        <v>INFRASTRUKTUR</v>
      </c>
      <c r="D102" s="10">
        <f>[2]DATA!D87</f>
        <v>1</v>
      </c>
      <c r="E102" s="10" t="str">
        <f>[2]DATA!E87</f>
        <v>Kementerian Pekerjaan Umum dan Perumahan Rakyat</v>
      </c>
      <c r="F102" s="10" t="str">
        <f>[2]DATA!F87</f>
        <v>Dam Development Program</v>
      </c>
      <c r="G102" s="10" t="str">
        <f>[2]DATA!G87</f>
        <v>J</v>
      </c>
      <c r="H102" s="10" t="str">
        <f>[2]DATA!H87</f>
        <v>Program Pembangunan Waduk</v>
      </c>
      <c r="I102" s="10">
        <f>[2]DATA!I87</f>
        <v>8</v>
      </c>
      <c r="J102" s="181"/>
      <c r="K102" s="34"/>
      <c r="L102" s="34"/>
      <c r="M102" s="36">
        <v>59</v>
      </c>
      <c r="N102" s="37" t="str">
        <f>[2]DATA!J87</f>
        <v>Kuwil Kawangkoan Dam Construction Project</v>
      </c>
      <c r="O102" s="20">
        <f>[2]DATA!O87</f>
        <v>1</v>
      </c>
      <c r="P102" s="20">
        <f>[2]DATA!P87</f>
        <v>1</v>
      </c>
      <c r="Q102" s="186">
        <f>[2]DATA!Q87</f>
        <v>64</v>
      </c>
      <c r="R102" s="2386">
        <f>[2]DATA!R87</f>
        <v>110000000</v>
      </c>
      <c r="S102" s="1449" t="str">
        <f>[2]DATA!W87</f>
        <v>Rupiah Murni</v>
      </c>
      <c r="T102" s="77">
        <f>[2]DATA!Z87</f>
        <v>110000000</v>
      </c>
      <c r="U102" s="77">
        <v>0</v>
      </c>
      <c r="V102" s="216" t="str">
        <f>[2]DATA!W87</f>
        <v>Rupiah Murni</v>
      </c>
      <c r="W102" s="245">
        <f>[2]DATA!AN87</f>
        <v>110000000</v>
      </c>
      <c r="X102" s="109" t="str">
        <f>[2]DATA!AO87</f>
        <v>Rupiah Murni</v>
      </c>
      <c r="Y102" s="246" t="str">
        <f>[2]DATA!AP87</f>
        <v>-</v>
      </c>
      <c r="Z102" s="2408" t="s">
        <v>608</v>
      </c>
      <c r="AA102" s="2408" t="s">
        <v>729</v>
      </c>
      <c r="AB102" s="2409" t="s">
        <v>1124</v>
      </c>
      <c r="AC102" s="2391"/>
      <c r="AD102" s="2404"/>
    </row>
    <row r="103" spans="1:30" ht="33" customHeight="1">
      <c r="A103" s="10">
        <f>[2]DATA!A88</f>
        <v>74</v>
      </c>
      <c r="B103" s="10">
        <f>[2]DATA!B88</f>
        <v>0</v>
      </c>
      <c r="C103" s="10" t="str">
        <f>[2]DATA!C88</f>
        <v>INFRASTRUKTUR</v>
      </c>
      <c r="D103" s="10">
        <f>[2]DATA!D88</f>
        <v>1</v>
      </c>
      <c r="E103" s="10" t="str">
        <f>[2]DATA!E88</f>
        <v>Kementerian Pekerjaan Umum dan Perumahan Rakyat</v>
      </c>
      <c r="F103" s="10" t="str">
        <f>[2]DATA!F88</f>
        <v>Dam Development Program</v>
      </c>
      <c r="G103" s="10" t="str">
        <f>[2]DATA!G88</f>
        <v>J</v>
      </c>
      <c r="H103" s="10" t="str">
        <f>[2]DATA!H88</f>
        <v>Program Pembangunan Waduk</v>
      </c>
      <c r="I103" s="10">
        <f>[2]DATA!I88</f>
        <v>9</v>
      </c>
      <c r="J103" s="181"/>
      <c r="K103" s="34"/>
      <c r="L103" s="34"/>
      <c r="M103" s="36">
        <v>60</v>
      </c>
      <c r="N103" s="37" t="str">
        <f>[2]DATA!J88</f>
        <v>Lompatan Harimau Dam Construction Project (Rokan Kiri Dam Construction Project)</v>
      </c>
      <c r="O103" s="20">
        <f>[2]DATA!O88</f>
        <v>1</v>
      </c>
      <c r="P103" s="20">
        <f>[2]DATA!P88</f>
        <v>1</v>
      </c>
      <c r="Q103" s="186">
        <f>[2]DATA!Q88</f>
        <v>65</v>
      </c>
      <c r="R103" s="2386">
        <f>[2]DATA!R88</f>
        <v>152100000</v>
      </c>
      <c r="S103" s="1449" t="str">
        <f>[2]DATA!W88</f>
        <v>RRT</v>
      </c>
      <c r="T103" s="77">
        <f>[2]DATA!Z88</f>
        <v>152100000</v>
      </c>
      <c r="U103" s="77">
        <v>0</v>
      </c>
      <c r="V103" s="216" t="str">
        <f>[2]DATA!W88</f>
        <v>RRT</v>
      </c>
      <c r="W103" s="245">
        <f>[2]DATA!AN88</f>
        <v>152100000</v>
      </c>
      <c r="X103" s="109" t="str">
        <f>[2]DATA!AO88</f>
        <v>RRT</v>
      </c>
      <c r="Y103" s="246" t="str">
        <f>[2]DATA!AP88</f>
        <v>-</v>
      </c>
      <c r="Z103" s="2408" t="s">
        <v>675</v>
      </c>
      <c r="AA103" s="2408" t="s">
        <v>729</v>
      </c>
      <c r="AB103" s="2408"/>
      <c r="AC103" s="2391"/>
      <c r="AD103" s="2404"/>
    </row>
    <row r="104" spans="1:30" ht="15.75" customHeight="1">
      <c r="J104" s="181"/>
      <c r="K104" s="34"/>
      <c r="L104" s="34"/>
      <c r="M104" s="3390">
        <v>61</v>
      </c>
      <c r="N104" s="3393" t="str">
        <f>[2]DATA!J90</f>
        <v>Engineering Service for Dam Multipurpose Development Project</v>
      </c>
      <c r="O104" s="20">
        <f>[2]DATA!O90</f>
        <v>0.33333333333333298</v>
      </c>
      <c r="P104" s="20">
        <f>[2]DATA!P90</f>
        <v>0</v>
      </c>
      <c r="Q104" s="186">
        <f>[2]DATA!Q90</f>
        <v>66</v>
      </c>
      <c r="R104" s="3639">
        <f>[2]DATA!R89</f>
        <v>100000000</v>
      </c>
      <c r="S104" s="1449" t="str">
        <f>[2]DATA!W90</f>
        <v>ADB</v>
      </c>
      <c r="T104" s="77">
        <f>[2]DATA!Z90</f>
        <v>1930000</v>
      </c>
      <c r="U104" s="77">
        <v>0</v>
      </c>
      <c r="V104" s="216" t="str">
        <f>[2]DATA!W90</f>
        <v>ADB</v>
      </c>
      <c r="W104" s="245">
        <f>[2]DATA!AN90</f>
        <v>1930000</v>
      </c>
      <c r="X104" s="109" t="str">
        <f>[2]DATA!AO90</f>
        <v>ADB</v>
      </c>
      <c r="Y104" s="246" t="str">
        <f>[2]DATA!AP90</f>
        <v>-</v>
      </c>
      <c r="Z104" s="3411" t="s">
        <v>568</v>
      </c>
      <c r="AA104" s="3411" t="s">
        <v>645</v>
      </c>
      <c r="AB104" s="3411"/>
      <c r="AC104" s="3639"/>
      <c r="AD104" s="2404"/>
    </row>
    <row r="105" spans="1:30" ht="13.5" customHeight="1">
      <c r="J105" s="181"/>
      <c r="K105" s="34"/>
      <c r="L105" s="34"/>
      <c r="M105" s="3392"/>
      <c r="N105" s="3397"/>
      <c r="O105" s="20"/>
      <c r="P105" s="20"/>
      <c r="Q105" s="186"/>
      <c r="R105" s="3642"/>
      <c r="S105" s="1449" t="str">
        <f>[2]DATA!W91</f>
        <v>Korea</v>
      </c>
      <c r="T105" s="77">
        <f>[2]DATA!Z91</f>
        <v>21678596</v>
      </c>
      <c r="U105" s="77">
        <v>0</v>
      </c>
      <c r="V105" s="216" t="str">
        <f>[2]DATA!W91</f>
        <v>Korea</v>
      </c>
      <c r="W105" s="245">
        <f>[2]DATA!AN91</f>
        <v>21678596</v>
      </c>
      <c r="X105" s="109" t="str">
        <f>[2]DATA!AO91</f>
        <v>Korea</v>
      </c>
      <c r="Y105" s="246" t="str">
        <f>[2]DATA!AP91</f>
        <v>masuk rolling plan EDCF (Korea)</v>
      </c>
      <c r="Z105" s="3412"/>
      <c r="AA105" s="3412"/>
      <c r="AB105" s="3412"/>
      <c r="AC105" s="3642"/>
      <c r="AD105" s="2404"/>
    </row>
    <row r="106" spans="1:30" ht="11.25" customHeight="1">
      <c r="J106" s="181"/>
      <c r="K106" s="34"/>
      <c r="L106" s="34"/>
      <c r="M106" s="3391"/>
      <c r="N106" s="3394"/>
      <c r="O106" s="20"/>
      <c r="P106" s="20"/>
      <c r="Q106" s="186"/>
      <c r="R106" s="3640"/>
      <c r="S106" s="1449" t="str">
        <f>[2]DATA!W92</f>
        <v>Belum Ada Indikasi</v>
      </c>
      <c r="T106" s="77">
        <v>0</v>
      </c>
      <c r="U106" s="77">
        <f>[2]DATA!Z92</f>
        <v>76391404</v>
      </c>
      <c r="V106" s="216" t="str">
        <f>[2]DATA!W92</f>
        <v>Belum Ada Indikasi</v>
      </c>
      <c r="W106" s="245">
        <f>[2]DATA!AN92</f>
        <v>76391404</v>
      </c>
      <c r="X106" s="109" t="str">
        <f>[2]DATA!AO92</f>
        <v>Belum Ada Indikasi</v>
      </c>
      <c r="Y106" s="246" t="str">
        <f>[2]DATA!AP92</f>
        <v>-</v>
      </c>
      <c r="Z106" s="3413"/>
      <c r="AA106" s="3413"/>
      <c r="AB106" s="3413"/>
      <c r="AC106" s="3640"/>
      <c r="AD106" s="2404"/>
    </row>
    <row r="107" spans="1:30" ht="19.5" customHeight="1">
      <c r="A107" s="10">
        <f>[2]DATA!A93</f>
        <v>76</v>
      </c>
      <c r="B107" s="10">
        <f>[2]DATA!B93</f>
        <v>0</v>
      </c>
      <c r="C107" s="10" t="str">
        <f>[2]DATA!C93</f>
        <v>INFRASTRUKTUR</v>
      </c>
      <c r="D107" s="10">
        <f>[2]DATA!D93</f>
        <v>1</v>
      </c>
      <c r="E107" s="10" t="str">
        <f>[2]DATA!E93</f>
        <v>Kementerian Pekerjaan Umum dan Perumahan Rakyat</v>
      </c>
      <c r="F107" s="10" t="str">
        <f>[2]DATA!F93</f>
        <v>Dam Development Program</v>
      </c>
      <c r="G107" s="10" t="str">
        <f>[2]DATA!G93</f>
        <v>J</v>
      </c>
      <c r="H107" s="10" t="str">
        <f>[2]DATA!H93</f>
        <v>Program Pembangunan Waduk</v>
      </c>
      <c r="I107" s="10">
        <f>[2]DATA!I93</f>
        <v>11</v>
      </c>
      <c r="J107" s="181"/>
      <c r="K107" s="34"/>
      <c r="L107" s="54"/>
      <c r="M107" s="36">
        <v>62</v>
      </c>
      <c r="N107" s="37" t="str">
        <f>[2]DATA!J93</f>
        <v>Additional Loan for Jatigede Dam Project 2</v>
      </c>
      <c r="O107" s="20">
        <f>[2]DATA!O93</f>
        <v>1</v>
      </c>
      <c r="P107" s="20">
        <f>[2]DATA!P93</f>
        <v>1</v>
      </c>
      <c r="Q107" s="186">
        <f>[2]DATA!Q93</f>
        <v>67</v>
      </c>
      <c r="R107" s="2386">
        <f>[2]DATA!R93</f>
        <v>53200000</v>
      </c>
      <c r="S107" s="1449" t="str">
        <f>[2]DATA!W93</f>
        <v>RRT</v>
      </c>
      <c r="T107" s="77">
        <f>[2]DATA!Z93</f>
        <v>53200000</v>
      </c>
      <c r="U107" s="77">
        <v>0</v>
      </c>
      <c r="V107" s="216" t="str">
        <f>[2]DATA!W93</f>
        <v>RRT</v>
      </c>
      <c r="W107" s="245">
        <f>[2]DATA!AN93</f>
        <v>53200000</v>
      </c>
      <c r="X107" s="109" t="str">
        <f>[2]DATA!AO93</f>
        <v>RRT</v>
      </c>
      <c r="Y107" s="246" t="str">
        <f>[2]DATA!AP93</f>
        <v>-</v>
      </c>
      <c r="Z107" s="2408" t="s">
        <v>614</v>
      </c>
      <c r="AA107" s="2408" t="s">
        <v>654</v>
      </c>
      <c r="AB107" s="2408"/>
      <c r="AC107" s="2391"/>
      <c r="AD107" s="2404"/>
    </row>
    <row r="108" spans="1:30" s="5" customFormat="1" ht="33.75" customHeight="1">
      <c r="J108" s="180"/>
      <c r="K108" s="50"/>
      <c r="L108" s="30" t="str">
        <f>[2]DATA!G94</f>
        <v>K</v>
      </c>
      <c r="M108" s="31" t="str">
        <f>[2]DATA!H94</f>
        <v>Program Mitigasi Terhadap Daya Rusak Air</v>
      </c>
      <c r="N108" s="51"/>
      <c r="O108" s="31"/>
      <c r="P108" s="31"/>
      <c r="Q108" s="196"/>
      <c r="R108" s="2389">
        <f>+R109+R110+R111+R112+R113+R114+R115+R116</f>
        <v>1152636000</v>
      </c>
      <c r="S108" s="198"/>
      <c r="T108" s="81">
        <f>+T109+T110+T111+T112+T113+T114+T115+T116</f>
        <v>952636000</v>
      </c>
      <c r="U108" s="81">
        <f>+U109+U110+U111+U112+U113+U114+U115+U116</f>
        <v>200000000</v>
      </c>
      <c r="V108" s="214"/>
      <c r="W108" s="244">
        <f>+W109+W110+W111+W112+W113+W114+W115+W116</f>
        <v>1152636000</v>
      </c>
      <c r="X108" s="81" t="s">
        <v>21</v>
      </c>
      <c r="Y108" s="229"/>
      <c r="Z108" s="2407"/>
      <c r="AA108" s="2407"/>
      <c r="AB108" s="2407"/>
      <c r="AC108" s="2401"/>
      <c r="AD108" s="2412"/>
    </row>
    <row r="109" spans="1:30" ht="27" customHeight="1">
      <c r="A109" s="10">
        <f>[2]DATA!A94</f>
        <v>77</v>
      </c>
      <c r="B109" s="10">
        <f>[2]DATA!B94</f>
        <v>0</v>
      </c>
      <c r="C109" s="10" t="str">
        <f>[2]DATA!C94</f>
        <v>INFRASTRUKTUR</v>
      </c>
      <c r="D109" s="10">
        <f>[2]DATA!D94</f>
        <v>1</v>
      </c>
      <c r="E109" s="10" t="str">
        <f>[2]DATA!E94</f>
        <v>Kementerian Pekerjaan Umum dan Perumahan Rakyat</v>
      </c>
      <c r="F109" s="10" t="str">
        <f>[2]DATA!F94</f>
        <v>Mitigation of Water Hazards Program</v>
      </c>
      <c r="G109" s="10" t="str">
        <f>[2]DATA!G94</f>
        <v>K</v>
      </c>
      <c r="H109" s="10" t="str">
        <f>[2]DATA!H94</f>
        <v>Program Mitigasi Terhadap Daya Rusak Air</v>
      </c>
      <c r="I109" s="10">
        <f>[2]DATA!I94</f>
        <v>1</v>
      </c>
      <c r="J109" s="181"/>
      <c r="K109" s="34"/>
      <c r="L109" s="35"/>
      <c r="M109" s="36">
        <v>63</v>
      </c>
      <c r="N109" s="37" t="str">
        <f>[2]DATA!J94</f>
        <v>Lower Solo River Improvement Project - Phase II</v>
      </c>
      <c r="O109" s="20">
        <f>[2]DATA!O94</f>
        <v>1</v>
      </c>
      <c r="P109" s="20">
        <f>[2]DATA!P94</f>
        <v>1</v>
      </c>
      <c r="Q109" s="186">
        <f>[2]DATA!Q94</f>
        <v>68</v>
      </c>
      <c r="R109" s="2386">
        <f>[2]DATA!R94</f>
        <v>155836000</v>
      </c>
      <c r="S109" s="1449" t="str">
        <f>[2]DATA!W94</f>
        <v>JICA</v>
      </c>
      <c r="T109" s="77">
        <f>[2]DATA!Z94</f>
        <v>155836000</v>
      </c>
      <c r="U109" s="77">
        <v>0</v>
      </c>
      <c r="V109" s="216" t="str">
        <f>[2]DATA!W94</f>
        <v>JICA</v>
      </c>
      <c r="W109" s="245">
        <f>[2]DATA!AN94</f>
        <v>155836000</v>
      </c>
      <c r="X109" s="109" t="str">
        <f>[2]DATA!AO94</f>
        <v>JICA</v>
      </c>
      <c r="Y109" s="246" t="str">
        <f>[2]DATA!AP94</f>
        <v>-</v>
      </c>
      <c r="Z109" s="2408" t="s">
        <v>568</v>
      </c>
      <c r="AA109" s="2408" t="s">
        <v>729</v>
      </c>
      <c r="AB109" s="2408"/>
      <c r="AC109" s="2391"/>
      <c r="AD109" s="2404"/>
    </row>
    <row r="110" spans="1:30" ht="32.25" customHeight="1">
      <c r="A110" s="10">
        <f>[2]DATA!A95</f>
        <v>78</v>
      </c>
      <c r="B110" s="10">
        <f>[2]DATA!B95</f>
        <v>0</v>
      </c>
      <c r="C110" s="10" t="str">
        <f>[2]DATA!C95</f>
        <v>INFRASTRUKTUR</v>
      </c>
      <c r="D110" s="10">
        <f>[2]DATA!D95</f>
        <v>1</v>
      </c>
      <c r="E110" s="10" t="str">
        <f>[2]DATA!E95</f>
        <v>Kementerian Pekerjaan Umum dan Perumahan Rakyat</v>
      </c>
      <c r="F110" s="10" t="str">
        <f>[2]DATA!F95</f>
        <v>Mitigation of Water Hazards Program</v>
      </c>
      <c r="G110" s="10" t="str">
        <f>[2]DATA!G95</f>
        <v>K</v>
      </c>
      <c r="H110" s="10" t="str">
        <f>[2]DATA!H95</f>
        <v>Program Mitigasi Terhadap Daya Rusak Air</v>
      </c>
      <c r="I110" s="10">
        <f>[2]DATA!I95</f>
        <v>2</v>
      </c>
      <c r="J110" s="181"/>
      <c r="K110" s="34"/>
      <c r="L110" s="34"/>
      <c r="M110" s="36">
        <v>64</v>
      </c>
      <c r="N110" s="37" t="str">
        <f>[2]DATA!J95</f>
        <v>Comprehensive Countermeasure for Sediment &amp; Flood Problems in South Sulawesi Province</v>
      </c>
      <c r="O110" s="20">
        <f>[2]DATA!O95</f>
        <v>1</v>
      </c>
      <c r="P110" s="20">
        <f>[2]DATA!P95</f>
        <v>1</v>
      </c>
      <c r="Q110" s="186">
        <f>[2]DATA!Q95</f>
        <v>69</v>
      </c>
      <c r="R110" s="2386">
        <f>[2]DATA!R95</f>
        <v>108100000</v>
      </c>
      <c r="S110" s="1449" t="str">
        <f>[2]DATA!W95</f>
        <v>JICA</v>
      </c>
      <c r="T110" s="77">
        <f>[2]DATA!Z95</f>
        <v>108100000</v>
      </c>
      <c r="U110" s="77">
        <v>0</v>
      </c>
      <c r="V110" s="216" t="str">
        <f>[2]DATA!W95</f>
        <v>JICA</v>
      </c>
      <c r="W110" s="245">
        <f>[2]DATA!AN95</f>
        <v>108100000</v>
      </c>
      <c r="X110" s="109" t="str">
        <f>[2]DATA!AO95</f>
        <v>JICA</v>
      </c>
      <c r="Y110" s="246" t="str">
        <f>[2]DATA!AP95</f>
        <v>-</v>
      </c>
      <c r="Z110" s="2408" t="s">
        <v>614</v>
      </c>
      <c r="AA110" s="2408" t="s">
        <v>603</v>
      </c>
      <c r="AB110" s="2408"/>
      <c r="AC110" s="2391"/>
      <c r="AD110" s="2404"/>
    </row>
    <row r="111" spans="1:30" ht="32.25" customHeight="1">
      <c r="A111" s="10">
        <f>[2]DATA!A96</f>
        <v>79</v>
      </c>
      <c r="B111" s="10">
        <f>[2]DATA!B96</f>
        <v>0</v>
      </c>
      <c r="C111" s="10" t="str">
        <f>[2]DATA!C96</f>
        <v>INFRASTRUKTUR</v>
      </c>
      <c r="D111" s="10">
        <f>[2]DATA!D96</f>
        <v>1</v>
      </c>
      <c r="E111" s="10" t="str">
        <f>[2]DATA!E96</f>
        <v>Kementerian Pekerjaan Umum dan Perumahan Rakyat</v>
      </c>
      <c r="F111" s="10" t="str">
        <f>[2]DATA!F96</f>
        <v>Mitigation of Water Hazards Program</v>
      </c>
      <c r="G111" s="10" t="str">
        <f>[2]DATA!G96</f>
        <v>K</v>
      </c>
      <c r="H111" s="10" t="str">
        <f>[2]DATA!H96</f>
        <v>Program Mitigasi Terhadap Daya Rusak Air</v>
      </c>
      <c r="I111" s="10">
        <f>[2]DATA!I96</f>
        <v>3</v>
      </c>
      <c r="J111" s="181"/>
      <c r="K111" s="34"/>
      <c r="L111" s="34"/>
      <c r="M111" s="36">
        <v>65</v>
      </c>
      <c r="N111" s="37" t="str">
        <f>[2]DATA!J96</f>
        <v>Bali Beach Conservation Project - Phase II</v>
      </c>
      <c r="O111" s="20">
        <f>[2]DATA!O96</f>
        <v>1</v>
      </c>
      <c r="P111" s="20">
        <f>[2]DATA!P96</f>
        <v>1</v>
      </c>
      <c r="Q111" s="186">
        <f>[2]DATA!Q96</f>
        <v>70</v>
      </c>
      <c r="R111" s="2386">
        <f>[2]DATA!R96</f>
        <v>150000000</v>
      </c>
      <c r="S111" s="1449" t="str">
        <f>[2]DATA!W96</f>
        <v>JICA</v>
      </c>
      <c r="T111" s="77">
        <f>[2]DATA!Z96</f>
        <v>150000000</v>
      </c>
      <c r="U111" s="77">
        <v>0</v>
      </c>
      <c r="V111" s="216" t="str">
        <f>[2]DATA!W96</f>
        <v>JICA</v>
      </c>
      <c r="W111" s="245">
        <f>[2]DATA!AN96</f>
        <v>150000000</v>
      </c>
      <c r="X111" s="109" t="str">
        <f>[2]DATA!AO96</f>
        <v>JICA</v>
      </c>
      <c r="Y111" s="246" t="str">
        <f>[2]DATA!AP96</f>
        <v>-</v>
      </c>
      <c r="Z111" s="2408" t="s">
        <v>675</v>
      </c>
      <c r="AA111" s="2408" t="s">
        <v>603</v>
      </c>
      <c r="AB111" s="2408"/>
      <c r="AC111" s="2391"/>
      <c r="AD111" s="2404"/>
    </row>
    <row r="112" spans="1:30" ht="30.75" customHeight="1">
      <c r="A112" s="10">
        <f>[2]DATA!A97</f>
        <v>80</v>
      </c>
      <c r="B112" s="10">
        <f>[2]DATA!B97</f>
        <v>0</v>
      </c>
      <c r="C112" s="10" t="str">
        <f>[2]DATA!C97</f>
        <v>INFRASTRUKTUR</v>
      </c>
      <c r="D112" s="10">
        <f>[2]DATA!D97</f>
        <v>1</v>
      </c>
      <c r="E112" s="10" t="str">
        <f>[2]DATA!E97</f>
        <v>Kementerian Pekerjaan Umum dan Perumahan Rakyat</v>
      </c>
      <c r="F112" s="10" t="str">
        <f>[2]DATA!F97</f>
        <v>Mitigation of Water Hazards Program</v>
      </c>
      <c r="G112" s="10" t="str">
        <f>[2]DATA!G97</f>
        <v>K</v>
      </c>
      <c r="H112" s="10" t="str">
        <f>[2]DATA!H97</f>
        <v>Program Mitigasi Terhadap Daya Rusak Air</v>
      </c>
      <c r="I112" s="10">
        <f>[2]DATA!I97</f>
        <v>4</v>
      </c>
      <c r="J112" s="181"/>
      <c r="K112" s="34"/>
      <c r="L112" s="34"/>
      <c r="M112" s="36">
        <v>66</v>
      </c>
      <c r="N112" s="37" t="str">
        <f>[2]DATA!J97</f>
        <v>Urgent Disaster Reduction of Mt. Sinabung, Mt. Semeru, Mt. Kelud Mt. Lokon, and Mt. Gamalama</v>
      </c>
      <c r="O112" s="20">
        <f>[2]DATA!O97</f>
        <v>1</v>
      </c>
      <c r="P112" s="20">
        <f>[2]DATA!P97</f>
        <v>1</v>
      </c>
      <c r="Q112" s="186">
        <f>[2]DATA!Q97</f>
        <v>71</v>
      </c>
      <c r="R112" s="2386">
        <f>[2]DATA!R97</f>
        <v>260000000</v>
      </c>
      <c r="S112" s="1449" t="str">
        <f>[2]DATA!W97</f>
        <v>JICA</v>
      </c>
      <c r="T112" s="77">
        <f>[2]DATA!Z97</f>
        <v>260000000</v>
      </c>
      <c r="U112" s="77">
        <v>0</v>
      </c>
      <c r="V112" s="216" t="str">
        <f>[2]DATA!W97</f>
        <v>JICA</v>
      </c>
      <c r="W112" s="245">
        <f>[2]DATA!AN97</f>
        <v>260000000</v>
      </c>
      <c r="X112" s="109" t="str">
        <f>[2]DATA!AO97</f>
        <v>JICA</v>
      </c>
      <c r="Y112" s="246" t="str">
        <f>[2]DATA!AP97</f>
        <v>-</v>
      </c>
      <c r="Z112" s="2408" t="s">
        <v>568</v>
      </c>
      <c r="AA112" s="2408" t="s">
        <v>654</v>
      </c>
      <c r="AB112" s="2408"/>
      <c r="AC112" s="2391"/>
      <c r="AD112" s="2404"/>
    </row>
    <row r="113" spans="1:30" ht="33" customHeight="1">
      <c r="A113" s="10">
        <f>[2]DATA!A98</f>
        <v>81</v>
      </c>
      <c r="B113" s="10">
        <f>[2]DATA!B98</f>
        <v>0</v>
      </c>
      <c r="C113" s="10" t="str">
        <f>[2]DATA!C98</f>
        <v>INFRASTRUKTUR</v>
      </c>
      <c r="D113" s="10">
        <f>[2]DATA!D98</f>
        <v>1</v>
      </c>
      <c r="E113" s="10" t="str">
        <f>[2]DATA!E98</f>
        <v>Kementerian Pekerjaan Umum dan Perumahan Rakyat</v>
      </c>
      <c r="F113" s="10" t="str">
        <f>[2]DATA!F98</f>
        <v>Mitigation of Water Hazards Program</v>
      </c>
      <c r="G113" s="10" t="str">
        <f>[2]DATA!G98</f>
        <v>K</v>
      </c>
      <c r="H113" s="10" t="str">
        <f>[2]DATA!H98</f>
        <v>Program Mitigasi Terhadap Daya Rusak Air</v>
      </c>
      <c r="I113" s="10">
        <f>[2]DATA!I98</f>
        <v>5</v>
      </c>
      <c r="J113" s="181"/>
      <c r="K113" s="34"/>
      <c r="L113" s="34"/>
      <c r="M113" s="36">
        <v>67</v>
      </c>
      <c r="N113" s="37" t="str">
        <f>[2]DATA!J98</f>
        <v>Urban Flood Control System Improvement in Selected Cities -Phase II</v>
      </c>
      <c r="O113" s="20">
        <f>[2]DATA!O98</f>
        <v>1</v>
      </c>
      <c r="P113" s="20">
        <f>[2]DATA!P98</f>
        <v>1</v>
      </c>
      <c r="Q113" s="186">
        <f>[2]DATA!Q98</f>
        <v>72</v>
      </c>
      <c r="R113" s="2386">
        <f>[2]DATA!R98</f>
        <v>120000000</v>
      </c>
      <c r="S113" s="1449" t="str">
        <f>[2]DATA!W98</f>
        <v>JICA</v>
      </c>
      <c r="T113" s="77">
        <f>[2]DATA!Z98</f>
        <v>120000000</v>
      </c>
      <c r="U113" s="77">
        <v>0</v>
      </c>
      <c r="V113" s="216" t="str">
        <f>[2]DATA!W98</f>
        <v>JICA</v>
      </c>
      <c r="W113" s="245">
        <f>[2]DATA!AN98</f>
        <v>120000000</v>
      </c>
      <c r="X113" s="109" t="str">
        <f>[2]DATA!AO98</f>
        <v>JICA</v>
      </c>
      <c r="Y113" s="246" t="str">
        <f>[2]DATA!AP98</f>
        <v>-</v>
      </c>
      <c r="Z113" s="2408" t="s">
        <v>568</v>
      </c>
      <c r="AA113" s="2408" t="s">
        <v>729</v>
      </c>
      <c r="AB113" s="2408"/>
      <c r="AC113" s="2391"/>
      <c r="AD113" s="2404"/>
    </row>
    <row r="114" spans="1:30" ht="34.5" customHeight="1">
      <c r="A114" s="10">
        <f>[2]DATA!A99</f>
        <v>82</v>
      </c>
      <c r="B114" s="10">
        <f>[2]DATA!B99</f>
        <v>0</v>
      </c>
      <c r="C114" s="10" t="str">
        <f>[2]DATA!C99</f>
        <v>INFRASTRUKTUR</v>
      </c>
      <c r="D114" s="10">
        <f>[2]DATA!D99</f>
        <v>1</v>
      </c>
      <c r="E114" s="10" t="str">
        <f>[2]DATA!E99</f>
        <v>Kementerian Pekerjaan Umum dan Perumahan Rakyat</v>
      </c>
      <c r="F114" s="10" t="str">
        <f>[2]DATA!F99</f>
        <v>Mitigation of Water Hazards Program</v>
      </c>
      <c r="G114" s="10" t="str">
        <f>[2]DATA!G99</f>
        <v>K</v>
      </c>
      <c r="H114" s="10" t="str">
        <f>[2]DATA!H99</f>
        <v>Program Mitigasi Terhadap Daya Rusak Air</v>
      </c>
      <c r="I114" s="10">
        <f>[2]DATA!I99</f>
        <v>6</v>
      </c>
      <c r="J114" s="181"/>
      <c r="K114" s="34"/>
      <c r="L114" s="34"/>
      <c r="M114" s="36">
        <v>68</v>
      </c>
      <c r="N114" s="37" t="str">
        <f>[2]DATA!J99</f>
        <v>Engineering Service for Coastal and River Development Project</v>
      </c>
      <c r="O114" s="20">
        <f>[2]DATA!O99</f>
        <v>1</v>
      </c>
      <c r="P114" s="20">
        <f>[2]DATA!P99</f>
        <v>1</v>
      </c>
      <c r="Q114" s="186">
        <f>[2]DATA!Q99</f>
        <v>73</v>
      </c>
      <c r="R114" s="2386">
        <f>[2]DATA!R99</f>
        <v>50000000</v>
      </c>
      <c r="S114" s="1449" t="str">
        <f>[2]DATA!W99</f>
        <v>ADB</v>
      </c>
      <c r="T114" s="77">
        <f>[2]DATA!Z99</f>
        <v>50000000</v>
      </c>
      <c r="U114" s="77">
        <v>0</v>
      </c>
      <c r="V114" s="216" t="str">
        <f>[2]DATA!W99</f>
        <v>ADB</v>
      </c>
      <c r="W114" s="245">
        <f>[2]DATA!AN99</f>
        <v>50000000</v>
      </c>
      <c r="X114" s="109" t="str">
        <f>[2]DATA!AO99</f>
        <v>ADB</v>
      </c>
      <c r="Y114" s="246" t="str">
        <f>[2]DATA!AP99</f>
        <v>masuk rolling plan EDCF (Korea)</v>
      </c>
      <c r="Z114" s="2408" t="s">
        <v>568</v>
      </c>
      <c r="AA114" s="2408" t="s">
        <v>645</v>
      </c>
      <c r="AB114" s="2408"/>
      <c r="AC114" s="2391"/>
      <c r="AD114" s="2404"/>
    </row>
    <row r="115" spans="1:30" ht="33.75" customHeight="1">
      <c r="A115" s="10">
        <f>[2]DATA!A101</f>
        <v>83</v>
      </c>
      <c r="B115" s="10">
        <f>[2]DATA!B101</f>
        <v>0</v>
      </c>
      <c r="C115" s="10" t="str">
        <f>[2]DATA!C101</f>
        <v>INFRASTRUKTUR</v>
      </c>
      <c r="D115" s="10">
        <f>[2]DATA!D101</f>
        <v>1</v>
      </c>
      <c r="E115" s="10" t="str">
        <f>[2]DATA!E101</f>
        <v>Kementerian Pekerjaan Umum dan Perumahan Rakyat</v>
      </c>
      <c r="F115" s="10" t="str">
        <f>[2]DATA!F101</f>
        <v>Mitigation of Water Hazards Program</v>
      </c>
      <c r="G115" s="10" t="str">
        <f>[2]DATA!G101</f>
        <v>K</v>
      </c>
      <c r="H115" s="10" t="str">
        <f>[2]DATA!H101</f>
        <v>Program Mitigasi Terhadap Daya Rusak Air</v>
      </c>
      <c r="I115" s="10">
        <f>[2]DATA!I101</f>
        <v>7</v>
      </c>
      <c r="J115" s="181"/>
      <c r="K115" s="34"/>
      <c r="L115" s="34"/>
      <c r="M115" s="36">
        <v>69</v>
      </c>
      <c r="N115" s="37" t="str">
        <f>[2]DATA!J101</f>
        <v>Flood Management in Selected River Basins Sector Project (Additional Financing)</v>
      </c>
      <c r="O115" s="20">
        <f>[2]DATA!O101</f>
        <v>1</v>
      </c>
      <c r="P115" s="20">
        <f>[2]DATA!P101</f>
        <v>1</v>
      </c>
      <c r="Q115" s="186">
        <f>[2]DATA!Q101</f>
        <v>74</v>
      </c>
      <c r="R115" s="2386">
        <f>[2]DATA!R101</f>
        <v>200000000</v>
      </c>
      <c r="S115" s="1449" t="str">
        <f>[2]DATA!W101</f>
        <v>Belum Ada Indikasi</v>
      </c>
      <c r="T115" s="77">
        <v>0</v>
      </c>
      <c r="U115" s="77">
        <f>[2]DATA!Z101</f>
        <v>200000000</v>
      </c>
      <c r="V115" s="216" t="str">
        <f>[2]DATA!W101</f>
        <v>Belum Ada Indikasi</v>
      </c>
      <c r="W115" s="245">
        <f>[2]DATA!AN101</f>
        <v>200000000</v>
      </c>
      <c r="X115" s="109" t="str">
        <f>[2]DATA!AO101</f>
        <v>ADB</v>
      </c>
      <c r="Y115" s="246" t="str">
        <f>[2]DATA!AP101</f>
        <v>sudah masuk COBP ADB</v>
      </c>
      <c r="Z115" s="2408" t="s">
        <v>603</v>
      </c>
      <c r="AA115" s="2408" t="s">
        <v>603</v>
      </c>
      <c r="AB115" s="2408"/>
      <c r="AC115" s="2391"/>
      <c r="AD115" s="2404"/>
    </row>
    <row r="116" spans="1:30" ht="27" customHeight="1">
      <c r="A116" s="10">
        <f>[2]DATA!A102</f>
        <v>84</v>
      </c>
      <c r="B116" s="10">
        <f>[2]DATA!B102</f>
        <v>0</v>
      </c>
      <c r="C116" s="10" t="str">
        <f>[2]DATA!C102</f>
        <v>INFRASTRUKTUR</v>
      </c>
      <c r="D116" s="10">
        <f>[2]DATA!D102</f>
        <v>1</v>
      </c>
      <c r="E116" s="10" t="str">
        <f>[2]DATA!E102</f>
        <v>Kementerian Pekerjaan Umum dan Perumahan Rakyat</v>
      </c>
      <c r="F116" s="10" t="str">
        <f>[2]DATA!F102</f>
        <v>Mitigation of Water Hazards Program</v>
      </c>
      <c r="G116" s="10" t="str">
        <f>[2]DATA!G102</f>
        <v>K</v>
      </c>
      <c r="H116" s="10" t="str">
        <f>[2]DATA!H102</f>
        <v>Program Mitigasi Terhadap Daya Rusak Air</v>
      </c>
      <c r="I116" s="10">
        <f>[2]DATA!I102</f>
        <v>7</v>
      </c>
      <c r="J116" s="181"/>
      <c r="K116" s="34"/>
      <c r="L116" s="54"/>
      <c r="M116" s="36">
        <v>70</v>
      </c>
      <c r="N116" s="37" t="str">
        <f>[2]DATA!J102</f>
        <v>Flood Management in Selected River Basins</v>
      </c>
      <c r="O116" s="20">
        <f>[2]DATA!O102</f>
        <v>1</v>
      </c>
      <c r="P116" s="20">
        <f>[2]DATA!P102</f>
        <v>1</v>
      </c>
      <c r="Q116" s="186">
        <f>[2]DATA!Q102</f>
        <v>75</v>
      </c>
      <c r="R116" s="2386">
        <f>[2]DATA!R102</f>
        <v>108700000</v>
      </c>
      <c r="S116" s="1449" t="str">
        <f>[2]DATA!W102</f>
        <v>ADB</v>
      </c>
      <c r="T116" s="77">
        <f>[2]DATA!Z102</f>
        <v>108700000</v>
      </c>
      <c r="U116" s="77">
        <v>0</v>
      </c>
      <c r="V116" s="216" t="str">
        <f>[2]DATA!W102</f>
        <v>ADB</v>
      </c>
      <c r="W116" s="245">
        <f>[2]DATA!AN102</f>
        <v>108700000</v>
      </c>
      <c r="X116" s="109" t="str">
        <f>[2]DATA!AO102</f>
        <v>ADB</v>
      </c>
      <c r="Y116" s="246" t="str">
        <f>[2]DATA!AP102</f>
        <v>-</v>
      </c>
      <c r="Z116" s="2408" t="s">
        <v>614</v>
      </c>
      <c r="AA116" s="2408" t="s">
        <v>654</v>
      </c>
      <c r="AB116" s="2408"/>
      <c r="AC116" s="2391"/>
      <c r="AD116" s="2404"/>
    </row>
    <row r="117" spans="1:30" s="5" customFormat="1" ht="33.75" customHeight="1">
      <c r="J117" s="180"/>
      <c r="K117" s="50"/>
      <c r="L117" s="30" t="str">
        <f>[2]DATA!G103</f>
        <v>L</v>
      </c>
      <c r="M117" s="3427" t="str">
        <f>[2]DATA!H103</f>
        <v>Program Pengelolaan Infrastruktur Sumber Daya Air</v>
      </c>
      <c r="N117" s="3428"/>
      <c r="O117" s="31"/>
      <c r="P117" s="31"/>
      <c r="Q117" s="196"/>
      <c r="R117" s="2389">
        <f>+R118+R119+R120</f>
        <v>650000000</v>
      </c>
      <c r="S117" s="1539"/>
      <c r="T117" s="81">
        <f t="shared" ref="T117:W117" si="10">+T118+T119+T120</f>
        <v>600000000</v>
      </c>
      <c r="U117" s="81">
        <f t="shared" si="10"/>
        <v>50000000</v>
      </c>
      <c r="V117" s="214"/>
      <c r="W117" s="244">
        <f t="shared" si="10"/>
        <v>650000000</v>
      </c>
      <c r="X117" s="81" t="s">
        <v>21</v>
      </c>
      <c r="Y117" s="229"/>
      <c r="Z117" s="2407"/>
      <c r="AA117" s="2407"/>
      <c r="AB117" s="2407"/>
      <c r="AC117" s="2401"/>
      <c r="AD117" s="2402"/>
    </row>
    <row r="118" spans="1:30" ht="45.75" customHeight="1">
      <c r="A118" s="10">
        <f>[2]DATA!A103</f>
        <v>85</v>
      </c>
      <c r="B118" s="10">
        <f>[2]DATA!B103</f>
        <v>0</v>
      </c>
      <c r="C118" s="10" t="str">
        <f>[2]DATA!C103</f>
        <v>INFRASTRUKTUR</v>
      </c>
      <c r="D118" s="10">
        <f>[2]DATA!D103</f>
        <v>1</v>
      </c>
      <c r="E118" s="10" t="str">
        <f>[2]DATA!E103</f>
        <v>Kementerian Pekerjaan Umum dan Perumahan Rakyat</v>
      </c>
      <c r="F118" s="10" t="str">
        <f>[2]DATA!F103</f>
        <v>Management of Water Resources Infrastructure Program</v>
      </c>
      <c r="G118" s="10" t="str">
        <f>[2]DATA!G103</f>
        <v>L</v>
      </c>
      <c r="H118" s="10" t="str">
        <f>[2]DATA!H103</f>
        <v>Program Pengelolaan Infrastruktur Sumber Daya Air</v>
      </c>
      <c r="I118" s="10">
        <f>[2]DATA!I103</f>
        <v>1</v>
      </c>
      <c r="J118" s="181"/>
      <c r="K118" s="34"/>
      <c r="L118" s="35"/>
      <c r="M118" s="36">
        <v>71</v>
      </c>
      <c r="N118" s="37" t="str">
        <f>[2]DATA!J103</f>
        <v>Dam Operational Improvement and Safety Project (DOISP) - Phase II</v>
      </c>
      <c r="O118" s="20">
        <f>[2]DATA!O103</f>
        <v>1</v>
      </c>
      <c r="P118" s="20">
        <f>[2]DATA!P103</f>
        <v>1</v>
      </c>
      <c r="Q118" s="186">
        <f>[2]DATA!Q103</f>
        <v>76</v>
      </c>
      <c r="R118" s="2386">
        <f>[2]DATA!R103</f>
        <v>250000000</v>
      </c>
      <c r="S118" s="1449" t="str">
        <f>[2]DATA!W103</f>
        <v>Bank Dunia</v>
      </c>
      <c r="T118" s="77">
        <f>[2]DATA!Z103</f>
        <v>250000000</v>
      </c>
      <c r="U118" s="77">
        <v>0</v>
      </c>
      <c r="V118" s="216" t="str">
        <f>[2]DATA!W103</f>
        <v>Bank Dunia</v>
      </c>
      <c r="W118" s="245">
        <f>[2]DATA!AN103</f>
        <v>250000000</v>
      </c>
      <c r="X118" s="109" t="str">
        <f>[2]DATA!AO103</f>
        <v>Bank Dunia</v>
      </c>
      <c r="Y118" s="246" t="str">
        <f>[2]DATA!AP103</f>
        <v>-</v>
      </c>
      <c r="Z118" s="2408" t="s">
        <v>675</v>
      </c>
      <c r="AA118" s="2408" t="s">
        <v>603</v>
      </c>
      <c r="AB118" s="2408"/>
      <c r="AC118" s="2391"/>
      <c r="AD118" s="2404"/>
    </row>
    <row r="119" spans="1:30" ht="39.75" customHeight="1">
      <c r="A119" s="10">
        <f>[2]DATA!A104</f>
        <v>86</v>
      </c>
      <c r="B119" s="10">
        <f>[2]DATA!B104</f>
        <v>0</v>
      </c>
      <c r="C119" s="10" t="str">
        <f>[2]DATA!C104</f>
        <v>INFRASTRUKTUR</v>
      </c>
      <c r="D119" s="10">
        <f>[2]DATA!D104</f>
        <v>1</v>
      </c>
      <c r="E119" s="10" t="str">
        <f>[2]DATA!E104</f>
        <v>Kementerian Pekerjaan Umum dan Perumahan Rakyat</v>
      </c>
      <c r="F119" s="10" t="str">
        <f>[2]DATA!F104</f>
        <v>Management of Water Resources Infrastructure Program</v>
      </c>
      <c r="G119" s="10" t="str">
        <f>[2]DATA!G104</f>
        <v>L</v>
      </c>
      <c r="H119" s="10" t="str">
        <f>[2]DATA!H104</f>
        <v>Program Pengelolaan Infrastruktur Sumber Daya Air</v>
      </c>
      <c r="I119" s="10">
        <f>[2]DATA!I104</f>
        <v>2</v>
      </c>
      <c r="J119" s="181"/>
      <c r="K119" s="34"/>
      <c r="L119" s="34"/>
      <c r="M119" s="36">
        <v>72</v>
      </c>
      <c r="N119" s="37" t="str">
        <f>[2]DATA!J104</f>
        <v>Enhanced Water Security Investment Program</v>
      </c>
      <c r="O119" s="20">
        <f>[2]DATA!O104</f>
        <v>1</v>
      </c>
      <c r="P119" s="20">
        <f>[2]DATA!P104</f>
        <v>1</v>
      </c>
      <c r="Q119" s="186">
        <f>[2]DATA!Q104</f>
        <v>77</v>
      </c>
      <c r="R119" s="2386">
        <f>[2]DATA!R104</f>
        <v>350000000</v>
      </c>
      <c r="S119" s="1449" t="str">
        <f>[2]DATA!W104</f>
        <v>ADB</v>
      </c>
      <c r="T119" s="77">
        <f>[2]DATA!Z104</f>
        <v>350000000</v>
      </c>
      <c r="U119" s="77">
        <v>0</v>
      </c>
      <c r="V119" s="216" t="str">
        <f>[2]DATA!W104</f>
        <v>ADB</v>
      </c>
      <c r="W119" s="245">
        <f>[2]DATA!AN104</f>
        <v>350000000</v>
      </c>
      <c r="X119" s="109" t="str">
        <f>[2]DATA!AO104</f>
        <v>ADB</v>
      </c>
      <c r="Y119" s="246" t="str">
        <f>[2]DATA!AP104</f>
        <v>-</v>
      </c>
      <c r="Z119" s="2408" t="s">
        <v>603</v>
      </c>
      <c r="AA119" s="2408" t="s">
        <v>603</v>
      </c>
      <c r="AB119" s="2408"/>
      <c r="AC119" s="2391"/>
      <c r="AD119" s="2404"/>
    </row>
    <row r="120" spans="1:30" ht="44.25" customHeight="1">
      <c r="A120" s="10">
        <f>[2]DATA!A105</f>
        <v>87</v>
      </c>
      <c r="B120" s="10">
        <f>[2]DATA!B105</f>
        <v>0</v>
      </c>
      <c r="C120" s="10" t="str">
        <f>[2]DATA!C105</f>
        <v>INFRASTRUKTUR</v>
      </c>
      <c r="D120" s="10">
        <f>[2]DATA!D105</f>
        <v>1</v>
      </c>
      <c r="E120" s="10" t="str">
        <f>[2]DATA!E105</f>
        <v>Kementerian Pekerjaan Umum dan Perumahan Rakyat</v>
      </c>
      <c r="F120" s="10" t="str">
        <f>[2]DATA!F105</f>
        <v>Management of Water Resources Infrastructure Program</v>
      </c>
      <c r="G120" s="10" t="str">
        <f>[2]DATA!G105</f>
        <v>L</v>
      </c>
      <c r="H120" s="10" t="str">
        <f>[2]DATA!H105</f>
        <v>Program Pengelolaan Infrastruktur Sumber Daya Air</v>
      </c>
      <c r="I120" s="10">
        <f>[2]DATA!I105</f>
        <v>3</v>
      </c>
      <c r="J120" s="181"/>
      <c r="K120" s="34"/>
      <c r="L120" s="54"/>
      <c r="M120" s="36">
        <v>73</v>
      </c>
      <c r="N120" s="37" t="str">
        <f>[2]DATA!J105</f>
        <v>Engineering Service for Water Resources Infrastructure Management</v>
      </c>
      <c r="O120" s="20">
        <f>[2]DATA!O105</f>
        <v>1</v>
      </c>
      <c r="P120" s="20">
        <f>[2]DATA!P105</f>
        <v>1</v>
      </c>
      <c r="Q120" s="186">
        <f>[2]DATA!Q105</f>
        <v>78</v>
      </c>
      <c r="R120" s="2386">
        <f>[2]DATA!R105</f>
        <v>50000000</v>
      </c>
      <c r="S120" s="1449" t="str">
        <f>[2]DATA!W105</f>
        <v>Belum Ada Indikasi</v>
      </c>
      <c r="T120" s="77">
        <v>0</v>
      </c>
      <c r="U120" s="77">
        <f>[2]DATA!Z105</f>
        <v>50000000</v>
      </c>
      <c r="V120" s="216" t="str">
        <f>[2]DATA!W105</f>
        <v>Belum Ada Indikasi</v>
      </c>
      <c r="W120" s="245">
        <f>[2]DATA!AN105</f>
        <v>50000000</v>
      </c>
      <c r="X120" s="109" t="str">
        <f>[2]DATA!AO105</f>
        <v>ADB</v>
      </c>
      <c r="Y120" s="246" t="str">
        <f>[2]DATA!AP105</f>
        <v>sudah masuk COBP ADB</v>
      </c>
      <c r="Z120" s="2408" t="s">
        <v>603</v>
      </c>
      <c r="AA120" s="2408" t="s">
        <v>603</v>
      </c>
      <c r="AB120" s="2408"/>
      <c r="AC120" s="2391"/>
      <c r="AD120" s="2404"/>
    </row>
    <row r="121" spans="1:30" ht="34.5" customHeight="1">
      <c r="J121" s="181"/>
      <c r="K121" s="54"/>
      <c r="L121" s="30" t="s">
        <v>1093</v>
      </c>
      <c r="M121" s="31" t="s">
        <v>858</v>
      </c>
      <c r="N121" s="51"/>
      <c r="O121" s="197">
        <f>O122</f>
        <v>0</v>
      </c>
      <c r="P121" s="197">
        <f>P122</f>
        <v>0</v>
      </c>
      <c r="Q121" s="186"/>
      <c r="R121" s="2389">
        <f>R122</f>
        <v>300000000</v>
      </c>
      <c r="S121" s="1449"/>
      <c r="T121" s="77"/>
      <c r="U121" s="77"/>
      <c r="V121" s="216"/>
      <c r="W121" s="245"/>
      <c r="X121" s="109"/>
      <c r="Y121" s="246"/>
      <c r="Z121" s="2408"/>
      <c r="AA121" s="2408"/>
      <c r="AB121" s="2408"/>
      <c r="AC121" s="2401"/>
    </row>
    <row r="122" spans="1:30" ht="34.5" customHeight="1">
      <c r="J122" s="181"/>
      <c r="K122" s="54"/>
      <c r="L122" s="20"/>
      <c r="M122" s="36">
        <v>74</v>
      </c>
      <c r="N122" s="2411" t="s">
        <v>859</v>
      </c>
      <c r="O122" s="20"/>
      <c r="P122" s="20"/>
      <c r="Q122" s="186"/>
      <c r="R122" s="2386">
        <v>300000000</v>
      </c>
      <c r="S122" s="1449"/>
      <c r="T122" s="77"/>
      <c r="U122" s="77"/>
      <c r="V122" s="216"/>
      <c r="W122" s="245"/>
      <c r="X122" s="109"/>
      <c r="Y122" s="246"/>
      <c r="Z122" s="2408"/>
      <c r="AA122" s="2408"/>
      <c r="AB122" s="2408"/>
      <c r="AC122" s="2391" t="s">
        <v>1271</v>
      </c>
    </row>
    <row r="123" spans="1:30" ht="33.75" customHeight="1">
      <c r="J123" s="181"/>
      <c r="K123" s="54"/>
      <c r="L123" s="30" t="s">
        <v>1094</v>
      </c>
      <c r="M123" s="31" t="s">
        <v>245</v>
      </c>
      <c r="N123" s="51"/>
      <c r="O123" s="197">
        <f>O124</f>
        <v>300000000</v>
      </c>
      <c r="P123" s="197">
        <f>P124</f>
        <v>450000000</v>
      </c>
      <c r="Q123" s="186"/>
      <c r="R123" s="2389">
        <f>R124</f>
        <v>450000000</v>
      </c>
      <c r="S123" s="1449"/>
      <c r="T123" s="77"/>
      <c r="U123" s="77"/>
      <c r="V123" s="216"/>
      <c r="W123" s="245"/>
      <c r="X123" s="109"/>
      <c r="Y123" s="246"/>
      <c r="Z123" s="2408"/>
      <c r="AA123" s="2408"/>
      <c r="AB123" s="2408"/>
      <c r="AC123" s="2401"/>
    </row>
    <row r="124" spans="1:30" ht="51.75" customHeight="1">
      <c r="J124" s="181"/>
      <c r="K124" s="54"/>
      <c r="L124" s="20"/>
      <c r="M124" s="36">
        <v>75</v>
      </c>
      <c r="N124" s="2411" t="s">
        <v>861</v>
      </c>
      <c r="O124" s="187">
        <v>300000000</v>
      </c>
      <c r="P124" s="187">
        <v>450000000</v>
      </c>
      <c r="Q124" s="186"/>
      <c r="R124" s="2386">
        <v>450000000</v>
      </c>
      <c r="S124" s="1449"/>
      <c r="T124" s="77"/>
      <c r="U124" s="77"/>
      <c r="V124" s="216"/>
      <c r="W124" s="245"/>
      <c r="X124" s="109"/>
      <c r="Y124" s="246"/>
      <c r="Z124" s="2408"/>
      <c r="AA124" s="2408"/>
      <c r="AB124" s="2408"/>
      <c r="AC124" s="2406" t="s">
        <v>1272</v>
      </c>
    </row>
    <row r="125" spans="1:30" s="4" customFormat="1" ht="24.95" customHeight="1">
      <c r="J125" s="250"/>
      <c r="K125" s="25">
        <f>[2]DATA!D107</f>
        <v>2</v>
      </c>
      <c r="L125" s="108" t="str">
        <f>[2]DATA!E107</f>
        <v>PERUMNAS</v>
      </c>
      <c r="M125" s="26"/>
      <c r="N125" s="27"/>
      <c r="O125" s="26"/>
      <c r="P125" s="26"/>
      <c r="Q125" s="193"/>
      <c r="R125" s="2388">
        <f>+R126</f>
        <v>200000000</v>
      </c>
      <c r="S125" s="1549"/>
      <c r="T125" s="80">
        <f t="shared" ref="T125:Y126" si="11">+T126</f>
        <v>200000000</v>
      </c>
      <c r="U125" s="80">
        <f t="shared" si="11"/>
        <v>0</v>
      </c>
      <c r="V125" s="213">
        <f t="shared" si="11"/>
        <v>0</v>
      </c>
      <c r="W125" s="242">
        <f t="shared" si="11"/>
        <v>200000000</v>
      </c>
      <c r="X125" s="80" t="str">
        <f t="shared" si="11"/>
        <v>-</v>
      </c>
      <c r="Y125" s="227" t="str">
        <f t="shared" si="11"/>
        <v>-</v>
      </c>
      <c r="Z125" s="2413"/>
      <c r="AA125" s="2413"/>
      <c r="AB125" s="2413"/>
      <c r="AC125" s="2399"/>
    </row>
    <row r="126" spans="1:30" s="5" customFormat="1" ht="33.75" customHeight="1">
      <c r="J126" s="180"/>
      <c r="K126" s="29"/>
      <c r="L126" s="30" t="str">
        <f>[2]DATA!G107</f>
        <v>A</v>
      </c>
      <c r="M126" s="31" t="str">
        <f>[2]DATA!H107</f>
        <v>Program Penyediaaan Perumahan Bagi MBR</v>
      </c>
      <c r="N126" s="51"/>
      <c r="O126" s="31"/>
      <c r="P126" s="31"/>
      <c r="Q126" s="196"/>
      <c r="R126" s="2389">
        <f>+R127</f>
        <v>200000000</v>
      </c>
      <c r="S126" s="1539"/>
      <c r="T126" s="81">
        <f t="shared" si="11"/>
        <v>200000000</v>
      </c>
      <c r="U126" s="81">
        <f t="shared" si="11"/>
        <v>0</v>
      </c>
      <c r="V126" s="214"/>
      <c r="W126" s="244">
        <f t="shared" si="11"/>
        <v>200000000</v>
      </c>
      <c r="X126" s="81" t="s">
        <v>21</v>
      </c>
      <c r="Y126" s="229" t="str">
        <f t="shared" si="11"/>
        <v>-</v>
      </c>
      <c r="Z126" s="2407"/>
      <c r="AA126" s="2407"/>
      <c r="AB126" s="2407"/>
      <c r="AC126" s="2401"/>
    </row>
    <row r="127" spans="1:30" ht="35.25" customHeight="1">
      <c r="A127" s="10">
        <f>[2]DATA!A107</f>
        <v>89</v>
      </c>
      <c r="B127" s="10">
        <f>[2]DATA!B107</f>
        <v>0</v>
      </c>
      <c r="C127" s="10" t="str">
        <f>[2]DATA!C107</f>
        <v>INFRASTRUKTUR</v>
      </c>
      <c r="D127" s="10">
        <f>[2]DATA!D107</f>
        <v>2</v>
      </c>
      <c r="E127" s="10" t="str">
        <f>[2]DATA!E107</f>
        <v>PERUMNAS</v>
      </c>
      <c r="F127" s="10" t="str">
        <f>[2]DATA!F107</f>
        <v>Program for Provision of Housing For Low-Income Households</v>
      </c>
      <c r="G127" s="10" t="str">
        <f>[2]DATA!G107</f>
        <v>A</v>
      </c>
      <c r="H127" s="10" t="str">
        <f>[2]DATA!H107</f>
        <v>Program Penyediaaan Perumahan Bagi MBR</v>
      </c>
      <c r="I127" s="10">
        <f>[2]DATA!I107</f>
        <v>1</v>
      </c>
      <c r="J127" s="181"/>
      <c r="K127" s="54"/>
      <c r="L127" s="20"/>
      <c r="M127" s="36">
        <v>76</v>
      </c>
      <c r="N127" s="37" t="str">
        <f>[2]DATA!J107</f>
        <v>Support for National Housing and Urban Development Cooperation</v>
      </c>
      <c r="O127" s="20">
        <f>[2]DATA!O107</f>
        <v>1</v>
      </c>
      <c r="P127" s="20">
        <f>[2]DATA!P107</f>
        <v>1</v>
      </c>
      <c r="Q127" s="186">
        <f>[2]DATA!Q107</f>
        <v>80</v>
      </c>
      <c r="R127" s="2386">
        <f>[2]DATA!R107</f>
        <v>200000000</v>
      </c>
      <c r="S127" s="1449" t="str">
        <f>[2]DATA!W107</f>
        <v>JICA</v>
      </c>
      <c r="T127" s="77">
        <f>[2]DATA!Z107</f>
        <v>200000000</v>
      </c>
      <c r="U127" s="77"/>
      <c r="V127" s="216" t="str">
        <f>[2]DATA!W107</f>
        <v>JICA</v>
      </c>
      <c r="W127" s="245">
        <f>[2]DATA!AN107</f>
        <v>200000000</v>
      </c>
      <c r="X127" s="109" t="str">
        <f>[2]DATA!AO107</f>
        <v>JICA</v>
      </c>
      <c r="Y127" s="246" t="str">
        <f>[2]DATA!AP107</f>
        <v>-</v>
      </c>
      <c r="Z127" s="2408" t="s">
        <v>614</v>
      </c>
      <c r="AA127" s="2408" t="s">
        <v>568</v>
      </c>
      <c r="AB127" s="2408"/>
      <c r="AC127" s="2391"/>
      <c r="AD127" s="2404"/>
    </row>
    <row r="128" spans="1:30" s="4" customFormat="1" ht="24.95" customHeight="1">
      <c r="J128" s="250"/>
      <c r="K128" s="25">
        <f>[2]DATA!D108</f>
        <v>3</v>
      </c>
      <c r="L128" s="108" t="str">
        <f>[2]DATA!E108</f>
        <v>Kementerian Perhubungan</v>
      </c>
      <c r="M128" s="25"/>
      <c r="N128" s="27"/>
      <c r="O128" s="26"/>
      <c r="P128" s="26"/>
      <c r="Q128" s="193"/>
      <c r="R128" s="2388">
        <f>+R129+R140</f>
        <v>9536613000</v>
      </c>
      <c r="S128" s="1549"/>
      <c r="T128" s="80">
        <f t="shared" ref="T128:W128" si="12">+T129</f>
        <v>5473000000</v>
      </c>
      <c r="U128" s="80">
        <f t="shared" si="12"/>
        <v>292336700</v>
      </c>
      <c r="V128" s="213"/>
      <c r="W128" s="242">
        <f t="shared" si="12"/>
        <v>5765336700</v>
      </c>
      <c r="X128" s="80" t="s">
        <v>21</v>
      </c>
      <c r="Y128" s="227"/>
      <c r="Z128" s="2413"/>
      <c r="AA128" s="2413"/>
      <c r="AB128" s="2413"/>
      <c r="AC128" s="2399"/>
    </row>
    <row r="129" spans="1:30" s="5" customFormat="1" ht="33.75" customHeight="1">
      <c r="J129" s="180"/>
      <c r="K129" s="29"/>
      <c r="L129" s="30" t="str">
        <f>[2]DATA!G108</f>
        <v>A</v>
      </c>
      <c r="M129" s="31" t="str">
        <f>[2]DATA!H108</f>
        <v>Program Pengembangan Perkeretaapian</v>
      </c>
      <c r="N129" s="51"/>
      <c r="O129" s="31"/>
      <c r="P129" s="31"/>
      <c r="Q129" s="196"/>
      <c r="R129" s="2389">
        <f>R130+R131+R132+R133+R134+R135+R136+R137+R138+R139</f>
        <v>7549239900</v>
      </c>
      <c r="S129" s="1539"/>
      <c r="T129" s="81">
        <f t="shared" ref="T129:W129" si="13">T130+T131+T133+T134+T135</f>
        <v>5473000000</v>
      </c>
      <c r="U129" s="81">
        <f t="shared" si="13"/>
        <v>292336700</v>
      </c>
      <c r="V129" s="214"/>
      <c r="W129" s="244">
        <f t="shared" si="13"/>
        <v>5765336700</v>
      </c>
      <c r="X129" s="81" t="s">
        <v>21</v>
      </c>
      <c r="Y129" s="229"/>
      <c r="Z129" s="2407"/>
      <c r="AA129" s="2407"/>
      <c r="AB129" s="2407">
        <f>T129+U129</f>
        <v>5765336700</v>
      </c>
      <c r="AC129" s="2401"/>
    </row>
    <row r="130" spans="1:30" ht="23.25" customHeight="1">
      <c r="A130" s="10">
        <f>[2]DATA!A109</f>
        <v>91</v>
      </c>
      <c r="B130" s="10">
        <f>[2]DATA!B109</f>
        <v>0</v>
      </c>
      <c r="C130" s="10" t="str">
        <f>[2]DATA!C109</f>
        <v>INFRASTRUKTUR</v>
      </c>
      <c r="D130" s="10">
        <f>[2]DATA!D109</f>
        <v>3</v>
      </c>
      <c r="E130" s="10" t="str">
        <f>[2]DATA!E109</f>
        <v>Kementerian Perhubungan</v>
      </c>
      <c r="F130" s="10" t="str">
        <f>[2]DATA!F109</f>
        <v>Railway Development Program</v>
      </c>
      <c r="G130" s="10" t="str">
        <f>[2]DATA!G109</f>
        <v>A</v>
      </c>
      <c r="H130" s="10" t="str">
        <f>[2]DATA!H109</f>
        <v>Program Pengembangan Perkeretaapian</v>
      </c>
      <c r="I130" s="10">
        <f>[2]DATA!I109</f>
        <v>1</v>
      </c>
      <c r="J130" s="181"/>
      <c r="K130" s="34"/>
      <c r="L130" s="34"/>
      <c r="M130" s="3390">
        <v>77</v>
      </c>
      <c r="N130" s="37" t="str">
        <f>[2]DATA!J109</f>
        <v>Procurement of Track Material and Turn Out - Phase II</v>
      </c>
      <c r="O130" s="20">
        <f>[2]DATA!O109</f>
        <v>1</v>
      </c>
      <c r="P130" s="20">
        <f>[2]DATA!P109</f>
        <v>1</v>
      </c>
      <c r="Q130" s="186">
        <f>[2]DATA!Q109</f>
        <v>81</v>
      </c>
      <c r="R130" s="2386">
        <f>[2]DATA!R109</f>
        <v>200000000</v>
      </c>
      <c r="S130" s="1449" t="str">
        <f>[2]DATA!W109</f>
        <v>RRT</v>
      </c>
      <c r="T130" s="77">
        <f>[2]DATA!Z109</f>
        <v>200000000</v>
      </c>
      <c r="U130" s="77">
        <v>0</v>
      </c>
      <c r="V130" s="216" t="str">
        <f>[2]DATA!W109</f>
        <v>RRT</v>
      </c>
      <c r="W130" s="245">
        <f>[2]DATA!AN109</f>
        <v>200000000</v>
      </c>
      <c r="X130" s="109" t="str">
        <f>[2]DATA!AO109</f>
        <v>RRT</v>
      </c>
      <c r="Y130" s="246" t="str">
        <f>[2]DATA!AP109</f>
        <v>-</v>
      </c>
      <c r="Z130" s="2409" t="s">
        <v>702</v>
      </c>
      <c r="AA130" s="2408" t="s">
        <v>645</v>
      </c>
      <c r="AB130" s="2409" t="s">
        <v>1125</v>
      </c>
      <c r="AC130" s="2391"/>
      <c r="AD130" s="2404"/>
    </row>
    <row r="131" spans="1:30" ht="24" customHeight="1">
      <c r="A131" s="10">
        <f>[2]DATA!A110</f>
        <v>92</v>
      </c>
      <c r="B131" s="10">
        <f>[2]DATA!B110</f>
        <v>0</v>
      </c>
      <c r="C131" s="10" t="str">
        <f>[2]DATA!C110</f>
        <v>INFRASTRUKTUR</v>
      </c>
      <c r="D131" s="10">
        <f>[2]DATA!D110</f>
        <v>3</v>
      </c>
      <c r="E131" s="10" t="str">
        <f>[2]DATA!E110</f>
        <v>Kementerian Perhubungan</v>
      </c>
      <c r="F131" s="10" t="str">
        <f>[2]DATA!F110</f>
        <v>Railway Development Program</v>
      </c>
      <c r="G131" s="10" t="str">
        <f>[2]DATA!G110</f>
        <v>A</v>
      </c>
      <c r="H131" s="10" t="str">
        <f>[2]DATA!H110</f>
        <v>Program Pengembangan Perkeretaapian</v>
      </c>
      <c r="I131" s="10">
        <f>[2]DATA!I110</f>
        <v>1</v>
      </c>
      <c r="J131" s="181"/>
      <c r="K131" s="34"/>
      <c r="L131" s="34"/>
      <c r="M131" s="3392"/>
      <c r="N131" s="37" t="str">
        <f>[2]DATA!J110</f>
        <v>Procurement of Track Material and Turn Out - Phase III</v>
      </c>
      <c r="O131" s="20">
        <f>[2]DATA!O110</f>
        <v>1</v>
      </c>
      <c r="P131" s="20">
        <f>[2]DATA!P110</f>
        <v>1</v>
      </c>
      <c r="Q131" s="186">
        <f>[2]DATA!Q110</f>
        <v>82</v>
      </c>
      <c r="R131" s="2386">
        <f>[2]DATA!R110</f>
        <v>292336700</v>
      </c>
      <c r="S131" s="1449" t="str">
        <f>[2]DATA!W110</f>
        <v>Belum Ada Indikasi</v>
      </c>
      <c r="T131" s="77">
        <v>0</v>
      </c>
      <c r="U131" s="77">
        <f>[2]DATA!Z110</f>
        <v>292336700</v>
      </c>
      <c r="V131" s="216" t="str">
        <f>[2]DATA!W110</f>
        <v>Belum Ada Indikasi</v>
      </c>
      <c r="W131" s="245">
        <f>[2]DATA!AN110</f>
        <v>292336700</v>
      </c>
      <c r="X131" s="109" t="str">
        <f>[2]DATA!AO110</f>
        <v>Belum Ada Indikasi</v>
      </c>
      <c r="Y131" s="246" t="str">
        <f>[2]DATA!AP110</f>
        <v>-</v>
      </c>
      <c r="Z131" s="2408" t="s">
        <v>603</v>
      </c>
      <c r="AA131" s="2408" t="s">
        <v>645</v>
      </c>
      <c r="AB131" s="2408"/>
      <c r="AC131" s="2391"/>
      <c r="AD131" s="2404"/>
    </row>
    <row r="132" spans="1:30" ht="28.5" customHeight="1">
      <c r="J132" s="181"/>
      <c r="K132" s="34"/>
      <c r="L132" s="34"/>
      <c r="M132" s="3391"/>
      <c r="N132" s="37" t="s">
        <v>878</v>
      </c>
      <c r="O132" s="20"/>
      <c r="P132" s="20"/>
      <c r="Q132" s="186"/>
      <c r="R132" s="2386">
        <v>126830200</v>
      </c>
      <c r="S132" s="1449"/>
      <c r="T132" s="77"/>
      <c r="U132" s="77"/>
      <c r="V132" s="216"/>
      <c r="W132" s="245"/>
      <c r="X132" s="109"/>
      <c r="Y132" s="246"/>
      <c r="Z132" s="2408"/>
      <c r="AA132" s="2408"/>
      <c r="AB132" s="2408"/>
      <c r="AC132" s="2391" t="s">
        <v>1271</v>
      </c>
    </row>
    <row r="133" spans="1:30" ht="45" customHeight="1">
      <c r="A133" s="10">
        <f>[2]DATA!A111</f>
        <v>93</v>
      </c>
      <c r="B133" s="10">
        <f>[2]DATA!B111</f>
        <v>0</v>
      </c>
      <c r="C133" s="10" t="str">
        <f>[2]DATA!C111</f>
        <v>INFRASTRUKTUR</v>
      </c>
      <c r="D133" s="10">
        <f>[2]DATA!D111</f>
        <v>3</v>
      </c>
      <c r="E133" s="10" t="str">
        <f>[2]DATA!E111</f>
        <v>Kementerian Perhubungan</v>
      </c>
      <c r="F133" s="10" t="str">
        <f>[2]DATA!F111</f>
        <v>Railway Development Program</v>
      </c>
      <c r="G133" s="10" t="str">
        <f>[2]DATA!G111</f>
        <v>A</v>
      </c>
      <c r="H133" s="10" t="str">
        <f>[2]DATA!H111</f>
        <v>Program Pengembangan Perkeretaapian</v>
      </c>
      <c r="I133" s="10">
        <f>[2]DATA!I111</f>
        <v>2</v>
      </c>
      <c r="J133" s="181"/>
      <c r="K133" s="34"/>
      <c r="L133" s="34"/>
      <c r="M133" s="172">
        <v>78</v>
      </c>
      <c r="N133" s="37" t="s">
        <v>1209</v>
      </c>
      <c r="O133" s="20">
        <f>[2]DATA!O111</f>
        <v>1</v>
      </c>
      <c r="P133" s="20">
        <f>[2]DATA!P111</f>
        <v>1</v>
      </c>
      <c r="Q133" s="186">
        <f>[2]DATA!Q111</f>
        <v>83</v>
      </c>
      <c r="R133" s="2386">
        <v>1869000000</v>
      </c>
      <c r="S133" s="1449" t="str">
        <f>[2]DATA!W111</f>
        <v>JICA</v>
      </c>
      <c r="T133" s="77">
        <f>[2]DATA!Z111</f>
        <v>1678000000</v>
      </c>
      <c r="U133" s="77">
        <v>0</v>
      </c>
      <c r="V133" s="216" t="str">
        <f>[2]DATA!W111</f>
        <v>JICA</v>
      </c>
      <c r="W133" s="245">
        <f>[2]DATA!AN111</f>
        <v>1678000000</v>
      </c>
      <c r="X133" s="109" t="str">
        <f>[2]DATA!AO111</f>
        <v>JICA</v>
      </c>
      <c r="Y133" s="246" t="str">
        <f>[2]DATA!AP111</f>
        <v>-</v>
      </c>
      <c r="Z133" s="2408" t="s">
        <v>675</v>
      </c>
      <c r="AA133" s="2408" t="s">
        <v>729</v>
      </c>
      <c r="AB133" s="2408"/>
      <c r="AC133" s="2406" t="s">
        <v>1273</v>
      </c>
    </row>
    <row r="134" spans="1:30" ht="33" customHeight="1">
      <c r="A134" s="10">
        <f>[2]DATA!A112</f>
        <v>94</v>
      </c>
      <c r="B134" s="10">
        <f>[2]DATA!B112</f>
        <v>0</v>
      </c>
      <c r="C134" s="10" t="str">
        <f>[2]DATA!C112</f>
        <v>INFRASTRUKTUR</v>
      </c>
      <c r="D134" s="10">
        <f>[2]DATA!D112</f>
        <v>3</v>
      </c>
      <c r="E134" s="10" t="str">
        <f>[2]DATA!E112</f>
        <v>Kementerian Perhubungan</v>
      </c>
      <c r="F134" s="10" t="str">
        <f>[2]DATA!F112</f>
        <v>Railway Development Program</v>
      </c>
      <c r="G134" s="10" t="str">
        <f>[2]DATA!G112</f>
        <v>A</v>
      </c>
      <c r="H134" s="10" t="str">
        <f>[2]DATA!H112</f>
        <v>Program Pengembangan Perkeretaapian</v>
      </c>
      <c r="I134" s="10">
        <f>[2]DATA!I112</f>
        <v>3</v>
      </c>
      <c r="J134" s="181"/>
      <c r="K134" s="34"/>
      <c r="L134" s="34"/>
      <c r="M134" s="172">
        <v>79</v>
      </c>
      <c r="N134" s="37" t="str">
        <f>[2]DATA!J112</f>
        <v>Construction of Jakarta Mass Rapid Transit East-West Line Project - Phase I</v>
      </c>
      <c r="O134" s="20">
        <f>[2]DATA!O112</f>
        <v>1</v>
      </c>
      <c r="P134" s="20">
        <f>[2]DATA!P112</f>
        <v>1</v>
      </c>
      <c r="Q134" s="186">
        <f>[2]DATA!Q112</f>
        <v>84</v>
      </c>
      <c r="R134" s="2386">
        <f>[2]DATA!R112</f>
        <v>3572000000</v>
      </c>
      <c r="S134" s="1449" t="str">
        <f>[2]DATA!W112</f>
        <v>JICA</v>
      </c>
      <c r="T134" s="77">
        <f>[2]DATA!Z112</f>
        <v>3572000000</v>
      </c>
      <c r="U134" s="77">
        <v>0</v>
      </c>
      <c r="V134" s="216" t="str">
        <f>[2]DATA!W112</f>
        <v>JICA</v>
      </c>
      <c r="W134" s="245">
        <f>[2]DATA!AN112</f>
        <v>3572000000</v>
      </c>
      <c r="X134" s="109" t="str">
        <f>[2]DATA!AO112</f>
        <v>JICA</v>
      </c>
      <c r="Y134" s="246" t="str">
        <f>[2]DATA!AP112</f>
        <v>-</v>
      </c>
      <c r="Z134" s="2408" t="s">
        <v>675</v>
      </c>
      <c r="AA134" s="2408" t="s">
        <v>729</v>
      </c>
      <c r="AB134" s="2408"/>
      <c r="AC134" s="2391"/>
      <c r="AD134" s="2404"/>
    </row>
    <row r="135" spans="1:30" ht="39.75" customHeight="1">
      <c r="A135" s="10">
        <f>[2]DATA!A113</f>
        <v>95</v>
      </c>
      <c r="B135" s="10">
        <f>[2]DATA!B113</f>
        <v>0</v>
      </c>
      <c r="C135" s="10" t="str">
        <f>[2]DATA!C113</f>
        <v>INFRASTRUKTUR</v>
      </c>
      <c r="D135" s="10">
        <f>[2]DATA!D113</f>
        <v>3</v>
      </c>
      <c r="E135" s="10" t="str">
        <f>[2]DATA!E113</f>
        <v>Kementerian Perhubungan</v>
      </c>
      <c r="F135" s="10" t="str">
        <f>[2]DATA!F113</f>
        <v>Railway Development Program</v>
      </c>
      <c r="G135" s="10" t="str">
        <f>[2]DATA!G113</f>
        <v>A</v>
      </c>
      <c r="H135" s="10" t="str">
        <f>[2]DATA!H113</f>
        <v>Program Pengembangan Perkeretaapian</v>
      </c>
      <c r="I135" s="10">
        <f>[2]DATA!I113</f>
        <v>4</v>
      </c>
      <c r="J135" s="181"/>
      <c r="K135" s="34"/>
      <c r="L135" s="34"/>
      <c r="M135" s="172">
        <v>80</v>
      </c>
      <c r="N135" s="37" t="str">
        <f>[2]DATA!J113</f>
        <v>Engineering Services Jakarta Mass Rapid Transit (MRT) East West Line Project - Phase I</v>
      </c>
      <c r="O135" s="20">
        <f>[2]DATA!O113</f>
        <v>1</v>
      </c>
      <c r="P135" s="20">
        <f>[2]DATA!P113</f>
        <v>1</v>
      </c>
      <c r="Q135" s="186">
        <f>[2]DATA!Q113</f>
        <v>86</v>
      </c>
      <c r="R135" s="2386">
        <f>[2]DATA!R113</f>
        <v>23000000</v>
      </c>
      <c r="S135" s="1449" t="str">
        <f>[2]DATA!W113</f>
        <v>JICA</v>
      </c>
      <c r="T135" s="77">
        <f>[2]DATA!Z113</f>
        <v>23000000</v>
      </c>
      <c r="U135" s="77">
        <v>0</v>
      </c>
      <c r="V135" s="216" t="str">
        <f>[2]DATA!W113</f>
        <v>JICA</v>
      </c>
      <c r="W135" s="245">
        <f>[2]DATA!AN113</f>
        <v>23000000</v>
      </c>
      <c r="X135" s="109" t="str">
        <f>[2]DATA!AO113</f>
        <v>JICA</v>
      </c>
      <c r="Y135" s="246" t="str">
        <f>[2]DATA!AP113</f>
        <v>-</v>
      </c>
      <c r="Z135" s="2408" t="s">
        <v>568</v>
      </c>
      <c r="AA135" s="2408" t="s">
        <v>645</v>
      </c>
      <c r="AB135" s="2408"/>
      <c r="AC135" s="2391"/>
      <c r="AD135" s="2404"/>
    </row>
    <row r="136" spans="1:30" ht="28.5" customHeight="1">
      <c r="J136" s="181"/>
      <c r="K136" s="34"/>
      <c r="L136" s="34"/>
      <c r="M136" s="172">
        <v>81</v>
      </c>
      <c r="N136" s="37" t="s">
        <v>889</v>
      </c>
      <c r="O136" s="187">
        <v>0</v>
      </c>
      <c r="P136" s="187">
        <v>505476800</v>
      </c>
      <c r="Q136" s="186"/>
      <c r="R136" s="2386">
        <v>505476800</v>
      </c>
      <c r="S136" s="1449"/>
      <c r="T136" s="77"/>
      <c r="U136" s="77"/>
      <c r="V136" s="216"/>
      <c r="W136" s="245"/>
      <c r="X136" s="109"/>
      <c r="Y136" s="246"/>
      <c r="Z136" s="2408"/>
      <c r="AA136" s="2408"/>
      <c r="AB136" s="2408"/>
      <c r="AC136" s="2391" t="s">
        <v>1271</v>
      </c>
    </row>
    <row r="137" spans="1:30" ht="24.75" customHeight="1">
      <c r="J137" s="181"/>
      <c r="K137" s="34"/>
      <c r="L137" s="34"/>
      <c r="M137" s="172">
        <v>82</v>
      </c>
      <c r="N137" s="37" t="s">
        <v>890</v>
      </c>
      <c r="O137" s="187">
        <v>0</v>
      </c>
      <c r="P137" s="187">
        <v>399167600</v>
      </c>
      <c r="Q137" s="186"/>
      <c r="R137" s="2386">
        <v>399167600</v>
      </c>
      <c r="S137" s="1449"/>
      <c r="T137" s="77"/>
      <c r="U137" s="77"/>
      <c r="V137" s="216"/>
      <c r="W137" s="245"/>
      <c r="X137" s="109"/>
      <c r="Y137" s="246"/>
      <c r="Z137" s="2408"/>
      <c r="AA137" s="2408"/>
      <c r="AB137" s="2408"/>
      <c r="AC137" s="2391" t="s">
        <v>1271</v>
      </c>
    </row>
    <row r="138" spans="1:30" ht="27.75" customHeight="1">
      <c r="J138" s="181"/>
      <c r="K138" s="34"/>
      <c r="L138" s="34"/>
      <c r="M138" s="172">
        <v>83</v>
      </c>
      <c r="N138" s="37" t="s">
        <v>887</v>
      </c>
      <c r="O138" s="187">
        <v>0</v>
      </c>
      <c r="P138" s="187">
        <v>100000000</v>
      </c>
      <c r="Q138" s="186"/>
      <c r="R138" s="2386">
        <v>100000000</v>
      </c>
      <c r="S138" s="1449"/>
      <c r="T138" s="77"/>
      <c r="U138" s="77"/>
      <c r="V138" s="216"/>
      <c r="W138" s="245"/>
      <c r="X138" s="109"/>
      <c r="Y138" s="246"/>
      <c r="Z138" s="2408"/>
      <c r="AA138" s="2408"/>
      <c r="AB138" s="2408"/>
      <c r="AC138" s="2391" t="s">
        <v>1271</v>
      </c>
    </row>
    <row r="139" spans="1:30" ht="25.5" customHeight="1">
      <c r="J139" s="181"/>
      <c r="K139" s="34"/>
      <c r="L139" s="54"/>
      <c r="M139" s="172">
        <v>84</v>
      </c>
      <c r="N139" s="37" t="s">
        <v>888</v>
      </c>
      <c r="O139" s="187">
        <v>0</v>
      </c>
      <c r="P139" s="187">
        <v>461428600</v>
      </c>
      <c r="Q139" s="186"/>
      <c r="R139" s="2386">
        <v>461428600</v>
      </c>
      <c r="S139" s="1449"/>
      <c r="T139" s="77"/>
      <c r="U139" s="77"/>
      <c r="V139" s="216"/>
      <c r="W139" s="245"/>
      <c r="X139" s="109"/>
      <c r="Y139" s="246"/>
      <c r="Z139" s="2408"/>
      <c r="AA139" s="2408"/>
      <c r="AB139" s="2408"/>
      <c r="AC139" s="2391" t="s">
        <v>1271</v>
      </c>
    </row>
    <row r="140" spans="1:30" ht="27" customHeight="1">
      <c r="J140" s="181"/>
      <c r="K140" s="34"/>
      <c r="L140" s="30" t="s">
        <v>40</v>
      </c>
      <c r="M140" s="31" t="s">
        <v>896</v>
      </c>
      <c r="N140" s="51"/>
      <c r="O140" s="2414"/>
      <c r="P140" s="2414"/>
      <c r="Q140" s="186"/>
      <c r="R140" s="2389">
        <f>R141+R142+R143+R144</f>
        <v>1987373100</v>
      </c>
      <c r="S140" s="1449"/>
      <c r="T140" s="77"/>
      <c r="U140" s="77"/>
      <c r="V140" s="216"/>
      <c r="W140" s="245"/>
      <c r="X140" s="109"/>
      <c r="Y140" s="246"/>
      <c r="Z140" s="2408"/>
      <c r="AA140" s="2408"/>
      <c r="AB140" s="2408"/>
      <c r="AC140" s="2401"/>
    </row>
    <row r="141" spans="1:30" ht="36" customHeight="1">
      <c r="J141" s="181"/>
      <c r="K141" s="34"/>
      <c r="L141" s="34"/>
      <c r="M141" s="172">
        <v>85</v>
      </c>
      <c r="N141" s="2415" t="s">
        <v>1274</v>
      </c>
      <c r="O141" s="2414"/>
      <c r="P141" s="2414"/>
      <c r="Q141" s="186"/>
      <c r="R141" s="2386">
        <v>27402600</v>
      </c>
      <c r="S141" s="1449"/>
      <c r="T141" s="77"/>
      <c r="U141" s="77"/>
      <c r="V141" s="216"/>
      <c r="W141" s="245"/>
      <c r="X141" s="109"/>
      <c r="Y141" s="246"/>
      <c r="Z141" s="2408"/>
      <c r="AA141" s="2408"/>
      <c r="AB141" s="2408"/>
      <c r="AC141" s="2391" t="s">
        <v>1271</v>
      </c>
    </row>
    <row r="142" spans="1:30" ht="22.5" customHeight="1">
      <c r="J142" s="181"/>
      <c r="K142" s="34"/>
      <c r="L142" s="34"/>
      <c r="M142" s="172">
        <v>86</v>
      </c>
      <c r="N142" s="37" t="s">
        <v>898</v>
      </c>
      <c r="O142" s="2414"/>
      <c r="P142" s="2414"/>
      <c r="Q142" s="186"/>
      <c r="R142" s="2386">
        <v>186237900</v>
      </c>
      <c r="S142" s="1449"/>
      <c r="T142" s="77"/>
      <c r="U142" s="77"/>
      <c r="V142" s="216"/>
      <c r="W142" s="245"/>
      <c r="X142" s="109"/>
      <c r="Y142" s="246"/>
      <c r="Z142" s="2408"/>
      <c r="AA142" s="2408"/>
      <c r="AB142" s="2408"/>
      <c r="AC142" s="2391" t="s">
        <v>1271</v>
      </c>
    </row>
    <row r="143" spans="1:30" ht="18.75" customHeight="1">
      <c r="J143" s="181"/>
      <c r="K143" s="34"/>
      <c r="L143" s="34"/>
      <c r="M143" s="172">
        <v>87</v>
      </c>
      <c r="N143" s="37" t="s">
        <v>899</v>
      </c>
      <c r="O143" s="2414"/>
      <c r="P143" s="2414"/>
      <c r="Q143" s="186"/>
      <c r="R143" s="2386">
        <v>73732600</v>
      </c>
      <c r="S143" s="1449"/>
      <c r="T143" s="77"/>
      <c r="U143" s="77"/>
      <c r="V143" s="216"/>
      <c r="W143" s="245"/>
      <c r="X143" s="109"/>
      <c r="Y143" s="246"/>
      <c r="Z143" s="2408"/>
      <c r="AA143" s="2408"/>
      <c r="AB143" s="2408"/>
      <c r="AC143" s="2391" t="s">
        <v>1271</v>
      </c>
    </row>
    <row r="144" spans="1:30" ht="25.5" customHeight="1">
      <c r="J144" s="181"/>
      <c r="K144" s="54"/>
      <c r="L144" s="54"/>
      <c r="M144" s="172">
        <v>88</v>
      </c>
      <c r="N144" s="37" t="s">
        <v>900</v>
      </c>
      <c r="O144" s="2414"/>
      <c r="P144" s="2414"/>
      <c r="Q144" s="186"/>
      <c r="R144" s="2386">
        <v>1700000000</v>
      </c>
      <c r="S144" s="1449"/>
      <c r="T144" s="77"/>
      <c r="U144" s="77"/>
      <c r="V144" s="216"/>
      <c r="W144" s="245"/>
      <c r="X144" s="109"/>
      <c r="Y144" s="246"/>
      <c r="Z144" s="2408"/>
      <c r="AA144" s="2408"/>
      <c r="AB144" s="2408"/>
      <c r="AC144" s="2391" t="s">
        <v>1271</v>
      </c>
    </row>
    <row r="145" spans="1:30" s="4" customFormat="1" ht="24.95" customHeight="1">
      <c r="J145" s="250"/>
      <c r="K145" s="25">
        <f>[2]DATA!D114</f>
        <v>4</v>
      </c>
      <c r="L145" s="108" t="str">
        <f>[2]DATA!E114</f>
        <v>Pemprov. DKI Jakarta</v>
      </c>
      <c r="M145" s="25"/>
      <c r="N145" s="27"/>
      <c r="O145" s="26"/>
      <c r="P145" s="26"/>
      <c r="Q145" s="193"/>
      <c r="R145" s="2388">
        <f>+R146</f>
        <v>1050000000</v>
      </c>
      <c r="S145" s="1549"/>
      <c r="T145" s="80">
        <f t="shared" ref="T145:Y146" si="14">+T146</f>
        <v>1050000000</v>
      </c>
      <c r="U145" s="80">
        <f t="shared" si="14"/>
        <v>0</v>
      </c>
      <c r="V145" s="213"/>
      <c r="W145" s="242">
        <f t="shared" si="14"/>
        <v>1050000000</v>
      </c>
      <c r="X145" s="80" t="str">
        <f t="shared" si="14"/>
        <v>-</v>
      </c>
      <c r="Y145" s="227" t="str">
        <f t="shared" si="14"/>
        <v>-</v>
      </c>
      <c r="Z145" s="2413"/>
      <c r="AA145" s="2413"/>
      <c r="AB145" s="2413"/>
      <c r="AC145" s="2399"/>
    </row>
    <row r="146" spans="1:30" s="5" customFormat="1" ht="33.75" customHeight="1">
      <c r="J146" s="180"/>
      <c r="K146" s="29"/>
      <c r="L146" s="30" t="str">
        <f>[2]DATA!G114</f>
        <v>A</v>
      </c>
      <c r="M146" s="31" t="str">
        <f>[2]DATA!H114</f>
        <v>Program Pengembangan Perkeretaapian</v>
      </c>
      <c r="N146" s="51"/>
      <c r="O146" s="31"/>
      <c r="P146" s="31"/>
      <c r="Q146" s="196"/>
      <c r="R146" s="2389">
        <f>+R147</f>
        <v>1050000000</v>
      </c>
      <c r="S146" s="1539"/>
      <c r="T146" s="81">
        <f t="shared" si="14"/>
        <v>1050000000</v>
      </c>
      <c r="U146" s="81">
        <f t="shared" si="14"/>
        <v>0</v>
      </c>
      <c r="V146" s="214"/>
      <c r="W146" s="244">
        <f t="shared" si="14"/>
        <v>1050000000</v>
      </c>
      <c r="X146" s="81" t="s">
        <v>21</v>
      </c>
      <c r="Y146" s="229" t="str">
        <f t="shared" si="14"/>
        <v>-</v>
      </c>
      <c r="Z146" s="2407"/>
      <c r="AA146" s="2407"/>
      <c r="AB146" s="2407"/>
      <c r="AC146" s="2401"/>
    </row>
    <row r="147" spans="1:30" s="9" customFormat="1" ht="24" customHeight="1">
      <c r="A147" s="9">
        <f>[2]DATA!A114</f>
        <v>96</v>
      </c>
      <c r="B147" s="9">
        <f>[2]DATA!B114</f>
        <v>0</v>
      </c>
      <c r="C147" s="9" t="str">
        <f>[2]DATA!C114</f>
        <v>INFRASTRUKTUR</v>
      </c>
      <c r="D147" s="9">
        <f>[2]DATA!D114</f>
        <v>4</v>
      </c>
      <c r="E147" s="9" t="str">
        <f>[2]DATA!E114</f>
        <v>Pemprov. DKI Jakarta</v>
      </c>
      <c r="F147" s="9" t="str">
        <f>[2]DATA!F114</f>
        <v>Railway Development Program</v>
      </c>
      <c r="G147" s="9" t="str">
        <f>[2]DATA!G114</f>
        <v>A</v>
      </c>
      <c r="H147" s="9" t="str">
        <f>[2]DATA!H114</f>
        <v>Program Pengembangan Perkeretaapian</v>
      </c>
      <c r="I147" s="9">
        <f>[2]DATA!I114</f>
        <v>1</v>
      </c>
      <c r="J147" s="254"/>
      <c r="K147" s="255"/>
      <c r="L147" s="66"/>
      <c r="M147" s="64">
        <v>89</v>
      </c>
      <c r="N147" s="65" t="s">
        <v>1275</v>
      </c>
      <c r="O147" s="66">
        <f>[2]DATA!O114</f>
        <v>1</v>
      </c>
      <c r="P147" s="66">
        <f>[2]DATA!P114</f>
        <v>1</v>
      </c>
      <c r="Q147" s="257">
        <f>[2]DATA!Q114</f>
        <v>85</v>
      </c>
      <c r="R147" s="2417">
        <f>[2]DATA!R114</f>
        <v>1050000000</v>
      </c>
      <c r="S147" s="1455" t="str">
        <f>[2]DATA!W114</f>
        <v>JICA</v>
      </c>
      <c r="T147" s="77">
        <f>[2]DATA!Z114</f>
        <v>1050000000</v>
      </c>
      <c r="U147" s="91">
        <v>0</v>
      </c>
      <c r="V147" s="216" t="str">
        <f>[2]DATA!W114</f>
        <v>JICA</v>
      </c>
      <c r="W147" s="272">
        <f>[2]DATA!AN114</f>
        <v>1050000000</v>
      </c>
      <c r="X147" s="273" t="str">
        <f>[2]DATA!AO114</f>
        <v>JICA</v>
      </c>
      <c r="Y147" s="274" t="str">
        <f>[2]DATA!AP114</f>
        <v>-</v>
      </c>
      <c r="Z147" s="2419" t="s">
        <v>702</v>
      </c>
      <c r="AA147" s="2419" t="s">
        <v>568</v>
      </c>
      <c r="AB147" s="2419"/>
      <c r="AC147" s="2420"/>
      <c r="AD147" s="2404"/>
    </row>
    <row r="148" spans="1:30" s="4" customFormat="1" ht="24.95" customHeight="1">
      <c r="J148" s="250"/>
      <c r="K148" s="25">
        <f>[2]DATA!D115</f>
        <v>5</v>
      </c>
      <c r="L148" s="108" t="str">
        <f>[2]DATA!E115</f>
        <v>Kementerian Komunikasi dan Informatika</v>
      </c>
      <c r="M148" s="25"/>
      <c r="N148" s="27"/>
      <c r="O148" s="26"/>
      <c r="P148" s="26"/>
      <c r="Q148" s="193"/>
      <c r="R148" s="2388">
        <f>+R149</f>
        <v>556000000</v>
      </c>
      <c r="S148" s="1549"/>
      <c r="T148" s="80" t="e">
        <f t="shared" ref="T148:W148" si="15">+T149</f>
        <v>#REF!</v>
      </c>
      <c r="U148" s="80" t="e">
        <f t="shared" si="15"/>
        <v>#REF!</v>
      </c>
      <c r="V148" s="213"/>
      <c r="W148" s="242" t="e">
        <f t="shared" si="15"/>
        <v>#REF!</v>
      </c>
      <c r="X148" s="80" t="s">
        <v>21</v>
      </c>
      <c r="Y148" s="227"/>
      <c r="Z148" s="2413"/>
      <c r="AA148" s="2413"/>
      <c r="AB148" s="2413"/>
      <c r="AC148" s="2399"/>
    </row>
    <row r="149" spans="1:30" s="5" customFormat="1" ht="33.75" customHeight="1">
      <c r="J149" s="180"/>
      <c r="K149" s="29"/>
      <c r="L149" s="30" t="str">
        <f>[2]DATA!G115</f>
        <v>A</v>
      </c>
      <c r="M149" s="31" t="str">
        <f>[2]DATA!H115</f>
        <v>Program Pengembangan Infrastruktur TIK dan Penyiaran</v>
      </c>
      <c r="N149" s="51"/>
      <c r="O149" s="31"/>
      <c r="P149" s="31"/>
      <c r="Q149" s="196"/>
      <c r="R149" s="2389">
        <f>+R150+R151</f>
        <v>556000000</v>
      </c>
      <c r="S149" s="1539"/>
      <c r="T149" s="81" t="e">
        <f>+T150+T151+#REF!</f>
        <v>#REF!</v>
      </c>
      <c r="U149" s="81" t="e">
        <f>+U150+U151+#REF!</f>
        <v>#REF!</v>
      </c>
      <c r="V149" s="214"/>
      <c r="W149" s="244" t="e">
        <f>+W150+W151+#REF!</f>
        <v>#REF!</v>
      </c>
      <c r="X149" s="81" t="s">
        <v>21</v>
      </c>
      <c r="Y149" s="229"/>
      <c r="Z149" s="2407"/>
      <c r="AA149" s="2407"/>
      <c r="AB149" s="2407"/>
      <c r="AC149" s="2401"/>
      <c r="AD149" s="2402"/>
    </row>
    <row r="150" spans="1:30" ht="46.5" customHeight="1">
      <c r="A150" s="10">
        <f>[2]DATA!A115</f>
        <v>97</v>
      </c>
      <c r="B150" s="10">
        <f>[2]DATA!B115</f>
        <v>0</v>
      </c>
      <c r="C150" s="10" t="str">
        <f>[2]DATA!C115</f>
        <v>INFRASTRUKTUR</v>
      </c>
      <c r="D150" s="10">
        <f>[2]DATA!D115</f>
        <v>5</v>
      </c>
      <c r="E150" s="10" t="str">
        <f>[2]DATA!E115</f>
        <v>Kementerian Komunikasi dan Informatika</v>
      </c>
      <c r="F150" s="10" t="str">
        <f>[2]DATA!F115</f>
        <v>Information Communication And Technology (ICT) And Broadcasting Infrastructure Development Program</v>
      </c>
      <c r="G150" s="10" t="str">
        <f>[2]DATA!G115</f>
        <v>A</v>
      </c>
      <c r="H150" s="10" t="str">
        <f>[2]DATA!H115</f>
        <v>Program Pengembangan Infrastruktur TIK dan Penyiaran</v>
      </c>
      <c r="I150" s="10">
        <f>[2]DATA!I115</f>
        <v>1</v>
      </c>
      <c r="J150" s="181"/>
      <c r="K150" s="34"/>
      <c r="L150" s="35"/>
      <c r="M150" s="36">
        <v>90</v>
      </c>
      <c r="N150" s="37" t="str">
        <f>[2]DATA!J115</f>
        <v>Improvement on TV Transmitting Stations (Digitalization of TVRI) - Phase III</v>
      </c>
      <c r="O150" s="20">
        <f>[2]DATA!O115</f>
        <v>1</v>
      </c>
      <c r="P150" s="20">
        <f>[2]DATA!P115</f>
        <v>1</v>
      </c>
      <c r="Q150" s="186">
        <f>[2]DATA!Q115</f>
        <v>87</v>
      </c>
      <c r="R150" s="2386">
        <f>[2]DATA!R115</f>
        <v>411000000</v>
      </c>
      <c r="S150" s="1449" t="str">
        <f>[2]DATA!W115</f>
        <v>Belum Ada Indikasi</v>
      </c>
      <c r="T150" s="77">
        <v>0</v>
      </c>
      <c r="U150" s="77">
        <f>[2]DATA!Z115</f>
        <v>411000000</v>
      </c>
      <c r="V150" s="216" t="str">
        <f>[2]DATA!W115</f>
        <v>Belum Ada Indikasi</v>
      </c>
      <c r="W150" s="245">
        <f>[2]DATA!AN115</f>
        <v>411000000</v>
      </c>
      <c r="X150" s="109" t="str">
        <f>[2]DATA!AO115</f>
        <v>Belum Ada Indikasi</v>
      </c>
      <c r="Y150" s="248" t="str">
        <f>[2]DATA!AP115</f>
        <v>-</v>
      </c>
      <c r="Z150" s="2408" t="s">
        <v>608</v>
      </c>
      <c r="AA150" s="2408" t="s">
        <v>568</v>
      </c>
      <c r="AB150" s="2408"/>
      <c r="AC150" s="2391"/>
      <c r="AD150" s="2404"/>
    </row>
    <row r="151" spans="1:30" ht="26.25" customHeight="1">
      <c r="A151" s="10">
        <f>[2]DATA!A116</f>
        <v>98</v>
      </c>
      <c r="B151" s="10">
        <f>[2]DATA!B116</f>
        <v>0</v>
      </c>
      <c r="C151" s="10" t="str">
        <f>[2]DATA!C116</f>
        <v>INFRASTRUKTUR</v>
      </c>
      <c r="D151" s="10">
        <f>[2]DATA!D116</f>
        <v>5</v>
      </c>
      <c r="E151" s="10" t="str">
        <f>[2]DATA!E116</f>
        <v>Kementerian Komunikasi dan Informatika</v>
      </c>
      <c r="F151" s="10" t="str">
        <f>[2]DATA!F116</f>
        <v>Information Communication And Technology (ICT) And Broadcasting Infrastructure Development Program</v>
      </c>
      <c r="G151" s="10" t="str">
        <f>[2]DATA!G116</f>
        <v>A</v>
      </c>
      <c r="H151" s="10" t="str">
        <f>[2]DATA!H116</f>
        <v>Program Pengembangan Infrastruktur TIK dan Penyiaran</v>
      </c>
      <c r="I151" s="10">
        <f>[2]DATA!I116</f>
        <v>2</v>
      </c>
      <c r="J151" s="181"/>
      <c r="K151" s="34"/>
      <c r="L151" s="34"/>
      <c r="M151" s="36">
        <v>91</v>
      </c>
      <c r="N151" s="37" t="str">
        <f>[2]DATA!J116</f>
        <v>Strengthening of e-Government Infrastructure</v>
      </c>
      <c r="O151" s="20">
        <f>[2]DATA!O116</f>
        <v>1</v>
      </c>
      <c r="P151" s="20">
        <f>[2]DATA!P116</f>
        <v>1</v>
      </c>
      <c r="Q151" s="186">
        <f>[2]DATA!Q116</f>
        <v>88</v>
      </c>
      <c r="R151" s="2386">
        <f>[2]DATA!R116</f>
        <v>145000000</v>
      </c>
      <c r="S151" s="1449" t="str">
        <f>[2]DATA!W116</f>
        <v>Korea</v>
      </c>
      <c r="T151" s="77">
        <f>[2]DATA!Z116</f>
        <v>145000000</v>
      </c>
      <c r="U151" s="77"/>
      <c r="V151" s="216" t="str">
        <f>[2]DATA!W116</f>
        <v>Korea</v>
      </c>
      <c r="W151" s="245">
        <f>[2]DATA!AN116</f>
        <v>145000000</v>
      </c>
      <c r="X151" s="109" t="str">
        <f>[2]DATA!AO116</f>
        <v>Korea</v>
      </c>
      <c r="Y151" s="248" t="str">
        <f>[2]DATA!AP116</f>
        <v>masuk rolling plan EDCF (Korea)</v>
      </c>
      <c r="Z151" s="2408" t="s">
        <v>608</v>
      </c>
      <c r="AA151" s="2408" t="s">
        <v>654</v>
      </c>
      <c r="AB151" s="2408"/>
      <c r="AC151" s="2391"/>
      <c r="AD151" s="2404"/>
    </row>
    <row r="152" spans="1:30" s="4" customFormat="1" ht="24.95" customHeight="1">
      <c r="J152" s="250"/>
      <c r="K152" s="25">
        <f>[2]DATA!D118</f>
        <v>6</v>
      </c>
      <c r="L152" s="108" t="str">
        <f>[2]DATA!E118</f>
        <v>Kepolisian RI</v>
      </c>
      <c r="M152" s="25"/>
      <c r="N152" s="27"/>
      <c r="O152" s="26"/>
      <c r="P152" s="26"/>
      <c r="Q152" s="193"/>
      <c r="R152" s="2388">
        <f>+R153</f>
        <v>20000000</v>
      </c>
      <c r="S152" s="1549"/>
      <c r="T152" s="80">
        <f t="shared" ref="T152:Y153" si="16">+T153</f>
        <v>20000000</v>
      </c>
      <c r="U152" s="80">
        <f t="shared" si="16"/>
        <v>0</v>
      </c>
      <c r="V152" s="213"/>
      <c r="W152" s="242">
        <f t="shared" si="16"/>
        <v>20000000</v>
      </c>
      <c r="X152" s="80" t="s">
        <v>21</v>
      </c>
      <c r="Y152" s="227" t="str">
        <f t="shared" si="16"/>
        <v>masuk rolling plan EDCF (Korea)</v>
      </c>
      <c r="Z152" s="2413"/>
      <c r="AA152" s="2413"/>
      <c r="AB152" s="2413"/>
      <c r="AC152" s="2399"/>
      <c r="AD152" s="2421"/>
    </row>
    <row r="153" spans="1:30" s="5" customFormat="1" ht="33.75" customHeight="1">
      <c r="J153" s="180"/>
      <c r="K153" s="29"/>
      <c r="L153" s="30" t="str">
        <f>[2]DATA!G118</f>
        <v>A</v>
      </c>
      <c r="M153" s="3427" t="str">
        <f>[2]DATA!H118</f>
        <v>Program Pengembangan Infrastruktur TIK dan Penyiaran</v>
      </c>
      <c r="N153" s="3428"/>
      <c r="O153" s="31"/>
      <c r="P153" s="31"/>
      <c r="Q153" s="196"/>
      <c r="R153" s="2389">
        <f>+R154</f>
        <v>20000000</v>
      </c>
      <c r="S153" s="1539"/>
      <c r="T153" s="81">
        <f t="shared" si="16"/>
        <v>20000000</v>
      </c>
      <c r="U153" s="81">
        <f t="shared" si="16"/>
        <v>0</v>
      </c>
      <c r="V153" s="214"/>
      <c r="W153" s="244">
        <f t="shared" si="16"/>
        <v>20000000</v>
      </c>
      <c r="X153" s="81" t="s">
        <v>21</v>
      </c>
      <c r="Y153" s="229" t="str">
        <f t="shared" si="16"/>
        <v>masuk rolling plan EDCF (Korea)</v>
      </c>
      <c r="Z153" s="2407"/>
      <c r="AA153" s="2407"/>
      <c r="AB153" s="2407"/>
      <c r="AC153" s="2401"/>
      <c r="AD153" s="2402"/>
    </row>
    <row r="154" spans="1:30" s="9" customFormat="1" ht="47.25" customHeight="1">
      <c r="A154" s="9">
        <f>[2]DATA!A118</f>
        <v>100</v>
      </c>
      <c r="B154" s="9">
        <f>[2]DATA!B118</f>
        <v>0</v>
      </c>
      <c r="C154" s="9" t="str">
        <f>[2]DATA!C118</f>
        <v>INFRASTRUKTUR</v>
      </c>
      <c r="D154" s="9">
        <f>[2]DATA!D118</f>
        <v>6</v>
      </c>
      <c r="E154" s="9" t="str">
        <f>[2]DATA!E118</f>
        <v>Kepolisian RI</v>
      </c>
      <c r="F154" s="9" t="str">
        <f>[2]DATA!F118</f>
        <v>Information Communication And Technology (ICT) And Broadcasting Infrastructure Development Program</v>
      </c>
      <c r="G154" s="9" t="str">
        <f>[2]DATA!G118</f>
        <v>A</v>
      </c>
      <c r="H154" s="9" t="str">
        <f>[2]DATA!H118</f>
        <v>Program Pengembangan Infrastruktur TIK dan Penyiaran</v>
      </c>
      <c r="I154" s="9">
        <f>[2]DATA!I118</f>
        <v>1</v>
      </c>
      <c r="J154" s="254"/>
      <c r="K154" s="255"/>
      <c r="L154" s="66"/>
      <c r="M154" s="64">
        <v>92</v>
      </c>
      <c r="N154" s="65" t="s">
        <v>1276</v>
      </c>
      <c r="O154" s="66">
        <f>[2]DATA!O118</f>
        <v>1</v>
      </c>
      <c r="P154" s="66">
        <f>[2]DATA!P118</f>
        <v>1</v>
      </c>
      <c r="Q154" s="257">
        <f>[2]DATA!Q118</f>
        <v>90</v>
      </c>
      <c r="R154" s="2417">
        <f>[2]DATA!R118</f>
        <v>20000000</v>
      </c>
      <c r="S154" s="1455" t="str">
        <f>[2]DATA!W118</f>
        <v>Korea</v>
      </c>
      <c r="T154" s="2418">
        <f>[2]DATA!Z118</f>
        <v>20000000</v>
      </c>
      <c r="U154" s="91">
        <v>0</v>
      </c>
      <c r="V154" s="263" t="str">
        <f>[2]DATA!W118</f>
        <v>Korea</v>
      </c>
      <c r="W154" s="272">
        <f>[2]DATA!AN118</f>
        <v>20000000</v>
      </c>
      <c r="X154" s="273" t="str">
        <f>[2]DATA!AO118</f>
        <v>Korea</v>
      </c>
      <c r="Y154" s="274" t="str">
        <f>[2]DATA!AP118</f>
        <v>masuk rolling plan EDCF (Korea)</v>
      </c>
      <c r="Z154" s="2419" t="s">
        <v>568</v>
      </c>
      <c r="AA154" s="2419" t="s">
        <v>645</v>
      </c>
      <c r="AB154" s="2419"/>
      <c r="AC154" s="2420"/>
      <c r="AD154" s="2404"/>
    </row>
    <row r="155" spans="1:30" s="4" customFormat="1" ht="24.95" customHeight="1">
      <c r="J155" s="250"/>
      <c r="K155" s="25">
        <f>[2]DATA!D119</f>
        <v>7</v>
      </c>
      <c r="L155" s="108" t="str">
        <f>[2]DATA!E119</f>
        <v>PT. PLN</v>
      </c>
      <c r="M155" s="25"/>
      <c r="N155" s="27"/>
      <c r="O155" s="26"/>
      <c r="P155" s="26"/>
      <c r="Q155" s="193"/>
      <c r="R155" s="2388">
        <f>+R156</f>
        <v>4906600000</v>
      </c>
      <c r="S155" s="1549"/>
      <c r="T155" s="80">
        <f t="shared" ref="T155:W155" si="17">+T156</f>
        <v>4906600000</v>
      </c>
      <c r="U155" s="80">
        <f t="shared" si="17"/>
        <v>0</v>
      </c>
      <c r="V155" s="213"/>
      <c r="W155" s="242">
        <f t="shared" si="17"/>
        <v>4906600000</v>
      </c>
      <c r="X155" s="80" t="s">
        <v>21</v>
      </c>
      <c r="Y155" s="227"/>
      <c r="Z155" s="2413"/>
      <c r="AA155" s="2413"/>
      <c r="AB155" s="2413"/>
      <c r="AC155" s="2399"/>
      <c r="AD155" s="2421"/>
    </row>
    <row r="156" spans="1:30" s="5" customFormat="1" ht="33.75" customHeight="1">
      <c r="J156" s="180"/>
      <c r="K156" s="29"/>
      <c r="L156" s="30" t="str">
        <f>[2]DATA!G119</f>
        <v>A</v>
      </c>
      <c r="M156" s="3427" t="str">
        <f>[2]DATA!H119</f>
        <v>Program Pembangunan Infrastruktur Ketenagalistrikan</v>
      </c>
      <c r="N156" s="3428"/>
      <c r="O156" s="31"/>
      <c r="P156" s="31"/>
      <c r="Q156" s="196"/>
      <c r="R156" s="2389">
        <f>R157+R158+R159+R160+R161+R162+R163+R164+R165+R166</f>
        <v>4906600000</v>
      </c>
      <c r="S156" s="1539"/>
      <c r="T156" s="81">
        <f t="shared" ref="T156:W156" si="18">T157+T158+T159+T160+T161+T162+T163+T164+T165+T166</f>
        <v>4906600000</v>
      </c>
      <c r="U156" s="81">
        <f t="shared" si="18"/>
        <v>0</v>
      </c>
      <c r="V156" s="214"/>
      <c r="W156" s="244">
        <f t="shared" si="18"/>
        <v>4906600000</v>
      </c>
      <c r="X156" s="81" t="s">
        <v>21</v>
      </c>
      <c r="Y156" s="229"/>
      <c r="Z156" s="2407"/>
      <c r="AA156" s="2407"/>
      <c r="AB156" s="2407"/>
      <c r="AC156" s="2401"/>
      <c r="AD156" s="2402"/>
    </row>
    <row r="157" spans="1:30" ht="30.75" customHeight="1">
      <c r="A157" s="10">
        <f>[2]DATA!A120</f>
        <v>102</v>
      </c>
      <c r="B157" s="10">
        <f>[2]DATA!B120</f>
        <v>0</v>
      </c>
      <c r="C157" s="10" t="str">
        <f>[2]DATA!C120</f>
        <v>INFRASTRUKTUR</v>
      </c>
      <c r="D157" s="10">
        <f>[2]DATA!D120</f>
        <v>7</v>
      </c>
      <c r="E157" s="10" t="str">
        <f>[2]DATA!E120</f>
        <v>PT. PLN</v>
      </c>
      <c r="F157" s="10" t="str">
        <f>[2]DATA!F120</f>
        <v>Electricity Infrastructure Development Program</v>
      </c>
      <c r="G157" s="10" t="str">
        <f>[2]DATA!G120</f>
        <v>A</v>
      </c>
      <c r="H157" s="10" t="str">
        <f>[2]DATA!H120</f>
        <v>Program Pembangunan Infrastruktur Ketenagalistrikan</v>
      </c>
      <c r="I157" s="10">
        <f>[2]DATA!I120</f>
        <v>1</v>
      </c>
      <c r="J157" s="181"/>
      <c r="K157" s="34"/>
      <c r="L157" s="34"/>
      <c r="M157" s="36">
        <v>93</v>
      </c>
      <c r="N157" s="37" t="str">
        <f>[2]DATA!J120</f>
        <v>Java-Sumatera Interconnection Transmission Line (HVDC) 500 kV (Phase II)</v>
      </c>
      <c r="O157" s="20">
        <f>[2]DATA!O120</f>
        <v>1</v>
      </c>
      <c r="P157" s="20">
        <f>[2]DATA!P120</f>
        <v>1</v>
      </c>
      <c r="Q157" s="186">
        <f>[2]DATA!Q120</f>
        <v>91</v>
      </c>
      <c r="R157" s="2386">
        <f>[2]DATA!R120</f>
        <v>629000000</v>
      </c>
      <c r="S157" s="1449" t="str">
        <f>[2]DATA!W120</f>
        <v>JICA</v>
      </c>
      <c r="T157" s="77">
        <f>[2]DATA!Z120</f>
        <v>629000000</v>
      </c>
      <c r="U157" s="77">
        <v>0</v>
      </c>
      <c r="V157" s="216" t="str">
        <f>[2]DATA!W120</f>
        <v>JICA</v>
      </c>
      <c r="W157" s="245">
        <f>[2]DATA!AN120</f>
        <v>629000000</v>
      </c>
      <c r="X157" s="109" t="str">
        <f>[2]DATA!AO120</f>
        <v>JICA</v>
      </c>
      <c r="Y157" s="248" t="str">
        <f>[2]DATA!AP120</f>
        <v>-</v>
      </c>
      <c r="Z157" s="2408" t="s">
        <v>568</v>
      </c>
      <c r="AA157" s="2408" t="s">
        <v>918</v>
      </c>
      <c r="AB157" s="2408"/>
      <c r="AC157" s="2391"/>
      <c r="AD157" s="2404"/>
    </row>
    <row r="158" spans="1:30" ht="31.5" customHeight="1">
      <c r="A158" s="10">
        <f>[2]DATA!A121</f>
        <v>103</v>
      </c>
      <c r="B158" s="10">
        <f>[2]DATA!B121</f>
        <v>0</v>
      </c>
      <c r="C158" s="10" t="str">
        <f>[2]DATA!C121</f>
        <v>INFRASTRUKTUR</v>
      </c>
      <c r="D158" s="10">
        <f>[2]DATA!D121</f>
        <v>7</v>
      </c>
      <c r="E158" s="10" t="str">
        <f>[2]DATA!E121</f>
        <v>PT. PLN</v>
      </c>
      <c r="F158" s="10" t="str">
        <f>[2]DATA!F121</f>
        <v>Electricity Infrastructure Development Program</v>
      </c>
      <c r="G158" s="10" t="str">
        <f>[2]DATA!G121</f>
        <v>A</v>
      </c>
      <c r="H158" s="10" t="str">
        <f>[2]DATA!H121</f>
        <v>Program Pembangunan Infrastruktur Ketenagalistrikan</v>
      </c>
      <c r="I158" s="10">
        <f>[2]DATA!I121</f>
        <v>1</v>
      </c>
      <c r="J158" s="181"/>
      <c r="K158" s="34"/>
      <c r="L158" s="34"/>
      <c r="M158" s="36">
        <v>94</v>
      </c>
      <c r="N158" s="37" t="str">
        <f>[2]DATA!J121</f>
        <v>Construction of Java Sumatera Interconnection 500 kV (HVDC-Phase 3 &amp; 4)</v>
      </c>
      <c r="O158" s="20">
        <f>[2]DATA!O121</f>
        <v>1</v>
      </c>
      <c r="P158" s="20">
        <f>[2]DATA!P121</f>
        <v>1</v>
      </c>
      <c r="Q158" s="186">
        <f>[2]DATA!Q121</f>
        <v>92</v>
      </c>
      <c r="R158" s="2386">
        <f>[2]DATA!R121</f>
        <v>933000000</v>
      </c>
      <c r="S158" s="1449" t="str">
        <f>[2]DATA!W121</f>
        <v>JICA</v>
      </c>
      <c r="T158" s="77">
        <f>[2]DATA!Z121</f>
        <v>933000000</v>
      </c>
      <c r="U158" s="77">
        <v>0</v>
      </c>
      <c r="V158" s="216" t="str">
        <f>[2]DATA!W121</f>
        <v>JICA</v>
      </c>
      <c r="W158" s="245">
        <f>[2]DATA!AN121</f>
        <v>933000000</v>
      </c>
      <c r="X158" s="109" t="str">
        <f>[2]DATA!AO121</f>
        <v>JICA</v>
      </c>
      <c r="Y158" s="248" t="str">
        <f>[2]DATA!AP121</f>
        <v>-</v>
      </c>
      <c r="Z158" s="2408" t="s">
        <v>603</v>
      </c>
      <c r="AA158" s="2408" t="s">
        <v>603</v>
      </c>
      <c r="AB158" s="2408"/>
      <c r="AC158" s="2391"/>
      <c r="AD158" s="2404"/>
    </row>
    <row r="159" spans="1:30" ht="35.25" customHeight="1">
      <c r="A159" s="10">
        <f>[2]DATA!A123</f>
        <v>105</v>
      </c>
      <c r="B159" s="10">
        <f>[2]DATA!B123</f>
        <v>0</v>
      </c>
      <c r="C159" s="10" t="str">
        <f>[2]DATA!C123</f>
        <v>INFRASTRUKTUR</v>
      </c>
      <c r="D159" s="10">
        <f>[2]DATA!D123</f>
        <v>7</v>
      </c>
      <c r="E159" s="10" t="str">
        <f>[2]DATA!E123</f>
        <v>PT. PLN</v>
      </c>
      <c r="F159" s="10" t="str">
        <f>[2]DATA!F123</f>
        <v>Electricity Infrastructure Development Program</v>
      </c>
      <c r="G159" s="10" t="str">
        <f>[2]DATA!G123</f>
        <v>A</v>
      </c>
      <c r="H159" s="10" t="str">
        <f>[2]DATA!H123</f>
        <v>Program Pembangunan Infrastruktur Ketenagalistrikan</v>
      </c>
      <c r="I159" s="10">
        <f>[2]DATA!I123</f>
        <v>2</v>
      </c>
      <c r="J159" s="181"/>
      <c r="K159" s="34"/>
      <c r="L159" s="34"/>
      <c r="M159" s="36">
        <v>95</v>
      </c>
      <c r="N159" s="37" t="str">
        <f>[2]DATA!J123</f>
        <v>Engineering Service for Hululais 1&amp;2 Geothermal Power Plant Project (2x55 MW</v>
      </c>
      <c r="O159" s="20">
        <f>[2]DATA!O123</f>
        <v>1</v>
      </c>
      <c r="P159" s="20">
        <f>[2]DATA!P123</f>
        <v>1</v>
      </c>
      <c r="Q159" s="186">
        <f>[2]DATA!Q123</f>
        <v>93</v>
      </c>
      <c r="R159" s="2386">
        <f>[2]DATA!R123</f>
        <v>6600000</v>
      </c>
      <c r="S159" s="1449" t="str">
        <f>[2]DATA!W123</f>
        <v>JICA</v>
      </c>
      <c r="T159" s="77">
        <f>[2]DATA!Z123</f>
        <v>6600000</v>
      </c>
      <c r="U159" s="77">
        <v>0</v>
      </c>
      <c r="V159" s="216" t="str">
        <f>[2]DATA!W123</f>
        <v>JICA</v>
      </c>
      <c r="W159" s="245">
        <f>[2]DATA!AN123</f>
        <v>6600000</v>
      </c>
      <c r="X159" s="109" t="str">
        <f>[2]DATA!AO123</f>
        <v>JICA</v>
      </c>
      <c r="Y159" s="248" t="str">
        <f>[2]DATA!AP123</f>
        <v>-</v>
      </c>
      <c r="Z159" s="2408" t="s">
        <v>608</v>
      </c>
      <c r="AA159" s="2408" t="s">
        <v>603</v>
      </c>
      <c r="AB159" s="2408"/>
      <c r="AC159" s="2391"/>
      <c r="AD159" s="2404"/>
    </row>
    <row r="160" spans="1:30" ht="24" customHeight="1">
      <c r="A160" s="10">
        <f>[2]DATA!A124</f>
        <v>106</v>
      </c>
      <c r="B160" s="10">
        <f>[2]DATA!B124</f>
        <v>0</v>
      </c>
      <c r="C160" s="10" t="str">
        <f>[2]DATA!C124</f>
        <v>INFRASTRUKTUR</v>
      </c>
      <c r="D160" s="10">
        <f>[2]DATA!D124</f>
        <v>7</v>
      </c>
      <c r="E160" s="10" t="str">
        <f>[2]DATA!E124</f>
        <v>PT. PLN</v>
      </c>
      <c r="F160" s="10" t="str">
        <f>[2]DATA!F124</f>
        <v>Electricity Infrastructure Development Program</v>
      </c>
      <c r="G160" s="10" t="str">
        <f>[2]DATA!G124</f>
        <v>A</v>
      </c>
      <c r="H160" s="10" t="str">
        <f>[2]DATA!H124</f>
        <v>Program Pembangunan Infrastruktur Ketenagalistrikan</v>
      </c>
      <c r="I160" s="10">
        <f>[2]DATA!I124</f>
        <v>2</v>
      </c>
      <c r="J160" s="181"/>
      <c r="K160" s="34"/>
      <c r="L160" s="34"/>
      <c r="M160" s="36">
        <v>96</v>
      </c>
      <c r="N160" s="37" t="str">
        <f>[2]DATA!J124</f>
        <v>Hululais Geothermal Power Plant</v>
      </c>
      <c r="O160" s="20">
        <f>[2]DATA!O124</f>
        <v>1</v>
      </c>
      <c r="P160" s="20">
        <f>[2]DATA!P124</f>
        <v>1</v>
      </c>
      <c r="Q160" s="186">
        <f>[2]DATA!Q124</f>
        <v>94</v>
      </c>
      <c r="R160" s="2386">
        <f>[2]DATA!R124</f>
        <v>204000000</v>
      </c>
      <c r="S160" s="1449" t="str">
        <f>[2]DATA!W124</f>
        <v>JICA</v>
      </c>
      <c r="T160" s="77">
        <f>[2]DATA!Z124</f>
        <v>204000000</v>
      </c>
      <c r="U160" s="77">
        <v>0</v>
      </c>
      <c r="V160" s="216" t="str">
        <f>[2]DATA!W124</f>
        <v>JICA</v>
      </c>
      <c r="W160" s="245">
        <f>[2]DATA!AN124</f>
        <v>204000000</v>
      </c>
      <c r="X160" s="109" t="str">
        <f>[2]DATA!AO124</f>
        <v>JICA</v>
      </c>
      <c r="Y160" s="248" t="str">
        <f>[2]DATA!AP124</f>
        <v>-</v>
      </c>
      <c r="Z160" s="2408" t="s">
        <v>603</v>
      </c>
      <c r="AA160" s="2408" t="s">
        <v>603</v>
      </c>
      <c r="AB160" s="2408"/>
      <c r="AC160" s="2391"/>
      <c r="AD160" s="2404"/>
    </row>
    <row r="161" spans="1:30" ht="27" customHeight="1">
      <c r="A161" s="10">
        <f>[2]DATA!A125</f>
        <v>107</v>
      </c>
      <c r="B161" s="10">
        <f>[2]DATA!B125</f>
        <v>0</v>
      </c>
      <c r="C161" s="10" t="str">
        <f>[2]DATA!C125</f>
        <v>INFRASTRUKTUR</v>
      </c>
      <c r="D161" s="10">
        <f>[2]DATA!D125</f>
        <v>7</v>
      </c>
      <c r="E161" s="10" t="str">
        <f>[2]DATA!E125</f>
        <v>PT. PLN</v>
      </c>
      <c r="F161" s="10" t="str">
        <f>[2]DATA!F125</f>
        <v>Electricity Infrastructure Development Program</v>
      </c>
      <c r="G161" s="10" t="str">
        <f>[2]DATA!G125</f>
        <v>A</v>
      </c>
      <c r="H161" s="10" t="str">
        <f>[2]DATA!H125</f>
        <v>Program Pembangunan Infrastruktur Ketenagalistrikan</v>
      </c>
      <c r="I161" s="10">
        <f>[2]DATA!I125</f>
        <v>3</v>
      </c>
      <c r="J161" s="181"/>
      <c r="K161" s="34"/>
      <c r="L161" s="34"/>
      <c r="M161" s="36">
        <v>97</v>
      </c>
      <c r="N161" s="37" t="str">
        <f>[2]DATA!J125</f>
        <v>Bakaru II Hydro Electrical Power Plant (2x63MW)</v>
      </c>
      <c r="O161" s="20">
        <f>[2]DATA!O125</f>
        <v>1</v>
      </c>
      <c r="P161" s="20">
        <f>[2]DATA!P125</f>
        <v>1</v>
      </c>
      <c r="Q161" s="186">
        <f>[2]DATA!Q125</f>
        <v>95</v>
      </c>
      <c r="R161" s="2386">
        <f>[2]DATA!R125</f>
        <v>280000000</v>
      </c>
      <c r="S161" s="1449" t="str">
        <f>[2]DATA!W125</f>
        <v>Jerman (KfW)</v>
      </c>
      <c r="T161" s="77">
        <f>[2]DATA!Z125</f>
        <v>280000000</v>
      </c>
      <c r="U161" s="77">
        <v>0</v>
      </c>
      <c r="V161" s="216" t="str">
        <f>[2]DATA!W125</f>
        <v>Jerman (KfW)</v>
      </c>
      <c r="W161" s="245">
        <f>[2]DATA!AN125</f>
        <v>280000000</v>
      </c>
      <c r="X161" s="109" t="str">
        <f>[2]DATA!AO125</f>
        <v>Jerman (KfW)</v>
      </c>
      <c r="Y161" s="248" t="str">
        <f>[2]DATA!AP125</f>
        <v>-</v>
      </c>
      <c r="Z161" s="2409" t="s">
        <v>702</v>
      </c>
      <c r="AA161" s="2408" t="s">
        <v>729</v>
      </c>
      <c r="AB161" s="2409" t="s">
        <v>1125</v>
      </c>
      <c r="AC161" s="2391"/>
      <c r="AD161" s="2404"/>
    </row>
    <row r="162" spans="1:30" ht="42.75" customHeight="1">
      <c r="A162" s="10">
        <f>[2]DATA!A126</f>
        <v>108</v>
      </c>
      <c r="B162" s="10">
        <f>[2]DATA!B126</f>
        <v>0</v>
      </c>
      <c r="C162" s="10" t="str">
        <f>[2]DATA!C126</f>
        <v>INFRASTRUKTUR</v>
      </c>
      <c r="D162" s="10">
        <f>[2]DATA!D126</f>
        <v>7</v>
      </c>
      <c r="E162" s="10" t="str">
        <f>[2]DATA!E126</f>
        <v>PT. PLN</v>
      </c>
      <c r="F162" s="10" t="str">
        <f>[2]DATA!F126</f>
        <v>Electricity Infrastructure Development Program</v>
      </c>
      <c r="G162" s="10" t="str">
        <f>[2]DATA!G126</f>
        <v>A</v>
      </c>
      <c r="H162" s="10" t="str">
        <f>[2]DATA!H126</f>
        <v>Program Pembangunan Infrastruktur Ketenagalistrikan</v>
      </c>
      <c r="I162" s="10">
        <f>[2]DATA!I126</f>
        <v>4</v>
      </c>
      <c r="J162" s="181"/>
      <c r="K162" s="34"/>
      <c r="L162" s="34"/>
      <c r="M162" s="36">
        <v>98</v>
      </c>
      <c r="N162" s="37" t="str">
        <f>[2]DATA!J126</f>
        <v>Tulehu Geothermal Power Plant Project Unit 1&amp;2 (2x10MW)</v>
      </c>
      <c r="O162" s="20">
        <f>[2]DATA!O126</f>
        <v>1</v>
      </c>
      <c r="P162" s="20">
        <f>[2]DATA!P126</f>
        <v>1</v>
      </c>
      <c r="Q162" s="186">
        <f>[2]DATA!Q126</f>
        <v>96</v>
      </c>
      <c r="R162" s="2386">
        <f>[2]DATA!R126</f>
        <v>104000000</v>
      </c>
      <c r="S162" s="1449" t="str">
        <f>[2]DATA!W126</f>
        <v>JICA</v>
      </c>
      <c r="T162" s="77">
        <f>[2]DATA!Z126</f>
        <v>104000000</v>
      </c>
      <c r="U162" s="77">
        <v>0</v>
      </c>
      <c r="V162" s="216" t="str">
        <f>[2]DATA!W126</f>
        <v>JICA</v>
      </c>
      <c r="W162" s="245">
        <f>[2]DATA!AN126</f>
        <v>104000000</v>
      </c>
      <c r="X162" s="109" t="str">
        <f>[2]DATA!AO126</f>
        <v>JICA</v>
      </c>
      <c r="Y162" s="248" t="str">
        <f>[2]DATA!AP126</f>
        <v>-</v>
      </c>
      <c r="Z162" s="2408" t="s">
        <v>608</v>
      </c>
      <c r="AA162" s="2408" t="s">
        <v>934</v>
      </c>
      <c r="AB162" s="2408"/>
      <c r="AC162" s="2391"/>
      <c r="AD162" s="2404"/>
    </row>
    <row r="163" spans="1:30" ht="39.75" customHeight="1">
      <c r="A163" s="10">
        <f>[2]DATA!A127</f>
        <v>109</v>
      </c>
      <c r="B163" s="10">
        <f>[2]DATA!B127</f>
        <v>0</v>
      </c>
      <c r="C163" s="10" t="str">
        <f>[2]DATA!C127</f>
        <v>INFRASTRUKTUR</v>
      </c>
      <c r="D163" s="10">
        <f>[2]DATA!D127</f>
        <v>7</v>
      </c>
      <c r="E163" s="10" t="str">
        <f>[2]DATA!E127</f>
        <v>PT. PLN</v>
      </c>
      <c r="F163" s="10" t="str">
        <f>[2]DATA!F127</f>
        <v>Electricity Infrastructure Development Program</v>
      </c>
      <c r="G163" s="10" t="str">
        <f>[2]DATA!G127</f>
        <v>A</v>
      </c>
      <c r="H163" s="10" t="str">
        <f>[2]DATA!H127</f>
        <v>Program Pembangunan Infrastruktur Ketenagalistrikan</v>
      </c>
      <c r="I163" s="10">
        <f>[2]DATA!I127</f>
        <v>5</v>
      </c>
      <c r="J163" s="181"/>
      <c r="K163" s="34"/>
      <c r="L163" s="34"/>
      <c r="M163" s="36">
        <v>99</v>
      </c>
      <c r="N163" s="37" t="str">
        <f>[2]DATA!J127</f>
        <v>Indramayu Coal Fired Power Plant  #4 (1x1000MW)</v>
      </c>
      <c r="O163" s="20">
        <f>[2]DATA!O127</f>
        <v>1</v>
      </c>
      <c r="P163" s="20">
        <f>[2]DATA!P127</f>
        <v>1</v>
      </c>
      <c r="Q163" s="186">
        <f>[2]DATA!Q127</f>
        <v>97</v>
      </c>
      <c r="R163" s="2386">
        <f>[2]DATA!R127</f>
        <v>1845000000</v>
      </c>
      <c r="S163" s="1449" t="str">
        <f>[2]DATA!W127</f>
        <v>JICA</v>
      </c>
      <c r="T163" s="77">
        <f>[2]DATA!Z127</f>
        <v>1845000000</v>
      </c>
      <c r="U163" s="77">
        <v>0</v>
      </c>
      <c r="V163" s="216" t="str">
        <f>[2]DATA!W127</f>
        <v>JICA</v>
      </c>
      <c r="W163" s="245">
        <f>[2]DATA!AN127</f>
        <v>1845000000</v>
      </c>
      <c r="X163" s="109" t="str">
        <f>[2]DATA!AO127</f>
        <v>JICA</v>
      </c>
      <c r="Y163" s="248" t="str">
        <f>[2]DATA!AP127</f>
        <v>-</v>
      </c>
      <c r="Z163" s="2408" t="s">
        <v>568</v>
      </c>
      <c r="AA163" s="2408" t="s">
        <v>729</v>
      </c>
      <c r="AB163" s="2408"/>
      <c r="AC163" s="2391"/>
      <c r="AD163" s="2404"/>
    </row>
    <row r="164" spans="1:30" ht="46.5" customHeight="1">
      <c r="A164" s="10">
        <f>[2]DATA!A128</f>
        <v>110</v>
      </c>
      <c r="B164" s="10">
        <f>[2]DATA!B128</f>
        <v>0</v>
      </c>
      <c r="C164" s="10" t="str">
        <f>[2]DATA!C128</f>
        <v>INFRASTRUKTUR</v>
      </c>
      <c r="D164" s="10">
        <f>[2]DATA!D128</f>
        <v>7</v>
      </c>
      <c r="E164" s="10" t="str">
        <f>[2]DATA!E128</f>
        <v>PT. PLN</v>
      </c>
      <c r="F164" s="10" t="str">
        <f>[2]DATA!F128</f>
        <v>Electricity Infrastructure Development Program</v>
      </c>
      <c r="G164" s="10" t="str">
        <f>[2]DATA!G128</f>
        <v>A</v>
      </c>
      <c r="H164" s="10" t="str">
        <f>[2]DATA!H128</f>
        <v>Program Pembangunan Infrastruktur Ketenagalistrikan</v>
      </c>
      <c r="I164" s="10">
        <f>[2]DATA!I128</f>
        <v>6</v>
      </c>
      <c r="J164" s="181"/>
      <c r="K164" s="34"/>
      <c r="L164" s="34"/>
      <c r="M164" s="36">
        <v>100</v>
      </c>
      <c r="N164" s="37" t="str">
        <f>[2]DATA!J128</f>
        <v>Additional Loan for Upper Cisokan Pumped Storage Hydro Electrical Power Plant (4x260MW)</v>
      </c>
      <c r="O164" s="20">
        <f>[2]DATA!O128</f>
        <v>1</v>
      </c>
      <c r="P164" s="20">
        <f>[2]DATA!P128</f>
        <v>1</v>
      </c>
      <c r="Q164" s="186">
        <f>[2]DATA!Q128</f>
        <v>98</v>
      </c>
      <c r="R164" s="2386">
        <f>[2]DATA!R128</f>
        <v>200000000</v>
      </c>
      <c r="S164" s="1449" t="str">
        <f>[2]DATA!W128</f>
        <v>Bank Dunia</v>
      </c>
      <c r="T164" s="77">
        <f>[2]DATA!Z128</f>
        <v>200000000</v>
      </c>
      <c r="U164" s="77">
        <v>0</v>
      </c>
      <c r="V164" s="216" t="str">
        <f>[2]DATA!W128</f>
        <v>Bank Dunia</v>
      </c>
      <c r="W164" s="245">
        <f>[2]DATA!AN128</f>
        <v>200000000</v>
      </c>
      <c r="X164" s="109" t="str">
        <f>[2]DATA!AO128</f>
        <v>Bank Dunia</v>
      </c>
      <c r="Y164" s="248" t="str">
        <f>[2]DATA!AP128</f>
        <v>-</v>
      </c>
      <c r="Z164" s="2408" t="s">
        <v>568</v>
      </c>
      <c r="AA164" s="2408" t="s">
        <v>938</v>
      </c>
      <c r="AB164" s="2408"/>
      <c r="AC164" s="2391"/>
      <c r="AD164" s="2404"/>
    </row>
    <row r="165" spans="1:30" ht="43.5" customHeight="1">
      <c r="A165" s="10">
        <f>[2]DATA!A129</f>
        <v>111</v>
      </c>
      <c r="B165" s="10">
        <f>[2]DATA!B129</f>
        <v>0</v>
      </c>
      <c r="C165" s="10" t="str">
        <f>[2]DATA!C129</f>
        <v>INFRASTRUKTUR</v>
      </c>
      <c r="D165" s="10">
        <f>[2]DATA!D129</f>
        <v>7</v>
      </c>
      <c r="E165" s="10" t="str">
        <f>[2]DATA!E129</f>
        <v>PT. PLN</v>
      </c>
      <c r="F165" s="10" t="str">
        <f>[2]DATA!F129</f>
        <v>Electricity Infrastructure Development Program</v>
      </c>
      <c r="G165" s="10" t="str">
        <f>[2]DATA!G129</f>
        <v>A</v>
      </c>
      <c r="H165" s="10" t="str">
        <f>[2]DATA!H129</f>
        <v>Program Pembangunan Infrastruktur Ketenagalistrikan</v>
      </c>
      <c r="I165" s="10">
        <f>[2]DATA!I129</f>
        <v>7</v>
      </c>
      <c r="J165" s="181"/>
      <c r="K165" s="34"/>
      <c r="L165" s="34"/>
      <c r="M165" s="36">
        <v>101</v>
      </c>
      <c r="N165" s="37" t="str">
        <f>[2]DATA!J129</f>
        <v>Sungai Penuh Geothermal Power Plant 1&amp;2 (2x55MW)</v>
      </c>
      <c r="O165" s="20">
        <f>[2]DATA!O129</f>
        <v>1</v>
      </c>
      <c r="P165" s="20">
        <f>[2]DATA!P129</f>
        <v>1</v>
      </c>
      <c r="Q165" s="186">
        <f>[2]DATA!Q129</f>
        <v>99</v>
      </c>
      <c r="R165" s="2386">
        <f>[2]DATA!R129</f>
        <v>205000000</v>
      </c>
      <c r="S165" s="1449" t="str">
        <f>[2]DATA!W129</f>
        <v>ADB</v>
      </c>
      <c r="T165" s="77">
        <f>[2]DATA!Z129</f>
        <v>205000000</v>
      </c>
      <c r="U165" s="77">
        <v>0</v>
      </c>
      <c r="V165" s="216" t="str">
        <f>[2]DATA!W129</f>
        <v>ADB</v>
      </c>
      <c r="W165" s="245">
        <f>[2]DATA!AN129</f>
        <v>205000000</v>
      </c>
      <c r="X165" s="109" t="str">
        <f>[2]DATA!AO129</f>
        <v>ADB</v>
      </c>
      <c r="Y165" s="248" t="str">
        <f>[2]DATA!AP129</f>
        <v>-</v>
      </c>
      <c r="Z165" s="2408" t="s">
        <v>568</v>
      </c>
      <c r="AA165" s="2408" t="s">
        <v>603</v>
      </c>
      <c r="AB165" s="2408"/>
      <c r="AC165" s="2391"/>
      <c r="AD165" s="2404"/>
    </row>
    <row r="166" spans="1:30" ht="40.5" customHeight="1">
      <c r="A166" s="10">
        <f>[2]DATA!A130</f>
        <v>112</v>
      </c>
      <c r="B166" s="10">
        <f>[2]DATA!B130</f>
        <v>0</v>
      </c>
      <c r="C166" s="10" t="str">
        <f>[2]DATA!C130</f>
        <v>INFRASTRUKTUR</v>
      </c>
      <c r="D166" s="10">
        <f>[2]DATA!D130</f>
        <v>7</v>
      </c>
      <c r="E166" s="10" t="str">
        <f>[2]DATA!E130</f>
        <v>PT. PLN</v>
      </c>
      <c r="F166" s="10" t="str">
        <f>[2]DATA!F130</f>
        <v>Electricity Infrastructure Development Program</v>
      </c>
      <c r="G166" s="10" t="str">
        <f>[2]DATA!G130</f>
        <v>A</v>
      </c>
      <c r="H166" s="10" t="str">
        <f>[2]DATA!H130</f>
        <v>Program Pembangunan Infrastruktur Ketenagalistrikan</v>
      </c>
      <c r="I166" s="10">
        <f>[2]DATA!I130</f>
        <v>8</v>
      </c>
      <c r="J166" s="181"/>
      <c r="K166" s="54"/>
      <c r="L166" s="54"/>
      <c r="M166" s="36">
        <v>102</v>
      </c>
      <c r="N166" s="37" t="str">
        <f>[2]DATA!J130</f>
        <v>Matenggeng Pumped Storage Hydro Electrical Power Plant (4x225MW)</v>
      </c>
      <c r="O166" s="20">
        <f>[2]DATA!O130</f>
        <v>1</v>
      </c>
      <c r="P166" s="20">
        <f>[2]DATA!P130</f>
        <v>1</v>
      </c>
      <c r="Q166" s="186">
        <f>[2]DATA!Q130</f>
        <v>100</v>
      </c>
      <c r="R166" s="2386">
        <f>[2]DATA!R130</f>
        <v>500000000</v>
      </c>
      <c r="S166" s="1449" t="str">
        <f>[2]DATA!W130</f>
        <v>Bank Dunia</v>
      </c>
      <c r="T166" s="77">
        <f>[2]DATA!Z130</f>
        <v>500000000</v>
      </c>
      <c r="U166" s="77">
        <v>0</v>
      </c>
      <c r="V166" s="216" t="str">
        <f>[2]DATA!W130</f>
        <v>Bank Dunia</v>
      </c>
      <c r="W166" s="245">
        <f>[2]DATA!AN130</f>
        <v>500000000</v>
      </c>
      <c r="X166" s="109" t="str">
        <f>[2]DATA!AO130</f>
        <v>Bank Dunia</v>
      </c>
      <c r="Y166" s="248" t="str">
        <f>[2]DATA!AP130</f>
        <v>-</v>
      </c>
      <c r="Z166" s="2408" t="s">
        <v>608</v>
      </c>
      <c r="AA166" s="2408" t="s">
        <v>603</v>
      </c>
      <c r="AB166" s="2408"/>
      <c r="AC166" s="2391"/>
      <c r="AD166" s="2404"/>
    </row>
    <row r="167" spans="1:30" ht="30.75" customHeight="1">
      <c r="J167" s="181"/>
      <c r="K167" s="25">
        <v>8</v>
      </c>
      <c r="L167" s="108" t="s">
        <v>426</v>
      </c>
      <c r="M167" s="25"/>
      <c r="N167" s="27"/>
      <c r="O167" s="20"/>
      <c r="P167" s="20"/>
      <c r="Q167" s="186"/>
      <c r="R167" s="2388">
        <f>R168</f>
        <v>61600000</v>
      </c>
      <c r="S167" s="1449"/>
      <c r="T167" s="77"/>
      <c r="U167" s="77"/>
      <c r="V167" s="216"/>
      <c r="W167" s="245"/>
      <c r="X167" s="109"/>
      <c r="Y167" s="248"/>
      <c r="Z167" s="2408"/>
      <c r="AA167" s="2408"/>
      <c r="AB167" s="2408"/>
      <c r="AC167" s="2399"/>
    </row>
    <row r="168" spans="1:30" ht="28.5" customHeight="1">
      <c r="J168" s="181"/>
      <c r="K168" s="35"/>
      <c r="L168" s="30" t="str">
        <f>[3]DATA!I160</f>
        <v>A</v>
      </c>
      <c r="M168" s="3427" t="s">
        <v>314</v>
      </c>
      <c r="N168" s="3446"/>
      <c r="O168" s="20"/>
      <c r="P168" s="20"/>
      <c r="Q168" s="186"/>
      <c r="R168" s="2389">
        <f>R169</f>
        <v>61600000</v>
      </c>
      <c r="S168" s="1449"/>
      <c r="T168" s="77"/>
      <c r="U168" s="77"/>
      <c r="V168" s="216"/>
      <c r="W168" s="245"/>
      <c r="X168" s="109"/>
      <c r="Y168" s="248"/>
      <c r="Z168" s="2408"/>
      <c r="AA168" s="2408"/>
      <c r="AB168" s="2408"/>
      <c r="AC168" s="2401"/>
    </row>
    <row r="169" spans="1:30" ht="40.5" customHeight="1">
      <c r="J169" s="181"/>
      <c r="K169" s="54"/>
      <c r="L169" s="54"/>
      <c r="M169" s="52">
        <v>103</v>
      </c>
      <c r="N169" s="37" t="s">
        <v>945</v>
      </c>
      <c r="O169" s="20"/>
      <c r="P169" s="20"/>
      <c r="Q169" s="186"/>
      <c r="R169" s="2386">
        <v>61600000</v>
      </c>
      <c r="S169" s="1449"/>
      <c r="T169" s="77"/>
      <c r="U169" s="77"/>
      <c r="V169" s="216"/>
      <c r="W169" s="245"/>
      <c r="X169" s="109"/>
      <c r="Y169" s="248"/>
      <c r="Z169" s="2408"/>
      <c r="AA169" s="2408"/>
      <c r="AB169" s="2408"/>
      <c r="AC169" s="2391" t="s">
        <v>1271</v>
      </c>
    </row>
    <row r="170" spans="1:30" ht="28.5" customHeight="1">
      <c r="J170" s="181"/>
      <c r="K170" s="25">
        <v>9</v>
      </c>
      <c r="L170" s="108" t="s">
        <v>946</v>
      </c>
      <c r="M170" s="25"/>
      <c r="N170" s="27"/>
      <c r="O170" s="20"/>
      <c r="P170" s="20"/>
      <c r="Q170" s="186"/>
      <c r="R170" s="2388">
        <f>R171</f>
        <v>225000000</v>
      </c>
      <c r="S170" s="1449"/>
      <c r="T170" s="77"/>
      <c r="U170" s="77"/>
      <c r="V170" s="216"/>
      <c r="W170" s="245"/>
      <c r="X170" s="109"/>
      <c r="Y170" s="248"/>
      <c r="Z170" s="2408"/>
      <c r="AA170" s="2408"/>
      <c r="AB170" s="2408"/>
      <c r="AC170" s="2399"/>
    </row>
    <row r="171" spans="1:30" ht="37.5" customHeight="1">
      <c r="J171" s="181"/>
      <c r="K171" s="35"/>
      <c r="L171" s="30" t="s">
        <v>23</v>
      </c>
      <c r="M171" s="3427" t="s">
        <v>948</v>
      </c>
      <c r="N171" s="3428"/>
      <c r="O171" s="20"/>
      <c r="P171" s="20"/>
      <c r="Q171" s="186"/>
      <c r="R171" s="2389">
        <f>R172</f>
        <v>225000000</v>
      </c>
      <c r="S171" s="1449"/>
      <c r="T171" s="77"/>
      <c r="U171" s="77"/>
      <c r="V171" s="216"/>
      <c r="W171" s="245"/>
      <c r="X171" s="109"/>
      <c r="Y171" s="248"/>
      <c r="Z171" s="2408"/>
      <c r="AA171" s="2408"/>
      <c r="AB171" s="2408"/>
      <c r="AC171" s="2401"/>
    </row>
    <row r="172" spans="1:30" ht="40.5" customHeight="1">
      <c r="J172" s="181"/>
      <c r="K172" s="54"/>
      <c r="L172" s="54"/>
      <c r="M172" s="52">
        <v>104</v>
      </c>
      <c r="N172" s="37" t="s">
        <v>949</v>
      </c>
      <c r="O172" s="20"/>
      <c r="P172" s="20"/>
      <c r="Q172" s="186"/>
      <c r="R172" s="2386">
        <v>225000000</v>
      </c>
      <c r="S172" s="1449"/>
      <c r="T172" s="77"/>
      <c r="U172" s="77"/>
      <c r="V172" s="216"/>
      <c r="W172" s="245"/>
      <c r="X172" s="109"/>
      <c r="Y172" s="248"/>
      <c r="Z172" s="2408"/>
      <c r="AA172" s="2408"/>
      <c r="AB172" s="2408"/>
      <c r="AC172" s="2391" t="s">
        <v>1271</v>
      </c>
    </row>
    <row r="173" spans="1:30" ht="30.75" customHeight="1">
      <c r="J173" s="181"/>
      <c r="K173" s="1405">
        <v>10</v>
      </c>
      <c r="L173" s="1406" t="s">
        <v>950</v>
      </c>
      <c r="M173" s="1405"/>
      <c r="N173" s="2416"/>
      <c r="O173" s="20"/>
      <c r="P173" s="20"/>
      <c r="Q173" s="186"/>
      <c r="R173" s="2388">
        <f>R174</f>
        <v>800000000</v>
      </c>
      <c r="S173" s="1449"/>
      <c r="T173" s="77"/>
      <c r="U173" s="77"/>
      <c r="V173" s="216"/>
      <c r="W173" s="245"/>
      <c r="X173" s="109"/>
      <c r="Y173" s="248"/>
      <c r="Z173" s="2408"/>
      <c r="AA173" s="2408"/>
      <c r="AB173" s="2408"/>
      <c r="AC173" s="2399"/>
    </row>
    <row r="174" spans="1:30" ht="31.5" customHeight="1">
      <c r="J174" s="181"/>
      <c r="K174" s="29"/>
      <c r="L174" s="30" t="s">
        <v>23</v>
      </c>
      <c r="M174" s="3448" t="s">
        <v>952</v>
      </c>
      <c r="N174" s="3449"/>
      <c r="O174" s="20"/>
      <c r="P174" s="20"/>
      <c r="Q174" s="186"/>
      <c r="R174" s="2389">
        <f>R175+R177</f>
        <v>800000000</v>
      </c>
      <c r="S174" s="1449"/>
      <c r="T174" s="77"/>
      <c r="U174" s="77"/>
      <c r="V174" s="216"/>
      <c r="W174" s="245"/>
      <c r="X174" s="109"/>
      <c r="Y174" s="248"/>
      <c r="Z174" s="2408"/>
      <c r="AA174" s="2408"/>
      <c r="AB174" s="2408"/>
      <c r="AC174" s="2401"/>
    </row>
    <row r="175" spans="1:30" ht="22.5" customHeight="1">
      <c r="J175" s="181"/>
      <c r="K175" s="34"/>
      <c r="L175" s="172"/>
      <c r="M175" s="3390">
        <v>105</v>
      </c>
      <c r="N175" s="3460" t="s">
        <v>953</v>
      </c>
      <c r="O175" s="20"/>
      <c r="P175" s="20"/>
      <c r="Q175" s="186"/>
      <c r="R175" s="3639">
        <v>300000000</v>
      </c>
      <c r="S175" s="1449"/>
      <c r="T175" s="77"/>
      <c r="U175" s="77"/>
      <c r="V175" s="216"/>
      <c r="W175" s="245"/>
      <c r="X175" s="109"/>
      <c r="Y175" s="248"/>
      <c r="Z175" s="2408"/>
      <c r="AA175" s="2408"/>
      <c r="AB175" s="2408"/>
      <c r="AC175" s="3639" t="s">
        <v>1271</v>
      </c>
    </row>
    <row r="176" spans="1:30" ht="17.25" customHeight="1">
      <c r="J176" s="181"/>
      <c r="K176" s="34"/>
      <c r="L176" s="33"/>
      <c r="M176" s="3391"/>
      <c r="N176" s="3462"/>
      <c r="O176" s="20"/>
      <c r="P176" s="20"/>
      <c r="Q176" s="186"/>
      <c r="R176" s="3640"/>
      <c r="S176" s="1449"/>
      <c r="T176" s="77"/>
      <c r="U176" s="77"/>
      <c r="V176" s="216"/>
      <c r="W176" s="245"/>
      <c r="X176" s="109"/>
      <c r="Y176" s="248"/>
      <c r="Z176" s="2408"/>
      <c r="AA176" s="2408"/>
      <c r="AB176" s="2408"/>
      <c r="AC176" s="3640"/>
    </row>
    <row r="177" spans="1:30" ht="12" customHeight="1">
      <c r="J177" s="181"/>
      <c r="K177" s="34"/>
      <c r="L177" s="33"/>
      <c r="M177" s="3390">
        <v>106</v>
      </c>
      <c r="N177" s="3460" t="s">
        <v>956</v>
      </c>
      <c r="O177" s="20"/>
      <c r="P177" s="20"/>
      <c r="Q177" s="186"/>
      <c r="R177" s="3639">
        <v>500000000</v>
      </c>
      <c r="S177" s="1449"/>
      <c r="T177" s="77"/>
      <c r="U177" s="77"/>
      <c r="V177" s="216"/>
      <c r="W177" s="245"/>
      <c r="X177" s="109"/>
      <c r="Y177" s="248"/>
      <c r="Z177" s="2408"/>
      <c r="AA177" s="2408"/>
      <c r="AB177" s="2408"/>
      <c r="AC177" s="3639" t="s">
        <v>1271</v>
      </c>
    </row>
    <row r="178" spans="1:30" ht="9.75" customHeight="1">
      <c r="J178" s="181"/>
      <c r="K178" s="34"/>
      <c r="L178" s="33"/>
      <c r="M178" s="3392"/>
      <c r="N178" s="3461"/>
      <c r="O178" s="20"/>
      <c r="P178" s="20"/>
      <c r="Q178" s="186"/>
      <c r="R178" s="3642"/>
      <c r="S178" s="1449"/>
      <c r="T178" s="77"/>
      <c r="U178" s="77"/>
      <c r="V178" s="216"/>
      <c r="W178" s="245"/>
      <c r="X178" s="109"/>
      <c r="Y178" s="248"/>
      <c r="Z178" s="2408"/>
      <c r="AA178" s="2408"/>
      <c r="AB178" s="2408"/>
      <c r="AC178" s="3642"/>
    </row>
    <row r="179" spans="1:30" ht="15" customHeight="1">
      <c r="J179" s="256"/>
      <c r="K179" s="54"/>
      <c r="L179" s="52"/>
      <c r="M179" s="3391"/>
      <c r="N179" s="3462"/>
      <c r="O179" s="20"/>
      <c r="P179" s="20"/>
      <c r="Q179" s="186"/>
      <c r="R179" s="3640"/>
      <c r="S179" s="1449"/>
      <c r="T179" s="77"/>
      <c r="U179" s="77"/>
      <c r="V179" s="216"/>
      <c r="W179" s="245"/>
      <c r="X179" s="109"/>
      <c r="Y179" s="248"/>
      <c r="Z179" s="2408"/>
      <c r="AA179" s="2408"/>
      <c r="AB179" s="2408"/>
      <c r="AC179" s="3640"/>
    </row>
    <row r="180" spans="1:30" s="3" customFormat="1" ht="30" customHeight="1">
      <c r="J180" s="178" t="str">
        <f>[2]DATA!B131</f>
        <v>II</v>
      </c>
      <c r="K180" s="112" t="str">
        <f>[2]DATA!C131</f>
        <v>NON-INFRASTRUKTUR</v>
      </c>
      <c r="L180" s="22"/>
      <c r="M180" s="22"/>
      <c r="N180" s="23"/>
      <c r="O180" s="22"/>
      <c r="P180" s="22"/>
      <c r="Q180" s="190"/>
      <c r="R180" s="2387">
        <f>R181+R195+R207+R212+R223+R226+R237+R240+R243+R249+R252+R255+R258</f>
        <v>5626512600</v>
      </c>
      <c r="S180" s="192"/>
      <c r="T180" s="79">
        <f>+T181+T195+T207+T212+T223+T226+T237+T240+T249+T252</f>
        <v>3088329500</v>
      </c>
      <c r="U180" s="79">
        <f>+U181+U195+U207+U212+U223+U226+U237+U240+U249+U252</f>
        <v>1502442600</v>
      </c>
      <c r="V180" s="212"/>
      <c r="W180" s="240">
        <f>+W181+W195+W207+W212+W223+W226+W237+W240+W249+W252</f>
        <v>4590772100</v>
      </c>
      <c r="X180" s="79" t="s">
        <v>21</v>
      </c>
      <c r="Y180" s="225"/>
      <c r="Z180" s="2422"/>
      <c r="AA180" s="2422"/>
      <c r="AB180" s="2422"/>
      <c r="AC180" s="2397"/>
    </row>
    <row r="181" spans="1:30" s="4" customFormat="1" ht="24.95" customHeight="1">
      <c r="J181" s="179"/>
      <c r="K181" s="25">
        <v>11</v>
      </c>
      <c r="L181" s="108" t="str">
        <f>[2]DATA!E131</f>
        <v>Kementerian Riset, Teknologi, dan Pendidikan Tinggi</v>
      </c>
      <c r="M181" s="25"/>
      <c r="N181" s="27"/>
      <c r="O181" s="26"/>
      <c r="P181" s="26"/>
      <c r="Q181" s="193"/>
      <c r="R181" s="2388">
        <f>+R182</f>
        <v>527171100</v>
      </c>
      <c r="S181" s="195"/>
      <c r="T181" s="80">
        <f t="shared" ref="T181:U181" si="19">+T182</f>
        <v>290311500</v>
      </c>
      <c r="U181" s="80">
        <f t="shared" si="19"/>
        <v>0</v>
      </c>
      <c r="V181" s="213"/>
      <c r="W181" s="242">
        <f>+W182</f>
        <v>290311500</v>
      </c>
      <c r="X181" s="80" t="s">
        <v>21</v>
      </c>
      <c r="Y181" s="227"/>
      <c r="Z181" s="2413"/>
      <c r="AA181" s="2413"/>
      <c r="AB181" s="2413"/>
      <c r="AC181" s="2399"/>
    </row>
    <row r="182" spans="1:30" s="5" customFormat="1" ht="33.75" customHeight="1">
      <c r="J182" s="180"/>
      <c r="K182" s="29"/>
      <c r="L182" s="30" t="str">
        <f>[2]DATA!G131</f>
        <v>A</v>
      </c>
      <c r="M182" s="3427" t="str">
        <f>[2]DATA!H131</f>
        <v>Program Peningkatan Akses, Kualitas, Relevansi, dan Daya Saing Pendidikan Tinggi</v>
      </c>
      <c r="N182" s="3428"/>
      <c r="O182" s="31"/>
      <c r="P182" s="31"/>
      <c r="Q182" s="196"/>
      <c r="R182" s="2389">
        <f>R183+R184+R185+R186+R187+R188+R189+R190+R191+R192+R193+R194</f>
        <v>527171100</v>
      </c>
      <c r="S182" s="198"/>
      <c r="T182" s="81">
        <f t="shared" ref="T182:W182" si="20">T183+T184+T185+T186+T187+T188+T189</f>
        <v>290311500</v>
      </c>
      <c r="U182" s="81">
        <f t="shared" si="20"/>
        <v>0</v>
      </c>
      <c r="V182" s="214"/>
      <c r="W182" s="244">
        <f t="shared" si="20"/>
        <v>290311500</v>
      </c>
      <c r="X182" s="81" t="s">
        <v>21</v>
      </c>
      <c r="Y182" s="229"/>
      <c r="Z182" s="2407"/>
      <c r="AA182" s="2407"/>
      <c r="AB182" s="2407"/>
      <c r="AC182" s="2401"/>
    </row>
    <row r="183" spans="1:30" ht="34.5" customHeight="1">
      <c r="A183" s="10">
        <f>[2]DATA!A132</f>
        <v>114</v>
      </c>
      <c r="B183" s="10">
        <f>[2]DATA!B132</f>
        <v>0</v>
      </c>
      <c r="C183" s="10" t="str">
        <f>[2]DATA!C132</f>
        <v>NON-INFRASTRUKTUR</v>
      </c>
      <c r="D183" s="10">
        <f>[2]DATA!D132</f>
        <v>8</v>
      </c>
      <c r="E183" s="10" t="str">
        <f>[2]DATA!E132</f>
        <v>Kementerian Riset, Teknologi, dan Pendidikan Tinggi</v>
      </c>
      <c r="F183" s="10" t="str">
        <f>[2]DATA!F132</f>
        <v>Improving Access, Quality, Relevance, and Competitiveness of Higher Education Program</v>
      </c>
      <c r="G183" s="10" t="str">
        <f>[2]DATA!G132</f>
        <v>A</v>
      </c>
      <c r="H183" s="10" t="str">
        <f>[2]DATA!H132</f>
        <v>Program Peningkatan Akses, Kualitas, Relevansi, dan Daya Saing Pendidikan Tinggi</v>
      </c>
      <c r="I183" s="10">
        <f>[2]DATA!I132</f>
        <v>1</v>
      </c>
      <c r="J183" s="181"/>
      <c r="K183" s="34"/>
      <c r="L183" s="34"/>
      <c r="M183" s="3390">
        <v>107</v>
      </c>
      <c r="N183" s="37" t="str">
        <f>[2]DATA!J132</f>
        <v>The Development of Sultan Ageng Tirtayasa University (UNTIRTA)</v>
      </c>
      <c r="O183" s="20">
        <f>[2]DATA!O132</f>
        <v>0.14285714285714299</v>
      </c>
      <c r="P183" s="20">
        <f>[2]DATA!P132</f>
        <v>0</v>
      </c>
      <c r="Q183" s="186">
        <f>[2]DATA!Q132</f>
        <v>0</v>
      </c>
      <c r="R183" s="2386">
        <f>[2]DATA!R132</f>
        <v>49882300</v>
      </c>
      <c r="S183" s="1449" t="str">
        <f>[2]DATA!W132</f>
        <v>IDB</v>
      </c>
      <c r="T183" s="77">
        <f>[2]DATA!Z132</f>
        <v>49882300</v>
      </c>
      <c r="U183" s="77"/>
      <c r="V183" s="216" t="str">
        <f>[2]DATA!W132</f>
        <v>IDB</v>
      </c>
      <c r="W183" s="245">
        <f>[2]DATA!AN132</f>
        <v>49882300</v>
      </c>
      <c r="X183" s="109" t="str">
        <f>[2]DATA!AO132</f>
        <v>IDB</v>
      </c>
      <c r="Y183" s="248" t="str">
        <f>[2]DATA!AP132</f>
        <v>-</v>
      </c>
      <c r="Z183" s="2408" t="s">
        <v>608</v>
      </c>
      <c r="AA183" s="2408" t="s">
        <v>568</v>
      </c>
      <c r="AB183" s="2408"/>
      <c r="AC183" s="2391"/>
      <c r="AD183" s="2404"/>
    </row>
    <row r="184" spans="1:30" ht="35.25" customHeight="1">
      <c r="A184" s="10">
        <f>[2]DATA!A133</f>
        <v>115</v>
      </c>
      <c r="B184" s="10">
        <f>[2]DATA!B133</f>
        <v>0</v>
      </c>
      <c r="C184" s="10" t="str">
        <f>[2]DATA!C133</f>
        <v>NON-INFRASTRUKTUR</v>
      </c>
      <c r="D184" s="10">
        <f>[2]DATA!D133</f>
        <v>8</v>
      </c>
      <c r="E184" s="10" t="str">
        <f>[2]DATA!E133</f>
        <v>Kementerian Riset, Teknologi, dan Pendidikan Tinggi</v>
      </c>
      <c r="F184" s="10" t="str">
        <f>[2]DATA!F133</f>
        <v>Improving Access, Quality, Relevance, and Competitiveness of Higher Education Program</v>
      </c>
      <c r="G184" s="10" t="str">
        <f>[2]DATA!G133</f>
        <v>A</v>
      </c>
      <c r="H184" s="10" t="str">
        <f>[2]DATA!H133</f>
        <v>Program Peningkatan Akses, Kualitas, Relevansi, dan Daya Saing Pendidikan Tinggi</v>
      </c>
      <c r="I184" s="10">
        <f>[2]DATA!I133</f>
        <v>1</v>
      </c>
      <c r="J184" s="181"/>
      <c r="K184" s="34"/>
      <c r="L184" s="34"/>
      <c r="M184" s="3392"/>
      <c r="N184" s="37" t="str">
        <f>[2]DATA!J133</f>
        <v>Development for State University of Malang as The Learning University</v>
      </c>
      <c r="O184" s="20">
        <f>[2]DATA!O133</f>
        <v>0.14285714285714299</v>
      </c>
      <c r="P184" s="20">
        <f>[2]DATA!P133</f>
        <v>0</v>
      </c>
      <c r="Q184" s="186">
        <f>[2]DATA!Q133</f>
        <v>0</v>
      </c>
      <c r="R184" s="2386">
        <f>[2]DATA!R133</f>
        <v>38400000</v>
      </c>
      <c r="S184" s="1449" t="str">
        <f>[2]DATA!W133</f>
        <v>IDB</v>
      </c>
      <c r="T184" s="77">
        <f>[2]DATA!Z133</f>
        <v>38400000</v>
      </c>
      <c r="U184" s="77"/>
      <c r="V184" s="216" t="str">
        <f>[2]DATA!W133</f>
        <v>IDB</v>
      </c>
      <c r="W184" s="245">
        <f>[2]DATA!AN133</f>
        <v>38400000</v>
      </c>
      <c r="X184" s="109" t="str">
        <f>[2]DATA!AO133</f>
        <v>IDB</v>
      </c>
      <c r="Y184" s="248" t="str">
        <f>[2]DATA!AP133</f>
        <v>-</v>
      </c>
      <c r="Z184" s="2408" t="s">
        <v>675</v>
      </c>
      <c r="AA184" s="2408" t="s">
        <v>568</v>
      </c>
      <c r="AB184" s="2408"/>
      <c r="AC184" s="2391"/>
      <c r="AD184" s="2404"/>
    </row>
    <row r="185" spans="1:30" ht="30.75" customHeight="1">
      <c r="A185" s="10">
        <f>[2]DATA!A134</f>
        <v>116</v>
      </c>
      <c r="B185" s="10">
        <f>[2]DATA!B134</f>
        <v>0</v>
      </c>
      <c r="C185" s="10" t="str">
        <f>[2]DATA!C134</f>
        <v>NON-INFRASTRUKTUR</v>
      </c>
      <c r="D185" s="10">
        <f>[2]DATA!D134</f>
        <v>8</v>
      </c>
      <c r="E185" s="10" t="str">
        <f>[2]DATA!E134</f>
        <v>Kementerian Riset, Teknologi, dan Pendidikan Tinggi</v>
      </c>
      <c r="F185" s="10" t="str">
        <f>[2]DATA!F134</f>
        <v>Improving Access, Quality, Relevance, and Competitiveness of Higher Education Program</v>
      </c>
      <c r="G185" s="10" t="str">
        <f>[2]DATA!G134</f>
        <v>A</v>
      </c>
      <c r="H185" s="10" t="str">
        <f>[2]DATA!H134</f>
        <v>Program Peningkatan Akses, Kualitas, Relevansi, dan Daya Saing Pendidikan Tinggi</v>
      </c>
      <c r="I185" s="10">
        <f>[2]DATA!I134</f>
        <v>1</v>
      </c>
      <c r="J185" s="181"/>
      <c r="K185" s="34"/>
      <c r="L185" s="34"/>
      <c r="M185" s="3392"/>
      <c r="N185" s="37" t="str">
        <f>[2]DATA!J134</f>
        <v>The Development and Upgrading Mulawarman University</v>
      </c>
      <c r="O185" s="20">
        <f>[2]DATA!O134</f>
        <v>0.14285714285714299</v>
      </c>
      <c r="P185" s="20">
        <f>[2]DATA!P134</f>
        <v>0</v>
      </c>
      <c r="Q185" s="186">
        <f>[2]DATA!Q134</f>
        <v>0</v>
      </c>
      <c r="R185" s="2386">
        <f>[2]DATA!R134</f>
        <v>44400000</v>
      </c>
      <c r="S185" s="1449" t="str">
        <f>[2]DATA!W134</f>
        <v>IDB</v>
      </c>
      <c r="T185" s="77">
        <f>[2]DATA!Z134</f>
        <v>44400000</v>
      </c>
      <c r="U185" s="77"/>
      <c r="V185" s="216" t="str">
        <f>[2]DATA!W134</f>
        <v>IDB</v>
      </c>
      <c r="W185" s="245">
        <f>[2]DATA!AN134</f>
        <v>44400000</v>
      </c>
      <c r="X185" s="109" t="str">
        <f>[2]DATA!AO134</f>
        <v>IDB</v>
      </c>
      <c r="Y185" s="248" t="str">
        <f>[2]DATA!AP134</f>
        <v>-</v>
      </c>
      <c r="Z185" s="2408" t="s">
        <v>568</v>
      </c>
      <c r="AA185" s="2408" t="s">
        <v>568</v>
      </c>
      <c r="AB185" s="2408"/>
      <c r="AC185" s="2391"/>
      <c r="AD185" s="2404"/>
    </row>
    <row r="186" spans="1:30" ht="51.75" customHeight="1">
      <c r="A186" s="10">
        <f>[2]DATA!A135</f>
        <v>117</v>
      </c>
      <c r="B186" s="10">
        <f>[2]DATA!B135</f>
        <v>0</v>
      </c>
      <c r="C186" s="10" t="str">
        <f>[2]DATA!C135</f>
        <v>NON-INFRASTRUKTUR</v>
      </c>
      <c r="D186" s="10">
        <f>[2]DATA!D135</f>
        <v>8</v>
      </c>
      <c r="E186" s="10" t="str">
        <f>[2]DATA!E135</f>
        <v>Kementerian Riset, Teknologi, dan Pendidikan Tinggi</v>
      </c>
      <c r="F186" s="10" t="str">
        <f>[2]DATA!F135</f>
        <v>Improving Access, Quality, Relevance, and Competitiveness of Higher Education Program</v>
      </c>
      <c r="G186" s="10" t="str">
        <f>[2]DATA!G135</f>
        <v>A</v>
      </c>
      <c r="H186" s="10" t="str">
        <f>[2]DATA!H135</f>
        <v>Program Peningkatan Akses, Kualitas, Relevansi, dan Daya Saing Pendidikan Tinggi</v>
      </c>
      <c r="I186" s="10">
        <f>[2]DATA!I135</f>
        <v>1</v>
      </c>
      <c r="J186" s="181"/>
      <c r="K186" s="34"/>
      <c r="L186" s="34"/>
      <c r="M186" s="3392"/>
      <c r="N186" s="37" t="str">
        <f>[2]DATA!J135</f>
        <v>Improvement of The Capacity and Contribution of The University of Jember on Standardized and Excellent Tridharma Implementation in South East Asia Region</v>
      </c>
      <c r="O186" s="20">
        <f>[2]DATA!O135</f>
        <v>0.14285714285714299</v>
      </c>
      <c r="P186" s="20">
        <f>[2]DATA!P135</f>
        <v>0</v>
      </c>
      <c r="Q186" s="186">
        <f>[2]DATA!Q135</f>
        <v>0</v>
      </c>
      <c r="R186" s="2386">
        <f>[2]DATA!R135</f>
        <v>44091200</v>
      </c>
      <c r="S186" s="1449" t="str">
        <f>[2]DATA!W135</f>
        <v>IDB</v>
      </c>
      <c r="T186" s="77">
        <f>[2]DATA!Z135</f>
        <v>44091200</v>
      </c>
      <c r="U186" s="77"/>
      <c r="V186" s="216" t="str">
        <f>[2]DATA!W135</f>
        <v>IDB</v>
      </c>
      <c r="W186" s="245">
        <f>[2]DATA!AN135</f>
        <v>44091200</v>
      </c>
      <c r="X186" s="109" t="str">
        <f>[2]DATA!AO135</f>
        <v>IDB</v>
      </c>
      <c r="Y186" s="248" t="str">
        <f>[2]DATA!AP135</f>
        <v>-</v>
      </c>
      <c r="Z186" s="2408" t="s">
        <v>675</v>
      </c>
      <c r="AA186" s="2408" t="s">
        <v>568</v>
      </c>
      <c r="AB186" s="2408"/>
      <c r="AC186" s="2391"/>
      <c r="AD186" s="2404"/>
    </row>
    <row r="187" spans="1:30" ht="34.5" customHeight="1">
      <c r="A187" s="10">
        <f>[2]DATA!A136</f>
        <v>118</v>
      </c>
      <c r="B187" s="10">
        <f>[2]DATA!B136</f>
        <v>0</v>
      </c>
      <c r="C187" s="10" t="str">
        <f>[2]DATA!C136</f>
        <v>NON-INFRASTRUKTUR</v>
      </c>
      <c r="D187" s="10">
        <f>[2]DATA!D136</f>
        <v>8</v>
      </c>
      <c r="E187" s="10" t="str">
        <f>[2]DATA!E136</f>
        <v>Kementerian Riset, Teknologi, dan Pendidikan Tinggi</v>
      </c>
      <c r="F187" s="10" t="str">
        <f>[2]DATA!F136</f>
        <v>Improving Access, Quality, Relevance, and Competitiveness of Higher Education Program</v>
      </c>
      <c r="G187" s="10" t="str">
        <f>[2]DATA!G136</f>
        <v>A</v>
      </c>
      <c r="H187" s="10" t="str">
        <f>[2]DATA!H136</f>
        <v>Program Peningkatan Akses, Kualitas, Relevansi, dan Daya Saing Pendidikan Tinggi</v>
      </c>
      <c r="I187" s="10">
        <f>[2]DATA!I136</f>
        <v>1</v>
      </c>
      <c r="J187" s="181"/>
      <c r="K187" s="34"/>
      <c r="L187" s="34"/>
      <c r="M187" s="3392"/>
      <c r="N187" s="37" t="str">
        <f>[2]DATA!J136</f>
        <v>The Plan of Hasanuddin University Hospital Development</v>
      </c>
      <c r="O187" s="20">
        <f>[2]DATA!O136</f>
        <v>0.14285714285714299</v>
      </c>
      <c r="P187" s="20">
        <f>[2]DATA!P136</f>
        <v>0</v>
      </c>
      <c r="Q187" s="186">
        <f>[2]DATA!Q136</f>
        <v>0</v>
      </c>
      <c r="R187" s="2386">
        <f>[2]DATA!R136</f>
        <v>31565800</v>
      </c>
      <c r="S187" s="1449" t="str">
        <f>[2]DATA!W136</f>
        <v>Jerman (KfW)</v>
      </c>
      <c r="T187" s="77">
        <f>[2]DATA!Z136</f>
        <v>31565800</v>
      </c>
      <c r="U187" s="77"/>
      <c r="V187" s="216" t="str">
        <f>[2]DATA!W136</f>
        <v>Jerman (KfW)</v>
      </c>
      <c r="W187" s="245">
        <f>[2]DATA!AN136</f>
        <v>31565800</v>
      </c>
      <c r="X187" s="109" t="str">
        <f>[2]DATA!AO136</f>
        <v>Jerman (KfW)</v>
      </c>
      <c r="Y187" s="248" t="str">
        <f>[2]DATA!AP136</f>
        <v>-</v>
      </c>
      <c r="Z187" s="2408" t="s">
        <v>568</v>
      </c>
      <c r="AA187" s="2408" t="s">
        <v>568</v>
      </c>
      <c r="AB187" s="2408"/>
      <c r="AC187" s="2391"/>
      <c r="AD187" s="2404"/>
    </row>
    <row r="188" spans="1:30" ht="26.25" customHeight="1">
      <c r="A188" s="10">
        <f>[2]DATA!A137</f>
        <v>119</v>
      </c>
      <c r="B188" s="10">
        <f>[2]DATA!B137</f>
        <v>0</v>
      </c>
      <c r="C188" s="10" t="str">
        <f>[2]DATA!C137</f>
        <v>NON-INFRASTRUKTUR</v>
      </c>
      <c r="D188" s="10">
        <f>[2]DATA!D137</f>
        <v>8</v>
      </c>
      <c r="E188" s="10" t="str">
        <f>[2]DATA!E137</f>
        <v>Kementerian Riset, Teknologi, dan Pendidikan Tinggi</v>
      </c>
      <c r="F188" s="10" t="str">
        <f>[2]DATA!F137</f>
        <v>Improving Access, Quality, Relevance, and Competitiveness of Higher Education Program</v>
      </c>
      <c r="G188" s="10" t="str">
        <f>[2]DATA!G137</f>
        <v>A</v>
      </c>
      <c r="H188" s="10" t="str">
        <f>[2]DATA!H137</f>
        <v>Program Peningkatan Akses, Kualitas, Relevansi, dan Daya Saing Pendidikan Tinggi</v>
      </c>
      <c r="I188" s="10">
        <f>[2]DATA!I137</f>
        <v>1</v>
      </c>
      <c r="J188" s="181"/>
      <c r="K188" s="34"/>
      <c r="L188" s="34"/>
      <c r="M188" s="3392"/>
      <c r="N188" s="37" t="str">
        <f>[2]DATA!J137</f>
        <v>Establishment of University of Bengkulu’s Hospital</v>
      </c>
      <c r="O188" s="20">
        <f>[2]DATA!O137</f>
        <v>0.14285714285714299</v>
      </c>
      <c r="P188" s="20">
        <f>[2]DATA!P137</f>
        <v>0</v>
      </c>
      <c r="Q188" s="186">
        <f>[2]DATA!Q137</f>
        <v>0</v>
      </c>
      <c r="R188" s="2386">
        <f>[2]DATA!R137</f>
        <v>10278200</v>
      </c>
      <c r="S188" s="1449" t="str">
        <f>[2]DATA!W137</f>
        <v>JICA</v>
      </c>
      <c r="T188" s="77">
        <f>[2]DATA!Z137</f>
        <v>10278200</v>
      </c>
      <c r="U188" s="77"/>
      <c r="V188" s="216" t="str">
        <f>[2]DATA!W137</f>
        <v>JICA</v>
      </c>
      <c r="W188" s="245">
        <f>[2]DATA!AN137</f>
        <v>10278200</v>
      </c>
      <c r="X188" s="109" t="str">
        <f>[2]DATA!AO137</f>
        <v>JICA</v>
      </c>
      <c r="Y188" s="248" t="str">
        <f>[2]DATA!AP137</f>
        <v>-</v>
      </c>
      <c r="Z188" s="2408" t="s">
        <v>568</v>
      </c>
      <c r="AA188" s="2408" t="s">
        <v>568</v>
      </c>
      <c r="AB188" s="2408"/>
      <c r="AC188" s="2391"/>
      <c r="AD188" s="2404"/>
    </row>
    <row r="189" spans="1:30" ht="36" customHeight="1">
      <c r="A189" s="10">
        <f>[2]DATA!A138</f>
        <v>120</v>
      </c>
      <c r="B189" s="10">
        <f>[2]DATA!B138</f>
        <v>0</v>
      </c>
      <c r="C189" s="10" t="str">
        <f>[2]DATA!C138</f>
        <v>NON-INFRASTRUKTUR</v>
      </c>
      <c r="D189" s="10">
        <f>[2]DATA!D138</f>
        <v>8</v>
      </c>
      <c r="E189" s="10" t="str">
        <f>[2]DATA!E138</f>
        <v>Kementerian Riset, Teknologi, dan Pendidikan Tinggi</v>
      </c>
      <c r="F189" s="10" t="str">
        <f>[2]DATA!F138</f>
        <v>Improving Access, Quality, Relevance, and Competitiveness of Higher Education Program</v>
      </c>
      <c r="G189" s="10" t="str">
        <f>[2]DATA!G138</f>
        <v>A</v>
      </c>
      <c r="H189" s="10" t="str">
        <f>[2]DATA!H138</f>
        <v>Program Peningkatan Akses, Kualitas, Relevansi, dan Daya Saing Pendidikan Tinggi</v>
      </c>
      <c r="I189" s="10">
        <f>[2]DATA!I138</f>
        <v>1</v>
      </c>
      <c r="J189" s="181"/>
      <c r="K189" s="34"/>
      <c r="L189" s="54"/>
      <c r="M189" s="3392"/>
      <c r="N189" s="37" t="str">
        <f>[2]DATA!J138</f>
        <v>Universitas Gadjah Mada Achieving World Class University with Socio-Entrepreneurial Spirit</v>
      </c>
      <c r="O189" s="20">
        <f>[2]DATA!O138</f>
        <v>0.14285714285714299</v>
      </c>
      <c r="P189" s="20">
        <f>[2]DATA!P138</f>
        <v>0</v>
      </c>
      <c r="Q189" s="186">
        <f>[2]DATA!Q138</f>
        <v>0</v>
      </c>
      <c r="R189" s="2386">
        <f>[2]DATA!R138</f>
        <v>71694000</v>
      </c>
      <c r="S189" s="1449" t="str">
        <f>[2]DATA!W138</f>
        <v>JICA</v>
      </c>
      <c r="T189" s="77">
        <f>[2]DATA!Z138</f>
        <v>71694000</v>
      </c>
      <c r="U189" s="77"/>
      <c r="V189" s="216" t="str">
        <f>[2]DATA!W138</f>
        <v>JICA</v>
      </c>
      <c r="W189" s="245">
        <f>[2]DATA!AN138</f>
        <v>71694000</v>
      </c>
      <c r="X189" s="109" t="str">
        <f>[2]DATA!AO138</f>
        <v>JICA</v>
      </c>
      <c r="Y189" s="248" t="str">
        <f>[2]DATA!AP138</f>
        <v>-</v>
      </c>
      <c r="Z189" s="2408" t="s">
        <v>675</v>
      </c>
      <c r="AA189" s="2408" t="s">
        <v>568</v>
      </c>
      <c r="AB189" s="2408"/>
      <c r="AC189" s="2391"/>
      <c r="AD189" s="2404"/>
    </row>
    <row r="190" spans="1:30" ht="34.5" customHeight="1">
      <c r="J190" s="181"/>
      <c r="K190" s="34"/>
      <c r="L190" s="54"/>
      <c r="M190" s="3392"/>
      <c r="N190" s="37" t="s">
        <v>980</v>
      </c>
      <c r="O190" s="20"/>
      <c r="P190" s="20"/>
      <c r="Q190" s="186"/>
      <c r="R190" s="2386">
        <v>48543100</v>
      </c>
      <c r="S190" s="1449"/>
      <c r="T190" s="77"/>
      <c r="U190" s="77"/>
      <c r="V190" s="216"/>
      <c r="W190" s="245"/>
      <c r="X190" s="109"/>
      <c r="Y190" s="248"/>
      <c r="Z190" s="2408"/>
      <c r="AA190" s="2408"/>
      <c r="AB190" s="2408"/>
      <c r="AC190" s="2391" t="s">
        <v>1271</v>
      </c>
    </row>
    <row r="191" spans="1:30" ht="15" customHeight="1">
      <c r="J191" s="181"/>
      <c r="K191" s="34"/>
      <c r="L191" s="54"/>
      <c r="M191" s="3392"/>
      <c r="N191" s="37" t="s">
        <v>981</v>
      </c>
      <c r="O191" s="20"/>
      <c r="P191" s="20"/>
      <c r="Q191" s="186"/>
      <c r="R191" s="2386">
        <v>53879300</v>
      </c>
      <c r="S191" s="1449"/>
      <c r="T191" s="77"/>
      <c r="U191" s="77"/>
      <c r="V191" s="216"/>
      <c r="W191" s="245"/>
      <c r="X191" s="109"/>
      <c r="Y191" s="248"/>
      <c r="Z191" s="2408"/>
      <c r="AA191" s="2408"/>
      <c r="AB191" s="2408"/>
      <c r="AC191" s="2391" t="s">
        <v>1271</v>
      </c>
    </row>
    <row r="192" spans="1:30" ht="29.25" customHeight="1">
      <c r="J192" s="181"/>
      <c r="K192" s="34"/>
      <c r="L192" s="54"/>
      <c r="M192" s="3392"/>
      <c r="N192" s="37" t="s">
        <v>982</v>
      </c>
      <c r="O192" s="20"/>
      <c r="P192" s="20"/>
      <c r="Q192" s="186"/>
      <c r="R192" s="2386">
        <v>32709400</v>
      </c>
      <c r="S192" s="1449"/>
      <c r="T192" s="77"/>
      <c r="U192" s="77"/>
      <c r="V192" s="216"/>
      <c r="W192" s="245"/>
      <c r="X192" s="109"/>
      <c r="Y192" s="248"/>
      <c r="Z192" s="2408"/>
      <c r="AA192" s="2408"/>
      <c r="AB192" s="2408"/>
      <c r="AC192" s="2391" t="s">
        <v>1271</v>
      </c>
    </row>
    <row r="193" spans="1:30" ht="30" customHeight="1">
      <c r="J193" s="181"/>
      <c r="K193" s="34"/>
      <c r="L193" s="54"/>
      <c r="M193" s="3392"/>
      <c r="N193" s="37" t="s">
        <v>983</v>
      </c>
      <c r="O193" s="20"/>
      <c r="P193" s="20"/>
      <c r="Q193" s="186"/>
      <c r="R193" s="2386">
        <v>51777700</v>
      </c>
      <c r="S193" s="1449"/>
      <c r="T193" s="77"/>
      <c r="U193" s="77"/>
      <c r="V193" s="216"/>
      <c r="W193" s="245"/>
      <c r="X193" s="109"/>
      <c r="Y193" s="248"/>
      <c r="Z193" s="2408"/>
      <c r="AA193" s="2408"/>
      <c r="AB193" s="2408"/>
      <c r="AC193" s="2391" t="s">
        <v>1271</v>
      </c>
    </row>
    <row r="194" spans="1:30" ht="36" customHeight="1">
      <c r="J194" s="181"/>
      <c r="K194" s="34"/>
      <c r="L194" s="54"/>
      <c r="M194" s="3391"/>
      <c r="N194" s="37" t="s">
        <v>984</v>
      </c>
      <c r="O194" s="20"/>
      <c r="P194" s="20"/>
      <c r="Q194" s="186"/>
      <c r="R194" s="2386">
        <v>49950100</v>
      </c>
      <c r="S194" s="1449"/>
      <c r="T194" s="77"/>
      <c r="U194" s="77"/>
      <c r="V194" s="216"/>
      <c r="W194" s="245"/>
      <c r="X194" s="109"/>
      <c r="Y194" s="248"/>
      <c r="Z194" s="2408"/>
      <c r="AA194" s="2408"/>
      <c r="AB194" s="2408"/>
      <c r="AC194" s="2391" t="s">
        <v>1271</v>
      </c>
    </row>
    <row r="195" spans="1:30" s="4" customFormat="1" ht="24.95" customHeight="1">
      <c r="J195" s="250"/>
      <c r="K195" s="25">
        <v>12</v>
      </c>
      <c r="L195" s="108" t="str">
        <f>[2]DATA!E139</f>
        <v>Kementerian Agama</v>
      </c>
      <c r="M195" s="25"/>
      <c r="N195" s="27"/>
      <c r="O195" s="26"/>
      <c r="P195" s="26"/>
      <c r="Q195" s="193"/>
      <c r="R195" s="2388">
        <f>+R196</f>
        <v>414140900</v>
      </c>
      <c r="S195" s="195"/>
      <c r="T195" s="80">
        <f t="shared" ref="T195:W195" si="21">+T196</f>
        <v>238210000</v>
      </c>
      <c r="U195" s="80">
        <f t="shared" si="21"/>
        <v>0</v>
      </c>
      <c r="V195" s="213"/>
      <c r="W195" s="242">
        <f t="shared" si="21"/>
        <v>238210000</v>
      </c>
      <c r="X195" s="80" t="s">
        <v>21</v>
      </c>
      <c r="Y195" s="227"/>
      <c r="Z195" s="2413"/>
      <c r="AA195" s="2413"/>
      <c r="AB195" s="2413"/>
      <c r="AC195" s="2399"/>
    </row>
    <row r="196" spans="1:30" s="5" customFormat="1" ht="33.75" customHeight="1">
      <c r="J196" s="180"/>
      <c r="K196" s="29"/>
      <c r="L196" s="30" t="str">
        <f>[2]DATA!G139</f>
        <v>A</v>
      </c>
      <c r="M196" s="3427" t="str">
        <f>[2]DATA!H139</f>
        <v>Program Peningkatan Akses, Kualitas, Relevansi, dan Daya Saing Pendidikan Tinggi Islam</v>
      </c>
      <c r="N196" s="3428"/>
      <c r="O196" s="31"/>
      <c r="P196" s="31"/>
      <c r="Q196" s="196"/>
      <c r="R196" s="2389">
        <f>R197+R198+R199+R200+R201+R202+R203+R204+R205+R206</f>
        <v>414140900</v>
      </c>
      <c r="S196" s="198"/>
      <c r="T196" s="81">
        <f t="shared" ref="T196:W196" si="22">T197+T198+T199+T200+T201+T202</f>
        <v>238210000</v>
      </c>
      <c r="U196" s="81">
        <f t="shared" si="22"/>
        <v>0</v>
      </c>
      <c r="V196" s="214"/>
      <c r="W196" s="244">
        <f t="shared" si="22"/>
        <v>238210000</v>
      </c>
      <c r="X196" s="81" t="s">
        <v>21</v>
      </c>
      <c r="Y196" s="229"/>
      <c r="Z196" s="2407"/>
      <c r="AA196" s="2407"/>
      <c r="AB196" s="2407"/>
      <c r="AC196" s="2401"/>
    </row>
    <row r="197" spans="1:30" ht="33" customHeight="1">
      <c r="A197" s="10">
        <f>[2]DATA!A140</f>
        <v>124</v>
      </c>
      <c r="B197" s="10">
        <f>[2]DATA!B140</f>
        <v>0</v>
      </c>
      <c r="C197" s="10" t="str">
        <f>[2]DATA!C140</f>
        <v>NON-INFRASTRUKTUR</v>
      </c>
      <c r="D197" s="10">
        <f>[2]DATA!D140</f>
        <v>9</v>
      </c>
      <c r="E197" s="10" t="str">
        <f>[2]DATA!E140</f>
        <v>Kementerian Agama</v>
      </c>
      <c r="F197" s="10" t="str">
        <f>[2]DATA!F140</f>
        <v>Improving Access, Quality, Relevance, and Competitiveness of Islamic Higher Education Program</v>
      </c>
      <c r="G197" s="10" t="str">
        <f>[2]DATA!G140</f>
        <v>A</v>
      </c>
      <c r="H197" s="10" t="str">
        <f>[2]DATA!H140</f>
        <v>Program Peningkatan Akses, Kualitas, Relevansi, dan Daya Saing Pendidikan Tinggi Islam</v>
      </c>
      <c r="I197" s="10">
        <f>[2]DATA!I140</f>
        <v>1</v>
      </c>
      <c r="J197" s="181"/>
      <c r="K197" s="34"/>
      <c r="L197" s="34"/>
      <c r="M197" s="3390">
        <v>108</v>
      </c>
      <c r="N197" s="37" t="str">
        <f>[2]DATA!J140</f>
        <v>Improvement and Optimalization of Sunan Ampel Surabaya State Islamic University</v>
      </c>
      <c r="O197" s="20">
        <f>[2]DATA!O140</f>
        <v>0.16666666666666699</v>
      </c>
      <c r="P197" s="20">
        <f>[2]DATA!P140</f>
        <v>0</v>
      </c>
      <c r="Q197" s="186">
        <f>[2]DATA!Q140</f>
        <v>0</v>
      </c>
      <c r="R197" s="2386">
        <f>[2]DATA!R140</f>
        <v>40000000</v>
      </c>
      <c r="S197" s="1449" t="str">
        <f>[2]DATA!W140</f>
        <v>IDB</v>
      </c>
      <c r="T197" s="77">
        <f>[2]DATA!Z140</f>
        <v>40000000</v>
      </c>
      <c r="U197" s="77"/>
      <c r="V197" s="216" t="str">
        <f>[2]DATA!W140</f>
        <v>IDB</v>
      </c>
      <c r="W197" s="245">
        <f>[2]DATA!AN140</f>
        <v>40000000</v>
      </c>
      <c r="X197" s="109" t="str">
        <f>[2]DATA!AO140</f>
        <v>IDB</v>
      </c>
      <c r="Y197" s="248" t="str">
        <f>[2]DATA!AP140</f>
        <v>-</v>
      </c>
      <c r="Z197" s="2408" t="s">
        <v>675</v>
      </c>
      <c r="AA197" s="2408" t="s">
        <v>1128</v>
      </c>
      <c r="AB197" s="2408"/>
      <c r="AC197" s="2391"/>
      <c r="AD197" s="2404"/>
    </row>
    <row r="198" spans="1:30" ht="34.5" customHeight="1">
      <c r="A198" s="10">
        <f>[2]DATA!A141</f>
        <v>125</v>
      </c>
      <c r="B198" s="10">
        <f>[2]DATA!B141</f>
        <v>0</v>
      </c>
      <c r="C198" s="10" t="str">
        <f>[2]DATA!C141</f>
        <v>NON-INFRASTRUKTUR</v>
      </c>
      <c r="D198" s="10">
        <f>[2]DATA!D141</f>
        <v>9</v>
      </c>
      <c r="E198" s="10" t="str">
        <f>[2]DATA!E141</f>
        <v>Kementerian Agama</v>
      </c>
      <c r="F198" s="10" t="str">
        <f>[2]DATA!F141</f>
        <v>Improving Access, Quality, Relevance, and Competitiveness of Islamic Higher Education Program</v>
      </c>
      <c r="G198" s="10" t="str">
        <f>[2]DATA!G141</f>
        <v>A</v>
      </c>
      <c r="H198" s="10" t="str">
        <f>[2]DATA!H141</f>
        <v>Program Peningkatan Akses, Kualitas, Relevansi, dan Daya Saing Pendidikan Tinggi Islam</v>
      </c>
      <c r="I198" s="10">
        <f>[2]DATA!I141</f>
        <v>1</v>
      </c>
      <c r="J198" s="181"/>
      <c r="K198" s="34"/>
      <c r="L198" s="34"/>
      <c r="M198" s="3392"/>
      <c r="N198" s="37" t="str">
        <f>[2]DATA!J141</f>
        <v>Improvement Access and Quality of State Islamic Institute  Suthan Maulana Hasanuddin Banten</v>
      </c>
      <c r="O198" s="20">
        <f>[2]DATA!O141</f>
        <v>0.16666666666666699</v>
      </c>
      <c r="P198" s="20">
        <f>[2]DATA!P141</f>
        <v>0</v>
      </c>
      <c r="Q198" s="186">
        <f>[2]DATA!Q141</f>
        <v>0</v>
      </c>
      <c r="R198" s="2386">
        <f>[2]DATA!R141</f>
        <v>40000000</v>
      </c>
      <c r="S198" s="1449" t="str">
        <f>[2]DATA!W141</f>
        <v>IDB</v>
      </c>
      <c r="T198" s="77">
        <f>[2]DATA!Z141</f>
        <v>40000000</v>
      </c>
      <c r="U198" s="77"/>
      <c r="V198" s="216" t="str">
        <f>[2]DATA!W141</f>
        <v>IDB</v>
      </c>
      <c r="W198" s="245">
        <f>[2]DATA!AN141</f>
        <v>40000000</v>
      </c>
      <c r="X198" s="109" t="str">
        <f>[2]DATA!AO141</f>
        <v>IDB</v>
      </c>
      <c r="Y198" s="248" t="str">
        <f>[2]DATA!AP141</f>
        <v>-</v>
      </c>
      <c r="Z198" s="2408" t="s">
        <v>568</v>
      </c>
      <c r="AA198" s="2408" t="s">
        <v>568</v>
      </c>
      <c r="AB198" s="2408"/>
      <c r="AC198" s="2391"/>
      <c r="AD198" s="2404"/>
    </row>
    <row r="199" spans="1:30" ht="30" customHeight="1">
      <c r="A199" s="10">
        <f>[2]DATA!A142</f>
        <v>126</v>
      </c>
      <c r="B199" s="10">
        <f>[2]DATA!B142</f>
        <v>0</v>
      </c>
      <c r="C199" s="10" t="str">
        <f>[2]DATA!C142</f>
        <v>NON-INFRASTRUKTUR</v>
      </c>
      <c r="D199" s="10">
        <f>[2]DATA!D142</f>
        <v>9</v>
      </c>
      <c r="E199" s="10" t="str">
        <f>[2]DATA!E142</f>
        <v>Kementerian Agama</v>
      </c>
      <c r="F199" s="10" t="str">
        <f>[2]DATA!F142</f>
        <v>Improving Access, Quality, Relevance, and Competitiveness of Islamic Higher Education Program</v>
      </c>
      <c r="G199" s="10" t="str">
        <f>[2]DATA!G142</f>
        <v>A</v>
      </c>
      <c r="H199" s="10" t="str">
        <f>[2]DATA!H142</f>
        <v>Program Peningkatan Akses, Kualitas, Relevansi, dan Daya Saing Pendidikan Tinggi Islam</v>
      </c>
      <c r="I199" s="10">
        <f>[2]DATA!I142</f>
        <v>1</v>
      </c>
      <c r="J199" s="181"/>
      <c r="K199" s="34"/>
      <c r="L199" s="34"/>
      <c r="M199" s="3392"/>
      <c r="N199" s="37" t="str">
        <f>[2]DATA!J142</f>
        <v>Development and Quality Improvement  of Antasari State Islamic Institute</v>
      </c>
      <c r="O199" s="20">
        <f>[2]DATA!O142</f>
        <v>0.16666666666666699</v>
      </c>
      <c r="P199" s="20">
        <f>[2]DATA!P142</f>
        <v>0</v>
      </c>
      <c r="Q199" s="186">
        <f>[2]DATA!Q142</f>
        <v>0</v>
      </c>
      <c r="R199" s="2386">
        <f>[2]DATA!R142</f>
        <v>39908600</v>
      </c>
      <c r="S199" s="1449" t="str">
        <f>[2]DATA!W142</f>
        <v>IDB</v>
      </c>
      <c r="T199" s="77">
        <f>[2]DATA!Z142</f>
        <v>39900000</v>
      </c>
      <c r="U199" s="77"/>
      <c r="V199" s="216" t="str">
        <f>[2]DATA!W142</f>
        <v>IDB</v>
      </c>
      <c r="W199" s="245">
        <f>[2]DATA!AN142</f>
        <v>39900000</v>
      </c>
      <c r="X199" s="109" t="str">
        <f>[2]DATA!AO142</f>
        <v>IDB</v>
      </c>
      <c r="Y199" s="248" t="str">
        <f>[2]DATA!AP142</f>
        <v>-</v>
      </c>
      <c r="Z199" s="2408" t="s">
        <v>608</v>
      </c>
      <c r="AA199" s="2408" t="s">
        <v>568</v>
      </c>
      <c r="AB199" s="2408"/>
      <c r="AC199" s="2391"/>
      <c r="AD199" s="2404"/>
    </row>
    <row r="200" spans="1:30" ht="32.25" customHeight="1">
      <c r="A200" s="10">
        <f>[2]DATA!A143</f>
        <v>127</v>
      </c>
      <c r="B200" s="10">
        <f>[2]DATA!B143</f>
        <v>0</v>
      </c>
      <c r="C200" s="10" t="str">
        <f>[2]DATA!C143</f>
        <v>NON-INFRASTRUKTUR</v>
      </c>
      <c r="D200" s="10">
        <f>[2]DATA!D143</f>
        <v>9</v>
      </c>
      <c r="E200" s="10" t="str">
        <f>[2]DATA!E143</f>
        <v>Kementerian Agama</v>
      </c>
      <c r="F200" s="10" t="str">
        <f>[2]DATA!F143</f>
        <v>Improving Access, Quality, Relevance, and Competitiveness of Islamic Higher Education Program</v>
      </c>
      <c r="G200" s="10" t="str">
        <f>[2]DATA!G143</f>
        <v>A</v>
      </c>
      <c r="H200" s="10" t="str">
        <f>[2]DATA!H143</f>
        <v>Program Peningkatan Akses, Kualitas, Relevansi, dan Daya Saing Pendidikan Tinggi Islam</v>
      </c>
      <c r="I200" s="10">
        <f>[2]DATA!I143</f>
        <v>1</v>
      </c>
      <c r="J200" s="181"/>
      <c r="K200" s="34"/>
      <c r="L200" s="34"/>
      <c r="M200" s="3392"/>
      <c r="N200" s="37" t="str">
        <f>[2]DATA!J143</f>
        <v>Tranformation of State Islamic Institute  Sulthan Thaha Saifuddin to State Islamic University</v>
      </c>
      <c r="O200" s="20">
        <f>[2]DATA!O143</f>
        <v>0.16666666666666699</v>
      </c>
      <c r="P200" s="20">
        <f>[2]DATA!P143</f>
        <v>0</v>
      </c>
      <c r="Q200" s="186">
        <f>[2]DATA!Q143</f>
        <v>0</v>
      </c>
      <c r="R200" s="2386">
        <f>[2]DATA!R143</f>
        <v>40000000</v>
      </c>
      <c r="S200" s="1449" t="str">
        <f>[2]DATA!W143</f>
        <v>IDB</v>
      </c>
      <c r="T200" s="77">
        <f>[2]DATA!Z143</f>
        <v>40000000</v>
      </c>
      <c r="U200" s="77"/>
      <c r="V200" s="216" t="str">
        <f>[2]DATA!W143</f>
        <v>IDB</v>
      </c>
      <c r="W200" s="245">
        <f>[2]DATA!AN143</f>
        <v>40000000</v>
      </c>
      <c r="X200" s="109" t="str">
        <f>[2]DATA!AO143</f>
        <v>IDB</v>
      </c>
      <c r="Y200" s="248" t="str">
        <f>[2]DATA!AP143</f>
        <v>-</v>
      </c>
      <c r="Z200" s="2408" t="s">
        <v>608</v>
      </c>
      <c r="AA200" s="2408" t="s">
        <v>568</v>
      </c>
      <c r="AB200" s="2408"/>
      <c r="AC200" s="2391"/>
      <c r="AD200" s="2404"/>
    </row>
    <row r="201" spans="1:30" ht="29.25" customHeight="1">
      <c r="A201" s="10">
        <f>[2]DATA!A144</f>
        <v>128</v>
      </c>
      <c r="B201" s="10">
        <f>[2]DATA!B144</f>
        <v>0</v>
      </c>
      <c r="C201" s="10" t="str">
        <f>[2]DATA!C144</f>
        <v>NON-INFRASTRUKTUR</v>
      </c>
      <c r="D201" s="10">
        <f>[2]DATA!D144</f>
        <v>9</v>
      </c>
      <c r="E201" s="10" t="str">
        <f>[2]DATA!E144</f>
        <v>Kementerian Agama</v>
      </c>
      <c r="F201" s="10" t="str">
        <f>[2]DATA!F144</f>
        <v>Improving Access, Quality, Relevance, and Competitiveness of Islamic Higher Education Program</v>
      </c>
      <c r="G201" s="10" t="str">
        <f>[2]DATA!G144</f>
        <v>A</v>
      </c>
      <c r="H201" s="10" t="str">
        <f>[2]DATA!H144</f>
        <v>Program Peningkatan Akses, Kualitas, Relevansi, dan Daya Saing Pendidikan Tinggi Islam</v>
      </c>
      <c r="I201" s="10">
        <f>[2]DATA!I144</f>
        <v>1</v>
      </c>
      <c r="J201" s="181"/>
      <c r="K201" s="34"/>
      <c r="L201" s="34"/>
      <c r="M201" s="3392"/>
      <c r="N201" s="37" t="str">
        <f>[2]DATA!J144</f>
        <v>Development and Institutional Transformation of State Islamic Institute  Raden Intan Lampung</v>
      </c>
      <c r="O201" s="20">
        <f>[2]DATA!O144</f>
        <v>0.16666666666666699</v>
      </c>
      <c r="P201" s="20">
        <f>[2]DATA!P144</f>
        <v>0</v>
      </c>
      <c r="Q201" s="186">
        <f>[2]DATA!Q144</f>
        <v>0</v>
      </c>
      <c r="R201" s="2386">
        <f>[2]DATA!R144</f>
        <v>40000000</v>
      </c>
      <c r="S201" s="1449" t="str">
        <f>[2]DATA!W144</f>
        <v>IDB</v>
      </c>
      <c r="T201" s="77">
        <f>[2]DATA!Z144</f>
        <v>40000000</v>
      </c>
      <c r="U201" s="77"/>
      <c r="V201" s="216" t="str">
        <f>[2]DATA!W144</f>
        <v>IDB</v>
      </c>
      <c r="W201" s="245">
        <f>[2]DATA!AN144</f>
        <v>40000000</v>
      </c>
      <c r="X201" s="109" t="str">
        <f>[2]DATA!AO144</f>
        <v>IDB</v>
      </c>
      <c r="Y201" s="248" t="str">
        <f>[2]DATA!AP144</f>
        <v>-</v>
      </c>
      <c r="Z201" s="2408" t="s">
        <v>608</v>
      </c>
      <c r="AA201" s="2408" t="s">
        <v>568</v>
      </c>
      <c r="AB201" s="2408"/>
      <c r="AC201" s="2391"/>
      <c r="AD201" s="2404"/>
    </row>
    <row r="202" spans="1:30" ht="30.75" customHeight="1">
      <c r="A202" s="10">
        <f>[2]DATA!A145</f>
        <v>123</v>
      </c>
      <c r="B202" s="10">
        <f>[2]DATA!B145</f>
        <v>0</v>
      </c>
      <c r="C202" s="10" t="str">
        <f>[2]DATA!C145</f>
        <v>NON-INFRASTRUKTUR</v>
      </c>
      <c r="D202" s="10">
        <f>[2]DATA!D145</f>
        <v>9</v>
      </c>
      <c r="E202" s="10" t="str">
        <f>[2]DATA!E145</f>
        <v>Kementerian Agama</v>
      </c>
      <c r="F202" s="10" t="str">
        <f>[2]DATA!F145</f>
        <v>Improving Access, Quality, Relevance, and Competitiveness of Islamic Higher Education Program</v>
      </c>
      <c r="G202" s="10" t="str">
        <f>[2]DATA!G145</f>
        <v>A</v>
      </c>
      <c r="H202" s="10" t="str">
        <f>[2]DATA!H145</f>
        <v>Program Peningkatan Akses, Kualitas, Relevansi, dan Daya Saing Pendidikan Tinggi Islam</v>
      </c>
      <c r="I202" s="10">
        <f>[2]DATA!I145</f>
        <v>1</v>
      </c>
      <c r="J202" s="181"/>
      <c r="K202" s="34"/>
      <c r="L202" s="34"/>
      <c r="M202" s="3392"/>
      <c r="N202" s="37" t="str">
        <f>[2]DATA!J145</f>
        <v>Development of Imam Bonjol State Islamic Institute Project</v>
      </c>
      <c r="O202" s="20">
        <f>[2]DATA!O145</f>
        <v>0.16666666666666699</v>
      </c>
      <c r="P202" s="20">
        <f>[2]DATA!P145</f>
        <v>0</v>
      </c>
      <c r="Q202" s="186">
        <f>[2]DATA!Q145</f>
        <v>0</v>
      </c>
      <c r="R202" s="2386">
        <f>[2]DATA!R145</f>
        <v>38301400</v>
      </c>
      <c r="S202" s="1449" t="str">
        <f>[2]DATA!W145</f>
        <v>IDB</v>
      </c>
      <c r="T202" s="77">
        <f>[2]DATA!Z145</f>
        <v>38310000</v>
      </c>
      <c r="U202" s="77"/>
      <c r="V202" s="216" t="str">
        <f>[2]DATA!W145</f>
        <v>IDB</v>
      </c>
      <c r="W202" s="245">
        <f>[2]DATA!AN145</f>
        <v>38310000</v>
      </c>
      <c r="X202" s="109" t="str">
        <f>[2]DATA!AO145</f>
        <v>IDB</v>
      </c>
      <c r="Y202" s="248" t="str">
        <f>[2]DATA!AP145</f>
        <v>-</v>
      </c>
      <c r="Z202" s="2408" t="s">
        <v>608</v>
      </c>
      <c r="AA202" s="2408" t="s">
        <v>568</v>
      </c>
      <c r="AB202" s="2408"/>
      <c r="AC202" s="2391"/>
      <c r="AD202" s="2404"/>
    </row>
    <row r="203" spans="1:30" ht="33.75" customHeight="1">
      <c r="J203" s="181"/>
      <c r="K203" s="34"/>
      <c r="L203" s="34"/>
      <c r="M203" s="3392"/>
      <c r="N203" s="37" t="s">
        <v>1002</v>
      </c>
      <c r="O203" s="20"/>
      <c r="P203" s="20"/>
      <c r="Q203" s="186"/>
      <c r="R203" s="2386">
        <v>59935500</v>
      </c>
      <c r="S203" s="1449"/>
      <c r="T203" s="77"/>
      <c r="U203" s="77"/>
      <c r="V203" s="216"/>
      <c r="W203" s="245"/>
      <c r="X203" s="109"/>
      <c r="Y203" s="248"/>
      <c r="Z203" s="2408"/>
      <c r="AA203" s="2408"/>
      <c r="AB203" s="2408"/>
      <c r="AC203" s="2391" t="s">
        <v>1271</v>
      </c>
    </row>
    <row r="204" spans="1:30" ht="38.25" customHeight="1">
      <c r="J204" s="181"/>
      <c r="K204" s="34"/>
      <c r="L204" s="34"/>
      <c r="M204" s="3392"/>
      <c r="N204" s="199" t="s">
        <v>1239</v>
      </c>
      <c r="O204" s="20"/>
      <c r="P204" s="20"/>
      <c r="Q204" s="186"/>
      <c r="R204" s="2386">
        <v>41328200</v>
      </c>
      <c r="S204" s="1449"/>
      <c r="T204" s="77"/>
      <c r="U204" s="77"/>
      <c r="V204" s="216"/>
      <c r="W204" s="245"/>
      <c r="X204" s="109"/>
      <c r="Y204" s="248"/>
      <c r="Z204" s="2408"/>
      <c r="AA204" s="2408"/>
      <c r="AB204" s="2408"/>
      <c r="AC204" s="2391" t="s">
        <v>1277</v>
      </c>
    </row>
    <row r="205" spans="1:30" ht="41.25" customHeight="1">
      <c r="J205" s="181"/>
      <c r="K205" s="34"/>
      <c r="L205" s="34"/>
      <c r="M205" s="3392"/>
      <c r="N205" s="199" t="s">
        <v>1240</v>
      </c>
      <c r="O205" s="20"/>
      <c r="P205" s="20"/>
      <c r="Q205" s="186"/>
      <c r="R205" s="2386">
        <v>33442700</v>
      </c>
      <c r="S205" s="1449"/>
      <c r="T205" s="77"/>
      <c r="U205" s="77"/>
      <c r="V205" s="216"/>
      <c r="W205" s="245"/>
      <c r="X205" s="109"/>
      <c r="Y205" s="248"/>
      <c r="Z205" s="2408"/>
      <c r="AA205" s="2408"/>
      <c r="AB205" s="2408"/>
      <c r="AC205" s="2391" t="s">
        <v>1277</v>
      </c>
    </row>
    <row r="206" spans="1:30" ht="47.25" customHeight="1">
      <c r="J206" s="181"/>
      <c r="K206" s="34"/>
      <c r="L206" s="54"/>
      <c r="M206" s="3391"/>
      <c r="N206" s="199" t="s">
        <v>1241</v>
      </c>
      <c r="O206" s="20"/>
      <c r="P206" s="20"/>
      <c r="Q206" s="186"/>
      <c r="R206" s="2386">
        <v>41224500</v>
      </c>
      <c r="S206" s="1449"/>
      <c r="T206" s="77"/>
      <c r="U206" s="77"/>
      <c r="V206" s="216"/>
      <c r="W206" s="245"/>
      <c r="X206" s="109"/>
      <c r="Y206" s="248"/>
      <c r="Z206" s="2408"/>
      <c r="AA206" s="2408"/>
      <c r="AB206" s="2408"/>
      <c r="AC206" s="2391" t="s">
        <v>1277</v>
      </c>
    </row>
    <row r="207" spans="1:30" s="4" customFormat="1" ht="24.95" customHeight="1">
      <c r="J207" s="250"/>
      <c r="K207" s="25">
        <v>13</v>
      </c>
      <c r="L207" s="108" t="str">
        <f>[2]DATA!E146</f>
        <v>Kementerian PPN/Bappenas</v>
      </c>
      <c r="M207" s="25"/>
      <c r="N207" s="27"/>
      <c r="O207" s="26"/>
      <c r="P207" s="26"/>
      <c r="Q207" s="193"/>
      <c r="R207" s="2388">
        <f>+R208+R210</f>
        <v>325000000</v>
      </c>
      <c r="S207" s="195"/>
      <c r="T207" s="80">
        <f t="shared" ref="T207:W208" si="23">+T208</f>
        <v>300000000</v>
      </c>
      <c r="U207" s="80">
        <f t="shared" si="23"/>
        <v>0</v>
      </c>
      <c r="V207" s="213"/>
      <c r="W207" s="242">
        <f t="shared" si="23"/>
        <v>300000000</v>
      </c>
      <c r="X207" s="80" t="s">
        <v>21</v>
      </c>
      <c r="Y207" s="227"/>
      <c r="Z207" s="2413"/>
      <c r="AA207" s="2413"/>
      <c r="AB207" s="2413"/>
      <c r="AC207" s="2399"/>
    </row>
    <row r="208" spans="1:30" s="5" customFormat="1" ht="33.75" customHeight="1">
      <c r="J208" s="180"/>
      <c r="K208" s="29"/>
      <c r="L208" s="30" t="str">
        <f>[2]DATA!G146</f>
        <v>A</v>
      </c>
      <c r="M208" s="3427" t="str">
        <f>[2]DATA!H146</f>
        <v>Program Pengembangan Sumber Daya Aparatur  dalam Rangka Reformasi Birokrasi</v>
      </c>
      <c r="N208" s="3428"/>
      <c r="O208" s="31"/>
      <c r="P208" s="31"/>
      <c r="Q208" s="196"/>
      <c r="R208" s="2389">
        <f>+R209</f>
        <v>300000000</v>
      </c>
      <c r="S208" s="198"/>
      <c r="T208" s="81">
        <f t="shared" si="23"/>
        <v>300000000</v>
      </c>
      <c r="U208" s="81">
        <f t="shared" si="23"/>
        <v>0</v>
      </c>
      <c r="V208" s="214"/>
      <c r="W208" s="244">
        <f t="shared" si="23"/>
        <v>300000000</v>
      </c>
      <c r="X208" s="81" t="s">
        <v>21</v>
      </c>
      <c r="Y208" s="229"/>
      <c r="Z208" s="2407"/>
      <c r="AA208" s="2407"/>
      <c r="AB208" s="2407"/>
      <c r="AC208" s="2401"/>
    </row>
    <row r="209" spans="1:30" ht="35.25" customHeight="1">
      <c r="A209" s="10">
        <f>[2]DATA!A146</f>
        <v>129</v>
      </c>
      <c r="B209" s="10">
        <f>[2]DATA!B146</f>
        <v>0</v>
      </c>
      <c r="C209" s="10" t="str">
        <f>[2]DATA!C146</f>
        <v>NON-INFRASTRUKTUR</v>
      </c>
      <c r="D209" s="10">
        <f>[2]DATA!D146</f>
        <v>10</v>
      </c>
      <c r="E209" s="10" t="str">
        <f>[2]DATA!E146</f>
        <v>Kementerian PPN/Bappenas</v>
      </c>
      <c r="F209" s="10" t="str">
        <f>[2]DATA!F146</f>
        <v>Human Resources Development for Bureaucracy Reform Program</v>
      </c>
      <c r="G209" s="10" t="str">
        <f>[2]DATA!G146</f>
        <v>A</v>
      </c>
      <c r="H209" s="10" t="str">
        <f>[2]DATA!H146</f>
        <v>Program Pengembangan Sumber Daya Aparatur  dalam Rangka Reformasi Birokrasi</v>
      </c>
      <c r="I209" s="10">
        <f>[2]DATA!I146</f>
        <v>1</v>
      </c>
      <c r="J209" s="181"/>
      <c r="K209" s="34"/>
      <c r="L209" s="34"/>
      <c r="M209" s="33">
        <v>109</v>
      </c>
      <c r="N209" s="37" t="str">
        <f>[2]DATA!J146</f>
        <v>Development of Capacity, Quality, and Competency of Human Resources for Government Officer</v>
      </c>
      <c r="O209" s="20">
        <f>[2]DATA!O146</f>
        <v>1</v>
      </c>
      <c r="P209" s="20">
        <f>[2]DATA!P146</f>
        <v>1</v>
      </c>
      <c r="Q209" s="186">
        <f>[2]DATA!Q146</f>
        <v>103</v>
      </c>
      <c r="R209" s="2386">
        <f>[2]DATA!R146</f>
        <v>300000000</v>
      </c>
      <c r="S209" s="1449" t="str">
        <f>[2]DATA!W146</f>
        <v>Bank Dunia</v>
      </c>
      <c r="T209" s="77">
        <f>[2]DATA!Z146</f>
        <v>300000000</v>
      </c>
      <c r="U209" s="77"/>
      <c r="V209" s="216" t="str">
        <f>[2]DATA!W146</f>
        <v>Bank Dunia</v>
      </c>
      <c r="W209" s="245">
        <f>[2]DATA!AN146</f>
        <v>300000000</v>
      </c>
      <c r="X209" s="109" t="str">
        <f>[2]DATA!AO146</f>
        <v>Bank Dunia</v>
      </c>
      <c r="Y209" s="248" t="str">
        <f>[2]DATA!AP146</f>
        <v>-</v>
      </c>
      <c r="Z209" s="2408" t="s">
        <v>608</v>
      </c>
      <c r="AA209" s="2408" t="s">
        <v>645</v>
      </c>
      <c r="AB209" s="2408"/>
      <c r="AC209" s="2391"/>
      <c r="AD209" s="2404"/>
    </row>
    <row r="210" spans="1:30" ht="30" customHeight="1">
      <c r="J210" s="181"/>
      <c r="K210" s="34"/>
      <c r="L210" s="30" t="s">
        <v>40</v>
      </c>
      <c r="M210" s="3427" t="s">
        <v>1243</v>
      </c>
      <c r="N210" s="3556"/>
      <c r="O210" s="20"/>
      <c r="P210" s="20"/>
      <c r="Q210" s="186"/>
      <c r="R210" s="2389">
        <f>R211</f>
        <v>25000000</v>
      </c>
      <c r="S210" s="1449"/>
      <c r="T210" s="77"/>
      <c r="U210" s="77"/>
      <c r="V210" s="216"/>
      <c r="W210" s="245"/>
      <c r="X210" s="109"/>
      <c r="Y210" s="248"/>
      <c r="Z210" s="2408"/>
      <c r="AA210" s="2408"/>
      <c r="AB210" s="2408"/>
      <c r="AC210" s="2401"/>
    </row>
    <row r="211" spans="1:30" ht="47.25" customHeight="1">
      <c r="J211" s="181"/>
      <c r="K211" s="54"/>
      <c r="L211" s="34"/>
      <c r="M211" s="33">
        <v>110</v>
      </c>
      <c r="N211" s="271" t="s">
        <v>1244</v>
      </c>
      <c r="O211" s="20"/>
      <c r="P211" s="20"/>
      <c r="Q211" s="186"/>
      <c r="R211" s="2386">
        <v>25000000</v>
      </c>
      <c r="S211" s="1449"/>
      <c r="T211" s="77"/>
      <c r="U211" s="77"/>
      <c r="V211" s="216"/>
      <c r="W211" s="245"/>
      <c r="X211" s="109"/>
      <c r="Y211" s="248"/>
      <c r="Z211" s="2408"/>
      <c r="AA211" s="2408"/>
      <c r="AB211" s="2408"/>
      <c r="AC211" s="2391" t="s">
        <v>1277</v>
      </c>
    </row>
    <row r="212" spans="1:30" s="4" customFormat="1" ht="24.95" customHeight="1">
      <c r="J212" s="250"/>
      <c r="K212" s="25">
        <v>14</v>
      </c>
      <c r="L212" s="108" t="str">
        <f>[2]DATA!E147</f>
        <v>Kementerian Kesehatan</v>
      </c>
      <c r="M212" s="25"/>
      <c r="N212" s="27"/>
      <c r="O212" s="26"/>
      <c r="P212" s="26"/>
      <c r="Q212" s="193"/>
      <c r="R212" s="2388">
        <f>+R213+R215+R217+R219</f>
        <v>1746000000</v>
      </c>
      <c r="S212" s="195"/>
      <c r="T212" s="80">
        <f t="shared" ref="T212:W212" si="24">+T213+T215+T217+T219</f>
        <v>990400000</v>
      </c>
      <c r="U212" s="80">
        <f t="shared" si="24"/>
        <v>755600000</v>
      </c>
      <c r="V212" s="213">
        <f t="shared" si="24"/>
        <v>0</v>
      </c>
      <c r="W212" s="242">
        <f t="shared" si="24"/>
        <v>1746000000</v>
      </c>
      <c r="X212" s="80" t="s">
        <v>21</v>
      </c>
      <c r="Y212" s="227"/>
      <c r="Z212" s="2413"/>
      <c r="AA212" s="2413"/>
      <c r="AB212" s="2413"/>
      <c r="AC212" s="2399"/>
    </row>
    <row r="213" spans="1:30" s="5" customFormat="1" ht="33.75" customHeight="1">
      <c r="J213" s="180"/>
      <c r="K213" s="29"/>
      <c r="L213" s="30" t="str">
        <f>[2]DATA!G146</f>
        <v>A</v>
      </c>
      <c r="M213" s="31" t="str">
        <f>[2]DATA!H147</f>
        <v>Program Pelayanan Kesehatan Dasar</v>
      </c>
      <c r="N213" s="51"/>
      <c r="O213" s="31"/>
      <c r="P213" s="31"/>
      <c r="Q213" s="196"/>
      <c r="R213" s="2389">
        <f>+R214</f>
        <v>150000000</v>
      </c>
      <c r="S213" s="198"/>
      <c r="T213" s="81">
        <f t="shared" ref="T213:W213" si="25">+T214</f>
        <v>150000000</v>
      </c>
      <c r="U213" s="81">
        <f t="shared" si="25"/>
        <v>0</v>
      </c>
      <c r="V213" s="214"/>
      <c r="W213" s="244">
        <f t="shared" si="25"/>
        <v>150000000</v>
      </c>
      <c r="X213" s="81" t="s">
        <v>21</v>
      </c>
      <c r="Y213" s="229"/>
      <c r="Z213" s="2407"/>
      <c r="AA213" s="2407"/>
      <c r="AB213" s="2407"/>
      <c r="AC213" s="2401"/>
    </row>
    <row r="214" spans="1:30" ht="24" customHeight="1">
      <c r="A214" s="10">
        <f>[2]DATA!A147</f>
        <v>130</v>
      </c>
      <c r="B214" s="10">
        <f>[2]DATA!B147</f>
        <v>0</v>
      </c>
      <c r="C214" s="10" t="str">
        <f>[2]DATA!C147</f>
        <v>NON-INFRASTRUKTUR</v>
      </c>
      <c r="D214" s="10">
        <f>[2]DATA!D147</f>
        <v>11</v>
      </c>
      <c r="E214" s="10" t="str">
        <f>[2]DATA!E147</f>
        <v>Kementerian Kesehatan</v>
      </c>
      <c r="F214" s="10" t="str">
        <f>[2]DATA!F147</f>
        <v>Basic Health Care Program</v>
      </c>
      <c r="G214" s="10" t="str">
        <f>[2]DATA!G147</f>
        <v>A</v>
      </c>
      <c r="H214" s="10" t="str">
        <f>[2]DATA!H147</f>
        <v>Program Pelayanan Kesehatan Dasar</v>
      </c>
      <c r="I214" s="10">
        <f>[2]DATA!I147</f>
        <v>1</v>
      </c>
      <c r="J214" s="181"/>
      <c r="K214" s="34"/>
      <c r="L214" s="54"/>
      <c r="M214" s="52">
        <v>111</v>
      </c>
      <c r="N214" s="37" t="str">
        <f>[2]DATA!J147</f>
        <v>Improvement of Primary Health Care</v>
      </c>
      <c r="O214" s="20">
        <f>[2]DATA!O147</f>
        <v>1</v>
      </c>
      <c r="P214" s="20">
        <f>[2]DATA!P147</f>
        <v>1</v>
      </c>
      <c r="Q214" s="186">
        <f>[2]DATA!Q147</f>
        <v>104</v>
      </c>
      <c r="R214" s="2386">
        <f>[2]DATA!R147</f>
        <v>150000000</v>
      </c>
      <c r="S214" s="1449" t="str">
        <f>[2]DATA!W147</f>
        <v>Bank Dunia</v>
      </c>
      <c r="T214" s="77">
        <f>[2]DATA!Z147</f>
        <v>150000000</v>
      </c>
      <c r="U214" s="77"/>
      <c r="V214" s="216" t="str">
        <f>[2]DATA!W147</f>
        <v>Bank Dunia</v>
      </c>
      <c r="W214" s="245">
        <f>[2]DATA!AN147</f>
        <v>150000000</v>
      </c>
      <c r="X214" s="109" t="str">
        <f>[2]DATA!AO147</f>
        <v>Bank Dunia</v>
      </c>
      <c r="Y214" s="248" t="str">
        <f>[2]DATA!AP147</f>
        <v>-</v>
      </c>
      <c r="Z214" s="2408" t="s">
        <v>603</v>
      </c>
      <c r="AA214" s="2408" t="s">
        <v>645</v>
      </c>
      <c r="AB214" s="2408"/>
      <c r="AC214" s="2391"/>
      <c r="AD214" s="2404"/>
    </row>
    <row r="215" spans="1:30" s="5" customFormat="1" ht="33.75" customHeight="1">
      <c r="J215" s="180"/>
      <c r="K215" s="50"/>
      <c r="L215" s="30" t="str">
        <f>[2]DATA!G148</f>
        <v>B</v>
      </c>
      <c r="M215" s="3427" t="str">
        <f>[2]DATA!H148</f>
        <v>Program Pengembangan Sumber Daya Manusia Kesehatan</v>
      </c>
      <c r="N215" s="3428"/>
      <c r="O215" s="31"/>
      <c r="P215" s="31"/>
      <c r="Q215" s="196"/>
      <c r="R215" s="2389">
        <f>+R216</f>
        <v>240000000</v>
      </c>
      <c r="S215" s="198"/>
      <c r="T215" s="81">
        <f t="shared" ref="T215:W215" si="26">+T216</f>
        <v>240000000</v>
      </c>
      <c r="U215" s="81">
        <f t="shared" si="26"/>
        <v>0</v>
      </c>
      <c r="V215" s="214"/>
      <c r="W215" s="244">
        <f t="shared" si="26"/>
        <v>240000000</v>
      </c>
      <c r="X215" s="81" t="s">
        <v>21</v>
      </c>
      <c r="Y215" s="229"/>
      <c r="Z215" s="2407"/>
      <c r="AA215" s="2407"/>
      <c r="AB215" s="2407"/>
      <c r="AC215" s="2401"/>
    </row>
    <row r="216" spans="1:30" ht="35.25" customHeight="1">
      <c r="A216" s="10">
        <f>[2]DATA!A148</f>
        <v>131</v>
      </c>
      <c r="B216" s="10">
        <f>[2]DATA!B148</f>
        <v>0</v>
      </c>
      <c r="C216" s="10" t="str">
        <f>[2]DATA!C148</f>
        <v>NON-INFRASTRUKTUR</v>
      </c>
      <c r="D216" s="10">
        <f>[2]DATA!D148</f>
        <v>11</v>
      </c>
      <c r="E216" s="10" t="str">
        <f>[2]DATA!E148</f>
        <v>Kementerian Kesehatan</v>
      </c>
      <c r="F216" s="10" t="str">
        <f>[2]DATA!F148</f>
        <v>Program for Human Resources Development in Health Sector</v>
      </c>
      <c r="G216" s="10" t="str">
        <f>[2]DATA!G148</f>
        <v>B</v>
      </c>
      <c r="H216" s="10" t="str">
        <f>[2]DATA!H148</f>
        <v>Program Pengembangan Sumber Daya Manusia Kesehatan</v>
      </c>
      <c r="I216" s="10">
        <f>[2]DATA!I148</f>
        <v>1</v>
      </c>
      <c r="J216" s="181"/>
      <c r="K216" s="34"/>
      <c r="L216" s="20"/>
      <c r="M216" s="36">
        <v>112</v>
      </c>
      <c r="N216" s="37" t="str">
        <f>[2]DATA!J148</f>
        <v>Improvement of Facilities and Infrastructure for Teaching and Learning Activities in Health Sector</v>
      </c>
      <c r="O216" s="20">
        <f>[2]DATA!O148</f>
        <v>1</v>
      </c>
      <c r="P216" s="20">
        <f>[2]DATA!P148</f>
        <v>1</v>
      </c>
      <c r="Q216" s="186">
        <f>[2]DATA!Q148</f>
        <v>105</v>
      </c>
      <c r="R216" s="2386">
        <f>[2]DATA!R148</f>
        <v>240000000</v>
      </c>
      <c r="S216" s="1449" t="str">
        <f>[2]DATA!W148</f>
        <v>IDB</v>
      </c>
      <c r="T216" s="77">
        <f>[2]DATA!Z148</f>
        <v>240000000</v>
      </c>
      <c r="U216" s="77">
        <f>[2]DATA!AA148</f>
        <v>0</v>
      </c>
      <c r="V216" s="216" t="str">
        <f>[2]DATA!W148</f>
        <v>IDB</v>
      </c>
      <c r="W216" s="245">
        <f>[2]DATA!AN148</f>
        <v>240000000</v>
      </c>
      <c r="X216" s="109" t="str">
        <f>[2]DATA!AO148</f>
        <v>IDB</v>
      </c>
      <c r="Y216" s="248" t="str">
        <f>[2]DATA!AP148</f>
        <v>-</v>
      </c>
      <c r="Z216" s="2408" t="s">
        <v>614</v>
      </c>
      <c r="AA216" s="2408" t="s">
        <v>568</v>
      </c>
      <c r="AB216" s="2408"/>
      <c r="AC216" s="2391"/>
      <c r="AD216" s="2404"/>
    </row>
    <row r="217" spans="1:30" s="5" customFormat="1" ht="37.5" customHeight="1">
      <c r="J217" s="180"/>
      <c r="K217" s="50"/>
      <c r="L217" s="30" t="str">
        <f>[2]DATA!G149</f>
        <v>C</v>
      </c>
      <c r="M217" s="3427" t="str">
        <f>[2]DATA!H149</f>
        <v>Program Pengendalian Penyakit, Penyehatan Lingkungan, dan Penguatan Litbang Kesehatan</v>
      </c>
      <c r="N217" s="3428"/>
      <c r="O217" s="31"/>
      <c r="P217" s="31"/>
      <c r="Q217" s="196"/>
      <c r="R217" s="2389">
        <f>+R218</f>
        <v>100400000</v>
      </c>
      <c r="S217" s="198"/>
      <c r="T217" s="81">
        <f t="shared" ref="T217:W217" si="27">+T218</f>
        <v>100400000</v>
      </c>
      <c r="U217" s="81">
        <f t="shared" si="27"/>
        <v>0</v>
      </c>
      <c r="V217" s="214"/>
      <c r="W217" s="244">
        <f t="shared" si="27"/>
        <v>100400000</v>
      </c>
      <c r="X217" s="81" t="s">
        <v>21</v>
      </c>
      <c r="Y217" s="229"/>
      <c r="Z217" s="2407"/>
      <c r="AA217" s="2407"/>
      <c r="AB217" s="2407"/>
      <c r="AC217" s="2401"/>
    </row>
    <row r="218" spans="1:30" ht="51" customHeight="1">
      <c r="A218" s="10">
        <f>[2]DATA!A149</f>
        <v>132</v>
      </c>
      <c r="B218" s="10">
        <f>[2]DATA!B149</f>
        <v>0</v>
      </c>
      <c r="C218" s="10" t="str">
        <f>[2]DATA!C149</f>
        <v>NON-INFRASTRUKTUR</v>
      </c>
      <c r="D218" s="10">
        <f>[2]DATA!D149</f>
        <v>11</v>
      </c>
      <c r="E218" s="10" t="str">
        <f>[2]DATA!E149</f>
        <v>Kementerian Kesehatan</v>
      </c>
      <c r="F218" s="10" t="str">
        <f>[2]DATA!F149</f>
        <v>Program for Disease Control, Environmental Health, and Strengthening Health Research and Development</v>
      </c>
      <c r="G218" s="10" t="str">
        <f>[2]DATA!G149</f>
        <v>C</v>
      </c>
      <c r="H218" s="10" t="str">
        <f>[2]DATA!H149</f>
        <v>Program Pengendalian Penyakit, Penyehatan Lingkungan, dan Penguatan Litbang Kesehatan</v>
      </c>
      <c r="I218" s="10">
        <f>[2]DATA!I149</f>
        <v>1</v>
      </c>
      <c r="J218" s="181"/>
      <c r="K218" s="34"/>
      <c r="L218" s="20"/>
      <c r="M218" s="36">
        <v>113</v>
      </c>
      <c r="N218" s="37" t="str">
        <f>[2]DATA!J149</f>
        <v>Improvement of Capacity on Disease Control, Environmental Health, and Strengthening Health’s Research and Development</v>
      </c>
      <c r="O218" s="20">
        <f>[2]DATA!O149</f>
        <v>1</v>
      </c>
      <c r="P218" s="20">
        <f>[2]DATA!P149</f>
        <v>1</v>
      </c>
      <c r="Q218" s="186">
        <f>[2]DATA!Q149</f>
        <v>106</v>
      </c>
      <c r="R218" s="2386">
        <f>[2]DATA!R149</f>
        <v>100400000</v>
      </c>
      <c r="S218" s="1449" t="str">
        <f>[2]DATA!W149</f>
        <v>Jerman (KfW)</v>
      </c>
      <c r="T218" s="77">
        <f>[2]DATA!Z149</f>
        <v>100400000</v>
      </c>
      <c r="U218" s="77">
        <f>[2]DATA!AA149</f>
        <v>0</v>
      </c>
      <c r="V218" s="216" t="str">
        <f>[2]DATA!W149</f>
        <v>Jerman (KfW)</v>
      </c>
      <c r="W218" s="245">
        <f>[2]DATA!AN149</f>
        <v>100400000</v>
      </c>
      <c r="X218" s="109" t="str">
        <f>[2]DATA!AO149</f>
        <v>Jerman (KfW)</v>
      </c>
      <c r="Y218" s="248" t="str">
        <f>[2]DATA!AP149</f>
        <v>-</v>
      </c>
      <c r="Z218" s="2408" t="s">
        <v>1011</v>
      </c>
      <c r="AA218" s="2409" t="s">
        <v>1012</v>
      </c>
      <c r="AB218" s="2409" t="s">
        <v>1129</v>
      </c>
      <c r="AC218" s="2391"/>
      <c r="AD218" s="2404"/>
    </row>
    <row r="219" spans="1:30" s="5" customFormat="1" ht="33.75" customHeight="1">
      <c r="J219" s="180"/>
      <c r="K219" s="50"/>
      <c r="L219" s="30" t="str">
        <f>[2]DATA!G150</f>
        <v>D</v>
      </c>
      <c r="M219" s="31" t="str">
        <f>[2]DATA!H150</f>
        <v>Program Pelayanan Kesehatan Rujukan</v>
      </c>
      <c r="N219" s="51"/>
      <c r="O219" s="31"/>
      <c r="P219" s="31"/>
      <c r="Q219" s="196"/>
      <c r="R219" s="2389">
        <f>R220</f>
        <v>1255600000</v>
      </c>
      <c r="S219" s="198"/>
      <c r="T219" s="81">
        <f>T220+T221+T222</f>
        <v>500000000</v>
      </c>
      <c r="U219" s="81">
        <f>U220+U221+U222</f>
        <v>755600000</v>
      </c>
      <c r="V219" s="214"/>
      <c r="W219" s="244">
        <f t="shared" ref="W219" si="28">W220+W221+W222</f>
        <v>1255600000</v>
      </c>
      <c r="X219" s="81" t="s">
        <v>21</v>
      </c>
      <c r="Y219" s="229"/>
      <c r="Z219" s="2407"/>
      <c r="AA219" s="2407"/>
      <c r="AB219" s="2407"/>
      <c r="AC219" s="2401"/>
    </row>
    <row r="220" spans="1:30" ht="18.75" customHeight="1">
      <c r="A220" s="10">
        <f>[2]DATA!A151</f>
        <v>133</v>
      </c>
      <c r="B220" s="10">
        <f>[2]DATA!B151</f>
        <v>0</v>
      </c>
      <c r="C220" s="10" t="str">
        <f>[2]DATA!C151</f>
        <v>NON-INFRASTRUKTUR</v>
      </c>
      <c r="D220" s="10">
        <f>[2]DATA!D151</f>
        <v>11</v>
      </c>
      <c r="E220" s="10" t="str">
        <f>[2]DATA!E151</f>
        <v>Kementerian Kesehatan</v>
      </c>
      <c r="F220" s="10" t="str">
        <f>[2]DATA!F151</f>
        <v>Referral Health Services Program</v>
      </c>
      <c r="G220" s="10" t="str">
        <f>[2]DATA!G151</f>
        <v>D</v>
      </c>
      <c r="H220" s="10" t="str">
        <f>[2]DATA!H151</f>
        <v>Program Pelayanan Kesehatan Rujukan</v>
      </c>
      <c r="I220" s="10">
        <f>[2]DATA!I151</f>
        <v>1</v>
      </c>
      <c r="J220" s="181"/>
      <c r="K220" s="34"/>
      <c r="L220" s="34"/>
      <c r="M220" s="3390">
        <v>114</v>
      </c>
      <c r="N220" s="3393" t="str">
        <f>[2]DATA!J151</f>
        <v>Strengthening of National Referral Hospitals, Province Referral Hospital and Vertical Technical Units</v>
      </c>
      <c r="O220" s="20">
        <f>[2]DATA!O151</f>
        <v>0.33333333333333298</v>
      </c>
      <c r="P220" s="20">
        <f>[2]DATA!P151</f>
        <v>0</v>
      </c>
      <c r="Q220" s="186">
        <f>[2]DATA!Q151</f>
        <v>0</v>
      </c>
      <c r="R220" s="3637">
        <f>[2]DATA!R150</f>
        <v>1255600000</v>
      </c>
      <c r="S220" s="1449" t="str">
        <f>[2]DATA!W151</f>
        <v>IDB</v>
      </c>
      <c r="T220" s="77">
        <f>[2]DATA!Z151</f>
        <v>250000000</v>
      </c>
      <c r="U220" s="77"/>
      <c r="V220" s="216" t="str">
        <f>[2]DATA!W151</f>
        <v>IDB</v>
      </c>
      <c r="W220" s="245">
        <f>[2]DATA!AN151</f>
        <v>250000000</v>
      </c>
      <c r="X220" s="109" t="str">
        <f>[2]DATA!AO151</f>
        <v>IDB</v>
      </c>
      <c r="Y220" s="248" t="str">
        <f>[2]DATA!AP151</f>
        <v>-</v>
      </c>
      <c r="Z220" s="3411" t="s">
        <v>603</v>
      </c>
      <c r="AA220" s="3411" t="s">
        <v>603</v>
      </c>
      <c r="AB220" s="3411"/>
      <c r="AC220" s="3648"/>
      <c r="AD220" s="2404"/>
    </row>
    <row r="221" spans="1:30" ht="14.25" customHeight="1">
      <c r="A221" s="10">
        <f>[2]DATA!A152</f>
        <v>134</v>
      </c>
      <c r="B221" s="10">
        <f>[2]DATA!B152</f>
        <v>0</v>
      </c>
      <c r="C221" s="10" t="str">
        <f>[2]DATA!C152</f>
        <v>NON-INFRASTRUKTUR</v>
      </c>
      <c r="D221" s="10">
        <f>[2]DATA!D152</f>
        <v>11</v>
      </c>
      <c r="E221" s="10" t="str">
        <f>[2]DATA!E152</f>
        <v>Kementerian Kesehatan</v>
      </c>
      <c r="F221" s="10" t="str">
        <f>[2]DATA!F152</f>
        <v>Referral Health Services Program</v>
      </c>
      <c r="G221" s="10" t="str">
        <f>[2]DATA!G152</f>
        <v>D</v>
      </c>
      <c r="H221" s="10" t="str">
        <f>[2]DATA!H152</f>
        <v>Program Pelayanan Kesehatan Rujukan</v>
      </c>
      <c r="I221" s="10">
        <f>[2]DATA!I152</f>
        <v>1</v>
      </c>
      <c r="J221" s="181"/>
      <c r="K221" s="34"/>
      <c r="L221" s="34"/>
      <c r="M221" s="3392"/>
      <c r="N221" s="3397"/>
      <c r="O221" s="20"/>
      <c r="P221" s="20"/>
      <c r="Q221" s="186"/>
      <c r="R221" s="3646"/>
      <c r="S221" s="1449" t="str">
        <f>[2]DATA!W152</f>
        <v>Jerman (KfW)</v>
      </c>
      <c r="T221" s="77">
        <f>[2]DATA!Z152</f>
        <v>250000000</v>
      </c>
      <c r="U221" s="77"/>
      <c r="V221" s="216" t="str">
        <f>[2]DATA!W152</f>
        <v>Jerman (KfW)</v>
      </c>
      <c r="W221" s="245">
        <f>[2]DATA!AN152</f>
        <v>250000000</v>
      </c>
      <c r="X221" s="109" t="str">
        <f>[2]DATA!AO152</f>
        <v>Jerman (KfW)</v>
      </c>
      <c r="Y221" s="248" t="str">
        <f>[2]DATA!AP152</f>
        <v>-</v>
      </c>
      <c r="Z221" s="3412"/>
      <c r="AA221" s="3412"/>
      <c r="AB221" s="3412"/>
      <c r="AC221" s="3651"/>
      <c r="AD221" s="2404"/>
    </row>
    <row r="222" spans="1:30" ht="9" customHeight="1">
      <c r="A222" s="10">
        <f>[2]DATA!A153</f>
        <v>135</v>
      </c>
      <c r="B222" s="10">
        <f>[2]DATA!B153</f>
        <v>0</v>
      </c>
      <c r="C222" s="10" t="str">
        <f>[2]DATA!C153</f>
        <v>NON-INFRASTRUKTUR</v>
      </c>
      <c r="D222" s="10">
        <f>[2]DATA!D153</f>
        <v>11</v>
      </c>
      <c r="E222" s="10" t="str">
        <f>[2]DATA!E153</f>
        <v>Kementerian Kesehatan</v>
      </c>
      <c r="F222" s="10" t="str">
        <f>[2]DATA!F153</f>
        <v>Referral Health Services Program</v>
      </c>
      <c r="G222" s="10" t="str">
        <f>[2]DATA!G153</f>
        <v>D</v>
      </c>
      <c r="H222" s="10" t="str">
        <f>[2]DATA!H153</f>
        <v>Program Pelayanan Kesehatan Rujukan</v>
      </c>
      <c r="I222" s="10">
        <f>[2]DATA!I153</f>
        <v>1</v>
      </c>
      <c r="J222" s="181"/>
      <c r="K222" s="54"/>
      <c r="L222" s="54"/>
      <c r="M222" s="3391"/>
      <c r="N222" s="3394"/>
      <c r="O222" s="20"/>
      <c r="P222" s="20"/>
      <c r="Q222" s="186"/>
      <c r="R222" s="3647"/>
      <c r="S222" s="1449" t="str">
        <f>[2]DATA!W153</f>
        <v>Belum Ada Indikasi</v>
      </c>
      <c r="T222" s="77">
        <v>0</v>
      </c>
      <c r="U222" s="77">
        <f>[2]DATA!Z153</f>
        <v>755600000</v>
      </c>
      <c r="V222" s="216" t="str">
        <f>[2]DATA!W153</f>
        <v>Belum Ada Indikasi</v>
      </c>
      <c r="W222" s="245">
        <f>[2]DATA!AN153</f>
        <v>755600000</v>
      </c>
      <c r="X222" s="109" t="str">
        <f>[2]DATA!AO153</f>
        <v>Belum Ada Indikasi</v>
      </c>
      <c r="Y222" s="248" t="str">
        <f>[2]DATA!AP153</f>
        <v>-</v>
      </c>
      <c r="Z222" s="3413"/>
      <c r="AA222" s="3413"/>
      <c r="AB222" s="3413"/>
      <c r="AC222" s="3652"/>
      <c r="AD222" s="2404"/>
    </row>
    <row r="223" spans="1:30" s="4" customFormat="1" ht="24.95" customHeight="1">
      <c r="J223" s="250"/>
      <c r="K223" s="25">
        <v>15</v>
      </c>
      <c r="L223" s="108" t="str">
        <f>[2]DATA!E154</f>
        <v>Pemprov. Aceh</v>
      </c>
      <c r="M223" s="25"/>
      <c r="N223" s="27"/>
      <c r="O223" s="26"/>
      <c r="P223" s="26"/>
      <c r="Q223" s="193"/>
      <c r="R223" s="2388">
        <f>+R224</f>
        <v>106800000</v>
      </c>
      <c r="S223" s="195"/>
      <c r="T223" s="80">
        <f t="shared" ref="T223:X224" si="29">+T224</f>
        <v>106800000</v>
      </c>
      <c r="U223" s="80">
        <f t="shared" si="29"/>
        <v>0</v>
      </c>
      <c r="V223" s="213">
        <f t="shared" si="29"/>
        <v>0</v>
      </c>
      <c r="W223" s="242">
        <f t="shared" si="29"/>
        <v>106800000</v>
      </c>
      <c r="X223" s="80" t="str">
        <f t="shared" si="29"/>
        <v>-</v>
      </c>
      <c r="Y223" s="227"/>
      <c r="Z223" s="2413"/>
      <c r="AA223" s="2413"/>
      <c r="AB223" s="2413"/>
      <c r="AC223" s="2399"/>
    </row>
    <row r="224" spans="1:30" s="5" customFormat="1" ht="33.75" customHeight="1">
      <c r="J224" s="180"/>
      <c r="K224" s="29"/>
      <c r="L224" s="30" t="str">
        <f>[2]DATA!G154</f>
        <v>A</v>
      </c>
      <c r="M224" s="31" t="str">
        <f>[2]DATA!H154</f>
        <v>Program Pelayanan Kesehatan Rujukan</v>
      </c>
      <c r="N224" s="51"/>
      <c r="O224" s="31"/>
      <c r="P224" s="31"/>
      <c r="Q224" s="196"/>
      <c r="R224" s="2389">
        <f>+R225</f>
        <v>106800000</v>
      </c>
      <c r="S224" s="198"/>
      <c r="T224" s="81">
        <f t="shared" si="29"/>
        <v>106800000</v>
      </c>
      <c r="U224" s="81">
        <f t="shared" si="29"/>
        <v>0</v>
      </c>
      <c r="V224" s="214"/>
      <c r="W224" s="244">
        <f t="shared" si="29"/>
        <v>106800000</v>
      </c>
      <c r="X224" s="81" t="s">
        <v>21</v>
      </c>
      <c r="Y224" s="229"/>
      <c r="Z224" s="2407"/>
      <c r="AA224" s="2407"/>
      <c r="AB224" s="2407"/>
      <c r="AC224" s="2401"/>
    </row>
    <row r="225" spans="1:30" ht="35.25" customHeight="1">
      <c r="A225" s="10">
        <f>[2]DATA!A154</f>
        <v>136</v>
      </c>
      <c r="B225" s="10">
        <f>[2]DATA!B154</f>
        <v>0</v>
      </c>
      <c r="C225" s="10" t="str">
        <f>[2]DATA!C154</f>
        <v>NON-INFRASTRUKTUR</v>
      </c>
      <c r="D225" s="10">
        <f>[2]DATA!D154</f>
        <v>12</v>
      </c>
      <c r="E225" s="10" t="str">
        <f>[2]DATA!E154</f>
        <v>Pemprov. Aceh</v>
      </c>
      <c r="F225" s="10" t="str">
        <f>[2]DATA!F154</f>
        <v>Health Services Referral Program</v>
      </c>
      <c r="G225" s="10" t="str">
        <f>[2]DATA!G154</f>
        <v>A</v>
      </c>
      <c r="H225" s="10" t="str">
        <f>[2]DATA!H154</f>
        <v>Program Pelayanan Kesehatan Rujukan</v>
      </c>
      <c r="I225" s="10">
        <f>[2]DATA!I154</f>
        <v>1</v>
      </c>
      <c r="J225" s="181"/>
      <c r="K225" s="54"/>
      <c r="L225" s="20"/>
      <c r="M225" s="36">
        <v>115</v>
      </c>
      <c r="N225" s="37" t="str">
        <f>[2]DATA!J154</f>
        <v>Rengineering and Improving The Hospital and Referral System in Selected Aceh Districts</v>
      </c>
      <c r="O225" s="20">
        <f>[2]DATA!O154</f>
        <v>1</v>
      </c>
      <c r="P225" s="20">
        <f>[2]DATA!P154</f>
        <v>1</v>
      </c>
      <c r="Q225" s="186">
        <f>[2]DATA!Q154</f>
        <v>108</v>
      </c>
      <c r="R225" s="2386">
        <f>[2]DATA!R154</f>
        <v>106800000</v>
      </c>
      <c r="S225" s="1449" t="str">
        <f>[2]DATA!W154</f>
        <v>Jerman (KfW)</v>
      </c>
      <c r="T225" s="77">
        <f>[2]DATA!Z154</f>
        <v>106800000</v>
      </c>
      <c r="U225" s="77">
        <v>0</v>
      </c>
      <c r="V225" s="216" t="str">
        <f>[2]DATA!W154</f>
        <v>Jerman (KfW)</v>
      </c>
      <c r="W225" s="245">
        <f>[2]DATA!AN154</f>
        <v>106800000</v>
      </c>
      <c r="X225" s="109" t="str">
        <f>[2]DATA!AO154</f>
        <v>Jerman (KfW)</v>
      </c>
      <c r="Y225" s="248" t="str">
        <f>[2]DATA!AP154</f>
        <v>-</v>
      </c>
      <c r="Z225" s="2408" t="s">
        <v>614</v>
      </c>
      <c r="AA225" s="2408" t="s">
        <v>568</v>
      </c>
      <c r="AB225" s="2408"/>
      <c r="AC225" s="2391"/>
      <c r="AD225" s="2404"/>
    </row>
    <row r="226" spans="1:30" s="4" customFormat="1" ht="24.95" customHeight="1">
      <c r="J226" s="250"/>
      <c r="K226" s="25">
        <v>16</v>
      </c>
      <c r="L226" s="108" t="str">
        <f>[2]DATA!E155</f>
        <v>Kementerian Pertanian</v>
      </c>
      <c r="M226" s="25"/>
      <c r="N226" s="27"/>
      <c r="O226" s="26"/>
      <c r="P226" s="26"/>
      <c r="Q226" s="193"/>
      <c r="R226" s="2388">
        <f>+R227+R234</f>
        <v>1445742600</v>
      </c>
      <c r="S226" s="195"/>
      <c r="T226" s="80">
        <f t="shared" ref="T226:U226" si="30">+T227+T234</f>
        <v>698900000</v>
      </c>
      <c r="U226" s="80">
        <f t="shared" si="30"/>
        <v>746842600</v>
      </c>
      <c r="V226" s="213"/>
      <c r="W226" s="242">
        <f>+W227+W234</f>
        <v>1445742600</v>
      </c>
      <c r="X226" s="80" t="s">
        <v>21</v>
      </c>
      <c r="Y226" s="227"/>
      <c r="Z226" s="2413"/>
      <c r="AA226" s="2413"/>
      <c r="AB226" s="2413"/>
      <c r="AC226" s="2399"/>
    </row>
    <row r="227" spans="1:30" s="5" customFormat="1" ht="33.75" customHeight="1">
      <c r="J227" s="180"/>
      <c r="K227" s="29"/>
      <c r="L227" s="30" t="str">
        <f>[2]DATA!G155</f>
        <v>A</v>
      </c>
      <c r="M227" s="3427" t="str">
        <f>[2]DATA!H155</f>
        <v>Program Penyediaan dan Pengembangan Prasarana dan Sarana Pertanian</v>
      </c>
      <c r="N227" s="3428"/>
      <c r="O227" s="31"/>
      <c r="P227" s="31"/>
      <c r="Q227" s="196"/>
      <c r="R227" s="2389">
        <f>R228+R231</f>
        <v>1346842600</v>
      </c>
      <c r="S227" s="198"/>
      <c r="T227" s="81">
        <f>T228+T229+T230+T231+T232+T233</f>
        <v>600000000</v>
      </c>
      <c r="U227" s="81">
        <f t="shared" ref="U227:W227" si="31">U228+U229+U230+U231+U232+U233</f>
        <v>746842600</v>
      </c>
      <c r="V227" s="214"/>
      <c r="W227" s="244">
        <f t="shared" si="31"/>
        <v>1346842600</v>
      </c>
      <c r="X227" s="81" t="s">
        <v>21</v>
      </c>
      <c r="Y227" s="229"/>
      <c r="Z227" s="2407"/>
      <c r="AA227" s="2407"/>
      <c r="AB227" s="2407"/>
      <c r="AC227" s="2401"/>
    </row>
    <row r="228" spans="1:30" ht="10.5" customHeight="1">
      <c r="A228" s="10">
        <f>[2]DATA!A156</f>
        <v>137</v>
      </c>
      <c r="B228" s="10">
        <f>[2]DATA!B156</f>
        <v>0</v>
      </c>
      <c r="C228" s="10" t="str">
        <f>[2]DATA!C156</f>
        <v>NON-INFRASTRUKTUR</v>
      </c>
      <c r="D228" s="10">
        <f>[2]DATA!D156</f>
        <v>13</v>
      </c>
      <c r="E228" s="10" t="str">
        <f>[2]DATA!E156</f>
        <v>Kementerian Pertanian</v>
      </c>
      <c r="F228" s="10" t="str">
        <f>[2]DATA!F156</f>
        <v>Provision and Development of Agriculture Infrastructure Program</v>
      </c>
      <c r="G228" s="10" t="str">
        <f>[2]DATA!G156</f>
        <v>A</v>
      </c>
      <c r="H228" s="10" t="str">
        <f>[2]DATA!H156</f>
        <v>Program Penyediaan dan Pengembangan Prasarana dan Sarana Pertanian</v>
      </c>
      <c r="I228" s="10">
        <f>[2]DATA!I156</f>
        <v>1</v>
      </c>
      <c r="J228" s="181"/>
      <c r="K228" s="34"/>
      <c r="L228" s="34"/>
      <c r="M228" s="3390">
        <v>116</v>
      </c>
      <c r="N228" s="3393" t="str">
        <f>[2]DATA!J156</f>
        <v>Extensification of New Paddy Field Area</v>
      </c>
      <c r="O228" s="20">
        <f>[2]DATA!O156</f>
        <v>0.33333333333333298</v>
      </c>
      <c r="P228" s="20">
        <f>[2]DATA!P156</f>
        <v>0</v>
      </c>
      <c r="Q228" s="186">
        <f>[2]DATA!Q156</f>
        <v>0</v>
      </c>
      <c r="R228" s="3637">
        <f>[2]DATA!R155</f>
        <v>811166600</v>
      </c>
      <c r="S228" s="1449" t="str">
        <f>[2]DATA!W156</f>
        <v>Bank Dunia</v>
      </c>
      <c r="T228" s="77">
        <f>[2]DATA!Z156</f>
        <v>225000000</v>
      </c>
      <c r="U228" s="77"/>
      <c r="V228" s="216" t="str">
        <f>[2]DATA!W156</f>
        <v>Bank Dunia</v>
      </c>
      <c r="W228" s="245">
        <f>[2]DATA!AN156</f>
        <v>0</v>
      </c>
      <c r="X228" s="109">
        <f>[2]DATA!AO156</f>
        <v>0</v>
      </c>
      <c r="Y228" s="252" t="str">
        <f>[2]DATA!AP156</f>
        <v>Bank Dunia tidak berminat mendanai kegiatan ini.</v>
      </c>
      <c r="Z228" s="3411" t="s">
        <v>608</v>
      </c>
      <c r="AA228" s="3411" t="s">
        <v>603</v>
      </c>
      <c r="AB228" s="3411"/>
      <c r="AC228" s="3648"/>
      <c r="AD228" s="2404"/>
    </row>
    <row r="229" spans="1:30" ht="7.5" customHeight="1">
      <c r="A229" s="10">
        <f>[2]DATA!A157</f>
        <v>138</v>
      </c>
      <c r="B229" s="10">
        <f>[2]DATA!B157</f>
        <v>0</v>
      </c>
      <c r="C229" s="10" t="str">
        <f>[2]DATA!C157</f>
        <v>NON-INFRASTRUKTUR</v>
      </c>
      <c r="D229" s="10">
        <f>[2]DATA!D157</f>
        <v>13</v>
      </c>
      <c r="E229" s="10" t="str">
        <f>[2]DATA!E157</f>
        <v>Kementerian Pertanian</v>
      </c>
      <c r="F229" s="10" t="str">
        <f>[2]DATA!F157</f>
        <v>Provision and Development of Agriculture Infrastructure Program</v>
      </c>
      <c r="G229" s="10" t="str">
        <f>[2]DATA!G157</f>
        <v>A</v>
      </c>
      <c r="H229" s="10" t="str">
        <f>[2]DATA!H157</f>
        <v>Program Penyediaan dan Pengembangan Prasarana dan Sarana Pertanian</v>
      </c>
      <c r="I229" s="10">
        <f>[2]DATA!I157</f>
        <v>1</v>
      </c>
      <c r="J229" s="181"/>
      <c r="K229" s="34"/>
      <c r="L229" s="34"/>
      <c r="M229" s="3392"/>
      <c r="N229" s="3397"/>
      <c r="O229" s="20"/>
      <c r="P229" s="20"/>
      <c r="Q229" s="186"/>
      <c r="R229" s="3646"/>
      <c r="S229" s="1449" t="str">
        <f>[2]DATA!W157</f>
        <v>IDB</v>
      </c>
      <c r="T229" s="77">
        <f>[2]DATA!Z157</f>
        <v>125000000</v>
      </c>
      <c r="U229" s="77"/>
      <c r="V229" s="216" t="str">
        <f>[2]DATA!W157</f>
        <v>IDB</v>
      </c>
      <c r="W229" s="245">
        <f>[2]DATA!AN157</f>
        <v>125000000</v>
      </c>
      <c r="X229" s="109" t="str">
        <f>[2]DATA!AO157</f>
        <v>IDB</v>
      </c>
      <c r="Y229" s="252" t="str">
        <f>[2]DATA!AP157</f>
        <v>-</v>
      </c>
      <c r="Z229" s="3412"/>
      <c r="AA229" s="3412"/>
      <c r="AB229" s="3412"/>
      <c r="AC229" s="3651"/>
      <c r="AD229" s="2404"/>
    </row>
    <row r="230" spans="1:30" ht="9" customHeight="1">
      <c r="A230" s="10">
        <f>[2]DATA!A158</f>
        <v>139</v>
      </c>
      <c r="B230" s="10">
        <f>[2]DATA!B158</f>
        <v>0</v>
      </c>
      <c r="C230" s="10" t="str">
        <f>[2]DATA!C158</f>
        <v>NON-INFRASTRUKTUR</v>
      </c>
      <c r="D230" s="10">
        <f>[2]DATA!D158</f>
        <v>13</v>
      </c>
      <c r="E230" s="10" t="str">
        <f>[2]DATA!E158</f>
        <v>Kementerian Pertanian</v>
      </c>
      <c r="F230" s="10" t="str">
        <f>[2]DATA!F158</f>
        <v>Provision and Development of Agriculture Infrastructure Program</v>
      </c>
      <c r="G230" s="10" t="str">
        <f>[2]DATA!G158</f>
        <v>A</v>
      </c>
      <c r="H230" s="10" t="str">
        <f>[2]DATA!H158</f>
        <v>Program Penyediaan dan Pengembangan Prasarana dan Sarana Pertanian</v>
      </c>
      <c r="I230" s="10">
        <f>[2]DATA!I158</f>
        <v>1</v>
      </c>
      <c r="J230" s="181"/>
      <c r="K230" s="34"/>
      <c r="L230" s="34"/>
      <c r="M230" s="3391"/>
      <c r="N230" s="3394"/>
      <c r="O230" s="20"/>
      <c r="P230" s="20"/>
      <c r="Q230" s="186"/>
      <c r="R230" s="3647"/>
      <c r="S230" s="1449" t="str">
        <f>[2]DATA!W158</f>
        <v>Belum Ada Indikasi</v>
      </c>
      <c r="T230" s="77">
        <v>0</v>
      </c>
      <c r="U230" s="77">
        <f>[2]DATA!Z158</f>
        <v>461166600</v>
      </c>
      <c r="V230" s="216" t="str">
        <f>[2]DATA!W158</f>
        <v>Belum Ada Indikasi</v>
      </c>
      <c r="W230" s="245">
        <f>[2]DATA!AN158</f>
        <v>686166600</v>
      </c>
      <c r="X230" s="109" t="str">
        <f>[2]DATA!AO158</f>
        <v>Belum Ada Indikasi</v>
      </c>
      <c r="Y230" s="252" t="str">
        <f>[2]DATA!AP158</f>
        <v>total belum ada indikasi menjadi USD 686,2 juta karena ditambahkan USD 225 juta dari yang sebelumnya Bank Dunia.</v>
      </c>
      <c r="Z230" s="3413"/>
      <c r="AA230" s="3413"/>
      <c r="AB230" s="3413"/>
      <c r="AC230" s="3652"/>
      <c r="AD230" s="2404"/>
    </row>
    <row r="231" spans="1:30" ht="9" customHeight="1">
      <c r="A231" s="10">
        <f>[2]DATA!A160</f>
        <v>140</v>
      </c>
      <c r="B231" s="10">
        <f>[2]DATA!B160</f>
        <v>0</v>
      </c>
      <c r="C231" s="10" t="str">
        <f>[2]DATA!C160</f>
        <v>NON-INFRASTRUKTUR</v>
      </c>
      <c r="D231" s="10">
        <f>[2]DATA!D160</f>
        <v>13</v>
      </c>
      <c r="E231" s="10" t="str">
        <f>[2]DATA!E160</f>
        <v>Kementerian Pertanian</v>
      </c>
      <c r="F231" s="10" t="str">
        <f>[2]DATA!F160</f>
        <v>Provision and Development of Agriculture Infrastructure Program</v>
      </c>
      <c r="G231" s="10" t="str">
        <f>[2]DATA!G160</f>
        <v>A</v>
      </c>
      <c r="H231" s="10" t="str">
        <f>[2]DATA!H160</f>
        <v>Program Penyediaan dan Pengembangan Prasarana dan Sarana Pertanian</v>
      </c>
      <c r="I231" s="10">
        <f>[2]DATA!I160</f>
        <v>2</v>
      </c>
      <c r="J231" s="181"/>
      <c r="K231" s="34"/>
      <c r="L231" s="34"/>
      <c r="M231" s="3390">
        <v>117</v>
      </c>
      <c r="N231" s="3393" t="str">
        <f>[2]DATA!J159</f>
        <v>Upland Development for National Food Security</v>
      </c>
      <c r="O231" s="20">
        <f>[2]DATA!O160</f>
        <v>0.33333333333333298</v>
      </c>
      <c r="P231" s="20">
        <f>[2]DATA!P160</f>
        <v>0</v>
      </c>
      <c r="Q231" s="186">
        <f>[2]DATA!Q160</f>
        <v>0</v>
      </c>
      <c r="R231" s="3637">
        <f>[2]DATA!R159</f>
        <v>535676000</v>
      </c>
      <c r="S231" s="1449" t="str">
        <f>[2]DATA!W160</f>
        <v>Bank Dunia</v>
      </c>
      <c r="T231" s="77">
        <f>[2]DATA!Z160</f>
        <v>125000000</v>
      </c>
      <c r="U231" s="77"/>
      <c r="V231" s="216" t="str">
        <f>[2]DATA!W160</f>
        <v>Bank Dunia</v>
      </c>
      <c r="W231" s="245">
        <f>[2]DATA!AN160</f>
        <v>0</v>
      </c>
      <c r="X231" s="109">
        <f>[2]DATA!AO160</f>
        <v>0</v>
      </c>
      <c r="Y231" s="252" t="str">
        <f>[2]DATA!AP160</f>
        <v>Bank Dunia tidak berminat mendanai kegiatan ini.</v>
      </c>
      <c r="Z231" s="3411" t="s">
        <v>608</v>
      </c>
      <c r="AA231" s="3411" t="s">
        <v>603</v>
      </c>
      <c r="AB231" s="3411"/>
      <c r="AC231" s="3648"/>
      <c r="AD231" s="2404"/>
    </row>
    <row r="232" spans="1:30" ht="12" customHeight="1">
      <c r="A232" s="10">
        <f>[2]DATA!A161</f>
        <v>141</v>
      </c>
      <c r="B232" s="10">
        <f>[2]DATA!B161</f>
        <v>0</v>
      </c>
      <c r="C232" s="10" t="str">
        <f>[2]DATA!C161</f>
        <v>NON-INFRASTRUKTUR</v>
      </c>
      <c r="D232" s="10">
        <f>[2]DATA!D161</f>
        <v>13</v>
      </c>
      <c r="E232" s="10" t="str">
        <f>[2]DATA!E161</f>
        <v>Kementerian Pertanian</v>
      </c>
      <c r="F232" s="10" t="str">
        <f>[2]DATA!F161</f>
        <v>Provision and Development of Agriculture Infrastructure Program</v>
      </c>
      <c r="G232" s="10" t="str">
        <f>[2]DATA!G161</f>
        <v>A</v>
      </c>
      <c r="H232" s="10" t="str">
        <f>[2]DATA!H161</f>
        <v>Program Penyediaan dan Pengembangan Prasarana dan Sarana Pertanian</v>
      </c>
      <c r="I232" s="10">
        <f>[2]DATA!I161</f>
        <v>2</v>
      </c>
      <c r="J232" s="181"/>
      <c r="K232" s="34"/>
      <c r="L232" s="34"/>
      <c r="M232" s="3392"/>
      <c r="N232" s="3397"/>
      <c r="O232" s="20"/>
      <c r="P232" s="20"/>
      <c r="Q232" s="186"/>
      <c r="R232" s="3646"/>
      <c r="S232" s="1449" t="str">
        <f>[2]DATA!W161</f>
        <v>IDB</v>
      </c>
      <c r="T232" s="77">
        <f>[2]DATA!Z161</f>
        <v>125000000</v>
      </c>
      <c r="U232" s="77"/>
      <c r="V232" s="216" t="str">
        <f>[2]DATA!W161</f>
        <v>IDB</v>
      </c>
      <c r="W232" s="245">
        <f>[2]DATA!AN161</f>
        <v>125000000</v>
      </c>
      <c r="X232" s="109" t="str">
        <f>[2]DATA!AO161</f>
        <v>IDB</v>
      </c>
      <c r="Y232" s="252" t="str">
        <f>[2]DATA!AP161</f>
        <v>-</v>
      </c>
      <c r="Z232" s="3412"/>
      <c r="AA232" s="3412"/>
      <c r="AB232" s="3412"/>
      <c r="AC232" s="3651"/>
      <c r="AD232" s="2404"/>
    </row>
    <row r="233" spans="1:30" ht="14.25" customHeight="1">
      <c r="A233" s="10">
        <f>[2]DATA!A162</f>
        <v>142</v>
      </c>
      <c r="B233" s="10">
        <f>[2]DATA!B162</f>
        <v>0</v>
      </c>
      <c r="C233" s="10" t="str">
        <f>[2]DATA!C162</f>
        <v>NON-INFRASTRUKTUR</v>
      </c>
      <c r="D233" s="10">
        <f>[2]DATA!D162</f>
        <v>13</v>
      </c>
      <c r="E233" s="10" t="str">
        <f>[2]DATA!E162</f>
        <v>Kementerian Pertanian</v>
      </c>
      <c r="F233" s="10" t="str">
        <f>[2]DATA!F162</f>
        <v>Provision and Development of Agriculture Infrastructure Program</v>
      </c>
      <c r="G233" s="10" t="str">
        <f>[2]DATA!G162</f>
        <v>A</v>
      </c>
      <c r="H233" s="10" t="str">
        <f>[2]DATA!H162</f>
        <v>Program Penyediaan dan Pengembangan Prasarana dan Sarana Pertanian</v>
      </c>
      <c r="I233" s="10">
        <f>[2]DATA!I162</f>
        <v>2</v>
      </c>
      <c r="J233" s="181"/>
      <c r="K233" s="34"/>
      <c r="L233" s="54"/>
      <c r="M233" s="3391"/>
      <c r="N233" s="3394"/>
      <c r="O233" s="20"/>
      <c r="P233" s="20"/>
      <c r="Q233" s="186"/>
      <c r="R233" s="3647"/>
      <c r="S233" s="1449" t="str">
        <f>[2]DATA!W162</f>
        <v>Belum Ada Indikasi</v>
      </c>
      <c r="T233" s="77">
        <v>0</v>
      </c>
      <c r="U233" s="77">
        <f>[2]DATA!Z162</f>
        <v>285676000</v>
      </c>
      <c r="V233" s="216" t="str">
        <f>[2]DATA!W162</f>
        <v>Belum Ada Indikasi</v>
      </c>
      <c r="W233" s="245">
        <f>[2]DATA!AN162</f>
        <v>410676000</v>
      </c>
      <c r="X233" s="109" t="str">
        <f>[2]DATA!AO162</f>
        <v>Belum Ada Indikasi</v>
      </c>
      <c r="Y233" s="252" t="str">
        <f>[2]DATA!AP162</f>
        <v>total belum ada indikasi menjadi USD 410,7 juta karena ditambahkan USD 125 juta yang sebelumnya Bank Dunia.</v>
      </c>
      <c r="Z233" s="3413"/>
      <c r="AA233" s="3413"/>
      <c r="AB233" s="3413"/>
      <c r="AC233" s="3652"/>
      <c r="AD233" s="2404"/>
    </row>
    <row r="234" spans="1:30" s="5" customFormat="1" ht="33.75" customHeight="1">
      <c r="J234" s="180"/>
      <c r="K234" s="50"/>
      <c r="L234" s="30" t="str">
        <f>[2]DATA!G163</f>
        <v>B</v>
      </c>
      <c r="M234" s="3427" t="str">
        <f>[2]DATA!H163</f>
        <v>Program Peningkatan Penyuluhan, Pendidikan, dan Pelatihan Pertanian</v>
      </c>
      <c r="N234" s="3428"/>
      <c r="O234" s="31"/>
      <c r="P234" s="31"/>
      <c r="Q234" s="196"/>
      <c r="R234" s="2389">
        <f>+R235+R236</f>
        <v>98900000</v>
      </c>
      <c r="S234" s="198"/>
      <c r="T234" s="81">
        <f t="shared" ref="T234:W234" si="32">+T235+T236</f>
        <v>98900000</v>
      </c>
      <c r="U234" s="81">
        <f t="shared" si="32"/>
        <v>0</v>
      </c>
      <c r="V234" s="214"/>
      <c r="W234" s="244">
        <f t="shared" si="32"/>
        <v>98900000</v>
      </c>
      <c r="X234" s="81" t="s">
        <v>21</v>
      </c>
      <c r="Y234" s="229"/>
      <c r="Z234" s="2407"/>
      <c r="AA234" s="2407"/>
      <c r="AB234" s="2407"/>
      <c r="AC234" s="2401"/>
    </row>
    <row r="235" spans="1:30" ht="30" customHeight="1">
      <c r="A235" s="10">
        <f>[2]DATA!A163</f>
        <v>143</v>
      </c>
      <c r="B235" s="10">
        <f>[2]DATA!B163</f>
        <v>0</v>
      </c>
      <c r="C235" s="10" t="str">
        <f>[2]DATA!C163</f>
        <v>NON-INFRASTRUKTUR</v>
      </c>
      <c r="D235" s="10">
        <f>[2]DATA!D163</f>
        <v>13</v>
      </c>
      <c r="E235" s="10" t="str">
        <f>[2]DATA!E163</f>
        <v>Kementerian Pertanian</v>
      </c>
      <c r="F235" s="10" t="str">
        <f>[2]DATA!F163</f>
        <v>Agriculture Extention, Education, and Training Improvement Program</v>
      </c>
      <c r="G235" s="10" t="str">
        <f>[2]DATA!G163</f>
        <v>B</v>
      </c>
      <c r="H235" s="10" t="str">
        <f>[2]DATA!H163</f>
        <v>Program Peningkatan Penyuluhan, Pendidikan, dan Pelatihan Pertanian</v>
      </c>
      <c r="I235" s="10">
        <f>[2]DATA!I163</f>
        <v>1</v>
      </c>
      <c r="J235" s="181"/>
      <c r="K235" s="34"/>
      <c r="L235" s="35"/>
      <c r="M235" s="36">
        <v>118</v>
      </c>
      <c r="N235" s="37" t="str">
        <f>[2]DATA!J163</f>
        <v>Young Enterpreneur Growth and Development for Sustainable Agricultural Development</v>
      </c>
      <c r="O235" s="20">
        <f>[2]DATA!O163</f>
        <v>1</v>
      </c>
      <c r="P235" s="20">
        <f>[2]DATA!P163</f>
        <v>1</v>
      </c>
      <c r="Q235" s="186">
        <f>[2]DATA!Q163</f>
        <v>111</v>
      </c>
      <c r="R235" s="2386">
        <f>[2]DATA!R163</f>
        <v>68900000</v>
      </c>
      <c r="S235" s="1449" t="str">
        <f>[2]DATA!W163</f>
        <v>IFAD</v>
      </c>
      <c r="T235" s="77">
        <f>[2]DATA!Z163</f>
        <v>68900000</v>
      </c>
      <c r="U235" s="77"/>
      <c r="V235" s="216" t="str">
        <f>[2]DATA!W163</f>
        <v>IFAD</v>
      </c>
      <c r="W235" s="245">
        <f>[2]DATA!AN163</f>
        <v>68900000</v>
      </c>
      <c r="X235" s="109" t="str">
        <f>[2]DATA!AO163</f>
        <v>IFAD</v>
      </c>
      <c r="Y235" s="248" t="str">
        <f>[2]DATA!AP163</f>
        <v>-</v>
      </c>
      <c r="Z235" s="2408" t="s">
        <v>603</v>
      </c>
      <c r="AA235" s="2408" t="s">
        <v>603</v>
      </c>
      <c r="AB235" s="2408"/>
      <c r="AC235" s="2391"/>
      <c r="AD235" s="2404"/>
    </row>
    <row r="236" spans="1:30" ht="33.75" customHeight="1">
      <c r="A236" s="10">
        <f>[2]DATA!A164</f>
        <v>144</v>
      </c>
      <c r="B236" s="10">
        <f>[2]DATA!B164</f>
        <v>0</v>
      </c>
      <c r="C236" s="10" t="str">
        <f>[2]DATA!C164</f>
        <v>NON-INFRASTRUKTUR</v>
      </c>
      <c r="D236" s="10">
        <f>[2]DATA!D164</f>
        <v>13</v>
      </c>
      <c r="E236" s="10" t="str">
        <f>[2]DATA!E164</f>
        <v>Kementerian Pertanian</v>
      </c>
      <c r="F236" s="10" t="str">
        <f>[2]DATA!F164</f>
        <v>Agriculture Extention, Education, and Training Improvement Program</v>
      </c>
      <c r="G236" s="10" t="str">
        <f>[2]DATA!G164</f>
        <v>B</v>
      </c>
      <c r="H236" s="10" t="str">
        <f>[2]DATA!H164</f>
        <v>Program Peningkatan Penyuluhan, Pendidikan, dan Pelatihan Pertanian</v>
      </c>
      <c r="I236" s="10">
        <f>[2]DATA!I164</f>
        <v>2</v>
      </c>
      <c r="J236" s="181"/>
      <c r="K236" s="54"/>
      <c r="L236" s="54"/>
      <c r="M236" s="36">
        <v>119</v>
      </c>
      <c r="N236" s="37" t="str">
        <f>[2]DATA!J164</f>
        <v>Rural Empowerment and Agricultural Development (READ) Programme in Sulawesi Island – Phase II</v>
      </c>
      <c r="O236" s="20">
        <f>[2]DATA!O164</f>
        <v>1</v>
      </c>
      <c r="P236" s="20">
        <f>[2]DATA!P164</f>
        <v>1</v>
      </c>
      <c r="Q236" s="186">
        <f>[2]DATA!Q164</f>
        <v>112</v>
      </c>
      <c r="R236" s="2386">
        <f>[2]DATA!R164</f>
        <v>30000000</v>
      </c>
      <c r="S236" s="1449" t="str">
        <f>[2]DATA!W164</f>
        <v>IFAD</v>
      </c>
      <c r="T236" s="77">
        <f>[2]DATA!Z164</f>
        <v>30000000</v>
      </c>
      <c r="U236" s="77"/>
      <c r="V236" s="216" t="str">
        <f>[2]DATA!W164</f>
        <v>IFAD</v>
      </c>
      <c r="W236" s="245">
        <f>[2]DATA!AN164</f>
        <v>30000000</v>
      </c>
      <c r="X236" s="109" t="str">
        <f>[2]DATA!AO164</f>
        <v>IFAD</v>
      </c>
      <c r="Y236" s="248" t="str">
        <f>[2]DATA!AP164</f>
        <v>-</v>
      </c>
      <c r="Z236" s="2408" t="s">
        <v>603</v>
      </c>
      <c r="AA236" s="2408" t="s">
        <v>603</v>
      </c>
      <c r="AB236" s="2408"/>
      <c r="AC236" s="2391"/>
      <c r="AD236" s="2404"/>
    </row>
    <row r="237" spans="1:30" s="4" customFormat="1" ht="24.95" customHeight="1">
      <c r="J237" s="250"/>
      <c r="K237" s="25">
        <v>17</v>
      </c>
      <c r="L237" s="108" t="str">
        <f>[2]DATA!E165</f>
        <v>Kementerian Tenaga Kerja</v>
      </c>
      <c r="M237" s="25"/>
      <c r="N237" s="27"/>
      <c r="O237" s="26"/>
      <c r="P237" s="26"/>
      <c r="Q237" s="193"/>
      <c r="R237" s="2388">
        <f>+R238</f>
        <v>92308000</v>
      </c>
      <c r="S237" s="1451" t="str">
        <f t="shared" ref="S237:U238" si="33">+S238</f>
        <v>-</v>
      </c>
      <c r="T237" s="80">
        <f t="shared" si="33"/>
        <v>92308000</v>
      </c>
      <c r="U237" s="80">
        <f t="shared" si="33"/>
        <v>0</v>
      </c>
      <c r="V237" s="213"/>
      <c r="W237" s="242">
        <f t="shared" ref="W237:W238" si="34">+W238</f>
        <v>92308000</v>
      </c>
      <c r="X237" s="80" t="s">
        <v>21</v>
      </c>
      <c r="Y237" s="227"/>
      <c r="Z237" s="2413"/>
      <c r="AA237" s="2413"/>
      <c r="AB237" s="2413"/>
      <c r="AC237" s="2399"/>
    </row>
    <row r="238" spans="1:30" s="5" customFormat="1" ht="37.5" customHeight="1">
      <c r="J238" s="180"/>
      <c r="K238" s="29"/>
      <c r="L238" s="30" t="str">
        <f>[2]DATA!G167</f>
        <v>A</v>
      </c>
      <c r="M238" s="3427" t="str">
        <f>[2]DATA!H167</f>
        <v>Program Pengembangan dan Pembinaan Meteorologi, Klimatologi, dan Geofisika</v>
      </c>
      <c r="N238" s="3428"/>
      <c r="O238" s="31"/>
      <c r="P238" s="31"/>
      <c r="Q238" s="196"/>
      <c r="R238" s="2389">
        <f>+R239</f>
        <v>92308000</v>
      </c>
      <c r="S238" s="1452" t="s">
        <v>21</v>
      </c>
      <c r="T238" s="81">
        <f t="shared" si="33"/>
        <v>92308000</v>
      </c>
      <c r="U238" s="81">
        <f t="shared" si="33"/>
        <v>0</v>
      </c>
      <c r="V238" s="214"/>
      <c r="W238" s="244">
        <f t="shared" si="34"/>
        <v>92308000</v>
      </c>
      <c r="X238" s="81" t="s">
        <v>21</v>
      </c>
      <c r="Y238" s="229"/>
      <c r="Z238" s="2407"/>
      <c r="AA238" s="2407"/>
      <c r="AB238" s="2407"/>
      <c r="AC238" s="2401"/>
    </row>
    <row r="239" spans="1:30" ht="30.75" customHeight="1">
      <c r="A239" s="10">
        <f>[2]DATA!A165</f>
        <v>145</v>
      </c>
      <c r="B239" s="10">
        <f>[2]DATA!B165</f>
        <v>0</v>
      </c>
      <c r="C239" s="10" t="str">
        <f>[2]DATA!C165</f>
        <v>NON-INFRASTRUKTUR</v>
      </c>
      <c r="D239" s="10">
        <f>[2]DATA!D165</f>
        <v>14</v>
      </c>
      <c r="E239" s="10" t="str">
        <f>[2]DATA!E165</f>
        <v>Kementerian Tenaga Kerja</v>
      </c>
      <c r="F239" s="10" t="str">
        <f>[2]DATA!F165</f>
        <v>Improving Labor Competitiveness Program</v>
      </c>
      <c r="G239" s="10" t="str">
        <f>[2]DATA!G165</f>
        <v>A</v>
      </c>
      <c r="H239" s="10" t="str">
        <f>[2]DATA!H165</f>
        <v>Program Peningkatan Daya Saing Tenaga Kerja</v>
      </c>
      <c r="I239" s="10">
        <f>[2]DATA!I165</f>
        <v>1</v>
      </c>
      <c r="J239" s="181"/>
      <c r="K239" s="54"/>
      <c r="L239" s="20"/>
      <c r="M239" s="36">
        <v>120</v>
      </c>
      <c r="N239" s="37" t="str">
        <f>[2]DATA!J165</f>
        <v>Development of Maritime Vocational Training Centers</v>
      </c>
      <c r="O239" s="20">
        <f>[2]DATA!O165</f>
        <v>1</v>
      </c>
      <c r="P239" s="20">
        <f>[2]DATA!P165</f>
        <v>1</v>
      </c>
      <c r="Q239" s="186">
        <f>[2]DATA!Q165</f>
        <v>113</v>
      </c>
      <c r="R239" s="2386">
        <f>[2]DATA!R165</f>
        <v>92308000</v>
      </c>
      <c r="S239" s="1449" t="str">
        <f>[2]DATA!W165</f>
        <v>Austria/JICA/Singapura</v>
      </c>
      <c r="T239" s="77">
        <f>[2]DATA!Z165</f>
        <v>92308000</v>
      </c>
      <c r="U239" s="77">
        <f>[2]DATA!AA165</f>
        <v>0</v>
      </c>
      <c r="V239" s="216" t="str">
        <f>[2]DATA!W165</f>
        <v>Austria/JICA/Singapura</v>
      </c>
      <c r="W239" s="245">
        <f>[2]DATA!AN165</f>
        <v>92308000</v>
      </c>
      <c r="X239" s="109" t="str">
        <f>[2]DATA!AO165</f>
        <v>Austria/JICA/Singapura</v>
      </c>
      <c r="Y239" s="252" t="str">
        <f>[2]DATA!AP165</f>
        <v>belum ada konfirmasi lender yang berminat</v>
      </c>
      <c r="Z239" s="2408" t="s">
        <v>603</v>
      </c>
      <c r="AA239" s="2408" t="s">
        <v>603</v>
      </c>
      <c r="AB239" s="2408"/>
      <c r="AC239" s="2391"/>
      <c r="AD239" s="2404"/>
    </row>
    <row r="240" spans="1:30" s="4" customFormat="1" ht="24.95" customHeight="1">
      <c r="J240" s="250"/>
      <c r="K240" s="25">
        <v>18</v>
      </c>
      <c r="L240" s="108" t="str">
        <f>[2]DATA!E166</f>
        <v>Kementerian Kelautan dan Perikanan</v>
      </c>
      <c r="M240" s="25"/>
      <c r="N240" s="27"/>
      <c r="O240" s="26"/>
      <c r="P240" s="26"/>
      <c r="Q240" s="193"/>
      <c r="R240" s="2388">
        <f>+R241</f>
        <v>107000000</v>
      </c>
      <c r="S240" s="195"/>
      <c r="T240" s="80">
        <f t="shared" ref="T240:W241" si="35">+T241</f>
        <v>107000000</v>
      </c>
      <c r="U240" s="80">
        <f t="shared" si="35"/>
        <v>0</v>
      </c>
      <c r="V240" s="213"/>
      <c r="W240" s="242">
        <f t="shared" si="35"/>
        <v>107000000</v>
      </c>
      <c r="X240" s="80" t="s">
        <v>21</v>
      </c>
      <c r="Y240" s="227"/>
      <c r="Z240" s="2413"/>
      <c r="AA240" s="2413"/>
      <c r="AB240" s="2413"/>
      <c r="AC240" s="2399"/>
    </row>
    <row r="241" spans="1:30" s="5" customFormat="1" ht="33.75" customHeight="1">
      <c r="J241" s="180"/>
      <c r="K241" s="116"/>
      <c r="L241" s="30" t="str">
        <f>[2]DATA!G166</f>
        <v>A</v>
      </c>
      <c r="M241" s="31" t="str">
        <f>[2]DATA!H166</f>
        <v>Program Peningkatan Fasilitas Perikanan</v>
      </c>
      <c r="N241" s="51"/>
      <c r="O241" s="31"/>
      <c r="P241" s="31"/>
      <c r="Q241" s="196"/>
      <c r="R241" s="2389">
        <f>+R242</f>
        <v>107000000</v>
      </c>
      <c r="S241" s="198"/>
      <c r="T241" s="81">
        <f>R241</f>
        <v>107000000</v>
      </c>
      <c r="U241" s="81">
        <f t="shared" si="35"/>
        <v>0</v>
      </c>
      <c r="V241" s="214"/>
      <c r="W241" s="244">
        <f t="shared" si="35"/>
        <v>107000000</v>
      </c>
      <c r="X241" s="81" t="s">
        <v>21</v>
      </c>
      <c r="Y241" s="229"/>
      <c r="Z241" s="2407"/>
      <c r="AA241" s="2407"/>
      <c r="AB241" s="2407"/>
      <c r="AC241" s="2401"/>
    </row>
    <row r="242" spans="1:30" s="9" customFormat="1" ht="27.75" customHeight="1">
      <c r="A242" s="9">
        <f>[2]DATA!A166</f>
        <v>146</v>
      </c>
      <c r="B242" s="9">
        <f>[2]DATA!B166</f>
        <v>0</v>
      </c>
      <c r="C242" s="9" t="str">
        <f>[2]DATA!C166</f>
        <v>NON-INFRASTRUKTUR</v>
      </c>
      <c r="D242" s="9">
        <f>[2]DATA!D166</f>
        <v>15</v>
      </c>
      <c r="E242" s="9" t="str">
        <f>[2]DATA!E166</f>
        <v>Kementerian Kelautan dan Perikanan</v>
      </c>
      <c r="F242" s="9" t="str">
        <f>[2]DATA!F166</f>
        <v>Improvement of Fisheries Facilities Program</v>
      </c>
      <c r="G242" s="9" t="str">
        <f>[2]DATA!G166</f>
        <v>A</v>
      </c>
      <c r="H242" s="9" t="str">
        <f>[2]DATA!H166</f>
        <v>Program Peningkatan Fasilitas Perikanan</v>
      </c>
      <c r="I242" s="9">
        <f>[2]DATA!I166</f>
        <v>1</v>
      </c>
      <c r="J242" s="254"/>
      <c r="K242" s="66"/>
      <c r="L242" s="66"/>
      <c r="M242" s="64">
        <v>121</v>
      </c>
      <c r="N242" s="65" t="s">
        <v>1278</v>
      </c>
      <c r="O242" s="66">
        <f>[2]DATA!O166</f>
        <v>1</v>
      </c>
      <c r="P242" s="66">
        <f>[2]DATA!P166</f>
        <v>1</v>
      </c>
      <c r="Q242" s="257">
        <f>[2]DATA!Q166</f>
        <v>114</v>
      </c>
      <c r="R242" s="2417">
        <f>[2]DATA!R166</f>
        <v>107000000</v>
      </c>
      <c r="S242" s="1455" t="str">
        <f>[2]DATA!W166</f>
        <v>Dibatalkan (surat KKP 30 Nov 2015)</v>
      </c>
      <c r="T242" s="91">
        <v>0</v>
      </c>
      <c r="U242" s="91">
        <v>0</v>
      </c>
      <c r="V242" s="216" t="str">
        <f>[2]DATA!W166</f>
        <v>Dibatalkan (surat KKP 30 Nov 2015)</v>
      </c>
      <c r="W242" s="245">
        <f>[2]DATA!AN166</f>
        <v>107000000</v>
      </c>
      <c r="X242" s="109" t="str">
        <f>[2]DATA!AO166</f>
        <v>Dibatalkan (surat KKP 30 Nov 2015)</v>
      </c>
      <c r="Y242" s="248" t="str">
        <f>[2]DATA!AP166</f>
        <v>-</v>
      </c>
      <c r="Z242" s="2419" t="s">
        <v>675</v>
      </c>
      <c r="AA242" s="2419" t="s">
        <v>603</v>
      </c>
      <c r="AB242" s="2419" t="s">
        <v>1131</v>
      </c>
      <c r="AC242" s="2420"/>
      <c r="AD242" s="2404"/>
    </row>
    <row r="243" spans="1:30" s="9" customFormat="1" ht="27.75" customHeight="1">
      <c r="J243" s="254"/>
      <c r="K243" s="25">
        <v>19</v>
      </c>
      <c r="L243" s="108" t="s">
        <v>1047</v>
      </c>
      <c r="M243" s="25"/>
      <c r="N243" s="27"/>
      <c r="O243" s="66"/>
      <c r="P243" s="66"/>
      <c r="Q243" s="257"/>
      <c r="R243" s="2388">
        <f>R244</f>
        <v>290000000</v>
      </c>
      <c r="S243" s="1455"/>
      <c r="T243" s="91"/>
      <c r="U243" s="91"/>
      <c r="V243" s="216"/>
      <c r="W243" s="245"/>
      <c r="X243" s="109"/>
      <c r="Y243" s="248"/>
      <c r="Z243" s="2419"/>
      <c r="AA243" s="2419"/>
      <c r="AB243" s="2419"/>
      <c r="AC243" s="2399"/>
    </row>
    <row r="244" spans="1:30" s="9" customFormat="1" ht="22.5" customHeight="1">
      <c r="J244" s="254"/>
      <c r="K244" s="29"/>
      <c r="L244" s="30" t="s">
        <v>23</v>
      </c>
      <c r="M244" s="3427" t="s">
        <v>1049</v>
      </c>
      <c r="N244" s="3446"/>
      <c r="O244" s="66"/>
      <c r="P244" s="66"/>
      <c r="Q244" s="257"/>
      <c r="R244" s="2389">
        <f>R245+R246+R247+R248</f>
        <v>290000000</v>
      </c>
      <c r="S244" s="1455"/>
      <c r="T244" s="91"/>
      <c r="U244" s="91"/>
      <c r="V244" s="216"/>
      <c r="W244" s="245"/>
      <c r="X244" s="109"/>
      <c r="Y244" s="248"/>
      <c r="Z244" s="2419"/>
      <c r="AA244" s="2419"/>
      <c r="AB244" s="2419"/>
      <c r="AC244" s="2401"/>
    </row>
    <row r="245" spans="1:30" s="9" customFormat="1" ht="28.5" customHeight="1">
      <c r="J245" s="254"/>
      <c r="K245" s="1690"/>
      <c r="L245" s="35"/>
      <c r="M245" s="36">
        <v>122</v>
      </c>
      <c r="N245" s="2299" t="s">
        <v>1050</v>
      </c>
      <c r="O245" s="66"/>
      <c r="P245" s="66"/>
      <c r="Q245" s="257"/>
      <c r="R245" s="2417">
        <v>150000000</v>
      </c>
      <c r="S245" s="1455"/>
      <c r="T245" s="91"/>
      <c r="U245" s="91"/>
      <c r="V245" s="216"/>
      <c r="W245" s="245"/>
      <c r="X245" s="109"/>
      <c r="Y245" s="248"/>
      <c r="Z245" s="2419"/>
      <c r="AA245" s="2419"/>
      <c r="AB245" s="2419"/>
      <c r="AC245" s="2420" t="s">
        <v>1271</v>
      </c>
    </row>
    <row r="246" spans="1:30" s="9" customFormat="1" ht="21" customHeight="1">
      <c r="J246" s="254"/>
      <c r="K246" s="1690"/>
      <c r="L246" s="34"/>
      <c r="M246" s="36">
        <v>123</v>
      </c>
      <c r="N246" s="2299" t="s">
        <v>1052</v>
      </c>
      <c r="O246" s="66"/>
      <c r="P246" s="66"/>
      <c r="Q246" s="257"/>
      <c r="R246" s="2417">
        <v>55000000</v>
      </c>
      <c r="S246" s="1455"/>
      <c r="T246" s="91"/>
      <c r="U246" s="91"/>
      <c r="V246" s="216"/>
      <c r="W246" s="245"/>
      <c r="X246" s="109"/>
      <c r="Y246" s="248"/>
      <c r="Z246" s="2419"/>
      <c r="AA246" s="2419"/>
      <c r="AB246" s="2419"/>
      <c r="AC246" s="2420" t="s">
        <v>1271</v>
      </c>
    </row>
    <row r="247" spans="1:30" s="9" customFormat="1" ht="21.75" customHeight="1">
      <c r="J247" s="254"/>
      <c r="K247" s="1690"/>
      <c r="L247" s="34"/>
      <c r="M247" s="36">
        <v>124</v>
      </c>
      <c r="N247" s="2299" t="s">
        <v>1053</v>
      </c>
      <c r="O247" s="66"/>
      <c r="P247" s="66"/>
      <c r="Q247" s="257"/>
      <c r="R247" s="2417">
        <v>45000000</v>
      </c>
      <c r="S247" s="1455"/>
      <c r="T247" s="91"/>
      <c r="U247" s="91"/>
      <c r="V247" s="216"/>
      <c r="W247" s="245"/>
      <c r="X247" s="109"/>
      <c r="Y247" s="248"/>
      <c r="Z247" s="2419"/>
      <c r="AA247" s="2419"/>
      <c r="AB247" s="2419"/>
      <c r="AC247" s="2420" t="s">
        <v>1271</v>
      </c>
    </row>
    <row r="248" spans="1:30" s="9" customFormat="1" ht="26.25" customHeight="1">
      <c r="J248" s="254"/>
      <c r="K248" s="1690"/>
      <c r="L248" s="54"/>
      <c r="M248" s="36">
        <v>125</v>
      </c>
      <c r="N248" s="2299" t="s">
        <v>1054</v>
      </c>
      <c r="O248" s="66"/>
      <c r="P248" s="66"/>
      <c r="Q248" s="257"/>
      <c r="R248" s="2417">
        <v>40000000</v>
      </c>
      <c r="S248" s="1455"/>
      <c r="T248" s="91"/>
      <c r="U248" s="91"/>
      <c r="V248" s="216"/>
      <c r="W248" s="245"/>
      <c r="X248" s="109"/>
      <c r="Y248" s="248"/>
      <c r="Z248" s="2419"/>
      <c r="AA248" s="2419"/>
      <c r="AB248" s="2419"/>
      <c r="AC248" s="2420" t="s">
        <v>1271</v>
      </c>
    </row>
    <row r="249" spans="1:30" s="4" customFormat="1" ht="24.95" customHeight="1">
      <c r="J249" s="250"/>
      <c r="K249" s="25">
        <v>20</v>
      </c>
      <c r="L249" s="108" t="str">
        <f>[2]DATA!E167</f>
        <v>Badan Meteorologi, Klimatologi dan Geofisika (BMKG)</v>
      </c>
      <c r="M249" s="25"/>
      <c r="N249" s="27"/>
      <c r="O249" s="26"/>
      <c r="P249" s="26"/>
      <c r="Q249" s="193"/>
      <c r="R249" s="2388">
        <f>+R250</f>
        <v>150000000</v>
      </c>
      <c r="S249" s="195"/>
      <c r="T249" s="80">
        <f t="shared" ref="T249:W250" si="36">+T250</f>
        <v>150000000</v>
      </c>
      <c r="U249" s="80">
        <f t="shared" si="36"/>
        <v>0</v>
      </c>
      <c r="V249" s="213"/>
      <c r="W249" s="242">
        <f t="shared" si="36"/>
        <v>150000000</v>
      </c>
      <c r="X249" s="80" t="s">
        <v>21</v>
      </c>
      <c r="Y249" s="227"/>
      <c r="Z249" s="2413"/>
      <c r="AA249" s="2413"/>
      <c r="AB249" s="2413"/>
      <c r="AC249" s="2399"/>
    </row>
    <row r="250" spans="1:30" s="5" customFormat="1" ht="33.75" customHeight="1">
      <c r="J250" s="180"/>
      <c r="K250" s="29"/>
      <c r="L250" s="30" t="str">
        <f>[2]DATA!G167</f>
        <v>A</v>
      </c>
      <c r="M250" s="3427" t="str">
        <f>[2]DATA!H167</f>
        <v>Program Pengembangan dan Pembinaan Meteorologi, Klimatologi, dan Geofisika</v>
      </c>
      <c r="N250" s="3428"/>
      <c r="O250" s="31"/>
      <c r="P250" s="31"/>
      <c r="Q250" s="196"/>
      <c r="R250" s="2389">
        <f>+R251</f>
        <v>150000000</v>
      </c>
      <c r="S250" s="1456"/>
      <c r="T250" s="81">
        <f t="shared" si="36"/>
        <v>150000000</v>
      </c>
      <c r="U250" s="81">
        <f t="shared" si="36"/>
        <v>0</v>
      </c>
      <c r="V250" s="214"/>
      <c r="W250" s="244">
        <f t="shared" si="36"/>
        <v>150000000</v>
      </c>
      <c r="X250" s="81" t="s">
        <v>21</v>
      </c>
      <c r="Y250" s="229"/>
      <c r="Z250" s="2407"/>
      <c r="AA250" s="2407"/>
      <c r="AB250" s="2407"/>
      <c r="AC250" s="2401"/>
      <c r="AD250" s="2402"/>
    </row>
    <row r="251" spans="1:30" ht="89.25" customHeight="1">
      <c r="A251" s="10">
        <f>[2]DATA!A167</f>
        <v>147</v>
      </c>
      <c r="B251" s="10">
        <f>[2]DATA!B167</f>
        <v>0</v>
      </c>
      <c r="C251" s="10" t="str">
        <f>[2]DATA!C167</f>
        <v>NON-INFRASTRUKTUR</v>
      </c>
      <c r="D251" s="10">
        <f>[2]DATA!D167</f>
        <v>16</v>
      </c>
      <c r="E251" s="10" t="str">
        <f>[2]DATA!E167</f>
        <v>Badan Meteorologi, Klimatologi dan Geofisika (BMKG)</v>
      </c>
      <c r="F251" s="10" t="str">
        <f>[2]DATA!F167</f>
        <v>Program for Capacity Development and Guidance of Meteorology, Climatology, and Geophysics</v>
      </c>
      <c r="G251" s="10" t="str">
        <f>[2]DATA!G167</f>
        <v>A</v>
      </c>
      <c r="H251" s="10" t="str">
        <f>[2]DATA!H167</f>
        <v>Program Pengembangan dan Pembinaan Meteorologi, Klimatologi, dan Geofisika</v>
      </c>
      <c r="I251" s="10">
        <f>[2]DATA!I167</f>
        <v>1</v>
      </c>
      <c r="J251" s="181"/>
      <c r="K251" s="54"/>
      <c r="L251" s="36"/>
      <c r="M251" s="36">
        <v>126</v>
      </c>
      <c r="N251" s="37" t="str">
        <f>[2]DATA!J167</f>
        <v>Strengthening Climate and Weather Service Capacity – Phase II:
a) Kegiatan lanjutan dair kegiatan Strengthening BMKG Climate and Weather Services Capacity Phase I
b) Kegiatan pengembangan sistem Layanan Informasi Meteorologi Maritim</v>
      </c>
      <c r="O251" s="20">
        <f>[2]DATA!O167</f>
        <v>1</v>
      </c>
      <c r="P251" s="20">
        <f>[2]DATA!P167</f>
        <v>1</v>
      </c>
      <c r="Q251" s="186">
        <f>[2]DATA!Q167</f>
        <v>115</v>
      </c>
      <c r="R251" s="2386">
        <f>[2]DATA!R167</f>
        <v>150000000</v>
      </c>
      <c r="S251" s="1449" t="str">
        <f>[2]DATA!W167</f>
        <v>US EXIM</v>
      </c>
      <c r="T251" s="77">
        <f>[2]DATA!Z167</f>
        <v>150000000</v>
      </c>
      <c r="U251" s="77">
        <f>[2]DATA!AA167</f>
        <v>0</v>
      </c>
      <c r="V251" s="216" t="str">
        <f>[2]DATA!W167</f>
        <v>US EXIM</v>
      </c>
      <c r="W251" s="245">
        <f>[2]DATA!AN167</f>
        <v>150000000</v>
      </c>
      <c r="X251" s="109" t="str">
        <f>[2]DATA!AO167</f>
        <v>US EXIM</v>
      </c>
      <c r="Y251" s="248" t="str">
        <f>[2]DATA!AP167</f>
        <v>-</v>
      </c>
      <c r="Z251" s="2408" t="s">
        <v>608</v>
      </c>
      <c r="AA251" s="2408" t="s">
        <v>568</v>
      </c>
      <c r="AB251" s="2408"/>
      <c r="AC251" s="2391"/>
      <c r="AD251" s="2404"/>
    </row>
    <row r="252" spans="1:30" s="4" customFormat="1" ht="24.95" customHeight="1">
      <c r="J252" s="250"/>
      <c r="K252" s="25">
        <v>21</v>
      </c>
      <c r="L252" s="108" t="str">
        <f>[2]DATA!E168</f>
        <v>Badan Pengkajian dan Penerapan Teknologi</v>
      </c>
      <c r="M252" s="25"/>
      <c r="N252" s="27"/>
      <c r="O252" s="26"/>
      <c r="P252" s="26"/>
      <c r="Q252" s="193"/>
      <c r="R252" s="2388">
        <f>+R253</f>
        <v>114400000</v>
      </c>
      <c r="S252" s="1435"/>
      <c r="T252" s="80">
        <f t="shared" ref="T252:W253" si="37">+T253</f>
        <v>114400000</v>
      </c>
      <c r="U252" s="80">
        <f t="shared" si="37"/>
        <v>0</v>
      </c>
      <c r="V252" s="213"/>
      <c r="W252" s="242">
        <f t="shared" si="37"/>
        <v>114400000</v>
      </c>
      <c r="X252" s="80" t="s">
        <v>21</v>
      </c>
      <c r="Y252" s="227"/>
      <c r="Z252" s="2413"/>
      <c r="AA252" s="2413"/>
      <c r="AB252" s="2413"/>
      <c r="AC252" s="2399"/>
    </row>
    <row r="253" spans="1:30" s="5" customFormat="1" ht="33.75" customHeight="1">
      <c r="J253" s="180"/>
      <c r="K253" s="29"/>
      <c r="L253" s="30" t="str">
        <f>[2]DATA!G168</f>
        <v>A</v>
      </c>
      <c r="M253" s="3427" t="str">
        <f>[2]DATA!H168</f>
        <v>Program Pembangunan Science Park dan Technopark</v>
      </c>
      <c r="N253" s="3446"/>
      <c r="O253" s="31"/>
      <c r="P253" s="31"/>
      <c r="Q253" s="196"/>
      <c r="R253" s="2389">
        <f>+R254</f>
        <v>114400000</v>
      </c>
      <c r="S253" s="198"/>
      <c r="T253" s="81">
        <f t="shared" si="37"/>
        <v>114400000</v>
      </c>
      <c r="U253" s="81">
        <f t="shared" si="37"/>
        <v>0</v>
      </c>
      <c r="V253" s="214"/>
      <c r="W253" s="244">
        <f t="shared" si="37"/>
        <v>114400000</v>
      </c>
      <c r="X253" s="81" t="s">
        <v>21</v>
      </c>
      <c r="Y253" s="229"/>
      <c r="Z253" s="2407"/>
      <c r="AA253" s="2407"/>
      <c r="AB253" s="2407"/>
      <c r="AC253" s="2401"/>
    </row>
    <row r="254" spans="1:30" ht="47.25" customHeight="1">
      <c r="A254" s="10">
        <f>[2]DATA!A168</f>
        <v>148</v>
      </c>
      <c r="B254" s="10">
        <f>[2]DATA!B168</f>
        <v>0</v>
      </c>
      <c r="C254" s="10" t="str">
        <f>[2]DATA!C168</f>
        <v>NON-INFRASTRUKTUR</v>
      </c>
      <c r="D254" s="10">
        <f>[2]DATA!D168</f>
        <v>17</v>
      </c>
      <c r="E254" s="10" t="str">
        <f>[2]DATA!E168</f>
        <v>Badan Pengkajian dan Penerapan Teknologi</v>
      </c>
      <c r="F254" s="10" t="str">
        <f>[2]DATA!F168</f>
        <v>Science Park and Technopark Development Program</v>
      </c>
      <c r="G254" s="10" t="str">
        <f>[2]DATA!G168</f>
        <v>A</v>
      </c>
      <c r="H254" s="10" t="str">
        <f>[2]DATA!H168</f>
        <v>Program Pembangunan Science Park dan Technopark</v>
      </c>
      <c r="I254" s="10">
        <f>[2]DATA!I168</f>
        <v>1</v>
      </c>
      <c r="J254" s="181"/>
      <c r="K254" s="54"/>
      <c r="L254" s="36"/>
      <c r="M254" s="36">
        <v>127</v>
      </c>
      <c r="N254" s="37" t="str">
        <f>[2]DATA!J168</f>
        <v>Development of Maritime National Science and Technology Park (NTSP) in the Northern Penajam Paser and Revitalization Infrastructure Marine Survey</v>
      </c>
      <c r="O254" s="20">
        <f>[2]DATA!O168</f>
        <v>1</v>
      </c>
      <c r="P254" s="20">
        <f>[2]DATA!P168</f>
        <v>1</v>
      </c>
      <c r="Q254" s="186">
        <f>[2]DATA!Q168</f>
        <v>116</v>
      </c>
      <c r="R254" s="2386">
        <f>[2]DATA!R168</f>
        <v>114400000</v>
      </c>
      <c r="S254" s="1449" t="str">
        <f>[2]DATA!W168</f>
        <v>Perancis (AFD)</v>
      </c>
      <c r="T254" s="77">
        <f>[2]DATA!Z168</f>
        <v>114400000</v>
      </c>
      <c r="U254" s="77">
        <f>[2]DATA!AA168</f>
        <v>0</v>
      </c>
      <c r="V254" s="216" t="str">
        <f>[2]DATA!W168</f>
        <v>Perancis (AFD)</v>
      </c>
      <c r="W254" s="245">
        <f>[2]DATA!AN168</f>
        <v>114400000</v>
      </c>
      <c r="X254" s="109" t="str">
        <f>[2]DATA!AO168</f>
        <v>Perancis (AFD)</v>
      </c>
      <c r="Y254" s="248" t="str">
        <f>[2]DATA!AP168</f>
        <v>-</v>
      </c>
      <c r="Z254" s="2408" t="s">
        <v>608</v>
      </c>
      <c r="AA254" s="2409" t="s">
        <v>1012</v>
      </c>
      <c r="AB254" s="2409" t="s">
        <v>1129</v>
      </c>
      <c r="AC254" s="2391"/>
      <c r="AD254" s="2404"/>
    </row>
    <row r="255" spans="1:30" ht="30.75" customHeight="1">
      <c r="J255" s="181"/>
      <c r="K255" s="1421">
        <v>22</v>
      </c>
      <c r="L255" s="1422" t="s">
        <v>1105</v>
      </c>
      <c r="M255" s="1421"/>
      <c r="N255" s="1423"/>
      <c r="O255" s="35"/>
      <c r="P255" s="35"/>
      <c r="Q255" s="2424"/>
      <c r="R255" s="2388">
        <f>R256</f>
        <v>200000000</v>
      </c>
      <c r="S255" s="1440"/>
      <c r="T255" s="1458"/>
      <c r="U255" s="1458"/>
      <c r="V255" s="218"/>
      <c r="W255" s="1582"/>
      <c r="X255" s="1611"/>
      <c r="Y255" s="2425"/>
      <c r="Z255" s="251"/>
      <c r="AA255" s="2426"/>
      <c r="AB255" s="2426"/>
      <c r="AC255" s="2399"/>
    </row>
    <row r="256" spans="1:30" ht="32.25" customHeight="1">
      <c r="J256" s="2423"/>
      <c r="K256" s="29"/>
      <c r="L256" s="30" t="s">
        <v>23</v>
      </c>
      <c r="M256" s="3448" t="s">
        <v>1106</v>
      </c>
      <c r="N256" s="3427"/>
      <c r="O256" s="35"/>
      <c r="P256" s="35"/>
      <c r="Q256" s="2424"/>
      <c r="R256" s="2389">
        <f>R257</f>
        <v>200000000</v>
      </c>
      <c r="S256" s="1440"/>
      <c r="T256" s="1458"/>
      <c r="U256" s="1458"/>
      <c r="V256" s="218"/>
      <c r="W256" s="1582"/>
      <c r="X256" s="1611"/>
      <c r="Y256" s="2425"/>
      <c r="Z256" s="251"/>
      <c r="AA256" s="2426"/>
      <c r="AB256" s="2426"/>
      <c r="AC256" s="2401"/>
    </row>
    <row r="257" spans="1:30" ht="30.75" customHeight="1">
      <c r="J257" s="2423"/>
      <c r="K257" s="54"/>
      <c r="L257" s="36"/>
      <c r="M257" s="36">
        <v>128</v>
      </c>
      <c r="N257" s="271" t="s">
        <v>1107</v>
      </c>
      <c r="O257" s="35"/>
      <c r="P257" s="35"/>
      <c r="Q257" s="2424"/>
      <c r="R257" s="2429">
        <v>200000000</v>
      </c>
      <c r="S257" s="1440"/>
      <c r="T257" s="1458"/>
      <c r="U257" s="1458"/>
      <c r="V257" s="218"/>
      <c r="W257" s="1582"/>
      <c r="X257" s="1611"/>
      <c r="Y257" s="2425"/>
      <c r="Z257" s="251"/>
      <c r="AA257" s="2426"/>
      <c r="AB257" s="2426"/>
      <c r="AC257" s="2403" t="s">
        <v>1279</v>
      </c>
    </row>
    <row r="258" spans="1:30" ht="25.5" customHeight="1">
      <c r="J258" s="2423"/>
      <c r="K258" s="25">
        <v>23</v>
      </c>
      <c r="L258" s="108" t="s">
        <v>1075</v>
      </c>
      <c r="M258" s="25"/>
      <c r="N258" s="27"/>
      <c r="O258" s="35"/>
      <c r="P258" s="35"/>
      <c r="Q258" s="2424"/>
      <c r="R258" s="2388">
        <f>R259</f>
        <v>107950000</v>
      </c>
      <c r="S258" s="1440"/>
      <c r="T258" s="1458"/>
      <c r="U258" s="1458"/>
      <c r="V258" s="218"/>
      <c r="W258" s="1582"/>
      <c r="X258" s="1611"/>
      <c r="Y258" s="2425"/>
      <c r="Z258" s="251"/>
      <c r="AA258" s="2426"/>
      <c r="AB258" s="2426"/>
      <c r="AC258" s="2399"/>
    </row>
    <row r="259" spans="1:30" ht="24" customHeight="1">
      <c r="J259" s="2423"/>
      <c r="K259" s="50"/>
      <c r="L259" s="2427" t="s">
        <v>23</v>
      </c>
      <c r="M259" s="3632" t="s">
        <v>1077</v>
      </c>
      <c r="N259" s="3633"/>
      <c r="O259" s="35"/>
      <c r="P259" s="35"/>
      <c r="Q259" s="2424"/>
      <c r="R259" s="2389">
        <f>R260</f>
        <v>107950000</v>
      </c>
      <c r="S259" s="1440"/>
      <c r="T259" s="1458"/>
      <c r="U259" s="1458"/>
      <c r="V259" s="218"/>
      <c r="W259" s="1582"/>
      <c r="X259" s="1611"/>
      <c r="Y259" s="2425"/>
      <c r="Z259" s="251"/>
      <c r="AA259" s="2426"/>
      <c r="AB259" s="2426"/>
      <c r="AC259" s="2401"/>
    </row>
    <row r="260" spans="1:30" ht="27.75" customHeight="1">
      <c r="J260" s="2423"/>
      <c r="K260" s="54"/>
      <c r="L260" s="36"/>
      <c r="M260" s="36">
        <v>129</v>
      </c>
      <c r="N260" s="2428" t="s">
        <v>1078</v>
      </c>
      <c r="O260" s="35"/>
      <c r="P260" s="35"/>
      <c r="Q260" s="2424"/>
      <c r="R260" s="2429">
        <v>107950000</v>
      </c>
      <c r="S260" s="1440"/>
      <c r="T260" s="1458"/>
      <c r="U260" s="1458"/>
      <c r="V260" s="218"/>
      <c r="W260" s="1582"/>
      <c r="X260" s="1611"/>
      <c r="Y260" s="2425"/>
      <c r="Z260" s="251"/>
      <c r="AA260" s="2426"/>
      <c r="AB260" s="2426"/>
      <c r="AC260" s="2392" t="s">
        <v>1271</v>
      </c>
      <c r="AD260" s="2404"/>
    </row>
    <row r="261" spans="1:30" s="3" customFormat="1" ht="30" customHeight="1">
      <c r="J261" s="3450" t="s">
        <v>477</v>
      </c>
      <c r="K261" s="3451"/>
      <c r="L261" s="3451"/>
      <c r="M261" s="3451"/>
      <c r="N261" s="3452"/>
      <c r="O261" s="276"/>
      <c r="P261" s="276"/>
      <c r="Q261" s="277"/>
      <c r="R261" s="2430">
        <f>+R10+R180</f>
        <v>45945524600</v>
      </c>
      <c r="S261" s="279"/>
      <c r="T261" s="280" t="e">
        <f>+T10+T180</f>
        <v>#REF!</v>
      </c>
      <c r="U261" s="280" t="e">
        <f>+U10+U180</f>
        <v>#REF!</v>
      </c>
      <c r="V261" s="282" t="e">
        <f>+V10+V180</f>
        <v>#REF!</v>
      </c>
      <c r="W261" s="288" t="e">
        <f>+W10+W180</f>
        <v>#REF!</v>
      </c>
      <c r="X261" s="280" t="s">
        <v>21</v>
      </c>
      <c r="Y261" s="285">
        <f>+Y10+Y180</f>
        <v>0</v>
      </c>
      <c r="Z261" s="2432"/>
      <c r="AA261" s="2432"/>
      <c r="AB261" s="2432"/>
      <c r="AC261" s="2433"/>
    </row>
    <row r="262" spans="1:30" s="12" customFormat="1">
      <c r="A262" s="10"/>
      <c r="B262" s="10"/>
      <c r="C262" s="10"/>
      <c r="D262" s="10"/>
      <c r="E262" s="10"/>
      <c r="F262" s="10"/>
      <c r="G262" s="10"/>
      <c r="H262" s="10"/>
      <c r="I262" s="10"/>
      <c r="J262" s="11"/>
      <c r="K262" s="10"/>
      <c r="L262" s="10"/>
      <c r="M262" s="10"/>
      <c r="O262" s="10"/>
      <c r="P262" s="10"/>
      <c r="Q262" s="10"/>
      <c r="R262" s="13"/>
      <c r="S262" s="14"/>
      <c r="T262" s="13"/>
      <c r="U262" s="13"/>
      <c r="V262" s="13"/>
      <c r="Z262" s="14"/>
      <c r="AA262" s="14"/>
      <c r="AB262" s="14"/>
      <c r="AC262" s="1487"/>
    </row>
    <row r="263" spans="1:30" s="12" customFormat="1">
      <c r="A263" s="10"/>
      <c r="B263" s="10"/>
      <c r="C263" s="10"/>
      <c r="D263" s="10"/>
      <c r="E263" s="10"/>
      <c r="F263" s="10"/>
      <c r="G263" s="10"/>
      <c r="H263" s="10"/>
      <c r="I263" s="10"/>
      <c r="J263" s="11"/>
      <c r="K263" s="10"/>
      <c r="L263" s="10"/>
      <c r="M263" s="10"/>
      <c r="O263" s="10"/>
      <c r="P263" s="10"/>
      <c r="Q263" s="10"/>
      <c r="R263" s="13"/>
      <c r="S263" s="14"/>
      <c r="T263" s="13"/>
      <c r="U263" s="13"/>
      <c r="V263" s="13"/>
      <c r="Z263" s="14"/>
      <c r="AA263" s="14"/>
      <c r="AB263" s="14"/>
      <c r="AC263" s="1487"/>
    </row>
    <row r="264" spans="1:30" s="12" customFormat="1">
      <c r="A264" s="10"/>
      <c r="B264" s="10"/>
      <c r="C264" s="10"/>
      <c r="D264" s="10"/>
      <c r="E264" s="10"/>
      <c r="F264" s="10"/>
      <c r="G264" s="10"/>
      <c r="H264" s="10"/>
      <c r="I264" s="10"/>
      <c r="J264" s="11"/>
      <c r="K264" s="10"/>
      <c r="L264" s="10"/>
      <c r="M264" s="10"/>
      <c r="O264" s="10"/>
      <c r="P264" s="10"/>
      <c r="Q264" s="10"/>
      <c r="R264" s="13"/>
      <c r="S264" s="14"/>
      <c r="T264" s="13"/>
      <c r="U264" s="13"/>
      <c r="V264" s="13"/>
      <c r="Z264" s="14"/>
      <c r="AA264" s="14"/>
      <c r="AB264" s="14"/>
      <c r="AC264" s="1487"/>
    </row>
    <row r="265" spans="1:30" s="12" customFormat="1">
      <c r="A265" s="10"/>
      <c r="B265" s="10"/>
      <c r="C265" s="10"/>
      <c r="D265" s="10"/>
      <c r="E265" s="10"/>
      <c r="F265" s="10"/>
      <c r="G265" s="10"/>
      <c r="H265" s="10"/>
      <c r="I265" s="10"/>
      <c r="J265" s="11"/>
      <c r="K265" s="10"/>
      <c r="L265" s="10"/>
      <c r="M265" s="10"/>
      <c r="O265" s="10"/>
      <c r="P265" s="10"/>
      <c r="Q265" s="10"/>
      <c r="R265" s="13"/>
      <c r="S265" s="14"/>
      <c r="T265" s="13"/>
      <c r="U265" s="13"/>
      <c r="V265" s="13"/>
      <c r="Z265" s="14"/>
      <c r="AA265" s="14"/>
      <c r="AB265" s="14"/>
      <c r="AC265" s="1487"/>
    </row>
    <row r="267" spans="1:30">
      <c r="N267" s="289"/>
    </row>
    <row r="268" spans="1:30" ht="15.75">
      <c r="N268" s="12">
        <v>46077184600</v>
      </c>
      <c r="R268" s="2431">
        <f>R261-'ALL-USD40.1M'!Y239</f>
        <v>5809063500</v>
      </c>
      <c r="AC268" s="2434"/>
      <c r="AD268" s="174">
        <f>R261-'ALL-USD40.1M'!Y239</f>
        <v>5809063500</v>
      </c>
    </row>
    <row r="269" spans="1:30" ht="15.75">
      <c r="R269" s="2431">
        <v>5809063500</v>
      </c>
      <c r="AC269" s="2434"/>
    </row>
    <row r="270" spans="1:30" s="12" customFormat="1" ht="15.75">
      <c r="A270" s="10"/>
      <c r="B270" s="10"/>
      <c r="C270" s="10"/>
      <c r="D270" s="10"/>
      <c r="E270" s="10"/>
      <c r="F270" s="10"/>
      <c r="G270" s="10"/>
      <c r="H270" s="10"/>
      <c r="I270" s="10"/>
      <c r="J270" s="11"/>
      <c r="K270" s="10"/>
      <c r="L270" s="10"/>
      <c r="M270" s="10"/>
      <c r="O270" s="10"/>
      <c r="P270" s="10"/>
      <c r="Q270" s="10"/>
      <c r="R270" s="2431">
        <f>R268-R269</f>
        <v>0</v>
      </c>
      <c r="S270" s="14"/>
      <c r="T270" s="13"/>
      <c r="U270" s="13"/>
      <c r="V270" s="13"/>
      <c r="X270" s="289" t="e">
        <f>R261-W261</f>
        <v>#REF!</v>
      </c>
      <c r="Z270" s="14"/>
      <c r="AA270" s="14"/>
      <c r="AB270" s="14"/>
      <c r="AC270" s="2434"/>
    </row>
    <row r="271" spans="1:30" s="12" customFormat="1">
      <c r="A271" s="10"/>
      <c r="B271" s="10"/>
      <c r="C271" s="10"/>
      <c r="D271" s="10"/>
      <c r="E271" s="10"/>
      <c r="F271" s="10"/>
      <c r="G271" s="10"/>
      <c r="H271" s="10"/>
      <c r="I271" s="10"/>
      <c r="J271" s="11"/>
      <c r="K271" s="10"/>
      <c r="L271" s="10"/>
      <c r="M271" s="10"/>
      <c r="O271" s="10"/>
      <c r="P271" s="10"/>
      <c r="Q271" s="10"/>
      <c r="R271" s="13"/>
      <c r="S271" s="14"/>
      <c r="T271" s="13" t="e">
        <f>T261+U261</f>
        <v>#REF!</v>
      </c>
      <c r="U271" s="13"/>
      <c r="V271" s="13"/>
      <c r="Z271" s="14"/>
      <c r="AA271" s="14"/>
      <c r="AB271" s="14"/>
      <c r="AC271" s="1487"/>
    </row>
    <row r="272" spans="1:30" s="12" customFormat="1">
      <c r="A272" s="10"/>
      <c r="B272" s="10"/>
      <c r="C272" s="10"/>
      <c r="D272" s="10"/>
      <c r="E272" s="10"/>
      <c r="F272" s="10"/>
      <c r="G272" s="10"/>
      <c r="H272" s="10"/>
      <c r="I272" s="10"/>
      <c r="J272" s="11"/>
      <c r="K272" s="10"/>
      <c r="L272" s="10"/>
      <c r="M272" s="10"/>
      <c r="O272" s="10"/>
      <c r="P272" s="10"/>
      <c r="Q272" s="10"/>
      <c r="R272" s="13"/>
      <c r="S272" s="14"/>
      <c r="T272" s="13" t="e">
        <f>T271+R242</f>
        <v>#REF!</v>
      </c>
      <c r="U272" s="13"/>
      <c r="V272" s="13"/>
      <c r="Z272" s="14"/>
      <c r="AA272" s="14"/>
      <c r="AB272" s="14"/>
      <c r="AC272" s="1487"/>
    </row>
  </sheetData>
  <autoFilter ref="A9:Y261"/>
  <mergeCells count="135">
    <mergeCell ref="AB69:AB71"/>
    <mergeCell ref="AB77:AB78"/>
    <mergeCell ref="AB79:AB80"/>
    <mergeCell ref="AB104:AB106"/>
    <mergeCell ref="AB220:AB222"/>
    <mergeCell ref="AB228:AB230"/>
    <mergeCell ref="AB231:AB233"/>
    <mergeCell ref="AC6:AC8"/>
    <mergeCell ref="AC13:AC14"/>
    <mergeCell ref="AC49:AC50"/>
    <mergeCell ref="AC53:AC54"/>
    <mergeCell ref="AC57:AC60"/>
    <mergeCell ref="AC69:AC71"/>
    <mergeCell ref="AC77:AC78"/>
    <mergeCell ref="AC79:AC80"/>
    <mergeCell ref="AC104:AC106"/>
    <mergeCell ref="AC175:AC176"/>
    <mergeCell ref="AC177:AC179"/>
    <mergeCell ref="AC220:AC222"/>
    <mergeCell ref="AC228:AC230"/>
    <mergeCell ref="AC231:AC233"/>
    <mergeCell ref="Z6:AB7"/>
    <mergeCell ref="Z104:Z106"/>
    <mergeCell ref="Z220:Z222"/>
    <mergeCell ref="Z228:Z230"/>
    <mergeCell ref="Z231:Z233"/>
    <mergeCell ref="AA13:AA14"/>
    <mergeCell ref="AA49:AA50"/>
    <mergeCell ref="AA53:AA54"/>
    <mergeCell ref="AA57:AA60"/>
    <mergeCell ref="AA69:AA71"/>
    <mergeCell ref="AA77:AA78"/>
    <mergeCell ref="AA79:AA80"/>
    <mergeCell ref="AA104:AA106"/>
    <mergeCell ref="AA220:AA222"/>
    <mergeCell ref="AA228:AA230"/>
    <mergeCell ref="AA231:AA233"/>
    <mergeCell ref="V70:V71"/>
    <mergeCell ref="V79:V80"/>
    <mergeCell ref="Z13:Z14"/>
    <mergeCell ref="Z49:Z50"/>
    <mergeCell ref="Z53:Z54"/>
    <mergeCell ref="Z57:Z60"/>
    <mergeCell ref="Z69:Z71"/>
    <mergeCell ref="Z77:Z78"/>
    <mergeCell ref="Z79:Z80"/>
    <mergeCell ref="S70:S71"/>
    <mergeCell ref="S79:S80"/>
    <mergeCell ref="T13:T14"/>
    <mergeCell ref="T57:T58"/>
    <mergeCell ref="T70:T71"/>
    <mergeCell ref="T79:T80"/>
    <mergeCell ref="U57:U58"/>
    <mergeCell ref="U70:U71"/>
    <mergeCell ref="U79:U80"/>
    <mergeCell ref="N77:N78"/>
    <mergeCell ref="N79:N80"/>
    <mergeCell ref="N104:N106"/>
    <mergeCell ref="N175:N176"/>
    <mergeCell ref="N177:N179"/>
    <mergeCell ref="N220:N222"/>
    <mergeCell ref="N228:N230"/>
    <mergeCell ref="N231:N233"/>
    <mergeCell ref="R6:R8"/>
    <mergeCell ref="R13:R14"/>
    <mergeCell ref="R49:R50"/>
    <mergeCell ref="R53:R54"/>
    <mergeCell ref="R57:R60"/>
    <mergeCell ref="R69:R71"/>
    <mergeCell ref="R77:R78"/>
    <mergeCell ref="R79:R80"/>
    <mergeCell ref="R104:R106"/>
    <mergeCell ref="R175:R176"/>
    <mergeCell ref="R177:R179"/>
    <mergeCell ref="R220:R222"/>
    <mergeCell ref="R228:R230"/>
    <mergeCell ref="R231:R233"/>
    <mergeCell ref="J6:N8"/>
    <mergeCell ref="M210:N210"/>
    <mergeCell ref="M256:N256"/>
    <mergeCell ref="M259:N259"/>
    <mergeCell ref="J261:N261"/>
    <mergeCell ref="M13:M14"/>
    <mergeCell ref="M39:M46"/>
    <mergeCell ref="M48:M50"/>
    <mergeCell ref="M53:M54"/>
    <mergeCell ref="M57:M60"/>
    <mergeCell ref="M69:M71"/>
    <mergeCell ref="M77:M80"/>
    <mergeCell ref="M104:M106"/>
    <mergeCell ref="M130:M132"/>
    <mergeCell ref="M175:M176"/>
    <mergeCell ref="M177:M179"/>
    <mergeCell ref="M183:M194"/>
    <mergeCell ref="M197:M206"/>
    <mergeCell ref="M220:M222"/>
    <mergeCell ref="M228:M230"/>
    <mergeCell ref="M231:M233"/>
    <mergeCell ref="N13:N14"/>
    <mergeCell ref="N49:N50"/>
    <mergeCell ref="N53:N54"/>
    <mergeCell ref="N57:N60"/>
    <mergeCell ref="N69:N71"/>
    <mergeCell ref="M215:N215"/>
    <mergeCell ref="M217:N217"/>
    <mergeCell ref="M227:N227"/>
    <mergeCell ref="M234:N234"/>
    <mergeCell ref="M238:N238"/>
    <mergeCell ref="M244:N244"/>
    <mergeCell ref="M250:N250"/>
    <mergeCell ref="M253:N253"/>
    <mergeCell ref="M117:N117"/>
    <mergeCell ref="M153:N153"/>
    <mergeCell ref="M156:N156"/>
    <mergeCell ref="M168:N168"/>
    <mergeCell ref="M171:N171"/>
    <mergeCell ref="M174:N174"/>
    <mergeCell ref="M182:N182"/>
    <mergeCell ref="M196:N196"/>
    <mergeCell ref="M208:N208"/>
    <mergeCell ref="J1:AC1"/>
    <mergeCell ref="J2:AB2"/>
    <mergeCell ref="J3:AB3"/>
    <mergeCell ref="J4:AC4"/>
    <mergeCell ref="S6:Y6"/>
    <mergeCell ref="S7:V7"/>
    <mergeCell ref="W7:Y7"/>
    <mergeCell ref="M52:N52"/>
    <mergeCell ref="M64:N64"/>
    <mergeCell ref="S57:S58"/>
    <mergeCell ref="V57:V58"/>
    <mergeCell ref="AB13:AB14"/>
    <mergeCell ref="AB49:AB50"/>
    <mergeCell ref="AB53:AB54"/>
    <mergeCell ref="AB57:AB60"/>
  </mergeCells>
  <printOptions horizontalCentered="1"/>
  <pageMargins left="0.39305555555555599" right="0.39305555555555599" top="0.39305555555555599" bottom="0.39305555555555599" header="0.31458333333333299" footer="0.196527777777778"/>
  <pageSetup paperSize="9" scale="73" fitToHeight="0" orientation="portrait"/>
  <headerFooter>
    <oddFooter>&amp;R&amp;"Cambria,Italic"&amp;9&amp;P/&amp;N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5" tint="0.39994506668294322"/>
    <pageSetUpPr fitToPage="1"/>
  </sheetPr>
  <dimension ref="A1:BJ257"/>
  <sheetViews>
    <sheetView view="pageBreakPreview" topLeftCell="A2" zoomScale="75" zoomScaleNormal="75" zoomScaleSheetLayoutView="75" workbookViewId="0">
      <selection activeCell="AU126" sqref="AU126"/>
    </sheetView>
  </sheetViews>
  <sheetFormatPr defaultColWidth="9.140625" defaultRowHeight="20.100000000000001" customHeight="1"/>
  <cols>
    <col min="1" max="1" width="5.7109375" style="1748" customWidth="1"/>
    <col min="2" max="2" width="8.7109375" style="1749" hidden="1" customWidth="1"/>
    <col min="3" max="3" width="12.140625" style="1749" hidden="1" customWidth="1"/>
    <col min="4" max="4" width="21.28515625" style="1750" hidden="1" customWidth="1"/>
    <col min="5" max="5" width="10.5703125" style="1749" hidden="1" customWidth="1"/>
    <col min="6" max="6" width="18.85546875" style="1750" hidden="1" customWidth="1"/>
    <col min="7" max="7" width="19.5703125" style="1750" hidden="1" customWidth="1"/>
    <col min="8" max="8" width="23.28515625" style="1750" hidden="1" customWidth="1"/>
    <col min="9" max="9" width="10.5703125" style="1749" hidden="1" customWidth="1"/>
    <col min="10" max="10" width="42" style="1750" hidden="1" customWidth="1"/>
    <col min="11" max="11" width="9.7109375" style="1750" hidden="1" customWidth="1"/>
    <col min="12" max="12" width="80.28515625" style="1748" customWidth="1"/>
    <col min="13" max="13" width="14.28515625" style="1749" hidden="1" customWidth="1"/>
    <col min="14" max="14" width="13.5703125" style="1749" hidden="1" customWidth="1"/>
    <col min="15" max="15" width="13.85546875" style="1749" hidden="1" customWidth="1"/>
    <col min="16" max="16" width="13.5703125" style="1751" hidden="1" customWidth="1"/>
    <col min="17" max="17" width="11.28515625" style="1749" hidden="1" customWidth="1"/>
    <col min="18" max="19" width="8.7109375" style="1749" hidden="1" customWidth="1"/>
    <col min="20" max="21" width="19.140625" style="1752" hidden="1" customWidth="1"/>
    <col min="22" max="23" width="18.7109375" style="1753" hidden="1" customWidth="1"/>
    <col min="24" max="24" width="21" style="1753" hidden="1" customWidth="1"/>
    <col min="25" max="25" width="36.7109375" style="1754" hidden="1" customWidth="1"/>
    <col min="26" max="26" width="34" style="1755" hidden="1" customWidth="1"/>
    <col min="27" max="27" width="17.5703125" style="1755" hidden="1" customWidth="1"/>
    <col min="28" max="28" width="16.140625" style="1756" hidden="1" customWidth="1"/>
    <col min="29" max="29" width="17.85546875" style="1753" hidden="1" customWidth="1"/>
    <col min="30" max="30" width="24.85546875" style="1753" hidden="1" customWidth="1"/>
    <col min="31" max="32" width="18" style="1753" hidden="1" customWidth="1"/>
    <col min="33" max="33" width="18" style="1757" hidden="1" customWidth="1"/>
    <col min="34" max="34" width="18.5703125" style="1754" hidden="1" customWidth="1"/>
    <col min="35" max="35" width="15.42578125" hidden="1" customWidth="1"/>
    <col min="36" max="36" width="17.42578125" style="1756" hidden="1" customWidth="1"/>
    <col min="37" max="38" width="22.140625" style="1754" hidden="1" customWidth="1"/>
    <col min="39" max="39" width="18.7109375" style="1754" hidden="1" customWidth="1"/>
    <col min="40" max="41" width="16.7109375" style="1754" hidden="1" customWidth="1"/>
    <col min="42" max="44" width="34.42578125" style="1758" hidden="1" customWidth="1"/>
    <col min="45" max="45" width="28.85546875" style="1758" hidden="1" customWidth="1"/>
    <col min="46" max="46" width="23.42578125" style="1759" customWidth="1"/>
    <col min="47" max="47" width="27.7109375" style="1759" customWidth="1"/>
    <col min="48" max="48" width="18.28515625" style="1759" customWidth="1"/>
    <col min="49" max="49" width="24.42578125" style="1760" hidden="1" customWidth="1"/>
    <col min="50" max="50" width="17" style="1760" hidden="1" customWidth="1"/>
    <col min="51" max="53" width="16.7109375" style="1760" hidden="1" customWidth="1"/>
    <col min="54" max="54" width="19.42578125" style="1747" hidden="1" customWidth="1"/>
    <col min="55" max="55" width="12" style="1761" customWidth="1"/>
    <col min="56" max="56" width="8.140625" style="1762" customWidth="1"/>
    <col min="57" max="57" width="4.42578125" style="1763" customWidth="1"/>
    <col min="58" max="58" width="18.28515625" style="1764" customWidth="1"/>
    <col min="59" max="59" width="4.28515625" style="1762" customWidth="1"/>
    <col min="60" max="60" width="13.7109375" style="1762" customWidth="1"/>
    <col min="61" max="61" width="15.7109375" style="1762" customWidth="1"/>
    <col min="62" max="62" width="17.85546875" style="1762" customWidth="1"/>
    <col min="63" max="16384" width="9.140625" style="1762"/>
  </cols>
  <sheetData>
    <row r="1" spans="1:60" ht="44.25" customHeight="1">
      <c r="A1" s="3653" t="s">
        <v>1280</v>
      </c>
      <c r="B1" s="3654"/>
      <c r="C1" s="3654"/>
      <c r="D1" s="3654"/>
      <c r="E1" s="3654"/>
      <c r="F1" s="3654"/>
      <c r="G1" s="3654"/>
      <c r="H1" s="3654"/>
      <c r="I1" s="3654"/>
      <c r="J1" s="3654"/>
      <c r="K1" s="3654"/>
      <c r="L1" s="3655"/>
      <c r="M1" s="3654"/>
      <c r="N1" s="3654"/>
      <c r="O1" s="3654"/>
      <c r="P1" s="3654"/>
      <c r="Q1" s="3654"/>
      <c r="R1" s="3654"/>
      <c r="S1" s="3654"/>
      <c r="T1" s="3654"/>
      <c r="U1" s="3654"/>
      <c r="V1" s="3654"/>
      <c r="W1" s="3654"/>
      <c r="X1" s="3654"/>
      <c r="Y1" s="3654"/>
      <c r="Z1" s="3654"/>
      <c r="AA1" s="3654"/>
      <c r="AB1" s="3654"/>
      <c r="AC1" s="3654"/>
      <c r="AD1" s="3654"/>
      <c r="AE1" s="3654"/>
      <c r="AF1" s="3654"/>
      <c r="AG1" s="3654"/>
      <c r="AH1" s="3654"/>
      <c r="AI1" s="3654"/>
      <c r="AJ1" s="3654"/>
      <c r="AK1" s="3654"/>
      <c r="AL1" s="3654"/>
      <c r="AM1" s="3654"/>
      <c r="AN1" s="3654"/>
      <c r="AO1" s="3654"/>
      <c r="AP1" s="3654"/>
      <c r="AQ1" s="3654"/>
      <c r="AR1" s="3654"/>
      <c r="AS1" s="3654"/>
      <c r="AT1" s="3655"/>
      <c r="AU1" s="3655"/>
      <c r="AV1" s="3655"/>
    </row>
    <row r="3" spans="1:60" s="1722" customFormat="1" ht="60.75" hidden="1" customHeight="1">
      <c r="A3" s="1765" t="s">
        <v>512</v>
      </c>
      <c r="B3" s="1766" t="s">
        <v>513</v>
      </c>
      <c r="C3" s="1767" t="s">
        <v>514</v>
      </c>
      <c r="D3" s="1767" t="s">
        <v>515</v>
      </c>
      <c r="E3" s="1767" t="s">
        <v>516</v>
      </c>
      <c r="F3" s="1767" t="s">
        <v>517</v>
      </c>
      <c r="G3" s="1767" t="s">
        <v>518</v>
      </c>
      <c r="H3" s="1767" t="s">
        <v>519</v>
      </c>
      <c r="I3" s="1767" t="s">
        <v>520</v>
      </c>
      <c r="J3" s="1767" t="s">
        <v>521</v>
      </c>
      <c r="K3" s="1817" t="s">
        <v>522</v>
      </c>
      <c r="L3" s="1765" t="s">
        <v>523</v>
      </c>
      <c r="M3" s="1766" t="s">
        <v>524</v>
      </c>
      <c r="N3" s="1767" t="s">
        <v>525</v>
      </c>
      <c r="O3" s="1767" t="s">
        <v>526</v>
      </c>
      <c r="P3" s="1818" t="s">
        <v>527</v>
      </c>
      <c r="Q3" s="1767" t="s">
        <v>528</v>
      </c>
      <c r="R3" s="1767" t="s">
        <v>529</v>
      </c>
      <c r="S3" s="1767" t="s">
        <v>530</v>
      </c>
      <c r="T3" s="1847" t="s">
        <v>531</v>
      </c>
      <c r="U3" s="1847" t="s">
        <v>532</v>
      </c>
      <c r="V3" s="1847" t="s">
        <v>533</v>
      </c>
      <c r="W3" s="1847" t="s">
        <v>534</v>
      </c>
      <c r="X3" s="1848" t="s">
        <v>535</v>
      </c>
      <c r="Y3" s="1848" t="s">
        <v>536</v>
      </c>
      <c r="Z3" s="1848" t="s">
        <v>537</v>
      </c>
      <c r="AA3" s="1847" t="s">
        <v>538</v>
      </c>
      <c r="AB3" s="1867" t="s">
        <v>539</v>
      </c>
      <c r="AC3" s="1847" t="s">
        <v>540</v>
      </c>
      <c r="AD3" s="1847" t="s">
        <v>541</v>
      </c>
      <c r="AE3" s="1847" t="s">
        <v>542</v>
      </c>
      <c r="AF3" s="1868" t="s">
        <v>543</v>
      </c>
      <c r="AG3" s="1848" t="s">
        <v>544</v>
      </c>
      <c r="AH3" s="1867" t="s">
        <v>545</v>
      </c>
      <c r="AI3" s="1904" t="s">
        <v>546</v>
      </c>
      <c r="AJ3" s="1904" t="s">
        <v>547</v>
      </c>
      <c r="AK3" s="1904" t="s">
        <v>548</v>
      </c>
      <c r="AL3" s="1904" t="s">
        <v>549</v>
      </c>
      <c r="AM3" s="1905" t="s">
        <v>550</v>
      </c>
      <c r="AN3" s="1906" t="s">
        <v>551</v>
      </c>
      <c r="AO3" s="1906" t="s">
        <v>552</v>
      </c>
      <c r="AP3" s="1905" t="s">
        <v>553</v>
      </c>
      <c r="AQ3" s="1905" t="s">
        <v>554</v>
      </c>
      <c r="AR3" s="1905" t="s">
        <v>1281</v>
      </c>
      <c r="AS3" s="1930" t="s">
        <v>555</v>
      </c>
      <c r="AT3" s="1931" t="s">
        <v>557</v>
      </c>
      <c r="AU3" s="1931"/>
      <c r="AV3" s="1931" t="s">
        <v>558</v>
      </c>
      <c r="AW3" s="1955" t="s">
        <v>559</v>
      </c>
      <c r="AX3" s="1905" t="s">
        <v>560</v>
      </c>
      <c r="AY3" s="1905" t="s">
        <v>561</v>
      </c>
      <c r="AZ3" s="1767" t="s">
        <v>562</v>
      </c>
      <c r="BA3" s="1956" t="s">
        <v>502</v>
      </c>
      <c r="BB3" s="1930" t="s">
        <v>492</v>
      </c>
      <c r="BC3" s="1957"/>
      <c r="BD3" s="1958"/>
    </row>
    <row r="4" spans="1:60" s="1723" customFormat="1" ht="20.100000000000001" hidden="1" customHeight="1">
      <c r="A4" s="1768">
        <v>1</v>
      </c>
      <c r="B4" s="1769" t="s">
        <v>185</v>
      </c>
      <c r="C4" s="1769" t="s">
        <v>563</v>
      </c>
      <c r="D4" s="1770" t="s">
        <v>17</v>
      </c>
      <c r="E4" s="1769">
        <v>1</v>
      </c>
      <c r="F4" s="1770" t="s">
        <v>19</v>
      </c>
      <c r="G4" s="1771"/>
      <c r="H4" s="1770" t="s">
        <v>25</v>
      </c>
      <c r="I4" s="1769" t="s">
        <v>23</v>
      </c>
      <c r="J4" s="1770" t="s">
        <v>24</v>
      </c>
      <c r="K4" s="1769">
        <v>1</v>
      </c>
      <c r="L4" s="1819" t="s">
        <v>26</v>
      </c>
      <c r="M4" s="1769">
        <v>0</v>
      </c>
      <c r="N4" s="1769">
        <v>1</v>
      </c>
      <c r="O4" s="1769">
        <v>1</v>
      </c>
      <c r="P4" s="1820">
        <v>0</v>
      </c>
      <c r="Q4" s="1769">
        <v>0</v>
      </c>
      <c r="R4" s="1769">
        <v>1</v>
      </c>
      <c r="S4" s="1769">
        <v>1</v>
      </c>
      <c r="T4" s="1849">
        <v>1250000000</v>
      </c>
      <c r="U4" s="1849">
        <v>1250000000</v>
      </c>
      <c r="V4" s="1850">
        <v>101250000</v>
      </c>
      <c r="W4" s="1850">
        <v>0</v>
      </c>
      <c r="X4" s="1850">
        <f t="shared" ref="X4:X26" si="0">T4+V4+W4</f>
        <v>1351250000</v>
      </c>
      <c r="Y4" s="1869" t="s">
        <v>21</v>
      </c>
      <c r="Z4" s="1869"/>
      <c r="AA4" s="1850">
        <f>SUM(AA5:AA6)</f>
        <v>1250000000</v>
      </c>
      <c r="AB4" s="1870"/>
      <c r="AC4" s="1850"/>
      <c r="AD4" s="1871"/>
      <c r="AE4" s="1850"/>
      <c r="AF4" s="1871"/>
      <c r="AG4" s="1850">
        <f>SUM(AG5:AG6)</f>
        <v>0</v>
      </c>
      <c r="AH4" s="1870" t="s">
        <v>21</v>
      </c>
      <c r="AI4" s="1850" t="s">
        <v>21</v>
      </c>
      <c r="AJ4" s="1850" t="s">
        <v>21</v>
      </c>
      <c r="AK4" s="1850" t="s">
        <v>21</v>
      </c>
      <c r="AL4" s="1850" t="s">
        <v>21</v>
      </c>
      <c r="AM4" s="1870" t="s">
        <v>21</v>
      </c>
      <c r="AN4" s="1907" t="s">
        <v>21</v>
      </c>
      <c r="AO4" s="1907" t="s">
        <v>21</v>
      </c>
      <c r="AP4" s="1771" t="s">
        <v>21</v>
      </c>
      <c r="AQ4" s="1771"/>
      <c r="AR4" s="1771"/>
      <c r="AS4" s="1771"/>
      <c r="AT4" s="1932">
        <f>SUM(AT5:AT6)</f>
        <v>1250000000</v>
      </c>
      <c r="AU4" s="1932"/>
      <c r="AV4" s="1933" t="s">
        <v>21</v>
      </c>
      <c r="AW4" s="1850">
        <f>SUM(AW5:AW6)</f>
        <v>1250000000</v>
      </c>
      <c r="AX4" s="1771" t="s">
        <v>21</v>
      </c>
      <c r="AY4" s="1869"/>
      <c r="AZ4" s="1849" t="s">
        <v>21</v>
      </c>
      <c r="BA4" s="1849" t="s">
        <v>21</v>
      </c>
      <c r="BB4" s="1959" t="s">
        <v>21</v>
      </c>
      <c r="BC4" s="1960"/>
      <c r="BD4" s="1961"/>
    </row>
    <row r="5" spans="1:60" s="1724" customFormat="1" ht="20.100000000000001" hidden="1" customHeight="1">
      <c r="A5" s="1772">
        <v>1</v>
      </c>
      <c r="B5" s="1773"/>
      <c r="C5" s="1773"/>
      <c r="D5" s="1774" t="s">
        <v>17</v>
      </c>
      <c r="E5" s="1773">
        <v>1</v>
      </c>
      <c r="F5" s="1774" t="s">
        <v>19</v>
      </c>
      <c r="G5" s="1771" t="s">
        <v>564</v>
      </c>
      <c r="H5" s="1774" t="s">
        <v>25</v>
      </c>
      <c r="I5" s="1773" t="s">
        <v>23</v>
      </c>
      <c r="J5" s="1774" t="s">
        <v>24</v>
      </c>
      <c r="K5" s="1773">
        <v>1</v>
      </c>
      <c r="L5" s="1821" t="s">
        <v>26</v>
      </c>
      <c r="M5" s="1773">
        <v>0.5</v>
      </c>
      <c r="N5" s="1773">
        <v>0</v>
      </c>
      <c r="O5" s="1773">
        <v>2</v>
      </c>
      <c r="P5" s="1822">
        <v>0.5</v>
      </c>
      <c r="Q5" s="1773">
        <v>0.5</v>
      </c>
      <c r="R5" s="1773">
        <v>0</v>
      </c>
      <c r="S5" s="1773"/>
      <c r="T5" s="1851">
        <v>0</v>
      </c>
      <c r="U5" s="1851">
        <v>0</v>
      </c>
      <c r="V5" s="1852">
        <v>0</v>
      </c>
      <c r="W5" s="1852">
        <v>0</v>
      </c>
      <c r="X5" s="1852">
        <f t="shared" si="0"/>
        <v>0</v>
      </c>
      <c r="Y5" s="1863" t="s">
        <v>27</v>
      </c>
      <c r="Z5" s="1863" t="s">
        <v>565</v>
      </c>
      <c r="AA5" s="1852">
        <v>1000000000</v>
      </c>
      <c r="AB5" s="1872"/>
      <c r="AC5" s="1852"/>
      <c r="AD5" s="1873"/>
      <c r="AE5" s="1852"/>
      <c r="AF5" s="1873"/>
      <c r="AG5" s="1852">
        <v>0</v>
      </c>
      <c r="AH5" s="1872">
        <v>2016</v>
      </c>
      <c r="AI5" s="1852" t="s">
        <v>21</v>
      </c>
      <c r="AJ5" s="1908" t="s">
        <v>566</v>
      </c>
      <c r="AK5" s="1909" t="s">
        <v>567</v>
      </c>
      <c r="AL5" s="1852" t="s">
        <v>21</v>
      </c>
      <c r="AM5" s="1872" t="s">
        <v>21</v>
      </c>
      <c r="AN5" s="1910" t="s">
        <v>568</v>
      </c>
      <c r="AO5" s="1919" t="s">
        <v>569</v>
      </c>
      <c r="AP5" s="1908" t="s">
        <v>570</v>
      </c>
      <c r="AQ5" s="1908" t="s">
        <v>1282</v>
      </c>
      <c r="AR5" s="1908" t="s">
        <v>1283</v>
      </c>
      <c r="AS5" s="1908" t="s">
        <v>571</v>
      </c>
      <c r="AT5" s="1852">
        <v>1000000000</v>
      </c>
      <c r="AU5" s="1852"/>
      <c r="AV5" s="1863" t="s">
        <v>27</v>
      </c>
      <c r="AW5" s="1852">
        <v>1000000000</v>
      </c>
      <c r="AX5" s="1908" t="s">
        <v>21</v>
      </c>
      <c r="AY5" s="1863" t="s">
        <v>565</v>
      </c>
      <c r="AZ5" s="3129" t="s">
        <v>573</v>
      </c>
      <c r="BA5" s="1851"/>
      <c r="BB5" s="1962" t="s">
        <v>574</v>
      </c>
      <c r="BC5" s="1963"/>
      <c r="BD5" s="1964"/>
    </row>
    <row r="6" spans="1:60" s="1724" customFormat="1" ht="20.100000000000001" hidden="1" customHeight="1">
      <c r="A6" s="1772">
        <v>2</v>
      </c>
      <c r="B6" s="1773"/>
      <c r="C6" s="1773"/>
      <c r="D6" s="1774" t="s">
        <v>17</v>
      </c>
      <c r="E6" s="1773">
        <v>1</v>
      </c>
      <c r="F6" s="1774" t="s">
        <v>19</v>
      </c>
      <c r="G6" s="1771" t="s">
        <v>564</v>
      </c>
      <c r="H6" s="1774" t="s">
        <v>25</v>
      </c>
      <c r="I6" s="1773" t="s">
        <v>23</v>
      </c>
      <c r="J6" s="1774" t="s">
        <v>24</v>
      </c>
      <c r="K6" s="1773">
        <v>1</v>
      </c>
      <c r="L6" s="1821" t="s">
        <v>26</v>
      </c>
      <c r="M6" s="1773">
        <v>0.5</v>
      </c>
      <c r="N6" s="1773">
        <v>0</v>
      </c>
      <c r="O6" s="1773">
        <v>2</v>
      </c>
      <c r="P6" s="1822">
        <v>0.5</v>
      </c>
      <c r="Q6" s="1773">
        <v>0.5</v>
      </c>
      <c r="R6" s="1773">
        <v>0</v>
      </c>
      <c r="S6" s="1773"/>
      <c r="T6" s="1851">
        <v>0</v>
      </c>
      <c r="U6" s="1851">
        <v>0</v>
      </c>
      <c r="V6" s="1852">
        <v>0</v>
      </c>
      <c r="W6" s="1852">
        <v>0</v>
      </c>
      <c r="X6" s="1852">
        <f t="shared" si="0"/>
        <v>0</v>
      </c>
      <c r="Y6" s="1863" t="s">
        <v>28</v>
      </c>
      <c r="Z6" s="1863" t="s">
        <v>565</v>
      </c>
      <c r="AA6" s="1852">
        <v>250000000</v>
      </c>
      <c r="AB6" s="1872"/>
      <c r="AC6" s="1852"/>
      <c r="AD6" s="1873"/>
      <c r="AE6" s="1852"/>
      <c r="AF6" s="1873"/>
      <c r="AG6" s="1852">
        <v>0</v>
      </c>
      <c r="AH6" s="1872">
        <v>2016</v>
      </c>
      <c r="AI6" s="1852" t="s">
        <v>21</v>
      </c>
      <c r="AJ6" s="1908" t="s">
        <v>566</v>
      </c>
      <c r="AK6" s="1909" t="s">
        <v>567</v>
      </c>
      <c r="AL6" s="1852" t="s">
        <v>21</v>
      </c>
      <c r="AM6" s="1872" t="s">
        <v>21</v>
      </c>
      <c r="AN6" s="1910" t="s">
        <v>568</v>
      </c>
      <c r="AO6" s="1919" t="s">
        <v>569</v>
      </c>
      <c r="AP6" s="1908" t="s">
        <v>570</v>
      </c>
      <c r="AQ6" s="1908"/>
      <c r="AR6" s="1908" t="s">
        <v>1283</v>
      </c>
      <c r="AS6" s="1908" t="s">
        <v>571</v>
      </c>
      <c r="AT6" s="1852">
        <v>250000000</v>
      </c>
      <c r="AU6" s="1852"/>
      <c r="AV6" s="1863" t="s">
        <v>28</v>
      </c>
      <c r="AW6" s="1852">
        <v>250000000</v>
      </c>
      <c r="AX6" s="1908" t="s">
        <v>676</v>
      </c>
      <c r="AY6" s="1863" t="s">
        <v>565</v>
      </c>
      <c r="AZ6" s="3129" t="s">
        <v>573</v>
      </c>
      <c r="BA6" s="1851"/>
      <c r="BB6" s="1962" t="s">
        <v>574</v>
      </c>
      <c r="BC6" s="1963"/>
      <c r="BD6" s="1964"/>
    </row>
    <row r="7" spans="1:60" s="1725" customFormat="1" ht="20.100000000000001" hidden="1" customHeight="1">
      <c r="A7" s="1775">
        <v>3</v>
      </c>
      <c r="B7" s="1776"/>
      <c r="C7" s="1776"/>
      <c r="D7" s="1777" t="s">
        <v>17</v>
      </c>
      <c r="E7" s="1776">
        <v>1</v>
      </c>
      <c r="F7" s="1777" t="s">
        <v>19</v>
      </c>
      <c r="G7" s="1778"/>
      <c r="H7" s="1777" t="s">
        <v>25</v>
      </c>
      <c r="I7" s="1776" t="s">
        <v>23</v>
      </c>
      <c r="J7" s="1777" t="s">
        <v>24</v>
      </c>
      <c r="K7" s="1776">
        <v>2</v>
      </c>
      <c r="L7" s="1823" t="s">
        <v>30</v>
      </c>
      <c r="M7" s="1776">
        <v>0</v>
      </c>
      <c r="N7" s="1776">
        <v>0</v>
      </c>
      <c r="O7" s="1776">
        <v>1</v>
      </c>
      <c r="P7" s="1824">
        <v>0</v>
      </c>
      <c r="Q7" s="1776">
        <v>0</v>
      </c>
      <c r="R7" s="1776">
        <v>0</v>
      </c>
      <c r="S7" s="1776"/>
      <c r="T7" s="1853">
        <f>SUM(T10:T13)</f>
        <v>775000000</v>
      </c>
      <c r="U7" s="1853">
        <f>SUM(U10:U13)</f>
        <v>775000000</v>
      </c>
      <c r="V7" s="1853">
        <f>SUM(V10:V13)</f>
        <v>72400000</v>
      </c>
      <c r="W7" s="1853">
        <f>SUM(W10:W13)</f>
        <v>0</v>
      </c>
      <c r="X7" s="1854">
        <f t="shared" si="0"/>
        <v>847400000</v>
      </c>
      <c r="Y7" s="1862" t="s">
        <v>21</v>
      </c>
      <c r="Z7" s="1862"/>
      <c r="AA7" s="1854">
        <f>SUM(AA10:AA13)</f>
        <v>775000000</v>
      </c>
      <c r="AB7" s="1874"/>
      <c r="AC7" s="1854"/>
      <c r="AD7" s="1875"/>
      <c r="AE7" s="1854"/>
      <c r="AF7" s="1875"/>
      <c r="AG7" s="1854" t="e">
        <f>#REF!-#REF!</f>
        <v>#REF!</v>
      </c>
      <c r="AH7" s="1874" t="s">
        <v>21</v>
      </c>
      <c r="AI7" s="1854" t="s">
        <v>21</v>
      </c>
      <c r="AJ7" s="1854" t="s">
        <v>21</v>
      </c>
      <c r="AK7" s="1854" t="s">
        <v>21</v>
      </c>
      <c r="AL7" s="1854" t="s">
        <v>21</v>
      </c>
      <c r="AM7" s="1874" t="s">
        <v>21</v>
      </c>
      <c r="AN7" s="1907"/>
      <c r="AO7" s="1907" t="s">
        <v>21</v>
      </c>
      <c r="AP7" s="1778"/>
      <c r="AQ7" s="1778"/>
      <c r="AR7" s="1778"/>
      <c r="AS7" s="1778"/>
      <c r="AT7" s="1934">
        <f>SUM(AT10:AT13)</f>
        <v>775000000</v>
      </c>
      <c r="AU7" s="1934"/>
      <c r="AV7" s="1935" t="s">
        <v>21</v>
      </c>
      <c r="AW7" s="1854">
        <f>SUM(AW10:AW13)</f>
        <v>0</v>
      </c>
      <c r="AX7" s="1778" t="s">
        <v>21</v>
      </c>
      <c r="AY7" s="1862"/>
      <c r="AZ7" s="3131" t="s">
        <v>577</v>
      </c>
      <c r="BA7" s="1853"/>
      <c r="BB7" s="1965" t="s">
        <v>578</v>
      </c>
      <c r="BC7" s="1966"/>
      <c r="BD7" s="1967"/>
    </row>
    <row r="8" spans="1:60" ht="53.25" customHeight="1">
      <c r="A8" s="1779" t="s">
        <v>1284</v>
      </c>
      <c r="B8" s="1780"/>
      <c r="C8" s="1780"/>
      <c r="D8" s="1781"/>
      <c r="E8" s="1780"/>
      <c r="F8" s="1781"/>
      <c r="G8" s="1782"/>
      <c r="H8" s="1781"/>
      <c r="I8" s="1780"/>
      <c r="J8" s="1781"/>
      <c r="K8" s="1780"/>
      <c r="L8" s="1779" t="s">
        <v>523</v>
      </c>
      <c r="M8" s="1807"/>
      <c r="N8" s="1776"/>
      <c r="O8" s="1776"/>
      <c r="P8" s="1824"/>
      <c r="Q8" s="1776"/>
      <c r="R8" s="1776"/>
      <c r="S8" s="1776"/>
      <c r="T8" s="1853"/>
      <c r="U8" s="1853"/>
      <c r="V8" s="1853"/>
      <c r="W8" s="1853"/>
      <c r="X8" s="1854"/>
      <c r="Y8" s="1862"/>
      <c r="Z8" s="1862"/>
      <c r="AA8" s="1854"/>
      <c r="AB8" s="1874"/>
      <c r="AC8" s="1854"/>
      <c r="AD8" s="1875"/>
      <c r="AE8" s="1854"/>
      <c r="AF8" s="1875"/>
      <c r="AG8" s="1854"/>
      <c r="AH8" s="1874"/>
      <c r="AI8" s="1854"/>
      <c r="AJ8" s="1854"/>
      <c r="AK8" s="1854"/>
      <c r="AL8" s="1854"/>
      <c r="AM8" s="1874"/>
      <c r="AN8" s="1907"/>
      <c r="AO8" s="1907"/>
      <c r="AP8" s="1778"/>
      <c r="AQ8" s="1778"/>
      <c r="AR8" s="1778"/>
      <c r="AS8" s="1936"/>
      <c r="AT8" s="584" t="s">
        <v>1285</v>
      </c>
      <c r="AU8" s="584" t="s">
        <v>1286</v>
      </c>
      <c r="AV8" s="584" t="s">
        <v>11</v>
      </c>
      <c r="AW8" s="1968"/>
      <c r="AX8" s="1778"/>
      <c r="AY8" s="1862"/>
      <c r="AZ8" s="1853"/>
      <c r="BA8" s="1853"/>
      <c r="BB8" s="1965"/>
      <c r="BC8" s="628" t="s">
        <v>1287</v>
      </c>
      <c r="BD8" s="1764"/>
      <c r="BE8" s="1762"/>
      <c r="BF8" s="1762" t="s">
        <v>1288</v>
      </c>
    </row>
    <row r="9" spans="1:60" ht="20.100000000000001" customHeight="1">
      <c r="A9" s="3656" t="s">
        <v>19</v>
      </c>
      <c r="B9" s="3657"/>
      <c r="C9" s="3657"/>
      <c r="D9" s="3657"/>
      <c r="E9" s="3657"/>
      <c r="F9" s="3657"/>
      <c r="G9" s="3657"/>
      <c r="H9" s="3657"/>
      <c r="I9" s="3657"/>
      <c r="J9" s="3657"/>
      <c r="K9" s="3657"/>
      <c r="L9" s="3656"/>
      <c r="M9" s="1807"/>
      <c r="N9" s="1776"/>
      <c r="O9" s="1776"/>
      <c r="P9" s="1824"/>
      <c r="Q9" s="1776"/>
      <c r="R9" s="1776"/>
      <c r="S9" s="1776"/>
      <c r="T9" s="1853"/>
      <c r="U9" s="1853"/>
      <c r="V9" s="1853"/>
      <c r="W9" s="1853"/>
      <c r="X9" s="1854"/>
      <c r="Y9" s="1862"/>
      <c r="Z9" s="1862"/>
      <c r="AA9" s="1854"/>
      <c r="AB9" s="1874"/>
      <c r="AC9" s="1854"/>
      <c r="AD9" s="1875"/>
      <c r="AE9" s="1854"/>
      <c r="AF9" s="1875"/>
      <c r="AG9" s="1854"/>
      <c r="AH9" s="1874"/>
      <c r="AI9" s="1854"/>
      <c r="AJ9" s="1854"/>
      <c r="AK9" s="1854"/>
      <c r="AL9" s="1854"/>
      <c r="AM9" s="1874"/>
      <c r="AN9" s="1907"/>
      <c r="AO9" s="1907"/>
      <c r="AP9" s="1778"/>
      <c r="AQ9" s="1778"/>
      <c r="AR9" s="1778"/>
      <c r="AS9" s="1936"/>
      <c r="AT9" s="648">
        <f>AT125+AT126+AT127+AT10+AT11+AT12+AT13+AT27+AT28+AT42+AT44+AT57+AT62+AT124+AT64+AT84+AT87+AT98+AT63+AT106+AT111+AT128+AT129+AT130+AT131</f>
        <v>3523690000</v>
      </c>
      <c r="AU9" s="648">
        <f>AU10+AU11+AU12+AU13+AU27+AU28+AU42+AU44+AU57+AU62+AU63+AU64+AU84+AU87+AU106+AU98+AU111+AU124+AU125+AU126+AU127+AU128+AU129+AU130+AU131</f>
        <v>3139328134.6999998</v>
      </c>
      <c r="AV9" s="636"/>
      <c r="AW9" s="1968"/>
      <c r="AX9" s="1778"/>
      <c r="AY9" s="1862"/>
      <c r="AZ9" s="1853"/>
      <c r="BA9" s="1853"/>
      <c r="BB9" s="1965"/>
      <c r="BC9" s="638"/>
      <c r="BD9" s="1764"/>
      <c r="BE9" s="1762"/>
      <c r="BF9" s="1762"/>
    </row>
    <row r="10" spans="1:60" s="1726" customFormat="1" ht="20.100000000000001" customHeight="1">
      <c r="A10" s="1784">
        <v>1</v>
      </c>
      <c r="B10" s="1785"/>
      <c r="C10" s="1786"/>
      <c r="D10" s="1787" t="s">
        <v>17</v>
      </c>
      <c r="E10" s="1786">
        <v>1</v>
      </c>
      <c r="F10" s="1787" t="s">
        <v>19</v>
      </c>
      <c r="G10" s="1788" t="s">
        <v>564</v>
      </c>
      <c r="H10" s="1787" t="s">
        <v>25</v>
      </c>
      <c r="I10" s="1786" t="s">
        <v>23</v>
      </c>
      <c r="J10" s="1787" t="s">
        <v>24</v>
      </c>
      <c r="K10" s="1825">
        <v>2</v>
      </c>
      <c r="L10" s="1826" t="s">
        <v>579</v>
      </c>
      <c r="M10" s="1785">
        <v>1</v>
      </c>
      <c r="N10" s="1786">
        <v>1</v>
      </c>
      <c r="O10" s="1786">
        <v>2</v>
      </c>
      <c r="P10" s="1827">
        <v>1</v>
      </c>
      <c r="Q10" s="1786">
        <v>1</v>
      </c>
      <c r="R10" s="1786">
        <v>1</v>
      </c>
      <c r="S10" s="1786">
        <v>2</v>
      </c>
      <c r="T10" s="1855">
        <v>330000000</v>
      </c>
      <c r="U10" s="1855">
        <v>330000000</v>
      </c>
      <c r="V10" s="1855">
        <v>26000000</v>
      </c>
      <c r="W10" s="1855">
        <v>0</v>
      </c>
      <c r="X10" s="1855">
        <f t="shared" si="0"/>
        <v>356000000</v>
      </c>
      <c r="Y10" s="1876" t="s">
        <v>27</v>
      </c>
      <c r="Z10" s="1876" t="s">
        <v>565</v>
      </c>
      <c r="AA10" s="1855">
        <v>330000000</v>
      </c>
      <c r="AB10" s="1877">
        <v>1</v>
      </c>
      <c r="AC10" s="1855">
        <v>235000000</v>
      </c>
      <c r="AD10" s="1878"/>
      <c r="AE10" s="1855"/>
      <c r="AF10" s="1878"/>
      <c r="AG10" s="1855">
        <v>0</v>
      </c>
      <c r="AH10" s="1877">
        <v>2015</v>
      </c>
      <c r="AI10" s="3132" t="s">
        <v>580</v>
      </c>
      <c r="AJ10" s="1912" t="s">
        <v>33</v>
      </c>
      <c r="AK10" s="1913">
        <v>0.80200000000000005</v>
      </c>
      <c r="AL10" s="1912" t="s">
        <v>39</v>
      </c>
      <c r="AM10" s="1882" t="s">
        <v>581</v>
      </c>
      <c r="AN10" s="1910" t="s">
        <v>582</v>
      </c>
      <c r="AO10" s="1919" t="s">
        <v>583</v>
      </c>
      <c r="AP10" s="1912" t="s">
        <v>584</v>
      </c>
      <c r="AQ10" s="1912"/>
      <c r="AR10" s="1912" t="s">
        <v>1289</v>
      </c>
      <c r="AS10" s="1937" t="s">
        <v>585</v>
      </c>
      <c r="AT10" s="634">
        <v>330000000</v>
      </c>
      <c r="AU10" s="635">
        <v>219398580.06</v>
      </c>
      <c r="AV10" s="636" t="s">
        <v>27</v>
      </c>
      <c r="AW10" s="1969">
        <v>0</v>
      </c>
      <c r="AX10" s="1912" t="s">
        <v>21</v>
      </c>
      <c r="AY10" s="1876" t="s">
        <v>565</v>
      </c>
      <c r="AZ10" s="3133" t="s">
        <v>577</v>
      </c>
      <c r="BA10" s="1970"/>
      <c r="BB10" s="3134" t="s">
        <v>587</v>
      </c>
      <c r="BC10" s="637">
        <v>2016</v>
      </c>
      <c r="BD10" s="1971" t="s">
        <v>1290</v>
      </c>
      <c r="BE10" s="2014"/>
      <c r="BG10" s="2014">
        <v>1</v>
      </c>
      <c r="BH10" s="2014">
        <f>AT10</f>
        <v>330000000</v>
      </c>
    </row>
    <row r="11" spans="1:60" s="1726" customFormat="1" ht="20.100000000000001" customHeight="1">
      <c r="A11" s="1784">
        <v>2</v>
      </c>
      <c r="B11" s="1785"/>
      <c r="C11" s="1786"/>
      <c r="D11" s="1787" t="s">
        <v>17</v>
      </c>
      <c r="E11" s="1786">
        <v>1</v>
      </c>
      <c r="F11" s="1787" t="s">
        <v>19</v>
      </c>
      <c r="G11" s="1788" t="s">
        <v>564</v>
      </c>
      <c r="H11" s="1787" t="s">
        <v>25</v>
      </c>
      <c r="I11" s="1786" t="s">
        <v>23</v>
      </c>
      <c r="J11" s="1787" t="s">
        <v>24</v>
      </c>
      <c r="K11" s="1825">
        <v>2</v>
      </c>
      <c r="L11" s="1826" t="s">
        <v>588</v>
      </c>
      <c r="M11" s="1785">
        <v>1</v>
      </c>
      <c r="N11" s="1786">
        <v>1</v>
      </c>
      <c r="O11" s="1786">
        <v>2</v>
      </c>
      <c r="P11" s="1827">
        <v>1</v>
      </c>
      <c r="Q11" s="1786">
        <v>1</v>
      </c>
      <c r="R11" s="1786">
        <v>1</v>
      </c>
      <c r="S11" s="1786">
        <v>3</v>
      </c>
      <c r="T11" s="1855">
        <v>65000000</v>
      </c>
      <c r="U11" s="1855">
        <v>65000000</v>
      </c>
      <c r="V11" s="1855">
        <v>6500000</v>
      </c>
      <c r="W11" s="1855">
        <v>0</v>
      </c>
      <c r="X11" s="1855">
        <f t="shared" si="0"/>
        <v>71500000</v>
      </c>
      <c r="Y11" s="1876" t="s">
        <v>27</v>
      </c>
      <c r="Z11" s="1876" t="s">
        <v>565</v>
      </c>
      <c r="AA11" s="1855">
        <v>65000000</v>
      </c>
      <c r="AB11" s="1877">
        <v>1</v>
      </c>
      <c r="AC11" s="1855">
        <v>65000000</v>
      </c>
      <c r="AD11" s="1878">
        <v>53405755.75</v>
      </c>
      <c r="AE11" s="1855"/>
      <c r="AF11" s="1878" t="e">
        <f>#REF!-#REF!</f>
        <v>#REF!</v>
      </c>
      <c r="AG11" s="1855">
        <v>0</v>
      </c>
      <c r="AH11" s="1877">
        <v>2015</v>
      </c>
      <c r="AI11" s="3132" t="s">
        <v>589</v>
      </c>
      <c r="AJ11" s="1912" t="s">
        <v>33</v>
      </c>
      <c r="AK11" s="1913">
        <v>0.55200000000000005</v>
      </c>
      <c r="AL11" s="1912" t="s">
        <v>39</v>
      </c>
      <c r="AM11" s="1882">
        <v>2015</v>
      </c>
      <c r="AN11" s="1910" t="s">
        <v>582</v>
      </c>
      <c r="AO11" s="1919" t="s">
        <v>590</v>
      </c>
      <c r="AP11" s="1912" t="s">
        <v>584</v>
      </c>
      <c r="AQ11" s="1912"/>
      <c r="AR11" s="1912" t="s">
        <v>1289</v>
      </c>
      <c r="AS11" s="1938" t="s">
        <v>591</v>
      </c>
      <c r="AT11" s="634">
        <v>65000000</v>
      </c>
      <c r="AU11" s="635">
        <v>53405755.75</v>
      </c>
      <c r="AV11" s="636" t="s">
        <v>27</v>
      </c>
      <c r="AW11" s="1969">
        <v>0</v>
      </c>
      <c r="AX11" s="1912" t="s">
        <v>21</v>
      </c>
      <c r="AY11" s="1876" t="s">
        <v>565</v>
      </c>
      <c r="AZ11" s="3133" t="s">
        <v>577</v>
      </c>
      <c r="BA11" s="1970"/>
      <c r="BB11" s="1972" t="s">
        <v>592</v>
      </c>
      <c r="BC11" s="1973">
        <v>2015</v>
      </c>
      <c r="BD11" s="1971" t="s">
        <v>1290</v>
      </c>
      <c r="BE11" s="2014"/>
      <c r="BG11" s="2014">
        <v>1</v>
      </c>
      <c r="BH11" s="2014">
        <f>AT11</f>
        <v>65000000</v>
      </c>
    </row>
    <row r="12" spans="1:60" s="1726" customFormat="1" ht="20.100000000000001" customHeight="1">
      <c r="A12" s="1784">
        <v>3</v>
      </c>
      <c r="B12" s="1785"/>
      <c r="C12" s="1786"/>
      <c r="D12" s="1787" t="s">
        <v>17</v>
      </c>
      <c r="E12" s="1786">
        <v>1</v>
      </c>
      <c r="F12" s="1787" t="s">
        <v>19</v>
      </c>
      <c r="G12" s="1788" t="s">
        <v>564</v>
      </c>
      <c r="H12" s="1787" t="s">
        <v>25</v>
      </c>
      <c r="I12" s="1786" t="s">
        <v>23</v>
      </c>
      <c r="J12" s="1787" t="s">
        <v>24</v>
      </c>
      <c r="K12" s="1825">
        <v>2</v>
      </c>
      <c r="L12" s="1826" t="s">
        <v>593</v>
      </c>
      <c r="M12" s="1785">
        <v>1</v>
      </c>
      <c r="N12" s="1786">
        <v>1</v>
      </c>
      <c r="O12" s="1786">
        <v>2</v>
      </c>
      <c r="P12" s="1827">
        <v>1</v>
      </c>
      <c r="Q12" s="1786">
        <v>1</v>
      </c>
      <c r="R12" s="1786">
        <v>1</v>
      </c>
      <c r="S12" s="1786">
        <v>4</v>
      </c>
      <c r="T12" s="1855">
        <v>80000000</v>
      </c>
      <c r="U12" s="1855">
        <v>80000000</v>
      </c>
      <c r="V12" s="1855">
        <v>8000000</v>
      </c>
      <c r="W12" s="1855">
        <v>0</v>
      </c>
      <c r="X12" s="1855">
        <f t="shared" si="0"/>
        <v>88000000</v>
      </c>
      <c r="Y12" s="1876" t="s">
        <v>27</v>
      </c>
      <c r="Z12" s="1876" t="s">
        <v>565</v>
      </c>
      <c r="AA12" s="1855">
        <v>80000000</v>
      </c>
      <c r="AB12" s="1877">
        <v>1</v>
      </c>
      <c r="AC12" s="1855">
        <v>80000000</v>
      </c>
      <c r="AD12" s="1878"/>
      <c r="AE12" s="1855"/>
      <c r="AF12" s="1878"/>
      <c r="AG12" s="1855">
        <v>0</v>
      </c>
      <c r="AH12" s="1877">
        <v>2015</v>
      </c>
      <c r="AI12" s="3132" t="s">
        <v>580</v>
      </c>
      <c r="AJ12" s="1912" t="s">
        <v>33</v>
      </c>
      <c r="AK12" s="1913">
        <v>0.93840000000000001</v>
      </c>
      <c r="AL12" s="1912" t="s">
        <v>39</v>
      </c>
      <c r="AM12" s="1882" t="s">
        <v>581</v>
      </c>
      <c r="AN12" s="1910" t="s">
        <v>582</v>
      </c>
      <c r="AO12" s="1919" t="s">
        <v>594</v>
      </c>
      <c r="AP12" s="1912" t="s">
        <v>584</v>
      </c>
      <c r="AQ12" s="1912"/>
      <c r="AR12" s="1912" t="s">
        <v>1289</v>
      </c>
      <c r="AS12" s="1937" t="s">
        <v>595</v>
      </c>
      <c r="AT12" s="634">
        <v>80000000</v>
      </c>
      <c r="AU12" s="635">
        <v>78099963</v>
      </c>
      <c r="AV12" s="636" t="s">
        <v>27</v>
      </c>
      <c r="AW12" s="1969">
        <v>0</v>
      </c>
      <c r="AX12" s="1912" t="s">
        <v>21</v>
      </c>
      <c r="AY12" s="1876" t="s">
        <v>565</v>
      </c>
      <c r="AZ12" s="3133" t="s">
        <v>577</v>
      </c>
      <c r="BA12" s="1970"/>
      <c r="BB12" s="1972" t="s">
        <v>596</v>
      </c>
      <c r="BC12" s="638">
        <v>2016</v>
      </c>
      <c r="BD12" s="1971" t="s">
        <v>1290</v>
      </c>
      <c r="BE12" s="2014"/>
      <c r="BG12" s="2014">
        <v>1</v>
      </c>
      <c r="BH12" s="2014">
        <f>AT12</f>
        <v>80000000</v>
      </c>
    </row>
    <row r="13" spans="1:60" s="1726" customFormat="1" ht="20.100000000000001" customHeight="1">
      <c r="A13" s="1784">
        <v>4</v>
      </c>
      <c r="B13" s="1785"/>
      <c r="C13" s="1786"/>
      <c r="D13" s="1787" t="s">
        <v>17</v>
      </c>
      <c r="E13" s="1786">
        <v>1</v>
      </c>
      <c r="F13" s="1787" t="s">
        <v>19</v>
      </c>
      <c r="G13" s="1788" t="s">
        <v>564</v>
      </c>
      <c r="H13" s="1787" t="s">
        <v>25</v>
      </c>
      <c r="I13" s="1786" t="s">
        <v>23</v>
      </c>
      <c r="J13" s="1787" t="s">
        <v>24</v>
      </c>
      <c r="K13" s="1825">
        <v>2</v>
      </c>
      <c r="L13" s="1826" t="s">
        <v>597</v>
      </c>
      <c r="M13" s="1785">
        <v>1</v>
      </c>
      <c r="N13" s="1786">
        <v>1</v>
      </c>
      <c r="O13" s="1786">
        <v>2</v>
      </c>
      <c r="P13" s="1827">
        <v>1</v>
      </c>
      <c r="Q13" s="1786">
        <v>1</v>
      </c>
      <c r="R13" s="1786">
        <v>1</v>
      </c>
      <c r="S13" s="1786">
        <v>5</v>
      </c>
      <c r="T13" s="1855">
        <v>300000000</v>
      </c>
      <c r="U13" s="1855">
        <v>300000000</v>
      </c>
      <c r="V13" s="1855">
        <v>31900000</v>
      </c>
      <c r="W13" s="1855">
        <v>0</v>
      </c>
      <c r="X13" s="1855">
        <f t="shared" si="0"/>
        <v>331900000</v>
      </c>
      <c r="Y13" s="1876" t="s">
        <v>27</v>
      </c>
      <c r="Z13" s="1876" t="s">
        <v>565</v>
      </c>
      <c r="AA13" s="1855">
        <v>300000000</v>
      </c>
      <c r="AB13" s="1877">
        <v>1</v>
      </c>
      <c r="AC13" s="1855">
        <v>200000000</v>
      </c>
      <c r="AD13" s="1878">
        <v>198772234.88999999</v>
      </c>
      <c r="AE13" s="1855"/>
      <c r="AF13" s="1878" t="e">
        <f>#REF!-#REF!</f>
        <v>#REF!</v>
      </c>
      <c r="AG13" s="1855">
        <v>0</v>
      </c>
      <c r="AH13" s="1877">
        <v>2015</v>
      </c>
      <c r="AI13" s="3132" t="s">
        <v>589</v>
      </c>
      <c r="AJ13" s="1912" t="s">
        <v>33</v>
      </c>
      <c r="AK13" s="1913">
        <v>0.62229999999999996</v>
      </c>
      <c r="AL13" s="1912" t="s">
        <v>39</v>
      </c>
      <c r="AM13" s="1882">
        <v>2015</v>
      </c>
      <c r="AN13" s="1910" t="s">
        <v>582</v>
      </c>
      <c r="AO13" s="1919" t="s">
        <v>598</v>
      </c>
      <c r="AP13" s="1912" t="s">
        <v>584</v>
      </c>
      <c r="AQ13" s="1912"/>
      <c r="AR13" s="1912" t="s">
        <v>1289</v>
      </c>
      <c r="AS13" s="1938" t="s">
        <v>599</v>
      </c>
      <c r="AT13" s="634">
        <v>300000000</v>
      </c>
      <c r="AU13" s="635">
        <v>198772234.88999999</v>
      </c>
      <c r="AV13" s="636" t="s">
        <v>27</v>
      </c>
      <c r="AW13" s="1969">
        <v>0</v>
      </c>
      <c r="AX13" s="1912" t="s">
        <v>21</v>
      </c>
      <c r="AY13" s="1876" t="s">
        <v>565</v>
      </c>
      <c r="AZ13" s="3133" t="s">
        <v>577</v>
      </c>
      <c r="BA13" s="1970"/>
      <c r="BB13" s="1972" t="s">
        <v>600</v>
      </c>
      <c r="BC13" s="1973">
        <v>2015</v>
      </c>
      <c r="BD13" s="1971" t="s">
        <v>1290</v>
      </c>
      <c r="BE13" s="2014"/>
      <c r="BG13" s="2014">
        <v>1</v>
      </c>
      <c r="BH13" s="2014">
        <f>AT13</f>
        <v>300000000</v>
      </c>
    </row>
    <row r="14" spans="1:60" ht="20.100000000000001" hidden="1" customHeight="1">
      <c r="A14" s="1789">
        <v>8</v>
      </c>
      <c r="B14" s="1790"/>
      <c r="C14" s="1790"/>
      <c r="D14" s="1791" t="s">
        <v>17</v>
      </c>
      <c r="E14" s="1790">
        <v>1</v>
      </c>
      <c r="F14" s="1791" t="s">
        <v>19</v>
      </c>
      <c r="G14" s="1788" t="s">
        <v>564</v>
      </c>
      <c r="H14" s="1791" t="s">
        <v>42</v>
      </c>
      <c r="I14" s="1790" t="s">
        <v>40</v>
      </c>
      <c r="J14" s="1791" t="s">
        <v>41</v>
      </c>
      <c r="K14" s="1790">
        <v>1</v>
      </c>
      <c r="L14" s="1828" t="s">
        <v>43</v>
      </c>
      <c r="M14" s="1790">
        <v>1</v>
      </c>
      <c r="N14" s="1790">
        <v>1</v>
      </c>
      <c r="O14" s="1790">
        <v>0</v>
      </c>
      <c r="P14" s="1829">
        <v>1</v>
      </c>
      <c r="Q14" s="1790">
        <v>1</v>
      </c>
      <c r="R14" s="1790">
        <v>1</v>
      </c>
      <c r="S14" s="1786">
        <v>6</v>
      </c>
      <c r="T14" s="1856">
        <v>450000000</v>
      </c>
      <c r="U14" s="1856">
        <v>450000000</v>
      </c>
      <c r="V14" s="1856">
        <v>0</v>
      </c>
      <c r="W14" s="1856">
        <v>0</v>
      </c>
      <c r="X14" s="1856">
        <f t="shared" si="0"/>
        <v>450000000</v>
      </c>
      <c r="Y14" s="1879" t="s">
        <v>601</v>
      </c>
      <c r="Z14" s="1879" t="s">
        <v>602</v>
      </c>
      <c r="AA14" s="1856">
        <v>450000000</v>
      </c>
      <c r="AB14" s="1880"/>
      <c r="AC14" s="1856"/>
      <c r="AD14" s="1881"/>
      <c r="AE14" s="1856"/>
      <c r="AF14" s="1881"/>
      <c r="AG14" s="1856">
        <f>AA14-T14</f>
        <v>0</v>
      </c>
      <c r="AH14" s="1880">
        <v>2017</v>
      </c>
      <c r="AI14" s="1856" t="s">
        <v>21</v>
      </c>
      <c r="AJ14" s="1788" t="s">
        <v>21</v>
      </c>
      <c r="AK14" s="1856" t="s">
        <v>21</v>
      </c>
      <c r="AL14" s="1856" t="s">
        <v>21</v>
      </c>
      <c r="AM14" s="1882"/>
      <c r="AN14" s="1907" t="s">
        <v>603</v>
      </c>
      <c r="AO14" s="1907" t="s">
        <v>603</v>
      </c>
      <c r="AP14" s="1788" t="s">
        <v>570</v>
      </c>
      <c r="AQ14" s="1788"/>
      <c r="AR14" s="1788" t="s">
        <v>1283</v>
      </c>
      <c r="AS14" s="1788" t="s">
        <v>571</v>
      </c>
      <c r="AT14" s="1939">
        <v>450000000</v>
      </c>
      <c r="AU14" s="1939"/>
      <c r="AV14" s="1682" t="s">
        <v>601</v>
      </c>
      <c r="AW14" s="1879" t="e">
        <f>#REF!</f>
        <v>#REF!</v>
      </c>
      <c r="AX14" s="3135" t="s">
        <v>604</v>
      </c>
      <c r="AY14" s="1879" t="s">
        <v>605</v>
      </c>
      <c r="AZ14" s="3136" t="s">
        <v>606</v>
      </c>
      <c r="BA14" s="91"/>
      <c r="BB14" s="1975" t="s">
        <v>607</v>
      </c>
      <c r="BC14" s="1976"/>
      <c r="BD14" s="1764"/>
      <c r="BE14" s="1762"/>
      <c r="BF14" s="1762"/>
    </row>
    <row r="15" spans="1:60" ht="20.100000000000001" hidden="1" customHeight="1">
      <c r="A15" s="1792">
        <v>9</v>
      </c>
      <c r="B15" s="1790"/>
      <c r="C15" s="1790"/>
      <c r="D15" s="1791" t="s">
        <v>17</v>
      </c>
      <c r="E15" s="1790">
        <v>1</v>
      </c>
      <c r="F15" s="1791" t="s">
        <v>19</v>
      </c>
      <c r="G15" s="1788" t="s">
        <v>564</v>
      </c>
      <c r="H15" s="1791" t="s">
        <v>42</v>
      </c>
      <c r="I15" s="1790" t="s">
        <v>40</v>
      </c>
      <c r="J15" s="1791" t="s">
        <v>41</v>
      </c>
      <c r="K15" s="1790">
        <v>2</v>
      </c>
      <c r="L15" s="1791" t="s">
        <v>44</v>
      </c>
      <c r="M15" s="1790">
        <v>1</v>
      </c>
      <c r="N15" s="1790">
        <v>1</v>
      </c>
      <c r="O15" s="1790">
        <v>0</v>
      </c>
      <c r="P15" s="1829">
        <v>1</v>
      </c>
      <c r="Q15" s="1790">
        <v>1</v>
      </c>
      <c r="R15" s="1790">
        <v>1</v>
      </c>
      <c r="S15" s="1786">
        <v>7</v>
      </c>
      <c r="T15" s="1856">
        <v>250000000</v>
      </c>
      <c r="U15" s="1856">
        <v>250000000</v>
      </c>
      <c r="V15" s="1856">
        <v>50000000</v>
      </c>
      <c r="W15" s="1856">
        <v>0</v>
      </c>
      <c r="X15" s="1856">
        <f t="shared" si="0"/>
        <v>300000000</v>
      </c>
      <c r="Y15" s="1879" t="s">
        <v>55</v>
      </c>
      <c r="Z15" s="1879" t="s">
        <v>565</v>
      </c>
      <c r="AA15" s="1856">
        <v>250000000</v>
      </c>
      <c r="AB15" s="1882"/>
      <c r="AC15" s="1856"/>
      <c r="AD15" s="1881"/>
      <c r="AE15" s="1856"/>
      <c r="AF15" s="1881"/>
      <c r="AG15" s="1856">
        <f>AA15-T15</f>
        <v>0</v>
      </c>
      <c r="AH15" s="1882">
        <v>2017</v>
      </c>
      <c r="AI15" s="1856" t="s">
        <v>21</v>
      </c>
      <c r="AJ15" s="3137" t="s">
        <v>45</v>
      </c>
      <c r="AK15" s="1856" t="s">
        <v>21</v>
      </c>
      <c r="AL15" s="1856" t="s">
        <v>21</v>
      </c>
      <c r="AM15" s="1882"/>
      <c r="AN15" s="1914" t="s">
        <v>608</v>
      </c>
      <c r="AO15" s="1907" t="s">
        <v>603</v>
      </c>
      <c r="AP15" s="1788" t="s">
        <v>570</v>
      </c>
      <c r="AQ15" s="1788"/>
      <c r="AR15" s="1788" t="s">
        <v>1283</v>
      </c>
      <c r="AS15" s="1788" t="s">
        <v>571</v>
      </c>
      <c r="AT15" s="1856">
        <v>250000000</v>
      </c>
      <c r="AU15" s="1856"/>
      <c r="AV15" s="1879" t="s">
        <v>55</v>
      </c>
      <c r="AW15" s="1879" t="e">
        <f>#REF!</f>
        <v>#REF!</v>
      </c>
      <c r="AX15" s="1788" t="s">
        <v>21</v>
      </c>
      <c r="AY15" s="1879" t="s">
        <v>565</v>
      </c>
      <c r="AZ15" s="3138" t="s">
        <v>609</v>
      </c>
      <c r="BA15" s="91"/>
      <c r="BB15" s="1975" t="s">
        <v>610</v>
      </c>
      <c r="BC15" s="1976"/>
      <c r="BD15" s="1764"/>
      <c r="BE15" s="1762"/>
      <c r="BF15" s="1762"/>
    </row>
    <row r="16" spans="1:60" ht="20.100000000000001" hidden="1" customHeight="1">
      <c r="A16" s="1792">
        <v>10</v>
      </c>
      <c r="B16" s="1790"/>
      <c r="C16" s="1790"/>
      <c r="D16" s="1791" t="s">
        <v>17</v>
      </c>
      <c r="E16" s="1790">
        <v>1</v>
      </c>
      <c r="F16" s="1791" t="s">
        <v>19</v>
      </c>
      <c r="G16" s="1788" t="s">
        <v>564</v>
      </c>
      <c r="H16" s="1791" t="s">
        <v>42</v>
      </c>
      <c r="I16" s="1790" t="s">
        <v>40</v>
      </c>
      <c r="J16" s="1791" t="s">
        <v>41</v>
      </c>
      <c r="K16" s="1790">
        <v>3</v>
      </c>
      <c r="L16" s="1791" t="s">
        <v>46</v>
      </c>
      <c r="M16" s="1790">
        <v>1</v>
      </c>
      <c r="N16" s="1790">
        <v>1</v>
      </c>
      <c r="O16" s="1790">
        <v>0</v>
      </c>
      <c r="P16" s="1829">
        <v>1</v>
      </c>
      <c r="Q16" s="1790">
        <v>1</v>
      </c>
      <c r="R16" s="1790">
        <v>1</v>
      </c>
      <c r="S16" s="1786">
        <v>8</v>
      </c>
      <c r="T16" s="1856">
        <v>270000000</v>
      </c>
      <c r="U16" s="1856">
        <v>270000000</v>
      </c>
      <c r="V16" s="1856">
        <v>50000000</v>
      </c>
      <c r="W16" s="1856">
        <v>0</v>
      </c>
      <c r="X16" s="1856">
        <f t="shared" si="0"/>
        <v>320000000</v>
      </c>
      <c r="Y16" s="1879" t="s">
        <v>55</v>
      </c>
      <c r="Z16" s="1879" t="s">
        <v>565</v>
      </c>
      <c r="AA16" s="1856">
        <v>270000000</v>
      </c>
      <c r="AB16" s="1880"/>
      <c r="AC16" s="1856"/>
      <c r="AD16" s="1881"/>
      <c r="AE16" s="1856"/>
      <c r="AF16" s="1881"/>
      <c r="AG16" s="1856">
        <f>AA16-T16</f>
        <v>0</v>
      </c>
      <c r="AH16" s="1880">
        <v>2017</v>
      </c>
      <c r="AI16" s="1856" t="s">
        <v>21</v>
      </c>
      <c r="AJ16" s="3137" t="s">
        <v>45</v>
      </c>
      <c r="AK16" s="1856" t="s">
        <v>21</v>
      </c>
      <c r="AL16" s="1856" t="s">
        <v>21</v>
      </c>
      <c r="AM16" s="1882"/>
      <c r="AN16" s="1914" t="s">
        <v>611</v>
      </c>
      <c r="AO16" s="1907" t="s">
        <v>603</v>
      </c>
      <c r="AP16" s="1788" t="s">
        <v>570</v>
      </c>
      <c r="AQ16" s="1788"/>
      <c r="AR16" s="1788" t="s">
        <v>1283</v>
      </c>
      <c r="AS16" s="1788" t="s">
        <v>571</v>
      </c>
      <c r="AT16" s="1856">
        <v>270000000</v>
      </c>
      <c r="AU16" s="1856"/>
      <c r="AV16" s="1879" t="s">
        <v>55</v>
      </c>
      <c r="AW16" s="1879" t="e">
        <f>#REF!</f>
        <v>#REF!</v>
      </c>
      <c r="AX16" s="1788" t="s">
        <v>21</v>
      </c>
      <c r="AY16" s="1879" t="s">
        <v>565</v>
      </c>
      <c r="AZ16" s="3138" t="s">
        <v>577</v>
      </c>
      <c r="BA16" s="91"/>
      <c r="BB16" s="1975" t="s">
        <v>612</v>
      </c>
      <c r="BC16" s="1976"/>
      <c r="BD16" s="1764"/>
      <c r="BE16" s="2015"/>
      <c r="BF16" s="1762"/>
      <c r="BG16" s="2015"/>
      <c r="BH16" s="2015"/>
    </row>
    <row r="17" spans="1:60" ht="20.100000000000001" hidden="1" customHeight="1">
      <c r="A17" s="1792">
        <v>11</v>
      </c>
      <c r="B17" s="1790"/>
      <c r="C17" s="1790"/>
      <c r="D17" s="1791" t="s">
        <v>17</v>
      </c>
      <c r="E17" s="1790">
        <v>1</v>
      </c>
      <c r="F17" s="1791" t="s">
        <v>19</v>
      </c>
      <c r="G17" s="1788" t="s">
        <v>564</v>
      </c>
      <c r="H17" s="1791" t="s">
        <v>42</v>
      </c>
      <c r="I17" s="1790" t="s">
        <v>40</v>
      </c>
      <c r="J17" s="1791" t="s">
        <v>41</v>
      </c>
      <c r="K17" s="1790">
        <v>4</v>
      </c>
      <c r="L17" s="1791" t="s">
        <v>47</v>
      </c>
      <c r="M17" s="1790">
        <v>1</v>
      </c>
      <c r="N17" s="1790">
        <v>1</v>
      </c>
      <c r="O17" s="1790">
        <v>0</v>
      </c>
      <c r="P17" s="1829">
        <v>1</v>
      </c>
      <c r="Q17" s="1790">
        <v>1</v>
      </c>
      <c r="R17" s="1790">
        <v>1</v>
      </c>
      <c r="S17" s="1786">
        <v>9</v>
      </c>
      <c r="T17" s="1856">
        <v>175000000</v>
      </c>
      <c r="U17" s="1856">
        <v>175000000</v>
      </c>
      <c r="V17" s="1856">
        <f>T17*5%</f>
        <v>8750000</v>
      </c>
      <c r="W17" s="1856">
        <v>0</v>
      </c>
      <c r="X17" s="1856">
        <f t="shared" si="0"/>
        <v>183750000</v>
      </c>
      <c r="Y17" s="1879" t="s">
        <v>613</v>
      </c>
      <c r="Z17" s="1879" t="s">
        <v>602</v>
      </c>
      <c r="AA17" s="1856">
        <v>175000000</v>
      </c>
      <c r="AB17" s="1880"/>
      <c r="AC17" s="1856"/>
      <c r="AD17" s="1881"/>
      <c r="AE17" s="1856"/>
      <c r="AF17" s="1881"/>
      <c r="AG17" s="1856">
        <f>AA17-T17</f>
        <v>0</v>
      </c>
      <c r="AH17" s="1880">
        <v>2017</v>
      </c>
      <c r="AI17" s="1856" t="s">
        <v>21</v>
      </c>
      <c r="AJ17" s="1788" t="s">
        <v>48</v>
      </c>
      <c r="AK17" s="1856" t="s">
        <v>21</v>
      </c>
      <c r="AL17" s="1856" t="s">
        <v>21</v>
      </c>
      <c r="AM17" s="1882"/>
      <c r="AN17" s="1914" t="s">
        <v>614</v>
      </c>
      <c r="AO17" s="1907" t="s">
        <v>603</v>
      </c>
      <c r="AP17" s="1788" t="s">
        <v>570</v>
      </c>
      <c r="AQ17" s="1788"/>
      <c r="AR17" s="1788" t="s">
        <v>1283</v>
      </c>
      <c r="AS17" s="1788" t="s">
        <v>571</v>
      </c>
      <c r="AT17" s="1856">
        <v>175000000</v>
      </c>
      <c r="AU17" s="1856"/>
      <c r="AV17" s="1879" t="s">
        <v>613</v>
      </c>
      <c r="AW17" s="1879" t="e">
        <f>#REF!</f>
        <v>#REF!</v>
      </c>
      <c r="AX17" s="3137" t="s">
        <v>615</v>
      </c>
      <c r="AY17" s="1879" t="s">
        <v>605</v>
      </c>
      <c r="AZ17" s="3138" t="s">
        <v>577</v>
      </c>
      <c r="BA17" s="91"/>
      <c r="BB17" s="1975" t="s">
        <v>616</v>
      </c>
      <c r="BC17" s="1976"/>
      <c r="BE17" s="2015"/>
      <c r="BF17" s="1762"/>
      <c r="BG17" s="2015"/>
      <c r="BH17" s="2015"/>
    </row>
    <row r="18" spans="1:60" ht="19.5" hidden="1" customHeight="1">
      <c r="A18" s="1792">
        <v>12</v>
      </c>
      <c r="B18" s="1790"/>
      <c r="C18" s="1790"/>
      <c r="D18" s="1791" t="s">
        <v>17</v>
      </c>
      <c r="E18" s="1790">
        <v>1</v>
      </c>
      <c r="F18" s="1791" t="s">
        <v>19</v>
      </c>
      <c r="G18" s="1788" t="s">
        <v>564</v>
      </c>
      <c r="H18" s="1791" t="s">
        <v>42</v>
      </c>
      <c r="I18" s="1790" t="s">
        <v>40</v>
      </c>
      <c r="J18" s="1791" t="s">
        <v>41</v>
      </c>
      <c r="K18" s="1790">
        <v>5</v>
      </c>
      <c r="L18" s="1791" t="s">
        <v>50</v>
      </c>
      <c r="M18" s="1790">
        <v>1</v>
      </c>
      <c r="N18" s="1790">
        <v>1</v>
      </c>
      <c r="O18" s="1790">
        <v>0</v>
      </c>
      <c r="P18" s="1829">
        <v>1</v>
      </c>
      <c r="Q18" s="1790">
        <v>1</v>
      </c>
      <c r="R18" s="1790">
        <v>1</v>
      </c>
      <c r="S18" s="1786">
        <v>10</v>
      </c>
      <c r="T18" s="1856">
        <v>355000000</v>
      </c>
      <c r="U18" s="1856">
        <v>355000000</v>
      </c>
      <c r="V18" s="1856">
        <f>T18*5%</f>
        <v>17750000</v>
      </c>
      <c r="W18" s="1856">
        <v>0</v>
      </c>
      <c r="X18" s="1856">
        <f t="shared" si="0"/>
        <v>372750000</v>
      </c>
      <c r="Y18" s="1879" t="s">
        <v>613</v>
      </c>
      <c r="Z18" s="1879" t="s">
        <v>602</v>
      </c>
      <c r="AA18" s="1856">
        <v>355000000</v>
      </c>
      <c r="AB18" s="1880"/>
      <c r="AC18" s="1856"/>
      <c r="AD18" s="1881"/>
      <c r="AE18" s="1856"/>
      <c r="AF18" s="1881"/>
      <c r="AG18" s="1856">
        <f>AA18-T18</f>
        <v>0</v>
      </c>
      <c r="AH18" s="1880" t="s">
        <v>617</v>
      </c>
      <c r="AI18" s="1856" t="s">
        <v>21</v>
      </c>
      <c r="AJ18" s="1788" t="s">
        <v>21</v>
      </c>
      <c r="AK18" s="1856" t="s">
        <v>21</v>
      </c>
      <c r="AL18" s="1856" t="s">
        <v>21</v>
      </c>
      <c r="AM18" s="1882"/>
      <c r="AN18" s="1907" t="s">
        <v>603</v>
      </c>
      <c r="AO18" s="1907" t="s">
        <v>603</v>
      </c>
      <c r="AP18" s="1788" t="s">
        <v>570</v>
      </c>
      <c r="AQ18" s="1788"/>
      <c r="AR18" s="1788" t="s">
        <v>1283</v>
      </c>
      <c r="AS18" s="1788" t="s">
        <v>571</v>
      </c>
      <c r="AT18" s="1856">
        <v>355000000</v>
      </c>
      <c r="AU18" s="1856"/>
      <c r="AV18" s="1879" t="s">
        <v>613</v>
      </c>
      <c r="AW18" s="1879" t="e">
        <f>#REF!</f>
        <v>#REF!</v>
      </c>
      <c r="AX18" s="3137" t="s">
        <v>615</v>
      </c>
      <c r="AY18" s="1879" t="s">
        <v>605</v>
      </c>
      <c r="AZ18" s="3138" t="s">
        <v>577</v>
      </c>
      <c r="BA18" s="91"/>
      <c r="BB18" s="1975" t="s">
        <v>618</v>
      </c>
      <c r="BC18" s="1976"/>
      <c r="BD18" s="1764"/>
      <c r="BE18" s="2015"/>
      <c r="BF18" s="1762"/>
      <c r="BG18" s="2015"/>
      <c r="BH18" s="2015"/>
    </row>
    <row r="19" spans="1:60" s="1727" customFormat="1" ht="20.100000000000001" hidden="1" customHeight="1">
      <c r="A19" s="1793">
        <v>13</v>
      </c>
      <c r="B19" s="1794"/>
      <c r="C19" s="1794"/>
      <c r="D19" s="1795" t="s">
        <v>17</v>
      </c>
      <c r="E19" s="1794">
        <v>1</v>
      </c>
      <c r="F19" s="1795" t="s">
        <v>19</v>
      </c>
      <c r="G19" s="1796" t="s">
        <v>564</v>
      </c>
      <c r="H19" s="1795" t="s">
        <v>53</v>
      </c>
      <c r="I19" s="1794" t="s">
        <v>51</v>
      </c>
      <c r="J19" s="1795" t="s">
        <v>52</v>
      </c>
      <c r="K19" s="1794">
        <v>1</v>
      </c>
      <c r="L19" s="1830" t="s">
        <v>54</v>
      </c>
      <c r="M19" s="1794">
        <v>1</v>
      </c>
      <c r="N19" s="1794">
        <v>1</v>
      </c>
      <c r="O19" s="1794">
        <v>0</v>
      </c>
      <c r="P19" s="1831">
        <v>1</v>
      </c>
      <c r="Q19" s="1794">
        <v>1</v>
      </c>
      <c r="R19" s="1794">
        <v>1</v>
      </c>
      <c r="S19" s="1794"/>
      <c r="T19" s="1857">
        <v>250000000</v>
      </c>
      <c r="U19" s="1857">
        <v>205000000</v>
      </c>
      <c r="V19" s="1857">
        <v>50000000</v>
      </c>
      <c r="W19" s="1857">
        <v>0</v>
      </c>
      <c r="X19" s="1857">
        <f t="shared" si="0"/>
        <v>300000000</v>
      </c>
      <c r="Y19" s="1883" t="s">
        <v>55</v>
      </c>
      <c r="Z19" s="128" t="s">
        <v>619</v>
      </c>
      <c r="AA19" s="1857" t="e">
        <f>#REF!-U27</f>
        <v>#REF!</v>
      </c>
      <c r="AB19" s="1884"/>
      <c r="AC19" s="1857"/>
      <c r="AD19" s="1885"/>
      <c r="AE19" s="1857">
        <f>'Signed 5,8M'!AC12</f>
        <v>80000000</v>
      </c>
      <c r="AF19" s="1885"/>
      <c r="AG19" s="1857" t="e">
        <f>#REF!-#REF!-AA27</f>
        <v>#REF!</v>
      </c>
      <c r="AH19" s="1884">
        <v>2016</v>
      </c>
      <c r="AI19" s="1857" t="s">
        <v>21</v>
      </c>
      <c r="AJ19" s="1915" t="s">
        <v>56</v>
      </c>
      <c r="AK19" s="1857" t="s">
        <v>21</v>
      </c>
      <c r="AL19" s="1857" t="s">
        <v>21</v>
      </c>
      <c r="AM19" s="1884"/>
      <c r="AN19" s="1910" t="s">
        <v>568</v>
      </c>
      <c r="AO19" s="1910" t="s">
        <v>603</v>
      </c>
      <c r="AP19" s="1915" t="s">
        <v>570</v>
      </c>
      <c r="AQ19" s="1915"/>
      <c r="AR19" s="1788" t="s">
        <v>1283</v>
      </c>
      <c r="AS19" s="3139" t="s">
        <v>620</v>
      </c>
      <c r="AT19" s="1857">
        <v>205000000</v>
      </c>
      <c r="AU19" s="1857"/>
      <c r="AV19" s="1883" t="s">
        <v>55</v>
      </c>
      <c r="AW19" s="1883" t="e">
        <f>#REF!</f>
        <v>#REF!</v>
      </c>
      <c r="AX19" s="1915" t="s">
        <v>21</v>
      </c>
      <c r="AY19" s="128" t="s">
        <v>565</v>
      </c>
      <c r="AZ19" s="3140" t="s">
        <v>577</v>
      </c>
      <c r="BA19" s="85"/>
      <c r="BB19" s="1942" t="s">
        <v>621</v>
      </c>
      <c r="BC19" s="1977"/>
      <c r="BD19" s="1978"/>
      <c r="BG19" s="2016"/>
    </row>
    <row r="20" spans="1:60" ht="20.100000000000001" hidden="1" customHeight="1">
      <c r="A20" s="1792">
        <v>14</v>
      </c>
      <c r="B20" s="1790"/>
      <c r="C20" s="1790"/>
      <c r="D20" s="1791" t="s">
        <v>17</v>
      </c>
      <c r="E20" s="1790">
        <v>1</v>
      </c>
      <c r="F20" s="1791" t="s">
        <v>19</v>
      </c>
      <c r="G20" s="1788" t="s">
        <v>564</v>
      </c>
      <c r="H20" s="1791" t="s">
        <v>53</v>
      </c>
      <c r="I20" s="1790" t="s">
        <v>51</v>
      </c>
      <c r="J20" s="1791" t="s">
        <v>52</v>
      </c>
      <c r="K20" s="1790">
        <v>2</v>
      </c>
      <c r="L20" s="1832" t="s">
        <v>57</v>
      </c>
      <c r="M20" s="1790">
        <v>1</v>
      </c>
      <c r="N20" s="1790">
        <v>1</v>
      </c>
      <c r="O20" s="1790">
        <v>0</v>
      </c>
      <c r="P20" s="1829">
        <v>1</v>
      </c>
      <c r="Q20" s="1790">
        <v>1</v>
      </c>
      <c r="R20" s="1790">
        <v>1</v>
      </c>
      <c r="S20" s="1786">
        <v>12</v>
      </c>
      <c r="T20" s="1856">
        <v>250000000</v>
      </c>
      <c r="U20" s="1856">
        <v>250000000</v>
      </c>
      <c r="V20" s="1856">
        <v>50000000</v>
      </c>
      <c r="W20" s="1856">
        <v>0</v>
      </c>
      <c r="X20" s="1856">
        <f t="shared" si="0"/>
        <v>300000000</v>
      </c>
      <c r="Y20" s="1879" t="s">
        <v>58</v>
      </c>
      <c r="Z20" s="1879" t="s">
        <v>619</v>
      </c>
      <c r="AA20" s="1856">
        <f>T20</f>
        <v>250000000</v>
      </c>
      <c r="AB20" s="1880"/>
      <c r="AC20" s="1856"/>
      <c r="AD20" s="1881"/>
      <c r="AE20" s="1856"/>
      <c r="AF20" s="1881"/>
      <c r="AG20" s="1856">
        <f t="shared" ref="AG20:AG26" si="1">+T20-AA20</f>
        <v>0</v>
      </c>
      <c r="AH20" s="1880">
        <v>2016</v>
      </c>
      <c r="AI20" s="1856" t="s">
        <v>21</v>
      </c>
      <c r="AJ20" s="3137" t="s">
        <v>59</v>
      </c>
      <c r="AK20" s="1856" t="s">
        <v>21</v>
      </c>
      <c r="AL20" s="1856" t="s">
        <v>21</v>
      </c>
      <c r="AM20" s="1880" t="s">
        <v>622</v>
      </c>
      <c r="AN20" s="1910" t="s">
        <v>568</v>
      </c>
      <c r="AO20" s="1910" t="s">
        <v>603</v>
      </c>
      <c r="AP20" s="1788" t="s">
        <v>570</v>
      </c>
      <c r="AQ20" s="1788"/>
      <c r="AR20" s="1788" t="s">
        <v>1291</v>
      </c>
      <c r="AS20" s="1788" t="s">
        <v>21</v>
      </c>
      <c r="AT20" s="1856">
        <v>250000000</v>
      </c>
      <c r="AU20" s="1856"/>
      <c r="AV20" s="1879" t="s">
        <v>58</v>
      </c>
      <c r="AW20" s="1879" t="e">
        <f>#REF!</f>
        <v>#REF!</v>
      </c>
      <c r="AX20" s="1788" t="s">
        <v>21</v>
      </c>
      <c r="AY20" s="1879" t="s">
        <v>619</v>
      </c>
      <c r="AZ20" s="3138" t="s">
        <v>577</v>
      </c>
      <c r="BA20" s="1970"/>
      <c r="BB20" s="1975" t="s">
        <v>624</v>
      </c>
      <c r="BC20" s="1976"/>
      <c r="BD20" s="1764"/>
      <c r="BE20" s="1762"/>
      <c r="BF20" s="1762"/>
      <c r="BH20" s="2015"/>
    </row>
    <row r="21" spans="1:60" s="1728" customFormat="1" ht="20.100000000000001" hidden="1" customHeight="1">
      <c r="A21" s="1797">
        <v>15</v>
      </c>
      <c r="B21" s="1798"/>
      <c r="C21" s="1798"/>
      <c r="D21" s="1799" t="s">
        <v>17</v>
      </c>
      <c r="E21" s="1798">
        <v>1</v>
      </c>
      <c r="F21" s="1799" t="s">
        <v>19</v>
      </c>
      <c r="G21" s="1800" t="s">
        <v>564</v>
      </c>
      <c r="H21" s="1799" t="s">
        <v>53</v>
      </c>
      <c r="I21" s="1798" t="s">
        <v>51</v>
      </c>
      <c r="J21" s="1799" t="s">
        <v>52</v>
      </c>
      <c r="K21" s="1798">
        <v>3</v>
      </c>
      <c r="L21" s="1833" t="s">
        <v>61</v>
      </c>
      <c r="M21" s="1798">
        <v>1</v>
      </c>
      <c r="N21" s="1798">
        <v>1</v>
      </c>
      <c r="O21" s="1798">
        <v>0</v>
      </c>
      <c r="P21" s="1834">
        <v>1</v>
      </c>
      <c r="Q21" s="1798">
        <v>1</v>
      </c>
      <c r="R21" s="1798">
        <v>1</v>
      </c>
      <c r="S21" s="1858">
        <v>13</v>
      </c>
      <c r="T21" s="1859">
        <v>250000000</v>
      </c>
      <c r="U21" s="1859">
        <v>250000000</v>
      </c>
      <c r="V21" s="1859">
        <v>50000000</v>
      </c>
      <c r="W21" s="1859">
        <v>0</v>
      </c>
      <c r="X21" s="1859">
        <f t="shared" si="0"/>
        <v>300000000</v>
      </c>
      <c r="Y21" s="1886" t="s">
        <v>62</v>
      </c>
      <c r="Z21" s="1886" t="s">
        <v>619</v>
      </c>
      <c r="AA21" s="1859">
        <v>250000000</v>
      </c>
      <c r="AB21" s="1887"/>
      <c r="AC21" s="1859"/>
      <c r="AD21" s="1888"/>
      <c r="AE21" s="1859"/>
      <c r="AF21" s="1888"/>
      <c r="AG21" s="1859">
        <f t="shared" si="1"/>
        <v>0</v>
      </c>
      <c r="AH21" s="1887" t="s">
        <v>617</v>
      </c>
      <c r="AI21" s="1859" t="s">
        <v>21</v>
      </c>
      <c r="AJ21" s="1859" t="s">
        <v>21</v>
      </c>
      <c r="AK21" s="1859" t="s">
        <v>21</v>
      </c>
      <c r="AL21" s="1859" t="s">
        <v>21</v>
      </c>
      <c r="AM21" s="1887"/>
      <c r="AN21" s="1907" t="s">
        <v>603</v>
      </c>
      <c r="AO21" s="1907" t="s">
        <v>603</v>
      </c>
      <c r="AP21" s="1800" t="s">
        <v>570</v>
      </c>
      <c r="AQ21" s="1800"/>
      <c r="AR21" s="1800" t="s">
        <v>1283</v>
      </c>
      <c r="AS21" s="1800" t="s">
        <v>571</v>
      </c>
      <c r="AT21" s="1859">
        <v>250000000</v>
      </c>
      <c r="AU21" s="1859"/>
      <c r="AV21" s="1886" t="s">
        <v>62</v>
      </c>
      <c r="AW21" s="1886" t="e">
        <f>#REF!</f>
        <v>#REF!</v>
      </c>
      <c r="AX21" s="1800" t="s">
        <v>21</v>
      </c>
      <c r="AY21" s="1886" t="s">
        <v>619</v>
      </c>
      <c r="AZ21" s="3141" t="s">
        <v>577</v>
      </c>
      <c r="BA21" s="1979" t="s">
        <v>625</v>
      </c>
      <c r="BB21" s="1980" t="s">
        <v>626</v>
      </c>
      <c r="BC21" s="1981"/>
      <c r="BD21" s="1982"/>
    </row>
    <row r="22" spans="1:60" ht="20.100000000000001" hidden="1" customHeight="1">
      <c r="A22" s="1792">
        <v>16</v>
      </c>
      <c r="B22" s="1790"/>
      <c r="C22" s="1790"/>
      <c r="D22" s="1791" t="s">
        <v>17</v>
      </c>
      <c r="E22" s="1790">
        <v>1</v>
      </c>
      <c r="F22" s="1791" t="s">
        <v>19</v>
      </c>
      <c r="G22" s="1788" t="s">
        <v>564</v>
      </c>
      <c r="H22" s="1791" t="s">
        <v>53</v>
      </c>
      <c r="I22" s="1790" t="s">
        <v>51</v>
      </c>
      <c r="J22" s="1791" t="s">
        <v>52</v>
      </c>
      <c r="K22" s="1790">
        <v>4</v>
      </c>
      <c r="L22" s="1832" t="s">
        <v>627</v>
      </c>
      <c r="M22" s="1790">
        <v>1</v>
      </c>
      <c r="N22" s="1790">
        <v>1</v>
      </c>
      <c r="O22" s="1790">
        <v>0</v>
      </c>
      <c r="P22" s="1829">
        <v>1</v>
      </c>
      <c r="Q22" s="1790">
        <v>1</v>
      </c>
      <c r="R22" s="1790">
        <v>1</v>
      </c>
      <c r="S22" s="1786">
        <v>14</v>
      </c>
      <c r="T22" s="1856">
        <v>250000000</v>
      </c>
      <c r="U22" s="1856">
        <v>250000000</v>
      </c>
      <c r="V22" s="1856">
        <v>50000000</v>
      </c>
      <c r="W22" s="1856">
        <v>0</v>
      </c>
      <c r="X22" s="1856">
        <f t="shared" si="0"/>
        <v>300000000</v>
      </c>
      <c r="Y22" s="1879" t="s">
        <v>628</v>
      </c>
      <c r="Z22" s="1879" t="s">
        <v>602</v>
      </c>
      <c r="AA22" s="1856">
        <v>250000000</v>
      </c>
      <c r="AB22" s="1880"/>
      <c r="AC22" s="1856"/>
      <c r="AD22" s="1881"/>
      <c r="AE22" s="1856"/>
      <c r="AF22" s="1881"/>
      <c r="AG22" s="1856">
        <f t="shared" si="1"/>
        <v>0</v>
      </c>
      <c r="AH22" s="1880" t="s">
        <v>617</v>
      </c>
      <c r="AI22" s="1856" t="s">
        <v>21</v>
      </c>
      <c r="AJ22" s="1856" t="s">
        <v>21</v>
      </c>
      <c r="AK22" s="1856" t="s">
        <v>21</v>
      </c>
      <c r="AL22" s="1856" t="s">
        <v>21</v>
      </c>
      <c r="AM22" s="1882"/>
      <c r="AN22" s="1907" t="s">
        <v>603</v>
      </c>
      <c r="AO22" s="1907" t="s">
        <v>603</v>
      </c>
      <c r="AP22" s="1788" t="s">
        <v>570</v>
      </c>
      <c r="AQ22" s="1788"/>
      <c r="AR22" s="1788" t="s">
        <v>1283</v>
      </c>
      <c r="AS22" s="1788" t="s">
        <v>571</v>
      </c>
      <c r="AT22" s="1856">
        <v>250000000</v>
      </c>
      <c r="AU22" s="1856"/>
      <c r="AV22" s="1879" t="s">
        <v>62</v>
      </c>
      <c r="AW22" s="1879" t="e">
        <f>#REF!</f>
        <v>#REF!</v>
      </c>
      <c r="AX22" s="3135" t="s">
        <v>629</v>
      </c>
      <c r="AY22" s="1879" t="s">
        <v>619</v>
      </c>
      <c r="AZ22" s="3138" t="s">
        <v>577</v>
      </c>
      <c r="BA22" s="91"/>
      <c r="BB22" s="1983" t="s">
        <v>630</v>
      </c>
      <c r="BC22" s="1984"/>
      <c r="BD22" s="1764"/>
      <c r="BE22" s="1762"/>
      <c r="BF22" s="1762"/>
    </row>
    <row r="23" spans="1:60" ht="20.100000000000001" hidden="1" customHeight="1">
      <c r="A23" s="1792">
        <v>17</v>
      </c>
      <c r="B23" s="1790"/>
      <c r="C23" s="1790"/>
      <c r="D23" s="1791" t="s">
        <v>17</v>
      </c>
      <c r="E23" s="1790">
        <v>1</v>
      </c>
      <c r="F23" s="1791" t="s">
        <v>19</v>
      </c>
      <c r="G23" s="1788" t="s">
        <v>564</v>
      </c>
      <c r="H23" s="1791" t="s">
        <v>53</v>
      </c>
      <c r="I23" s="1790" t="s">
        <v>51</v>
      </c>
      <c r="J23" s="1791" t="s">
        <v>52</v>
      </c>
      <c r="K23" s="1790">
        <v>5</v>
      </c>
      <c r="L23" s="1832" t="s">
        <v>64</v>
      </c>
      <c r="M23" s="1790">
        <v>1</v>
      </c>
      <c r="N23" s="1790">
        <v>1</v>
      </c>
      <c r="O23" s="1790">
        <v>0</v>
      </c>
      <c r="P23" s="1829">
        <v>1</v>
      </c>
      <c r="Q23" s="1790">
        <v>1</v>
      </c>
      <c r="R23" s="1790">
        <v>1</v>
      </c>
      <c r="S23" s="1786">
        <v>15</v>
      </c>
      <c r="T23" s="1856">
        <v>250000000</v>
      </c>
      <c r="U23" s="1856">
        <v>250000000</v>
      </c>
      <c r="V23" s="1856">
        <v>50000000</v>
      </c>
      <c r="W23" s="1856">
        <v>0</v>
      </c>
      <c r="X23" s="1856">
        <f t="shared" si="0"/>
        <v>300000000</v>
      </c>
      <c r="Y23" s="1879" t="s">
        <v>58</v>
      </c>
      <c r="Z23" s="1879" t="s">
        <v>619</v>
      </c>
      <c r="AA23" s="1856">
        <v>250000000</v>
      </c>
      <c r="AB23" s="1880"/>
      <c r="AC23" s="1856"/>
      <c r="AD23" s="1881"/>
      <c r="AE23" s="1856"/>
      <c r="AF23" s="1881"/>
      <c r="AG23" s="1856">
        <f t="shared" si="1"/>
        <v>0</v>
      </c>
      <c r="AH23" s="1880">
        <v>2017</v>
      </c>
      <c r="AI23" s="1856" t="s">
        <v>21</v>
      </c>
      <c r="AJ23" s="1856" t="s">
        <v>21</v>
      </c>
      <c r="AK23" s="1856" t="s">
        <v>21</v>
      </c>
      <c r="AL23" s="1856" t="s">
        <v>21</v>
      </c>
      <c r="AM23" s="1882"/>
      <c r="AN23" s="1907" t="s">
        <v>603</v>
      </c>
      <c r="AO23" s="1907" t="s">
        <v>603</v>
      </c>
      <c r="AP23" s="1788" t="s">
        <v>570</v>
      </c>
      <c r="AQ23" s="1788"/>
      <c r="AR23" s="1788" t="s">
        <v>1283</v>
      </c>
      <c r="AS23" s="1788" t="s">
        <v>571</v>
      </c>
      <c r="AT23" s="1856">
        <v>250000000</v>
      </c>
      <c r="AU23" s="1856"/>
      <c r="AV23" s="1879" t="s">
        <v>58</v>
      </c>
      <c r="AW23" s="1879" t="e">
        <f>#REF!</f>
        <v>#REF!</v>
      </c>
      <c r="AX23" s="1788" t="s">
        <v>21</v>
      </c>
      <c r="AY23" s="1879" t="s">
        <v>619</v>
      </c>
      <c r="AZ23" s="3138" t="s">
        <v>577</v>
      </c>
      <c r="BA23" s="1970"/>
      <c r="BB23" s="1975" t="s">
        <v>631</v>
      </c>
      <c r="BC23" s="1976"/>
      <c r="BD23" s="1764"/>
      <c r="BE23" s="1762"/>
      <c r="BF23" s="1762"/>
    </row>
    <row r="24" spans="1:60" ht="19.5" hidden="1" customHeight="1">
      <c r="A24" s="1792">
        <v>18</v>
      </c>
      <c r="B24" s="1790"/>
      <c r="C24" s="1790"/>
      <c r="D24" s="1791" t="s">
        <v>17</v>
      </c>
      <c r="E24" s="1790">
        <v>1</v>
      </c>
      <c r="F24" s="1791" t="s">
        <v>19</v>
      </c>
      <c r="G24" s="1788" t="s">
        <v>564</v>
      </c>
      <c r="H24" s="1791" t="s">
        <v>53</v>
      </c>
      <c r="I24" s="1790" t="s">
        <v>51</v>
      </c>
      <c r="J24" s="1791" t="s">
        <v>52</v>
      </c>
      <c r="K24" s="1790">
        <v>6</v>
      </c>
      <c r="L24" s="1832" t="s">
        <v>65</v>
      </c>
      <c r="M24" s="1790">
        <v>1</v>
      </c>
      <c r="N24" s="1790">
        <v>1</v>
      </c>
      <c r="O24" s="1790">
        <v>0</v>
      </c>
      <c r="P24" s="1829">
        <v>1</v>
      </c>
      <c r="Q24" s="1790">
        <v>1</v>
      </c>
      <c r="R24" s="1790">
        <v>1</v>
      </c>
      <c r="S24" s="1786">
        <v>16</v>
      </c>
      <c r="T24" s="1856">
        <v>250000000</v>
      </c>
      <c r="U24" s="1856">
        <v>250000000</v>
      </c>
      <c r="V24" s="1856">
        <v>50000000</v>
      </c>
      <c r="W24" s="1856">
        <v>0</v>
      </c>
      <c r="X24" s="1856">
        <f t="shared" si="0"/>
        <v>300000000</v>
      </c>
      <c r="Y24" s="1879" t="s">
        <v>628</v>
      </c>
      <c r="Z24" s="1879" t="s">
        <v>602</v>
      </c>
      <c r="AA24" s="1856">
        <v>250000000</v>
      </c>
      <c r="AB24" s="1880"/>
      <c r="AC24" s="1856"/>
      <c r="AD24" s="1881"/>
      <c r="AE24" s="1856"/>
      <c r="AF24" s="1881"/>
      <c r="AG24" s="1856">
        <f t="shared" si="1"/>
        <v>0</v>
      </c>
      <c r="AH24" s="1880" t="s">
        <v>617</v>
      </c>
      <c r="AI24" s="1788" t="s">
        <v>21</v>
      </c>
      <c r="AJ24" s="1788" t="s">
        <v>632</v>
      </c>
      <c r="AK24" s="1856" t="s">
        <v>21</v>
      </c>
      <c r="AL24" s="1856" t="s">
        <v>21</v>
      </c>
      <c r="AM24" s="1882"/>
      <c r="AN24" s="1907" t="s">
        <v>568</v>
      </c>
      <c r="AO24" s="1907" t="s">
        <v>603</v>
      </c>
      <c r="AP24" s="1788" t="s">
        <v>570</v>
      </c>
      <c r="AQ24" s="1788"/>
      <c r="AR24" s="1788" t="s">
        <v>1283</v>
      </c>
      <c r="AS24" s="1788" t="s">
        <v>571</v>
      </c>
      <c r="AT24" s="1856">
        <v>250000000</v>
      </c>
      <c r="AU24" s="1856"/>
      <c r="AV24" s="1879" t="s">
        <v>633</v>
      </c>
      <c r="AW24" s="1879" t="e">
        <f>#REF!</f>
        <v>#REF!</v>
      </c>
      <c r="AX24" s="1788" t="s">
        <v>634</v>
      </c>
      <c r="AY24" s="1879" t="s">
        <v>633</v>
      </c>
      <c r="AZ24" s="3138" t="s">
        <v>577</v>
      </c>
      <c r="BA24" s="91"/>
      <c r="BB24" s="1975" t="s">
        <v>635</v>
      </c>
      <c r="BC24" s="1976"/>
      <c r="BD24" s="1764"/>
      <c r="BE24" s="1762"/>
      <c r="BF24" s="1762"/>
    </row>
    <row r="25" spans="1:60" ht="20.100000000000001" hidden="1" customHeight="1">
      <c r="A25" s="1792">
        <v>19</v>
      </c>
      <c r="B25" s="1790"/>
      <c r="C25" s="1790"/>
      <c r="D25" s="1791" t="s">
        <v>17</v>
      </c>
      <c r="E25" s="1790">
        <v>1</v>
      </c>
      <c r="F25" s="1791" t="s">
        <v>19</v>
      </c>
      <c r="G25" s="1788" t="s">
        <v>564</v>
      </c>
      <c r="H25" s="1791" t="s">
        <v>53</v>
      </c>
      <c r="I25" s="1790" t="s">
        <v>51</v>
      </c>
      <c r="J25" s="1791" t="s">
        <v>52</v>
      </c>
      <c r="K25" s="1790">
        <v>7</v>
      </c>
      <c r="L25" s="1832" t="s">
        <v>68</v>
      </c>
      <c r="M25" s="1790">
        <v>1</v>
      </c>
      <c r="N25" s="1790">
        <v>1</v>
      </c>
      <c r="O25" s="1790">
        <v>0</v>
      </c>
      <c r="P25" s="1829">
        <v>1</v>
      </c>
      <c r="Q25" s="1790">
        <v>1</v>
      </c>
      <c r="R25" s="1790">
        <v>1</v>
      </c>
      <c r="S25" s="1786">
        <v>17</v>
      </c>
      <c r="T25" s="1856">
        <v>250000000</v>
      </c>
      <c r="U25" s="1856">
        <v>250000000</v>
      </c>
      <c r="V25" s="1856">
        <v>50000000</v>
      </c>
      <c r="W25" s="1856">
        <v>0</v>
      </c>
      <c r="X25" s="1856">
        <f t="shared" si="0"/>
        <v>300000000</v>
      </c>
      <c r="Y25" s="1879" t="s">
        <v>58</v>
      </c>
      <c r="Z25" s="1879" t="s">
        <v>619</v>
      </c>
      <c r="AA25" s="1856">
        <v>250000000</v>
      </c>
      <c r="AB25" s="1880"/>
      <c r="AC25" s="1856"/>
      <c r="AD25" s="1881"/>
      <c r="AE25" s="1856"/>
      <c r="AF25" s="1881"/>
      <c r="AG25" s="1856">
        <f t="shared" si="1"/>
        <v>0</v>
      </c>
      <c r="AH25" s="1880">
        <v>2016</v>
      </c>
      <c r="AI25" s="1788" t="s">
        <v>21</v>
      </c>
      <c r="AJ25" s="1788" t="s">
        <v>69</v>
      </c>
      <c r="AK25" s="1856" t="s">
        <v>21</v>
      </c>
      <c r="AL25" s="1856" t="s">
        <v>21</v>
      </c>
      <c r="AM25" s="1882"/>
      <c r="AN25" s="1907" t="s">
        <v>568</v>
      </c>
      <c r="AO25" s="1907" t="s">
        <v>603</v>
      </c>
      <c r="AP25" s="1788" t="s">
        <v>570</v>
      </c>
      <c r="AQ25" s="1788"/>
      <c r="AR25" s="1788" t="s">
        <v>1283</v>
      </c>
      <c r="AS25" s="1788" t="s">
        <v>571</v>
      </c>
      <c r="AT25" s="1856">
        <v>250000000</v>
      </c>
      <c r="AU25" s="1856"/>
      <c r="AV25" s="1879" t="s">
        <v>636</v>
      </c>
      <c r="AW25" s="1879" t="e">
        <f>#REF!</f>
        <v>#REF!</v>
      </c>
      <c r="AX25" s="3135" t="s">
        <v>637</v>
      </c>
      <c r="AY25" s="1879" t="s">
        <v>565</v>
      </c>
      <c r="AZ25" s="3138" t="s">
        <v>638</v>
      </c>
      <c r="BA25" s="1970"/>
      <c r="BB25" s="1975" t="s">
        <v>639</v>
      </c>
      <c r="BC25" s="1976"/>
      <c r="BD25" s="1764"/>
      <c r="BE25" s="1762"/>
      <c r="BF25" s="1762"/>
    </row>
    <row r="26" spans="1:60" ht="20.100000000000001" hidden="1" customHeight="1">
      <c r="A26" s="1801">
        <v>20</v>
      </c>
      <c r="B26" s="1790"/>
      <c r="C26" s="1790"/>
      <c r="D26" s="1791" t="s">
        <v>17</v>
      </c>
      <c r="E26" s="1790">
        <v>1</v>
      </c>
      <c r="F26" s="1791" t="s">
        <v>19</v>
      </c>
      <c r="G26" s="1788" t="s">
        <v>564</v>
      </c>
      <c r="H26" s="1791" t="s">
        <v>53</v>
      </c>
      <c r="I26" s="1790" t="s">
        <v>51</v>
      </c>
      <c r="J26" s="1791" t="s">
        <v>52</v>
      </c>
      <c r="K26" s="1790">
        <v>8</v>
      </c>
      <c r="L26" s="1835" t="s">
        <v>70</v>
      </c>
      <c r="M26" s="1790">
        <v>1</v>
      </c>
      <c r="N26" s="1790">
        <v>1</v>
      </c>
      <c r="O26" s="1790">
        <v>0</v>
      </c>
      <c r="P26" s="1829">
        <v>1</v>
      </c>
      <c r="Q26" s="1790">
        <v>1</v>
      </c>
      <c r="R26" s="1790">
        <v>1</v>
      </c>
      <c r="S26" s="1786">
        <v>18</v>
      </c>
      <c r="T26" s="1856">
        <v>250000000</v>
      </c>
      <c r="U26" s="1856">
        <v>250000000</v>
      </c>
      <c r="V26" s="1856">
        <v>50000000</v>
      </c>
      <c r="W26" s="1856">
        <v>0</v>
      </c>
      <c r="X26" s="1856">
        <f t="shared" si="0"/>
        <v>300000000</v>
      </c>
      <c r="Y26" s="1879" t="s">
        <v>58</v>
      </c>
      <c r="Z26" s="1879" t="s">
        <v>619</v>
      </c>
      <c r="AA26" s="1856">
        <f>T26</f>
        <v>250000000</v>
      </c>
      <c r="AB26" s="1880"/>
      <c r="AC26" s="1856"/>
      <c r="AD26" s="1881"/>
      <c r="AE26" s="1856"/>
      <c r="AF26" s="1881"/>
      <c r="AG26" s="1856">
        <f t="shared" si="1"/>
        <v>0</v>
      </c>
      <c r="AH26" s="1880">
        <v>2016</v>
      </c>
      <c r="AI26" s="1788" t="s">
        <v>21</v>
      </c>
      <c r="AJ26" s="1788" t="s">
        <v>71</v>
      </c>
      <c r="AK26" s="1856" t="s">
        <v>21</v>
      </c>
      <c r="AL26" s="1856" t="s">
        <v>21</v>
      </c>
      <c r="AM26" s="1882"/>
      <c r="AN26" s="1907" t="s">
        <v>568</v>
      </c>
      <c r="AO26" s="1907" t="s">
        <v>603</v>
      </c>
      <c r="AP26" s="1788" t="s">
        <v>570</v>
      </c>
      <c r="AQ26" s="1788"/>
      <c r="AR26" s="1788" t="s">
        <v>1292</v>
      </c>
      <c r="AS26" s="1788" t="s">
        <v>571</v>
      </c>
      <c r="AT26" s="1941">
        <v>250000000</v>
      </c>
      <c r="AU26" s="1941"/>
      <c r="AV26" s="1680" t="s">
        <v>58</v>
      </c>
      <c r="AW26" s="1879" t="e">
        <f>#REF!</f>
        <v>#REF!</v>
      </c>
      <c r="AX26" s="1788" t="s">
        <v>21</v>
      </c>
      <c r="AY26" s="1879" t="s">
        <v>619</v>
      </c>
      <c r="AZ26" s="3138" t="s">
        <v>640</v>
      </c>
      <c r="BA26" s="1985" t="s">
        <v>641</v>
      </c>
      <c r="BB26" s="1975" t="s">
        <v>642</v>
      </c>
      <c r="BC26" s="1976"/>
      <c r="BD26" s="1764"/>
      <c r="BE26" s="1762"/>
      <c r="BF26" s="1762"/>
    </row>
    <row r="27" spans="1:60" s="1726" customFormat="1" ht="20.100000000000001" customHeight="1">
      <c r="A27" s="1784">
        <v>5</v>
      </c>
      <c r="B27" s="1793"/>
      <c r="C27" s="1794"/>
      <c r="D27" s="1795" t="s">
        <v>17</v>
      </c>
      <c r="E27" s="1794">
        <v>1</v>
      </c>
      <c r="F27" s="1795" t="s">
        <v>19</v>
      </c>
      <c r="G27" s="1796" t="s">
        <v>564</v>
      </c>
      <c r="H27" s="1795" t="s">
        <v>53</v>
      </c>
      <c r="I27" s="1794" t="s">
        <v>51</v>
      </c>
      <c r="J27" s="1795" t="s">
        <v>52</v>
      </c>
      <c r="K27" s="1836">
        <v>9</v>
      </c>
      <c r="L27" s="1837" t="s">
        <v>643</v>
      </c>
      <c r="M27" s="1793">
        <v>1</v>
      </c>
      <c r="N27" s="1794">
        <v>1</v>
      </c>
      <c r="O27" s="1794">
        <v>0</v>
      </c>
      <c r="P27" s="1831">
        <v>1</v>
      </c>
      <c r="Q27" s="1794">
        <v>0</v>
      </c>
      <c r="R27" s="1794">
        <v>1</v>
      </c>
      <c r="S27" s="1794"/>
      <c r="T27" s="1857">
        <v>0</v>
      </c>
      <c r="U27" s="1857">
        <v>45000000</v>
      </c>
      <c r="V27" s="1857">
        <v>0</v>
      </c>
      <c r="W27" s="1857">
        <v>0</v>
      </c>
      <c r="X27" s="1860">
        <v>0</v>
      </c>
      <c r="Y27" s="1860" t="s">
        <v>117</v>
      </c>
      <c r="Z27" s="1883" t="s">
        <v>619</v>
      </c>
      <c r="AA27" s="1883">
        <v>45000000</v>
      </c>
      <c r="AB27" s="1884">
        <v>1</v>
      </c>
      <c r="AC27" s="1883">
        <v>45000000</v>
      </c>
      <c r="AD27" s="1889"/>
      <c r="AE27" s="1883"/>
      <c r="AF27" s="1889"/>
      <c r="AG27" s="1857">
        <v>0</v>
      </c>
      <c r="AH27" s="1884">
        <v>2016</v>
      </c>
      <c r="AI27" s="3142" t="s">
        <v>644</v>
      </c>
      <c r="AJ27" s="1916" t="s">
        <v>21</v>
      </c>
      <c r="AK27" s="1916" t="s">
        <v>21</v>
      </c>
      <c r="AL27" s="1916" t="s">
        <v>21</v>
      </c>
      <c r="AM27" s="1884" t="s">
        <v>581</v>
      </c>
      <c r="AN27" s="1907" t="s">
        <v>568</v>
      </c>
      <c r="AO27" s="1907" t="s">
        <v>645</v>
      </c>
      <c r="AP27" s="1916" t="s">
        <v>570</v>
      </c>
      <c r="AQ27" s="1916"/>
      <c r="AR27" s="1916" t="s">
        <v>1289</v>
      </c>
      <c r="AS27" s="1942" t="s">
        <v>21</v>
      </c>
      <c r="AT27" s="636">
        <v>45000000</v>
      </c>
      <c r="AU27" s="635">
        <v>45000000</v>
      </c>
      <c r="AV27" s="640" t="s">
        <v>117</v>
      </c>
      <c r="AW27" s="1986" t="e">
        <f>#REF!</f>
        <v>#REF!</v>
      </c>
      <c r="AX27" s="1916" t="s">
        <v>21</v>
      </c>
      <c r="AY27" s="1883" t="s">
        <v>619</v>
      </c>
      <c r="AZ27" s="85"/>
      <c r="BA27" s="85"/>
      <c r="BB27" s="1942"/>
      <c r="BC27" s="638">
        <v>2016</v>
      </c>
      <c r="BD27" s="1971" t="s">
        <v>1290</v>
      </c>
      <c r="BG27" s="2014">
        <v>1</v>
      </c>
      <c r="BH27" s="2014">
        <f>AT27</f>
        <v>45000000</v>
      </c>
    </row>
    <row r="28" spans="1:60" ht="20.100000000000001" customHeight="1">
      <c r="A28" s="1784">
        <v>6</v>
      </c>
      <c r="B28" s="1792"/>
      <c r="C28" s="1790"/>
      <c r="D28" s="1791" t="s">
        <v>17</v>
      </c>
      <c r="E28" s="1790">
        <v>1</v>
      </c>
      <c r="F28" s="1791" t="s">
        <v>19</v>
      </c>
      <c r="G28" s="1788" t="s">
        <v>646</v>
      </c>
      <c r="H28" s="1791" t="s">
        <v>74</v>
      </c>
      <c r="I28" s="1790" t="s">
        <v>72</v>
      </c>
      <c r="J28" s="1791" t="s">
        <v>73</v>
      </c>
      <c r="K28" s="1838">
        <v>1</v>
      </c>
      <c r="L28" s="1837" t="s">
        <v>75</v>
      </c>
      <c r="M28" s="1792">
        <v>1</v>
      </c>
      <c r="N28" s="1790">
        <v>1</v>
      </c>
      <c r="O28" s="1790">
        <v>0</v>
      </c>
      <c r="P28" s="1829">
        <v>1</v>
      </c>
      <c r="Q28" s="1790">
        <v>1</v>
      </c>
      <c r="R28" s="1790">
        <v>1</v>
      </c>
      <c r="S28" s="1786">
        <v>19</v>
      </c>
      <c r="T28" s="1856">
        <v>300000000</v>
      </c>
      <c r="U28" s="1856">
        <v>300000000</v>
      </c>
      <c r="V28" s="1856">
        <v>15000000</v>
      </c>
      <c r="W28" s="1856">
        <v>0</v>
      </c>
      <c r="X28" s="1856">
        <f>T28+V28+W28</f>
        <v>315000000</v>
      </c>
      <c r="Y28" s="1879" t="s">
        <v>62</v>
      </c>
      <c r="Z28" s="1879" t="s">
        <v>619</v>
      </c>
      <c r="AA28" s="1856">
        <v>300000000</v>
      </c>
      <c r="AB28" s="1880">
        <v>1</v>
      </c>
      <c r="AC28" s="1856">
        <v>300000000</v>
      </c>
      <c r="AD28" s="1881"/>
      <c r="AE28" s="1856"/>
      <c r="AF28" s="1881"/>
      <c r="AG28" s="1856">
        <v>0</v>
      </c>
      <c r="AH28" s="1880">
        <v>2016</v>
      </c>
      <c r="AI28" s="3135" t="s">
        <v>647</v>
      </c>
      <c r="AJ28" s="3137" t="s">
        <v>77</v>
      </c>
      <c r="AK28" s="1788" t="s">
        <v>21</v>
      </c>
      <c r="AL28" s="1788" t="s">
        <v>21</v>
      </c>
      <c r="AM28" s="1882" t="s">
        <v>581</v>
      </c>
      <c r="AN28" s="1914" t="s">
        <v>614</v>
      </c>
      <c r="AO28" s="1907" t="s">
        <v>603</v>
      </c>
      <c r="AP28" s="1788" t="s">
        <v>570</v>
      </c>
      <c r="AQ28" s="1788"/>
      <c r="AR28" s="1788" t="s">
        <v>1289</v>
      </c>
      <c r="AS28" s="1943" t="s">
        <v>21</v>
      </c>
      <c r="AT28" s="634">
        <v>300000000</v>
      </c>
      <c r="AU28" s="635">
        <v>300000000</v>
      </c>
      <c r="AV28" s="636" t="s">
        <v>62</v>
      </c>
      <c r="AW28" s="259" t="s">
        <v>21</v>
      </c>
      <c r="AX28" s="1788" t="s">
        <v>21</v>
      </c>
      <c r="AY28" s="1879" t="s">
        <v>619</v>
      </c>
      <c r="AZ28" s="3143" t="s">
        <v>648</v>
      </c>
      <c r="BA28" s="1788"/>
      <c r="BB28" s="1988" t="s">
        <v>649</v>
      </c>
      <c r="BC28" s="644">
        <v>2016</v>
      </c>
      <c r="BD28" s="1764"/>
      <c r="BE28" s="1762"/>
      <c r="BF28" s="1762"/>
    </row>
    <row r="29" spans="1:60" ht="20.100000000000001" hidden="1" customHeight="1">
      <c r="A29" s="1789">
        <v>22</v>
      </c>
      <c r="B29" s="1790"/>
      <c r="C29" s="1790"/>
      <c r="D29" s="1791" t="s">
        <v>17</v>
      </c>
      <c r="E29" s="1790">
        <v>1</v>
      </c>
      <c r="F29" s="1791" t="s">
        <v>19</v>
      </c>
      <c r="G29" s="1788" t="s">
        <v>646</v>
      </c>
      <c r="H29" s="1791" t="s">
        <v>74</v>
      </c>
      <c r="I29" s="1790" t="s">
        <v>72</v>
      </c>
      <c r="J29" s="1791" t="s">
        <v>73</v>
      </c>
      <c r="K29" s="1790">
        <v>2</v>
      </c>
      <c r="L29" s="1828" t="s">
        <v>81</v>
      </c>
      <c r="M29" s="1790">
        <v>1</v>
      </c>
      <c r="N29" s="1790">
        <v>1</v>
      </c>
      <c r="O29" s="1790">
        <v>0</v>
      </c>
      <c r="P29" s="1829">
        <v>1</v>
      </c>
      <c r="Q29" s="1790">
        <v>1</v>
      </c>
      <c r="R29" s="1790">
        <v>1</v>
      </c>
      <c r="S29" s="1786">
        <v>20</v>
      </c>
      <c r="T29" s="1856">
        <v>100000000</v>
      </c>
      <c r="U29" s="1856">
        <v>100000000</v>
      </c>
      <c r="V29" s="1856">
        <v>5000000</v>
      </c>
      <c r="W29" s="1856">
        <v>0</v>
      </c>
      <c r="X29" s="1856">
        <f>T29+V29+W29</f>
        <v>105000000</v>
      </c>
      <c r="Y29" s="1890" t="s">
        <v>62</v>
      </c>
      <c r="Z29" s="1879" t="s">
        <v>619</v>
      </c>
      <c r="AA29" s="1856">
        <v>100000000</v>
      </c>
      <c r="AB29" s="1880"/>
      <c r="AC29" s="1856"/>
      <c r="AD29" s="1881"/>
      <c r="AE29" s="1856"/>
      <c r="AF29" s="1881"/>
      <c r="AG29" s="1856">
        <f>AA29-T29</f>
        <v>0</v>
      </c>
      <c r="AH29" s="1880">
        <v>2017</v>
      </c>
      <c r="AI29" s="1815"/>
      <c r="AJ29" s="1815" t="s">
        <v>21</v>
      </c>
      <c r="AK29" s="1788" t="s">
        <v>21</v>
      </c>
      <c r="AL29" s="1788" t="s">
        <v>21</v>
      </c>
      <c r="AM29" s="1882"/>
      <c r="AN29" s="1907" t="s">
        <v>603</v>
      </c>
      <c r="AO29" s="1907" t="s">
        <v>603</v>
      </c>
      <c r="AP29" s="1788" t="s">
        <v>570</v>
      </c>
      <c r="AQ29" s="1788"/>
      <c r="AR29" s="1788" t="s">
        <v>1292</v>
      </c>
      <c r="AS29" s="1788" t="s">
        <v>571</v>
      </c>
      <c r="AT29" s="1939">
        <v>100000000</v>
      </c>
      <c r="AU29" s="1939"/>
      <c r="AV29" s="1944" t="s">
        <v>62</v>
      </c>
      <c r="AW29" s="1890" t="e">
        <f>#REF!</f>
        <v>#REF!</v>
      </c>
      <c r="AX29" s="1788" t="s">
        <v>21</v>
      </c>
      <c r="AY29" s="1879" t="s">
        <v>619</v>
      </c>
      <c r="AZ29" s="3138" t="s">
        <v>577</v>
      </c>
      <c r="BA29" s="91"/>
      <c r="BB29" s="1975" t="s">
        <v>650</v>
      </c>
      <c r="BC29" s="1976"/>
      <c r="BD29" s="1764"/>
      <c r="BE29" s="1762"/>
      <c r="BF29" s="1762"/>
    </row>
    <row r="30" spans="1:60" s="1729" customFormat="1" ht="20.100000000000001" hidden="1" customHeight="1">
      <c r="A30" s="1802">
        <v>23</v>
      </c>
      <c r="B30" s="1803"/>
      <c r="C30" s="1803"/>
      <c r="D30" s="1804" t="s">
        <v>17</v>
      </c>
      <c r="E30" s="1803">
        <v>1</v>
      </c>
      <c r="F30" s="1804" t="s">
        <v>19</v>
      </c>
      <c r="G30" s="1805" t="s">
        <v>646</v>
      </c>
      <c r="H30" s="1804" t="s">
        <v>74</v>
      </c>
      <c r="I30" s="1803" t="s">
        <v>72</v>
      </c>
      <c r="J30" s="1804" t="s">
        <v>73</v>
      </c>
      <c r="K30" s="1803">
        <v>3</v>
      </c>
      <c r="L30" s="1804" t="s">
        <v>84</v>
      </c>
      <c r="M30" s="1803">
        <v>0</v>
      </c>
      <c r="N30" s="1803">
        <v>0</v>
      </c>
      <c r="O30" s="1803">
        <v>1</v>
      </c>
      <c r="P30" s="1839">
        <v>0</v>
      </c>
      <c r="Q30" s="1803">
        <v>0</v>
      </c>
      <c r="R30" s="1803">
        <v>0</v>
      </c>
      <c r="S30" s="1803"/>
      <c r="T30" s="1861">
        <f>SUM(T31:T38)</f>
        <v>672680000</v>
      </c>
      <c r="U30" s="1861">
        <f>SUM(U31:U38)</f>
        <v>646300000</v>
      </c>
      <c r="V30" s="1861">
        <f>SUM(V31:V38)</f>
        <v>33634000</v>
      </c>
      <c r="W30" s="1861">
        <f>SUM(W31:W38)</f>
        <v>0</v>
      </c>
      <c r="X30" s="1861" t="e">
        <f>SUM(X31:X38)</f>
        <v>#REF!</v>
      </c>
      <c r="Y30" s="1891" t="s">
        <v>21</v>
      </c>
      <c r="Z30" s="1891"/>
      <c r="AA30" s="1861">
        <f>SUM(AA31:AA38)+AA44</f>
        <v>672680000</v>
      </c>
      <c r="AB30" s="1892"/>
      <c r="AC30" s="1861"/>
      <c r="AD30" s="1893"/>
      <c r="AE30" s="1861"/>
      <c r="AF30" s="1893"/>
      <c r="AG30" s="1861" t="e">
        <f>#REF!-#REF!</f>
        <v>#REF!</v>
      </c>
      <c r="AH30" s="1892" t="s">
        <v>21</v>
      </c>
      <c r="AI30" s="1805" t="s">
        <v>21</v>
      </c>
      <c r="AJ30" s="1805" t="s">
        <v>21</v>
      </c>
      <c r="AK30" s="1796" t="s">
        <v>21</v>
      </c>
      <c r="AL30" s="1796" t="s">
        <v>21</v>
      </c>
      <c r="AM30" s="1892"/>
      <c r="AN30" s="1907" t="s">
        <v>21</v>
      </c>
      <c r="AO30" s="1907" t="s">
        <v>21</v>
      </c>
      <c r="AP30" s="1796"/>
      <c r="AQ30" s="1796"/>
      <c r="AR30" s="1796"/>
      <c r="AS30" s="1796" t="s">
        <v>21</v>
      </c>
      <c r="AT30" s="1861">
        <f>SUM(AT31:AT38)+AT44</f>
        <v>672680000</v>
      </c>
      <c r="AU30" s="1861"/>
      <c r="AV30" s="1891" t="s">
        <v>21</v>
      </c>
      <c r="AW30" s="1891"/>
      <c r="AX30" s="1796" t="s">
        <v>21</v>
      </c>
      <c r="AY30" s="1891"/>
      <c r="AZ30" s="89" t="s">
        <v>577</v>
      </c>
      <c r="BA30" s="89"/>
      <c r="BB30" s="1989" t="s">
        <v>651</v>
      </c>
      <c r="BC30" s="1990"/>
      <c r="BD30" s="1991"/>
    </row>
    <row r="31" spans="1:60" s="1724" customFormat="1" ht="20.100000000000001" hidden="1" customHeight="1">
      <c r="A31" s="1772">
        <v>24</v>
      </c>
      <c r="B31" s="1773"/>
      <c r="C31" s="1773"/>
      <c r="D31" s="1774" t="s">
        <v>17</v>
      </c>
      <c r="E31" s="1773">
        <v>1</v>
      </c>
      <c r="F31" s="1774" t="s">
        <v>19</v>
      </c>
      <c r="G31" s="1771" t="s">
        <v>646</v>
      </c>
      <c r="H31" s="1774" t="s">
        <v>74</v>
      </c>
      <c r="I31" s="1773" t="s">
        <v>72</v>
      </c>
      <c r="J31" s="1774" t="s">
        <v>73</v>
      </c>
      <c r="K31" s="1773">
        <v>3</v>
      </c>
      <c r="L31" s="1774" t="s">
        <v>652</v>
      </c>
      <c r="M31" s="1773">
        <v>1</v>
      </c>
      <c r="N31" s="1773">
        <v>1</v>
      </c>
      <c r="O31" s="1773">
        <v>2</v>
      </c>
      <c r="P31" s="1822">
        <v>1</v>
      </c>
      <c r="Q31" s="1773">
        <v>1</v>
      </c>
      <c r="R31" s="1773">
        <v>1</v>
      </c>
      <c r="S31" s="1773">
        <v>21</v>
      </c>
      <c r="T31" s="1852">
        <v>100000000</v>
      </c>
      <c r="U31" s="1852">
        <v>100000000</v>
      </c>
      <c r="V31" s="1852">
        <v>5000000</v>
      </c>
      <c r="W31" s="1852">
        <v>0</v>
      </c>
      <c r="X31" s="1852" t="e">
        <f>+#REF!+#REF!+#REF!</f>
        <v>#REF!</v>
      </c>
      <c r="Y31" s="1863" t="s">
        <v>55</v>
      </c>
      <c r="Z31" s="1863" t="s">
        <v>565</v>
      </c>
      <c r="AA31" s="1852">
        <v>100000000</v>
      </c>
      <c r="AB31" s="1872"/>
      <c r="AC31" s="1852"/>
      <c r="AD31" s="1873"/>
      <c r="AE31" s="1852"/>
      <c r="AF31" s="1873"/>
      <c r="AG31" s="1852">
        <f>100000000-AA31</f>
        <v>0</v>
      </c>
      <c r="AH31" s="1872">
        <v>2016</v>
      </c>
      <c r="AI31" s="1918" t="s">
        <v>21</v>
      </c>
      <c r="AJ31" s="1908" t="s">
        <v>653</v>
      </c>
      <c r="AK31" s="1908" t="s">
        <v>86</v>
      </c>
      <c r="AL31" s="1908" t="s">
        <v>21</v>
      </c>
      <c r="AM31" s="1872"/>
      <c r="AN31" s="1910" t="s">
        <v>568</v>
      </c>
      <c r="AO31" s="1919" t="s">
        <v>654</v>
      </c>
      <c r="AP31" s="1908" t="s">
        <v>570</v>
      </c>
      <c r="AQ31" s="1908"/>
      <c r="AR31" s="1908" t="s">
        <v>1292</v>
      </c>
      <c r="AS31" s="1908" t="s">
        <v>571</v>
      </c>
      <c r="AT31" s="1852">
        <v>100000000</v>
      </c>
      <c r="AU31" s="1852"/>
      <c r="AV31" s="1863" t="s">
        <v>55</v>
      </c>
      <c r="AW31" s="1863" t="e">
        <f>#REF!</f>
        <v>#REF!</v>
      </c>
      <c r="AX31" s="1908" t="s">
        <v>21</v>
      </c>
      <c r="AY31" s="1863" t="s">
        <v>565</v>
      </c>
      <c r="AZ31" s="1851" t="s">
        <v>577</v>
      </c>
      <c r="BA31" s="1851"/>
      <c r="BB31" s="1992" t="s">
        <v>655</v>
      </c>
      <c r="BC31" s="1993"/>
      <c r="BD31" s="1964"/>
    </row>
    <row r="32" spans="1:60" s="1724" customFormat="1" ht="20.100000000000001" hidden="1" customHeight="1">
      <c r="A32" s="1772">
        <v>25</v>
      </c>
      <c r="B32" s="1773"/>
      <c r="C32" s="1773"/>
      <c r="D32" s="1774" t="s">
        <v>17</v>
      </c>
      <c r="E32" s="1773">
        <v>1</v>
      </c>
      <c r="F32" s="1774" t="s">
        <v>19</v>
      </c>
      <c r="G32" s="1771" t="s">
        <v>646</v>
      </c>
      <c r="H32" s="1774" t="s">
        <v>74</v>
      </c>
      <c r="I32" s="1773" t="s">
        <v>72</v>
      </c>
      <c r="J32" s="1774" t="s">
        <v>73</v>
      </c>
      <c r="K32" s="1773">
        <v>3</v>
      </c>
      <c r="L32" s="1774" t="s">
        <v>656</v>
      </c>
      <c r="M32" s="1773">
        <v>1</v>
      </c>
      <c r="N32" s="1773">
        <v>1</v>
      </c>
      <c r="O32" s="1773">
        <v>2</v>
      </c>
      <c r="P32" s="1822">
        <v>1</v>
      </c>
      <c r="Q32" s="1773">
        <v>1</v>
      </c>
      <c r="R32" s="1773">
        <v>1</v>
      </c>
      <c r="S32" s="1773">
        <v>22</v>
      </c>
      <c r="T32" s="1852">
        <v>74300000</v>
      </c>
      <c r="U32" s="1852">
        <v>74300000</v>
      </c>
      <c r="V32" s="1852">
        <v>3715000</v>
      </c>
      <c r="W32" s="1852">
        <v>0</v>
      </c>
      <c r="X32" s="1852" t="e">
        <f>+#REF!+#REF!+#REF!</f>
        <v>#REF!</v>
      </c>
      <c r="Y32" s="1863" t="s">
        <v>657</v>
      </c>
      <c r="Z32" s="1863" t="s">
        <v>602</v>
      </c>
      <c r="AA32" s="1852">
        <v>74300000</v>
      </c>
      <c r="AB32" s="1872"/>
      <c r="AC32" s="1852"/>
      <c r="AD32" s="1873"/>
      <c r="AE32" s="1852"/>
      <c r="AF32" s="1873"/>
      <c r="AG32" s="1852">
        <f>74300000-AA32</f>
        <v>0</v>
      </c>
      <c r="AH32" s="1872">
        <v>2017</v>
      </c>
      <c r="AI32" s="1918" t="s">
        <v>21</v>
      </c>
      <c r="AJ32" s="1908" t="s">
        <v>88</v>
      </c>
      <c r="AK32" s="1908" t="s">
        <v>86</v>
      </c>
      <c r="AL32" s="1908" t="s">
        <v>21</v>
      </c>
      <c r="AM32" s="1872"/>
      <c r="AN32" s="1919" t="s">
        <v>608</v>
      </c>
      <c r="AO32" s="1919" t="s">
        <v>654</v>
      </c>
      <c r="AP32" s="1908" t="s">
        <v>570</v>
      </c>
      <c r="AQ32" s="1908"/>
      <c r="AR32" s="1908" t="s">
        <v>1292</v>
      </c>
      <c r="AS32" s="1908" t="s">
        <v>571</v>
      </c>
      <c r="AT32" s="1852">
        <v>74300000</v>
      </c>
      <c r="AU32" s="1852"/>
      <c r="AV32" s="1863" t="s">
        <v>62</v>
      </c>
      <c r="AW32" s="1863" t="e">
        <f>#REF!</f>
        <v>#REF!</v>
      </c>
      <c r="AX32" s="3130" t="s">
        <v>658</v>
      </c>
      <c r="AY32" s="1863" t="s">
        <v>619</v>
      </c>
      <c r="AZ32" s="3144" t="s">
        <v>577</v>
      </c>
      <c r="BA32" s="1979" t="s">
        <v>659</v>
      </c>
      <c r="BB32" s="1994" t="s">
        <v>660</v>
      </c>
      <c r="BC32" s="1995"/>
      <c r="BD32" s="1964"/>
    </row>
    <row r="33" spans="1:58" s="1724" customFormat="1" ht="20.100000000000001" hidden="1" customHeight="1">
      <c r="A33" s="1772">
        <v>26</v>
      </c>
      <c r="B33" s="1773"/>
      <c r="C33" s="1773"/>
      <c r="D33" s="1774" t="s">
        <v>17</v>
      </c>
      <c r="E33" s="1773">
        <v>1</v>
      </c>
      <c r="F33" s="1774" t="s">
        <v>19</v>
      </c>
      <c r="G33" s="1771" t="s">
        <v>646</v>
      </c>
      <c r="H33" s="1774" t="s">
        <v>74</v>
      </c>
      <c r="I33" s="1773" t="s">
        <v>72</v>
      </c>
      <c r="J33" s="1774" t="s">
        <v>73</v>
      </c>
      <c r="K33" s="1773">
        <v>3</v>
      </c>
      <c r="L33" s="1774" t="s">
        <v>661</v>
      </c>
      <c r="M33" s="1773">
        <v>1</v>
      </c>
      <c r="N33" s="1773">
        <v>1</v>
      </c>
      <c r="O33" s="1773">
        <v>2</v>
      </c>
      <c r="P33" s="1822">
        <v>1</v>
      </c>
      <c r="Q33" s="1773">
        <v>1</v>
      </c>
      <c r="R33" s="1773">
        <v>1</v>
      </c>
      <c r="S33" s="1773">
        <v>23</v>
      </c>
      <c r="T33" s="1852">
        <v>106200000</v>
      </c>
      <c r="U33" s="1852">
        <v>106200000</v>
      </c>
      <c r="V33" s="1852">
        <v>5310000</v>
      </c>
      <c r="W33" s="1852">
        <v>0</v>
      </c>
      <c r="X33" s="1852" t="e">
        <f>+#REF!+#REF!+#REF!</f>
        <v>#REF!</v>
      </c>
      <c r="Y33" s="1863" t="s">
        <v>91</v>
      </c>
      <c r="Z33" s="1863" t="s">
        <v>565</v>
      </c>
      <c r="AA33" s="1852">
        <v>106200000</v>
      </c>
      <c r="AB33" s="1872"/>
      <c r="AC33" s="1852"/>
      <c r="AD33" s="1873"/>
      <c r="AE33" s="1852"/>
      <c r="AF33" s="1873"/>
      <c r="AG33" s="1852">
        <f>106200000-AA33</f>
        <v>0</v>
      </c>
      <c r="AH33" s="1872">
        <v>2017</v>
      </c>
      <c r="AI33" s="1918" t="s">
        <v>21</v>
      </c>
      <c r="AJ33" s="1908" t="s">
        <v>88</v>
      </c>
      <c r="AK33" s="1908" t="s">
        <v>86</v>
      </c>
      <c r="AL33" s="1908" t="s">
        <v>21</v>
      </c>
      <c r="AM33" s="1872"/>
      <c r="AN33" s="1919" t="s">
        <v>608</v>
      </c>
      <c r="AO33" s="1919" t="s">
        <v>654</v>
      </c>
      <c r="AP33" s="1908" t="s">
        <v>570</v>
      </c>
      <c r="AQ33" s="1908"/>
      <c r="AR33" s="1908" t="s">
        <v>1292</v>
      </c>
      <c r="AS33" s="1908" t="s">
        <v>571</v>
      </c>
      <c r="AT33" s="1852">
        <v>106200000</v>
      </c>
      <c r="AU33" s="1852"/>
      <c r="AV33" s="1863" t="s">
        <v>91</v>
      </c>
      <c r="AW33" s="1863" t="e">
        <f>#REF!</f>
        <v>#REF!</v>
      </c>
      <c r="AX33" s="1908" t="s">
        <v>21</v>
      </c>
      <c r="AY33" s="1863" t="s">
        <v>565</v>
      </c>
      <c r="AZ33" s="3144" t="s">
        <v>577</v>
      </c>
      <c r="BA33" s="1851"/>
      <c r="BB33" s="3145" t="s">
        <v>662</v>
      </c>
      <c r="BC33" s="1995"/>
      <c r="BD33" s="1964"/>
    </row>
    <row r="34" spans="1:58" s="1727" customFormat="1" ht="20.100000000000001" hidden="1" customHeight="1">
      <c r="A34" s="1793">
        <v>27</v>
      </c>
      <c r="B34" s="1794"/>
      <c r="C34" s="1794"/>
      <c r="D34" s="1795" t="s">
        <v>17</v>
      </c>
      <c r="E34" s="1794">
        <v>1</v>
      </c>
      <c r="F34" s="1795" t="s">
        <v>19</v>
      </c>
      <c r="G34" s="1805" t="s">
        <v>646</v>
      </c>
      <c r="H34" s="1795" t="s">
        <v>74</v>
      </c>
      <c r="I34" s="1794" t="s">
        <v>72</v>
      </c>
      <c r="J34" s="1795" t="s">
        <v>73</v>
      </c>
      <c r="K34" s="1794">
        <v>3</v>
      </c>
      <c r="L34" s="1795" t="s">
        <v>663</v>
      </c>
      <c r="M34" s="1794">
        <v>1</v>
      </c>
      <c r="N34" s="1794">
        <v>1</v>
      </c>
      <c r="O34" s="1794">
        <v>2</v>
      </c>
      <c r="P34" s="1831">
        <v>1</v>
      </c>
      <c r="Q34" s="1794">
        <v>1</v>
      </c>
      <c r="R34" s="1794">
        <v>1</v>
      </c>
      <c r="S34" s="1794">
        <v>24</v>
      </c>
      <c r="T34" s="1857">
        <v>167000000</v>
      </c>
      <c r="U34" s="1857">
        <v>140620000</v>
      </c>
      <c r="V34" s="1857">
        <v>8350000</v>
      </c>
      <c r="W34" s="1857">
        <v>0</v>
      </c>
      <c r="X34" s="1857" t="e">
        <f>+#REF!+#REF!+#REF!</f>
        <v>#REF!</v>
      </c>
      <c r="Y34" s="1894" t="s">
        <v>657</v>
      </c>
      <c r="Z34" s="1894" t="s">
        <v>602</v>
      </c>
      <c r="AA34" s="1857">
        <v>140620000</v>
      </c>
      <c r="AB34" s="1884"/>
      <c r="AC34" s="1857"/>
      <c r="AD34" s="1885"/>
      <c r="AE34" s="1857"/>
      <c r="AF34" s="1885"/>
      <c r="AG34" s="1857">
        <v>0</v>
      </c>
      <c r="AH34" s="1884">
        <v>2017</v>
      </c>
      <c r="AI34" s="1920" t="s">
        <v>21</v>
      </c>
      <c r="AJ34" s="1915" t="s">
        <v>21</v>
      </c>
      <c r="AK34" s="1915" t="s">
        <v>21</v>
      </c>
      <c r="AL34" s="1915" t="s">
        <v>21</v>
      </c>
      <c r="AM34" s="1884"/>
      <c r="AN34" s="1907" t="s">
        <v>603</v>
      </c>
      <c r="AO34" s="1907" t="s">
        <v>603</v>
      </c>
      <c r="AP34" s="1915" t="s">
        <v>570</v>
      </c>
      <c r="AQ34" s="1915"/>
      <c r="AR34" s="1788" t="s">
        <v>1283</v>
      </c>
      <c r="AS34" s="3139" t="s">
        <v>664</v>
      </c>
      <c r="AT34" s="1857">
        <v>140620000</v>
      </c>
      <c r="AU34" s="1857"/>
      <c r="AV34" s="1945" t="s">
        <v>633</v>
      </c>
      <c r="AW34" s="1945" t="e">
        <f>#REF!</f>
        <v>#REF!</v>
      </c>
      <c r="AX34" s="3139" t="s">
        <v>665</v>
      </c>
      <c r="AY34" s="1894" t="s">
        <v>633</v>
      </c>
      <c r="AZ34" s="3140" t="s">
        <v>577</v>
      </c>
      <c r="BA34" s="85"/>
      <c r="BB34" s="3146" t="s">
        <v>666</v>
      </c>
      <c r="BC34" s="1996"/>
      <c r="BD34" s="1978"/>
    </row>
    <row r="35" spans="1:58" s="1724" customFormat="1" ht="20.100000000000001" hidden="1" customHeight="1">
      <c r="A35" s="1772">
        <v>28</v>
      </c>
      <c r="B35" s="1773"/>
      <c r="C35" s="1773"/>
      <c r="D35" s="1774" t="s">
        <v>17</v>
      </c>
      <c r="E35" s="1773">
        <v>1</v>
      </c>
      <c r="F35" s="1774" t="s">
        <v>19</v>
      </c>
      <c r="G35" s="1806" t="s">
        <v>646</v>
      </c>
      <c r="H35" s="1774" t="s">
        <v>74</v>
      </c>
      <c r="I35" s="1773" t="s">
        <v>72</v>
      </c>
      <c r="J35" s="1774" t="s">
        <v>73</v>
      </c>
      <c r="K35" s="1773">
        <v>3</v>
      </c>
      <c r="L35" s="1774" t="s">
        <v>667</v>
      </c>
      <c r="M35" s="1773">
        <v>1</v>
      </c>
      <c r="N35" s="1773">
        <v>1</v>
      </c>
      <c r="O35" s="1773">
        <v>2</v>
      </c>
      <c r="P35" s="1822">
        <v>1</v>
      </c>
      <c r="Q35" s="1773">
        <v>1</v>
      </c>
      <c r="R35" s="1773">
        <v>1</v>
      </c>
      <c r="S35" s="1773">
        <v>25</v>
      </c>
      <c r="T35" s="1852">
        <v>95380000</v>
      </c>
      <c r="U35" s="1852">
        <v>95380000</v>
      </c>
      <c r="V35" s="1852">
        <v>4769000</v>
      </c>
      <c r="W35" s="1852">
        <v>0</v>
      </c>
      <c r="X35" s="1852" t="e">
        <f>+#REF!+#REF!+#REF!</f>
        <v>#REF!</v>
      </c>
      <c r="Y35" s="1895" t="s">
        <v>657</v>
      </c>
      <c r="Z35" s="1895" t="s">
        <v>602</v>
      </c>
      <c r="AA35" s="1852">
        <f>95380000</f>
        <v>95380000</v>
      </c>
      <c r="AB35" s="1872"/>
      <c r="AC35" s="1852"/>
      <c r="AD35" s="1873"/>
      <c r="AE35" s="1852"/>
      <c r="AF35" s="1873"/>
      <c r="AG35" s="1852" t="e">
        <f>#REF!-#REF!</f>
        <v>#REF!</v>
      </c>
      <c r="AH35" s="1872">
        <v>2017</v>
      </c>
      <c r="AI35" s="1908" t="s">
        <v>95</v>
      </c>
      <c r="AJ35" s="1908" t="s">
        <v>21</v>
      </c>
      <c r="AK35" s="1918" t="s">
        <v>21</v>
      </c>
      <c r="AL35" s="1908" t="s">
        <v>21</v>
      </c>
      <c r="AM35" s="1872"/>
      <c r="AN35" s="1907" t="s">
        <v>603</v>
      </c>
      <c r="AO35" s="1907" t="s">
        <v>603</v>
      </c>
      <c r="AP35" s="1908" t="s">
        <v>570</v>
      </c>
      <c r="AQ35" s="1908"/>
      <c r="AR35" s="1788" t="s">
        <v>1283</v>
      </c>
      <c r="AS35" s="1908" t="s">
        <v>571</v>
      </c>
      <c r="AT35" s="1852">
        <f>95380000</f>
        <v>95380000</v>
      </c>
      <c r="AU35" s="1852"/>
      <c r="AV35" s="1899" t="s">
        <v>633</v>
      </c>
      <c r="AW35" s="1899" t="e">
        <f>#REF!</f>
        <v>#REF!</v>
      </c>
      <c r="AX35" s="3130" t="s">
        <v>668</v>
      </c>
      <c r="AY35" s="1895" t="s">
        <v>633</v>
      </c>
      <c r="AZ35" s="3144" t="s">
        <v>577</v>
      </c>
      <c r="BA35" s="1851"/>
      <c r="BB35" s="3145" t="s">
        <v>669</v>
      </c>
      <c r="BC35" s="1995"/>
      <c r="BD35" s="1964"/>
    </row>
    <row r="36" spans="1:58" s="1724" customFormat="1" ht="20.100000000000001" hidden="1" customHeight="1">
      <c r="A36" s="1772">
        <v>29</v>
      </c>
      <c r="B36" s="1773"/>
      <c r="C36" s="1773"/>
      <c r="D36" s="1774" t="s">
        <v>17</v>
      </c>
      <c r="E36" s="1773">
        <v>1</v>
      </c>
      <c r="F36" s="1774" t="s">
        <v>19</v>
      </c>
      <c r="G36" s="1806" t="s">
        <v>646</v>
      </c>
      <c r="H36" s="1774" t="s">
        <v>74</v>
      </c>
      <c r="I36" s="1773" t="s">
        <v>72</v>
      </c>
      <c r="J36" s="1774" t="s">
        <v>73</v>
      </c>
      <c r="K36" s="1773">
        <v>3</v>
      </c>
      <c r="L36" s="1774" t="s">
        <v>670</v>
      </c>
      <c r="M36" s="1773">
        <v>1</v>
      </c>
      <c r="N36" s="1773">
        <v>1</v>
      </c>
      <c r="O36" s="1773">
        <v>2</v>
      </c>
      <c r="P36" s="1822">
        <v>1</v>
      </c>
      <c r="Q36" s="1773">
        <v>1</v>
      </c>
      <c r="R36" s="1773">
        <v>1</v>
      </c>
      <c r="S36" s="1773">
        <v>26</v>
      </c>
      <c r="T36" s="1852">
        <v>33400000</v>
      </c>
      <c r="U36" s="1852">
        <v>33400000</v>
      </c>
      <c r="V36" s="1852">
        <v>1670000</v>
      </c>
      <c r="W36" s="1852">
        <v>0</v>
      </c>
      <c r="X36" s="1852" t="e">
        <f>+#REF!+#REF!+#REF!</f>
        <v>#REF!</v>
      </c>
      <c r="Y36" s="1863" t="s">
        <v>657</v>
      </c>
      <c r="Z36" s="1895" t="s">
        <v>602</v>
      </c>
      <c r="AA36" s="1852">
        <v>33400000</v>
      </c>
      <c r="AB36" s="1872"/>
      <c r="AC36" s="1852"/>
      <c r="AD36" s="1873"/>
      <c r="AE36" s="1852"/>
      <c r="AF36" s="1873"/>
      <c r="AG36" s="1852">
        <f>AA36-33400000</f>
        <v>0</v>
      </c>
      <c r="AH36" s="1872">
        <v>2017</v>
      </c>
      <c r="AI36" s="1908" t="s">
        <v>21</v>
      </c>
      <c r="AJ36" s="1908" t="s">
        <v>97</v>
      </c>
      <c r="AK36" s="1908" t="s">
        <v>98</v>
      </c>
      <c r="AL36" s="1908" t="s">
        <v>21</v>
      </c>
      <c r="AM36" s="1872"/>
      <c r="AN36" s="1910" t="s">
        <v>568</v>
      </c>
      <c r="AO36" s="1910" t="s">
        <v>568</v>
      </c>
      <c r="AP36" s="1908" t="s">
        <v>570</v>
      </c>
      <c r="AQ36" s="1908"/>
      <c r="AR36" s="1788" t="s">
        <v>1283</v>
      </c>
      <c r="AS36" s="1908" t="s">
        <v>571</v>
      </c>
      <c r="AT36" s="1852">
        <v>33400000</v>
      </c>
      <c r="AU36" s="1852"/>
      <c r="AV36" s="1899" t="s">
        <v>633</v>
      </c>
      <c r="AW36" s="1899" t="e">
        <f>#REF!</f>
        <v>#REF!</v>
      </c>
      <c r="AX36" s="3130" t="s">
        <v>671</v>
      </c>
      <c r="AY36" s="1895" t="s">
        <v>633</v>
      </c>
      <c r="AZ36" s="3144" t="s">
        <v>577</v>
      </c>
      <c r="BA36" s="1979" t="s">
        <v>672</v>
      </c>
      <c r="BB36" s="3147" t="s">
        <v>673</v>
      </c>
      <c r="BC36" s="1993"/>
      <c r="BD36" s="1964"/>
    </row>
    <row r="37" spans="1:58" s="1724" customFormat="1" ht="20.100000000000001" hidden="1" customHeight="1">
      <c r="A37" s="1772">
        <v>30</v>
      </c>
      <c r="B37" s="1773"/>
      <c r="C37" s="1773"/>
      <c r="D37" s="1774" t="s">
        <v>17</v>
      </c>
      <c r="E37" s="1773">
        <v>1</v>
      </c>
      <c r="F37" s="1774" t="s">
        <v>19</v>
      </c>
      <c r="G37" s="1771" t="s">
        <v>646</v>
      </c>
      <c r="H37" s="1774" t="s">
        <v>74</v>
      </c>
      <c r="I37" s="1773" t="s">
        <v>72</v>
      </c>
      <c r="J37" s="1774" t="s">
        <v>73</v>
      </c>
      <c r="K37" s="1773">
        <v>3</v>
      </c>
      <c r="L37" s="1774" t="s">
        <v>674</v>
      </c>
      <c r="M37" s="1773">
        <v>1</v>
      </c>
      <c r="N37" s="1773">
        <v>1</v>
      </c>
      <c r="O37" s="1773">
        <v>2</v>
      </c>
      <c r="P37" s="1822">
        <v>1</v>
      </c>
      <c r="Q37" s="1773">
        <v>1</v>
      </c>
      <c r="R37" s="1773">
        <v>1</v>
      </c>
      <c r="S37" s="1773">
        <v>27</v>
      </c>
      <c r="T37" s="1852">
        <v>40000000</v>
      </c>
      <c r="U37" s="1852">
        <v>40000000</v>
      </c>
      <c r="V37" s="1852">
        <v>2000000</v>
      </c>
      <c r="W37" s="1852">
        <v>0</v>
      </c>
      <c r="X37" s="1852" t="e">
        <f>+#REF!+#REF!+#REF!</f>
        <v>#REF!</v>
      </c>
      <c r="Y37" s="1863" t="s">
        <v>28</v>
      </c>
      <c r="Z37" s="1863" t="s">
        <v>565</v>
      </c>
      <c r="AA37" s="1852">
        <v>40000000</v>
      </c>
      <c r="AB37" s="1872"/>
      <c r="AC37" s="1852"/>
      <c r="AD37" s="1873"/>
      <c r="AE37" s="1852"/>
      <c r="AF37" s="1873"/>
      <c r="AG37" s="1852">
        <f>+AA37-40000000</f>
        <v>0</v>
      </c>
      <c r="AH37" s="1872">
        <v>2017</v>
      </c>
      <c r="AI37" s="1908" t="s">
        <v>21</v>
      </c>
      <c r="AJ37" s="1908" t="s">
        <v>60</v>
      </c>
      <c r="AK37" s="1908" t="s">
        <v>86</v>
      </c>
      <c r="AL37" s="1908" t="s">
        <v>21</v>
      </c>
      <c r="AM37" s="1872"/>
      <c r="AN37" s="1919" t="s">
        <v>675</v>
      </c>
      <c r="AO37" s="1919" t="s">
        <v>654</v>
      </c>
      <c r="AP37" s="1908" t="s">
        <v>570</v>
      </c>
      <c r="AQ37" s="1908"/>
      <c r="AR37" s="1788" t="s">
        <v>1283</v>
      </c>
      <c r="AS37" s="1908" t="s">
        <v>571</v>
      </c>
      <c r="AT37" s="1852">
        <v>40000000</v>
      </c>
      <c r="AU37" s="1852"/>
      <c r="AV37" s="1863" t="s">
        <v>28</v>
      </c>
      <c r="AW37" s="1863" t="e">
        <f>#REF!</f>
        <v>#REF!</v>
      </c>
      <c r="AX37" s="1908" t="s">
        <v>676</v>
      </c>
      <c r="AY37" s="1863" t="s">
        <v>565</v>
      </c>
      <c r="AZ37" s="3144" t="s">
        <v>577</v>
      </c>
      <c r="BA37" s="1851"/>
      <c r="BB37" s="1994" t="s">
        <v>677</v>
      </c>
      <c r="BC37" s="1995"/>
      <c r="BD37" s="1964"/>
    </row>
    <row r="38" spans="1:58" s="1724" customFormat="1" ht="20.100000000000001" hidden="1" customHeight="1">
      <c r="A38" s="1772">
        <v>31</v>
      </c>
      <c r="B38" s="1773"/>
      <c r="C38" s="1773"/>
      <c r="D38" s="1774" t="s">
        <v>17</v>
      </c>
      <c r="E38" s="1773">
        <v>1</v>
      </c>
      <c r="F38" s="1774" t="s">
        <v>19</v>
      </c>
      <c r="G38" s="1771" t="s">
        <v>646</v>
      </c>
      <c r="H38" s="1774" t="s">
        <v>74</v>
      </c>
      <c r="I38" s="1773" t="s">
        <v>72</v>
      </c>
      <c r="J38" s="1774" t="s">
        <v>73</v>
      </c>
      <c r="K38" s="1773">
        <v>3</v>
      </c>
      <c r="L38" s="1774" t="s">
        <v>678</v>
      </c>
      <c r="M38" s="1773">
        <v>1</v>
      </c>
      <c r="N38" s="1773">
        <v>1</v>
      </c>
      <c r="O38" s="1773">
        <v>2</v>
      </c>
      <c r="P38" s="1822">
        <v>1</v>
      </c>
      <c r="Q38" s="1773">
        <v>1</v>
      </c>
      <c r="R38" s="1773">
        <v>1</v>
      </c>
      <c r="S38" s="1773">
        <v>28</v>
      </c>
      <c r="T38" s="1852">
        <v>56400000</v>
      </c>
      <c r="U38" s="1852">
        <v>56400000</v>
      </c>
      <c r="V38" s="1852">
        <v>2820000</v>
      </c>
      <c r="W38" s="1852">
        <v>0</v>
      </c>
      <c r="X38" s="1852" t="e">
        <f>+#REF!+#REF!+#REF!</f>
        <v>#REF!</v>
      </c>
      <c r="Y38" s="1863" t="s">
        <v>91</v>
      </c>
      <c r="Z38" s="1863" t="s">
        <v>565</v>
      </c>
      <c r="AA38" s="1852">
        <v>56400000</v>
      </c>
      <c r="AB38" s="1872"/>
      <c r="AC38" s="1852"/>
      <c r="AD38" s="1873"/>
      <c r="AE38" s="1852"/>
      <c r="AF38" s="1873"/>
      <c r="AG38" s="1852">
        <f>+AA38-56400000</f>
        <v>0</v>
      </c>
      <c r="AH38" s="1872">
        <v>2017</v>
      </c>
      <c r="AI38" s="1908" t="s">
        <v>21</v>
      </c>
      <c r="AJ38" s="1908" t="s">
        <v>33</v>
      </c>
      <c r="AK38" s="1908" t="s">
        <v>86</v>
      </c>
      <c r="AL38" s="1908" t="s">
        <v>21</v>
      </c>
      <c r="AM38" s="1872"/>
      <c r="AN38" s="1919" t="s">
        <v>614</v>
      </c>
      <c r="AO38" s="1919" t="s">
        <v>654</v>
      </c>
      <c r="AP38" s="1908" t="s">
        <v>570</v>
      </c>
      <c r="AQ38" s="1908"/>
      <c r="AR38" s="1908" t="s">
        <v>1292</v>
      </c>
      <c r="AS38" s="1908" t="s">
        <v>571</v>
      </c>
      <c r="AT38" s="1852">
        <v>56400000</v>
      </c>
      <c r="AU38" s="1852"/>
      <c r="AV38" s="1863" t="s">
        <v>91</v>
      </c>
      <c r="AW38" s="1863" t="e">
        <f>#REF!</f>
        <v>#REF!</v>
      </c>
      <c r="AX38" s="1908" t="s">
        <v>21</v>
      </c>
      <c r="AY38" s="1863" t="s">
        <v>565</v>
      </c>
      <c r="AZ38" s="3144" t="s">
        <v>577</v>
      </c>
      <c r="BA38" s="1851"/>
      <c r="BB38" s="1992" t="s">
        <v>679</v>
      </c>
      <c r="BC38" s="1993"/>
      <c r="BD38" s="1964"/>
    </row>
    <row r="39" spans="1:58" s="1725" customFormat="1" ht="20.100000000000001" hidden="1" customHeight="1">
      <c r="A39" s="1807">
        <v>32</v>
      </c>
      <c r="B39" s="1776"/>
      <c r="C39" s="1776"/>
      <c r="D39" s="1777" t="s">
        <v>17</v>
      </c>
      <c r="E39" s="1776">
        <v>1</v>
      </c>
      <c r="F39" s="1777" t="s">
        <v>19</v>
      </c>
      <c r="G39" s="1778" t="s">
        <v>646</v>
      </c>
      <c r="H39" s="1777" t="s">
        <v>74</v>
      </c>
      <c r="I39" s="1776" t="s">
        <v>72</v>
      </c>
      <c r="J39" s="1777" t="s">
        <v>73</v>
      </c>
      <c r="K39" s="1776">
        <v>4</v>
      </c>
      <c r="L39" s="1777" t="s">
        <v>103</v>
      </c>
      <c r="M39" s="1776">
        <v>0</v>
      </c>
      <c r="N39" s="1776">
        <v>0</v>
      </c>
      <c r="O39" s="1776">
        <v>1</v>
      </c>
      <c r="P39" s="1824">
        <v>0</v>
      </c>
      <c r="Q39" s="1776">
        <v>0</v>
      </c>
      <c r="R39" s="1776">
        <v>0</v>
      </c>
      <c r="S39" s="1776"/>
      <c r="T39" s="1854">
        <f>SUM(T40:T41)</f>
        <v>125000000</v>
      </c>
      <c r="U39" s="1854">
        <f>SUM(U40:U41)</f>
        <v>125000000</v>
      </c>
      <c r="V39" s="1854">
        <f>SUM(V40:V41)</f>
        <v>5800000</v>
      </c>
      <c r="W39" s="1854">
        <f>SUM(W40:W41)</f>
        <v>0</v>
      </c>
      <c r="X39" s="1854" t="e">
        <f>SUM(X40:X41)</f>
        <v>#REF!</v>
      </c>
      <c r="Y39" s="1862" t="s">
        <v>21</v>
      </c>
      <c r="Z39" s="1862"/>
      <c r="AA39" s="1854">
        <f>SUM(AA40:AA41)</f>
        <v>125000000</v>
      </c>
      <c r="AB39" s="1874"/>
      <c r="AC39" s="1854"/>
      <c r="AD39" s="1875"/>
      <c r="AE39" s="1854"/>
      <c r="AF39" s="1875"/>
      <c r="AG39" s="1854" t="e">
        <f>SUM(AG40:AG43)</f>
        <v>#REF!</v>
      </c>
      <c r="AH39" s="1874" t="s">
        <v>21</v>
      </c>
      <c r="AI39" s="1778" t="s">
        <v>21</v>
      </c>
      <c r="AJ39" s="1778" t="s">
        <v>21</v>
      </c>
      <c r="AK39" s="1778" t="s">
        <v>21</v>
      </c>
      <c r="AL39" s="1778" t="s">
        <v>21</v>
      </c>
      <c r="AM39" s="1874"/>
      <c r="AN39" s="1907" t="s">
        <v>21</v>
      </c>
      <c r="AO39" s="1907" t="s">
        <v>21</v>
      </c>
      <c r="AP39" s="1778"/>
      <c r="AQ39" s="1778"/>
      <c r="AR39" s="1778"/>
      <c r="AS39" s="1778" t="s">
        <v>21</v>
      </c>
      <c r="AT39" s="1854">
        <f>SUM(AT40:AT41)</f>
        <v>125000000</v>
      </c>
      <c r="AU39" s="1854"/>
      <c r="AV39" s="1862" t="s">
        <v>21</v>
      </c>
      <c r="AW39" s="1862"/>
      <c r="AX39" s="1778" t="s">
        <v>21</v>
      </c>
      <c r="AY39" s="1862"/>
      <c r="AZ39" s="3148" t="s">
        <v>577</v>
      </c>
      <c r="BA39" s="1853"/>
      <c r="BB39" s="1998" t="s">
        <v>680</v>
      </c>
      <c r="BC39" s="1999"/>
      <c r="BD39" s="1967"/>
    </row>
    <row r="40" spans="1:58" s="1730" customFormat="1" ht="20.100000000000001" hidden="1" customHeight="1">
      <c r="A40" s="1785">
        <v>33</v>
      </c>
      <c r="B40" s="1786"/>
      <c r="C40" s="1786"/>
      <c r="D40" s="1787" t="s">
        <v>17</v>
      </c>
      <c r="E40" s="1786">
        <v>1</v>
      </c>
      <c r="F40" s="1787" t="s">
        <v>19</v>
      </c>
      <c r="G40" s="1788" t="s">
        <v>646</v>
      </c>
      <c r="H40" s="1787" t="s">
        <v>74</v>
      </c>
      <c r="I40" s="1786" t="s">
        <v>72</v>
      </c>
      <c r="J40" s="1787" t="s">
        <v>73</v>
      </c>
      <c r="K40" s="1786">
        <v>4</v>
      </c>
      <c r="L40" s="1787" t="s">
        <v>681</v>
      </c>
      <c r="M40" s="1786">
        <v>1</v>
      </c>
      <c r="N40" s="1786">
        <v>1</v>
      </c>
      <c r="O40" s="1786">
        <v>2</v>
      </c>
      <c r="P40" s="1827">
        <v>1</v>
      </c>
      <c r="Q40" s="1786">
        <v>1</v>
      </c>
      <c r="R40" s="1786">
        <v>1</v>
      </c>
      <c r="S40" s="1786">
        <v>29</v>
      </c>
      <c r="T40" s="1855">
        <v>25000000</v>
      </c>
      <c r="U40" s="1855">
        <v>25000000</v>
      </c>
      <c r="V40" s="1855">
        <v>800000</v>
      </c>
      <c r="W40" s="1855">
        <v>0</v>
      </c>
      <c r="X40" s="1855" t="e">
        <f>+#REF!+#REF!+#REF!</f>
        <v>#REF!</v>
      </c>
      <c r="Y40" s="1876" t="s">
        <v>105</v>
      </c>
      <c r="Z40" s="1876" t="s">
        <v>565</v>
      </c>
      <c r="AA40" s="1855">
        <v>25000000</v>
      </c>
      <c r="AB40" s="1877">
        <v>1</v>
      </c>
      <c r="AC40" s="1855">
        <v>25000000</v>
      </c>
      <c r="AD40" s="1878"/>
      <c r="AE40" s="1855"/>
      <c r="AF40" s="1878"/>
      <c r="AG40" s="1855" t="e">
        <f>25000000-#REF!</f>
        <v>#REF!</v>
      </c>
      <c r="AH40" s="1877">
        <v>2016</v>
      </c>
      <c r="AI40" s="3132" t="s">
        <v>682</v>
      </c>
      <c r="AJ40" s="1912" t="s">
        <v>60</v>
      </c>
      <c r="AK40" s="1912" t="s">
        <v>21</v>
      </c>
      <c r="AL40" s="1912" t="s">
        <v>21</v>
      </c>
      <c r="AM40" s="1877" t="s">
        <v>581</v>
      </c>
      <c r="AN40" s="1910" t="s">
        <v>568</v>
      </c>
      <c r="AO40" s="1919" t="s">
        <v>654</v>
      </c>
      <c r="AP40" s="1912" t="s">
        <v>570</v>
      </c>
      <c r="AQ40" s="1912"/>
      <c r="AR40" s="1912" t="s">
        <v>1293</v>
      </c>
      <c r="AS40" s="1911" t="s">
        <v>683</v>
      </c>
      <c r="AT40" s="1855">
        <v>25000000</v>
      </c>
      <c r="AU40" s="1855"/>
      <c r="AV40" s="1876" t="s">
        <v>105</v>
      </c>
      <c r="AW40" s="1876" t="e">
        <f>#REF!</f>
        <v>#REF!</v>
      </c>
      <c r="AX40" s="1912" t="s">
        <v>21</v>
      </c>
      <c r="AY40" s="1876" t="s">
        <v>565</v>
      </c>
      <c r="AZ40" s="3133" t="s">
        <v>577</v>
      </c>
      <c r="BA40" s="1970"/>
      <c r="BB40" s="2000" t="s">
        <v>684</v>
      </c>
      <c r="BC40" s="2001"/>
      <c r="BD40" s="1971"/>
      <c r="BE40" s="1726"/>
    </row>
    <row r="41" spans="1:58" s="1725" customFormat="1" ht="20.100000000000001" hidden="1" customHeight="1">
      <c r="A41" s="1775"/>
      <c r="B41" s="1776"/>
      <c r="C41" s="1776"/>
      <c r="D41" s="1777" t="s">
        <v>17</v>
      </c>
      <c r="E41" s="1776">
        <v>1</v>
      </c>
      <c r="F41" s="1777" t="s">
        <v>19</v>
      </c>
      <c r="G41" s="1778" t="s">
        <v>646</v>
      </c>
      <c r="H41" s="1777" t="s">
        <v>74</v>
      </c>
      <c r="I41" s="1776" t="s">
        <v>72</v>
      </c>
      <c r="J41" s="1777" t="s">
        <v>73</v>
      </c>
      <c r="K41" s="1776">
        <v>4</v>
      </c>
      <c r="L41" s="1823" t="s">
        <v>685</v>
      </c>
      <c r="M41" s="1776">
        <v>0</v>
      </c>
      <c r="N41" s="1776">
        <v>1</v>
      </c>
      <c r="O41" s="1776">
        <v>1</v>
      </c>
      <c r="P41" s="1824">
        <v>0</v>
      </c>
      <c r="Q41" s="1776">
        <v>0</v>
      </c>
      <c r="R41" s="1776">
        <v>1</v>
      </c>
      <c r="S41" s="1776">
        <v>30</v>
      </c>
      <c r="T41" s="1862">
        <v>100000000</v>
      </c>
      <c r="U41" s="1862">
        <v>100000000</v>
      </c>
      <c r="V41" s="1862">
        <v>5000000</v>
      </c>
      <c r="W41" s="1862">
        <v>0</v>
      </c>
      <c r="X41" s="1854" t="e">
        <f>+#REF!+#REF!+#REF!</f>
        <v>#REF!</v>
      </c>
      <c r="Y41" s="1862" t="s">
        <v>21</v>
      </c>
      <c r="Z41" s="1862"/>
      <c r="AA41" s="1854">
        <f>SUM(AA42:AA43)</f>
        <v>100000000</v>
      </c>
      <c r="AB41" s="1874"/>
      <c r="AC41" s="1854"/>
      <c r="AD41" s="1875"/>
      <c r="AE41" s="1854"/>
      <c r="AF41" s="1875"/>
      <c r="AG41" s="1854" t="e">
        <f>100000000-#REF!</f>
        <v>#REF!</v>
      </c>
      <c r="AH41" s="1874" t="s">
        <v>21</v>
      </c>
      <c r="AI41" s="1778" t="s">
        <v>21</v>
      </c>
      <c r="AJ41" s="1778" t="s">
        <v>21</v>
      </c>
      <c r="AK41" s="1778" t="s">
        <v>21</v>
      </c>
      <c r="AL41" s="1778" t="s">
        <v>21</v>
      </c>
      <c r="AM41" s="1874" t="s">
        <v>21</v>
      </c>
      <c r="AN41" s="1907" t="s">
        <v>21</v>
      </c>
      <c r="AO41" s="1907" t="s">
        <v>21</v>
      </c>
      <c r="AP41" s="1778" t="s">
        <v>21</v>
      </c>
      <c r="AQ41" s="1778"/>
      <c r="AR41" s="1778"/>
      <c r="AS41" s="1778" t="s">
        <v>21</v>
      </c>
      <c r="AT41" s="1934">
        <f>SUM(AT42:AT43)</f>
        <v>100000000</v>
      </c>
      <c r="AU41" s="1934"/>
      <c r="AV41" s="1935" t="s">
        <v>21</v>
      </c>
      <c r="AW41" s="1862" t="s">
        <v>21</v>
      </c>
      <c r="AX41" s="1778" t="s">
        <v>21</v>
      </c>
      <c r="AY41" s="1862"/>
      <c r="AZ41" s="1778" t="s">
        <v>577</v>
      </c>
      <c r="BA41" s="3149" t="s">
        <v>21</v>
      </c>
      <c r="BB41" s="3150" t="s">
        <v>21</v>
      </c>
      <c r="BC41" s="2002"/>
      <c r="BD41" s="1967"/>
    </row>
    <row r="42" spans="1:58" s="1726" customFormat="1" ht="20.100000000000001" customHeight="1">
      <c r="A42" s="1784">
        <v>7</v>
      </c>
      <c r="B42" s="1772"/>
      <c r="C42" s="1773"/>
      <c r="D42" s="1774" t="s">
        <v>17</v>
      </c>
      <c r="E42" s="1773">
        <v>1</v>
      </c>
      <c r="F42" s="1774" t="s">
        <v>19</v>
      </c>
      <c r="G42" s="1771" t="s">
        <v>646</v>
      </c>
      <c r="H42" s="1774" t="s">
        <v>74</v>
      </c>
      <c r="I42" s="1773" t="s">
        <v>72</v>
      </c>
      <c r="J42" s="1774" t="s">
        <v>73</v>
      </c>
      <c r="K42" s="1840">
        <v>4</v>
      </c>
      <c r="L42" s="1826" t="s">
        <v>685</v>
      </c>
      <c r="M42" s="1772">
        <v>0.5</v>
      </c>
      <c r="N42" s="1773">
        <v>0</v>
      </c>
      <c r="O42" s="1773">
        <v>2</v>
      </c>
      <c r="P42" s="1822">
        <v>0.5</v>
      </c>
      <c r="Q42" s="1773">
        <v>0.5</v>
      </c>
      <c r="R42" s="1773">
        <v>0</v>
      </c>
      <c r="S42" s="1773"/>
      <c r="T42" s="1863">
        <v>0</v>
      </c>
      <c r="U42" s="1863">
        <v>100000000</v>
      </c>
      <c r="V42" s="1863"/>
      <c r="W42" s="1863">
        <v>0</v>
      </c>
      <c r="X42" s="1852" t="e">
        <f>+#REF!+#REF!+#REF!</f>
        <v>#REF!</v>
      </c>
      <c r="Y42" s="1863" t="s">
        <v>108</v>
      </c>
      <c r="Z42" s="1863" t="s">
        <v>565</v>
      </c>
      <c r="AA42" s="1852">
        <v>50000000</v>
      </c>
      <c r="AB42" s="1872">
        <v>1</v>
      </c>
      <c r="AC42" s="1852">
        <v>50000000</v>
      </c>
      <c r="AD42" s="1873"/>
      <c r="AE42" s="1852"/>
      <c r="AF42" s="1873"/>
      <c r="AG42" s="1852" t="e">
        <f>100000000-#REF!-#REF!</f>
        <v>#REF!</v>
      </c>
      <c r="AH42" s="1872">
        <v>2016</v>
      </c>
      <c r="AI42" s="3130" t="s">
        <v>580</v>
      </c>
      <c r="AJ42" s="1908" t="s">
        <v>109</v>
      </c>
      <c r="AK42" s="1908" t="s">
        <v>110</v>
      </c>
      <c r="AL42" s="1908" t="s">
        <v>111</v>
      </c>
      <c r="AM42" s="1872" t="s">
        <v>581</v>
      </c>
      <c r="AN42" s="1910" t="s">
        <v>568</v>
      </c>
      <c r="AO42" s="1919" t="s">
        <v>686</v>
      </c>
      <c r="AP42" s="1908" t="s">
        <v>584</v>
      </c>
      <c r="AQ42" s="1908"/>
      <c r="AR42" s="1908" t="s">
        <v>1289</v>
      </c>
      <c r="AS42" s="1946" t="s">
        <v>687</v>
      </c>
      <c r="AT42" s="634">
        <v>50000000</v>
      </c>
      <c r="AU42" s="635">
        <v>36443330</v>
      </c>
      <c r="AV42" s="636" t="s">
        <v>108</v>
      </c>
      <c r="AW42" s="2003">
        <v>0</v>
      </c>
      <c r="AX42" s="1908" t="s">
        <v>21</v>
      </c>
      <c r="AY42" s="1863" t="s">
        <v>565</v>
      </c>
      <c r="AZ42" s="3144" t="s">
        <v>577</v>
      </c>
      <c r="BA42" s="3151" t="s">
        <v>688</v>
      </c>
      <c r="BB42" s="3145" t="s">
        <v>689</v>
      </c>
      <c r="BC42" s="3264" t="s">
        <v>1294</v>
      </c>
      <c r="BD42" s="1971"/>
    </row>
    <row r="43" spans="1:58" s="1724" customFormat="1" ht="20.100000000000001" hidden="1" customHeight="1">
      <c r="A43" s="1808"/>
      <c r="B43" s="1773"/>
      <c r="C43" s="1773"/>
      <c r="D43" s="1774" t="s">
        <v>17</v>
      </c>
      <c r="E43" s="1773">
        <v>1</v>
      </c>
      <c r="F43" s="1774" t="s">
        <v>19</v>
      </c>
      <c r="G43" s="1771" t="s">
        <v>646</v>
      </c>
      <c r="H43" s="1774" t="s">
        <v>74</v>
      </c>
      <c r="I43" s="1773" t="s">
        <v>72</v>
      </c>
      <c r="J43" s="1774" t="s">
        <v>73</v>
      </c>
      <c r="K43" s="1773">
        <v>4</v>
      </c>
      <c r="L43" s="1841" t="s">
        <v>685</v>
      </c>
      <c r="M43" s="1773">
        <v>0.5</v>
      </c>
      <c r="N43" s="1773">
        <v>0</v>
      </c>
      <c r="O43" s="1773">
        <v>2</v>
      </c>
      <c r="P43" s="1822">
        <v>0.5</v>
      </c>
      <c r="Q43" s="1773">
        <v>0.5</v>
      </c>
      <c r="R43" s="1773">
        <v>0</v>
      </c>
      <c r="S43" s="1773"/>
      <c r="T43" s="1863">
        <v>0</v>
      </c>
      <c r="U43" s="1863">
        <v>100000000</v>
      </c>
      <c r="V43" s="1863"/>
      <c r="W43" s="1863">
        <v>0</v>
      </c>
      <c r="X43" s="1852" t="e">
        <f>+#REF!+#REF!+#REF!</f>
        <v>#REF!</v>
      </c>
      <c r="Y43" s="1863" t="s">
        <v>58</v>
      </c>
      <c r="Z43" s="1863" t="s">
        <v>619</v>
      </c>
      <c r="AA43" s="1852">
        <v>50000000</v>
      </c>
      <c r="AB43" s="1872"/>
      <c r="AC43" s="1852"/>
      <c r="AD43" s="1873"/>
      <c r="AE43" s="1852"/>
      <c r="AF43" s="1873"/>
      <c r="AG43" s="1852" t="e">
        <f>100000000-#REF!-#REF!</f>
        <v>#REF!</v>
      </c>
      <c r="AH43" s="1872">
        <v>2017</v>
      </c>
      <c r="AI43" s="3130" t="s">
        <v>21</v>
      </c>
      <c r="AJ43" s="1908" t="s">
        <v>21</v>
      </c>
      <c r="AK43" s="1908" t="s">
        <v>21</v>
      </c>
      <c r="AL43" s="1908" t="s">
        <v>21</v>
      </c>
      <c r="AM43" s="1872"/>
      <c r="AN43" s="1910" t="s">
        <v>568</v>
      </c>
      <c r="AO43" s="1919" t="s">
        <v>686</v>
      </c>
      <c r="AP43" s="1908" t="s">
        <v>570</v>
      </c>
      <c r="AQ43" s="1908"/>
      <c r="AR43" s="1788" t="s">
        <v>1283</v>
      </c>
      <c r="AS43" s="1908" t="s">
        <v>571</v>
      </c>
      <c r="AT43" s="1947">
        <v>50000000</v>
      </c>
      <c r="AU43" s="1947"/>
      <c r="AV43" s="1948" t="s">
        <v>633</v>
      </c>
      <c r="AW43" s="1899">
        <v>50000000</v>
      </c>
      <c r="AX43" s="3130" t="s">
        <v>691</v>
      </c>
      <c r="AY43" s="1899" t="s">
        <v>633</v>
      </c>
      <c r="AZ43" s="3144" t="s">
        <v>577</v>
      </c>
      <c r="BA43" s="2004"/>
      <c r="BB43" s="1994"/>
      <c r="BC43" s="1995"/>
      <c r="BD43" s="1964"/>
    </row>
    <row r="44" spans="1:58" s="1726" customFormat="1" ht="20.100000000000001" customHeight="1">
      <c r="A44" s="1784">
        <v>8</v>
      </c>
      <c r="B44" s="1802"/>
      <c r="C44" s="1803"/>
      <c r="D44" s="1795" t="s">
        <v>17</v>
      </c>
      <c r="E44" s="1794">
        <v>1</v>
      </c>
      <c r="F44" s="1795" t="s">
        <v>19</v>
      </c>
      <c r="G44" s="1796" t="s">
        <v>646</v>
      </c>
      <c r="H44" s="1795" t="s">
        <v>74</v>
      </c>
      <c r="I44" s="1803" t="s">
        <v>72</v>
      </c>
      <c r="J44" s="1795" t="s">
        <v>73</v>
      </c>
      <c r="K44" s="1836">
        <v>5</v>
      </c>
      <c r="L44" s="1837" t="s">
        <v>692</v>
      </c>
      <c r="M44" s="1802">
        <v>1</v>
      </c>
      <c r="N44" s="1803">
        <v>1</v>
      </c>
      <c r="O44" s="1803">
        <v>0</v>
      </c>
      <c r="P44" s="1839">
        <v>1</v>
      </c>
      <c r="Q44" s="1803">
        <v>0</v>
      </c>
      <c r="R44" s="1803">
        <v>1</v>
      </c>
      <c r="S44" s="1803"/>
      <c r="T44" s="1861">
        <v>0</v>
      </c>
      <c r="U44" s="1861">
        <v>26380000</v>
      </c>
      <c r="V44" s="1861">
        <v>0</v>
      </c>
      <c r="W44" s="1861">
        <v>0</v>
      </c>
      <c r="X44" s="1864">
        <v>0</v>
      </c>
      <c r="Y44" s="1864" t="s">
        <v>117</v>
      </c>
      <c r="Z44" s="128" t="s">
        <v>619</v>
      </c>
      <c r="AA44" s="128">
        <v>26380000</v>
      </c>
      <c r="AB44" s="1884">
        <v>1</v>
      </c>
      <c r="AC44" s="128">
        <v>26380000</v>
      </c>
      <c r="AD44" s="1896"/>
      <c r="AE44" s="128"/>
      <c r="AF44" s="1896"/>
      <c r="AG44" s="1857"/>
      <c r="AH44" s="1884">
        <v>2016</v>
      </c>
      <c r="AI44" s="3152" t="s">
        <v>693</v>
      </c>
      <c r="AJ44" s="1921" t="s">
        <v>21</v>
      </c>
      <c r="AK44" s="1921" t="s">
        <v>21</v>
      </c>
      <c r="AL44" s="1921" t="s">
        <v>21</v>
      </c>
      <c r="AM44" s="1892" t="s">
        <v>694</v>
      </c>
      <c r="AN44" s="1907" t="s">
        <v>568</v>
      </c>
      <c r="AO44" s="1907" t="s">
        <v>645</v>
      </c>
      <c r="AP44" s="1921" t="s">
        <v>570</v>
      </c>
      <c r="AQ44" s="1921"/>
      <c r="AR44" s="1921" t="s">
        <v>1289</v>
      </c>
      <c r="AS44" s="1949" t="s">
        <v>21</v>
      </c>
      <c r="AT44" s="636">
        <v>26380000</v>
      </c>
      <c r="AU44" s="635">
        <v>26380000</v>
      </c>
      <c r="AV44" s="640" t="s">
        <v>117</v>
      </c>
      <c r="AW44" s="2005" t="e">
        <f>#REF!</f>
        <v>#REF!</v>
      </c>
      <c r="AX44" s="1921" t="s">
        <v>21</v>
      </c>
      <c r="AY44" s="128" t="s">
        <v>619</v>
      </c>
      <c r="AZ44" s="89"/>
      <c r="BA44" s="85"/>
      <c r="BB44" s="1949"/>
      <c r="BC44" s="3264" t="s">
        <v>1294</v>
      </c>
      <c r="BD44" s="1971"/>
    </row>
    <row r="45" spans="1:58" s="1725" customFormat="1" ht="20.100000000000001" hidden="1" customHeight="1">
      <c r="A45" s="1809">
        <v>35</v>
      </c>
      <c r="B45" s="1776"/>
      <c r="C45" s="1776"/>
      <c r="D45" s="1777" t="s">
        <v>17</v>
      </c>
      <c r="E45" s="1776">
        <v>1</v>
      </c>
      <c r="F45" s="1777" t="s">
        <v>19</v>
      </c>
      <c r="G45" s="1778" t="s">
        <v>646</v>
      </c>
      <c r="H45" s="1777" t="s">
        <v>115</v>
      </c>
      <c r="I45" s="1776" t="s">
        <v>113</v>
      </c>
      <c r="J45" s="1777" t="s">
        <v>114</v>
      </c>
      <c r="K45" s="1776">
        <v>1</v>
      </c>
      <c r="L45" s="1842" t="s">
        <v>116</v>
      </c>
      <c r="M45" s="1776">
        <v>0</v>
      </c>
      <c r="N45" s="1776">
        <v>1</v>
      </c>
      <c r="O45" s="1776">
        <v>1</v>
      </c>
      <c r="P45" s="1824">
        <v>0</v>
      </c>
      <c r="Q45" s="1776">
        <v>0</v>
      </c>
      <c r="R45" s="1776">
        <v>1</v>
      </c>
      <c r="S45" s="1776">
        <v>31</v>
      </c>
      <c r="T45" s="1853">
        <v>250000000</v>
      </c>
      <c r="U45" s="1853">
        <v>250000000</v>
      </c>
      <c r="V45" s="1854">
        <f>T45*5%</f>
        <v>12500000</v>
      </c>
      <c r="W45" s="1854">
        <v>0</v>
      </c>
      <c r="X45" s="1854">
        <f t="shared" ref="X45:X51" si="2">T45+V45+W45</f>
        <v>262500000</v>
      </c>
      <c r="Y45" s="1862" t="s">
        <v>21</v>
      </c>
      <c r="Z45" s="1862"/>
      <c r="AA45" s="1854">
        <f>SUM(AA46:AA47)</f>
        <v>250000000</v>
      </c>
      <c r="AB45" s="1874"/>
      <c r="AC45" s="1854"/>
      <c r="AD45" s="1875"/>
      <c r="AE45" s="1854"/>
      <c r="AF45" s="1875"/>
      <c r="AG45" s="1854">
        <v>0</v>
      </c>
      <c r="AH45" s="1874" t="s">
        <v>21</v>
      </c>
      <c r="AI45" s="1778" t="s">
        <v>21</v>
      </c>
      <c r="AJ45" s="1778" t="s">
        <v>21</v>
      </c>
      <c r="AK45" s="1778" t="s">
        <v>21</v>
      </c>
      <c r="AL45" s="1778" t="s">
        <v>21</v>
      </c>
      <c r="AM45" s="1874" t="s">
        <v>21</v>
      </c>
      <c r="AN45" s="1907" t="s">
        <v>21</v>
      </c>
      <c r="AO45" s="1907" t="s">
        <v>21</v>
      </c>
      <c r="AP45" s="1778" t="s">
        <v>570</v>
      </c>
      <c r="AQ45" s="1778"/>
      <c r="AR45" s="1778"/>
      <c r="AS45" s="1778" t="s">
        <v>21</v>
      </c>
      <c r="AT45" s="1950">
        <f>SUM(AT46:AT47)</f>
        <v>250000000</v>
      </c>
      <c r="AU45" s="1950"/>
      <c r="AV45" s="1951" t="s">
        <v>21</v>
      </c>
      <c r="AW45" s="1862"/>
      <c r="AX45" s="1778" t="s">
        <v>21</v>
      </c>
      <c r="AY45" s="1862"/>
      <c r="AZ45" s="3153" t="s">
        <v>695</v>
      </c>
      <c r="BA45" s="3154" t="s">
        <v>696</v>
      </c>
      <c r="BB45" s="3155" t="s">
        <v>697</v>
      </c>
      <c r="BC45" s="1966"/>
      <c r="BD45" s="1967"/>
    </row>
    <row r="46" spans="1:58" s="1724" customFormat="1" ht="20.100000000000001" hidden="1" customHeight="1">
      <c r="A46" s="1772"/>
      <c r="B46" s="1773"/>
      <c r="C46" s="1773"/>
      <c r="D46" s="1774" t="s">
        <v>17</v>
      </c>
      <c r="E46" s="1773">
        <v>1</v>
      </c>
      <c r="F46" s="1774" t="s">
        <v>19</v>
      </c>
      <c r="G46" s="1771" t="s">
        <v>646</v>
      </c>
      <c r="H46" s="1774" t="s">
        <v>115</v>
      </c>
      <c r="I46" s="1773" t="s">
        <v>113</v>
      </c>
      <c r="J46" s="1774" t="s">
        <v>114</v>
      </c>
      <c r="K46" s="1773">
        <v>1</v>
      </c>
      <c r="L46" s="1774" t="s">
        <v>116</v>
      </c>
      <c r="M46" s="1773">
        <v>0.5</v>
      </c>
      <c r="N46" s="1773">
        <v>0</v>
      </c>
      <c r="O46" s="1773">
        <v>2</v>
      </c>
      <c r="P46" s="1822">
        <v>0.5</v>
      </c>
      <c r="Q46" s="1773">
        <v>0.5</v>
      </c>
      <c r="R46" s="1773">
        <v>1</v>
      </c>
      <c r="S46" s="1773">
        <v>31</v>
      </c>
      <c r="T46" s="1851">
        <v>0</v>
      </c>
      <c r="U46" s="1851">
        <v>0</v>
      </c>
      <c r="V46" s="1852">
        <f>T46*5%</f>
        <v>0</v>
      </c>
      <c r="W46" s="1852">
        <v>0</v>
      </c>
      <c r="X46" s="1852">
        <f t="shared" si="2"/>
        <v>0</v>
      </c>
      <c r="Y46" s="1863" t="s">
        <v>117</v>
      </c>
      <c r="Z46" s="1863" t="s">
        <v>619</v>
      </c>
      <c r="AA46" s="1852">
        <v>125000000</v>
      </c>
      <c r="AB46" s="1872"/>
      <c r="AC46" s="1852"/>
      <c r="AD46" s="1873"/>
      <c r="AE46" s="1852"/>
      <c r="AF46" s="1873"/>
      <c r="AG46" s="1852">
        <v>0</v>
      </c>
      <c r="AH46" s="1872">
        <v>2016</v>
      </c>
      <c r="AI46" s="1908" t="s">
        <v>21</v>
      </c>
      <c r="AJ46" s="1908" t="s">
        <v>21</v>
      </c>
      <c r="AK46" s="1908" t="s">
        <v>119</v>
      </c>
      <c r="AL46" s="1908" t="s">
        <v>21</v>
      </c>
      <c r="AM46" s="1872"/>
      <c r="AN46" s="1910" t="s">
        <v>603</v>
      </c>
      <c r="AO46" s="1910" t="s">
        <v>645</v>
      </c>
      <c r="AP46" s="1908" t="s">
        <v>570</v>
      </c>
      <c r="AQ46" s="1908"/>
      <c r="AR46" s="1908" t="s">
        <v>1292</v>
      </c>
      <c r="AS46" s="3130" t="s">
        <v>698</v>
      </c>
      <c r="AT46" s="1852">
        <v>125000000</v>
      </c>
      <c r="AU46" s="1852"/>
      <c r="AV46" s="1863" t="s">
        <v>117</v>
      </c>
      <c r="AW46" s="1863" t="e">
        <f>#REF!</f>
        <v>#REF!</v>
      </c>
      <c r="AX46" s="1908" t="s">
        <v>21</v>
      </c>
      <c r="AY46" s="1863" t="s">
        <v>619</v>
      </c>
      <c r="AZ46" s="3130" t="s">
        <v>699</v>
      </c>
      <c r="BA46" s="3156" t="s">
        <v>696</v>
      </c>
      <c r="BB46" s="3157" t="s">
        <v>697</v>
      </c>
      <c r="BC46" s="1963"/>
      <c r="BD46" s="1964"/>
    </row>
    <row r="47" spans="1:58" s="1724" customFormat="1" ht="20.100000000000001" hidden="1" customHeight="1">
      <c r="A47" s="1772"/>
      <c r="B47" s="1773"/>
      <c r="C47" s="1773"/>
      <c r="D47" s="1774" t="s">
        <v>17</v>
      </c>
      <c r="E47" s="1773">
        <v>1</v>
      </c>
      <c r="F47" s="1774" t="s">
        <v>19</v>
      </c>
      <c r="G47" s="1771" t="s">
        <v>646</v>
      </c>
      <c r="H47" s="1774" t="s">
        <v>115</v>
      </c>
      <c r="I47" s="1773" t="s">
        <v>113</v>
      </c>
      <c r="J47" s="1774" t="s">
        <v>114</v>
      </c>
      <c r="K47" s="1773">
        <v>1</v>
      </c>
      <c r="L47" s="1774" t="s">
        <v>116</v>
      </c>
      <c r="M47" s="1773">
        <v>0.5</v>
      </c>
      <c r="N47" s="1773">
        <v>0</v>
      </c>
      <c r="O47" s="1773">
        <v>2</v>
      </c>
      <c r="P47" s="1822">
        <v>0.5</v>
      </c>
      <c r="Q47" s="1773">
        <v>0.5</v>
      </c>
      <c r="R47" s="1773">
        <v>1</v>
      </c>
      <c r="S47" s="1773">
        <v>31</v>
      </c>
      <c r="T47" s="1851">
        <v>0</v>
      </c>
      <c r="U47" s="1851">
        <v>0</v>
      </c>
      <c r="V47" s="1852">
        <f>T47*5%</f>
        <v>0</v>
      </c>
      <c r="W47" s="1852">
        <v>0</v>
      </c>
      <c r="X47" s="1852">
        <f t="shared" si="2"/>
        <v>0</v>
      </c>
      <c r="Y47" s="1863" t="s">
        <v>58</v>
      </c>
      <c r="Z47" s="1863" t="s">
        <v>619</v>
      </c>
      <c r="AA47" s="1852">
        <v>125000000</v>
      </c>
      <c r="AB47" s="1872"/>
      <c r="AC47" s="1852"/>
      <c r="AD47" s="1873"/>
      <c r="AE47" s="1852"/>
      <c r="AF47" s="1873"/>
      <c r="AG47" s="1852">
        <v>0</v>
      </c>
      <c r="AH47" s="1872">
        <v>2017</v>
      </c>
      <c r="AI47" s="1908" t="s">
        <v>21</v>
      </c>
      <c r="AJ47" s="1908" t="s">
        <v>21</v>
      </c>
      <c r="AK47" s="1908" t="s">
        <v>119</v>
      </c>
      <c r="AL47" s="1908" t="s">
        <v>21</v>
      </c>
      <c r="AM47" s="1872"/>
      <c r="AN47" s="1910" t="s">
        <v>603</v>
      </c>
      <c r="AO47" s="1910" t="s">
        <v>645</v>
      </c>
      <c r="AP47" s="1908" t="s">
        <v>570</v>
      </c>
      <c r="AQ47" s="1908"/>
      <c r="AR47" s="1908" t="s">
        <v>1292</v>
      </c>
      <c r="AS47" s="3130" t="s">
        <v>700</v>
      </c>
      <c r="AT47" s="1852">
        <v>125000000</v>
      </c>
      <c r="AU47" s="1852"/>
      <c r="AV47" s="1863" t="s">
        <v>58</v>
      </c>
      <c r="AW47" s="1863" t="e">
        <f>#REF!</f>
        <v>#REF!</v>
      </c>
      <c r="AX47" s="1908" t="s">
        <v>21</v>
      </c>
      <c r="AY47" s="1863" t="s">
        <v>619</v>
      </c>
      <c r="AZ47" s="3130" t="s">
        <v>695</v>
      </c>
      <c r="BA47" s="3156" t="s">
        <v>696</v>
      </c>
      <c r="BB47" s="3157" t="s">
        <v>697</v>
      </c>
      <c r="BC47" s="1963"/>
      <c r="BD47" s="1964"/>
    </row>
    <row r="48" spans="1:58" ht="20.100000000000001" hidden="1" customHeight="1">
      <c r="A48" s="1792">
        <v>36</v>
      </c>
      <c r="B48" s="1790"/>
      <c r="C48" s="1790"/>
      <c r="D48" s="1791" t="s">
        <v>17</v>
      </c>
      <c r="E48" s="1790">
        <v>1</v>
      </c>
      <c r="F48" s="1791" t="s">
        <v>19</v>
      </c>
      <c r="G48" s="1788" t="s">
        <v>646</v>
      </c>
      <c r="H48" s="1791" t="s">
        <v>115</v>
      </c>
      <c r="I48" s="1790" t="s">
        <v>113</v>
      </c>
      <c r="J48" s="1791" t="s">
        <v>114</v>
      </c>
      <c r="K48" s="1790">
        <v>2</v>
      </c>
      <c r="L48" s="1791" t="s">
        <v>120</v>
      </c>
      <c r="M48" s="1790">
        <v>1</v>
      </c>
      <c r="N48" s="1790">
        <v>1</v>
      </c>
      <c r="O48" s="1790">
        <v>1</v>
      </c>
      <c r="P48" s="1829">
        <v>1</v>
      </c>
      <c r="Q48" s="1790">
        <v>1</v>
      </c>
      <c r="R48" s="1790">
        <v>1</v>
      </c>
      <c r="S48" s="1790">
        <v>32</v>
      </c>
      <c r="T48" s="1856">
        <v>1950000000</v>
      </c>
      <c r="U48" s="1856">
        <v>1950000000</v>
      </c>
      <c r="V48" s="1856">
        <f t="shared" ref="V48:V56" si="3">T48*5%</f>
        <v>97500000</v>
      </c>
      <c r="W48" s="1856">
        <v>0</v>
      </c>
      <c r="X48" s="1856">
        <f t="shared" si="2"/>
        <v>2047500000</v>
      </c>
      <c r="Y48" s="1879" t="s">
        <v>55</v>
      </c>
      <c r="Z48" s="1879" t="s">
        <v>565</v>
      </c>
      <c r="AA48" s="1856">
        <f>T48</f>
        <v>1950000000</v>
      </c>
      <c r="AB48" s="1880"/>
      <c r="AC48" s="1856"/>
      <c r="AD48" s="1881"/>
      <c r="AE48" s="1856"/>
      <c r="AF48" s="1881"/>
      <c r="AG48" s="1856">
        <f>AA48-T48</f>
        <v>0</v>
      </c>
      <c r="AH48" s="1880">
        <v>2017</v>
      </c>
      <c r="AI48" s="1788" t="s">
        <v>21</v>
      </c>
      <c r="AJ48" s="3135" t="s">
        <v>701</v>
      </c>
      <c r="AK48" s="1788" t="s">
        <v>121</v>
      </c>
      <c r="AL48" s="1788" t="s">
        <v>21</v>
      </c>
      <c r="AM48" s="1880"/>
      <c r="AN48" s="1914" t="s">
        <v>675</v>
      </c>
      <c r="AO48" s="1907" t="s">
        <v>702</v>
      </c>
      <c r="AP48" s="1788" t="s">
        <v>570</v>
      </c>
      <c r="AQ48" s="1788"/>
      <c r="AR48" s="1788" t="s">
        <v>1292</v>
      </c>
      <c r="AS48" s="3135" t="s">
        <v>703</v>
      </c>
      <c r="AT48" s="1856">
        <v>1950000000</v>
      </c>
      <c r="AU48" s="1856"/>
      <c r="AV48" s="1879" t="s">
        <v>55</v>
      </c>
      <c r="AW48" s="1879" t="e">
        <f>#REF!</f>
        <v>#REF!</v>
      </c>
      <c r="AX48" s="1788" t="s">
        <v>21</v>
      </c>
      <c r="AY48" s="1879" t="s">
        <v>565</v>
      </c>
      <c r="AZ48" s="91" t="s">
        <v>577</v>
      </c>
      <c r="BA48" s="91"/>
      <c r="BB48" s="1975" t="s">
        <v>704</v>
      </c>
      <c r="BC48" s="1976"/>
      <c r="BE48" s="1762"/>
      <c r="BF48" s="1762"/>
    </row>
    <row r="49" spans="1:58" ht="20.100000000000001" hidden="1" customHeight="1">
      <c r="A49" s="1792">
        <v>37</v>
      </c>
      <c r="B49" s="1790"/>
      <c r="C49" s="1790"/>
      <c r="D49" s="1791" t="s">
        <v>17</v>
      </c>
      <c r="E49" s="1790">
        <v>1</v>
      </c>
      <c r="F49" s="1791" t="s">
        <v>19</v>
      </c>
      <c r="G49" s="1788" t="s">
        <v>646</v>
      </c>
      <c r="H49" s="1791" t="s">
        <v>115</v>
      </c>
      <c r="I49" s="1790" t="s">
        <v>113</v>
      </c>
      <c r="J49" s="1791" t="s">
        <v>114</v>
      </c>
      <c r="K49" s="1790">
        <v>3</v>
      </c>
      <c r="L49" s="1791" t="s">
        <v>122</v>
      </c>
      <c r="M49" s="1790">
        <v>1</v>
      </c>
      <c r="N49" s="1790">
        <v>1</v>
      </c>
      <c r="O49" s="1790">
        <v>1</v>
      </c>
      <c r="P49" s="1829">
        <v>1</v>
      </c>
      <c r="Q49" s="1790">
        <v>1</v>
      </c>
      <c r="R49" s="1790">
        <v>1</v>
      </c>
      <c r="S49" s="1790">
        <v>33</v>
      </c>
      <c r="T49" s="1856">
        <v>75000000</v>
      </c>
      <c r="U49" s="1856">
        <v>75000000</v>
      </c>
      <c r="V49" s="1856">
        <f t="shared" si="3"/>
        <v>3750000</v>
      </c>
      <c r="W49" s="1856">
        <v>0</v>
      </c>
      <c r="X49" s="1856">
        <f t="shared" si="2"/>
        <v>78750000</v>
      </c>
      <c r="Y49" s="1879" t="s">
        <v>705</v>
      </c>
      <c r="Z49" s="1879" t="s">
        <v>602</v>
      </c>
      <c r="AA49" s="1856">
        <v>75000000</v>
      </c>
      <c r="AB49" s="1880"/>
      <c r="AC49" s="1856"/>
      <c r="AD49" s="1881"/>
      <c r="AE49" s="1856"/>
      <c r="AF49" s="1881"/>
      <c r="AG49" s="1856">
        <f>AA49-T49</f>
        <v>0</v>
      </c>
      <c r="AH49" s="1880">
        <v>2018</v>
      </c>
      <c r="AI49" s="1788" t="s">
        <v>21</v>
      </c>
      <c r="AJ49" s="1788" t="s">
        <v>123</v>
      </c>
      <c r="AK49" s="1788" t="s">
        <v>21</v>
      </c>
      <c r="AL49" s="1788" t="s">
        <v>21</v>
      </c>
      <c r="AM49" s="1880"/>
      <c r="AN49" s="1914" t="s">
        <v>675</v>
      </c>
      <c r="AO49" s="1907" t="s">
        <v>603</v>
      </c>
      <c r="AP49" s="1788" t="s">
        <v>570</v>
      </c>
      <c r="AQ49" s="1788"/>
      <c r="AR49" s="1788" t="s">
        <v>1292</v>
      </c>
      <c r="AS49" s="1788" t="s">
        <v>571</v>
      </c>
      <c r="AT49" s="1856">
        <v>75000000</v>
      </c>
      <c r="AU49" s="1856"/>
      <c r="AV49" s="1879" t="s">
        <v>62</v>
      </c>
      <c r="AW49" s="1879" t="e">
        <f>#REF!</f>
        <v>#REF!</v>
      </c>
      <c r="AX49" s="3135" t="s">
        <v>706</v>
      </c>
      <c r="AY49" s="1879" t="s">
        <v>619</v>
      </c>
      <c r="AZ49" s="3135" t="s">
        <v>707</v>
      </c>
      <c r="BA49" s="2006" t="s">
        <v>708</v>
      </c>
      <c r="BB49" s="1975" t="s">
        <v>709</v>
      </c>
      <c r="BC49" s="1976"/>
      <c r="BD49" s="1764"/>
      <c r="BE49" s="1762"/>
      <c r="BF49" s="1762"/>
    </row>
    <row r="50" spans="1:58" s="1723" customFormat="1" ht="20.100000000000001" hidden="1" customHeight="1">
      <c r="A50" s="1810">
        <v>38</v>
      </c>
      <c r="B50" s="1769"/>
      <c r="C50" s="1769"/>
      <c r="D50" s="1770" t="s">
        <v>17</v>
      </c>
      <c r="E50" s="1769">
        <v>1</v>
      </c>
      <c r="F50" s="1770" t="s">
        <v>19</v>
      </c>
      <c r="G50" s="1771" t="s">
        <v>646</v>
      </c>
      <c r="H50" s="1770" t="s">
        <v>115</v>
      </c>
      <c r="I50" s="1769" t="s">
        <v>113</v>
      </c>
      <c r="J50" s="1770" t="s">
        <v>114</v>
      </c>
      <c r="K50" s="1769">
        <v>4</v>
      </c>
      <c r="L50" s="1770" t="s">
        <v>125</v>
      </c>
      <c r="M50" s="1769">
        <v>0</v>
      </c>
      <c r="N50" s="1769">
        <v>1</v>
      </c>
      <c r="O50" s="1769">
        <v>1</v>
      </c>
      <c r="P50" s="1820">
        <v>0</v>
      </c>
      <c r="Q50" s="1769">
        <v>0</v>
      </c>
      <c r="R50" s="1769">
        <v>1</v>
      </c>
      <c r="S50" s="1769">
        <v>34</v>
      </c>
      <c r="T50" s="1849">
        <v>975000000</v>
      </c>
      <c r="U50" s="1849">
        <v>975000000</v>
      </c>
      <c r="V50" s="1850">
        <f t="shared" si="3"/>
        <v>48750000</v>
      </c>
      <c r="W50" s="1850">
        <v>0</v>
      </c>
      <c r="X50" s="1850">
        <f t="shared" si="2"/>
        <v>1023750000</v>
      </c>
      <c r="Y50" s="1869" t="s">
        <v>21</v>
      </c>
      <c r="Z50" s="1869"/>
      <c r="AA50" s="1850">
        <f>AA51+AA52+AA53+AA57</f>
        <v>975000000</v>
      </c>
      <c r="AB50" s="1897" t="e">
        <f>#REF!-AA51</f>
        <v>#REF!</v>
      </c>
      <c r="AC50" s="1850"/>
      <c r="AD50" s="1871"/>
      <c r="AE50" s="1850"/>
      <c r="AF50" s="1871"/>
      <c r="AG50" s="1850">
        <f>SUM(AG51:AG53)</f>
        <v>0</v>
      </c>
      <c r="AH50" s="1870" t="s">
        <v>21</v>
      </c>
      <c r="AI50" s="1771" t="s">
        <v>21</v>
      </c>
      <c r="AJ50" s="1771" t="s">
        <v>21</v>
      </c>
      <c r="AK50" s="1771" t="s">
        <v>21</v>
      </c>
      <c r="AL50" s="1771" t="s">
        <v>21</v>
      </c>
      <c r="AM50" s="1870" t="s">
        <v>21</v>
      </c>
      <c r="AN50" s="1907" t="s">
        <v>21</v>
      </c>
      <c r="AO50" s="1907" t="s">
        <v>21</v>
      </c>
      <c r="AP50" s="1771" t="s">
        <v>21</v>
      </c>
      <c r="AQ50" s="1771"/>
      <c r="AR50" s="1771"/>
      <c r="AS50" s="1771" t="s">
        <v>21</v>
      </c>
      <c r="AT50" s="1850">
        <f>AT51+AT52+AT53+AT54</f>
        <v>949800000</v>
      </c>
      <c r="AU50" s="1850"/>
      <c r="AV50" s="1869" t="s">
        <v>21</v>
      </c>
      <c r="AW50" s="1869"/>
      <c r="AX50" s="1771" t="s">
        <v>21</v>
      </c>
      <c r="AY50" s="1869"/>
      <c r="AZ50" s="3158" t="s">
        <v>577</v>
      </c>
      <c r="BA50" s="1771" t="s">
        <v>21</v>
      </c>
      <c r="BB50" s="1959" t="s">
        <v>21</v>
      </c>
      <c r="BC50" s="1960"/>
      <c r="BD50" s="1961"/>
    </row>
    <row r="51" spans="1:58" s="1724" customFormat="1" ht="20.100000000000001" hidden="1" customHeight="1">
      <c r="A51" s="1772">
        <v>38</v>
      </c>
      <c r="B51" s="1773"/>
      <c r="C51" s="1773"/>
      <c r="D51" s="1774" t="s">
        <v>17</v>
      </c>
      <c r="E51" s="1773">
        <v>1</v>
      </c>
      <c r="F51" s="1774" t="s">
        <v>19</v>
      </c>
      <c r="G51" s="1771" t="s">
        <v>646</v>
      </c>
      <c r="H51" s="1774" t="s">
        <v>115</v>
      </c>
      <c r="I51" s="1773" t="s">
        <v>113</v>
      </c>
      <c r="J51" s="1774" t="s">
        <v>114</v>
      </c>
      <c r="K51" s="1773">
        <v>4</v>
      </c>
      <c r="L51" s="1774" t="s">
        <v>125</v>
      </c>
      <c r="M51" s="1773">
        <f>1/4</f>
        <v>0.25</v>
      </c>
      <c r="N51" s="1773">
        <v>0</v>
      </c>
      <c r="O51" s="1773">
        <v>2</v>
      </c>
      <c r="P51" s="1773">
        <f>1/4</f>
        <v>0.25</v>
      </c>
      <c r="Q51" s="1773">
        <f>1/4</f>
        <v>0.25</v>
      </c>
      <c r="R51" s="1773">
        <v>0</v>
      </c>
      <c r="S51" s="1773"/>
      <c r="T51" s="1851">
        <v>0</v>
      </c>
      <c r="U51" s="1851">
        <v>0</v>
      </c>
      <c r="V51" s="1852">
        <f t="shared" si="3"/>
        <v>0</v>
      </c>
      <c r="W51" s="1852">
        <v>0</v>
      </c>
      <c r="X51" s="1852">
        <f t="shared" si="2"/>
        <v>0</v>
      </c>
      <c r="Y51" s="1863" t="s">
        <v>117</v>
      </c>
      <c r="Z51" s="1863" t="s">
        <v>619</v>
      </c>
      <c r="AA51" s="1852">
        <v>424800000</v>
      </c>
      <c r="AB51" s="1898" t="e">
        <f>AA50-#REF!-AA52-AA53</f>
        <v>#REF!</v>
      </c>
      <c r="AC51" s="1852"/>
      <c r="AD51" s="1873"/>
      <c r="AE51" s="1852"/>
      <c r="AF51" s="1873"/>
      <c r="AG51" s="1852">
        <v>0</v>
      </c>
      <c r="AH51" s="1872">
        <v>2017</v>
      </c>
      <c r="AI51" s="1908" t="s">
        <v>21</v>
      </c>
      <c r="AJ51" s="1908" t="s">
        <v>21</v>
      </c>
      <c r="AK51" s="1908" t="s">
        <v>21</v>
      </c>
      <c r="AL51" s="1908" t="s">
        <v>21</v>
      </c>
      <c r="AM51" s="1872"/>
      <c r="AN51" s="1910" t="s">
        <v>603</v>
      </c>
      <c r="AO51" s="1910" t="s">
        <v>603</v>
      </c>
      <c r="AP51" s="1908" t="s">
        <v>570</v>
      </c>
      <c r="AQ51" s="1908"/>
      <c r="AR51" s="1908" t="s">
        <v>1292</v>
      </c>
      <c r="AS51" s="3130" t="s">
        <v>710</v>
      </c>
      <c r="AT51" s="1852">
        <v>400000000</v>
      </c>
      <c r="AU51" s="1852"/>
      <c r="AV51" s="1863" t="s">
        <v>117</v>
      </c>
      <c r="AW51" s="1863" t="e">
        <f>#REF!</f>
        <v>#REF!</v>
      </c>
      <c r="AX51" s="3130" t="s">
        <v>711</v>
      </c>
      <c r="AY51" s="1863" t="s">
        <v>619</v>
      </c>
      <c r="AZ51" s="3130" t="s">
        <v>712</v>
      </c>
      <c r="BA51" s="2007" t="s">
        <v>713</v>
      </c>
      <c r="BB51" s="1962" t="s">
        <v>714</v>
      </c>
      <c r="BC51" s="1963"/>
      <c r="BD51" s="1964"/>
    </row>
    <row r="52" spans="1:58" s="1724" customFormat="1" ht="20.100000000000001" hidden="1" customHeight="1">
      <c r="A52" s="1772">
        <v>39</v>
      </c>
      <c r="B52" s="1773"/>
      <c r="C52" s="1773"/>
      <c r="D52" s="1774" t="s">
        <v>17</v>
      </c>
      <c r="E52" s="1773">
        <v>1</v>
      </c>
      <c r="F52" s="1774" t="s">
        <v>19</v>
      </c>
      <c r="G52" s="1771" t="s">
        <v>646</v>
      </c>
      <c r="H52" s="1774" t="s">
        <v>115</v>
      </c>
      <c r="I52" s="1769" t="s">
        <v>113</v>
      </c>
      <c r="J52" s="1774" t="s">
        <v>114</v>
      </c>
      <c r="K52" s="1773">
        <v>4</v>
      </c>
      <c r="L52" s="1774" t="s">
        <v>125</v>
      </c>
      <c r="M52" s="1773">
        <f>1/4</f>
        <v>0.25</v>
      </c>
      <c r="N52" s="1773">
        <v>0</v>
      </c>
      <c r="O52" s="1773">
        <v>2</v>
      </c>
      <c r="P52" s="1773">
        <f t="shared" ref="P52:Q54" si="4">1/4</f>
        <v>0.25</v>
      </c>
      <c r="Q52" s="1773">
        <f t="shared" si="4"/>
        <v>0.25</v>
      </c>
      <c r="R52" s="1769">
        <v>0</v>
      </c>
      <c r="S52" s="1769"/>
      <c r="T52" s="1851">
        <v>0</v>
      </c>
      <c r="U52" s="1851">
        <v>0</v>
      </c>
      <c r="V52" s="1852">
        <v>0</v>
      </c>
      <c r="W52" s="1852">
        <v>0</v>
      </c>
      <c r="X52" s="1852" t="e">
        <f>+#REF!+#REF!+#REF!</f>
        <v>#REF!</v>
      </c>
      <c r="Y52" s="1863" t="s">
        <v>58</v>
      </c>
      <c r="Z52" s="1869" t="s">
        <v>619</v>
      </c>
      <c r="AA52" s="1852">
        <v>325000000</v>
      </c>
      <c r="AB52" s="1872"/>
      <c r="AC52" s="1852"/>
      <c r="AD52" s="1873"/>
      <c r="AE52" s="1852"/>
      <c r="AF52" s="1873"/>
      <c r="AG52" s="1852">
        <v>0</v>
      </c>
      <c r="AH52" s="1872">
        <v>2017</v>
      </c>
      <c r="AI52" s="1908" t="s">
        <v>21</v>
      </c>
      <c r="AJ52" s="1908" t="s">
        <v>21</v>
      </c>
      <c r="AK52" s="1908" t="s">
        <v>21</v>
      </c>
      <c r="AL52" s="1908" t="s">
        <v>21</v>
      </c>
      <c r="AM52" s="1870"/>
      <c r="AN52" s="1910" t="s">
        <v>603</v>
      </c>
      <c r="AO52" s="1910" t="s">
        <v>603</v>
      </c>
      <c r="AP52" s="1771" t="s">
        <v>570</v>
      </c>
      <c r="AQ52" s="1771"/>
      <c r="AR52" s="1771" t="s">
        <v>1292</v>
      </c>
      <c r="AS52" s="3130" t="s">
        <v>710</v>
      </c>
      <c r="AT52" s="1852">
        <v>325000000</v>
      </c>
      <c r="AU52" s="1852"/>
      <c r="AV52" s="1863" t="s">
        <v>58</v>
      </c>
      <c r="AW52" s="1863" t="e">
        <f>#REF!</f>
        <v>#REF!</v>
      </c>
      <c r="AX52" s="1771" t="s">
        <v>21</v>
      </c>
      <c r="AY52" s="1869" t="s">
        <v>619</v>
      </c>
      <c r="AZ52" s="3130" t="s">
        <v>715</v>
      </c>
      <c r="BA52" s="2006" t="s">
        <v>713</v>
      </c>
      <c r="BB52" s="1959" t="s">
        <v>714</v>
      </c>
      <c r="BC52" s="1960"/>
      <c r="BD52" s="1964"/>
    </row>
    <row r="53" spans="1:58" s="1724" customFormat="1" ht="20.100000000000001" hidden="1" customHeight="1">
      <c r="A53" s="1772">
        <v>40</v>
      </c>
      <c r="B53" s="1773"/>
      <c r="C53" s="1773"/>
      <c r="D53" s="1774" t="s">
        <v>17</v>
      </c>
      <c r="E53" s="1773">
        <v>1</v>
      </c>
      <c r="F53" s="1774" t="s">
        <v>19</v>
      </c>
      <c r="G53" s="1771" t="s">
        <v>646</v>
      </c>
      <c r="H53" s="1774" t="s">
        <v>115</v>
      </c>
      <c r="I53" s="1769" t="s">
        <v>113</v>
      </c>
      <c r="J53" s="1774" t="s">
        <v>114</v>
      </c>
      <c r="K53" s="1773">
        <v>4</v>
      </c>
      <c r="L53" s="1774" t="s">
        <v>125</v>
      </c>
      <c r="M53" s="1773">
        <f>1/4</f>
        <v>0.25</v>
      </c>
      <c r="N53" s="1773">
        <v>0</v>
      </c>
      <c r="O53" s="1773">
        <v>2</v>
      </c>
      <c r="P53" s="1773">
        <f t="shared" si="4"/>
        <v>0.25</v>
      </c>
      <c r="Q53" s="1773">
        <f t="shared" si="4"/>
        <v>0.25</v>
      </c>
      <c r="R53" s="1769">
        <v>0</v>
      </c>
      <c r="S53" s="1769"/>
      <c r="T53" s="1851">
        <v>0</v>
      </c>
      <c r="U53" s="1851">
        <v>0</v>
      </c>
      <c r="V53" s="1852">
        <v>0</v>
      </c>
      <c r="W53" s="1852">
        <v>0</v>
      </c>
      <c r="X53" s="1852" t="e">
        <f>+#REF!+#REF!+#REF!</f>
        <v>#REF!</v>
      </c>
      <c r="Y53" s="1863" t="s">
        <v>62</v>
      </c>
      <c r="Z53" s="1869" t="s">
        <v>619</v>
      </c>
      <c r="AA53" s="1852">
        <v>200000000</v>
      </c>
      <c r="AB53" s="1872"/>
      <c r="AC53" s="1852"/>
      <c r="AD53" s="1873"/>
      <c r="AE53" s="1852"/>
      <c r="AF53" s="1873"/>
      <c r="AG53" s="1852">
        <v>0</v>
      </c>
      <c r="AH53" s="1872">
        <v>2017</v>
      </c>
      <c r="AI53" s="1908" t="s">
        <v>21</v>
      </c>
      <c r="AJ53" s="1908" t="s">
        <v>21</v>
      </c>
      <c r="AK53" s="1908" t="s">
        <v>21</v>
      </c>
      <c r="AL53" s="1908" t="s">
        <v>21</v>
      </c>
      <c r="AM53" s="1870"/>
      <c r="AN53" s="1910" t="s">
        <v>603</v>
      </c>
      <c r="AO53" s="1910" t="s">
        <v>603</v>
      </c>
      <c r="AP53" s="1771" t="s">
        <v>570</v>
      </c>
      <c r="AQ53" s="1771"/>
      <c r="AR53" s="1771" t="s">
        <v>1292</v>
      </c>
      <c r="AS53" s="3130" t="s">
        <v>710</v>
      </c>
      <c r="AT53" s="1852">
        <v>200000000</v>
      </c>
      <c r="AU53" s="1852"/>
      <c r="AV53" s="1863" t="s">
        <v>62</v>
      </c>
      <c r="AW53" s="1863" t="e">
        <f>#REF!</f>
        <v>#REF!</v>
      </c>
      <c r="AX53" s="1771" t="s">
        <v>21</v>
      </c>
      <c r="AY53" s="1869" t="s">
        <v>619</v>
      </c>
      <c r="AZ53" s="3130" t="s">
        <v>715</v>
      </c>
      <c r="BA53" s="2006" t="s">
        <v>713</v>
      </c>
      <c r="BB53" s="1959" t="s">
        <v>714</v>
      </c>
      <c r="BC53" s="1960"/>
      <c r="BD53" s="1964"/>
    </row>
    <row r="54" spans="1:58" s="1731" customFormat="1" ht="20.100000000000001" hidden="1" customHeight="1">
      <c r="A54" s="1811">
        <v>40</v>
      </c>
      <c r="B54" s="1812"/>
      <c r="C54" s="1812"/>
      <c r="D54" s="1813" t="s">
        <v>17</v>
      </c>
      <c r="E54" s="1812">
        <v>1</v>
      </c>
      <c r="F54" s="1813" t="s">
        <v>19</v>
      </c>
      <c r="G54" s="1814" t="s">
        <v>646</v>
      </c>
      <c r="H54" s="1813" t="s">
        <v>115</v>
      </c>
      <c r="I54" s="1843" t="s">
        <v>113</v>
      </c>
      <c r="J54" s="1813" t="s">
        <v>114</v>
      </c>
      <c r="K54" s="1812">
        <v>4</v>
      </c>
      <c r="L54" s="1813" t="s">
        <v>125</v>
      </c>
      <c r="M54" s="1812">
        <f>1/4</f>
        <v>0.25</v>
      </c>
      <c r="N54" s="1812">
        <v>0</v>
      </c>
      <c r="O54" s="1812">
        <v>2</v>
      </c>
      <c r="P54" s="1812">
        <f t="shared" si="4"/>
        <v>0.25</v>
      </c>
      <c r="Q54" s="1812">
        <f t="shared" si="4"/>
        <v>0.25</v>
      </c>
      <c r="R54" s="1843">
        <v>0</v>
      </c>
      <c r="S54" s="1843"/>
      <c r="T54" s="1865">
        <v>0</v>
      </c>
      <c r="U54" s="1865">
        <v>0</v>
      </c>
      <c r="V54" s="1866">
        <v>0</v>
      </c>
      <c r="W54" s="1866">
        <v>0</v>
      </c>
      <c r="X54" s="1866" t="e">
        <f>+#REF!+#REF!+#REF!</f>
        <v>#REF!</v>
      </c>
      <c r="Y54" s="1899" t="s">
        <v>62</v>
      </c>
      <c r="Z54" s="1900" t="s">
        <v>619</v>
      </c>
      <c r="AA54" s="1866">
        <v>200000000</v>
      </c>
      <c r="AB54" s="1901">
        <f>AA53+AA52</f>
        <v>525000000</v>
      </c>
      <c r="AC54" s="1866"/>
      <c r="AD54" s="1902"/>
      <c r="AE54" s="1866"/>
      <c r="AF54" s="1902"/>
      <c r="AG54" s="1866">
        <v>0</v>
      </c>
      <c r="AH54" s="1922">
        <v>2017</v>
      </c>
      <c r="AI54" s="1923" t="s">
        <v>21</v>
      </c>
      <c r="AJ54" s="1923" t="s">
        <v>21</v>
      </c>
      <c r="AK54" s="1923" t="s">
        <v>21</v>
      </c>
      <c r="AL54" s="1923" t="s">
        <v>21</v>
      </c>
      <c r="AM54" s="1924"/>
      <c r="AN54" s="1910" t="s">
        <v>603</v>
      </c>
      <c r="AO54" s="1910" t="s">
        <v>603</v>
      </c>
      <c r="AP54" s="1814" t="s">
        <v>570</v>
      </c>
      <c r="AQ54" s="1814"/>
      <c r="AR54" s="1788" t="s">
        <v>1283</v>
      </c>
      <c r="AS54" s="3159" t="s">
        <v>710</v>
      </c>
      <c r="AT54" s="1866">
        <v>24800000</v>
      </c>
      <c r="AU54" s="1866"/>
      <c r="AV54" s="1899" t="s">
        <v>633</v>
      </c>
      <c r="AW54" s="1899" t="e">
        <f>#REF!</f>
        <v>#REF!</v>
      </c>
      <c r="AX54" s="1814" t="s">
        <v>21</v>
      </c>
      <c r="AY54" s="1900" t="s">
        <v>633</v>
      </c>
      <c r="AZ54" s="3159" t="s">
        <v>21</v>
      </c>
      <c r="BA54" s="1814" t="s">
        <v>21</v>
      </c>
      <c r="BB54" s="2008" t="s">
        <v>714</v>
      </c>
      <c r="BC54" s="2009"/>
      <c r="BD54" s="2010"/>
    </row>
    <row r="55" spans="1:58" ht="20.100000000000001" hidden="1" customHeight="1">
      <c r="A55" s="1792">
        <v>41</v>
      </c>
      <c r="B55" s="1790"/>
      <c r="C55" s="1790"/>
      <c r="D55" s="1791" t="s">
        <v>17</v>
      </c>
      <c r="E55" s="1790">
        <v>1</v>
      </c>
      <c r="F55" s="1791" t="s">
        <v>19</v>
      </c>
      <c r="G55" s="1788" t="s">
        <v>646</v>
      </c>
      <c r="H55" s="1791" t="s">
        <v>115</v>
      </c>
      <c r="I55" s="1790" t="s">
        <v>113</v>
      </c>
      <c r="J55" s="1791" t="s">
        <v>114</v>
      </c>
      <c r="K55" s="1790">
        <v>5</v>
      </c>
      <c r="L55" s="1791" t="s">
        <v>127</v>
      </c>
      <c r="M55" s="1790">
        <v>1</v>
      </c>
      <c r="N55" s="1790">
        <v>1</v>
      </c>
      <c r="O55" s="1790">
        <v>0</v>
      </c>
      <c r="P55" s="1829">
        <v>1</v>
      </c>
      <c r="Q55" s="1790">
        <v>1</v>
      </c>
      <c r="R55" s="1790">
        <v>1</v>
      </c>
      <c r="S55" s="1790">
        <v>35</v>
      </c>
      <c r="T55" s="1856">
        <v>233000000</v>
      </c>
      <c r="U55" s="1856">
        <v>233000000</v>
      </c>
      <c r="V55" s="1856">
        <f t="shared" si="3"/>
        <v>11650000</v>
      </c>
      <c r="W55" s="1856">
        <v>0</v>
      </c>
      <c r="X55" s="1856">
        <f>T55+V55+W55</f>
        <v>244650000</v>
      </c>
      <c r="Y55" s="1879" t="s">
        <v>55</v>
      </c>
      <c r="Z55" s="1879" t="s">
        <v>565</v>
      </c>
      <c r="AA55" s="1856">
        <f>T55</f>
        <v>233000000</v>
      </c>
      <c r="AB55" s="1880"/>
      <c r="AC55" s="1856"/>
      <c r="AD55" s="1881"/>
      <c r="AE55" s="1856"/>
      <c r="AF55" s="1881"/>
      <c r="AG55" s="1856">
        <f>AA55-T55</f>
        <v>0</v>
      </c>
      <c r="AH55" s="1880">
        <v>2018</v>
      </c>
      <c r="AI55" s="1912" t="s">
        <v>21</v>
      </c>
      <c r="AJ55" s="1788" t="s">
        <v>49</v>
      </c>
      <c r="AK55" s="1788" t="s">
        <v>21</v>
      </c>
      <c r="AL55" s="1788" t="s">
        <v>21</v>
      </c>
      <c r="AM55" s="1880"/>
      <c r="AN55" s="1914" t="s">
        <v>675</v>
      </c>
      <c r="AO55" s="1907" t="s">
        <v>603</v>
      </c>
      <c r="AP55" s="1788" t="s">
        <v>570</v>
      </c>
      <c r="AQ55" s="1788"/>
      <c r="AR55" s="1788" t="s">
        <v>1295</v>
      </c>
      <c r="AS55" s="1788" t="s">
        <v>717</v>
      </c>
      <c r="AT55" s="1856">
        <v>233000000</v>
      </c>
      <c r="AU55" s="1856"/>
      <c r="AV55" s="1879" t="s">
        <v>55</v>
      </c>
      <c r="AW55" s="1879" t="e">
        <f>#REF!</f>
        <v>#REF!</v>
      </c>
      <c r="AX55" s="3130" t="s">
        <v>21</v>
      </c>
      <c r="AY55" s="1879" t="s">
        <v>565</v>
      </c>
      <c r="AZ55" s="1788" t="s">
        <v>577</v>
      </c>
      <c r="BA55" s="1788"/>
      <c r="BB55" s="1975" t="s">
        <v>718</v>
      </c>
      <c r="BC55" s="1976"/>
      <c r="BD55" s="1764"/>
      <c r="BE55" s="1762"/>
      <c r="BF55" s="1762"/>
    </row>
    <row r="56" spans="1:58" ht="20.100000000000001" hidden="1" customHeight="1">
      <c r="A56" s="1801">
        <v>42</v>
      </c>
      <c r="B56" s="1790"/>
      <c r="C56" s="1790"/>
      <c r="D56" s="1791" t="s">
        <v>17</v>
      </c>
      <c r="E56" s="1790">
        <v>1</v>
      </c>
      <c r="F56" s="1791" t="s">
        <v>19</v>
      </c>
      <c r="G56" s="1788" t="s">
        <v>646</v>
      </c>
      <c r="H56" s="1791" t="s">
        <v>115</v>
      </c>
      <c r="I56" s="1790" t="s">
        <v>113</v>
      </c>
      <c r="J56" s="1791" t="s">
        <v>114</v>
      </c>
      <c r="K56" s="1790">
        <v>6</v>
      </c>
      <c r="L56" s="1844" t="s">
        <v>128</v>
      </c>
      <c r="M56" s="1790">
        <v>1</v>
      </c>
      <c r="N56" s="1790">
        <v>1</v>
      </c>
      <c r="O56" s="1790">
        <v>0</v>
      </c>
      <c r="P56" s="1829">
        <v>1</v>
      </c>
      <c r="Q56" s="1790">
        <v>1</v>
      </c>
      <c r="R56" s="1790">
        <v>1</v>
      </c>
      <c r="S56" s="1790">
        <v>36</v>
      </c>
      <c r="T56" s="1856">
        <v>100000000</v>
      </c>
      <c r="U56" s="1856">
        <v>100000000</v>
      </c>
      <c r="V56" s="1856">
        <f t="shared" si="3"/>
        <v>5000000</v>
      </c>
      <c r="W56" s="1856">
        <v>0</v>
      </c>
      <c r="X56" s="1856">
        <f>T56+V56+W56</f>
        <v>105000000</v>
      </c>
      <c r="Y56" s="1879" t="s">
        <v>91</v>
      </c>
      <c r="Z56" s="1879" t="s">
        <v>565</v>
      </c>
      <c r="AA56" s="1856">
        <f>T56</f>
        <v>100000000</v>
      </c>
      <c r="AB56" s="1880"/>
      <c r="AC56" s="1856"/>
      <c r="AD56" s="1881"/>
      <c r="AE56" s="1856"/>
      <c r="AF56" s="1881"/>
      <c r="AG56" s="1856">
        <f>AA56-T56</f>
        <v>0</v>
      </c>
      <c r="AH56" s="1880">
        <v>2017</v>
      </c>
      <c r="AI56" s="1788" t="s">
        <v>129</v>
      </c>
      <c r="AJ56" s="1788" t="s">
        <v>130</v>
      </c>
      <c r="AK56" s="1788" t="s">
        <v>21</v>
      </c>
      <c r="AL56" s="1788" t="s">
        <v>21</v>
      </c>
      <c r="AM56" s="1880"/>
      <c r="AN56" s="1914" t="s">
        <v>608</v>
      </c>
      <c r="AO56" s="1907" t="s">
        <v>603</v>
      </c>
      <c r="AP56" s="1788" t="s">
        <v>570</v>
      </c>
      <c r="AQ56" s="1788"/>
      <c r="AR56" s="1788" t="s">
        <v>1292</v>
      </c>
      <c r="AS56" s="1788" t="s">
        <v>719</v>
      </c>
      <c r="AT56" s="1941">
        <v>100000000</v>
      </c>
      <c r="AU56" s="1941"/>
      <c r="AV56" s="1680" t="s">
        <v>91</v>
      </c>
      <c r="AW56" s="1879" t="e">
        <f>#REF!</f>
        <v>#REF!</v>
      </c>
      <c r="AX56" s="1788" t="s">
        <v>21</v>
      </c>
      <c r="AY56" s="1879" t="s">
        <v>565</v>
      </c>
      <c r="AZ56" s="1788" t="s">
        <v>577</v>
      </c>
      <c r="BA56" s="1856"/>
      <c r="BB56" s="1975" t="s">
        <v>720</v>
      </c>
      <c r="BC56" s="1976"/>
      <c r="BD56" s="1764"/>
      <c r="BE56" s="1762"/>
      <c r="BF56" s="1762"/>
    </row>
    <row r="57" spans="1:58" ht="20.100000000000001" customHeight="1">
      <c r="A57" s="1784">
        <v>9</v>
      </c>
      <c r="B57" s="1802"/>
      <c r="C57" s="1803"/>
      <c r="D57" s="1804" t="s">
        <v>17</v>
      </c>
      <c r="E57" s="1803">
        <v>1</v>
      </c>
      <c r="F57" s="1804" t="s">
        <v>19</v>
      </c>
      <c r="G57" s="1796" t="s">
        <v>646</v>
      </c>
      <c r="H57" s="1804" t="s">
        <v>115</v>
      </c>
      <c r="I57" s="1803" t="s">
        <v>113</v>
      </c>
      <c r="J57" s="1804" t="s">
        <v>114</v>
      </c>
      <c r="K57" s="1845">
        <v>7</v>
      </c>
      <c r="L57" s="1837" t="s">
        <v>721</v>
      </c>
      <c r="M57" s="1802">
        <v>1</v>
      </c>
      <c r="N57" s="1803">
        <v>1</v>
      </c>
      <c r="O57" s="1803">
        <v>0</v>
      </c>
      <c r="P57" s="1839">
        <v>1</v>
      </c>
      <c r="Q57" s="1803">
        <v>0</v>
      </c>
      <c r="R57" s="1803">
        <v>0</v>
      </c>
      <c r="S57" s="1803"/>
      <c r="T57" s="1861">
        <v>0</v>
      </c>
      <c r="U57" s="1861">
        <v>25200000</v>
      </c>
      <c r="V57" s="1861">
        <v>0</v>
      </c>
      <c r="W57" s="1861">
        <v>0</v>
      </c>
      <c r="X57" s="1861" t="e">
        <f>#REF!+#REF!+#REF!</f>
        <v>#REF!</v>
      </c>
      <c r="Y57" s="1864" t="s">
        <v>117</v>
      </c>
      <c r="Z57" s="128" t="s">
        <v>619</v>
      </c>
      <c r="AA57" s="128">
        <v>25200000</v>
      </c>
      <c r="AB57" s="1892">
        <v>1</v>
      </c>
      <c r="AC57" s="128">
        <v>25200000</v>
      </c>
      <c r="AD57" s="1896"/>
      <c r="AE57" s="128"/>
      <c r="AF57" s="1896"/>
      <c r="AG57" s="1861"/>
      <c r="AH57" s="1892">
        <v>2016</v>
      </c>
      <c r="AI57" s="3152" t="s">
        <v>693</v>
      </c>
      <c r="AJ57" s="1921" t="s">
        <v>21</v>
      </c>
      <c r="AK57" s="1921" t="s">
        <v>21</v>
      </c>
      <c r="AL57" s="1921" t="s">
        <v>21</v>
      </c>
      <c r="AM57" s="1892" t="s">
        <v>694</v>
      </c>
      <c r="AN57" s="1925" t="s">
        <v>568</v>
      </c>
      <c r="AO57" s="1925" t="s">
        <v>645</v>
      </c>
      <c r="AP57" s="1921" t="s">
        <v>570</v>
      </c>
      <c r="AQ57" s="1921"/>
      <c r="AR57" s="1921" t="s">
        <v>1289</v>
      </c>
      <c r="AS57" s="1949" t="s">
        <v>21</v>
      </c>
      <c r="AT57" s="636">
        <v>25200000</v>
      </c>
      <c r="AU57" s="635">
        <v>25200000</v>
      </c>
      <c r="AV57" s="640" t="s">
        <v>117</v>
      </c>
      <c r="AW57" s="2005" t="e">
        <f>#REF!</f>
        <v>#REF!</v>
      </c>
      <c r="AX57" s="1796" t="s">
        <v>722</v>
      </c>
      <c r="AY57" s="128" t="s">
        <v>619</v>
      </c>
      <c r="AZ57" s="89"/>
      <c r="BA57" s="1861"/>
      <c r="BB57" s="1949"/>
      <c r="BC57" s="3264" t="s">
        <v>1294</v>
      </c>
      <c r="BD57" s="1764"/>
      <c r="BE57" s="1762"/>
      <c r="BF57" s="1762"/>
    </row>
    <row r="58" spans="1:58" ht="20.100000000000001" hidden="1" customHeight="1">
      <c r="A58" s="1789">
        <v>43</v>
      </c>
      <c r="B58" s="1790"/>
      <c r="C58" s="1790"/>
      <c r="D58" s="1791" t="s">
        <v>17</v>
      </c>
      <c r="E58" s="1790">
        <v>1</v>
      </c>
      <c r="F58" s="1791" t="s">
        <v>19</v>
      </c>
      <c r="G58" s="1788" t="s">
        <v>646</v>
      </c>
      <c r="H58" s="1791" t="s">
        <v>133</v>
      </c>
      <c r="I58" s="1790" t="s">
        <v>131</v>
      </c>
      <c r="J58" s="1791" t="s">
        <v>132</v>
      </c>
      <c r="K58" s="1790">
        <v>1</v>
      </c>
      <c r="L58" s="1828" t="s">
        <v>134</v>
      </c>
      <c r="M58" s="1790">
        <v>1</v>
      </c>
      <c r="N58" s="1790">
        <v>1</v>
      </c>
      <c r="O58" s="1790">
        <v>0</v>
      </c>
      <c r="P58" s="1829">
        <v>1</v>
      </c>
      <c r="Q58" s="1790">
        <v>1</v>
      </c>
      <c r="R58" s="1790">
        <v>1</v>
      </c>
      <c r="S58" s="1790">
        <v>37</v>
      </c>
      <c r="T58" s="1856">
        <v>150000000</v>
      </c>
      <c r="U58" s="1856">
        <v>150000000</v>
      </c>
      <c r="V58" s="1856">
        <f t="shared" ref="V58:V67" si="5">T58*5%</f>
        <v>7500000</v>
      </c>
      <c r="W58" s="1856">
        <v>0</v>
      </c>
      <c r="X58" s="1856">
        <f t="shared" ref="X58:X67" si="6">T58+V58+W58</f>
        <v>157500000</v>
      </c>
      <c r="Y58" s="1879" t="s">
        <v>91</v>
      </c>
      <c r="Z58" s="1879" t="s">
        <v>565</v>
      </c>
      <c r="AA58" s="1856">
        <f>T58</f>
        <v>150000000</v>
      </c>
      <c r="AB58" s="1880"/>
      <c r="AC58" s="1856"/>
      <c r="AD58" s="1881"/>
      <c r="AE58" s="1856"/>
      <c r="AF58" s="1881"/>
      <c r="AG58" s="1856">
        <f>AA58-T58</f>
        <v>0</v>
      </c>
      <c r="AH58" s="1880">
        <v>2017</v>
      </c>
      <c r="AI58" s="1788" t="s">
        <v>21</v>
      </c>
      <c r="AJ58" s="1788" t="s">
        <v>135</v>
      </c>
      <c r="AK58" s="1788" t="s">
        <v>21</v>
      </c>
      <c r="AL58" s="1788" t="s">
        <v>21</v>
      </c>
      <c r="AM58" s="1880"/>
      <c r="AN58" s="1914" t="s">
        <v>608</v>
      </c>
      <c r="AO58" s="1907" t="s">
        <v>603</v>
      </c>
      <c r="AP58" s="1788" t="s">
        <v>570</v>
      </c>
      <c r="AQ58" s="1788"/>
      <c r="AR58" s="1788" t="s">
        <v>1292</v>
      </c>
      <c r="AS58" s="1788" t="s">
        <v>571</v>
      </c>
      <c r="AT58" s="1939">
        <v>150000000</v>
      </c>
      <c r="AU58" s="1939"/>
      <c r="AV58" s="1682" t="s">
        <v>91</v>
      </c>
      <c r="AW58" s="1879" t="e">
        <f>#REF!</f>
        <v>#REF!</v>
      </c>
      <c r="AX58" s="3160" t="s">
        <v>21</v>
      </c>
      <c r="AY58" s="1879" t="s">
        <v>565</v>
      </c>
      <c r="AZ58" s="3161" t="s">
        <v>715</v>
      </c>
      <c r="BA58" s="91"/>
      <c r="BB58" s="1975" t="s">
        <v>723</v>
      </c>
      <c r="BC58" s="1976"/>
      <c r="BD58" s="1764"/>
      <c r="BE58" s="1762"/>
      <c r="BF58" s="1762"/>
    </row>
    <row r="59" spans="1:58" ht="20.100000000000001" hidden="1" customHeight="1">
      <c r="A59" s="1792">
        <v>44</v>
      </c>
      <c r="B59" s="1790"/>
      <c r="C59" s="1790"/>
      <c r="D59" s="1791" t="s">
        <v>17</v>
      </c>
      <c r="E59" s="1790">
        <v>1</v>
      </c>
      <c r="F59" s="1791" t="s">
        <v>19</v>
      </c>
      <c r="G59" s="1788" t="s">
        <v>646</v>
      </c>
      <c r="H59" s="1791" t="s">
        <v>133</v>
      </c>
      <c r="I59" s="1790" t="s">
        <v>131</v>
      </c>
      <c r="J59" s="1791" t="s">
        <v>132</v>
      </c>
      <c r="K59" s="1790">
        <v>2</v>
      </c>
      <c r="L59" s="1791" t="s">
        <v>136</v>
      </c>
      <c r="M59" s="1790">
        <v>1</v>
      </c>
      <c r="N59" s="1790">
        <v>1</v>
      </c>
      <c r="O59" s="1790">
        <v>0</v>
      </c>
      <c r="P59" s="1829">
        <v>1</v>
      </c>
      <c r="Q59" s="1790">
        <v>1</v>
      </c>
      <c r="R59" s="1790">
        <v>1</v>
      </c>
      <c r="S59" s="1790">
        <v>38</v>
      </c>
      <c r="T59" s="1856">
        <v>100000000</v>
      </c>
      <c r="U59" s="1856">
        <v>100000000</v>
      </c>
      <c r="V59" s="1856">
        <f t="shared" si="5"/>
        <v>5000000</v>
      </c>
      <c r="W59" s="1856">
        <v>0</v>
      </c>
      <c r="X59" s="1856">
        <f t="shared" si="6"/>
        <v>105000000</v>
      </c>
      <c r="Y59" s="1879" t="s">
        <v>62</v>
      </c>
      <c r="Z59" s="1879" t="s">
        <v>619</v>
      </c>
      <c r="AA59" s="1856">
        <v>100000000</v>
      </c>
      <c r="AB59" s="1880"/>
      <c r="AC59" s="1856"/>
      <c r="AD59" s="1881"/>
      <c r="AE59" s="1856"/>
      <c r="AF59" s="1881"/>
      <c r="AG59" s="1856">
        <f>AA59-T59</f>
        <v>0</v>
      </c>
      <c r="AH59" s="1880">
        <v>2016</v>
      </c>
      <c r="AI59" s="1788" t="s">
        <v>21</v>
      </c>
      <c r="AJ59" s="3137" t="s">
        <v>137</v>
      </c>
      <c r="AK59" s="3137" t="s">
        <v>138</v>
      </c>
      <c r="AL59" s="1788" t="s">
        <v>724</v>
      </c>
      <c r="AM59" s="1880"/>
      <c r="AN59" s="1914" t="s">
        <v>675</v>
      </c>
      <c r="AO59" s="1914" t="s">
        <v>654</v>
      </c>
      <c r="AP59" s="1788" t="s">
        <v>570</v>
      </c>
      <c r="AQ59" s="1788"/>
      <c r="AR59" s="1788" t="s">
        <v>1292</v>
      </c>
      <c r="AS59" s="3135" t="s">
        <v>725</v>
      </c>
      <c r="AT59" s="1856">
        <v>100000000</v>
      </c>
      <c r="AU59" s="1856"/>
      <c r="AV59" s="1879" t="s">
        <v>62</v>
      </c>
      <c r="AW59" s="1879" t="e">
        <f>#REF!</f>
        <v>#REF!</v>
      </c>
      <c r="AX59" s="1788" t="s">
        <v>21</v>
      </c>
      <c r="AY59" s="1879" t="s">
        <v>619</v>
      </c>
      <c r="AZ59" s="3161" t="s">
        <v>726</v>
      </c>
      <c r="BA59" s="3162" t="s">
        <v>727</v>
      </c>
      <c r="BB59" s="1975" t="s">
        <v>728</v>
      </c>
      <c r="BC59" s="1976"/>
      <c r="BD59" s="1764"/>
      <c r="BE59" s="1762"/>
      <c r="BF59" s="1762"/>
    </row>
    <row r="60" spans="1:58" ht="20.100000000000001" hidden="1" customHeight="1">
      <c r="A60" s="1792">
        <v>45</v>
      </c>
      <c r="B60" s="1790"/>
      <c r="C60" s="1790"/>
      <c r="D60" s="1791" t="s">
        <v>17</v>
      </c>
      <c r="E60" s="1790">
        <v>1</v>
      </c>
      <c r="F60" s="1791" t="s">
        <v>19</v>
      </c>
      <c r="G60" s="1815" t="s">
        <v>646</v>
      </c>
      <c r="H60" s="1791" t="s">
        <v>141</v>
      </c>
      <c r="I60" s="1790" t="s">
        <v>139</v>
      </c>
      <c r="J60" s="1791" t="s">
        <v>140</v>
      </c>
      <c r="K60" s="1790">
        <v>1</v>
      </c>
      <c r="L60" s="1791" t="s">
        <v>142</v>
      </c>
      <c r="M60" s="1790">
        <v>1</v>
      </c>
      <c r="N60" s="1790">
        <v>1</v>
      </c>
      <c r="O60" s="1790">
        <v>0</v>
      </c>
      <c r="P60" s="1829">
        <v>1</v>
      </c>
      <c r="Q60" s="1790">
        <v>1</v>
      </c>
      <c r="R60" s="1790">
        <v>1</v>
      </c>
      <c r="S60" s="1790">
        <v>39</v>
      </c>
      <c r="T60" s="1856">
        <v>2100000000</v>
      </c>
      <c r="U60" s="1856">
        <v>2100000000</v>
      </c>
      <c r="V60" s="1856">
        <f t="shared" si="5"/>
        <v>105000000</v>
      </c>
      <c r="W60" s="1856">
        <v>0</v>
      </c>
      <c r="X60" s="1856">
        <f t="shared" si="6"/>
        <v>2205000000</v>
      </c>
      <c r="Y60" s="1890" t="s">
        <v>657</v>
      </c>
      <c r="Z60" s="1903" t="s">
        <v>602</v>
      </c>
      <c r="AA60" s="1856">
        <v>2100000000</v>
      </c>
      <c r="AB60" s="1880"/>
      <c r="AC60" s="1856"/>
      <c r="AD60" s="1881"/>
      <c r="AE60" s="1856"/>
      <c r="AF60" s="1881"/>
      <c r="AG60" s="1856">
        <f>AA60-T60</f>
        <v>0</v>
      </c>
      <c r="AH60" s="1880">
        <v>2017</v>
      </c>
      <c r="AI60" s="3137" t="s">
        <v>21</v>
      </c>
      <c r="AJ60" s="1788" t="s">
        <v>143</v>
      </c>
      <c r="AK60" s="1788" t="s">
        <v>144</v>
      </c>
      <c r="AL60" s="1788" t="s">
        <v>21</v>
      </c>
      <c r="AM60" s="1880"/>
      <c r="AN60" s="1914" t="s">
        <v>608</v>
      </c>
      <c r="AO60" s="1914" t="s">
        <v>729</v>
      </c>
      <c r="AP60" s="1788" t="s">
        <v>570</v>
      </c>
      <c r="AQ60" s="1788"/>
      <c r="AR60" s="1788" t="s">
        <v>1283</v>
      </c>
      <c r="AS60" s="1788" t="s">
        <v>571</v>
      </c>
      <c r="AT60" s="1856">
        <v>2100000000</v>
      </c>
      <c r="AU60" s="1856"/>
      <c r="AV60" s="1890" t="s">
        <v>633</v>
      </c>
      <c r="AW60" s="1879" t="e">
        <f>#REF!</f>
        <v>#REF!</v>
      </c>
      <c r="AX60" s="3135" t="s">
        <v>730</v>
      </c>
      <c r="AY60" s="1903" t="s">
        <v>731</v>
      </c>
      <c r="AZ60" s="3163" t="s">
        <v>732</v>
      </c>
      <c r="BA60" s="1974"/>
      <c r="BB60" s="1975" t="s">
        <v>733</v>
      </c>
      <c r="BC60" s="1976"/>
      <c r="BD60" s="1764"/>
      <c r="BE60" s="1762"/>
      <c r="BF60" s="1762"/>
    </row>
    <row r="61" spans="1:58" s="1723" customFormat="1" ht="20.100000000000001" hidden="1" customHeight="1">
      <c r="A61" s="1816">
        <v>46</v>
      </c>
      <c r="B61" s="1769"/>
      <c r="C61" s="1769"/>
      <c r="D61" s="1770" t="s">
        <v>17</v>
      </c>
      <c r="E61" s="1769">
        <v>1</v>
      </c>
      <c r="F61" s="1770" t="s">
        <v>19</v>
      </c>
      <c r="G61" s="1771" t="s">
        <v>646</v>
      </c>
      <c r="H61" s="1770" t="s">
        <v>141</v>
      </c>
      <c r="I61" s="1769" t="s">
        <v>139</v>
      </c>
      <c r="J61" s="1770" t="s">
        <v>140</v>
      </c>
      <c r="K61" s="1769">
        <v>2</v>
      </c>
      <c r="L61" s="1846" t="s">
        <v>146</v>
      </c>
      <c r="M61" s="1769">
        <v>0</v>
      </c>
      <c r="N61" s="1769">
        <v>1</v>
      </c>
      <c r="O61" s="1769">
        <v>1</v>
      </c>
      <c r="P61" s="1820">
        <v>0</v>
      </c>
      <c r="Q61" s="1769">
        <v>0</v>
      </c>
      <c r="R61" s="1769">
        <v>1</v>
      </c>
      <c r="S61" s="1769">
        <v>40</v>
      </c>
      <c r="T61" s="1849">
        <v>1052640000</v>
      </c>
      <c r="U61" s="1849">
        <v>1052640000</v>
      </c>
      <c r="V61" s="1850">
        <f t="shared" si="5"/>
        <v>52632000</v>
      </c>
      <c r="W61" s="1850">
        <v>0</v>
      </c>
      <c r="X61" s="1850">
        <f t="shared" si="6"/>
        <v>1105272000</v>
      </c>
      <c r="Y61" s="1869" t="s">
        <v>21</v>
      </c>
      <c r="Z61" s="1869"/>
      <c r="AA61" s="1850">
        <f>SUM(AA62:AA65)</f>
        <v>1052640000</v>
      </c>
      <c r="AB61" s="1870"/>
      <c r="AC61" s="1850"/>
      <c r="AD61" s="1871"/>
      <c r="AE61" s="1850"/>
      <c r="AF61" s="1871"/>
      <c r="AG61" s="1850">
        <f>SUM(AG62:AG64)</f>
        <v>0</v>
      </c>
      <c r="AH61" s="1870" t="s">
        <v>21</v>
      </c>
      <c r="AI61" s="3164" t="s">
        <v>21</v>
      </c>
      <c r="AJ61" s="3165" t="s">
        <v>21</v>
      </c>
      <c r="AK61" s="3166" t="s">
        <v>21</v>
      </c>
      <c r="AL61" s="3165" t="s">
        <v>21</v>
      </c>
      <c r="AM61" s="1870" t="s">
        <v>21</v>
      </c>
      <c r="AN61" s="1907" t="s">
        <v>21</v>
      </c>
      <c r="AO61" s="1907" t="s">
        <v>21</v>
      </c>
      <c r="AP61" s="1771" t="s">
        <v>21</v>
      </c>
      <c r="AQ61" s="1771"/>
      <c r="AR61" s="1771"/>
      <c r="AS61" s="1771"/>
      <c r="AT61" s="1953">
        <f>SUM(AT62:AT65)</f>
        <v>1052640000</v>
      </c>
      <c r="AU61" s="1953"/>
      <c r="AV61" s="1954" t="s">
        <v>21</v>
      </c>
      <c r="AW61" s="1869"/>
      <c r="AX61" s="1771" t="s">
        <v>21</v>
      </c>
      <c r="AY61" s="1869"/>
      <c r="AZ61" s="3166" t="s">
        <v>577</v>
      </c>
      <c r="BA61" s="3164" t="s">
        <v>21</v>
      </c>
      <c r="BB61" s="3167" t="s">
        <v>21</v>
      </c>
      <c r="BC61" s="1960"/>
      <c r="BD61" s="1961"/>
    </row>
    <row r="62" spans="1:58" s="1726" customFormat="1" ht="20.100000000000001" customHeight="1">
      <c r="A62" s="3658">
        <v>10</v>
      </c>
      <c r="B62" s="1772"/>
      <c r="C62" s="1773"/>
      <c r="D62" s="1774" t="s">
        <v>17</v>
      </c>
      <c r="E62" s="1773">
        <v>1</v>
      </c>
      <c r="F62" s="1774" t="s">
        <v>19</v>
      </c>
      <c r="G62" s="1771" t="s">
        <v>646</v>
      </c>
      <c r="H62" s="1774" t="s">
        <v>141</v>
      </c>
      <c r="I62" s="1773" t="s">
        <v>139</v>
      </c>
      <c r="J62" s="1774" t="s">
        <v>140</v>
      </c>
      <c r="K62" s="1840">
        <v>2</v>
      </c>
      <c r="L62" s="3661" t="s">
        <v>146</v>
      </c>
      <c r="M62" s="1772">
        <f>1/3</f>
        <v>0.33333333333333331</v>
      </c>
      <c r="N62" s="1773">
        <v>0</v>
      </c>
      <c r="O62" s="1773">
        <v>2</v>
      </c>
      <c r="P62" s="1773">
        <f t="shared" ref="P62:Q65" si="7">1/3</f>
        <v>0.33333333333333331</v>
      </c>
      <c r="Q62" s="1773">
        <f t="shared" si="7"/>
        <v>0.33333333333333331</v>
      </c>
      <c r="R62" s="1773">
        <v>0</v>
      </c>
      <c r="S62" s="1773"/>
      <c r="T62" s="1851">
        <v>0</v>
      </c>
      <c r="U62" s="1851">
        <v>0</v>
      </c>
      <c r="V62" s="1852">
        <f t="shared" si="5"/>
        <v>0</v>
      </c>
      <c r="W62" s="1852">
        <v>0</v>
      </c>
      <c r="X62" s="1852">
        <f t="shared" si="6"/>
        <v>0</v>
      </c>
      <c r="Y62" s="1863" t="s">
        <v>58</v>
      </c>
      <c r="Z62" s="1863" t="s">
        <v>619</v>
      </c>
      <c r="AA62" s="1852">
        <v>329760000</v>
      </c>
      <c r="AB62" s="1872"/>
      <c r="AC62" s="1852"/>
      <c r="AD62" s="1873"/>
      <c r="AE62" s="1852"/>
      <c r="AF62" s="1873"/>
      <c r="AG62" s="1851">
        <v>0</v>
      </c>
      <c r="AH62" s="1872">
        <v>2016</v>
      </c>
      <c r="AI62" s="3168" t="s">
        <v>734</v>
      </c>
      <c r="AJ62" s="3169" t="s">
        <v>735</v>
      </c>
      <c r="AK62" s="3170" t="s">
        <v>736</v>
      </c>
      <c r="AL62" s="3169" t="s">
        <v>21</v>
      </c>
      <c r="AM62" s="1872">
        <v>2016</v>
      </c>
      <c r="AN62" s="1919" t="s">
        <v>608</v>
      </c>
      <c r="AO62" s="1919" t="s">
        <v>645</v>
      </c>
      <c r="AP62" s="1908" t="s">
        <v>570</v>
      </c>
      <c r="AQ62" s="1908"/>
      <c r="AR62" s="1908" t="s">
        <v>1289</v>
      </c>
      <c r="AS62" s="3265" t="s">
        <v>21</v>
      </c>
      <c r="AT62" s="634">
        <v>329760000</v>
      </c>
      <c r="AU62" s="635">
        <v>329760000</v>
      </c>
      <c r="AV62" s="636" t="s">
        <v>58</v>
      </c>
      <c r="AW62" s="2003">
        <v>0</v>
      </c>
      <c r="AX62" s="3130" t="s">
        <v>21</v>
      </c>
      <c r="AY62" s="1863" t="s">
        <v>619</v>
      </c>
      <c r="AZ62" s="3170" t="s">
        <v>737</v>
      </c>
      <c r="BA62" s="3171" t="s">
        <v>738</v>
      </c>
      <c r="BB62" s="3157" t="s">
        <v>739</v>
      </c>
      <c r="BC62" s="3264" t="s">
        <v>1294</v>
      </c>
      <c r="BD62" s="1971"/>
    </row>
    <row r="63" spans="1:58" s="1726" customFormat="1" ht="20.100000000000001" customHeight="1">
      <c r="A63" s="3659"/>
      <c r="B63" s="1772"/>
      <c r="C63" s="1773"/>
      <c r="D63" s="1774"/>
      <c r="E63" s="1773"/>
      <c r="F63" s="1774"/>
      <c r="G63" s="1771"/>
      <c r="H63" s="1774"/>
      <c r="I63" s="1773"/>
      <c r="J63" s="1774"/>
      <c r="K63" s="1840"/>
      <c r="L63" s="3662"/>
      <c r="M63" s="1772"/>
      <c r="N63" s="1773"/>
      <c r="O63" s="1773"/>
      <c r="P63" s="1773"/>
      <c r="Q63" s="1773"/>
      <c r="R63" s="1773"/>
      <c r="S63" s="1773"/>
      <c r="T63" s="1851"/>
      <c r="U63" s="1851"/>
      <c r="V63" s="1852"/>
      <c r="W63" s="1852"/>
      <c r="X63" s="1852"/>
      <c r="Y63" s="1863"/>
      <c r="Z63" s="1863"/>
      <c r="AA63" s="1852"/>
      <c r="AB63" s="1872"/>
      <c r="AC63" s="1852"/>
      <c r="AD63" s="1873"/>
      <c r="AE63" s="1852"/>
      <c r="AF63" s="1873"/>
      <c r="AG63" s="1851"/>
      <c r="AH63" s="1872"/>
      <c r="AI63" s="1927"/>
      <c r="AJ63" s="1908"/>
      <c r="AK63" s="1928"/>
      <c r="AL63" s="1908"/>
      <c r="AM63" s="1872"/>
      <c r="AN63" s="1919"/>
      <c r="AO63" s="1919"/>
      <c r="AP63" s="1908"/>
      <c r="AQ63" s="1908"/>
      <c r="AR63" s="1908"/>
      <c r="AS63" s="1946"/>
      <c r="AT63" s="634">
        <f>433000000/2</f>
        <v>216500000</v>
      </c>
      <c r="AU63" s="634">
        <f>433000000/2</f>
        <v>216500000</v>
      </c>
      <c r="AV63" s="636" t="s">
        <v>636</v>
      </c>
      <c r="AW63" s="2003"/>
      <c r="AX63" s="1909"/>
      <c r="AY63" s="1863"/>
      <c r="AZ63" s="1928"/>
      <c r="BA63" s="2013"/>
      <c r="BB63" s="1962"/>
      <c r="BC63" s="3264" t="s">
        <v>1294</v>
      </c>
      <c r="BD63" s="1971"/>
    </row>
    <row r="64" spans="1:58" s="1726" customFormat="1" ht="20.100000000000001" customHeight="1">
      <c r="A64" s="3660"/>
      <c r="B64" s="1772"/>
      <c r="C64" s="1773"/>
      <c r="D64" s="1774" t="s">
        <v>17</v>
      </c>
      <c r="E64" s="1773">
        <v>1</v>
      </c>
      <c r="F64" s="1774" t="s">
        <v>19</v>
      </c>
      <c r="G64" s="1771" t="s">
        <v>646</v>
      </c>
      <c r="H64" s="1774" t="s">
        <v>141</v>
      </c>
      <c r="I64" s="1773" t="s">
        <v>139</v>
      </c>
      <c r="J64" s="1774" t="s">
        <v>140</v>
      </c>
      <c r="K64" s="1840">
        <v>2</v>
      </c>
      <c r="L64" s="3663"/>
      <c r="M64" s="1810">
        <f>1/3</f>
        <v>0.33333333333333331</v>
      </c>
      <c r="N64" s="1773">
        <v>0</v>
      </c>
      <c r="O64" s="1773">
        <v>2</v>
      </c>
      <c r="P64" s="1769">
        <f t="shared" si="7"/>
        <v>0.33333333333333331</v>
      </c>
      <c r="Q64" s="1769">
        <f t="shared" si="7"/>
        <v>0.33333333333333331</v>
      </c>
      <c r="R64" s="1773">
        <v>0</v>
      </c>
      <c r="S64" s="1773"/>
      <c r="T64" s="1851">
        <v>0</v>
      </c>
      <c r="U64" s="1851">
        <v>0</v>
      </c>
      <c r="V64" s="1852">
        <f t="shared" si="5"/>
        <v>0</v>
      </c>
      <c r="W64" s="1852">
        <v>0</v>
      </c>
      <c r="X64" s="1850">
        <f t="shared" si="6"/>
        <v>0</v>
      </c>
      <c r="Y64" s="1863" t="s">
        <v>62</v>
      </c>
      <c r="Z64" s="1863" t="s">
        <v>619</v>
      </c>
      <c r="AA64" s="1852">
        <f>433000000</f>
        <v>433000000</v>
      </c>
      <c r="AB64" s="1872"/>
      <c r="AC64" s="1852"/>
      <c r="AD64" s="1873"/>
      <c r="AE64" s="1852"/>
      <c r="AF64" s="1873"/>
      <c r="AG64" s="1851">
        <v>0</v>
      </c>
      <c r="AH64" s="1872">
        <v>2016</v>
      </c>
      <c r="AI64" s="3168" t="s">
        <v>734</v>
      </c>
      <c r="AJ64" s="3169" t="s">
        <v>735</v>
      </c>
      <c r="AK64" s="3170" t="s">
        <v>149</v>
      </c>
      <c r="AL64" s="1929" t="s">
        <v>21</v>
      </c>
      <c r="AM64" s="1872">
        <v>2016</v>
      </c>
      <c r="AN64" s="1919" t="s">
        <v>608</v>
      </c>
      <c r="AO64" s="1919" t="s">
        <v>645</v>
      </c>
      <c r="AP64" s="1908" t="s">
        <v>570</v>
      </c>
      <c r="AQ64" s="1908"/>
      <c r="AR64" s="1908" t="s">
        <v>1289</v>
      </c>
      <c r="AS64" s="3265" t="s">
        <v>21</v>
      </c>
      <c r="AT64" s="634">
        <f>433000000/2</f>
        <v>216500000</v>
      </c>
      <c r="AU64" s="634">
        <f>433000000/2</f>
        <v>216500000</v>
      </c>
      <c r="AV64" s="636" t="s">
        <v>62</v>
      </c>
      <c r="AW64" s="2003" t="e">
        <f>#REF!</f>
        <v>#REF!</v>
      </c>
      <c r="AX64" s="3130" t="s">
        <v>740</v>
      </c>
      <c r="AY64" s="1863" t="s">
        <v>619</v>
      </c>
      <c r="AZ64" s="3170" t="s">
        <v>741</v>
      </c>
      <c r="BA64" s="3171" t="s">
        <v>738</v>
      </c>
      <c r="BB64" s="3157" t="s">
        <v>739</v>
      </c>
      <c r="BC64" s="644">
        <v>2016</v>
      </c>
      <c r="BD64" s="1971"/>
    </row>
    <row r="65" spans="1:58" s="1724" customFormat="1" ht="20.100000000000001" hidden="1" customHeight="1">
      <c r="A65" s="2017">
        <v>47</v>
      </c>
      <c r="B65" s="1812"/>
      <c r="C65" s="1812"/>
      <c r="D65" s="1813" t="s">
        <v>17</v>
      </c>
      <c r="E65" s="1812">
        <v>1</v>
      </c>
      <c r="F65" s="1813" t="s">
        <v>19</v>
      </c>
      <c r="G65" s="1814" t="s">
        <v>646</v>
      </c>
      <c r="H65" s="1774" t="s">
        <v>141</v>
      </c>
      <c r="I65" s="1773" t="s">
        <v>139</v>
      </c>
      <c r="J65" s="1774" t="s">
        <v>140</v>
      </c>
      <c r="K65" s="1773">
        <v>2</v>
      </c>
      <c r="L65" s="2037" t="s">
        <v>146</v>
      </c>
      <c r="M65" s="1843">
        <f>1/3</f>
        <v>0.33333333333333331</v>
      </c>
      <c r="N65" s="1812">
        <v>0</v>
      </c>
      <c r="O65" s="1812">
        <v>2</v>
      </c>
      <c r="P65" s="1843">
        <f t="shared" si="7"/>
        <v>0.33333333333333331</v>
      </c>
      <c r="Q65" s="1843">
        <f t="shared" si="7"/>
        <v>0.33333333333333331</v>
      </c>
      <c r="R65" s="1812">
        <v>0</v>
      </c>
      <c r="S65" s="1812"/>
      <c r="T65" s="1865">
        <v>0</v>
      </c>
      <c r="U65" s="1865">
        <v>0</v>
      </c>
      <c r="V65" s="1866">
        <f t="shared" si="5"/>
        <v>0</v>
      </c>
      <c r="W65" s="1866">
        <v>0</v>
      </c>
      <c r="X65" s="2057">
        <f t="shared" si="6"/>
        <v>0</v>
      </c>
      <c r="Y65" s="1899" t="s">
        <v>633</v>
      </c>
      <c r="Z65" s="1899" t="s">
        <v>633</v>
      </c>
      <c r="AA65" s="1866">
        <v>289880000</v>
      </c>
      <c r="AB65" s="1922"/>
      <c r="AC65" s="1866"/>
      <c r="AD65" s="1902"/>
      <c r="AE65" s="1866"/>
      <c r="AF65" s="1902"/>
      <c r="AG65" s="1865">
        <v>0</v>
      </c>
      <c r="AH65" s="1922" t="s">
        <v>21</v>
      </c>
      <c r="AI65" s="3172" t="s">
        <v>21</v>
      </c>
      <c r="AJ65" s="3173" t="s">
        <v>21</v>
      </c>
      <c r="AK65" s="3174" t="s">
        <v>21</v>
      </c>
      <c r="AL65" s="2099" t="s">
        <v>21</v>
      </c>
      <c r="AM65" s="1922" t="s">
        <v>21</v>
      </c>
      <c r="AN65" s="2100" t="s">
        <v>21</v>
      </c>
      <c r="AO65" s="2100" t="s">
        <v>21</v>
      </c>
      <c r="AP65" s="1923" t="s">
        <v>21</v>
      </c>
      <c r="AQ65" s="1923"/>
      <c r="AR65" s="1788" t="s">
        <v>1283</v>
      </c>
      <c r="AS65" s="1923" t="s">
        <v>21</v>
      </c>
      <c r="AT65" s="2119">
        <v>289880000</v>
      </c>
      <c r="AU65" s="2119"/>
      <c r="AV65" s="2120" t="s">
        <v>633</v>
      </c>
      <c r="AW65" s="1899" t="e">
        <f>#REF!</f>
        <v>#REF!</v>
      </c>
      <c r="AX65" s="3159" t="s">
        <v>21</v>
      </c>
      <c r="AY65" s="1899" t="s">
        <v>633</v>
      </c>
      <c r="AZ65" s="3174" t="s">
        <v>21</v>
      </c>
      <c r="BA65" s="3172" t="s">
        <v>21</v>
      </c>
      <c r="BB65" s="3175" t="s">
        <v>739</v>
      </c>
      <c r="BC65" s="2148"/>
      <c r="BD65" s="1964"/>
    </row>
    <row r="66" spans="1:58" ht="20.100000000000001" hidden="1" customHeight="1">
      <c r="A66" s="1792">
        <v>48</v>
      </c>
      <c r="B66" s="1790"/>
      <c r="C66" s="1790"/>
      <c r="D66" s="1791" t="s">
        <v>17</v>
      </c>
      <c r="E66" s="1790">
        <v>1</v>
      </c>
      <c r="F66" s="1791" t="s">
        <v>19</v>
      </c>
      <c r="G66" s="1788" t="s">
        <v>646</v>
      </c>
      <c r="H66" s="1791" t="s">
        <v>141</v>
      </c>
      <c r="I66" s="1790" t="s">
        <v>139</v>
      </c>
      <c r="J66" s="1791" t="s">
        <v>140</v>
      </c>
      <c r="K66" s="1790">
        <v>3</v>
      </c>
      <c r="L66" s="1791" t="s">
        <v>152</v>
      </c>
      <c r="M66" s="1790">
        <v>1</v>
      </c>
      <c r="N66" s="1790">
        <v>1</v>
      </c>
      <c r="O66" s="1790">
        <v>0</v>
      </c>
      <c r="P66" s="1829">
        <v>1</v>
      </c>
      <c r="Q66" s="1790">
        <v>1</v>
      </c>
      <c r="R66" s="1790">
        <v>1</v>
      </c>
      <c r="S66" s="1790">
        <v>41</v>
      </c>
      <c r="T66" s="1856">
        <v>201000000</v>
      </c>
      <c r="U66" s="1856">
        <v>201000000</v>
      </c>
      <c r="V66" s="1856">
        <f t="shared" si="5"/>
        <v>10050000</v>
      </c>
      <c r="W66" s="1856">
        <v>0</v>
      </c>
      <c r="X66" s="1856">
        <f t="shared" si="6"/>
        <v>211050000</v>
      </c>
      <c r="Y66" s="1879" t="s">
        <v>55</v>
      </c>
      <c r="Z66" s="1879" t="s">
        <v>565</v>
      </c>
      <c r="AA66" s="1856">
        <f>T66</f>
        <v>201000000</v>
      </c>
      <c r="AB66" s="1880"/>
      <c r="AC66" s="1856"/>
      <c r="AD66" s="1881"/>
      <c r="AE66" s="1856"/>
      <c r="AF66" s="1881"/>
      <c r="AG66" s="1856"/>
      <c r="AH66" s="1880">
        <v>2016</v>
      </c>
      <c r="AI66" s="3137" t="s">
        <v>21</v>
      </c>
      <c r="AJ66" s="2101" t="s">
        <v>153</v>
      </c>
      <c r="AK66" s="1788" t="s">
        <v>154</v>
      </c>
      <c r="AL66" s="1788" t="s">
        <v>155</v>
      </c>
      <c r="AM66" s="1880"/>
      <c r="AN66" s="1919" t="s">
        <v>608</v>
      </c>
      <c r="AO66" s="1919" t="s">
        <v>729</v>
      </c>
      <c r="AP66" s="1788" t="s">
        <v>570</v>
      </c>
      <c r="AQ66" s="1788"/>
      <c r="AR66" s="1788" t="s">
        <v>1283</v>
      </c>
      <c r="AS66" s="1788" t="s">
        <v>571</v>
      </c>
      <c r="AT66" s="1856">
        <v>201000000</v>
      </c>
      <c r="AU66" s="1856"/>
      <c r="AV66" s="1879" t="s">
        <v>55</v>
      </c>
      <c r="AW66" s="1879" t="e">
        <f>#REF!</f>
        <v>#REF!</v>
      </c>
      <c r="AX66" s="3132" t="s">
        <v>21</v>
      </c>
      <c r="AY66" s="1879" t="s">
        <v>565</v>
      </c>
      <c r="AZ66" s="3135" t="s">
        <v>744</v>
      </c>
      <c r="BA66" s="1788"/>
      <c r="BB66" s="2149" t="s">
        <v>745</v>
      </c>
      <c r="BC66" s="2150"/>
      <c r="BD66" s="1764"/>
      <c r="BE66" s="1762"/>
      <c r="BF66" s="1762"/>
    </row>
    <row r="67" spans="1:58" ht="20.100000000000001" hidden="1" customHeight="1">
      <c r="A67" s="1792">
        <v>49</v>
      </c>
      <c r="B67" s="1790"/>
      <c r="C67" s="1790"/>
      <c r="D67" s="1791" t="s">
        <v>17</v>
      </c>
      <c r="E67" s="1790">
        <v>1</v>
      </c>
      <c r="F67" s="1791" t="s">
        <v>19</v>
      </c>
      <c r="G67" s="1788" t="s">
        <v>646</v>
      </c>
      <c r="H67" s="1791" t="s">
        <v>141</v>
      </c>
      <c r="I67" s="1790" t="s">
        <v>139</v>
      </c>
      <c r="J67" s="1791" t="s">
        <v>140</v>
      </c>
      <c r="K67" s="1790">
        <v>4</v>
      </c>
      <c r="L67" s="1791" t="s">
        <v>157</v>
      </c>
      <c r="M67" s="1790">
        <v>1</v>
      </c>
      <c r="N67" s="1790">
        <v>1</v>
      </c>
      <c r="O67" s="1790">
        <v>0</v>
      </c>
      <c r="P67" s="1829">
        <v>1</v>
      </c>
      <c r="Q67" s="1790">
        <v>1</v>
      </c>
      <c r="R67" s="1790">
        <v>1</v>
      </c>
      <c r="S67" s="1790">
        <v>42</v>
      </c>
      <c r="T67" s="1856">
        <v>261100000</v>
      </c>
      <c r="U67" s="1856">
        <v>261100000</v>
      </c>
      <c r="V67" s="1856">
        <f t="shared" si="5"/>
        <v>13055000</v>
      </c>
      <c r="W67" s="1856">
        <v>0</v>
      </c>
      <c r="X67" s="1856">
        <f t="shared" si="6"/>
        <v>274155000</v>
      </c>
      <c r="Y67" s="1879" t="s">
        <v>55</v>
      </c>
      <c r="Z67" s="1879" t="s">
        <v>565</v>
      </c>
      <c r="AA67" s="1856">
        <f>T67</f>
        <v>261100000</v>
      </c>
      <c r="AB67" s="1880"/>
      <c r="AC67" s="1856"/>
      <c r="AD67" s="1881"/>
      <c r="AE67" s="1856"/>
      <c r="AF67" s="1881"/>
      <c r="AG67" s="1856"/>
      <c r="AH67" s="1880">
        <v>2016</v>
      </c>
      <c r="AI67" s="3137" t="s">
        <v>21</v>
      </c>
      <c r="AJ67" s="1788" t="s">
        <v>158</v>
      </c>
      <c r="AK67" s="1788" t="s">
        <v>159</v>
      </c>
      <c r="AL67" s="1788" t="s">
        <v>155</v>
      </c>
      <c r="AM67" s="1880"/>
      <c r="AN67" s="1914" t="s">
        <v>608</v>
      </c>
      <c r="AO67" s="1907" t="s">
        <v>645</v>
      </c>
      <c r="AP67" s="1788" t="s">
        <v>570</v>
      </c>
      <c r="AQ67" s="1788"/>
      <c r="AR67" s="1788" t="s">
        <v>1283</v>
      </c>
      <c r="AS67" s="1788" t="s">
        <v>571</v>
      </c>
      <c r="AT67" s="1856">
        <v>261100000</v>
      </c>
      <c r="AU67" s="1856"/>
      <c r="AV67" s="1879" t="s">
        <v>55</v>
      </c>
      <c r="AW67" s="1879" t="e">
        <f>#REF!</f>
        <v>#REF!</v>
      </c>
      <c r="AX67" s="3132" t="s">
        <v>21</v>
      </c>
      <c r="AY67" s="1879" t="s">
        <v>565</v>
      </c>
      <c r="AZ67" s="3135" t="s">
        <v>746</v>
      </c>
      <c r="BA67" s="3176" t="s">
        <v>747</v>
      </c>
      <c r="BB67" s="3177" t="s">
        <v>748</v>
      </c>
      <c r="BC67" s="2150"/>
      <c r="BD67" s="1764"/>
      <c r="BE67" s="1762"/>
      <c r="BF67" s="1762"/>
    </row>
    <row r="68" spans="1:58" ht="20.100000000000001" hidden="1" customHeight="1">
      <c r="A68" s="2018"/>
      <c r="B68" s="1790"/>
      <c r="C68" s="1790"/>
      <c r="D68" s="1791" t="s">
        <v>17</v>
      </c>
      <c r="E68" s="1790">
        <v>1</v>
      </c>
      <c r="F68" s="1791" t="s">
        <v>19</v>
      </c>
      <c r="G68" s="1788" t="s">
        <v>646</v>
      </c>
      <c r="H68" s="1791" t="s">
        <v>749</v>
      </c>
      <c r="I68" s="1790" t="s">
        <v>161</v>
      </c>
      <c r="J68" s="1791" t="s">
        <v>750</v>
      </c>
      <c r="K68" s="1791"/>
      <c r="L68" s="1791" t="s">
        <v>751</v>
      </c>
      <c r="M68" s="1790">
        <v>1</v>
      </c>
      <c r="N68" s="1790"/>
      <c r="O68" s="1790"/>
      <c r="P68" s="1829"/>
      <c r="Q68" s="1790"/>
      <c r="R68" s="1790"/>
      <c r="S68" s="1790"/>
      <c r="T68" s="2058" t="s">
        <v>21</v>
      </c>
      <c r="U68" s="1856">
        <v>225000000</v>
      </c>
      <c r="V68" s="2059">
        <v>25000000</v>
      </c>
      <c r="W68" s="1856">
        <v>0</v>
      </c>
      <c r="X68" s="1856" t="e">
        <f>#REF!+#REF!+#REF!</f>
        <v>#REF!</v>
      </c>
      <c r="Y68" s="2071" t="s">
        <v>633</v>
      </c>
      <c r="Z68" s="2072" t="s">
        <v>633</v>
      </c>
      <c r="AA68" s="2073" t="e">
        <f>#REF!</f>
        <v>#REF!</v>
      </c>
      <c r="AB68" s="1880"/>
      <c r="AC68" s="1680"/>
      <c r="AD68" s="2074"/>
      <c r="AE68" s="2075"/>
      <c r="AF68" s="2074"/>
      <c r="AG68" s="1856"/>
      <c r="AH68" s="1880"/>
      <c r="AI68" s="2102"/>
      <c r="AJ68" s="2011"/>
      <c r="AK68" s="2011"/>
      <c r="AL68" s="2011"/>
      <c r="AM68" s="1880"/>
      <c r="AN68" s="1925" t="s">
        <v>603</v>
      </c>
      <c r="AO68" s="1925" t="s">
        <v>603</v>
      </c>
      <c r="AP68" s="2011"/>
      <c r="AQ68" s="1788"/>
      <c r="AR68" s="1788" t="s">
        <v>1283</v>
      </c>
      <c r="AS68" s="1788" t="s">
        <v>571</v>
      </c>
      <c r="AT68" s="2121">
        <v>225000000</v>
      </c>
      <c r="AU68" s="2121"/>
      <c r="AV68" s="2072" t="s">
        <v>633</v>
      </c>
      <c r="AW68" s="1879" t="e">
        <f>#REF!</f>
        <v>#REF!</v>
      </c>
      <c r="AX68" s="2144"/>
      <c r="AY68" s="2151"/>
      <c r="AZ68" s="260"/>
      <c r="BA68" s="2006"/>
      <c r="BB68" s="2149"/>
      <c r="BC68" s="2150"/>
      <c r="BD68" s="1764"/>
      <c r="BE68" s="1762"/>
      <c r="BF68" s="1762"/>
    </row>
    <row r="69" spans="1:58" s="1725" customFormat="1" ht="20.100000000000001" hidden="1" customHeight="1">
      <c r="A69" s="1807">
        <v>50</v>
      </c>
      <c r="B69" s="1776"/>
      <c r="C69" s="1776"/>
      <c r="D69" s="1777" t="s">
        <v>17</v>
      </c>
      <c r="E69" s="1776">
        <v>1</v>
      </c>
      <c r="F69" s="1777" t="s">
        <v>19</v>
      </c>
      <c r="G69" s="1778" t="s">
        <v>752</v>
      </c>
      <c r="H69" s="1777" t="s">
        <v>141</v>
      </c>
      <c r="I69" s="1776" t="s">
        <v>185</v>
      </c>
      <c r="J69" s="1777" t="s">
        <v>162</v>
      </c>
      <c r="K69" s="1776">
        <v>1</v>
      </c>
      <c r="L69" s="1777" t="s">
        <v>165</v>
      </c>
      <c r="M69" s="1776">
        <v>0</v>
      </c>
      <c r="N69" s="1776">
        <v>0</v>
      </c>
      <c r="O69" s="1776">
        <v>1</v>
      </c>
      <c r="P69" s="1824">
        <v>0</v>
      </c>
      <c r="Q69" s="1776">
        <v>0</v>
      </c>
      <c r="R69" s="1776">
        <v>0</v>
      </c>
      <c r="S69" s="1776"/>
      <c r="T69" s="1854">
        <f>+T70+T73</f>
        <v>1200000000</v>
      </c>
      <c r="U69" s="1854">
        <f>+U70+U73</f>
        <v>1200000000</v>
      </c>
      <c r="V69" s="1854">
        <f>+V70+V73</f>
        <v>120000000</v>
      </c>
      <c r="W69" s="1854">
        <f>+W70+W73</f>
        <v>0</v>
      </c>
      <c r="X69" s="1854" t="e">
        <f>+X70+X73</f>
        <v>#REF!</v>
      </c>
      <c r="Y69" s="1862" t="s">
        <v>21</v>
      </c>
      <c r="Z69" s="1862"/>
      <c r="AA69" s="1854">
        <f>+AA70+AA73</f>
        <v>1200000000</v>
      </c>
      <c r="AB69" s="1874"/>
      <c r="AC69" s="1854"/>
      <c r="AD69" s="1875"/>
      <c r="AE69" s="1854"/>
      <c r="AF69" s="1875"/>
      <c r="AG69" s="1854" t="e">
        <f>+#REF!-#REF!</f>
        <v>#REF!</v>
      </c>
      <c r="AH69" s="1874" t="s">
        <v>21</v>
      </c>
      <c r="AI69" s="3178" t="s">
        <v>21</v>
      </c>
      <c r="AJ69" s="1778" t="s">
        <v>21</v>
      </c>
      <c r="AK69" s="1778" t="s">
        <v>21</v>
      </c>
      <c r="AL69" s="1778" t="s">
        <v>21</v>
      </c>
      <c r="AM69" s="1874" t="s">
        <v>21</v>
      </c>
      <c r="AN69" s="1907" t="s">
        <v>21</v>
      </c>
      <c r="AO69" s="1907" t="s">
        <v>21</v>
      </c>
      <c r="AP69" s="1778" t="s">
        <v>21</v>
      </c>
      <c r="AQ69" s="1778"/>
      <c r="AR69" s="1778"/>
      <c r="AS69" s="1778" t="s">
        <v>21</v>
      </c>
      <c r="AT69" s="1854">
        <f>SUM(AT71:AT75)</f>
        <v>1600000000</v>
      </c>
      <c r="AU69" s="1854"/>
      <c r="AV69" s="1862" t="s">
        <v>21</v>
      </c>
      <c r="AW69" s="1862"/>
      <c r="AX69" s="2030" t="s">
        <v>21</v>
      </c>
      <c r="AY69" s="1862"/>
      <c r="AZ69" s="1778" t="s">
        <v>577</v>
      </c>
      <c r="BA69" s="1778"/>
      <c r="BB69" s="1965" t="s">
        <v>753</v>
      </c>
      <c r="BC69" s="1966"/>
      <c r="BD69" s="1967"/>
    </row>
    <row r="70" spans="1:58" s="1732" customFormat="1" ht="20.100000000000001" hidden="1" customHeight="1">
      <c r="A70" s="2019">
        <v>51</v>
      </c>
      <c r="B70" s="2020"/>
      <c r="C70" s="2020"/>
      <c r="D70" s="2021" t="s">
        <v>17</v>
      </c>
      <c r="E70" s="2020">
        <v>1</v>
      </c>
      <c r="F70" s="2021" t="s">
        <v>19</v>
      </c>
      <c r="G70" s="2022" t="s">
        <v>752</v>
      </c>
      <c r="H70" s="2021" t="s">
        <v>163</v>
      </c>
      <c r="I70" s="2020" t="s">
        <v>185</v>
      </c>
      <c r="J70" s="2021" t="s">
        <v>162</v>
      </c>
      <c r="K70" s="2020">
        <v>1</v>
      </c>
      <c r="L70" s="2021" t="s">
        <v>754</v>
      </c>
      <c r="M70" s="2020">
        <v>0</v>
      </c>
      <c r="N70" s="2020"/>
      <c r="O70" s="2020"/>
      <c r="P70" s="2038"/>
      <c r="Q70" s="2038"/>
      <c r="R70" s="2038">
        <v>1</v>
      </c>
      <c r="S70" s="2038">
        <v>43</v>
      </c>
      <c r="T70" s="2060">
        <v>700000000</v>
      </c>
      <c r="U70" s="2060">
        <v>700000000</v>
      </c>
      <c r="V70" s="2061">
        <v>70000000</v>
      </c>
      <c r="W70" s="2061">
        <v>0</v>
      </c>
      <c r="X70" s="2061" t="e">
        <f>+#REF!+#REF!+#REF!</f>
        <v>#REF!</v>
      </c>
      <c r="Y70" s="2060" t="s">
        <v>21</v>
      </c>
      <c r="Z70" s="2076" t="s">
        <v>21</v>
      </c>
      <c r="AA70" s="2061">
        <v>700000000</v>
      </c>
      <c r="AB70" s="2077">
        <v>1</v>
      </c>
      <c r="AC70" s="2061">
        <v>700000000</v>
      </c>
      <c r="AD70" s="2078"/>
      <c r="AE70" s="2061"/>
      <c r="AF70" s="2078"/>
      <c r="AG70" s="2060">
        <v>0</v>
      </c>
      <c r="AH70" s="2077">
        <v>2016</v>
      </c>
      <c r="AI70" s="3179" t="s">
        <v>755</v>
      </c>
      <c r="AJ70" s="2103" t="s">
        <v>756</v>
      </c>
      <c r="AK70" s="2103" t="s">
        <v>21</v>
      </c>
      <c r="AL70" s="2103" t="s">
        <v>79</v>
      </c>
      <c r="AM70" s="2104">
        <v>2016</v>
      </c>
      <c r="AN70" s="2022" t="s">
        <v>568</v>
      </c>
      <c r="AO70" s="2022" t="s">
        <v>603</v>
      </c>
      <c r="AP70" s="2022" t="s">
        <v>570</v>
      </c>
      <c r="AQ70" s="2022"/>
      <c r="AR70" s="2022"/>
      <c r="AS70" s="2022" t="s">
        <v>21</v>
      </c>
      <c r="AT70" s="2061">
        <v>600000000</v>
      </c>
      <c r="AU70" s="2061"/>
      <c r="AV70" s="2060" t="s">
        <v>117</v>
      </c>
      <c r="AW70" s="2060"/>
      <c r="AX70" s="2022" t="s">
        <v>21</v>
      </c>
      <c r="AY70" s="2076" t="s">
        <v>619</v>
      </c>
      <c r="AZ70" s="3180" t="s">
        <v>757</v>
      </c>
      <c r="BA70" s="3181" t="s">
        <v>758</v>
      </c>
      <c r="BB70" s="2152" t="s">
        <v>759</v>
      </c>
      <c r="BC70" s="2153"/>
      <c r="BD70" s="2154"/>
    </row>
    <row r="71" spans="1:58" s="1726" customFormat="1" ht="20.100000000000001" hidden="1" customHeight="1">
      <c r="A71" s="1785">
        <v>51</v>
      </c>
      <c r="B71" s="1786"/>
      <c r="C71" s="1786"/>
      <c r="D71" s="1787" t="s">
        <v>17</v>
      </c>
      <c r="E71" s="1786">
        <v>1</v>
      </c>
      <c r="F71" s="1787" t="s">
        <v>19</v>
      </c>
      <c r="G71" s="1788" t="s">
        <v>752</v>
      </c>
      <c r="H71" s="1787" t="s">
        <v>163</v>
      </c>
      <c r="I71" s="1786" t="s">
        <v>185</v>
      </c>
      <c r="J71" s="1787" t="s">
        <v>162</v>
      </c>
      <c r="K71" s="1786">
        <v>1</v>
      </c>
      <c r="L71" s="1787" t="s">
        <v>754</v>
      </c>
      <c r="M71" s="1786">
        <v>0.5</v>
      </c>
      <c r="N71" s="1786">
        <v>1</v>
      </c>
      <c r="O71" s="1786">
        <v>2</v>
      </c>
      <c r="P71" s="1790">
        <v>0.5</v>
      </c>
      <c r="Q71" s="1790">
        <v>0.5</v>
      </c>
      <c r="R71" s="1790">
        <v>0</v>
      </c>
      <c r="S71" s="1790">
        <v>43</v>
      </c>
      <c r="T71" s="1876">
        <v>0</v>
      </c>
      <c r="U71" s="1876">
        <v>0</v>
      </c>
      <c r="V71" s="1855">
        <v>0</v>
      </c>
      <c r="W71" s="1855">
        <v>0</v>
      </c>
      <c r="X71" s="1855" t="e">
        <f>+#REF!+#REF!+#REF!</f>
        <v>#REF!</v>
      </c>
      <c r="Y71" s="1876" t="s">
        <v>117</v>
      </c>
      <c r="Z71" s="1879" t="s">
        <v>619</v>
      </c>
      <c r="AA71" s="1855">
        <v>600000000</v>
      </c>
      <c r="AB71" s="1877">
        <v>1</v>
      </c>
      <c r="AC71" s="1855">
        <v>600000000</v>
      </c>
      <c r="AD71" s="1878"/>
      <c r="AE71" s="1855"/>
      <c r="AF71" s="1878"/>
      <c r="AG71" s="1876">
        <v>0</v>
      </c>
      <c r="AH71" s="1877">
        <v>2016</v>
      </c>
      <c r="AI71" s="3182" t="s">
        <v>755</v>
      </c>
      <c r="AJ71" s="1970" t="s">
        <v>756</v>
      </c>
      <c r="AK71" s="1970" t="s">
        <v>21</v>
      </c>
      <c r="AL71" s="1970" t="s">
        <v>79</v>
      </c>
      <c r="AM71" s="1880" t="s">
        <v>581</v>
      </c>
      <c r="AN71" s="1907" t="s">
        <v>568</v>
      </c>
      <c r="AO71" s="1907" t="s">
        <v>603</v>
      </c>
      <c r="AP71" s="1788" t="s">
        <v>570</v>
      </c>
      <c r="AQ71" s="1788"/>
      <c r="AR71" s="1788" t="s">
        <v>1293</v>
      </c>
      <c r="AS71" s="1788" t="s">
        <v>21</v>
      </c>
      <c r="AT71" s="1855">
        <v>600000000</v>
      </c>
      <c r="AU71" s="1855"/>
      <c r="AV71" s="1876" t="s">
        <v>117</v>
      </c>
      <c r="AW71" s="1876" t="e">
        <f>#REF!</f>
        <v>#REF!</v>
      </c>
      <c r="AX71" s="1788" t="s">
        <v>21</v>
      </c>
      <c r="AY71" s="1879" t="s">
        <v>619</v>
      </c>
      <c r="AZ71" s="3161" t="s">
        <v>757</v>
      </c>
      <c r="BA71" s="3183" t="s">
        <v>758</v>
      </c>
      <c r="BB71" s="2155" t="s">
        <v>759</v>
      </c>
      <c r="BC71" s="2156"/>
      <c r="BD71" s="1971"/>
    </row>
    <row r="72" spans="1:58" s="1726" customFormat="1" ht="20.100000000000001" hidden="1" customHeight="1">
      <c r="A72" s="1785">
        <v>52</v>
      </c>
      <c r="B72" s="1786"/>
      <c r="C72" s="1786"/>
      <c r="D72" s="1787" t="s">
        <v>17</v>
      </c>
      <c r="E72" s="1786">
        <v>1</v>
      </c>
      <c r="F72" s="1787" t="s">
        <v>19</v>
      </c>
      <c r="G72" s="1788" t="s">
        <v>752</v>
      </c>
      <c r="H72" s="1787" t="s">
        <v>163</v>
      </c>
      <c r="I72" s="1786" t="s">
        <v>185</v>
      </c>
      <c r="J72" s="1787" t="s">
        <v>162</v>
      </c>
      <c r="K72" s="1786">
        <v>1</v>
      </c>
      <c r="L72" s="1787" t="s">
        <v>754</v>
      </c>
      <c r="M72" s="1786">
        <v>0.5</v>
      </c>
      <c r="N72" s="1786">
        <v>0</v>
      </c>
      <c r="O72" s="1786">
        <v>2</v>
      </c>
      <c r="P72" s="1790">
        <v>0.5</v>
      </c>
      <c r="Q72" s="1790">
        <v>0.5</v>
      </c>
      <c r="R72" s="1790">
        <v>0</v>
      </c>
      <c r="S72" s="1790"/>
      <c r="T72" s="1876">
        <v>0</v>
      </c>
      <c r="U72" s="1876">
        <v>0</v>
      </c>
      <c r="V72" s="1855">
        <v>0</v>
      </c>
      <c r="W72" s="1855">
        <v>0</v>
      </c>
      <c r="X72" s="1855" t="e">
        <f>+#REF!+#REF!+#REF!</f>
        <v>#REF!</v>
      </c>
      <c r="Y72" s="1876" t="s">
        <v>170</v>
      </c>
      <c r="Z72" s="1879" t="s">
        <v>619</v>
      </c>
      <c r="AA72" s="1855">
        <v>100000000</v>
      </c>
      <c r="AB72" s="1877">
        <v>1</v>
      </c>
      <c r="AC72" s="1855">
        <v>100000000</v>
      </c>
      <c r="AD72" s="1878"/>
      <c r="AE72" s="1855"/>
      <c r="AF72" s="1878"/>
      <c r="AG72" s="1876">
        <v>0</v>
      </c>
      <c r="AH72" s="1877">
        <v>2015</v>
      </c>
      <c r="AI72" s="3182" t="s">
        <v>755</v>
      </c>
      <c r="AJ72" s="1970" t="s">
        <v>756</v>
      </c>
      <c r="AK72" s="1970" t="s">
        <v>21</v>
      </c>
      <c r="AL72" s="1970" t="s">
        <v>79</v>
      </c>
      <c r="AM72" s="1880" t="s">
        <v>581</v>
      </c>
      <c r="AN72" s="1907" t="s">
        <v>568</v>
      </c>
      <c r="AO72" s="1907" t="s">
        <v>603</v>
      </c>
      <c r="AP72" s="1788" t="s">
        <v>570</v>
      </c>
      <c r="AQ72" s="1788"/>
      <c r="AR72" s="1788" t="s">
        <v>1293</v>
      </c>
      <c r="AS72" s="1788" t="s">
        <v>21</v>
      </c>
      <c r="AT72" s="1855">
        <v>100000000</v>
      </c>
      <c r="AU72" s="1855"/>
      <c r="AV72" s="1876" t="s">
        <v>170</v>
      </c>
      <c r="AW72" s="1876" t="e">
        <f>#REF!</f>
        <v>#REF!</v>
      </c>
      <c r="AX72" s="1788" t="s">
        <v>21</v>
      </c>
      <c r="AY72" s="1879" t="s">
        <v>619</v>
      </c>
      <c r="AZ72" s="3161" t="s">
        <v>757</v>
      </c>
      <c r="BA72" s="1970"/>
      <c r="BB72" s="2155" t="s">
        <v>759</v>
      </c>
      <c r="BC72" s="2156"/>
      <c r="BD72" s="1971"/>
    </row>
    <row r="73" spans="1:58" s="1733" customFormat="1" ht="20.100000000000001" hidden="1" customHeight="1">
      <c r="A73" s="2023">
        <v>53</v>
      </c>
      <c r="B73" s="2024"/>
      <c r="C73" s="2024"/>
      <c r="D73" s="2025" t="s">
        <v>17</v>
      </c>
      <c r="E73" s="2024">
        <v>1</v>
      </c>
      <c r="F73" s="2025" t="s">
        <v>19</v>
      </c>
      <c r="G73" s="2022" t="s">
        <v>752</v>
      </c>
      <c r="H73" s="2025" t="s">
        <v>163</v>
      </c>
      <c r="I73" s="2024" t="s">
        <v>185</v>
      </c>
      <c r="J73" s="2025" t="s">
        <v>162</v>
      </c>
      <c r="K73" s="2024">
        <v>1</v>
      </c>
      <c r="L73" s="2025" t="s">
        <v>760</v>
      </c>
      <c r="M73" s="2024">
        <v>0</v>
      </c>
      <c r="N73" s="2024">
        <v>1</v>
      </c>
      <c r="O73" s="2024">
        <v>2</v>
      </c>
      <c r="P73" s="2039">
        <v>1</v>
      </c>
      <c r="Q73" s="2062">
        <v>1</v>
      </c>
      <c r="R73" s="2062">
        <v>1</v>
      </c>
      <c r="S73" s="2062">
        <v>44</v>
      </c>
      <c r="T73" s="2063">
        <v>500000000</v>
      </c>
      <c r="U73" s="2063">
        <v>500000000</v>
      </c>
      <c r="V73" s="2064">
        <v>50000000</v>
      </c>
      <c r="W73" s="2064">
        <v>0</v>
      </c>
      <c r="X73" s="2064" t="e">
        <f>+#REF!+#REF!+#REF!</f>
        <v>#REF!</v>
      </c>
      <c r="Y73" s="2060" t="s">
        <v>21</v>
      </c>
      <c r="Z73" s="2060" t="s">
        <v>21</v>
      </c>
      <c r="AA73" s="2064">
        <v>500000000</v>
      </c>
      <c r="AB73" s="2079"/>
      <c r="AC73" s="2064"/>
      <c r="AD73" s="2080"/>
      <c r="AE73" s="2064"/>
      <c r="AF73" s="2080"/>
      <c r="AG73" s="2063">
        <v>0</v>
      </c>
      <c r="AH73" s="2079" t="s">
        <v>617</v>
      </c>
      <c r="AI73" s="2105" t="s">
        <v>21</v>
      </c>
      <c r="AJ73" s="2105" t="s">
        <v>21</v>
      </c>
      <c r="AK73" s="2105" t="s">
        <v>21</v>
      </c>
      <c r="AL73" s="2105" t="s">
        <v>21</v>
      </c>
      <c r="AM73" s="2106"/>
      <c r="AN73" s="2107" t="s">
        <v>603</v>
      </c>
      <c r="AO73" s="2107" t="s">
        <v>603</v>
      </c>
      <c r="AP73" s="2107" t="s">
        <v>570</v>
      </c>
      <c r="AQ73" s="2107"/>
      <c r="AR73" s="2107"/>
      <c r="AS73" s="2107" t="s">
        <v>21</v>
      </c>
      <c r="AT73" s="2064">
        <v>400000000</v>
      </c>
      <c r="AU73" s="2064"/>
      <c r="AV73" s="2060" t="s">
        <v>21</v>
      </c>
      <c r="AW73" s="2060"/>
      <c r="AX73" s="2107" t="s">
        <v>761</v>
      </c>
      <c r="AY73" s="2060" t="s">
        <v>619</v>
      </c>
      <c r="AZ73" s="2157" t="s">
        <v>577</v>
      </c>
      <c r="BA73" s="2157"/>
      <c r="BB73" s="2158" t="s">
        <v>762</v>
      </c>
      <c r="BC73" s="2159"/>
      <c r="BD73" s="2160"/>
    </row>
    <row r="74" spans="1:58" s="1726" customFormat="1" ht="20.100000000000001" hidden="1" customHeight="1">
      <c r="A74" s="1785">
        <v>53</v>
      </c>
      <c r="B74" s="1786"/>
      <c r="C74" s="1786"/>
      <c r="D74" s="1787" t="s">
        <v>17</v>
      </c>
      <c r="E74" s="1786">
        <v>1</v>
      </c>
      <c r="F74" s="1787" t="s">
        <v>19</v>
      </c>
      <c r="G74" s="2026" t="s">
        <v>752</v>
      </c>
      <c r="H74" s="1787" t="s">
        <v>163</v>
      </c>
      <c r="I74" s="1786" t="s">
        <v>185</v>
      </c>
      <c r="J74" s="1787" t="s">
        <v>162</v>
      </c>
      <c r="K74" s="1786">
        <v>1</v>
      </c>
      <c r="L74" s="1787" t="s">
        <v>760</v>
      </c>
      <c r="M74" s="1786">
        <v>0.5</v>
      </c>
      <c r="N74" s="1786">
        <v>1</v>
      </c>
      <c r="O74" s="1786">
        <v>2</v>
      </c>
      <c r="P74" s="1827">
        <v>1</v>
      </c>
      <c r="Q74" s="1786">
        <v>1</v>
      </c>
      <c r="R74" s="1786">
        <v>0</v>
      </c>
      <c r="S74" s="1786">
        <v>44</v>
      </c>
      <c r="T74" s="1876">
        <v>500000000</v>
      </c>
      <c r="U74" s="1876">
        <v>500000000</v>
      </c>
      <c r="V74" s="1855">
        <v>50000000</v>
      </c>
      <c r="W74" s="1855">
        <v>0</v>
      </c>
      <c r="X74" s="1855" t="e">
        <f>+#REF!+#REF!+#REF!</f>
        <v>#REF!</v>
      </c>
      <c r="Y74" s="1903" t="s">
        <v>117</v>
      </c>
      <c r="Z74" s="1903" t="s">
        <v>619</v>
      </c>
      <c r="AA74" s="1855">
        <v>500000000</v>
      </c>
      <c r="AB74" s="1877"/>
      <c r="AC74" s="1855"/>
      <c r="AD74" s="1878"/>
      <c r="AE74" s="1855"/>
      <c r="AF74" s="1878"/>
      <c r="AG74" s="1876">
        <v>0</v>
      </c>
      <c r="AH74" s="1877" t="s">
        <v>617</v>
      </c>
      <c r="AI74" s="1970" t="s">
        <v>21</v>
      </c>
      <c r="AJ74" s="1970" t="s">
        <v>21</v>
      </c>
      <c r="AK74" s="1970" t="s">
        <v>21</v>
      </c>
      <c r="AL74" s="1970" t="s">
        <v>21</v>
      </c>
      <c r="AM74" s="2108"/>
      <c r="AN74" s="1910" t="s">
        <v>603</v>
      </c>
      <c r="AO74" s="1910" t="s">
        <v>603</v>
      </c>
      <c r="AP74" s="1912" t="s">
        <v>570</v>
      </c>
      <c r="AQ74" s="1912"/>
      <c r="AR74" s="1788" t="s">
        <v>1283</v>
      </c>
      <c r="AS74" s="3184" t="s">
        <v>763</v>
      </c>
      <c r="AT74" s="1855">
        <v>400000000</v>
      </c>
      <c r="AU74" s="1855"/>
      <c r="AV74" s="1903" t="s">
        <v>117</v>
      </c>
      <c r="AW74" s="1903" t="e">
        <f>#REF!</f>
        <v>#REF!</v>
      </c>
      <c r="AX74" s="1912" t="s">
        <v>761</v>
      </c>
      <c r="AY74" s="1903" t="s">
        <v>619</v>
      </c>
      <c r="AZ74" s="1970" t="s">
        <v>577</v>
      </c>
      <c r="BA74" s="2161"/>
      <c r="BB74" s="2162" t="s">
        <v>762</v>
      </c>
      <c r="BC74" s="2163"/>
      <c r="BD74" s="1971"/>
    </row>
    <row r="75" spans="1:58" s="1726" customFormat="1" ht="20.100000000000001" hidden="1" customHeight="1">
      <c r="A75" s="1785">
        <v>53</v>
      </c>
      <c r="B75" s="1786"/>
      <c r="C75" s="1786"/>
      <c r="D75" s="1787" t="s">
        <v>17</v>
      </c>
      <c r="E75" s="1786">
        <v>1</v>
      </c>
      <c r="F75" s="1787" t="s">
        <v>19</v>
      </c>
      <c r="G75" s="2026" t="s">
        <v>752</v>
      </c>
      <c r="H75" s="1787" t="s">
        <v>163</v>
      </c>
      <c r="I75" s="1786" t="s">
        <v>185</v>
      </c>
      <c r="J75" s="1787" t="s">
        <v>162</v>
      </c>
      <c r="K75" s="1786">
        <v>1</v>
      </c>
      <c r="L75" s="1787" t="s">
        <v>760</v>
      </c>
      <c r="M75" s="1786">
        <v>0.5</v>
      </c>
      <c r="N75" s="1786">
        <v>1</v>
      </c>
      <c r="O75" s="1786">
        <v>2</v>
      </c>
      <c r="P75" s="1827">
        <v>1</v>
      </c>
      <c r="Q75" s="1786">
        <v>1</v>
      </c>
      <c r="R75" s="1786">
        <v>0</v>
      </c>
      <c r="S75" s="1786">
        <v>44</v>
      </c>
      <c r="T75" s="1876">
        <v>500000000</v>
      </c>
      <c r="U75" s="1876">
        <v>500000000</v>
      </c>
      <c r="V75" s="1855">
        <v>50000000</v>
      </c>
      <c r="W75" s="1855">
        <v>0</v>
      </c>
      <c r="X75" s="1855" t="e">
        <f>+#REF!+#REF!+#REF!</f>
        <v>#REF!</v>
      </c>
      <c r="Y75" s="1903" t="s">
        <v>117</v>
      </c>
      <c r="Z75" s="1903" t="s">
        <v>619</v>
      </c>
      <c r="AA75" s="1855">
        <v>500000000</v>
      </c>
      <c r="AB75" s="1877"/>
      <c r="AC75" s="1855"/>
      <c r="AD75" s="1878"/>
      <c r="AE75" s="1855"/>
      <c r="AF75" s="1878"/>
      <c r="AG75" s="1876">
        <v>0</v>
      </c>
      <c r="AH75" s="1877" t="s">
        <v>617</v>
      </c>
      <c r="AI75" s="1970" t="s">
        <v>21</v>
      </c>
      <c r="AJ75" s="1970" t="s">
        <v>21</v>
      </c>
      <c r="AK75" s="1970" t="s">
        <v>21</v>
      </c>
      <c r="AL75" s="1970" t="s">
        <v>21</v>
      </c>
      <c r="AM75" s="2108"/>
      <c r="AN75" s="1910" t="s">
        <v>603</v>
      </c>
      <c r="AO75" s="1910" t="s">
        <v>603</v>
      </c>
      <c r="AP75" s="1912" t="s">
        <v>570</v>
      </c>
      <c r="AQ75" s="1912"/>
      <c r="AR75" s="1788" t="s">
        <v>1283</v>
      </c>
      <c r="AS75" s="3184" t="s">
        <v>763</v>
      </c>
      <c r="AT75" s="1855">
        <v>100000000</v>
      </c>
      <c r="AU75" s="1855"/>
      <c r="AV75" s="2084" t="s">
        <v>633</v>
      </c>
      <c r="AW75" s="1903" t="e">
        <f>#REF!</f>
        <v>#REF!</v>
      </c>
      <c r="AX75" s="1912" t="s">
        <v>21</v>
      </c>
      <c r="AY75" s="1903" t="s">
        <v>633</v>
      </c>
      <c r="AZ75" s="1970" t="s">
        <v>577</v>
      </c>
      <c r="BA75" s="2161"/>
      <c r="BB75" s="2162" t="s">
        <v>762</v>
      </c>
      <c r="BC75" s="2163"/>
      <c r="BD75" s="1971"/>
    </row>
    <row r="76" spans="1:58" ht="20.100000000000001" hidden="1" customHeight="1">
      <c r="A76" s="1792">
        <v>54</v>
      </c>
      <c r="B76" s="1790"/>
      <c r="C76" s="1790"/>
      <c r="D76" s="1791" t="s">
        <v>17</v>
      </c>
      <c r="E76" s="1790">
        <v>1</v>
      </c>
      <c r="F76" s="1791" t="s">
        <v>19</v>
      </c>
      <c r="G76" s="1788" t="s">
        <v>752</v>
      </c>
      <c r="H76" s="1791" t="s">
        <v>163</v>
      </c>
      <c r="I76" s="1786" t="s">
        <v>185</v>
      </c>
      <c r="J76" s="1791" t="s">
        <v>162</v>
      </c>
      <c r="K76" s="1790">
        <v>2</v>
      </c>
      <c r="L76" s="1791" t="s">
        <v>172</v>
      </c>
      <c r="M76" s="1790">
        <v>1</v>
      </c>
      <c r="N76" s="1790">
        <v>1</v>
      </c>
      <c r="O76" s="1790">
        <v>0</v>
      </c>
      <c r="P76" s="1829">
        <v>1</v>
      </c>
      <c r="Q76" s="1790">
        <v>1</v>
      </c>
      <c r="R76" s="1790">
        <v>1</v>
      </c>
      <c r="S76" s="1790">
        <v>45</v>
      </c>
      <c r="T76" s="1856">
        <v>195778000</v>
      </c>
      <c r="U76" s="1856">
        <v>195778000</v>
      </c>
      <c r="V76" s="1856">
        <v>27149500</v>
      </c>
      <c r="W76" s="1856">
        <v>0</v>
      </c>
      <c r="X76" s="1856">
        <f t="shared" ref="X76:X108" si="8">T76+V76+W76</f>
        <v>222927500</v>
      </c>
      <c r="Y76" s="1879" t="s">
        <v>28</v>
      </c>
      <c r="Z76" s="1879" t="s">
        <v>565</v>
      </c>
      <c r="AA76" s="1856">
        <f t="shared" ref="AA76:AA81" si="9">T76</f>
        <v>195778000</v>
      </c>
      <c r="AB76" s="1880">
        <v>1</v>
      </c>
      <c r="AC76" s="1856">
        <v>195778000</v>
      </c>
      <c r="AD76" s="1881"/>
      <c r="AE76" s="1856"/>
      <c r="AF76" s="1881"/>
      <c r="AG76" s="1856">
        <v>0</v>
      </c>
      <c r="AH76" s="1880">
        <v>2016</v>
      </c>
      <c r="AI76" s="3161" t="s">
        <v>644</v>
      </c>
      <c r="AJ76" s="91" t="s">
        <v>756</v>
      </c>
      <c r="AK76" s="91" t="s">
        <v>411</v>
      </c>
      <c r="AL76" s="91" t="s">
        <v>79</v>
      </c>
      <c r="AM76" s="1882" t="s">
        <v>581</v>
      </c>
      <c r="AN76" s="1907" t="s">
        <v>603</v>
      </c>
      <c r="AO76" s="1907" t="s">
        <v>603</v>
      </c>
      <c r="AP76" s="1788" t="s">
        <v>570</v>
      </c>
      <c r="AQ76" s="1788"/>
      <c r="AR76" s="1788" t="s">
        <v>1291</v>
      </c>
      <c r="AS76" s="1974" t="s">
        <v>21</v>
      </c>
      <c r="AT76" s="1856">
        <v>195778000</v>
      </c>
      <c r="AU76" s="1856"/>
      <c r="AV76" s="1879" t="s">
        <v>28</v>
      </c>
      <c r="AW76" s="1903" t="e">
        <f>#REF!</f>
        <v>#REF!</v>
      </c>
      <c r="AX76" s="1788" t="s">
        <v>765</v>
      </c>
      <c r="AY76" s="1879" t="s">
        <v>565</v>
      </c>
      <c r="AZ76" s="91" t="s">
        <v>577</v>
      </c>
      <c r="BA76" s="91"/>
      <c r="BB76" s="2149" t="s">
        <v>766</v>
      </c>
      <c r="BC76" s="2150"/>
      <c r="BD76" s="1764"/>
      <c r="BE76" s="1762"/>
      <c r="BF76" s="1762"/>
    </row>
    <row r="77" spans="1:58" ht="20.100000000000001" hidden="1" customHeight="1">
      <c r="A77" s="1792">
        <v>55</v>
      </c>
      <c r="B77" s="1790"/>
      <c r="C77" s="1790"/>
      <c r="D77" s="1791" t="s">
        <v>17</v>
      </c>
      <c r="E77" s="1790">
        <v>1</v>
      </c>
      <c r="F77" s="1791" t="s">
        <v>19</v>
      </c>
      <c r="G77" s="1788" t="s">
        <v>752</v>
      </c>
      <c r="H77" s="1791" t="s">
        <v>163</v>
      </c>
      <c r="I77" s="1786" t="s">
        <v>185</v>
      </c>
      <c r="J77" s="1791" t="s">
        <v>162</v>
      </c>
      <c r="K77" s="1790">
        <v>3</v>
      </c>
      <c r="L77" s="1791" t="s">
        <v>174</v>
      </c>
      <c r="M77" s="1790">
        <v>1</v>
      </c>
      <c r="N77" s="1790">
        <v>1</v>
      </c>
      <c r="O77" s="1790">
        <v>0</v>
      </c>
      <c r="P77" s="1829">
        <v>1</v>
      </c>
      <c r="Q77" s="1790">
        <v>1</v>
      </c>
      <c r="R77" s="1790">
        <v>1</v>
      </c>
      <c r="S77" s="1790">
        <v>46</v>
      </c>
      <c r="T77" s="1856">
        <v>480000000</v>
      </c>
      <c r="U77" s="1856">
        <v>480000000</v>
      </c>
      <c r="V77" s="1856">
        <v>48000000</v>
      </c>
      <c r="W77" s="1856">
        <v>0</v>
      </c>
      <c r="X77" s="1856">
        <f t="shared" si="8"/>
        <v>528000000</v>
      </c>
      <c r="Y77" s="1879" t="s">
        <v>55</v>
      </c>
      <c r="Z77" s="1879" t="s">
        <v>565</v>
      </c>
      <c r="AA77" s="1856">
        <f t="shared" si="9"/>
        <v>480000000</v>
      </c>
      <c r="AB77" s="1880"/>
      <c r="AC77" s="1856"/>
      <c r="AD77" s="1881"/>
      <c r="AE77" s="1856"/>
      <c r="AF77" s="1881"/>
      <c r="AG77" s="1856">
        <v>0</v>
      </c>
      <c r="AH77" s="1880">
        <v>2017</v>
      </c>
      <c r="AI77" s="2012" t="s">
        <v>738</v>
      </c>
      <c r="AJ77" s="91" t="s">
        <v>97</v>
      </c>
      <c r="AK77" s="91" t="s">
        <v>411</v>
      </c>
      <c r="AL77" s="91" t="s">
        <v>21</v>
      </c>
      <c r="AM77" s="1882">
        <v>2016</v>
      </c>
      <c r="AN77" s="1907" t="s">
        <v>568</v>
      </c>
      <c r="AO77" s="1907" t="s">
        <v>645</v>
      </c>
      <c r="AP77" s="1788" t="s">
        <v>570</v>
      </c>
      <c r="AQ77" s="1788"/>
      <c r="AR77" s="1788" t="s">
        <v>1293</v>
      </c>
      <c r="AS77" s="2123" t="s">
        <v>21</v>
      </c>
      <c r="AT77" s="1856">
        <v>480000000</v>
      </c>
      <c r="AU77" s="1856"/>
      <c r="AV77" s="1879" t="s">
        <v>55</v>
      </c>
      <c r="AW77" s="1903" t="e">
        <f>#REF!</f>
        <v>#REF!</v>
      </c>
      <c r="AX77" s="1788" t="s">
        <v>21</v>
      </c>
      <c r="AY77" s="1879" t="s">
        <v>565</v>
      </c>
      <c r="AZ77" s="91" t="s">
        <v>577</v>
      </c>
      <c r="BA77" s="91"/>
      <c r="BB77" s="3185" t="s">
        <v>767</v>
      </c>
      <c r="BC77" s="2156"/>
      <c r="BD77" s="1764"/>
      <c r="BE77" s="1762"/>
      <c r="BF77" s="1762"/>
    </row>
    <row r="78" spans="1:58" ht="20.100000000000001" hidden="1" customHeight="1">
      <c r="A78" s="1792">
        <v>56</v>
      </c>
      <c r="B78" s="1790"/>
      <c r="C78" s="1790"/>
      <c r="D78" s="1791" t="s">
        <v>17</v>
      </c>
      <c r="E78" s="1790">
        <v>1</v>
      </c>
      <c r="F78" s="1791" t="s">
        <v>19</v>
      </c>
      <c r="G78" s="1788" t="s">
        <v>752</v>
      </c>
      <c r="H78" s="1791" t="s">
        <v>163</v>
      </c>
      <c r="I78" s="1786" t="s">
        <v>185</v>
      </c>
      <c r="J78" s="1791" t="s">
        <v>162</v>
      </c>
      <c r="K78" s="1790">
        <v>4</v>
      </c>
      <c r="L78" s="1791" t="s">
        <v>175</v>
      </c>
      <c r="M78" s="1790">
        <v>1</v>
      </c>
      <c r="N78" s="1790">
        <v>1</v>
      </c>
      <c r="O78" s="1790">
        <v>0</v>
      </c>
      <c r="P78" s="1829">
        <v>1</v>
      </c>
      <c r="Q78" s="1790">
        <v>1</v>
      </c>
      <c r="R78" s="1790">
        <v>1</v>
      </c>
      <c r="S78" s="1790">
        <v>47</v>
      </c>
      <c r="T78" s="1856">
        <v>120000000</v>
      </c>
      <c r="U78" s="1856">
        <v>120000000</v>
      </c>
      <c r="V78" s="1856">
        <v>12000000</v>
      </c>
      <c r="W78" s="1856">
        <v>0</v>
      </c>
      <c r="X78" s="1856">
        <f t="shared" si="8"/>
        <v>132000000</v>
      </c>
      <c r="Y78" s="1879" t="s">
        <v>55</v>
      </c>
      <c r="Z78" s="1879" t="s">
        <v>565</v>
      </c>
      <c r="AA78" s="1856">
        <f t="shared" si="9"/>
        <v>120000000</v>
      </c>
      <c r="AB78" s="1880"/>
      <c r="AC78" s="1856"/>
      <c r="AD78" s="1881"/>
      <c r="AE78" s="1856"/>
      <c r="AF78" s="1881"/>
      <c r="AG78" s="1856">
        <v>0</v>
      </c>
      <c r="AH78" s="1880">
        <v>2017</v>
      </c>
      <c r="AI78" s="2012" t="s">
        <v>768</v>
      </c>
      <c r="AJ78" s="91" t="s">
        <v>756</v>
      </c>
      <c r="AK78" s="91" t="s">
        <v>21</v>
      </c>
      <c r="AL78" s="91" t="s">
        <v>21</v>
      </c>
      <c r="AM78" s="1882" t="s">
        <v>769</v>
      </c>
      <c r="AN78" s="1907" t="s">
        <v>568</v>
      </c>
      <c r="AO78" s="1907" t="s">
        <v>603</v>
      </c>
      <c r="AP78" s="1788" t="s">
        <v>570</v>
      </c>
      <c r="AQ78" s="1788"/>
      <c r="AR78" s="1788" t="s">
        <v>1293</v>
      </c>
      <c r="AS78" s="1987" t="s">
        <v>770</v>
      </c>
      <c r="AT78" s="1856">
        <v>120000000</v>
      </c>
      <c r="AU78" s="1856"/>
      <c r="AV78" s="1879" t="s">
        <v>55</v>
      </c>
      <c r="AW78" s="1903" t="e">
        <f>#REF!</f>
        <v>#REF!</v>
      </c>
      <c r="AX78" s="1788" t="s">
        <v>21</v>
      </c>
      <c r="AY78" s="1879" t="s">
        <v>565</v>
      </c>
      <c r="AZ78" s="91" t="s">
        <v>577</v>
      </c>
      <c r="BA78" s="91"/>
      <c r="BB78" s="3185" t="s">
        <v>771</v>
      </c>
      <c r="BC78" s="2156"/>
      <c r="BD78" s="1764"/>
      <c r="BE78" s="1762"/>
      <c r="BF78" s="1762"/>
    </row>
    <row r="79" spans="1:58" ht="20.100000000000001" hidden="1" customHeight="1">
      <c r="A79" s="1792">
        <v>57</v>
      </c>
      <c r="B79" s="1790"/>
      <c r="C79" s="1790"/>
      <c r="D79" s="1791" t="s">
        <v>17</v>
      </c>
      <c r="E79" s="1790">
        <v>1</v>
      </c>
      <c r="F79" s="1791" t="s">
        <v>19</v>
      </c>
      <c r="G79" s="1788" t="s">
        <v>752</v>
      </c>
      <c r="H79" s="1791" t="s">
        <v>163</v>
      </c>
      <c r="I79" s="1786" t="s">
        <v>185</v>
      </c>
      <c r="J79" s="1791" t="s">
        <v>162</v>
      </c>
      <c r="K79" s="1790">
        <v>5</v>
      </c>
      <c r="L79" s="1791" t="s">
        <v>176</v>
      </c>
      <c r="M79" s="1790">
        <v>1</v>
      </c>
      <c r="N79" s="1790">
        <v>1</v>
      </c>
      <c r="O79" s="1790">
        <v>0</v>
      </c>
      <c r="P79" s="1829">
        <v>1</v>
      </c>
      <c r="Q79" s="1790">
        <v>1</v>
      </c>
      <c r="R79" s="1790">
        <v>1</v>
      </c>
      <c r="S79" s="1790">
        <v>48</v>
      </c>
      <c r="T79" s="1856">
        <v>350000000</v>
      </c>
      <c r="U79" s="1856">
        <v>350000000</v>
      </c>
      <c r="V79" s="1856">
        <v>35000000</v>
      </c>
      <c r="W79" s="1856">
        <v>0</v>
      </c>
      <c r="X79" s="1856">
        <f t="shared" si="8"/>
        <v>385000000</v>
      </c>
      <c r="Y79" s="1879" t="s">
        <v>117</v>
      </c>
      <c r="Z79" s="1879" t="s">
        <v>619</v>
      </c>
      <c r="AA79" s="1856">
        <f t="shared" si="9"/>
        <v>350000000</v>
      </c>
      <c r="AB79" s="1880"/>
      <c r="AC79" s="1856"/>
      <c r="AD79" s="1881"/>
      <c r="AE79" s="1856"/>
      <c r="AF79" s="1881"/>
      <c r="AG79" s="1856"/>
      <c r="AH79" s="1880" t="s">
        <v>617</v>
      </c>
      <c r="AI79" s="91" t="s">
        <v>21</v>
      </c>
      <c r="AJ79" s="91" t="s">
        <v>772</v>
      </c>
      <c r="AK79" s="91" t="s">
        <v>21</v>
      </c>
      <c r="AL79" s="91" t="s">
        <v>21</v>
      </c>
      <c r="AM79" s="1882"/>
      <c r="AN79" s="1914" t="s">
        <v>614</v>
      </c>
      <c r="AO79" s="1907" t="s">
        <v>603</v>
      </c>
      <c r="AP79" s="1788" t="s">
        <v>570</v>
      </c>
      <c r="AQ79" s="1788"/>
      <c r="AR79" s="1788" t="s">
        <v>1283</v>
      </c>
      <c r="AS79" s="2123" t="s">
        <v>571</v>
      </c>
      <c r="AT79" s="1856">
        <v>350000000</v>
      </c>
      <c r="AU79" s="1856"/>
      <c r="AV79" s="2072" t="s">
        <v>633</v>
      </c>
      <c r="AW79" s="1903" t="e">
        <f>#REF!</f>
        <v>#REF!</v>
      </c>
      <c r="AX79" s="3135" t="s">
        <v>773</v>
      </c>
      <c r="AY79" s="1879" t="s">
        <v>633</v>
      </c>
      <c r="AZ79" s="3161" t="s">
        <v>774</v>
      </c>
      <c r="BA79" s="1985" t="s">
        <v>775</v>
      </c>
      <c r="BB79" s="2149" t="s">
        <v>776</v>
      </c>
      <c r="BC79" s="2150"/>
      <c r="BD79" s="1764"/>
      <c r="BE79" s="1762"/>
      <c r="BF79" s="1762"/>
    </row>
    <row r="80" spans="1:58" ht="20.100000000000001" hidden="1" customHeight="1">
      <c r="A80" s="1792">
        <v>58</v>
      </c>
      <c r="B80" s="1790"/>
      <c r="C80" s="1790"/>
      <c r="D80" s="1791" t="s">
        <v>17</v>
      </c>
      <c r="E80" s="1790">
        <v>1</v>
      </c>
      <c r="F80" s="1791" t="s">
        <v>19</v>
      </c>
      <c r="G80" s="1788" t="s">
        <v>752</v>
      </c>
      <c r="H80" s="1791" t="s">
        <v>163</v>
      </c>
      <c r="I80" s="1786" t="s">
        <v>185</v>
      </c>
      <c r="J80" s="1791" t="s">
        <v>162</v>
      </c>
      <c r="K80" s="1790">
        <v>6</v>
      </c>
      <c r="L80" s="1791" t="s">
        <v>178</v>
      </c>
      <c r="M80" s="1790">
        <v>1</v>
      </c>
      <c r="N80" s="1790">
        <v>1</v>
      </c>
      <c r="O80" s="1790">
        <v>0</v>
      </c>
      <c r="P80" s="1829">
        <v>1</v>
      </c>
      <c r="Q80" s="1790">
        <v>1</v>
      </c>
      <c r="R80" s="1790">
        <v>1</v>
      </c>
      <c r="S80" s="1790">
        <v>49</v>
      </c>
      <c r="T80" s="1856">
        <v>161298000</v>
      </c>
      <c r="U80" s="1856">
        <v>161298000</v>
      </c>
      <c r="V80" s="1856">
        <v>24195000</v>
      </c>
      <c r="W80" s="1856">
        <v>0</v>
      </c>
      <c r="X80" s="1856">
        <f t="shared" si="8"/>
        <v>185493000</v>
      </c>
      <c r="Y80" s="1879" t="s">
        <v>117</v>
      </c>
      <c r="Z80" s="1879" t="s">
        <v>619</v>
      </c>
      <c r="AA80" s="1856">
        <f t="shared" si="9"/>
        <v>161298000</v>
      </c>
      <c r="AB80" s="1880"/>
      <c r="AC80" s="1856"/>
      <c r="AD80" s="1881"/>
      <c r="AE80" s="1856"/>
      <c r="AF80" s="1881"/>
      <c r="AG80" s="1856"/>
      <c r="AH80" s="1880" t="s">
        <v>617</v>
      </c>
      <c r="AI80" s="91" t="s">
        <v>21</v>
      </c>
      <c r="AJ80" s="91" t="s">
        <v>772</v>
      </c>
      <c r="AK80" s="91" t="s">
        <v>21</v>
      </c>
      <c r="AL80" s="91" t="s">
        <v>21</v>
      </c>
      <c r="AM80" s="1882"/>
      <c r="AN80" s="1914" t="s">
        <v>614</v>
      </c>
      <c r="AO80" s="1907" t="s">
        <v>603</v>
      </c>
      <c r="AP80" s="1788" t="s">
        <v>570</v>
      </c>
      <c r="AQ80" s="1788"/>
      <c r="AR80" s="1788" t="s">
        <v>1283</v>
      </c>
      <c r="AS80" s="2123" t="s">
        <v>571</v>
      </c>
      <c r="AT80" s="1856">
        <v>161298000</v>
      </c>
      <c r="AU80" s="1856"/>
      <c r="AV80" s="2072" t="s">
        <v>633</v>
      </c>
      <c r="AW80" s="1903" t="e">
        <f>#REF!</f>
        <v>#REF!</v>
      </c>
      <c r="AX80" s="3135" t="s">
        <v>773</v>
      </c>
      <c r="AY80" s="1879" t="s">
        <v>633</v>
      </c>
      <c r="AZ80" s="3161" t="s">
        <v>774</v>
      </c>
      <c r="BA80" s="1985" t="s">
        <v>775</v>
      </c>
      <c r="BB80" s="2149" t="s">
        <v>777</v>
      </c>
      <c r="BC80" s="2150"/>
      <c r="BD80" s="1764"/>
      <c r="BE80" s="1762"/>
      <c r="BF80" s="1762"/>
    </row>
    <row r="81" spans="1:58" ht="20.100000000000001" hidden="1" customHeight="1">
      <c r="A81" s="1792">
        <v>59</v>
      </c>
      <c r="B81" s="1790"/>
      <c r="C81" s="1790"/>
      <c r="D81" s="1791" t="s">
        <v>17</v>
      </c>
      <c r="E81" s="1790">
        <v>1</v>
      </c>
      <c r="F81" s="1791" t="s">
        <v>19</v>
      </c>
      <c r="G81" s="1788" t="s">
        <v>752</v>
      </c>
      <c r="H81" s="1791" t="s">
        <v>163</v>
      </c>
      <c r="I81" s="1786" t="s">
        <v>185</v>
      </c>
      <c r="J81" s="1791" t="s">
        <v>162</v>
      </c>
      <c r="K81" s="1790">
        <v>7</v>
      </c>
      <c r="L81" s="1791" t="s">
        <v>179</v>
      </c>
      <c r="M81" s="1790">
        <v>1</v>
      </c>
      <c r="N81" s="1790">
        <v>1</v>
      </c>
      <c r="O81" s="1790">
        <v>0</v>
      </c>
      <c r="P81" s="1829">
        <v>1</v>
      </c>
      <c r="Q81" s="1790">
        <v>1</v>
      </c>
      <c r="R81" s="1790">
        <v>1</v>
      </c>
      <c r="S81" s="1790">
        <v>50</v>
      </c>
      <c r="T81" s="91">
        <v>278355000</v>
      </c>
      <c r="U81" s="91">
        <v>278355000</v>
      </c>
      <c r="V81" s="1856">
        <v>28000000</v>
      </c>
      <c r="W81" s="1856">
        <v>0</v>
      </c>
      <c r="X81" s="1856">
        <f t="shared" si="8"/>
        <v>306355000</v>
      </c>
      <c r="Y81" s="1879" t="s">
        <v>55</v>
      </c>
      <c r="Z81" s="1879" t="s">
        <v>565</v>
      </c>
      <c r="AA81" s="1856">
        <f t="shared" si="9"/>
        <v>278355000</v>
      </c>
      <c r="AB81" s="1880"/>
      <c r="AC81" s="1856"/>
      <c r="AD81" s="1881"/>
      <c r="AE81" s="1856"/>
      <c r="AF81" s="1881"/>
      <c r="AG81" s="91"/>
      <c r="AH81" s="1880">
        <v>2017</v>
      </c>
      <c r="AI81" s="91" t="s">
        <v>21</v>
      </c>
      <c r="AJ81" s="91" t="s">
        <v>21</v>
      </c>
      <c r="AK81" s="91" t="s">
        <v>21</v>
      </c>
      <c r="AL81" s="91" t="s">
        <v>21</v>
      </c>
      <c r="AM81" s="1882"/>
      <c r="AN81" s="1907" t="s">
        <v>603</v>
      </c>
      <c r="AO81" s="1907" t="s">
        <v>603</v>
      </c>
      <c r="AP81" s="1788" t="s">
        <v>570</v>
      </c>
      <c r="AQ81" s="1788"/>
      <c r="AR81" s="1788" t="s">
        <v>1292</v>
      </c>
      <c r="AS81" s="2123" t="s">
        <v>571</v>
      </c>
      <c r="AT81" s="1856">
        <v>278355000</v>
      </c>
      <c r="AU81" s="1856"/>
      <c r="AV81" s="1879" t="s">
        <v>55</v>
      </c>
      <c r="AW81" s="1903" t="e">
        <f>#REF!</f>
        <v>#REF!</v>
      </c>
      <c r="AX81" s="1788" t="s">
        <v>21</v>
      </c>
      <c r="AY81" s="1879" t="s">
        <v>565</v>
      </c>
      <c r="AZ81" s="91" t="s">
        <v>577</v>
      </c>
      <c r="BA81" s="91"/>
      <c r="BB81" s="3185" t="s">
        <v>778</v>
      </c>
      <c r="BC81" s="2156"/>
      <c r="BD81" s="1764"/>
      <c r="BE81" s="1762"/>
      <c r="BF81" s="1762"/>
    </row>
    <row r="82" spans="1:58" ht="20.100000000000001" hidden="1" customHeight="1">
      <c r="A82" s="1792">
        <v>60</v>
      </c>
      <c r="B82" s="1790"/>
      <c r="C82" s="1790"/>
      <c r="D82" s="1791" t="s">
        <v>17</v>
      </c>
      <c r="E82" s="1790">
        <v>1</v>
      </c>
      <c r="F82" s="1791" t="s">
        <v>19</v>
      </c>
      <c r="G82" s="1788" t="s">
        <v>752</v>
      </c>
      <c r="H82" s="1791" t="s">
        <v>163</v>
      </c>
      <c r="I82" s="1786" t="s">
        <v>185</v>
      </c>
      <c r="J82" s="1791" t="s">
        <v>162</v>
      </c>
      <c r="K82" s="1790">
        <v>8</v>
      </c>
      <c r="L82" s="1791" t="s">
        <v>180</v>
      </c>
      <c r="M82" s="1790">
        <v>1</v>
      </c>
      <c r="N82" s="1790">
        <v>1</v>
      </c>
      <c r="O82" s="1790">
        <v>0</v>
      </c>
      <c r="P82" s="1829">
        <v>1</v>
      </c>
      <c r="Q82" s="1790">
        <v>1</v>
      </c>
      <c r="R82" s="1790">
        <v>1</v>
      </c>
      <c r="S82" s="1790">
        <v>51</v>
      </c>
      <c r="T82" s="1856">
        <v>272100000</v>
      </c>
      <c r="U82" s="1856">
        <v>272100000</v>
      </c>
      <c r="V82" s="1856">
        <v>40815000</v>
      </c>
      <c r="W82" s="1856">
        <v>0</v>
      </c>
      <c r="X82" s="1856">
        <f t="shared" si="8"/>
        <v>312915000</v>
      </c>
      <c r="Y82" s="1879" t="s">
        <v>62</v>
      </c>
      <c r="Z82" s="1879" t="s">
        <v>619</v>
      </c>
      <c r="AA82" s="1856">
        <v>272100000</v>
      </c>
      <c r="AB82" s="1880"/>
      <c r="AC82" s="1856"/>
      <c r="AD82" s="1881"/>
      <c r="AE82" s="1856"/>
      <c r="AF82" s="1881"/>
      <c r="AG82" s="1856">
        <f>+AA82-T82</f>
        <v>0</v>
      </c>
      <c r="AH82" s="1880" t="s">
        <v>617</v>
      </c>
      <c r="AI82" s="91" t="s">
        <v>21</v>
      </c>
      <c r="AJ82" s="91" t="s">
        <v>21</v>
      </c>
      <c r="AK82" s="91" t="s">
        <v>21</v>
      </c>
      <c r="AL82" s="91" t="s">
        <v>21</v>
      </c>
      <c r="AM82" s="1882"/>
      <c r="AN82" s="1907" t="s">
        <v>603</v>
      </c>
      <c r="AO82" s="1907" t="s">
        <v>603</v>
      </c>
      <c r="AP82" s="1788" t="s">
        <v>570</v>
      </c>
      <c r="AQ82" s="1788"/>
      <c r="AR82" s="1788" t="s">
        <v>1292</v>
      </c>
      <c r="AS82" s="2123" t="s">
        <v>571</v>
      </c>
      <c r="AT82" s="1856">
        <v>272100000</v>
      </c>
      <c r="AU82" s="1856"/>
      <c r="AV82" s="1879" t="s">
        <v>62</v>
      </c>
      <c r="AW82" s="1903" t="e">
        <f>#REF!</f>
        <v>#REF!</v>
      </c>
      <c r="AX82" s="1788" t="s">
        <v>21</v>
      </c>
      <c r="AY82" s="1879" t="s">
        <v>619</v>
      </c>
      <c r="AZ82" s="91" t="s">
        <v>577</v>
      </c>
      <c r="BA82" s="1985" t="s">
        <v>779</v>
      </c>
      <c r="BB82" s="3185" t="s">
        <v>780</v>
      </c>
      <c r="BC82" s="2156"/>
      <c r="BD82" s="1764"/>
      <c r="BE82" s="1762"/>
      <c r="BF82" s="1762"/>
    </row>
    <row r="83" spans="1:58" ht="20.100000000000001" hidden="1" customHeight="1">
      <c r="A83" s="1801">
        <v>61</v>
      </c>
      <c r="B83" s="1790"/>
      <c r="C83" s="1790"/>
      <c r="D83" s="1791" t="s">
        <v>17</v>
      </c>
      <c r="E83" s="1790">
        <v>1</v>
      </c>
      <c r="F83" s="1791" t="s">
        <v>19</v>
      </c>
      <c r="G83" s="1788" t="s">
        <v>752</v>
      </c>
      <c r="H83" s="1791" t="s">
        <v>163</v>
      </c>
      <c r="I83" s="1786" t="s">
        <v>185</v>
      </c>
      <c r="J83" s="1791" t="s">
        <v>162</v>
      </c>
      <c r="K83" s="1790">
        <v>9</v>
      </c>
      <c r="L83" s="1844" t="s">
        <v>781</v>
      </c>
      <c r="M83" s="1790">
        <v>1</v>
      </c>
      <c r="N83" s="1790">
        <v>1</v>
      </c>
      <c r="O83" s="1790">
        <v>0</v>
      </c>
      <c r="P83" s="1829">
        <v>1</v>
      </c>
      <c r="Q83" s="1790">
        <v>1</v>
      </c>
      <c r="R83" s="1790">
        <v>1</v>
      </c>
      <c r="S83" s="1790">
        <v>52</v>
      </c>
      <c r="T83" s="1856">
        <v>100000000</v>
      </c>
      <c r="U83" s="1856">
        <v>100000000</v>
      </c>
      <c r="V83" s="1856">
        <v>10000000</v>
      </c>
      <c r="W83" s="1856">
        <v>0</v>
      </c>
      <c r="X83" s="1856">
        <f t="shared" si="8"/>
        <v>110000000</v>
      </c>
      <c r="Y83" s="1879" t="s">
        <v>55</v>
      </c>
      <c r="Z83" s="1879" t="s">
        <v>565</v>
      </c>
      <c r="AA83" s="1856">
        <f>T83</f>
        <v>100000000</v>
      </c>
      <c r="AB83" s="1880"/>
      <c r="AC83" s="1856"/>
      <c r="AD83" s="1881"/>
      <c r="AE83" s="1856"/>
      <c r="AF83" s="1881"/>
      <c r="AG83" s="1856">
        <v>0</v>
      </c>
      <c r="AH83" s="1880">
        <v>2017</v>
      </c>
      <c r="AI83" s="91" t="s">
        <v>21</v>
      </c>
      <c r="AJ83" s="91" t="s">
        <v>21</v>
      </c>
      <c r="AK83" s="91" t="s">
        <v>21</v>
      </c>
      <c r="AL83" s="91" t="s">
        <v>21</v>
      </c>
      <c r="AM83" s="1882"/>
      <c r="AN83" s="1907" t="s">
        <v>603</v>
      </c>
      <c r="AO83" s="1907" t="s">
        <v>603</v>
      </c>
      <c r="AP83" s="1788" t="s">
        <v>570</v>
      </c>
      <c r="AQ83" s="1788"/>
      <c r="AR83" s="1788" t="s">
        <v>1292</v>
      </c>
      <c r="AS83" s="2123" t="s">
        <v>571</v>
      </c>
      <c r="AT83" s="1941">
        <v>100000000</v>
      </c>
      <c r="AU83" s="1941"/>
      <c r="AV83" s="1680" t="s">
        <v>55</v>
      </c>
      <c r="AW83" s="1903" t="e">
        <f>#REF!</f>
        <v>#REF!</v>
      </c>
      <c r="AX83" s="1788" t="s">
        <v>21</v>
      </c>
      <c r="AY83" s="1879" t="s">
        <v>565</v>
      </c>
      <c r="AZ83" s="91" t="s">
        <v>577</v>
      </c>
      <c r="BA83" s="91"/>
      <c r="BB83" s="2149" t="s">
        <v>782</v>
      </c>
      <c r="BC83" s="2150"/>
      <c r="BD83" s="1764"/>
      <c r="BE83" s="1762"/>
      <c r="BF83" s="1762"/>
    </row>
    <row r="84" spans="1:58" ht="20.100000000000001" customHeight="1">
      <c r="A84" s="1784">
        <v>11</v>
      </c>
      <c r="B84" s="1792"/>
      <c r="C84" s="1790"/>
      <c r="D84" s="1791" t="s">
        <v>17</v>
      </c>
      <c r="E84" s="1790">
        <v>1</v>
      </c>
      <c r="F84" s="1791" t="s">
        <v>19</v>
      </c>
      <c r="G84" s="1788" t="s">
        <v>752</v>
      </c>
      <c r="H84" s="1791" t="s">
        <v>163</v>
      </c>
      <c r="I84" s="1786" t="s">
        <v>185</v>
      </c>
      <c r="J84" s="1791" t="s">
        <v>162</v>
      </c>
      <c r="K84" s="1838">
        <v>10</v>
      </c>
      <c r="L84" s="1837" t="s">
        <v>182</v>
      </c>
      <c r="M84" s="1792">
        <v>1</v>
      </c>
      <c r="N84" s="1790">
        <v>1</v>
      </c>
      <c r="O84" s="1790">
        <v>0</v>
      </c>
      <c r="P84" s="1829">
        <v>1</v>
      </c>
      <c r="Q84" s="1790">
        <v>1</v>
      </c>
      <c r="R84" s="1790">
        <v>1</v>
      </c>
      <c r="S84" s="1790">
        <v>53</v>
      </c>
      <c r="T84" s="1856">
        <v>100000000</v>
      </c>
      <c r="U84" s="1856">
        <v>100000000</v>
      </c>
      <c r="V84" s="1856">
        <v>0</v>
      </c>
      <c r="W84" s="1856">
        <v>0</v>
      </c>
      <c r="X84" s="1856">
        <f t="shared" si="8"/>
        <v>100000000</v>
      </c>
      <c r="Y84" s="1879" t="s">
        <v>117</v>
      </c>
      <c r="Z84" s="1879" t="s">
        <v>619</v>
      </c>
      <c r="AA84" s="1856">
        <f>T84</f>
        <v>100000000</v>
      </c>
      <c r="AB84" s="1880">
        <v>1</v>
      </c>
      <c r="AC84" s="1856">
        <v>38093000</v>
      </c>
      <c r="AD84" s="1881"/>
      <c r="AE84" s="1856"/>
      <c r="AF84" s="1881"/>
      <c r="AG84" s="1856">
        <v>0</v>
      </c>
      <c r="AH84" s="1880">
        <v>2016</v>
      </c>
      <c r="AI84" s="3161" t="s">
        <v>783</v>
      </c>
      <c r="AJ84" s="91" t="s">
        <v>33</v>
      </c>
      <c r="AK84" s="91" t="s">
        <v>183</v>
      </c>
      <c r="AL84" s="91" t="s">
        <v>79</v>
      </c>
      <c r="AM84" s="1882" t="s">
        <v>581</v>
      </c>
      <c r="AN84" s="1907" t="s">
        <v>568</v>
      </c>
      <c r="AO84" s="1907" t="s">
        <v>645</v>
      </c>
      <c r="AP84" s="1788" t="s">
        <v>570</v>
      </c>
      <c r="AQ84" s="1788"/>
      <c r="AR84" s="1788" t="s">
        <v>1289</v>
      </c>
      <c r="AS84" s="2124" t="s">
        <v>1296</v>
      </c>
      <c r="AT84" s="634">
        <v>38100000</v>
      </c>
      <c r="AU84" s="635">
        <v>38100000</v>
      </c>
      <c r="AV84" s="636" t="s">
        <v>117</v>
      </c>
      <c r="AW84" s="2164" t="e">
        <f>#REF!</f>
        <v>#REF!</v>
      </c>
      <c r="AX84" s="1788" t="s">
        <v>21</v>
      </c>
      <c r="AY84" s="1879" t="s">
        <v>619</v>
      </c>
      <c r="AZ84" s="3163" t="s">
        <v>785</v>
      </c>
      <c r="BA84" s="1974"/>
      <c r="BB84" s="3185" t="s">
        <v>786</v>
      </c>
      <c r="BC84" s="3264" t="s">
        <v>1294</v>
      </c>
      <c r="BD84" s="1764" t="s">
        <v>1297</v>
      </c>
      <c r="BE84" s="1762">
        <v>1</v>
      </c>
      <c r="BF84" s="2015">
        <f>AT84</f>
        <v>38100000</v>
      </c>
    </row>
    <row r="85" spans="1:58" ht="20.100000000000001" hidden="1" customHeight="1">
      <c r="A85" s="1789">
        <v>63</v>
      </c>
      <c r="B85" s="1790"/>
      <c r="C85" s="1790"/>
      <c r="D85" s="1791" t="s">
        <v>17</v>
      </c>
      <c r="E85" s="1790">
        <v>1</v>
      </c>
      <c r="F85" s="1791" t="s">
        <v>19</v>
      </c>
      <c r="G85" s="1788" t="s">
        <v>752</v>
      </c>
      <c r="H85" s="1791" t="s">
        <v>187</v>
      </c>
      <c r="I85" s="1790" t="s">
        <v>194</v>
      </c>
      <c r="J85" s="1791" t="s">
        <v>787</v>
      </c>
      <c r="K85" s="1790">
        <v>1</v>
      </c>
      <c r="L85" s="1828" t="s">
        <v>188</v>
      </c>
      <c r="M85" s="1790">
        <v>1</v>
      </c>
      <c r="N85" s="1790">
        <v>1</v>
      </c>
      <c r="O85" s="1790">
        <v>0</v>
      </c>
      <c r="P85" s="1829">
        <v>1</v>
      </c>
      <c r="Q85" s="1790">
        <v>1</v>
      </c>
      <c r="R85" s="1790">
        <v>1</v>
      </c>
      <c r="S85" s="1790">
        <v>54</v>
      </c>
      <c r="T85" s="1856">
        <v>200000000</v>
      </c>
      <c r="U85" s="1856">
        <v>200000000</v>
      </c>
      <c r="V85" s="1856">
        <v>20000000</v>
      </c>
      <c r="W85" s="1856">
        <v>0</v>
      </c>
      <c r="X85" s="1856">
        <f t="shared" si="8"/>
        <v>220000000</v>
      </c>
      <c r="Y85" s="1879" t="s">
        <v>117</v>
      </c>
      <c r="Z85" s="1879" t="s">
        <v>619</v>
      </c>
      <c r="AA85" s="1856">
        <v>200000000</v>
      </c>
      <c r="AB85" s="1880"/>
      <c r="AC85" s="1856"/>
      <c r="AD85" s="1881"/>
      <c r="AE85" s="1856"/>
      <c r="AF85" s="1881"/>
      <c r="AG85" s="1856">
        <f>AA85-T85</f>
        <v>0</v>
      </c>
      <c r="AH85" s="1880" t="s">
        <v>617</v>
      </c>
      <c r="AI85" s="3137" t="s">
        <v>21</v>
      </c>
      <c r="AJ85" s="3137" t="s">
        <v>33</v>
      </c>
      <c r="AK85" s="3137" t="s">
        <v>189</v>
      </c>
      <c r="AL85" s="3137" t="s">
        <v>21</v>
      </c>
      <c r="AM85" s="1882"/>
      <c r="AN85" s="1914" t="s">
        <v>614</v>
      </c>
      <c r="AO85" s="1914" t="s">
        <v>729</v>
      </c>
      <c r="AP85" s="1788" t="s">
        <v>570</v>
      </c>
      <c r="AQ85" s="1788"/>
      <c r="AR85" s="1788" t="s">
        <v>1283</v>
      </c>
      <c r="AS85" s="2123" t="s">
        <v>571</v>
      </c>
      <c r="AT85" s="1939">
        <v>200000000</v>
      </c>
      <c r="AU85" s="1939"/>
      <c r="AV85" s="1682" t="s">
        <v>117</v>
      </c>
      <c r="AW85" s="1903" t="e">
        <f>#REF!</f>
        <v>#REF!</v>
      </c>
      <c r="AX85" s="1788" t="s">
        <v>21</v>
      </c>
      <c r="AY85" s="1879" t="s">
        <v>619</v>
      </c>
      <c r="AZ85" s="91" t="s">
        <v>577</v>
      </c>
      <c r="BA85" s="1985" t="s">
        <v>788</v>
      </c>
      <c r="BB85" s="2149" t="s">
        <v>789</v>
      </c>
      <c r="BC85" s="2150"/>
      <c r="BD85" s="1764"/>
      <c r="BE85" s="1762"/>
      <c r="BF85" s="1762"/>
    </row>
    <row r="86" spans="1:58" ht="20.100000000000001" hidden="1" customHeight="1">
      <c r="A86" s="1801">
        <v>64</v>
      </c>
      <c r="B86" s="1790"/>
      <c r="C86" s="1790"/>
      <c r="D86" s="1791" t="s">
        <v>17</v>
      </c>
      <c r="E86" s="1790">
        <v>1</v>
      </c>
      <c r="F86" s="1791" t="s">
        <v>19</v>
      </c>
      <c r="G86" s="1788" t="s">
        <v>752</v>
      </c>
      <c r="H86" s="1791" t="s">
        <v>187</v>
      </c>
      <c r="I86" s="1790" t="s">
        <v>185</v>
      </c>
      <c r="J86" s="1791" t="s">
        <v>787</v>
      </c>
      <c r="K86" s="1790">
        <v>2</v>
      </c>
      <c r="L86" s="1844" t="s">
        <v>190</v>
      </c>
      <c r="M86" s="1790">
        <v>1</v>
      </c>
      <c r="N86" s="1790">
        <v>1</v>
      </c>
      <c r="O86" s="1790">
        <v>0</v>
      </c>
      <c r="P86" s="1829">
        <v>1</v>
      </c>
      <c r="Q86" s="1790">
        <v>1</v>
      </c>
      <c r="R86" s="1790">
        <v>1</v>
      </c>
      <c r="S86" s="1790">
        <v>55</v>
      </c>
      <c r="T86" s="1856">
        <v>373862000</v>
      </c>
      <c r="U86" s="1856">
        <v>373862000</v>
      </c>
      <c r="V86" s="1856">
        <v>181074000</v>
      </c>
      <c r="W86" s="1856">
        <v>0</v>
      </c>
      <c r="X86" s="1856">
        <f t="shared" si="8"/>
        <v>554936000</v>
      </c>
      <c r="Y86" s="1879" t="s">
        <v>28</v>
      </c>
      <c r="Z86" s="1879" t="s">
        <v>565</v>
      </c>
      <c r="AA86" s="1856">
        <f t="shared" ref="AA86:AA96" si="10">T86</f>
        <v>373862000</v>
      </c>
      <c r="AB86" s="1880"/>
      <c r="AC86" s="1856"/>
      <c r="AD86" s="1881"/>
      <c r="AE86" s="1856"/>
      <c r="AF86" s="1881"/>
      <c r="AG86" s="1856">
        <f>AA86-T86</f>
        <v>0</v>
      </c>
      <c r="AH86" s="1880" t="s">
        <v>617</v>
      </c>
      <c r="AI86" s="3137" t="s">
        <v>21</v>
      </c>
      <c r="AJ86" s="3137" t="s">
        <v>60</v>
      </c>
      <c r="AK86" s="3137" t="s">
        <v>191</v>
      </c>
      <c r="AL86" s="3137" t="s">
        <v>21</v>
      </c>
      <c r="AM86" s="1882"/>
      <c r="AN86" s="1914" t="s">
        <v>675</v>
      </c>
      <c r="AO86" s="1914" t="s">
        <v>729</v>
      </c>
      <c r="AP86" s="1788" t="s">
        <v>570</v>
      </c>
      <c r="AQ86" s="1788"/>
      <c r="AR86" s="1788" t="s">
        <v>1292</v>
      </c>
      <c r="AS86" s="2123" t="s">
        <v>571</v>
      </c>
      <c r="AT86" s="1941">
        <v>373862000</v>
      </c>
      <c r="AU86" s="1941"/>
      <c r="AV86" s="1680" t="s">
        <v>28</v>
      </c>
      <c r="AW86" s="1903" t="e">
        <f>#REF!</f>
        <v>#REF!</v>
      </c>
      <c r="AX86" s="1788" t="s">
        <v>765</v>
      </c>
      <c r="AY86" s="1879" t="s">
        <v>565</v>
      </c>
      <c r="AZ86" s="91" t="s">
        <v>577</v>
      </c>
      <c r="BA86" s="91"/>
      <c r="BB86" s="2149" t="s">
        <v>790</v>
      </c>
      <c r="BC86" s="2150"/>
      <c r="BD86" s="1764"/>
      <c r="BE86" s="1762"/>
      <c r="BF86" s="1762"/>
    </row>
    <row r="87" spans="1:58" ht="20.100000000000001" customHeight="1">
      <c r="A87" s="1784">
        <v>12</v>
      </c>
      <c r="B87" s="1792"/>
      <c r="C87" s="1790"/>
      <c r="D87" s="1791" t="s">
        <v>17</v>
      </c>
      <c r="E87" s="1790">
        <v>1</v>
      </c>
      <c r="F87" s="1791" t="s">
        <v>19</v>
      </c>
      <c r="G87" s="1788" t="s">
        <v>752</v>
      </c>
      <c r="H87" s="1791" t="s">
        <v>187</v>
      </c>
      <c r="I87" s="1790" t="s">
        <v>185</v>
      </c>
      <c r="J87" s="1791" t="s">
        <v>787</v>
      </c>
      <c r="K87" s="1838">
        <v>3</v>
      </c>
      <c r="L87" s="1837" t="s">
        <v>192</v>
      </c>
      <c r="M87" s="1792">
        <v>1</v>
      </c>
      <c r="N87" s="1790">
        <v>1</v>
      </c>
      <c r="O87" s="1790">
        <v>0</v>
      </c>
      <c r="P87" s="1829">
        <v>1</v>
      </c>
      <c r="Q87" s="1790">
        <v>1</v>
      </c>
      <c r="R87" s="1790">
        <v>1</v>
      </c>
      <c r="S87" s="1790">
        <v>56</v>
      </c>
      <c r="T87" s="1856">
        <v>50000000</v>
      </c>
      <c r="U87" s="1856">
        <v>50000000</v>
      </c>
      <c r="V87" s="1856">
        <v>0</v>
      </c>
      <c r="W87" s="1856">
        <v>0</v>
      </c>
      <c r="X87" s="1856">
        <f t="shared" si="8"/>
        <v>50000000</v>
      </c>
      <c r="Y87" s="1879" t="s">
        <v>117</v>
      </c>
      <c r="Z87" s="1879" t="s">
        <v>619</v>
      </c>
      <c r="AA87" s="1856">
        <f t="shared" si="10"/>
        <v>50000000</v>
      </c>
      <c r="AB87" s="1880">
        <v>1</v>
      </c>
      <c r="AC87" s="1856">
        <v>2000000</v>
      </c>
      <c r="AD87" s="1881"/>
      <c r="AE87" s="1856"/>
      <c r="AF87" s="1881"/>
      <c r="AG87" s="1856">
        <f>AA87-T87</f>
        <v>0</v>
      </c>
      <c r="AH87" s="1880">
        <v>2016</v>
      </c>
      <c r="AI87" s="3161" t="s">
        <v>791</v>
      </c>
      <c r="AJ87" s="91" t="s">
        <v>33</v>
      </c>
      <c r="AK87" s="91" t="s">
        <v>183</v>
      </c>
      <c r="AL87" s="91" t="s">
        <v>79</v>
      </c>
      <c r="AM87" s="1882" t="s">
        <v>581</v>
      </c>
      <c r="AN87" s="1907" t="s">
        <v>568</v>
      </c>
      <c r="AO87" s="1907" t="s">
        <v>645</v>
      </c>
      <c r="AP87" s="1788" t="s">
        <v>570</v>
      </c>
      <c r="AQ87" s="1788"/>
      <c r="AR87" s="1788" t="s">
        <v>1289</v>
      </c>
      <c r="AS87" s="2124" t="s">
        <v>1298</v>
      </c>
      <c r="AT87" s="634">
        <v>2000000</v>
      </c>
      <c r="AU87" s="635">
        <v>2000000</v>
      </c>
      <c r="AV87" s="636" t="s">
        <v>117</v>
      </c>
      <c r="AW87" s="2164" t="e">
        <f>#REF!</f>
        <v>#REF!</v>
      </c>
      <c r="AX87" s="1788" t="s">
        <v>21</v>
      </c>
      <c r="AY87" s="1879" t="s">
        <v>619</v>
      </c>
      <c r="AZ87" s="3163" t="s">
        <v>793</v>
      </c>
      <c r="BA87" s="1974"/>
      <c r="BB87" s="2149" t="s">
        <v>794</v>
      </c>
      <c r="BC87" s="3264" t="s">
        <v>1294</v>
      </c>
      <c r="BD87" s="1764" t="s">
        <v>1297</v>
      </c>
      <c r="BE87" s="1762">
        <v>1</v>
      </c>
      <c r="BF87" s="2015">
        <f>AT87</f>
        <v>2000000</v>
      </c>
    </row>
    <row r="88" spans="1:58" ht="20.100000000000001" hidden="1" customHeight="1">
      <c r="A88" s="1789">
        <v>66</v>
      </c>
      <c r="B88" s="1790"/>
      <c r="C88" s="1790"/>
      <c r="D88" s="1791" t="s">
        <v>17</v>
      </c>
      <c r="E88" s="1790">
        <v>1</v>
      </c>
      <c r="F88" s="1791" t="s">
        <v>19</v>
      </c>
      <c r="G88" s="1788" t="s">
        <v>752</v>
      </c>
      <c r="H88" s="1791" t="s">
        <v>196</v>
      </c>
      <c r="I88" s="1790" t="s">
        <v>194</v>
      </c>
      <c r="J88" s="2040" t="s">
        <v>195</v>
      </c>
      <c r="K88" s="2041">
        <v>1</v>
      </c>
      <c r="L88" s="1828" t="s">
        <v>197</v>
      </c>
      <c r="M88" s="1790">
        <v>1</v>
      </c>
      <c r="N88" s="1790">
        <v>1</v>
      </c>
      <c r="O88" s="1790">
        <v>0</v>
      </c>
      <c r="P88" s="1829">
        <v>1</v>
      </c>
      <c r="Q88" s="1790">
        <v>1</v>
      </c>
      <c r="R88" s="1790">
        <v>1</v>
      </c>
      <c r="S88" s="1790">
        <v>57</v>
      </c>
      <c r="T88" s="1856">
        <v>662200000</v>
      </c>
      <c r="U88" s="1856">
        <v>662200000</v>
      </c>
      <c r="V88" s="1856">
        <v>460700000</v>
      </c>
      <c r="W88" s="1856">
        <v>0</v>
      </c>
      <c r="X88" s="1856">
        <f t="shared" si="8"/>
        <v>1122900000</v>
      </c>
      <c r="Y88" s="1879" t="s">
        <v>795</v>
      </c>
      <c r="Z88" s="1879" t="s">
        <v>796</v>
      </c>
      <c r="AA88" s="1856">
        <f t="shared" si="10"/>
        <v>662200000</v>
      </c>
      <c r="AB88" s="1880"/>
      <c r="AC88" s="1856"/>
      <c r="AD88" s="1881"/>
      <c r="AE88" s="1856">
        <v>662200000</v>
      </c>
      <c r="AF88" s="1881" t="e">
        <f>#REF!-#REF!</f>
        <v>#REF!</v>
      </c>
      <c r="AG88" s="1856">
        <f>AA88-T88</f>
        <v>0</v>
      </c>
      <c r="AH88" s="1880">
        <v>2018</v>
      </c>
      <c r="AI88" s="3137" t="s">
        <v>21</v>
      </c>
      <c r="AJ88" s="3137" t="s">
        <v>797</v>
      </c>
      <c r="AK88" s="3137" t="s">
        <v>798</v>
      </c>
      <c r="AL88" s="3137" t="s">
        <v>21</v>
      </c>
      <c r="AM88" s="1882"/>
      <c r="AN88" s="1907" t="s">
        <v>603</v>
      </c>
      <c r="AO88" s="1914" t="s">
        <v>729</v>
      </c>
      <c r="AP88" s="1788" t="s">
        <v>570</v>
      </c>
      <c r="AQ88" s="1788"/>
      <c r="AR88" s="1788" t="s">
        <v>1283</v>
      </c>
      <c r="AS88" s="2123" t="s">
        <v>571</v>
      </c>
      <c r="AT88" s="1939">
        <v>662200000</v>
      </c>
      <c r="AU88" s="1939"/>
      <c r="AV88" s="2125" t="s">
        <v>633</v>
      </c>
      <c r="AW88" s="1903" t="e">
        <f>#REF!</f>
        <v>#REF!</v>
      </c>
      <c r="AX88" s="1788" t="s">
        <v>21</v>
      </c>
      <c r="AY88" s="1879" t="s">
        <v>796</v>
      </c>
      <c r="AZ88" s="3161" t="s">
        <v>799</v>
      </c>
      <c r="BA88" s="91"/>
      <c r="BB88" s="2149" t="s">
        <v>800</v>
      </c>
      <c r="BC88" s="2150"/>
      <c r="BD88" s="1764"/>
      <c r="BE88" s="1762"/>
      <c r="BF88" s="1762"/>
    </row>
    <row r="89" spans="1:58" ht="20.100000000000001" hidden="1" customHeight="1">
      <c r="A89" s="1792">
        <v>67</v>
      </c>
      <c r="B89" s="1790"/>
      <c r="C89" s="1790"/>
      <c r="D89" s="1791" t="s">
        <v>17</v>
      </c>
      <c r="E89" s="1790">
        <v>1</v>
      </c>
      <c r="F89" s="1791" t="s">
        <v>19</v>
      </c>
      <c r="G89" s="1788" t="s">
        <v>752</v>
      </c>
      <c r="H89" s="1791" t="s">
        <v>196</v>
      </c>
      <c r="I89" s="1790" t="s">
        <v>194</v>
      </c>
      <c r="J89" s="2040" t="s">
        <v>195</v>
      </c>
      <c r="K89" s="2041">
        <v>2</v>
      </c>
      <c r="L89" s="1791" t="s">
        <v>199</v>
      </c>
      <c r="M89" s="1790">
        <v>1</v>
      </c>
      <c r="N89" s="1790">
        <v>1</v>
      </c>
      <c r="O89" s="1790">
        <v>0</v>
      </c>
      <c r="P89" s="1829">
        <v>1</v>
      </c>
      <c r="Q89" s="1790">
        <v>1</v>
      </c>
      <c r="R89" s="1790">
        <v>1</v>
      </c>
      <c r="S89" s="1790">
        <v>58</v>
      </c>
      <c r="T89" s="1856">
        <v>200000000</v>
      </c>
      <c r="U89" s="1856">
        <v>200000000</v>
      </c>
      <c r="V89" s="1856">
        <v>20000000</v>
      </c>
      <c r="W89" s="1856">
        <v>0</v>
      </c>
      <c r="X89" s="1856">
        <f t="shared" si="8"/>
        <v>220000000</v>
      </c>
      <c r="Y89" s="1879" t="s">
        <v>795</v>
      </c>
      <c r="Z89" s="1879" t="s">
        <v>796</v>
      </c>
      <c r="AA89" s="1856">
        <f t="shared" si="10"/>
        <v>200000000</v>
      </c>
      <c r="AB89" s="1880"/>
      <c r="AC89" s="1856"/>
      <c r="AD89" s="1881"/>
      <c r="AE89" s="1856">
        <v>200000000</v>
      </c>
      <c r="AF89" s="1881" t="e">
        <f>#REF!-#REF!</f>
        <v>#REF!</v>
      </c>
      <c r="AG89" s="1856">
        <v>0</v>
      </c>
      <c r="AH89" s="1880">
        <v>2016</v>
      </c>
      <c r="AI89" s="3137" t="s">
        <v>21</v>
      </c>
      <c r="AJ89" s="3137" t="s">
        <v>97</v>
      </c>
      <c r="AK89" s="3137" t="s">
        <v>801</v>
      </c>
      <c r="AL89" s="3137" t="s">
        <v>21</v>
      </c>
      <c r="AM89" s="1882"/>
      <c r="AN89" s="3186" t="s">
        <v>608</v>
      </c>
      <c r="AO89" s="1914" t="s">
        <v>729</v>
      </c>
      <c r="AP89" s="1788" t="s">
        <v>570</v>
      </c>
      <c r="AQ89" s="1788"/>
      <c r="AR89" s="1788" t="s">
        <v>1283</v>
      </c>
      <c r="AS89" s="2123" t="s">
        <v>571</v>
      </c>
      <c r="AT89" s="1856">
        <v>200000000</v>
      </c>
      <c r="AU89" s="1856"/>
      <c r="AV89" s="2072" t="s">
        <v>633</v>
      </c>
      <c r="AW89" s="1903" t="e">
        <f>#REF!</f>
        <v>#REF!</v>
      </c>
      <c r="AX89" s="1788" t="s">
        <v>21</v>
      </c>
      <c r="AY89" s="1879" t="s">
        <v>796</v>
      </c>
      <c r="AZ89" s="3161" t="s">
        <v>799</v>
      </c>
      <c r="BA89" s="91"/>
      <c r="BB89" s="3185" t="s">
        <v>802</v>
      </c>
      <c r="BC89" s="2156"/>
      <c r="BD89" s="1764"/>
      <c r="BE89" s="1762"/>
      <c r="BF89" s="1762"/>
    </row>
    <row r="90" spans="1:58" ht="20.100000000000001" hidden="1" customHeight="1">
      <c r="A90" s="1792">
        <v>68</v>
      </c>
      <c r="B90" s="1790"/>
      <c r="C90" s="1790"/>
      <c r="D90" s="1791" t="s">
        <v>17</v>
      </c>
      <c r="E90" s="1790">
        <v>1</v>
      </c>
      <c r="F90" s="1791" t="s">
        <v>19</v>
      </c>
      <c r="G90" s="1788" t="s">
        <v>752</v>
      </c>
      <c r="H90" s="1791" t="s">
        <v>196</v>
      </c>
      <c r="I90" s="1790" t="s">
        <v>194</v>
      </c>
      <c r="J90" s="2040" t="s">
        <v>195</v>
      </c>
      <c r="K90" s="2041">
        <v>3</v>
      </c>
      <c r="L90" s="1791" t="s">
        <v>201</v>
      </c>
      <c r="M90" s="1790">
        <v>1</v>
      </c>
      <c r="N90" s="1790">
        <v>1</v>
      </c>
      <c r="O90" s="1790">
        <v>0</v>
      </c>
      <c r="P90" s="1829">
        <v>1</v>
      </c>
      <c r="Q90" s="1790">
        <v>1</v>
      </c>
      <c r="R90" s="1790">
        <v>1</v>
      </c>
      <c r="S90" s="1790">
        <v>59</v>
      </c>
      <c r="T90" s="1856">
        <v>200000000</v>
      </c>
      <c r="U90" s="1856">
        <v>200000000</v>
      </c>
      <c r="V90" s="1856">
        <v>170000000</v>
      </c>
      <c r="W90" s="1856">
        <v>0</v>
      </c>
      <c r="X90" s="1856">
        <f t="shared" si="8"/>
        <v>370000000</v>
      </c>
      <c r="Y90" s="1879" t="s">
        <v>795</v>
      </c>
      <c r="Z90" s="1879" t="s">
        <v>796</v>
      </c>
      <c r="AA90" s="1856">
        <f t="shared" si="10"/>
        <v>200000000</v>
      </c>
      <c r="AB90" s="1880"/>
      <c r="AC90" s="1856"/>
      <c r="AD90" s="1881"/>
      <c r="AE90" s="1856">
        <v>200000000</v>
      </c>
      <c r="AF90" s="1881" t="e">
        <f>#REF!-#REF!</f>
        <v>#REF!</v>
      </c>
      <c r="AG90" s="1856">
        <f t="shared" ref="AG90:AG95" si="11">AA90-T90</f>
        <v>0</v>
      </c>
      <c r="AH90" s="1880">
        <v>2017</v>
      </c>
      <c r="AI90" s="3137" t="s">
        <v>21</v>
      </c>
      <c r="AJ90" s="3137" t="s">
        <v>803</v>
      </c>
      <c r="AK90" s="3137" t="s">
        <v>798</v>
      </c>
      <c r="AL90" s="3137" t="s">
        <v>21</v>
      </c>
      <c r="AM90" s="1882"/>
      <c r="AN90" s="3186" t="s">
        <v>608</v>
      </c>
      <c r="AO90" s="1914" t="s">
        <v>729</v>
      </c>
      <c r="AP90" s="1788" t="s">
        <v>570</v>
      </c>
      <c r="AQ90" s="1788"/>
      <c r="AR90" s="1788" t="s">
        <v>1292</v>
      </c>
      <c r="AS90" s="2123" t="s">
        <v>571</v>
      </c>
      <c r="AT90" s="1856">
        <v>200000000</v>
      </c>
      <c r="AU90" s="1856"/>
      <c r="AV90" s="2072" t="s">
        <v>633</v>
      </c>
      <c r="AW90" s="1903" t="e">
        <f>#REF!</f>
        <v>#REF!</v>
      </c>
      <c r="AX90" s="1788" t="s">
        <v>21</v>
      </c>
      <c r="AY90" s="1879" t="s">
        <v>796</v>
      </c>
      <c r="AZ90" s="3161" t="s">
        <v>799</v>
      </c>
      <c r="BA90" s="91"/>
      <c r="BB90" s="3187" t="s">
        <v>804</v>
      </c>
      <c r="BC90" s="1984"/>
      <c r="BD90" s="1764"/>
      <c r="BE90" s="1762"/>
      <c r="BF90" s="1762"/>
    </row>
    <row r="91" spans="1:58" ht="20.100000000000001" hidden="1" customHeight="1">
      <c r="A91" s="1792">
        <v>69</v>
      </c>
      <c r="B91" s="1790"/>
      <c r="C91" s="1790"/>
      <c r="D91" s="1791" t="s">
        <v>17</v>
      </c>
      <c r="E91" s="1790">
        <v>1</v>
      </c>
      <c r="F91" s="1791" t="s">
        <v>19</v>
      </c>
      <c r="G91" s="1788" t="s">
        <v>752</v>
      </c>
      <c r="H91" s="1791" t="s">
        <v>196</v>
      </c>
      <c r="I91" s="1790" t="s">
        <v>194</v>
      </c>
      <c r="J91" s="2040" t="s">
        <v>195</v>
      </c>
      <c r="K91" s="2041">
        <v>4</v>
      </c>
      <c r="L91" s="1791" t="s">
        <v>203</v>
      </c>
      <c r="M91" s="1790">
        <v>1</v>
      </c>
      <c r="N91" s="1790">
        <v>1</v>
      </c>
      <c r="O91" s="1790">
        <v>0</v>
      </c>
      <c r="P91" s="1829">
        <v>1</v>
      </c>
      <c r="Q91" s="1790">
        <v>1</v>
      </c>
      <c r="R91" s="1790">
        <v>1</v>
      </c>
      <c r="S91" s="1790">
        <v>60</v>
      </c>
      <c r="T91" s="1788">
        <v>258000000</v>
      </c>
      <c r="U91" s="1788">
        <v>258000000</v>
      </c>
      <c r="V91" s="1856">
        <v>227000000</v>
      </c>
      <c r="W91" s="1856">
        <v>0</v>
      </c>
      <c r="X91" s="1856">
        <f t="shared" si="8"/>
        <v>485000000</v>
      </c>
      <c r="Y91" s="1879" t="s">
        <v>58</v>
      </c>
      <c r="Z91" s="1879" t="s">
        <v>619</v>
      </c>
      <c r="AA91" s="1856">
        <f t="shared" si="10"/>
        <v>258000000</v>
      </c>
      <c r="AB91" s="1880"/>
      <c r="AC91" s="1856"/>
      <c r="AD91" s="1881"/>
      <c r="AE91" s="1856"/>
      <c r="AF91" s="1881"/>
      <c r="AG91" s="91">
        <f t="shared" si="11"/>
        <v>0</v>
      </c>
      <c r="AH91" s="1880" t="s">
        <v>617</v>
      </c>
      <c r="AI91" s="3137" t="s">
        <v>21</v>
      </c>
      <c r="AJ91" s="3137" t="s">
        <v>805</v>
      </c>
      <c r="AK91" s="3137" t="s">
        <v>806</v>
      </c>
      <c r="AL91" s="3137" t="s">
        <v>21</v>
      </c>
      <c r="AM91" s="1882"/>
      <c r="AN91" s="3186" t="s">
        <v>608</v>
      </c>
      <c r="AO91" s="1914" t="s">
        <v>729</v>
      </c>
      <c r="AP91" s="1788" t="s">
        <v>570</v>
      </c>
      <c r="AQ91" s="1788"/>
      <c r="AR91" s="1788" t="s">
        <v>1292</v>
      </c>
      <c r="AS91" s="2123" t="s">
        <v>571</v>
      </c>
      <c r="AT91" s="1856">
        <v>258000000</v>
      </c>
      <c r="AU91" s="1856"/>
      <c r="AV91" s="1879" t="s">
        <v>58</v>
      </c>
      <c r="AW91" s="1903" t="e">
        <f>#REF!</f>
        <v>#REF!</v>
      </c>
      <c r="AX91" s="1788" t="s">
        <v>21</v>
      </c>
      <c r="AY91" s="1879" t="s">
        <v>619</v>
      </c>
      <c r="AZ91" s="91" t="s">
        <v>577</v>
      </c>
      <c r="BA91" s="91"/>
      <c r="BB91" s="1975" t="s">
        <v>807</v>
      </c>
      <c r="BC91" s="1976"/>
      <c r="BD91" s="1764"/>
      <c r="BE91" s="1762"/>
      <c r="BF91" s="1762"/>
    </row>
    <row r="92" spans="1:58" ht="19.5" hidden="1" customHeight="1">
      <c r="A92" s="1792">
        <v>70</v>
      </c>
      <c r="B92" s="1790"/>
      <c r="C92" s="1790"/>
      <c r="D92" s="1791" t="s">
        <v>17</v>
      </c>
      <c r="E92" s="1790">
        <v>1</v>
      </c>
      <c r="F92" s="1791" t="s">
        <v>19</v>
      </c>
      <c r="G92" s="1788" t="s">
        <v>752</v>
      </c>
      <c r="H92" s="1791" t="s">
        <v>196</v>
      </c>
      <c r="I92" s="1790" t="s">
        <v>194</v>
      </c>
      <c r="J92" s="2040" t="s">
        <v>195</v>
      </c>
      <c r="K92" s="2041">
        <v>5</v>
      </c>
      <c r="L92" s="1791" t="s">
        <v>204</v>
      </c>
      <c r="M92" s="1790">
        <v>1</v>
      </c>
      <c r="N92" s="1790">
        <v>1</v>
      </c>
      <c r="O92" s="1790">
        <v>0</v>
      </c>
      <c r="P92" s="1829">
        <v>1</v>
      </c>
      <c r="Q92" s="1790">
        <v>1</v>
      </c>
      <c r="R92" s="1790">
        <v>1</v>
      </c>
      <c r="S92" s="1790">
        <v>61</v>
      </c>
      <c r="T92" s="1856">
        <v>200000000</v>
      </c>
      <c r="U92" s="1856">
        <v>200000000</v>
      </c>
      <c r="V92" s="1856">
        <v>20000000</v>
      </c>
      <c r="W92" s="1856">
        <v>0</v>
      </c>
      <c r="X92" s="1856">
        <f t="shared" si="8"/>
        <v>220000000</v>
      </c>
      <c r="Y92" s="1879" t="s">
        <v>27</v>
      </c>
      <c r="Z92" s="1879" t="s">
        <v>565</v>
      </c>
      <c r="AA92" s="1856">
        <f t="shared" si="10"/>
        <v>200000000</v>
      </c>
      <c r="AB92" s="1880"/>
      <c r="AC92" s="1856"/>
      <c r="AD92" s="1881"/>
      <c r="AE92" s="1856"/>
      <c r="AF92" s="1881"/>
      <c r="AG92" s="1856">
        <f t="shared" si="11"/>
        <v>0</v>
      </c>
      <c r="AH92" s="1880">
        <v>2018</v>
      </c>
      <c r="AI92" s="3137" t="s">
        <v>21</v>
      </c>
      <c r="AJ92" s="3137" t="s">
        <v>808</v>
      </c>
      <c r="AK92" s="3137" t="s">
        <v>806</v>
      </c>
      <c r="AL92" s="3137" t="s">
        <v>21</v>
      </c>
      <c r="AM92" s="1882"/>
      <c r="AN92" s="3188" t="s">
        <v>568</v>
      </c>
      <c r="AO92" s="1914" t="s">
        <v>729</v>
      </c>
      <c r="AP92" s="1788" t="s">
        <v>570</v>
      </c>
      <c r="AQ92" s="1788"/>
      <c r="AR92" s="1788" t="s">
        <v>1292</v>
      </c>
      <c r="AS92" s="2123" t="s">
        <v>571</v>
      </c>
      <c r="AT92" s="1856">
        <v>200000000</v>
      </c>
      <c r="AU92" s="1856"/>
      <c r="AV92" s="1879" t="s">
        <v>27</v>
      </c>
      <c r="AW92" s="1903" t="e">
        <f>#REF!</f>
        <v>#REF!</v>
      </c>
      <c r="AX92" s="1788" t="s">
        <v>21</v>
      </c>
      <c r="AY92" s="1879" t="s">
        <v>565</v>
      </c>
      <c r="AZ92" s="91" t="s">
        <v>577</v>
      </c>
      <c r="BA92" s="91"/>
      <c r="BB92" s="1975" t="s">
        <v>809</v>
      </c>
      <c r="BC92" s="1976"/>
      <c r="BD92" s="1764"/>
      <c r="BE92" s="1762"/>
      <c r="BF92" s="1762"/>
    </row>
    <row r="93" spans="1:58" ht="20.100000000000001" hidden="1" customHeight="1">
      <c r="A93" s="1792">
        <v>71</v>
      </c>
      <c r="B93" s="1790"/>
      <c r="C93" s="1790"/>
      <c r="D93" s="1791" t="s">
        <v>17</v>
      </c>
      <c r="E93" s="1790">
        <v>1</v>
      </c>
      <c r="F93" s="1791" t="s">
        <v>19</v>
      </c>
      <c r="G93" s="1788" t="s">
        <v>752</v>
      </c>
      <c r="H93" s="1791" t="s">
        <v>196</v>
      </c>
      <c r="I93" s="1790" t="s">
        <v>194</v>
      </c>
      <c r="J93" s="2040" t="s">
        <v>195</v>
      </c>
      <c r="K93" s="2041">
        <v>6</v>
      </c>
      <c r="L93" s="1791" t="s">
        <v>206</v>
      </c>
      <c r="M93" s="1790">
        <v>1</v>
      </c>
      <c r="N93" s="1790">
        <v>1</v>
      </c>
      <c r="O93" s="1790">
        <v>0</v>
      </c>
      <c r="P93" s="1829">
        <v>1</v>
      </c>
      <c r="Q93" s="1790">
        <v>1</v>
      </c>
      <c r="R93" s="1790">
        <v>1</v>
      </c>
      <c r="S93" s="1790">
        <v>62</v>
      </c>
      <c r="T93" s="1856">
        <v>128250000</v>
      </c>
      <c r="U93" s="1856">
        <v>128250000</v>
      </c>
      <c r="V93" s="1856">
        <v>21000000</v>
      </c>
      <c r="W93" s="1856">
        <v>0</v>
      </c>
      <c r="X93" s="1856">
        <f t="shared" si="8"/>
        <v>149250000</v>
      </c>
      <c r="Y93" s="1879" t="s">
        <v>27</v>
      </c>
      <c r="Z93" s="1879" t="s">
        <v>565</v>
      </c>
      <c r="AA93" s="1856">
        <f t="shared" si="10"/>
        <v>128250000</v>
      </c>
      <c r="AB93" s="1880"/>
      <c r="AC93" s="1856"/>
      <c r="AD93" s="1881"/>
      <c r="AE93" s="1856"/>
      <c r="AF93" s="1881"/>
      <c r="AG93" s="1856">
        <f t="shared" si="11"/>
        <v>0</v>
      </c>
      <c r="AH93" s="1880">
        <v>2019</v>
      </c>
      <c r="AI93" s="3137" t="s">
        <v>21</v>
      </c>
      <c r="AJ93" s="3137" t="s">
        <v>810</v>
      </c>
      <c r="AK93" s="3137" t="s">
        <v>811</v>
      </c>
      <c r="AL93" s="3137" t="s">
        <v>21</v>
      </c>
      <c r="AM93" s="1882"/>
      <c r="AN93" s="3186" t="s">
        <v>608</v>
      </c>
      <c r="AO93" s="1914" t="s">
        <v>729</v>
      </c>
      <c r="AP93" s="1788" t="s">
        <v>570</v>
      </c>
      <c r="AQ93" s="1788"/>
      <c r="AR93" s="1788" t="s">
        <v>1283</v>
      </c>
      <c r="AS93" s="2123" t="s">
        <v>571</v>
      </c>
      <c r="AT93" s="1856">
        <v>128250000</v>
      </c>
      <c r="AU93" s="1856"/>
      <c r="AV93" s="1879" t="s">
        <v>27</v>
      </c>
      <c r="AW93" s="1903" t="e">
        <f>#REF!</f>
        <v>#REF!</v>
      </c>
      <c r="AX93" s="1788" t="s">
        <v>21</v>
      </c>
      <c r="AY93" s="1879" t="s">
        <v>565</v>
      </c>
      <c r="AZ93" s="91" t="s">
        <v>577</v>
      </c>
      <c r="BA93" s="91"/>
      <c r="BB93" s="1975" t="s">
        <v>812</v>
      </c>
      <c r="BC93" s="1976"/>
      <c r="BD93" s="1764"/>
      <c r="BE93" s="1762"/>
      <c r="BF93" s="1762"/>
    </row>
    <row r="94" spans="1:58" ht="20.100000000000001" hidden="1" customHeight="1">
      <c r="A94" s="1792">
        <v>72</v>
      </c>
      <c r="B94" s="1790"/>
      <c r="C94" s="1790"/>
      <c r="D94" s="1791" t="s">
        <v>17</v>
      </c>
      <c r="E94" s="1790">
        <v>1</v>
      </c>
      <c r="F94" s="1791" t="s">
        <v>19</v>
      </c>
      <c r="G94" s="1788" t="s">
        <v>752</v>
      </c>
      <c r="H94" s="1791" t="s">
        <v>196</v>
      </c>
      <c r="I94" s="1790" t="s">
        <v>194</v>
      </c>
      <c r="J94" s="2040" t="s">
        <v>195</v>
      </c>
      <c r="K94" s="2041">
        <v>7</v>
      </c>
      <c r="L94" s="1791" t="s">
        <v>208</v>
      </c>
      <c r="M94" s="1790">
        <v>1</v>
      </c>
      <c r="N94" s="1790">
        <v>1</v>
      </c>
      <c r="O94" s="1790">
        <v>0</v>
      </c>
      <c r="P94" s="1829">
        <v>1</v>
      </c>
      <c r="Q94" s="1790">
        <v>1</v>
      </c>
      <c r="R94" s="1790">
        <v>1</v>
      </c>
      <c r="S94" s="1790">
        <v>63</v>
      </c>
      <c r="T94" s="1856">
        <v>70000000</v>
      </c>
      <c r="U94" s="1856">
        <v>70000000</v>
      </c>
      <c r="V94" s="1856">
        <v>7000000</v>
      </c>
      <c r="W94" s="1856">
        <v>0</v>
      </c>
      <c r="X94" s="1856">
        <f t="shared" si="8"/>
        <v>77000000</v>
      </c>
      <c r="Y94" s="1879" t="s">
        <v>27</v>
      </c>
      <c r="Z94" s="1879" t="s">
        <v>565</v>
      </c>
      <c r="AA94" s="1856">
        <f t="shared" si="10"/>
        <v>70000000</v>
      </c>
      <c r="AB94" s="1880"/>
      <c r="AC94" s="1856"/>
      <c r="AD94" s="1881"/>
      <c r="AE94" s="1856"/>
      <c r="AF94" s="1881"/>
      <c r="AG94" s="1856">
        <f t="shared" si="11"/>
        <v>0</v>
      </c>
      <c r="AH94" s="1880">
        <v>2017</v>
      </c>
      <c r="AI94" s="3137" t="s">
        <v>21</v>
      </c>
      <c r="AJ94" s="3137" t="s">
        <v>813</v>
      </c>
      <c r="AK94" s="3137" t="s">
        <v>811</v>
      </c>
      <c r="AL94" s="3137" t="s">
        <v>21</v>
      </c>
      <c r="AM94" s="1882"/>
      <c r="AN94" s="3188" t="s">
        <v>568</v>
      </c>
      <c r="AO94" s="1914" t="s">
        <v>729</v>
      </c>
      <c r="AP94" s="1788" t="s">
        <v>570</v>
      </c>
      <c r="AQ94" s="1788"/>
      <c r="AR94" s="1788" t="s">
        <v>1283</v>
      </c>
      <c r="AS94" s="2123" t="s">
        <v>571</v>
      </c>
      <c r="AT94" s="1856">
        <v>70000000</v>
      </c>
      <c r="AU94" s="1856"/>
      <c r="AV94" s="1879" t="s">
        <v>27</v>
      </c>
      <c r="AW94" s="1903" t="e">
        <f>#REF!</f>
        <v>#REF!</v>
      </c>
      <c r="AX94" s="1788" t="s">
        <v>21</v>
      </c>
      <c r="AY94" s="1879" t="s">
        <v>565</v>
      </c>
      <c r="AZ94" s="91" t="s">
        <v>577</v>
      </c>
      <c r="BA94" s="91"/>
      <c r="BB94" s="1975" t="s">
        <v>814</v>
      </c>
      <c r="BC94" s="1976"/>
      <c r="BD94" s="1764"/>
      <c r="BE94" s="1762"/>
      <c r="BF94" s="1762"/>
    </row>
    <row r="95" spans="1:58" ht="20.100000000000001" hidden="1" customHeight="1">
      <c r="A95" s="1792">
        <v>73</v>
      </c>
      <c r="B95" s="1790"/>
      <c r="C95" s="1790"/>
      <c r="D95" s="1791" t="s">
        <v>17</v>
      </c>
      <c r="E95" s="1790">
        <v>1</v>
      </c>
      <c r="F95" s="1791" t="s">
        <v>19</v>
      </c>
      <c r="G95" s="1788" t="s">
        <v>752</v>
      </c>
      <c r="H95" s="1791" t="s">
        <v>196</v>
      </c>
      <c r="I95" s="1790" t="s">
        <v>194</v>
      </c>
      <c r="J95" s="2040" t="s">
        <v>195</v>
      </c>
      <c r="K95" s="2041">
        <v>8</v>
      </c>
      <c r="L95" s="1791" t="s">
        <v>210</v>
      </c>
      <c r="M95" s="1790">
        <v>1</v>
      </c>
      <c r="N95" s="1790">
        <v>1</v>
      </c>
      <c r="O95" s="1790">
        <v>0</v>
      </c>
      <c r="P95" s="1829">
        <v>1</v>
      </c>
      <c r="Q95" s="1790">
        <v>1</v>
      </c>
      <c r="R95" s="1790">
        <v>1</v>
      </c>
      <c r="S95" s="1790">
        <v>64</v>
      </c>
      <c r="T95" s="1856">
        <v>110000000</v>
      </c>
      <c r="U95" s="1856">
        <v>110000000</v>
      </c>
      <c r="V95" s="1856">
        <v>11000000</v>
      </c>
      <c r="W95" s="1856">
        <v>0</v>
      </c>
      <c r="X95" s="1856">
        <f t="shared" si="8"/>
        <v>121000000</v>
      </c>
      <c r="Y95" s="1879" t="s">
        <v>795</v>
      </c>
      <c r="Z95" s="1879" t="s">
        <v>796</v>
      </c>
      <c r="AA95" s="1856">
        <f t="shared" si="10"/>
        <v>110000000</v>
      </c>
      <c r="AB95" s="1880"/>
      <c r="AC95" s="1856"/>
      <c r="AD95" s="1881"/>
      <c r="AE95" s="1856">
        <v>110000000</v>
      </c>
      <c r="AF95" s="1881" t="e">
        <f>#REF!-#REF!</f>
        <v>#REF!</v>
      </c>
      <c r="AG95" s="1856">
        <f t="shared" si="11"/>
        <v>0</v>
      </c>
      <c r="AH95" s="1880">
        <v>2016</v>
      </c>
      <c r="AI95" s="3137" t="s">
        <v>21</v>
      </c>
      <c r="AJ95" s="3137" t="s">
        <v>815</v>
      </c>
      <c r="AK95" s="3137" t="s">
        <v>798</v>
      </c>
      <c r="AL95" s="3137" t="s">
        <v>816</v>
      </c>
      <c r="AM95" s="1882"/>
      <c r="AN95" s="3186" t="s">
        <v>608</v>
      </c>
      <c r="AO95" s="1914" t="s">
        <v>729</v>
      </c>
      <c r="AP95" s="1788" t="s">
        <v>570</v>
      </c>
      <c r="AQ95" s="1788"/>
      <c r="AR95" s="1788" t="s">
        <v>1283</v>
      </c>
      <c r="AS95" s="2123" t="s">
        <v>571</v>
      </c>
      <c r="AT95" s="1856">
        <v>110000000</v>
      </c>
      <c r="AU95" s="1856"/>
      <c r="AV95" s="2072" t="s">
        <v>633</v>
      </c>
      <c r="AW95" s="1903" t="e">
        <f>#REF!</f>
        <v>#REF!</v>
      </c>
      <c r="AX95" s="1788" t="s">
        <v>21</v>
      </c>
      <c r="AY95" s="1879" t="s">
        <v>796</v>
      </c>
      <c r="AZ95" s="3161" t="s">
        <v>799</v>
      </c>
      <c r="BA95" s="91"/>
      <c r="BB95" s="1975" t="s">
        <v>817</v>
      </c>
      <c r="BC95" s="1976"/>
      <c r="BD95" s="1764"/>
      <c r="BE95" s="1762"/>
      <c r="BF95" s="1762"/>
    </row>
    <row r="96" spans="1:58" ht="20.100000000000001" hidden="1" customHeight="1">
      <c r="A96" s="1792">
        <v>74</v>
      </c>
      <c r="B96" s="1790"/>
      <c r="C96" s="1790"/>
      <c r="D96" s="1791" t="s">
        <v>17</v>
      </c>
      <c r="E96" s="1790">
        <v>1</v>
      </c>
      <c r="F96" s="1791" t="s">
        <v>19</v>
      </c>
      <c r="G96" s="1788" t="s">
        <v>752</v>
      </c>
      <c r="H96" s="1791" t="s">
        <v>196</v>
      </c>
      <c r="I96" s="1790" t="s">
        <v>194</v>
      </c>
      <c r="J96" s="2040" t="s">
        <v>195</v>
      </c>
      <c r="K96" s="2041">
        <v>9</v>
      </c>
      <c r="L96" s="1791" t="s">
        <v>818</v>
      </c>
      <c r="M96" s="1790">
        <v>1</v>
      </c>
      <c r="N96" s="1790">
        <v>1</v>
      </c>
      <c r="O96" s="1790">
        <v>0</v>
      </c>
      <c r="P96" s="1829">
        <v>1</v>
      </c>
      <c r="Q96" s="1790">
        <v>1</v>
      </c>
      <c r="R96" s="1790">
        <v>1</v>
      </c>
      <c r="S96" s="1790">
        <v>65</v>
      </c>
      <c r="T96" s="1856">
        <v>152100000</v>
      </c>
      <c r="U96" s="1856">
        <v>152100000</v>
      </c>
      <c r="V96" s="1856">
        <v>26500000</v>
      </c>
      <c r="W96" s="1856">
        <v>0</v>
      </c>
      <c r="X96" s="1856">
        <f t="shared" si="8"/>
        <v>178600000</v>
      </c>
      <c r="Y96" s="1879" t="s">
        <v>27</v>
      </c>
      <c r="Z96" s="1879" t="s">
        <v>565</v>
      </c>
      <c r="AA96" s="1856">
        <f t="shared" si="10"/>
        <v>152100000</v>
      </c>
      <c r="AB96" s="1880"/>
      <c r="AC96" s="1856"/>
      <c r="AD96" s="1881"/>
      <c r="AE96" s="1856"/>
      <c r="AF96" s="1881"/>
      <c r="AG96" s="1856">
        <v>0</v>
      </c>
      <c r="AH96" s="1880">
        <v>2018</v>
      </c>
      <c r="AI96" s="3137" t="s">
        <v>21</v>
      </c>
      <c r="AJ96" s="3137" t="s">
        <v>819</v>
      </c>
      <c r="AK96" s="3137" t="s">
        <v>811</v>
      </c>
      <c r="AL96" s="3137" t="s">
        <v>21</v>
      </c>
      <c r="AM96" s="1882"/>
      <c r="AN96" s="3186" t="s">
        <v>675</v>
      </c>
      <c r="AO96" s="1914" t="s">
        <v>729</v>
      </c>
      <c r="AP96" s="1788" t="s">
        <v>570</v>
      </c>
      <c r="AQ96" s="1788"/>
      <c r="AR96" s="1788" t="s">
        <v>1292</v>
      </c>
      <c r="AS96" s="2123" t="s">
        <v>571</v>
      </c>
      <c r="AT96" s="1856">
        <v>152100000</v>
      </c>
      <c r="AU96" s="1856"/>
      <c r="AV96" s="1879" t="s">
        <v>27</v>
      </c>
      <c r="AW96" s="1903" t="e">
        <f>#REF!</f>
        <v>#REF!</v>
      </c>
      <c r="AX96" s="1788" t="s">
        <v>21</v>
      </c>
      <c r="AY96" s="1879" t="s">
        <v>565</v>
      </c>
      <c r="AZ96" s="3161" t="s">
        <v>820</v>
      </c>
      <c r="BA96" s="91"/>
      <c r="BB96" s="1975" t="s">
        <v>821</v>
      </c>
      <c r="BC96" s="1976"/>
      <c r="BD96" s="1764"/>
      <c r="BE96" s="1762"/>
      <c r="BF96" s="1762"/>
    </row>
    <row r="97" spans="1:58" s="1734" customFormat="1" ht="20.100000000000001" hidden="1" customHeight="1">
      <c r="A97" s="2027">
        <v>75</v>
      </c>
      <c r="B97" s="2028"/>
      <c r="C97" s="2028"/>
      <c r="D97" s="2029" t="s">
        <v>17</v>
      </c>
      <c r="E97" s="2028">
        <v>1</v>
      </c>
      <c r="F97" s="2029" t="s">
        <v>19</v>
      </c>
      <c r="G97" s="2030" t="s">
        <v>752</v>
      </c>
      <c r="H97" s="2029" t="s">
        <v>196</v>
      </c>
      <c r="I97" s="2028" t="s">
        <v>194</v>
      </c>
      <c r="J97" s="2042" t="s">
        <v>195</v>
      </c>
      <c r="K97" s="2043">
        <v>10</v>
      </c>
      <c r="L97" s="2044" t="s">
        <v>214</v>
      </c>
      <c r="M97" s="2028">
        <v>0</v>
      </c>
      <c r="N97" s="2028">
        <v>1</v>
      </c>
      <c r="O97" s="2028">
        <v>1</v>
      </c>
      <c r="P97" s="2045">
        <v>0</v>
      </c>
      <c r="Q97" s="2028">
        <v>0</v>
      </c>
      <c r="R97" s="2028">
        <v>1</v>
      </c>
      <c r="S97" s="2028">
        <v>66</v>
      </c>
      <c r="T97" s="2065">
        <v>100000000</v>
      </c>
      <c r="U97" s="2065">
        <v>100000000</v>
      </c>
      <c r="V97" s="2065">
        <v>0</v>
      </c>
      <c r="W97" s="2065">
        <v>0</v>
      </c>
      <c r="X97" s="2065">
        <f t="shared" si="8"/>
        <v>100000000</v>
      </c>
      <c r="Y97" s="2081"/>
      <c r="Z97" s="2081"/>
      <c r="AA97" s="2065">
        <f>SUM(AA98:AA100)</f>
        <v>100000000</v>
      </c>
      <c r="AB97" s="2082"/>
      <c r="AC97" s="2065">
        <v>1930000</v>
      </c>
      <c r="AD97" s="2083"/>
      <c r="AE97" s="2065"/>
      <c r="AF97" s="2083"/>
      <c r="AG97" s="2065" t="e">
        <f>SUM(AG98:AG100)</f>
        <v>#REF!</v>
      </c>
      <c r="AH97" s="2082" t="s">
        <v>21</v>
      </c>
      <c r="AI97" s="2109"/>
      <c r="AJ97" s="1997"/>
      <c r="AK97" s="1997"/>
      <c r="AL97" s="1997"/>
      <c r="AM97" s="2082" t="s">
        <v>21</v>
      </c>
      <c r="AN97" s="1907" t="s">
        <v>21</v>
      </c>
      <c r="AO97" s="1907" t="s">
        <v>21</v>
      </c>
      <c r="AP97" s="2030"/>
      <c r="AQ97" s="2030"/>
      <c r="AR97" s="2030"/>
      <c r="AS97" s="2030" t="s">
        <v>21</v>
      </c>
      <c r="AT97" s="2126">
        <v>0</v>
      </c>
      <c r="AU97" s="2126"/>
      <c r="AV97" s="2087"/>
      <c r="AW97" s="2081"/>
      <c r="AX97" s="2030" t="s">
        <v>21</v>
      </c>
      <c r="AY97" s="2081"/>
      <c r="AZ97" s="3189" t="s">
        <v>822</v>
      </c>
      <c r="BA97" s="2165"/>
      <c r="BB97" s="3190" t="s">
        <v>823</v>
      </c>
      <c r="BC97" s="2166"/>
      <c r="BD97" s="2167"/>
    </row>
    <row r="98" spans="1:58" s="1726" customFormat="1" ht="20.100000000000001" customHeight="1">
      <c r="A98" s="1784">
        <v>13</v>
      </c>
      <c r="B98" s="1772"/>
      <c r="C98" s="1773"/>
      <c r="D98" s="1774" t="s">
        <v>17</v>
      </c>
      <c r="E98" s="1773">
        <v>1</v>
      </c>
      <c r="F98" s="1774" t="s">
        <v>19</v>
      </c>
      <c r="G98" s="1771" t="s">
        <v>752</v>
      </c>
      <c r="H98" s="1774" t="s">
        <v>196</v>
      </c>
      <c r="I98" s="1773" t="s">
        <v>194</v>
      </c>
      <c r="J98" s="2046" t="s">
        <v>195</v>
      </c>
      <c r="K98" s="2047">
        <v>10</v>
      </c>
      <c r="L98" s="1837" t="s">
        <v>214</v>
      </c>
      <c r="M98" s="2048">
        <v>0.33333333333333298</v>
      </c>
      <c r="N98" s="1773">
        <v>0</v>
      </c>
      <c r="O98" s="1773">
        <v>2</v>
      </c>
      <c r="P98" s="2049">
        <v>0.33333333333333298</v>
      </c>
      <c r="Q98" s="2049">
        <v>0.33333333333333298</v>
      </c>
      <c r="R98" s="1773">
        <v>0</v>
      </c>
      <c r="S98" s="1773">
        <v>66</v>
      </c>
      <c r="T98" s="1852">
        <v>0</v>
      </c>
      <c r="U98" s="1852">
        <v>0</v>
      </c>
      <c r="V98" s="1852">
        <v>0</v>
      </c>
      <c r="W98" s="1852">
        <v>0</v>
      </c>
      <c r="X98" s="1852">
        <f t="shared" si="8"/>
        <v>0</v>
      </c>
      <c r="Y98" s="1863" t="s">
        <v>117</v>
      </c>
      <c r="Z98" s="1863" t="s">
        <v>619</v>
      </c>
      <c r="AA98" s="1852">
        <v>1930000</v>
      </c>
      <c r="AB98" s="1872">
        <v>1</v>
      </c>
      <c r="AC98" s="1852"/>
      <c r="AD98" s="1873"/>
      <c r="AE98" s="1852"/>
      <c r="AF98" s="1873"/>
      <c r="AG98" s="1852">
        <v>0</v>
      </c>
      <c r="AH98" s="1872">
        <v>2016</v>
      </c>
      <c r="AI98" s="3129" t="s">
        <v>791</v>
      </c>
      <c r="AJ98" s="1851" t="s">
        <v>33</v>
      </c>
      <c r="AK98" s="1851" t="s">
        <v>183</v>
      </c>
      <c r="AL98" s="1851" t="s">
        <v>79</v>
      </c>
      <c r="AM98" s="1872" t="s">
        <v>581</v>
      </c>
      <c r="AN98" s="1910" t="s">
        <v>568</v>
      </c>
      <c r="AO98" s="1910" t="s">
        <v>645</v>
      </c>
      <c r="AP98" s="1908" t="s">
        <v>570</v>
      </c>
      <c r="AQ98" s="1908"/>
      <c r="AR98" s="1908" t="s">
        <v>1289</v>
      </c>
      <c r="AS98" s="2127" t="s">
        <v>21</v>
      </c>
      <c r="AT98" s="634">
        <v>1930000</v>
      </c>
      <c r="AU98" s="635">
        <v>1930000</v>
      </c>
      <c r="AV98" s="636" t="s">
        <v>117</v>
      </c>
      <c r="AW98" s="2003" t="e">
        <f>#REF!</f>
        <v>#REF!</v>
      </c>
      <c r="AX98" s="1771" t="s">
        <v>21</v>
      </c>
      <c r="AY98" s="1863" t="s">
        <v>619</v>
      </c>
      <c r="AZ98" s="3191" t="s">
        <v>822</v>
      </c>
      <c r="BA98" s="2168"/>
      <c r="BB98" s="3192" t="s">
        <v>823</v>
      </c>
      <c r="BC98" s="3264" t="s">
        <v>1294</v>
      </c>
      <c r="BD98" s="1764" t="s">
        <v>1297</v>
      </c>
      <c r="BE98" s="1762">
        <v>1</v>
      </c>
      <c r="BF98" s="2015">
        <f>AT98</f>
        <v>1930000</v>
      </c>
    </row>
    <row r="99" spans="1:58" s="1724" customFormat="1" ht="20.100000000000001" hidden="1" customHeight="1">
      <c r="A99" s="2031"/>
      <c r="B99" s="1773"/>
      <c r="C99" s="1773"/>
      <c r="D99" s="1774" t="s">
        <v>17</v>
      </c>
      <c r="E99" s="1773">
        <v>1</v>
      </c>
      <c r="F99" s="1774" t="s">
        <v>19</v>
      </c>
      <c r="G99" s="1771" t="s">
        <v>752</v>
      </c>
      <c r="H99" s="1774" t="s">
        <v>196</v>
      </c>
      <c r="I99" s="1773" t="s">
        <v>194</v>
      </c>
      <c r="J99" s="2046" t="s">
        <v>195</v>
      </c>
      <c r="K99" s="2050">
        <v>10</v>
      </c>
      <c r="L99" s="2051" t="s">
        <v>214</v>
      </c>
      <c r="M99" s="2052">
        <v>0.33333333333333298</v>
      </c>
      <c r="N99" s="1773">
        <v>0</v>
      </c>
      <c r="O99" s="1773">
        <v>2</v>
      </c>
      <c r="P99" s="2049">
        <v>0.33333333333333298</v>
      </c>
      <c r="Q99" s="2049">
        <v>0.33333333333333298</v>
      </c>
      <c r="R99" s="1773">
        <v>0</v>
      </c>
      <c r="S99" s="1773">
        <v>66</v>
      </c>
      <c r="T99" s="1852">
        <v>0</v>
      </c>
      <c r="U99" s="1852">
        <v>0</v>
      </c>
      <c r="V99" s="1852">
        <v>0</v>
      </c>
      <c r="W99" s="1852">
        <v>0</v>
      </c>
      <c r="X99" s="1852">
        <f t="shared" si="8"/>
        <v>0</v>
      </c>
      <c r="Y99" s="1863" t="s">
        <v>28</v>
      </c>
      <c r="Z99" s="1863" t="s">
        <v>565</v>
      </c>
      <c r="AA99" s="1852">
        <v>21678596</v>
      </c>
      <c r="AB99" s="1872"/>
      <c r="AC99" s="1852"/>
      <c r="AD99" s="1873"/>
      <c r="AE99" s="1852"/>
      <c r="AF99" s="1873"/>
      <c r="AG99" s="1852">
        <v>0</v>
      </c>
      <c r="AH99" s="1872">
        <v>2016</v>
      </c>
      <c r="AI99" s="3129" t="s">
        <v>825</v>
      </c>
      <c r="AJ99" s="1851" t="s">
        <v>33</v>
      </c>
      <c r="AK99" s="1851" t="s">
        <v>183</v>
      </c>
      <c r="AL99" s="1851" t="s">
        <v>79</v>
      </c>
      <c r="AM99" s="1872">
        <v>2016</v>
      </c>
      <c r="AN99" s="1910" t="s">
        <v>568</v>
      </c>
      <c r="AO99" s="1910" t="s">
        <v>645</v>
      </c>
      <c r="AP99" s="1908" t="s">
        <v>570</v>
      </c>
      <c r="AQ99" s="1908"/>
      <c r="AR99" s="1908" t="s">
        <v>1291</v>
      </c>
      <c r="AS99" s="1908" t="s">
        <v>21</v>
      </c>
      <c r="AT99" s="2128">
        <v>21678596</v>
      </c>
      <c r="AU99" s="2128"/>
      <c r="AV99" s="2129" t="s">
        <v>28</v>
      </c>
      <c r="AW99" s="1863" t="e">
        <f>#REF!</f>
        <v>#REF!</v>
      </c>
      <c r="AX99" s="1771" t="s">
        <v>765</v>
      </c>
      <c r="AY99" s="1863" t="s">
        <v>565</v>
      </c>
      <c r="AZ99" s="3191" t="s">
        <v>822</v>
      </c>
      <c r="BA99" s="2168"/>
      <c r="BB99" s="3192" t="s">
        <v>823</v>
      </c>
      <c r="BC99" s="2169"/>
      <c r="BD99" s="1964"/>
    </row>
    <row r="100" spans="1:58" s="1724" customFormat="1" ht="20.100000000000001" hidden="1" customHeight="1">
      <c r="A100" s="2032"/>
      <c r="B100" s="1773"/>
      <c r="C100" s="1773"/>
      <c r="D100" s="1774" t="s">
        <v>17</v>
      </c>
      <c r="E100" s="1773">
        <v>1</v>
      </c>
      <c r="F100" s="1774" t="s">
        <v>19</v>
      </c>
      <c r="G100" s="1814" t="s">
        <v>752</v>
      </c>
      <c r="H100" s="1774" t="s">
        <v>196</v>
      </c>
      <c r="I100" s="1773" t="s">
        <v>194</v>
      </c>
      <c r="J100" s="2046" t="s">
        <v>195</v>
      </c>
      <c r="K100" s="2050">
        <v>10</v>
      </c>
      <c r="L100" s="2053" t="s">
        <v>214</v>
      </c>
      <c r="M100" s="2052">
        <v>0.33333333333333298</v>
      </c>
      <c r="N100" s="1773">
        <v>0</v>
      </c>
      <c r="O100" s="1773">
        <v>2</v>
      </c>
      <c r="P100" s="2049">
        <v>0.33333333333333298</v>
      </c>
      <c r="Q100" s="2049">
        <v>0.33333333333333298</v>
      </c>
      <c r="R100" s="1773">
        <v>0</v>
      </c>
      <c r="S100" s="1773">
        <v>66</v>
      </c>
      <c r="T100" s="1852">
        <v>0</v>
      </c>
      <c r="U100" s="1852">
        <v>0</v>
      </c>
      <c r="V100" s="1852">
        <v>0</v>
      </c>
      <c r="W100" s="1852">
        <v>0</v>
      </c>
      <c r="X100" s="1852">
        <f t="shared" si="8"/>
        <v>0</v>
      </c>
      <c r="Y100" s="1899" t="s">
        <v>633</v>
      </c>
      <c r="Z100" s="1899" t="s">
        <v>633</v>
      </c>
      <c r="AA100" s="1852">
        <f>T97-AA98-AA99</f>
        <v>76391404</v>
      </c>
      <c r="AB100" s="1872"/>
      <c r="AC100" s="1852"/>
      <c r="AD100" s="1873"/>
      <c r="AE100" s="1852"/>
      <c r="AF100" s="1873"/>
      <c r="AG100" s="1852" t="e">
        <f>-#REF!</f>
        <v>#REF!</v>
      </c>
      <c r="AH100" s="1872" t="s">
        <v>617</v>
      </c>
      <c r="AI100" s="3129" t="s">
        <v>21</v>
      </c>
      <c r="AJ100" s="1851" t="s">
        <v>21</v>
      </c>
      <c r="AK100" s="1851" t="s">
        <v>21</v>
      </c>
      <c r="AL100" s="1851" t="s">
        <v>21</v>
      </c>
      <c r="AM100" s="1872"/>
      <c r="AN100" s="1910" t="s">
        <v>568</v>
      </c>
      <c r="AO100" s="1910" t="s">
        <v>645</v>
      </c>
      <c r="AP100" s="1908" t="s">
        <v>570</v>
      </c>
      <c r="AQ100" s="1908"/>
      <c r="AR100" s="1788" t="s">
        <v>1283</v>
      </c>
      <c r="AS100" s="1908" t="s">
        <v>571</v>
      </c>
      <c r="AT100" s="2130">
        <v>76391404</v>
      </c>
      <c r="AU100" s="2130"/>
      <c r="AV100" s="2131" t="s">
        <v>633</v>
      </c>
      <c r="AW100" s="1863" t="e">
        <f>#REF!</f>
        <v>#REF!</v>
      </c>
      <c r="AX100" s="1771" t="s">
        <v>21</v>
      </c>
      <c r="AY100" s="1899" t="s">
        <v>633</v>
      </c>
      <c r="AZ100" s="3191" t="s">
        <v>21</v>
      </c>
      <c r="BA100" s="3193" t="s">
        <v>21</v>
      </c>
      <c r="BB100" s="3192" t="s">
        <v>823</v>
      </c>
      <c r="BC100" s="2169"/>
      <c r="BD100" s="1964"/>
    </row>
    <row r="101" spans="1:58" s="1735" customFormat="1" ht="20.100000000000001" hidden="1" customHeight="1">
      <c r="A101" s="1789">
        <v>78</v>
      </c>
      <c r="B101" s="1790"/>
      <c r="C101" s="1790"/>
      <c r="D101" s="1791" t="s">
        <v>17</v>
      </c>
      <c r="E101" s="1790">
        <v>1</v>
      </c>
      <c r="F101" s="1791" t="s">
        <v>19</v>
      </c>
      <c r="G101" s="1788" t="s">
        <v>752</v>
      </c>
      <c r="H101" s="1791" t="s">
        <v>221</v>
      </c>
      <c r="I101" s="1790" t="s">
        <v>219</v>
      </c>
      <c r="J101" s="1791" t="s">
        <v>220</v>
      </c>
      <c r="K101" s="1790">
        <v>2</v>
      </c>
      <c r="L101" s="1828" t="s">
        <v>224</v>
      </c>
      <c r="M101" s="1790">
        <v>1</v>
      </c>
      <c r="N101" s="1790">
        <v>1</v>
      </c>
      <c r="O101" s="1790">
        <v>0</v>
      </c>
      <c r="P101" s="1829">
        <v>1</v>
      </c>
      <c r="Q101" s="1790">
        <v>1</v>
      </c>
      <c r="R101" s="1790">
        <v>1</v>
      </c>
      <c r="S101" s="1790">
        <v>69</v>
      </c>
      <c r="T101" s="1856">
        <v>108100000</v>
      </c>
      <c r="U101" s="1856">
        <v>108100000</v>
      </c>
      <c r="V101" s="1856">
        <v>3900000</v>
      </c>
      <c r="W101" s="1856">
        <v>0</v>
      </c>
      <c r="X101" s="1856">
        <f t="shared" si="8"/>
        <v>112000000</v>
      </c>
      <c r="Y101" s="1890" t="s">
        <v>55</v>
      </c>
      <c r="Z101" s="1879" t="s">
        <v>565</v>
      </c>
      <c r="AA101" s="1856">
        <f t="shared" ref="AA101:AA105" si="12">T101</f>
        <v>108100000</v>
      </c>
      <c r="AB101" s="1880"/>
      <c r="AC101" s="1856"/>
      <c r="AD101" s="1881"/>
      <c r="AE101" s="1856"/>
      <c r="AF101" s="1881"/>
      <c r="AG101" s="1856">
        <f>AA101-T101</f>
        <v>0</v>
      </c>
      <c r="AH101" s="1880">
        <v>2018</v>
      </c>
      <c r="AI101" s="3137" t="s">
        <v>21</v>
      </c>
      <c r="AJ101" s="3137" t="s">
        <v>33</v>
      </c>
      <c r="AK101" s="3137" t="s">
        <v>21</v>
      </c>
      <c r="AL101" s="3137" t="s">
        <v>21</v>
      </c>
      <c r="AM101" s="1882"/>
      <c r="AN101" s="1914" t="s">
        <v>614</v>
      </c>
      <c r="AO101" s="1907" t="s">
        <v>603</v>
      </c>
      <c r="AP101" s="1788" t="s">
        <v>570</v>
      </c>
      <c r="AQ101" s="1788"/>
      <c r="AR101" s="1788" t="s">
        <v>1283</v>
      </c>
      <c r="AS101" s="2123" t="s">
        <v>571</v>
      </c>
      <c r="AT101" s="1939">
        <v>108100000</v>
      </c>
      <c r="AU101" s="1939"/>
      <c r="AV101" s="1944" t="s">
        <v>55</v>
      </c>
      <c r="AW101" s="1879" t="e">
        <f>#REF!</f>
        <v>#REF!</v>
      </c>
      <c r="AX101" s="1912" t="s">
        <v>21</v>
      </c>
      <c r="AY101" s="1879" t="s">
        <v>565</v>
      </c>
      <c r="AZ101" s="3161" t="s">
        <v>577</v>
      </c>
      <c r="BA101" s="91"/>
      <c r="BB101" s="1975" t="s">
        <v>830</v>
      </c>
      <c r="BC101" s="1976"/>
      <c r="BD101" s="2170"/>
    </row>
    <row r="102" spans="1:58" ht="20.100000000000001" hidden="1" customHeight="1">
      <c r="A102" s="1792">
        <v>79</v>
      </c>
      <c r="B102" s="1790"/>
      <c r="C102" s="1790"/>
      <c r="D102" s="1791" t="s">
        <v>17</v>
      </c>
      <c r="E102" s="1790">
        <v>1</v>
      </c>
      <c r="F102" s="1791" t="s">
        <v>19</v>
      </c>
      <c r="G102" s="1788" t="s">
        <v>752</v>
      </c>
      <c r="H102" s="1791" t="s">
        <v>221</v>
      </c>
      <c r="I102" s="1790" t="s">
        <v>219</v>
      </c>
      <c r="J102" s="1791" t="s">
        <v>220</v>
      </c>
      <c r="K102" s="1790">
        <v>3</v>
      </c>
      <c r="L102" s="1791" t="s">
        <v>225</v>
      </c>
      <c r="M102" s="1790">
        <v>1</v>
      </c>
      <c r="N102" s="1790">
        <v>1</v>
      </c>
      <c r="O102" s="1790">
        <v>0</v>
      </c>
      <c r="P102" s="1829">
        <v>1</v>
      </c>
      <c r="Q102" s="1790">
        <v>1</v>
      </c>
      <c r="R102" s="1790">
        <v>1</v>
      </c>
      <c r="S102" s="1790">
        <v>70</v>
      </c>
      <c r="T102" s="1856">
        <v>150000000</v>
      </c>
      <c r="U102" s="1856">
        <v>150000000</v>
      </c>
      <c r="V102" s="1856">
        <v>15000000</v>
      </c>
      <c r="W102" s="1856">
        <v>0</v>
      </c>
      <c r="X102" s="1856">
        <f t="shared" si="8"/>
        <v>165000000</v>
      </c>
      <c r="Y102" s="1879" t="s">
        <v>55</v>
      </c>
      <c r="Z102" s="1879" t="s">
        <v>565</v>
      </c>
      <c r="AA102" s="1856">
        <f t="shared" si="12"/>
        <v>150000000</v>
      </c>
      <c r="AB102" s="1880"/>
      <c r="AC102" s="1856"/>
      <c r="AD102" s="1881"/>
      <c r="AE102" s="1856"/>
      <c r="AF102" s="1881"/>
      <c r="AG102" s="1856">
        <v>0</v>
      </c>
      <c r="AH102" s="1880">
        <v>2017</v>
      </c>
      <c r="AI102" s="3137" t="s">
        <v>21</v>
      </c>
      <c r="AJ102" s="3137" t="s">
        <v>60</v>
      </c>
      <c r="AK102" s="3137" t="s">
        <v>21</v>
      </c>
      <c r="AL102" s="3137" t="s">
        <v>21</v>
      </c>
      <c r="AM102" s="1882" t="s">
        <v>622</v>
      </c>
      <c r="AN102" s="3186" t="s">
        <v>675</v>
      </c>
      <c r="AO102" s="1907" t="s">
        <v>603</v>
      </c>
      <c r="AP102" s="1788" t="s">
        <v>570</v>
      </c>
      <c r="AQ102" s="1788"/>
      <c r="AR102" s="1788" t="s">
        <v>1293</v>
      </c>
      <c r="AS102" s="2123" t="s">
        <v>831</v>
      </c>
      <c r="AT102" s="1856">
        <v>150000000</v>
      </c>
      <c r="AU102" s="1856"/>
      <c r="AV102" s="1879" t="s">
        <v>55</v>
      </c>
      <c r="AW102" s="1879" t="e">
        <f>#REF!</f>
        <v>#REF!</v>
      </c>
      <c r="AX102" s="1788" t="s">
        <v>21</v>
      </c>
      <c r="AY102" s="1879" t="s">
        <v>565</v>
      </c>
      <c r="AZ102" s="3161" t="s">
        <v>832</v>
      </c>
      <c r="BA102" s="91"/>
      <c r="BB102" s="1975" t="s">
        <v>833</v>
      </c>
      <c r="BC102" s="1976"/>
      <c r="BD102" s="1764"/>
      <c r="BE102" s="1762"/>
      <c r="BF102" s="1762"/>
    </row>
    <row r="103" spans="1:58" ht="20.100000000000001" hidden="1" customHeight="1">
      <c r="A103" s="1792">
        <v>80</v>
      </c>
      <c r="B103" s="1790"/>
      <c r="C103" s="1790"/>
      <c r="D103" s="1791" t="s">
        <v>17</v>
      </c>
      <c r="E103" s="1790">
        <v>1</v>
      </c>
      <c r="F103" s="1791" t="s">
        <v>19</v>
      </c>
      <c r="G103" s="1788" t="s">
        <v>752</v>
      </c>
      <c r="H103" s="1791" t="s">
        <v>221</v>
      </c>
      <c r="I103" s="1790" t="s">
        <v>219</v>
      </c>
      <c r="J103" s="1791" t="s">
        <v>220</v>
      </c>
      <c r="K103" s="1790">
        <v>4</v>
      </c>
      <c r="L103" s="1791" t="s">
        <v>229</v>
      </c>
      <c r="M103" s="1790">
        <v>1</v>
      </c>
      <c r="N103" s="1790">
        <v>1</v>
      </c>
      <c r="O103" s="1790">
        <v>0</v>
      </c>
      <c r="P103" s="1829">
        <v>1</v>
      </c>
      <c r="Q103" s="1790">
        <v>1</v>
      </c>
      <c r="R103" s="1790">
        <v>1</v>
      </c>
      <c r="S103" s="1790">
        <v>71</v>
      </c>
      <c r="T103" s="1856">
        <v>260000000</v>
      </c>
      <c r="U103" s="1856">
        <v>260000000</v>
      </c>
      <c r="V103" s="1856">
        <v>26000000</v>
      </c>
      <c r="W103" s="1856">
        <v>0</v>
      </c>
      <c r="X103" s="1856">
        <f t="shared" si="8"/>
        <v>286000000</v>
      </c>
      <c r="Y103" s="1879" t="s">
        <v>55</v>
      </c>
      <c r="Z103" s="1879" t="s">
        <v>565</v>
      </c>
      <c r="AA103" s="1856">
        <f t="shared" si="12"/>
        <v>260000000</v>
      </c>
      <c r="AB103" s="1880"/>
      <c r="AC103" s="1856"/>
      <c r="AD103" s="1881"/>
      <c r="AE103" s="1856"/>
      <c r="AF103" s="1881"/>
      <c r="AG103" s="1856">
        <v>0</v>
      </c>
      <c r="AH103" s="1880">
        <v>2017</v>
      </c>
      <c r="AI103" s="3137" t="s">
        <v>21</v>
      </c>
      <c r="AJ103" s="3137" t="s">
        <v>97</v>
      </c>
      <c r="AK103" s="3137" t="s">
        <v>798</v>
      </c>
      <c r="AL103" s="3137" t="s">
        <v>21</v>
      </c>
      <c r="AM103" s="1882"/>
      <c r="AN103" s="3188" t="s">
        <v>568</v>
      </c>
      <c r="AO103" s="1914" t="s">
        <v>654</v>
      </c>
      <c r="AP103" s="1788" t="s">
        <v>570</v>
      </c>
      <c r="AQ103" s="1788"/>
      <c r="AR103" s="1788" t="s">
        <v>1283</v>
      </c>
      <c r="AS103" s="2123" t="s">
        <v>571</v>
      </c>
      <c r="AT103" s="1856">
        <v>260000000</v>
      </c>
      <c r="AU103" s="1856"/>
      <c r="AV103" s="1879" t="s">
        <v>55</v>
      </c>
      <c r="AW103" s="1879" t="e">
        <f>#REF!</f>
        <v>#REF!</v>
      </c>
      <c r="AX103" s="1788" t="s">
        <v>21</v>
      </c>
      <c r="AY103" s="1879" t="s">
        <v>565</v>
      </c>
      <c r="AZ103" s="91" t="s">
        <v>577</v>
      </c>
      <c r="BA103" s="91"/>
      <c r="BB103" s="1975" t="s">
        <v>834</v>
      </c>
      <c r="BC103" s="1976"/>
      <c r="BD103" s="1764"/>
      <c r="BE103" s="1762"/>
      <c r="BF103" s="1762"/>
    </row>
    <row r="104" spans="1:58" ht="20.100000000000001" hidden="1" customHeight="1">
      <c r="A104" s="1792">
        <v>81</v>
      </c>
      <c r="B104" s="1790"/>
      <c r="C104" s="1790"/>
      <c r="D104" s="1791" t="s">
        <v>17</v>
      </c>
      <c r="E104" s="1790">
        <v>1</v>
      </c>
      <c r="F104" s="1791" t="s">
        <v>19</v>
      </c>
      <c r="G104" s="1788" t="s">
        <v>752</v>
      </c>
      <c r="H104" s="1791" t="s">
        <v>221</v>
      </c>
      <c r="I104" s="1790" t="s">
        <v>219</v>
      </c>
      <c r="J104" s="1791" t="s">
        <v>220</v>
      </c>
      <c r="K104" s="1790">
        <v>5</v>
      </c>
      <c r="L104" s="1791" t="s">
        <v>230</v>
      </c>
      <c r="M104" s="1790">
        <v>1</v>
      </c>
      <c r="N104" s="1790">
        <v>1</v>
      </c>
      <c r="O104" s="1790">
        <v>0</v>
      </c>
      <c r="P104" s="1829">
        <v>1</v>
      </c>
      <c r="Q104" s="1790">
        <v>1</v>
      </c>
      <c r="R104" s="1790">
        <v>1</v>
      </c>
      <c r="S104" s="1790">
        <v>72</v>
      </c>
      <c r="T104" s="1856">
        <v>120000000</v>
      </c>
      <c r="U104" s="1856">
        <v>120000000</v>
      </c>
      <c r="V104" s="1856">
        <v>12000000</v>
      </c>
      <c r="W104" s="1856">
        <v>0</v>
      </c>
      <c r="X104" s="1856">
        <f t="shared" si="8"/>
        <v>132000000</v>
      </c>
      <c r="Y104" s="1879" t="s">
        <v>55</v>
      </c>
      <c r="Z104" s="1879" t="s">
        <v>565</v>
      </c>
      <c r="AA104" s="1856">
        <f t="shared" si="12"/>
        <v>120000000</v>
      </c>
      <c r="AB104" s="1880"/>
      <c r="AC104" s="1856"/>
      <c r="AD104" s="1881"/>
      <c r="AE104" s="1856"/>
      <c r="AF104" s="1881"/>
      <c r="AG104" s="1856">
        <v>0</v>
      </c>
      <c r="AH104" s="1880">
        <v>2018</v>
      </c>
      <c r="AI104" s="3137" t="s">
        <v>21</v>
      </c>
      <c r="AJ104" s="3137" t="s">
        <v>97</v>
      </c>
      <c r="AK104" s="3137" t="s">
        <v>798</v>
      </c>
      <c r="AL104" s="3137" t="s">
        <v>21</v>
      </c>
      <c r="AM104" s="1882"/>
      <c r="AN104" s="3188" t="s">
        <v>568</v>
      </c>
      <c r="AO104" s="1914" t="s">
        <v>729</v>
      </c>
      <c r="AP104" s="1788" t="s">
        <v>570</v>
      </c>
      <c r="AQ104" s="1788"/>
      <c r="AR104" s="1788" t="s">
        <v>1283</v>
      </c>
      <c r="AS104" s="2123" t="s">
        <v>571</v>
      </c>
      <c r="AT104" s="1856">
        <v>120000000</v>
      </c>
      <c r="AU104" s="1856"/>
      <c r="AV104" s="1879" t="s">
        <v>55</v>
      </c>
      <c r="AW104" s="1879" t="e">
        <f>#REF!</f>
        <v>#REF!</v>
      </c>
      <c r="AX104" s="1788" t="s">
        <v>21</v>
      </c>
      <c r="AY104" s="1879" t="s">
        <v>565</v>
      </c>
      <c r="AZ104" s="91" t="s">
        <v>577</v>
      </c>
      <c r="BA104" s="91"/>
      <c r="BB104" s="1975" t="s">
        <v>835</v>
      </c>
      <c r="BC104" s="1976"/>
      <c r="BD104" s="1764"/>
      <c r="BE104" s="1762"/>
      <c r="BF104" s="1762"/>
    </row>
    <row r="105" spans="1:58" s="1725" customFormat="1" ht="20.100000000000001" hidden="1" customHeight="1">
      <c r="A105" s="1775">
        <v>82</v>
      </c>
      <c r="B105" s="1776"/>
      <c r="C105" s="1776"/>
      <c r="D105" s="1777" t="s">
        <v>17</v>
      </c>
      <c r="E105" s="1776">
        <v>1</v>
      </c>
      <c r="F105" s="1777" t="s">
        <v>19</v>
      </c>
      <c r="G105" s="1778" t="s">
        <v>752</v>
      </c>
      <c r="H105" s="1777" t="s">
        <v>221</v>
      </c>
      <c r="I105" s="1776" t="s">
        <v>219</v>
      </c>
      <c r="J105" s="1777" t="s">
        <v>220</v>
      </c>
      <c r="K105" s="1776">
        <v>6</v>
      </c>
      <c r="L105" s="2054" t="s">
        <v>231</v>
      </c>
      <c r="M105" s="1776">
        <v>0</v>
      </c>
      <c r="N105" s="1776">
        <v>1</v>
      </c>
      <c r="O105" s="1776">
        <v>1</v>
      </c>
      <c r="P105" s="1824">
        <v>0</v>
      </c>
      <c r="Q105" s="1776">
        <v>0</v>
      </c>
      <c r="R105" s="1776">
        <v>1</v>
      </c>
      <c r="S105" s="1776">
        <v>73</v>
      </c>
      <c r="T105" s="1854">
        <v>50000000</v>
      </c>
      <c r="U105" s="1854">
        <v>50000000</v>
      </c>
      <c r="V105" s="1854">
        <v>0</v>
      </c>
      <c r="W105" s="1854">
        <v>0</v>
      </c>
      <c r="X105" s="1854">
        <f t="shared" si="8"/>
        <v>50000000</v>
      </c>
      <c r="Y105" s="1862" t="s">
        <v>117</v>
      </c>
      <c r="Z105" s="1862" t="s">
        <v>619</v>
      </c>
      <c r="AA105" s="1854">
        <f t="shared" si="12"/>
        <v>50000000</v>
      </c>
      <c r="AB105" s="1874">
        <v>1</v>
      </c>
      <c r="AC105" s="1854">
        <v>9620000</v>
      </c>
      <c r="AD105" s="1875"/>
      <c r="AE105" s="1854"/>
      <c r="AF105" s="1875"/>
      <c r="AG105" s="1854">
        <v>0</v>
      </c>
      <c r="AH105" s="1874">
        <v>2016</v>
      </c>
      <c r="AI105" s="3195" t="s">
        <v>836</v>
      </c>
      <c r="AJ105" s="1853" t="s">
        <v>33</v>
      </c>
      <c r="AK105" s="1853" t="s">
        <v>183</v>
      </c>
      <c r="AL105" s="1853" t="s">
        <v>79</v>
      </c>
      <c r="AM105" s="1874" t="s">
        <v>21</v>
      </c>
      <c r="AN105" s="3178" t="s">
        <v>568</v>
      </c>
      <c r="AO105" s="1778" t="s">
        <v>645</v>
      </c>
      <c r="AP105" s="1778" t="s">
        <v>570</v>
      </c>
      <c r="AQ105" s="1778"/>
      <c r="AR105" s="1778"/>
      <c r="AS105" s="1778" t="s">
        <v>21</v>
      </c>
      <c r="AT105" s="1934">
        <v>50000000</v>
      </c>
      <c r="AU105" s="1934"/>
      <c r="AV105" s="1935" t="s">
        <v>117</v>
      </c>
      <c r="AW105" s="1862"/>
      <c r="AX105" s="1778"/>
      <c r="AY105" s="1862" t="s">
        <v>619</v>
      </c>
      <c r="AZ105" s="3149" t="s">
        <v>837</v>
      </c>
      <c r="BA105" s="2171"/>
      <c r="BB105" s="1965" t="s">
        <v>838</v>
      </c>
      <c r="BC105" s="1966"/>
      <c r="BD105" s="1967"/>
    </row>
    <row r="106" spans="1:58" s="1726" customFormat="1" ht="20.100000000000001" customHeight="1">
      <c r="A106" s="1784">
        <v>14</v>
      </c>
      <c r="B106" s="1772"/>
      <c r="C106" s="1773"/>
      <c r="D106" s="1774" t="s">
        <v>17</v>
      </c>
      <c r="E106" s="1773">
        <v>1</v>
      </c>
      <c r="F106" s="1774" t="s">
        <v>19</v>
      </c>
      <c r="G106" s="1908" t="s">
        <v>752</v>
      </c>
      <c r="H106" s="1774" t="s">
        <v>221</v>
      </c>
      <c r="I106" s="1773" t="s">
        <v>219</v>
      </c>
      <c r="J106" s="1774" t="s">
        <v>220</v>
      </c>
      <c r="K106" s="1840">
        <v>6</v>
      </c>
      <c r="L106" s="1837" t="s">
        <v>231</v>
      </c>
      <c r="M106" s="2048">
        <v>0.33333333333333298</v>
      </c>
      <c r="N106" s="1773">
        <v>0</v>
      </c>
      <c r="O106" s="1773">
        <v>0</v>
      </c>
      <c r="P106" s="1822">
        <v>1</v>
      </c>
      <c r="Q106" s="1773">
        <v>1</v>
      </c>
      <c r="R106" s="1773">
        <v>1</v>
      </c>
      <c r="S106" s="1773">
        <v>73</v>
      </c>
      <c r="T106" s="1852">
        <v>50000000</v>
      </c>
      <c r="U106" s="1852">
        <v>50000000</v>
      </c>
      <c r="V106" s="1852">
        <v>0</v>
      </c>
      <c r="W106" s="1852">
        <v>0</v>
      </c>
      <c r="X106" s="1852">
        <f t="shared" si="8"/>
        <v>50000000</v>
      </c>
      <c r="Y106" s="1863" t="s">
        <v>117</v>
      </c>
      <c r="Z106" s="1863" t="s">
        <v>619</v>
      </c>
      <c r="AA106" s="1852">
        <v>9620000</v>
      </c>
      <c r="AB106" s="1872">
        <v>1</v>
      </c>
      <c r="AC106" s="1852">
        <v>9620000</v>
      </c>
      <c r="AD106" s="1873"/>
      <c r="AE106" s="1852"/>
      <c r="AF106" s="1873"/>
      <c r="AG106" s="1852">
        <v>0</v>
      </c>
      <c r="AH106" s="1872">
        <v>2016</v>
      </c>
      <c r="AI106" s="3129" t="s">
        <v>836</v>
      </c>
      <c r="AJ106" s="1851" t="s">
        <v>33</v>
      </c>
      <c r="AK106" s="1851" t="s">
        <v>183</v>
      </c>
      <c r="AL106" s="1851" t="s">
        <v>79</v>
      </c>
      <c r="AM106" s="1872" t="s">
        <v>581</v>
      </c>
      <c r="AN106" s="3196" t="s">
        <v>568</v>
      </c>
      <c r="AO106" s="1910" t="s">
        <v>645</v>
      </c>
      <c r="AP106" s="1908" t="s">
        <v>570</v>
      </c>
      <c r="AQ106" s="1908"/>
      <c r="AR106" s="1908" t="s">
        <v>1289</v>
      </c>
      <c r="AS106" s="2127" t="s">
        <v>21</v>
      </c>
      <c r="AT106" s="634">
        <v>9620000</v>
      </c>
      <c r="AU106" s="635">
        <v>9620000</v>
      </c>
      <c r="AV106" s="636" t="s">
        <v>117</v>
      </c>
      <c r="AW106" s="2003" t="e">
        <f>#REF!</f>
        <v>#REF!</v>
      </c>
      <c r="AX106" s="1908"/>
      <c r="AY106" s="1863" t="s">
        <v>619</v>
      </c>
      <c r="AZ106" s="3191" t="s">
        <v>837</v>
      </c>
      <c r="BA106" s="2168"/>
      <c r="BB106" s="1962" t="s">
        <v>838</v>
      </c>
      <c r="BC106" s="3264" t="s">
        <v>1294</v>
      </c>
      <c r="BD106" s="1764" t="s">
        <v>1297</v>
      </c>
      <c r="BE106" s="1762">
        <v>1</v>
      </c>
      <c r="BF106" s="2015">
        <f>AT106</f>
        <v>9620000</v>
      </c>
    </row>
    <row r="107" spans="1:58" s="1726" customFormat="1" ht="20.100000000000001" hidden="1" customHeight="1">
      <c r="A107" s="2031"/>
      <c r="B107" s="1773"/>
      <c r="C107" s="1773"/>
      <c r="D107" s="1774" t="s">
        <v>17</v>
      </c>
      <c r="E107" s="1773">
        <v>1</v>
      </c>
      <c r="F107" s="1774" t="s">
        <v>19</v>
      </c>
      <c r="G107" s="1908" t="s">
        <v>752</v>
      </c>
      <c r="H107" s="1774" t="s">
        <v>221</v>
      </c>
      <c r="I107" s="1773" t="s">
        <v>219</v>
      </c>
      <c r="J107" s="1774" t="s">
        <v>220</v>
      </c>
      <c r="K107" s="1773">
        <v>6</v>
      </c>
      <c r="L107" s="2051" t="s">
        <v>231</v>
      </c>
      <c r="M107" s="2052">
        <v>0.33333333333333298</v>
      </c>
      <c r="N107" s="1773">
        <v>0</v>
      </c>
      <c r="O107" s="1773">
        <v>0</v>
      </c>
      <c r="P107" s="1822">
        <v>1</v>
      </c>
      <c r="Q107" s="1773">
        <v>1</v>
      </c>
      <c r="R107" s="1773">
        <v>1</v>
      </c>
      <c r="S107" s="1773">
        <v>73</v>
      </c>
      <c r="T107" s="1852">
        <v>50000000</v>
      </c>
      <c r="U107" s="1852">
        <v>50000000</v>
      </c>
      <c r="V107" s="1852">
        <v>0</v>
      </c>
      <c r="W107" s="1852">
        <v>0</v>
      </c>
      <c r="X107" s="1852">
        <f t="shared" si="8"/>
        <v>50000000</v>
      </c>
      <c r="Y107" s="1863" t="s">
        <v>28</v>
      </c>
      <c r="Z107" s="1863" t="s">
        <v>565</v>
      </c>
      <c r="AA107" s="1852">
        <v>10500000</v>
      </c>
      <c r="AB107" s="1872">
        <v>1</v>
      </c>
      <c r="AC107" s="1852">
        <v>10500000</v>
      </c>
      <c r="AD107" s="1873"/>
      <c r="AE107" s="1852"/>
      <c r="AF107" s="1873"/>
      <c r="AG107" s="1852">
        <v>0</v>
      </c>
      <c r="AH107" s="1872">
        <v>2016</v>
      </c>
      <c r="AI107" s="3129" t="s">
        <v>836</v>
      </c>
      <c r="AJ107" s="1851" t="s">
        <v>33</v>
      </c>
      <c r="AK107" s="1851" t="s">
        <v>183</v>
      </c>
      <c r="AL107" s="1851" t="s">
        <v>79</v>
      </c>
      <c r="AM107" s="1872">
        <v>2016</v>
      </c>
      <c r="AN107" s="3196" t="s">
        <v>568</v>
      </c>
      <c r="AO107" s="1910" t="s">
        <v>645</v>
      </c>
      <c r="AP107" s="1908" t="s">
        <v>570</v>
      </c>
      <c r="AQ107" s="1908"/>
      <c r="AR107" s="1908" t="s">
        <v>1291</v>
      </c>
      <c r="AS107" s="1908" t="s">
        <v>21</v>
      </c>
      <c r="AT107" s="2128">
        <v>10500000</v>
      </c>
      <c r="AU107" s="2128"/>
      <c r="AV107" s="2129" t="s">
        <v>28</v>
      </c>
      <c r="AW107" s="1863" t="e">
        <f>#REF!</f>
        <v>#REF!</v>
      </c>
      <c r="AX107" s="1908" t="s">
        <v>765</v>
      </c>
      <c r="AY107" s="1863" t="s">
        <v>565</v>
      </c>
      <c r="AZ107" s="2004"/>
      <c r="BA107" s="2168"/>
      <c r="BB107" s="1962"/>
      <c r="BC107" s="1963"/>
      <c r="BD107" s="1971"/>
    </row>
    <row r="108" spans="1:58" s="1726" customFormat="1" ht="20.100000000000001" hidden="1" customHeight="1">
      <c r="A108" s="1772"/>
      <c r="B108" s="1773"/>
      <c r="C108" s="1773"/>
      <c r="D108" s="1774" t="s">
        <v>17</v>
      </c>
      <c r="E108" s="1773">
        <v>1</v>
      </c>
      <c r="F108" s="1774" t="s">
        <v>19</v>
      </c>
      <c r="G108" s="1908" t="s">
        <v>752</v>
      </c>
      <c r="H108" s="1774" t="s">
        <v>221</v>
      </c>
      <c r="I108" s="1773" t="s">
        <v>219</v>
      </c>
      <c r="J108" s="1774" t="s">
        <v>220</v>
      </c>
      <c r="K108" s="1773">
        <v>6</v>
      </c>
      <c r="L108" s="1774" t="s">
        <v>231</v>
      </c>
      <c r="M108" s="2052">
        <v>0.33333333333333298</v>
      </c>
      <c r="N108" s="1773">
        <v>0</v>
      </c>
      <c r="O108" s="1773">
        <v>0</v>
      </c>
      <c r="P108" s="1822">
        <v>1</v>
      </c>
      <c r="Q108" s="1773">
        <v>1</v>
      </c>
      <c r="R108" s="1773">
        <v>1</v>
      </c>
      <c r="S108" s="1773">
        <v>73</v>
      </c>
      <c r="T108" s="1852">
        <v>50000000</v>
      </c>
      <c r="U108" s="1852">
        <v>50000000</v>
      </c>
      <c r="V108" s="1852">
        <v>0</v>
      </c>
      <c r="W108" s="1852">
        <v>0</v>
      </c>
      <c r="X108" s="1852">
        <f t="shared" si="8"/>
        <v>50000000</v>
      </c>
      <c r="Y108" s="1899" t="s">
        <v>633</v>
      </c>
      <c r="Z108" s="1899" t="s">
        <v>21</v>
      </c>
      <c r="AA108" s="1852">
        <f>AA105-AA106-AA107</f>
        <v>29880000</v>
      </c>
      <c r="AB108" s="1872"/>
      <c r="AC108" s="1852"/>
      <c r="AD108" s="1873"/>
      <c r="AE108" s="1852"/>
      <c r="AF108" s="1873"/>
      <c r="AG108" s="1852">
        <v>0</v>
      </c>
      <c r="AH108" s="1872" t="s">
        <v>21</v>
      </c>
      <c r="AI108" s="3129" t="s">
        <v>21</v>
      </c>
      <c r="AJ108" s="1851" t="s">
        <v>21</v>
      </c>
      <c r="AK108" s="1851" t="s">
        <v>21</v>
      </c>
      <c r="AL108" s="1851" t="s">
        <v>21</v>
      </c>
      <c r="AM108" s="1872" t="s">
        <v>21</v>
      </c>
      <c r="AN108" s="3196" t="s">
        <v>21</v>
      </c>
      <c r="AO108" s="1910" t="s">
        <v>21</v>
      </c>
      <c r="AP108" s="1908" t="s">
        <v>21</v>
      </c>
      <c r="AQ108" s="1908"/>
      <c r="AR108" s="1788" t="s">
        <v>1283</v>
      </c>
      <c r="AS108" s="1908" t="s">
        <v>21</v>
      </c>
      <c r="AT108" s="1852">
        <f>50000000-(AT106+AT107)</f>
        <v>29880000</v>
      </c>
      <c r="AU108" s="1852"/>
      <c r="AV108" s="1899" t="s">
        <v>633</v>
      </c>
      <c r="AW108" s="1863" t="e">
        <f>#REF!</f>
        <v>#REF!</v>
      </c>
      <c r="AX108" s="1908"/>
      <c r="AY108" s="1863" t="s">
        <v>21</v>
      </c>
      <c r="AZ108" s="2004"/>
      <c r="BA108" s="2168"/>
      <c r="BB108" s="1962"/>
      <c r="BC108" s="1963"/>
      <c r="BD108" s="1971"/>
    </row>
    <row r="109" spans="1:58" s="1725" customFormat="1" ht="20.100000000000001" hidden="1" customHeight="1">
      <c r="A109" s="1807">
        <v>80</v>
      </c>
      <c r="B109" s="1776"/>
      <c r="C109" s="1776"/>
      <c r="D109" s="1777" t="s">
        <v>17</v>
      </c>
      <c r="E109" s="1776">
        <v>1</v>
      </c>
      <c r="F109" s="1777" t="s">
        <v>19</v>
      </c>
      <c r="G109" s="1778" t="s">
        <v>752</v>
      </c>
      <c r="H109" s="1777" t="s">
        <v>221</v>
      </c>
      <c r="I109" s="1776" t="s">
        <v>219</v>
      </c>
      <c r="J109" s="1777" t="s">
        <v>220</v>
      </c>
      <c r="K109" s="1776">
        <v>7</v>
      </c>
      <c r="L109" s="1777" t="s">
        <v>234</v>
      </c>
      <c r="M109" s="1776">
        <v>0</v>
      </c>
      <c r="N109" s="1776">
        <v>0</v>
      </c>
      <c r="O109" s="1776">
        <v>1</v>
      </c>
      <c r="P109" s="1824">
        <v>0</v>
      </c>
      <c r="Q109" s="1776">
        <v>0</v>
      </c>
      <c r="R109" s="1776">
        <v>0</v>
      </c>
      <c r="S109" s="1776"/>
      <c r="T109" s="1854">
        <f>SUM(T110:T111)</f>
        <v>308700000</v>
      </c>
      <c r="U109" s="1854">
        <f>SUM(U110:U111)</f>
        <v>308700000</v>
      </c>
      <c r="V109" s="1854">
        <f>SUM(V110:V111)</f>
        <v>70440000</v>
      </c>
      <c r="W109" s="1854">
        <f>SUM(W110:W111)</f>
        <v>0</v>
      </c>
      <c r="X109" s="1854">
        <f>SUM(X110:X111)</f>
        <v>379140000</v>
      </c>
      <c r="Y109" s="1862" t="s">
        <v>21</v>
      </c>
      <c r="Z109" s="1862"/>
      <c r="AA109" s="1854">
        <f>SUM(AA110:AA111)</f>
        <v>308700000</v>
      </c>
      <c r="AB109" s="1874"/>
      <c r="AC109" s="1854"/>
      <c r="AD109" s="1875"/>
      <c r="AE109" s="1854"/>
      <c r="AF109" s="1875"/>
      <c r="AG109" s="1854" t="e">
        <f>+AA110+AA111-#REF!</f>
        <v>#REF!</v>
      </c>
      <c r="AH109" s="1874" t="s">
        <v>21</v>
      </c>
      <c r="AI109" s="3131" t="s">
        <v>21</v>
      </c>
      <c r="AJ109" s="1853" t="s">
        <v>21</v>
      </c>
      <c r="AK109" s="1853" t="s">
        <v>21</v>
      </c>
      <c r="AL109" s="1853" t="s">
        <v>21</v>
      </c>
      <c r="AM109" s="1874" t="s">
        <v>21</v>
      </c>
      <c r="AN109" s="1907"/>
      <c r="AO109" s="1907" t="s">
        <v>21</v>
      </c>
      <c r="AP109" s="1778"/>
      <c r="AQ109" s="1778"/>
      <c r="AR109" s="1778"/>
      <c r="AS109" s="1778" t="s">
        <v>21</v>
      </c>
      <c r="AT109" s="1854">
        <f>SUM(AT110:AT111)</f>
        <v>308700000</v>
      </c>
      <c r="AU109" s="1854"/>
      <c r="AV109" s="1862" t="s">
        <v>21</v>
      </c>
      <c r="AW109" s="1862"/>
      <c r="AX109" s="2030" t="s">
        <v>21</v>
      </c>
      <c r="AY109" s="1862"/>
      <c r="AZ109" s="3197" t="s">
        <v>577</v>
      </c>
      <c r="BA109" s="2171"/>
      <c r="BB109" s="1965" t="s">
        <v>842</v>
      </c>
      <c r="BC109" s="1966"/>
      <c r="BD109" s="1967"/>
    </row>
    <row r="110" spans="1:58" s="1726" customFormat="1" ht="20.100000000000001" hidden="1" customHeight="1">
      <c r="A110" s="2033">
        <v>83</v>
      </c>
      <c r="B110" s="1786"/>
      <c r="C110" s="1786"/>
      <c r="D110" s="1787" t="s">
        <v>17</v>
      </c>
      <c r="E110" s="1786">
        <v>1</v>
      </c>
      <c r="F110" s="1787" t="s">
        <v>19</v>
      </c>
      <c r="G110" s="2034" t="s">
        <v>752</v>
      </c>
      <c r="H110" s="1787" t="s">
        <v>221</v>
      </c>
      <c r="I110" s="1786" t="s">
        <v>219</v>
      </c>
      <c r="J110" s="1787" t="s">
        <v>220</v>
      </c>
      <c r="K110" s="1786">
        <v>7</v>
      </c>
      <c r="L110" s="2055" t="s">
        <v>843</v>
      </c>
      <c r="M110" s="1786">
        <v>1</v>
      </c>
      <c r="N110" s="1786">
        <v>1</v>
      </c>
      <c r="O110" s="1786">
        <v>2</v>
      </c>
      <c r="P110" s="1827">
        <v>1</v>
      </c>
      <c r="Q110" s="1786">
        <v>1</v>
      </c>
      <c r="R110" s="1786">
        <v>1</v>
      </c>
      <c r="S110" s="1786">
        <v>74</v>
      </c>
      <c r="T110" s="1855">
        <v>200000000</v>
      </c>
      <c r="U110" s="1855">
        <v>200000000</v>
      </c>
      <c r="V110" s="1855">
        <v>20000000</v>
      </c>
      <c r="W110" s="1855">
        <v>0</v>
      </c>
      <c r="X110" s="1855">
        <f t="shared" ref="X110:X122" si="13">T110+V110+W110</f>
        <v>220000000</v>
      </c>
      <c r="Y110" s="2084" t="s">
        <v>633</v>
      </c>
      <c r="Z110" s="2084" t="s">
        <v>619</v>
      </c>
      <c r="AA110" s="1855">
        <f>T109-AA111</f>
        <v>200000000</v>
      </c>
      <c r="AB110" s="1877"/>
      <c r="AC110" s="1855"/>
      <c r="AD110" s="1878"/>
      <c r="AE110" s="1855"/>
      <c r="AF110" s="1878"/>
      <c r="AG110" s="1855" t="e">
        <f>AG109</f>
        <v>#REF!</v>
      </c>
      <c r="AH110" s="1877" t="s">
        <v>617</v>
      </c>
      <c r="AI110" s="3198" t="s">
        <v>21</v>
      </c>
      <c r="AJ110" s="3198" t="s">
        <v>21</v>
      </c>
      <c r="AK110" s="3198" t="s">
        <v>21</v>
      </c>
      <c r="AL110" s="3198" t="s">
        <v>21</v>
      </c>
      <c r="AM110" s="1882"/>
      <c r="AN110" s="3196" t="s">
        <v>603</v>
      </c>
      <c r="AO110" s="3196" t="s">
        <v>603</v>
      </c>
      <c r="AP110" s="1912" t="s">
        <v>570</v>
      </c>
      <c r="AQ110" s="1912"/>
      <c r="AR110" s="1788" t="s">
        <v>1283</v>
      </c>
      <c r="AS110" s="2132" t="s">
        <v>571</v>
      </c>
      <c r="AT110" s="2133">
        <v>200000000</v>
      </c>
      <c r="AU110" s="2133"/>
      <c r="AV110" s="2134" t="s">
        <v>117</v>
      </c>
      <c r="AW110" s="1903" t="e">
        <f>#REF!</f>
        <v>#REF!</v>
      </c>
      <c r="AX110" s="1788" t="s">
        <v>844</v>
      </c>
      <c r="AY110" s="2084" t="s">
        <v>619</v>
      </c>
      <c r="AZ110" s="1970" t="s">
        <v>577</v>
      </c>
      <c r="BA110" s="1979" t="s">
        <v>845</v>
      </c>
      <c r="BB110" s="1972" t="s">
        <v>846</v>
      </c>
      <c r="BC110" s="2172"/>
      <c r="BD110" s="1971"/>
    </row>
    <row r="111" spans="1:58" s="1726" customFormat="1" ht="20.100000000000001" customHeight="1">
      <c r="A111" s="1784">
        <v>15</v>
      </c>
      <c r="B111" s="1785"/>
      <c r="C111" s="1786"/>
      <c r="D111" s="1787" t="s">
        <v>17</v>
      </c>
      <c r="E111" s="1786">
        <v>1</v>
      </c>
      <c r="F111" s="1787" t="s">
        <v>19</v>
      </c>
      <c r="G111" s="1788" t="s">
        <v>752</v>
      </c>
      <c r="H111" s="1787" t="s">
        <v>221</v>
      </c>
      <c r="I111" s="1786" t="s">
        <v>219</v>
      </c>
      <c r="J111" s="1787" t="s">
        <v>220</v>
      </c>
      <c r="K111" s="1825">
        <v>7</v>
      </c>
      <c r="L111" s="1837" t="s">
        <v>233</v>
      </c>
      <c r="M111" s="1785">
        <v>1</v>
      </c>
      <c r="N111" s="1786">
        <v>1</v>
      </c>
      <c r="O111" s="1786">
        <v>2</v>
      </c>
      <c r="P111" s="1827">
        <v>1</v>
      </c>
      <c r="Q111" s="1786">
        <v>1</v>
      </c>
      <c r="R111" s="1786">
        <v>1</v>
      </c>
      <c r="S111" s="1786">
        <v>75</v>
      </c>
      <c r="T111" s="1855">
        <v>108700000</v>
      </c>
      <c r="U111" s="1855">
        <v>108700000</v>
      </c>
      <c r="V111" s="1855">
        <v>50440000</v>
      </c>
      <c r="W111" s="1855">
        <v>0</v>
      </c>
      <c r="X111" s="1855">
        <f t="shared" si="13"/>
        <v>159140000</v>
      </c>
      <c r="Y111" s="1876" t="s">
        <v>117</v>
      </c>
      <c r="Z111" s="1876" t="s">
        <v>619</v>
      </c>
      <c r="AA111" s="1855">
        <v>108700000</v>
      </c>
      <c r="AB111" s="1877">
        <v>1</v>
      </c>
      <c r="AC111" s="1855">
        <v>108700000</v>
      </c>
      <c r="AD111" s="1878"/>
      <c r="AE111" s="1855"/>
      <c r="AF111" s="1878"/>
      <c r="AG111" s="1855">
        <v>0</v>
      </c>
      <c r="AH111" s="1877" t="s">
        <v>617</v>
      </c>
      <c r="AI111" s="3182" t="s">
        <v>791</v>
      </c>
      <c r="AJ111" s="1970" t="s">
        <v>33</v>
      </c>
      <c r="AK111" s="3133" t="s">
        <v>237</v>
      </c>
      <c r="AL111" s="1970" t="s">
        <v>79</v>
      </c>
      <c r="AM111" s="1882" t="s">
        <v>581</v>
      </c>
      <c r="AN111" s="1919" t="s">
        <v>614</v>
      </c>
      <c r="AO111" s="1919" t="s">
        <v>654</v>
      </c>
      <c r="AP111" s="1912" t="s">
        <v>570</v>
      </c>
      <c r="AQ111" s="1912"/>
      <c r="AR111" s="1912" t="s">
        <v>1289</v>
      </c>
      <c r="AS111" s="2135" t="s">
        <v>21</v>
      </c>
      <c r="AT111" s="634">
        <v>108700000</v>
      </c>
      <c r="AU111" s="635">
        <v>108700000</v>
      </c>
      <c r="AV111" s="636" t="s">
        <v>117</v>
      </c>
      <c r="AW111" s="2164" t="e">
        <f>#REF!</f>
        <v>#REF!</v>
      </c>
      <c r="AX111" s="1788" t="s">
        <v>21</v>
      </c>
      <c r="AY111" s="1876" t="s">
        <v>619</v>
      </c>
      <c r="AZ111" s="1970" t="s">
        <v>577</v>
      </c>
      <c r="BA111" s="1979" t="s">
        <v>847</v>
      </c>
      <c r="BB111" s="3199" t="s">
        <v>848</v>
      </c>
      <c r="BC111" s="3264" t="s">
        <v>1294</v>
      </c>
      <c r="BD111" s="1764" t="s">
        <v>1297</v>
      </c>
      <c r="BE111" s="1762">
        <v>1</v>
      </c>
      <c r="BF111" s="2015">
        <f>AT111</f>
        <v>108700000</v>
      </c>
    </row>
    <row r="112" spans="1:58" s="1734" customFormat="1" ht="20.100000000000001" hidden="1" customHeight="1">
      <c r="A112" s="2035">
        <v>85</v>
      </c>
      <c r="B112" s="2028"/>
      <c r="C112" s="2028"/>
      <c r="D112" s="2029" t="s">
        <v>17</v>
      </c>
      <c r="E112" s="2028">
        <v>1</v>
      </c>
      <c r="F112" s="2029" t="s">
        <v>19</v>
      </c>
      <c r="G112" s="2030" t="s">
        <v>752</v>
      </c>
      <c r="H112" s="2029" t="s">
        <v>240</v>
      </c>
      <c r="I112" s="2028" t="s">
        <v>238</v>
      </c>
      <c r="J112" s="2029" t="s">
        <v>239</v>
      </c>
      <c r="K112" s="2028">
        <v>1</v>
      </c>
      <c r="L112" s="2056" t="s">
        <v>241</v>
      </c>
      <c r="M112" s="2028">
        <v>1</v>
      </c>
      <c r="N112" s="2028">
        <v>1</v>
      </c>
      <c r="O112" s="2028">
        <v>0</v>
      </c>
      <c r="P112" s="2045">
        <v>1</v>
      </c>
      <c r="Q112" s="2028">
        <v>1</v>
      </c>
      <c r="R112" s="2028">
        <v>1</v>
      </c>
      <c r="S112" s="2028">
        <v>76</v>
      </c>
      <c r="T112" s="2065">
        <v>250000000</v>
      </c>
      <c r="U112" s="2065">
        <v>250000000</v>
      </c>
      <c r="V112" s="2065">
        <v>50000000</v>
      </c>
      <c r="W112" s="2065"/>
      <c r="X112" s="2065">
        <f t="shared" si="13"/>
        <v>300000000</v>
      </c>
      <c r="Y112" s="2081" t="s">
        <v>62</v>
      </c>
      <c r="Z112" s="2081" t="s">
        <v>619</v>
      </c>
      <c r="AA112" s="2065">
        <v>250000000</v>
      </c>
      <c r="AB112" s="2082"/>
      <c r="AC112" s="2065"/>
      <c r="AD112" s="2083"/>
      <c r="AE112" s="2065"/>
      <c r="AF112" s="2083"/>
      <c r="AG112" s="2065">
        <f>+AA112-T112</f>
        <v>0</v>
      </c>
      <c r="AH112" s="2082" t="s">
        <v>617</v>
      </c>
      <c r="AI112" s="3200" t="s">
        <v>21</v>
      </c>
      <c r="AJ112" s="3200" t="s">
        <v>60</v>
      </c>
      <c r="AK112" s="3200" t="s">
        <v>21</v>
      </c>
      <c r="AL112" s="3200" t="s">
        <v>21</v>
      </c>
      <c r="AM112" s="2110" t="s">
        <v>622</v>
      </c>
      <c r="AN112" s="3201" t="s">
        <v>675</v>
      </c>
      <c r="AO112" s="2030" t="s">
        <v>603</v>
      </c>
      <c r="AP112" s="2030" t="s">
        <v>570</v>
      </c>
      <c r="AQ112" s="2030"/>
      <c r="AR112" s="2030"/>
      <c r="AS112" s="2136" t="s">
        <v>21</v>
      </c>
      <c r="AT112" s="2137">
        <v>250000000</v>
      </c>
      <c r="AU112" s="2137"/>
      <c r="AV112" s="2138" t="s">
        <v>62</v>
      </c>
      <c r="AW112" s="2081"/>
      <c r="AX112" s="2030" t="s">
        <v>21</v>
      </c>
      <c r="AY112" s="2081" t="s">
        <v>619</v>
      </c>
      <c r="AZ112" s="1997" t="s">
        <v>577</v>
      </c>
      <c r="BA112" s="1997"/>
      <c r="BB112" s="2173" t="s">
        <v>849</v>
      </c>
      <c r="BC112" s="2174"/>
      <c r="BD112" s="2167"/>
      <c r="BE112" s="2184"/>
    </row>
    <row r="113" spans="1:58" s="1724" customFormat="1" ht="20.100000000000001" hidden="1" customHeight="1">
      <c r="A113" s="1772">
        <v>85</v>
      </c>
      <c r="B113" s="1773"/>
      <c r="C113" s="1773"/>
      <c r="D113" s="1774" t="s">
        <v>17</v>
      </c>
      <c r="E113" s="1773">
        <v>1</v>
      </c>
      <c r="F113" s="1774" t="s">
        <v>19</v>
      </c>
      <c r="G113" s="1908" t="s">
        <v>752</v>
      </c>
      <c r="H113" s="1774" t="s">
        <v>240</v>
      </c>
      <c r="I113" s="1773" t="s">
        <v>238</v>
      </c>
      <c r="J113" s="1774" t="s">
        <v>239</v>
      </c>
      <c r="K113" s="1773">
        <v>1</v>
      </c>
      <c r="L113" s="1774" t="s">
        <v>241</v>
      </c>
      <c r="M113" s="1773">
        <v>1</v>
      </c>
      <c r="N113" s="1773">
        <v>1</v>
      </c>
      <c r="O113" s="1773">
        <v>0</v>
      </c>
      <c r="P113" s="1822">
        <v>1</v>
      </c>
      <c r="Q113" s="1773">
        <v>1</v>
      </c>
      <c r="R113" s="1773">
        <v>1</v>
      </c>
      <c r="S113" s="1773">
        <v>76</v>
      </c>
      <c r="T113" s="1852">
        <v>250000000</v>
      </c>
      <c r="U113" s="1852">
        <v>250000000</v>
      </c>
      <c r="V113" s="1852">
        <v>50000000</v>
      </c>
      <c r="W113" s="1852"/>
      <c r="X113" s="1852">
        <f t="shared" si="13"/>
        <v>300000000</v>
      </c>
      <c r="Y113" s="1863" t="s">
        <v>62</v>
      </c>
      <c r="Z113" s="1863" t="s">
        <v>619</v>
      </c>
      <c r="AA113" s="1852">
        <v>250000000</v>
      </c>
      <c r="AB113" s="1872"/>
      <c r="AC113" s="1852"/>
      <c r="AD113" s="1873"/>
      <c r="AE113" s="1852"/>
      <c r="AF113" s="1873"/>
      <c r="AG113" s="1852">
        <f>+AA113-T113</f>
        <v>0</v>
      </c>
      <c r="AH113" s="1872" t="s">
        <v>617</v>
      </c>
      <c r="AI113" s="3169" t="s">
        <v>21</v>
      </c>
      <c r="AJ113" s="3169" t="s">
        <v>60</v>
      </c>
      <c r="AK113" s="3169" t="s">
        <v>21</v>
      </c>
      <c r="AL113" s="3169" t="s">
        <v>21</v>
      </c>
      <c r="AM113" s="2052" t="s">
        <v>622</v>
      </c>
      <c r="AN113" s="3130" t="s">
        <v>675</v>
      </c>
      <c r="AO113" s="1908" t="s">
        <v>603</v>
      </c>
      <c r="AP113" s="1908" t="s">
        <v>570</v>
      </c>
      <c r="AQ113" s="1908"/>
      <c r="AR113" s="1908" t="s">
        <v>1291</v>
      </c>
      <c r="AS113" s="1927" t="s">
        <v>21</v>
      </c>
      <c r="AT113" s="1852">
        <v>125000000</v>
      </c>
      <c r="AU113" s="1852"/>
      <c r="AV113" s="1863" t="s">
        <v>62</v>
      </c>
      <c r="AW113" s="1863" t="e">
        <f>#REF!</f>
        <v>#REF!</v>
      </c>
      <c r="AX113" s="1908" t="s">
        <v>21</v>
      </c>
      <c r="AY113" s="1863" t="s">
        <v>619</v>
      </c>
      <c r="AZ113" s="1851" t="s">
        <v>577</v>
      </c>
      <c r="BA113" s="1851"/>
      <c r="BB113" s="1962" t="s">
        <v>849</v>
      </c>
      <c r="BC113" s="1963"/>
      <c r="BD113" s="1964"/>
      <c r="BE113" s="2185"/>
    </row>
    <row r="114" spans="1:58" s="1724" customFormat="1" ht="20.100000000000001" hidden="1" customHeight="1">
      <c r="A114" s="1772">
        <v>85</v>
      </c>
      <c r="B114" s="1773"/>
      <c r="C114" s="1773"/>
      <c r="D114" s="1774" t="s">
        <v>17</v>
      </c>
      <c r="E114" s="1773">
        <v>1</v>
      </c>
      <c r="F114" s="1774" t="s">
        <v>19</v>
      </c>
      <c r="G114" s="1908" t="s">
        <v>752</v>
      </c>
      <c r="H114" s="1774" t="s">
        <v>240</v>
      </c>
      <c r="I114" s="1773" t="s">
        <v>238</v>
      </c>
      <c r="J114" s="1774" t="s">
        <v>239</v>
      </c>
      <c r="K114" s="1773">
        <v>1</v>
      </c>
      <c r="L114" s="1774" t="s">
        <v>241</v>
      </c>
      <c r="M114" s="1773">
        <v>1</v>
      </c>
      <c r="N114" s="1773">
        <v>1</v>
      </c>
      <c r="O114" s="1773">
        <v>0</v>
      </c>
      <c r="P114" s="1822">
        <v>1</v>
      </c>
      <c r="Q114" s="1773">
        <v>1</v>
      </c>
      <c r="R114" s="1773">
        <v>1</v>
      </c>
      <c r="S114" s="1773">
        <v>76</v>
      </c>
      <c r="T114" s="1852">
        <v>250000000</v>
      </c>
      <c r="U114" s="1852">
        <v>250000000</v>
      </c>
      <c r="V114" s="1852">
        <v>50000000</v>
      </c>
      <c r="W114" s="1852"/>
      <c r="X114" s="1852">
        <f t="shared" si="13"/>
        <v>300000000</v>
      </c>
      <c r="Y114" s="1863" t="s">
        <v>21</v>
      </c>
      <c r="Z114" s="1863" t="s">
        <v>21</v>
      </c>
      <c r="AA114" s="1852" t="s">
        <v>21</v>
      </c>
      <c r="AB114" s="1872"/>
      <c r="AC114" s="1852"/>
      <c r="AD114" s="1873"/>
      <c r="AE114" s="1852"/>
      <c r="AF114" s="1873"/>
      <c r="AG114" s="1852" t="s">
        <v>21</v>
      </c>
      <c r="AH114" s="1872" t="s">
        <v>617</v>
      </c>
      <c r="AI114" s="3169" t="s">
        <v>21</v>
      </c>
      <c r="AJ114" s="3169" t="s">
        <v>60</v>
      </c>
      <c r="AK114" s="3169" t="s">
        <v>21</v>
      </c>
      <c r="AL114" s="3169" t="s">
        <v>21</v>
      </c>
      <c r="AM114" s="2052" t="s">
        <v>622</v>
      </c>
      <c r="AN114" s="3130" t="s">
        <v>675</v>
      </c>
      <c r="AO114" s="1908" t="s">
        <v>603</v>
      </c>
      <c r="AP114" s="1908" t="s">
        <v>570</v>
      </c>
      <c r="AQ114" s="1908"/>
      <c r="AR114" s="1908" t="s">
        <v>1291</v>
      </c>
      <c r="AS114" s="1927" t="s">
        <v>21</v>
      </c>
      <c r="AT114" s="1852">
        <v>125000000</v>
      </c>
      <c r="AU114" s="1852"/>
      <c r="AV114" s="1863" t="s">
        <v>636</v>
      </c>
      <c r="AW114" s="1863" t="e">
        <f>#REF!</f>
        <v>#REF!</v>
      </c>
      <c r="AX114" s="1908" t="s">
        <v>21</v>
      </c>
      <c r="AY114" s="1863" t="s">
        <v>619</v>
      </c>
      <c r="AZ114" s="1851" t="s">
        <v>577</v>
      </c>
      <c r="BA114" s="1851"/>
      <c r="BB114" s="1962" t="s">
        <v>849</v>
      </c>
      <c r="BC114" s="1963"/>
      <c r="BD114" s="1964"/>
      <c r="BE114" s="2185"/>
    </row>
    <row r="115" spans="1:58" s="1735" customFormat="1" ht="20.100000000000001" hidden="1" customHeight="1">
      <c r="A115" s="1792">
        <v>86</v>
      </c>
      <c r="B115" s="1790"/>
      <c r="C115" s="1790"/>
      <c r="D115" s="1791" t="s">
        <v>17</v>
      </c>
      <c r="E115" s="1790">
        <v>1</v>
      </c>
      <c r="F115" s="1791" t="s">
        <v>19</v>
      </c>
      <c r="G115" s="1788" t="s">
        <v>752</v>
      </c>
      <c r="H115" s="1791" t="s">
        <v>240</v>
      </c>
      <c r="I115" s="1790" t="s">
        <v>238</v>
      </c>
      <c r="J115" s="1791" t="s">
        <v>239</v>
      </c>
      <c r="K115" s="1790">
        <v>2</v>
      </c>
      <c r="L115" s="1791" t="s">
        <v>242</v>
      </c>
      <c r="M115" s="1790">
        <v>1</v>
      </c>
      <c r="N115" s="1790">
        <v>1</v>
      </c>
      <c r="O115" s="1790">
        <v>0</v>
      </c>
      <c r="P115" s="1829">
        <v>1</v>
      </c>
      <c r="Q115" s="1790">
        <v>1</v>
      </c>
      <c r="R115" s="1790">
        <v>1</v>
      </c>
      <c r="S115" s="1790">
        <v>77</v>
      </c>
      <c r="T115" s="1856">
        <v>350000000</v>
      </c>
      <c r="U115" s="1856">
        <v>350000000</v>
      </c>
      <c r="V115" s="1856">
        <v>70000000</v>
      </c>
      <c r="W115" s="1856"/>
      <c r="X115" s="1856">
        <f t="shared" si="13"/>
        <v>420000000</v>
      </c>
      <c r="Y115" s="1879" t="s">
        <v>117</v>
      </c>
      <c r="Z115" s="1879" t="s">
        <v>619</v>
      </c>
      <c r="AA115" s="1856">
        <f>T115</f>
        <v>350000000</v>
      </c>
      <c r="AB115" s="1880"/>
      <c r="AC115" s="1856"/>
      <c r="AD115" s="1881"/>
      <c r="AE115" s="1856"/>
      <c r="AF115" s="1881"/>
      <c r="AG115" s="1856">
        <v>0</v>
      </c>
      <c r="AH115" s="1880" t="s">
        <v>617</v>
      </c>
      <c r="AI115" s="3137" t="s">
        <v>21</v>
      </c>
      <c r="AJ115" s="3137" t="s">
        <v>21</v>
      </c>
      <c r="AK115" s="3137" t="s">
        <v>21</v>
      </c>
      <c r="AL115" s="3137" t="s">
        <v>21</v>
      </c>
      <c r="AM115" s="1882"/>
      <c r="AN115" s="3188" t="s">
        <v>603</v>
      </c>
      <c r="AO115" s="3188" t="s">
        <v>603</v>
      </c>
      <c r="AP115" s="1788" t="s">
        <v>570</v>
      </c>
      <c r="AQ115" s="1788"/>
      <c r="AR115" s="1788" t="s">
        <v>1283</v>
      </c>
      <c r="AS115" s="2123" t="s">
        <v>571</v>
      </c>
      <c r="AT115" s="1856">
        <v>350000000</v>
      </c>
      <c r="AU115" s="1856"/>
      <c r="AV115" s="1879" t="s">
        <v>117</v>
      </c>
      <c r="AW115" s="1879" t="e">
        <f>#REF!</f>
        <v>#REF!</v>
      </c>
      <c r="AX115" s="1912" t="s">
        <v>21</v>
      </c>
      <c r="AY115" s="1879" t="s">
        <v>619</v>
      </c>
      <c r="AZ115" s="91" t="s">
        <v>577</v>
      </c>
      <c r="BA115" s="1985" t="s">
        <v>853</v>
      </c>
      <c r="BB115" s="1975" t="s">
        <v>854</v>
      </c>
      <c r="BC115" s="1976"/>
      <c r="BD115" s="1764"/>
      <c r="BE115" s="1763"/>
    </row>
    <row r="116" spans="1:58" s="1735" customFormat="1" ht="20.100000000000001" hidden="1" customHeight="1">
      <c r="A116" s="1792">
        <v>87</v>
      </c>
      <c r="B116" s="1790"/>
      <c r="C116" s="1790"/>
      <c r="D116" s="1791" t="s">
        <v>17</v>
      </c>
      <c r="E116" s="1790">
        <v>1</v>
      </c>
      <c r="F116" s="1791" t="s">
        <v>19</v>
      </c>
      <c r="G116" s="2034" t="s">
        <v>752</v>
      </c>
      <c r="H116" s="1791" t="s">
        <v>240</v>
      </c>
      <c r="I116" s="1790" t="s">
        <v>238</v>
      </c>
      <c r="J116" s="1791" t="s">
        <v>239</v>
      </c>
      <c r="K116" s="1790">
        <v>3</v>
      </c>
      <c r="L116" s="1791" t="s">
        <v>243</v>
      </c>
      <c r="M116" s="1790">
        <v>1</v>
      </c>
      <c r="N116" s="1790">
        <v>1</v>
      </c>
      <c r="O116" s="1790">
        <v>0</v>
      </c>
      <c r="P116" s="1829">
        <v>1</v>
      </c>
      <c r="Q116" s="1790">
        <v>1</v>
      </c>
      <c r="R116" s="1790">
        <v>1</v>
      </c>
      <c r="S116" s="1790">
        <v>78</v>
      </c>
      <c r="T116" s="1856">
        <v>50000000</v>
      </c>
      <c r="U116" s="1856">
        <v>50000000</v>
      </c>
      <c r="V116" s="1856">
        <v>10000000</v>
      </c>
      <c r="W116" s="1856"/>
      <c r="X116" s="1856">
        <f t="shared" si="13"/>
        <v>60000000</v>
      </c>
      <c r="Y116" s="2072" t="s">
        <v>633</v>
      </c>
      <c r="Z116" s="2072" t="s">
        <v>619</v>
      </c>
      <c r="AA116" s="1856">
        <v>50000000</v>
      </c>
      <c r="AB116" s="1880"/>
      <c r="AC116" s="1856"/>
      <c r="AD116" s="1881"/>
      <c r="AE116" s="1856"/>
      <c r="AF116" s="1881"/>
      <c r="AG116" s="2111" t="e">
        <f>-#REF!</f>
        <v>#REF!</v>
      </c>
      <c r="AH116" s="1880" t="s">
        <v>617</v>
      </c>
      <c r="AI116" s="3137" t="s">
        <v>21</v>
      </c>
      <c r="AJ116" s="3137" t="s">
        <v>21</v>
      </c>
      <c r="AK116" s="3137" t="s">
        <v>21</v>
      </c>
      <c r="AL116" s="3137" t="s">
        <v>21</v>
      </c>
      <c r="AM116" s="1882"/>
      <c r="AN116" s="3188" t="s">
        <v>568</v>
      </c>
      <c r="AO116" s="3188" t="s">
        <v>645</v>
      </c>
      <c r="AP116" s="1788" t="s">
        <v>570</v>
      </c>
      <c r="AQ116" s="1788"/>
      <c r="AR116" s="1788" t="s">
        <v>1283</v>
      </c>
      <c r="AS116" s="2123" t="s">
        <v>571</v>
      </c>
      <c r="AT116" s="1856">
        <v>50000000</v>
      </c>
      <c r="AU116" s="1856"/>
      <c r="AV116" s="1890" t="s">
        <v>117</v>
      </c>
      <c r="AW116" s="1879" t="e">
        <f>#REF!</f>
        <v>#REF!</v>
      </c>
      <c r="AX116" s="1788" t="s">
        <v>844</v>
      </c>
      <c r="AY116" s="2072" t="s">
        <v>619</v>
      </c>
      <c r="AZ116" s="91" t="s">
        <v>577</v>
      </c>
      <c r="BA116" s="1985" t="s">
        <v>853</v>
      </c>
      <c r="BB116" s="1975" t="s">
        <v>855</v>
      </c>
      <c r="BC116" s="1976"/>
      <c r="BD116" s="2175"/>
      <c r="BE116" s="2186"/>
    </row>
    <row r="117" spans="1:58" s="1736" customFormat="1" ht="20.100000000000001" hidden="1" customHeight="1">
      <c r="A117" s="2036"/>
      <c r="B117" s="2028"/>
      <c r="C117" s="2028"/>
      <c r="D117" s="2029" t="s">
        <v>17</v>
      </c>
      <c r="E117" s="2028">
        <v>1</v>
      </c>
      <c r="F117" s="2029" t="s">
        <v>19</v>
      </c>
      <c r="G117" s="2030" t="s">
        <v>856</v>
      </c>
      <c r="H117" s="2029" t="s">
        <v>857</v>
      </c>
      <c r="I117" s="2028"/>
      <c r="J117" s="2029" t="s">
        <v>858</v>
      </c>
      <c r="K117" s="2029"/>
      <c r="L117" s="2029" t="s">
        <v>859</v>
      </c>
      <c r="M117" s="2028">
        <v>1</v>
      </c>
      <c r="N117" s="2028"/>
      <c r="O117" s="2028"/>
      <c r="P117" s="2045"/>
      <c r="Q117" s="2028"/>
      <c r="R117" s="2028"/>
      <c r="S117" s="2028"/>
      <c r="T117" s="2065">
        <v>0</v>
      </c>
      <c r="U117" s="2065">
        <v>300000000</v>
      </c>
      <c r="V117" s="2065">
        <v>40000000</v>
      </c>
      <c r="W117" s="2065">
        <v>10000000</v>
      </c>
      <c r="X117" s="2066" t="e">
        <f>#REF!+#REF!+#REF!</f>
        <v>#REF!</v>
      </c>
      <c r="Y117" s="2085" t="s">
        <v>62</v>
      </c>
      <c r="Z117" s="2086" t="s">
        <v>619</v>
      </c>
      <c r="AA117" s="2081" t="e">
        <f>#REF!</f>
        <v>#REF!</v>
      </c>
      <c r="AB117" s="2082"/>
      <c r="AC117" s="2087"/>
      <c r="AD117" s="2088"/>
      <c r="AE117" s="2089"/>
      <c r="AF117" s="2088"/>
      <c r="AG117" s="2112"/>
      <c r="AH117" s="2082"/>
      <c r="AI117" s="2113"/>
      <c r="AJ117" s="2113"/>
      <c r="AK117" s="2113"/>
      <c r="AL117" s="2113"/>
      <c r="AM117" s="2110" t="s">
        <v>622</v>
      </c>
      <c r="AN117" s="2113"/>
      <c r="AO117" s="2113"/>
      <c r="AP117" s="2113"/>
      <c r="AQ117" s="2139"/>
      <c r="AR117" s="2139"/>
      <c r="AS117" s="2136" t="s">
        <v>860</v>
      </c>
      <c r="AT117" s="2140">
        <f>SUM(AT118:AT119)</f>
        <v>300000000</v>
      </c>
      <c r="AU117" s="2140"/>
      <c r="AV117" s="2081" t="s">
        <v>62</v>
      </c>
      <c r="AW117" s="2081" t="e">
        <f>#REF!</f>
        <v>#REF!</v>
      </c>
      <c r="AX117" s="2140"/>
      <c r="AY117" s="2176"/>
      <c r="AZ117" s="2177"/>
      <c r="BA117" s="1997"/>
      <c r="BB117" s="2173"/>
      <c r="BC117" s="2174"/>
      <c r="BD117" s="2178"/>
      <c r="BE117" s="2187"/>
    </row>
    <row r="118" spans="1:58" s="1737" customFormat="1" ht="20.100000000000001" hidden="1" customHeight="1">
      <c r="A118" s="1810"/>
      <c r="B118" s="1769"/>
      <c r="C118" s="1769"/>
      <c r="D118" s="1770" t="s">
        <v>17</v>
      </c>
      <c r="E118" s="1769">
        <v>1</v>
      </c>
      <c r="F118" s="1770" t="s">
        <v>19</v>
      </c>
      <c r="G118" s="1771" t="s">
        <v>856</v>
      </c>
      <c r="H118" s="1770" t="s">
        <v>857</v>
      </c>
      <c r="I118" s="1769"/>
      <c r="J118" s="1770" t="s">
        <v>858</v>
      </c>
      <c r="K118" s="1770"/>
      <c r="L118" s="1770" t="s">
        <v>859</v>
      </c>
      <c r="M118" s="1769">
        <v>1</v>
      </c>
      <c r="N118" s="1769"/>
      <c r="O118" s="1769"/>
      <c r="P118" s="1820"/>
      <c r="Q118" s="1769"/>
      <c r="R118" s="1769"/>
      <c r="S118" s="1769"/>
      <c r="T118" s="1850">
        <v>0</v>
      </c>
      <c r="U118" s="1850">
        <v>300000000</v>
      </c>
      <c r="V118" s="1850">
        <v>40000000</v>
      </c>
      <c r="W118" s="1850">
        <v>10000000</v>
      </c>
      <c r="X118" s="1897" t="e">
        <f>#REF!+#REF!+#REF!</f>
        <v>#REF!</v>
      </c>
      <c r="Y118" s="2090" t="s">
        <v>62</v>
      </c>
      <c r="Z118" s="2091" t="s">
        <v>619</v>
      </c>
      <c r="AA118" s="1869" t="e">
        <f>#REF!</f>
        <v>#REF!</v>
      </c>
      <c r="AB118" s="1870"/>
      <c r="AC118" s="1954"/>
      <c r="AD118" s="2092"/>
      <c r="AE118" s="2093"/>
      <c r="AF118" s="2092"/>
      <c r="AG118" s="2114"/>
      <c r="AH118" s="1870"/>
      <c r="AI118" s="2115"/>
      <c r="AJ118" s="2115"/>
      <c r="AK118" s="2115"/>
      <c r="AL118" s="2115"/>
      <c r="AM118" s="2116" t="s">
        <v>622</v>
      </c>
      <c r="AN118" s="2115"/>
      <c r="AO118" s="2115"/>
      <c r="AP118" s="2115"/>
      <c r="AQ118" s="2141"/>
      <c r="AR118" s="2141" t="s">
        <v>1291</v>
      </c>
      <c r="AS118" s="1926" t="s">
        <v>860</v>
      </c>
      <c r="AT118" s="2142">
        <v>4000000</v>
      </c>
      <c r="AU118" s="2142"/>
      <c r="AV118" s="1869" t="s">
        <v>62</v>
      </c>
      <c r="AW118" s="1869" t="e">
        <f>#REF!</f>
        <v>#REF!</v>
      </c>
      <c r="AX118" s="2142"/>
      <c r="AY118" s="2179"/>
      <c r="AZ118" s="2180"/>
      <c r="BA118" s="1849"/>
      <c r="BB118" s="1959"/>
      <c r="BC118" s="1960"/>
      <c r="BD118" s="2181"/>
      <c r="BE118" s="2188"/>
    </row>
    <row r="119" spans="1:58" s="1737" customFormat="1" ht="20.100000000000001" hidden="1" customHeight="1">
      <c r="A119" s="1810"/>
      <c r="B119" s="1769"/>
      <c r="C119" s="1769"/>
      <c r="D119" s="1770" t="s">
        <v>17</v>
      </c>
      <c r="E119" s="1769">
        <v>1</v>
      </c>
      <c r="F119" s="1770" t="s">
        <v>19</v>
      </c>
      <c r="G119" s="1771" t="s">
        <v>856</v>
      </c>
      <c r="H119" s="1770" t="s">
        <v>857</v>
      </c>
      <c r="I119" s="1769"/>
      <c r="J119" s="1770" t="s">
        <v>858</v>
      </c>
      <c r="K119" s="1770"/>
      <c r="L119" s="1770" t="s">
        <v>859</v>
      </c>
      <c r="M119" s="1769">
        <v>1</v>
      </c>
      <c r="N119" s="1769"/>
      <c r="O119" s="1769"/>
      <c r="P119" s="1820"/>
      <c r="Q119" s="1769"/>
      <c r="R119" s="1769"/>
      <c r="S119" s="1769"/>
      <c r="T119" s="1850">
        <v>0</v>
      </c>
      <c r="U119" s="1850">
        <v>300000000</v>
      </c>
      <c r="V119" s="1850">
        <v>40000000</v>
      </c>
      <c r="W119" s="1850">
        <v>10000000</v>
      </c>
      <c r="X119" s="1897" t="e">
        <f>#REF!+#REF!+#REF!</f>
        <v>#REF!</v>
      </c>
      <c r="Y119" s="2090" t="s">
        <v>62</v>
      </c>
      <c r="Z119" s="2091" t="s">
        <v>619</v>
      </c>
      <c r="AA119" s="1869" t="e">
        <f>#REF!</f>
        <v>#REF!</v>
      </c>
      <c r="AB119" s="1870"/>
      <c r="AC119" s="1954"/>
      <c r="AD119" s="2092"/>
      <c r="AE119" s="2093"/>
      <c r="AF119" s="2092"/>
      <c r="AG119" s="2114"/>
      <c r="AH119" s="1870"/>
      <c r="AI119" s="2115"/>
      <c r="AJ119" s="2115"/>
      <c r="AK119" s="2115"/>
      <c r="AL119" s="2115"/>
      <c r="AM119" s="2116" t="s">
        <v>622</v>
      </c>
      <c r="AN119" s="2115"/>
      <c r="AO119" s="2115"/>
      <c r="AP119" s="2115"/>
      <c r="AQ119" s="2141"/>
      <c r="AR119" s="2141" t="s">
        <v>1292</v>
      </c>
      <c r="AS119" s="1926" t="s">
        <v>860</v>
      </c>
      <c r="AT119" s="2142">
        <v>296000000</v>
      </c>
      <c r="AU119" s="2142"/>
      <c r="AV119" s="1869" t="s">
        <v>62</v>
      </c>
      <c r="AW119" s="1869" t="e">
        <f>#REF!</f>
        <v>#REF!</v>
      </c>
      <c r="AX119" s="2142"/>
      <c r="AY119" s="2179"/>
      <c r="AZ119" s="2180"/>
      <c r="BA119" s="1849"/>
      <c r="BB119" s="1959"/>
      <c r="BC119" s="1960"/>
      <c r="BD119" s="2181"/>
      <c r="BE119" s="2188"/>
    </row>
    <row r="120" spans="1:58" s="1735" customFormat="1" ht="20.100000000000001" hidden="1" customHeight="1">
      <c r="A120" s="2018"/>
      <c r="B120" s="1790"/>
      <c r="C120" s="1790"/>
      <c r="D120" s="1791" t="s">
        <v>17</v>
      </c>
      <c r="E120" s="1790">
        <v>2</v>
      </c>
      <c r="F120" s="1791" t="s">
        <v>19</v>
      </c>
      <c r="G120" s="1788" t="s">
        <v>856</v>
      </c>
      <c r="H120" s="1791" t="s">
        <v>246</v>
      </c>
      <c r="I120" s="1790"/>
      <c r="J120" s="1791" t="s">
        <v>245</v>
      </c>
      <c r="K120" s="1791"/>
      <c r="L120" s="1791" t="s">
        <v>861</v>
      </c>
      <c r="M120" s="1790">
        <v>1</v>
      </c>
      <c r="N120" s="1790"/>
      <c r="O120" s="1790"/>
      <c r="P120" s="1829"/>
      <c r="Q120" s="1790"/>
      <c r="R120" s="1790"/>
      <c r="S120" s="1790"/>
      <c r="T120" s="1856">
        <v>0</v>
      </c>
      <c r="U120" s="1856">
        <v>450000000</v>
      </c>
      <c r="V120" s="2059">
        <v>0</v>
      </c>
      <c r="W120" s="1856">
        <v>0</v>
      </c>
      <c r="X120" s="2067" t="e">
        <f>#REF!+#REF!+#REF!</f>
        <v>#REF!</v>
      </c>
      <c r="Y120" s="2071" t="s">
        <v>633</v>
      </c>
      <c r="Z120" s="2072" t="s">
        <v>633</v>
      </c>
      <c r="AA120" s="2094" t="e">
        <f>#REF!</f>
        <v>#REF!</v>
      </c>
      <c r="AB120" s="1880"/>
      <c r="AC120" s="1680"/>
      <c r="AD120" s="2074"/>
      <c r="AE120" s="2075"/>
      <c r="AF120" s="2074"/>
      <c r="AG120" s="2111"/>
      <c r="AH120" s="1880"/>
      <c r="AI120" s="2102"/>
      <c r="AJ120" s="2011"/>
      <c r="AK120" s="2011"/>
      <c r="AL120" s="2011"/>
      <c r="AM120" s="1882" t="s">
        <v>622</v>
      </c>
      <c r="AN120" s="3202" t="s">
        <v>603</v>
      </c>
      <c r="AO120" s="3202" t="s">
        <v>603</v>
      </c>
      <c r="AP120" s="2011" t="s">
        <v>21</v>
      </c>
      <c r="AQ120" s="1912"/>
      <c r="AR120" s="2143" t="s">
        <v>1291</v>
      </c>
      <c r="AS120" s="2143" t="s">
        <v>21</v>
      </c>
      <c r="AT120" s="2144">
        <v>450000000</v>
      </c>
      <c r="AU120" s="2144"/>
      <c r="AV120" s="1879" t="s">
        <v>62</v>
      </c>
      <c r="AW120" s="1879" t="e">
        <f>#REF!</f>
        <v>#REF!</v>
      </c>
      <c r="AX120" s="2143"/>
      <c r="AY120" s="2182"/>
      <c r="AZ120" s="260"/>
      <c r="BA120" s="1985"/>
      <c r="BB120" s="2149"/>
      <c r="BC120" s="2150"/>
      <c r="BD120" s="2175"/>
      <c r="BE120" s="2186"/>
    </row>
    <row r="121" spans="1:58" ht="20.100000000000001" hidden="1" customHeight="1">
      <c r="A121" s="1792">
        <v>88</v>
      </c>
      <c r="B121" s="1790"/>
      <c r="C121" s="1790"/>
      <c r="D121" s="1791" t="s">
        <v>17</v>
      </c>
      <c r="E121" s="1790">
        <v>1</v>
      </c>
      <c r="F121" s="1791" t="s">
        <v>19</v>
      </c>
      <c r="G121" s="1788" t="s">
        <v>856</v>
      </c>
      <c r="H121" s="1791" t="s">
        <v>246</v>
      </c>
      <c r="I121" s="1790" t="s">
        <v>244</v>
      </c>
      <c r="J121" s="1791" t="s">
        <v>245</v>
      </c>
      <c r="K121" s="1790">
        <v>1</v>
      </c>
      <c r="L121" s="1791" t="s">
        <v>247</v>
      </c>
      <c r="M121" s="1790">
        <v>0</v>
      </c>
      <c r="N121" s="1790">
        <v>0</v>
      </c>
      <c r="O121" s="1790">
        <v>0</v>
      </c>
      <c r="P121" s="1829">
        <v>0</v>
      </c>
      <c r="Q121" s="1790">
        <v>0</v>
      </c>
      <c r="R121" s="1790">
        <v>0</v>
      </c>
      <c r="S121" s="1790">
        <v>79</v>
      </c>
      <c r="T121" s="1856">
        <v>300000000</v>
      </c>
      <c r="U121" s="1856">
        <v>300000000</v>
      </c>
      <c r="V121" s="1856">
        <v>15000000</v>
      </c>
      <c r="W121" s="1856">
        <v>7000000</v>
      </c>
      <c r="X121" s="2068">
        <f>T121+V121+W121</f>
        <v>322000000</v>
      </c>
      <c r="Y121" s="2068" t="s">
        <v>62</v>
      </c>
      <c r="Z121" s="1879" t="s">
        <v>619</v>
      </c>
      <c r="AA121" s="1879">
        <v>300000000</v>
      </c>
      <c r="AB121" s="1880"/>
      <c r="AC121" s="1879"/>
      <c r="AD121" s="2095"/>
      <c r="AE121" s="1879"/>
      <c r="AF121" s="2095"/>
      <c r="AG121" s="2068">
        <f>+AA121-T121</f>
        <v>0</v>
      </c>
      <c r="AH121" s="1880">
        <v>2017</v>
      </c>
      <c r="AI121" s="3137" t="s">
        <v>248</v>
      </c>
      <c r="AJ121" s="3137" t="s">
        <v>21</v>
      </c>
      <c r="AK121" s="3137" t="s">
        <v>21</v>
      </c>
      <c r="AL121" s="3137" t="s">
        <v>21</v>
      </c>
      <c r="AM121" s="1882"/>
      <c r="AN121" s="3188" t="s">
        <v>603</v>
      </c>
      <c r="AO121" s="3188" t="s">
        <v>603</v>
      </c>
      <c r="AP121" s="1788" t="s">
        <v>570</v>
      </c>
      <c r="AQ121" s="1788"/>
      <c r="AR121" s="1788"/>
      <c r="AS121" s="2123" t="s">
        <v>571</v>
      </c>
      <c r="AT121" s="1879">
        <v>0</v>
      </c>
      <c r="AU121" s="1879"/>
      <c r="AV121" s="2068">
        <v>0</v>
      </c>
      <c r="AW121" s="1879" t="e">
        <f>#REF!</f>
        <v>#REF!</v>
      </c>
      <c r="AX121" s="1788" t="s">
        <v>21</v>
      </c>
      <c r="AY121" s="1879" t="s">
        <v>619</v>
      </c>
      <c r="AZ121" s="91" t="s">
        <v>577</v>
      </c>
      <c r="BA121" s="1985" t="s">
        <v>862</v>
      </c>
      <c r="BB121" s="3194" t="s">
        <v>863</v>
      </c>
      <c r="BC121" s="1976"/>
      <c r="BD121" s="1764"/>
      <c r="BE121" s="1762"/>
      <c r="BF121" s="1762"/>
    </row>
    <row r="122" spans="1:58" ht="20.100000000000001" hidden="1" customHeight="1">
      <c r="A122" s="1792">
        <v>89</v>
      </c>
      <c r="B122" s="1790"/>
      <c r="C122" s="1790"/>
      <c r="D122" s="1791" t="s">
        <v>17</v>
      </c>
      <c r="E122" s="1790">
        <v>2</v>
      </c>
      <c r="F122" s="1791" t="s">
        <v>249</v>
      </c>
      <c r="G122" s="1788"/>
      <c r="H122" s="1791" t="s">
        <v>246</v>
      </c>
      <c r="I122" s="1790" t="s">
        <v>23</v>
      </c>
      <c r="J122" s="1791" t="s">
        <v>245</v>
      </c>
      <c r="K122" s="1790">
        <v>1</v>
      </c>
      <c r="L122" s="1791" t="s">
        <v>251</v>
      </c>
      <c r="M122" s="1790">
        <v>1</v>
      </c>
      <c r="N122" s="1790">
        <v>1</v>
      </c>
      <c r="O122" s="1790">
        <v>0</v>
      </c>
      <c r="P122" s="1829">
        <v>1</v>
      </c>
      <c r="Q122" s="1790">
        <v>1</v>
      </c>
      <c r="R122" s="1790">
        <v>1</v>
      </c>
      <c r="S122" s="1790">
        <v>80</v>
      </c>
      <c r="T122" s="1856">
        <v>200000000</v>
      </c>
      <c r="U122" s="1856">
        <v>200000000</v>
      </c>
      <c r="V122" s="1856">
        <f>T122*10%</f>
        <v>20000000</v>
      </c>
      <c r="W122" s="1856">
        <v>0</v>
      </c>
      <c r="X122" s="1856">
        <f t="shared" si="13"/>
        <v>220000000</v>
      </c>
      <c r="Y122" s="1879" t="s">
        <v>55</v>
      </c>
      <c r="Z122" s="1879" t="s">
        <v>565</v>
      </c>
      <c r="AA122" s="1856">
        <v>200000000</v>
      </c>
      <c r="AB122" s="1880"/>
      <c r="AC122" s="1856"/>
      <c r="AD122" s="1881"/>
      <c r="AE122" s="1856"/>
      <c r="AF122" s="1881"/>
      <c r="AG122" s="2117">
        <v>0</v>
      </c>
      <c r="AH122" s="1880">
        <v>2017</v>
      </c>
      <c r="AI122" s="1788" t="s">
        <v>248</v>
      </c>
      <c r="AJ122" s="91" t="s">
        <v>33</v>
      </c>
      <c r="AK122" s="91" t="s">
        <v>252</v>
      </c>
      <c r="AL122" s="91" t="s">
        <v>253</v>
      </c>
      <c r="AM122" s="1882"/>
      <c r="AN122" s="1919" t="s">
        <v>614</v>
      </c>
      <c r="AO122" s="1907" t="s">
        <v>568</v>
      </c>
      <c r="AP122" s="1788" t="s">
        <v>570</v>
      </c>
      <c r="AQ122" s="1788"/>
      <c r="AR122" s="1788" t="s">
        <v>1283</v>
      </c>
      <c r="AS122" s="2123" t="s">
        <v>571</v>
      </c>
      <c r="AT122" s="1856">
        <v>200000000</v>
      </c>
      <c r="AU122" s="1856"/>
      <c r="AV122" s="1879" t="s">
        <v>55</v>
      </c>
      <c r="AW122" s="1879" t="e">
        <f>#REF!</f>
        <v>#REF!</v>
      </c>
      <c r="AX122" s="1788" t="s">
        <v>21</v>
      </c>
      <c r="AY122" s="1879" t="s">
        <v>565</v>
      </c>
      <c r="AZ122" s="3163" t="s">
        <v>864</v>
      </c>
      <c r="BA122" s="1974"/>
      <c r="BB122" s="3194" t="s">
        <v>865</v>
      </c>
      <c r="BC122" s="1976"/>
      <c r="BD122" s="1764"/>
      <c r="BE122" s="1762"/>
      <c r="BF122" s="1762"/>
    </row>
    <row r="123" spans="1:58" s="1725" customFormat="1" ht="20.100000000000001" hidden="1" customHeight="1">
      <c r="A123" s="1775">
        <v>90</v>
      </c>
      <c r="B123" s="1776"/>
      <c r="C123" s="1776"/>
      <c r="D123" s="1777" t="s">
        <v>17</v>
      </c>
      <c r="E123" s="1776">
        <v>3</v>
      </c>
      <c r="F123" s="1777" t="s">
        <v>255</v>
      </c>
      <c r="G123" s="1778"/>
      <c r="H123" s="1777" t="s">
        <v>259</v>
      </c>
      <c r="I123" s="1776" t="s">
        <v>23</v>
      </c>
      <c r="J123" s="1777" t="s">
        <v>258</v>
      </c>
      <c r="K123" s="1776">
        <v>1</v>
      </c>
      <c r="L123" s="2054" t="s">
        <v>866</v>
      </c>
      <c r="M123" s="1776">
        <v>0</v>
      </c>
      <c r="N123" s="1776">
        <v>0</v>
      </c>
      <c r="O123" s="1776">
        <v>1</v>
      </c>
      <c r="P123" s="1824">
        <v>0</v>
      </c>
      <c r="Q123" s="1776">
        <v>0</v>
      </c>
      <c r="R123" s="1776">
        <v>0</v>
      </c>
      <c r="S123" s="1776"/>
      <c r="T123" s="1854">
        <f>SUM(T133:T134)</f>
        <v>492336700</v>
      </c>
      <c r="U123" s="1854">
        <f>SUM(U133:U134)</f>
        <v>492336700</v>
      </c>
      <c r="V123" s="1854">
        <f>SUM(V133:V134)</f>
        <v>119453200</v>
      </c>
      <c r="W123" s="1854">
        <f>SUM(W133:W134)</f>
        <v>0</v>
      </c>
      <c r="X123" s="1854" t="e">
        <f>SUM(X133:X134)</f>
        <v>#REF!</v>
      </c>
      <c r="Y123" s="1862" t="s">
        <v>21</v>
      </c>
      <c r="Z123" s="1862"/>
      <c r="AA123" s="1854">
        <f>SUM(AA133:AA134)</f>
        <v>492336700</v>
      </c>
      <c r="AB123" s="2096"/>
      <c r="AC123" s="1854"/>
      <c r="AD123" s="1875"/>
      <c r="AE123" s="1854"/>
      <c r="AF123" s="1875"/>
      <c r="AG123" s="1854">
        <f>SUM(AG133:AG134)</f>
        <v>0</v>
      </c>
      <c r="AH123" s="2096" t="s">
        <v>21</v>
      </c>
      <c r="AI123" s="1778" t="s">
        <v>21</v>
      </c>
      <c r="AJ123" s="1853" t="s">
        <v>21</v>
      </c>
      <c r="AK123" s="1853" t="s">
        <v>21</v>
      </c>
      <c r="AL123" s="1853" t="s">
        <v>21</v>
      </c>
      <c r="AM123" s="1874" t="s">
        <v>21</v>
      </c>
      <c r="AN123" s="1907"/>
      <c r="AO123" s="1907" t="s">
        <v>21</v>
      </c>
      <c r="AP123" s="1778"/>
      <c r="AQ123" s="1778"/>
      <c r="AR123" s="1778"/>
      <c r="AS123" s="1778"/>
      <c r="AT123" s="1934">
        <f>SUM(AT133:AT134)</f>
        <v>492336700</v>
      </c>
      <c r="AU123" s="1934"/>
      <c r="AV123" s="1935" t="s">
        <v>21</v>
      </c>
      <c r="AW123" s="1862"/>
      <c r="AX123" s="2030" t="s">
        <v>21</v>
      </c>
      <c r="AY123" s="1862"/>
      <c r="AZ123" s="3197" t="s">
        <v>867</v>
      </c>
      <c r="BA123" s="2171"/>
      <c r="BB123" s="1965" t="s">
        <v>868</v>
      </c>
      <c r="BC123" s="1966"/>
      <c r="BD123" s="1967"/>
    </row>
    <row r="124" spans="1:58" s="1725" customFormat="1" ht="20.100000000000001" customHeight="1">
      <c r="A124" s="1784">
        <v>16</v>
      </c>
      <c r="B124" s="1780"/>
      <c r="C124" s="1780"/>
      <c r="D124" s="1781"/>
      <c r="E124" s="1780"/>
      <c r="F124" s="1781"/>
      <c r="G124" s="1782"/>
      <c r="H124" s="1781"/>
      <c r="I124" s="1780"/>
      <c r="J124" s="1781"/>
      <c r="K124" s="1780"/>
      <c r="L124" s="1837" t="s">
        <v>681</v>
      </c>
      <c r="M124" s="1785"/>
      <c r="N124" s="1786"/>
      <c r="O124" s="1786"/>
      <c r="P124" s="1786"/>
      <c r="Q124" s="1786"/>
      <c r="R124" s="1786"/>
      <c r="S124" s="1786"/>
      <c r="T124" s="1855"/>
      <c r="U124" s="1855"/>
      <c r="V124" s="1855"/>
      <c r="W124" s="2069"/>
      <c r="X124" s="2070"/>
      <c r="Y124" s="2097"/>
      <c r="Z124" s="2097"/>
      <c r="AA124" s="1876"/>
      <c r="AB124" s="1877"/>
      <c r="AC124" s="1876"/>
      <c r="AD124" s="2098"/>
      <c r="AE124" s="1876"/>
      <c r="AF124" s="2098"/>
      <c r="AG124" s="2070"/>
      <c r="AH124" s="1877"/>
      <c r="AI124" s="1913"/>
      <c r="AJ124" s="2118"/>
      <c r="AK124" s="2118"/>
      <c r="AL124" s="2118"/>
      <c r="AM124" s="1877"/>
      <c r="AN124" s="2118"/>
      <c r="AO124" s="2118"/>
      <c r="AP124" s="1912"/>
      <c r="AQ124" s="1912"/>
      <c r="AR124" s="1912"/>
      <c r="AS124" s="2132"/>
      <c r="AT124" s="634">
        <v>25000000</v>
      </c>
      <c r="AU124" s="1762">
        <v>15000000</v>
      </c>
      <c r="AV124" s="636" t="s">
        <v>105</v>
      </c>
      <c r="AW124" s="2183"/>
      <c r="AX124" s="2030"/>
      <c r="AY124" s="1862"/>
      <c r="AZ124" s="2171"/>
      <c r="BA124" s="2171"/>
      <c r="BB124" s="1965"/>
      <c r="BC124" s="638">
        <v>2016</v>
      </c>
      <c r="BD124" s="1967"/>
    </row>
    <row r="125" spans="1:58" s="1725" customFormat="1" ht="20.100000000000001" customHeight="1">
      <c r="A125" s="1784">
        <v>17</v>
      </c>
      <c r="B125" s="1780"/>
      <c r="C125" s="1780"/>
      <c r="D125" s="1781"/>
      <c r="E125" s="1780"/>
      <c r="F125" s="1781"/>
      <c r="G125" s="1782"/>
      <c r="H125" s="1781"/>
      <c r="I125" s="1780"/>
      <c r="J125" s="1781"/>
      <c r="K125" s="1780"/>
      <c r="L125" s="1837" t="s">
        <v>174</v>
      </c>
      <c r="M125" s="1785"/>
      <c r="N125" s="1786"/>
      <c r="O125" s="1786"/>
      <c r="P125" s="1786"/>
      <c r="Q125" s="1786"/>
      <c r="R125" s="1786"/>
      <c r="S125" s="1786"/>
      <c r="T125" s="1855"/>
      <c r="U125" s="1855"/>
      <c r="V125" s="1855"/>
      <c r="W125" s="2069"/>
      <c r="X125" s="2070"/>
      <c r="Y125" s="2097"/>
      <c r="Z125" s="2097"/>
      <c r="AA125" s="1876"/>
      <c r="AB125" s="1877"/>
      <c r="AC125" s="1876"/>
      <c r="AD125" s="2098"/>
      <c r="AE125" s="1876"/>
      <c r="AF125" s="2098"/>
      <c r="AG125" s="2070"/>
      <c r="AH125" s="1877"/>
      <c r="AI125" s="1913"/>
      <c r="AJ125" s="2118"/>
      <c r="AK125" s="2118"/>
      <c r="AL125" s="2118"/>
      <c r="AM125" s="1877"/>
      <c r="AN125" s="2118"/>
      <c r="AO125" s="2118"/>
      <c r="AP125" s="1912"/>
      <c r="AQ125" s="1912"/>
      <c r="AR125" s="1912"/>
      <c r="AS125" s="2145"/>
      <c r="AT125" s="2146">
        <v>480000000</v>
      </c>
      <c r="AU125" s="2146">
        <v>400639534</v>
      </c>
      <c r="AV125" s="636" t="s">
        <v>55</v>
      </c>
      <c r="AW125" s="2183"/>
      <c r="AX125" s="2030"/>
      <c r="AY125" s="1862"/>
      <c r="AZ125" s="2171"/>
      <c r="BA125" s="2171"/>
      <c r="BB125" s="1965"/>
      <c r="BC125" s="638">
        <v>2016</v>
      </c>
      <c r="BD125" s="1967"/>
    </row>
    <row r="126" spans="1:58" s="1725" customFormat="1" ht="20.100000000000001" customHeight="1">
      <c r="A126" s="1784">
        <v>18</v>
      </c>
      <c r="B126" s="1780"/>
      <c r="C126" s="1780"/>
      <c r="D126" s="1781"/>
      <c r="E126" s="1780"/>
      <c r="F126" s="1781"/>
      <c r="G126" s="1782"/>
      <c r="H126" s="1781"/>
      <c r="I126" s="1780"/>
      <c r="J126" s="1781"/>
      <c r="K126" s="1780"/>
      <c r="L126" s="1837" t="s">
        <v>175</v>
      </c>
      <c r="M126" s="1785"/>
      <c r="N126" s="1786"/>
      <c r="O126" s="1786"/>
      <c r="P126" s="1786"/>
      <c r="Q126" s="1786"/>
      <c r="R126" s="1786"/>
      <c r="S126" s="1786"/>
      <c r="T126" s="1855"/>
      <c r="U126" s="1855"/>
      <c r="V126" s="1855"/>
      <c r="W126" s="2069"/>
      <c r="X126" s="2070"/>
      <c r="Y126" s="2097"/>
      <c r="Z126" s="2097"/>
      <c r="AA126" s="1876"/>
      <c r="AB126" s="1877"/>
      <c r="AC126" s="1876"/>
      <c r="AD126" s="2098"/>
      <c r="AE126" s="1876"/>
      <c r="AF126" s="2098"/>
      <c r="AG126" s="2070"/>
      <c r="AH126" s="1877"/>
      <c r="AI126" s="1913"/>
      <c r="AJ126" s="2118"/>
      <c r="AK126" s="2118"/>
      <c r="AL126" s="2118"/>
      <c r="AM126" s="1877"/>
      <c r="AN126" s="2118"/>
      <c r="AO126" s="2118"/>
      <c r="AP126" s="1912"/>
      <c r="AQ126" s="1912"/>
      <c r="AR126" s="1912"/>
      <c r="AS126" s="2145"/>
      <c r="AT126" s="2146">
        <v>120000000</v>
      </c>
      <c r="AU126" s="2146">
        <v>132026578</v>
      </c>
      <c r="AV126" s="636" t="s">
        <v>55</v>
      </c>
      <c r="AW126" s="2183"/>
      <c r="AX126" s="2030"/>
      <c r="AY126" s="1862"/>
      <c r="AZ126" s="2171"/>
      <c r="BA126" s="2171"/>
      <c r="BB126" s="1965"/>
      <c r="BC126" s="638" t="s">
        <v>1299</v>
      </c>
      <c r="BD126" s="1967"/>
    </row>
    <row r="127" spans="1:58" s="1725" customFormat="1" ht="20.100000000000001" customHeight="1">
      <c r="A127" s="1784">
        <v>19</v>
      </c>
      <c r="B127" s="1780"/>
      <c r="C127" s="1780"/>
      <c r="D127" s="1781"/>
      <c r="E127" s="1780"/>
      <c r="F127" s="1781"/>
      <c r="G127" s="1782"/>
      <c r="H127" s="1781"/>
      <c r="I127" s="1780"/>
      <c r="J127" s="1781"/>
      <c r="K127" s="1780"/>
      <c r="L127" s="1837" t="s">
        <v>225</v>
      </c>
      <c r="M127" s="1785"/>
      <c r="N127" s="1786"/>
      <c r="O127" s="1786"/>
      <c r="P127" s="1786"/>
      <c r="Q127" s="1786"/>
      <c r="R127" s="1786"/>
      <c r="S127" s="1786"/>
      <c r="T127" s="1855"/>
      <c r="U127" s="1855"/>
      <c r="V127" s="1855"/>
      <c r="W127" s="2069"/>
      <c r="X127" s="2070"/>
      <c r="Y127" s="2097"/>
      <c r="Z127" s="2097"/>
      <c r="AA127" s="1876"/>
      <c r="AB127" s="1877"/>
      <c r="AC127" s="1876"/>
      <c r="AD127" s="2098"/>
      <c r="AE127" s="1876"/>
      <c r="AF127" s="2098"/>
      <c r="AG127" s="2070"/>
      <c r="AH127" s="1877"/>
      <c r="AI127" s="1913"/>
      <c r="AJ127" s="2118"/>
      <c r="AK127" s="2118"/>
      <c r="AL127" s="2118"/>
      <c r="AM127" s="1877"/>
      <c r="AN127" s="2118"/>
      <c r="AO127" s="2118"/>
      <c r="AP127" s="1912"/>
      <c r="AQ127" s="1912"/>
      <c r="AR127" s="1912"/>
      <c r="AS127" s="2145"/>
      <c r="AT127" s="2146">
        <v>150000000</v>
      </c>
      <c r="AU127" s="2146">
        <v>81852159</v>
      </c>
      <c r="AV127" s="636" t="s">
        <v>55</v>
      </c>
      <c r="AW127" s="2183"/>
      <c r="AX127" s="2030"/>
      <c r="AY127" s="1862"/>
      <c r="AZ127" s="2171"/>
      <c r="BA127" s="2171"/>
      <c r="BB127" s="1965"/>
      <c r="BC127" s="638" t="s">
        <v>1299</v>
      </c>
      <c r="BD127" s="1967"/>
    </row>
    <row r="128" spans="1:58" s="1725" customFormat="1" ht="20.100000000000001" customHeight="1">
      <c r="A128" s="1784">
        <v>20</v>
      </c>
      <c r="B128" s="1780"/>
      <c r="C128" s="1780"/>
      <c r="D128" s="1781"/>
      <c r="E128" s="1780"/>
      <c r="F128" s="1781"/>
      <c r="G128" s="1782"/>
      <c r="H128" s="1781"/>
      <c r="I128" s="1780"/>
      <c r="J128" s="1781"/>
      <c r="K128" s="1780"/>
      <c r="L128" s="1837" t="s">
        <v>1300</v>
      </c>
      <c r="M128" s="1785"/>
      <c r="N128" s="1786"/>
      <c r="O128" s="1786"/>
      <c r="P128" s="1786"/>
      <c r="Q128" s="1786"/>
      <c r="R128" s="1786"/>
      <c r="S128" s="1786"/>
      <c r="T128" s="1855"/>
      <c r="U128" s="1855"/>
      <c r="V128" s="1855"/>
      <c r="W128" s="2069"/>
      <c r="X128" s="2070"/>
      <c r="Y128" s="2097"/>
      <c r="Z128" s="2097"/>
      <c r="AA128" s="1876"/>
      <c r="AB128" s="1877"/>
      <c r="AC128" s="1876"/>
      <c r="AD128" s="2098"/>
      <c r="AE128" s="1876"/>
      <c r="AF128" s="2098"/>
      <c r="AG128" s="2070"/>
      <c r="AH128" s="1877"/>
      <c r="AI128" s="1913"/>
      <c r="AJ128" s="2118"/>
      <c r="AK128" s="2118"/>
      <c r="AL128" s="2118"/>
      <c r="AM128" s="1877"/>
      <c r="AN128" s="2118"/>
      <c r="AO128" s="2118"/>
      <c r="AP128" s="1912"/>
      <c r="AQ128" s="1912"/>
      <c r="AR128" s="1912"/>
      <c r="AS128" s="2145"/>
      <c r="AT128" s="2146">
        <v>4000000</v>
      </c>
      <c r="AU128" s="2146">
        <v>4000000</v>
      </c>
      <c r="AV128" s="636" t="s">
        <v>62</v>
      </c>
      <c r="AW128" s="2183"/>
      <c r="AX128" s="2030"/>
      <c r="AY128" s="1862"/>
      <c r="AZ128" s="2171"/>
      <c r="BA128" s="2171"/>
      <c r="BB128" s="1965"/>
      <c r="BC128" s="638" t="s">
        <v>1299</v>
      </c>
      <c r="BD128" s="1967"/>
    </row>
    <row r="129" spans="1:62" s="1725" customFormat="1" ht="20.100000000000001" customHeight="1">
      <c r="A129" s="1784">
        <v>21</v>
      </c>
      <c r="B129" s="1780"/>
      <c r="C129" s="1780"/>
      <c r="D129" s="1781"/>
      <c r="E129" s="1780"/>
      <c r="F129" s="1781"/>
      <c r="G129" s="1782"/>
      <c r="H129" s="1781"/>
      <c r="I129" s="1780"/>
      <c r="J129" s="1781"/>
      <c r="K129" s="1780"/>
      <c r="L129" s="1837" t="s">
        <v>1301</v>
      </c>
      <c r="M129" s="1785"/>
      <c r="N129" s="1786"/>
      <c r="O129" s="1786"/>
      <c r="P129" s="1786"/>
      <c r="Q129" s="1786"/>
      <c r="R129" s="1786"/>
      <c r="S129" s="1786"/>
      <c r="T129" s="1855"/>
      <c r="U129" s="1855"/>
      <c r="V129" s="1855"/>
      <c r="W129" s="2069"/>
      <c r="X129" s="2070"/>
      <c r="Y129" s="2097"/>
      <c r="Z129" s="2097"/>
      <c r="AA129" s="1876"/>
      <c r="AB129" s="1877"/>
      <c r="AC129" s="1876"/>
      <c r="AD129" s="2098"/>
      <c r="AE129" s="1876"/>
      <c r="AF129" s="2098"/>
      <c r="AG129" s="2070"/>
      <c r="AH129" s="1877"/>
      <c r="AI129" s="1913"/>
      <c r="AJ129" s="2118"/>
      <c r="AK129" s="2118"/>
      <c r="AL129" s="2118"/>
      <c r="AM129" s="1877"/>
      <c r="AN129" s="2118"/>
      <c r="AO129" s="2118"/>
      <c r="AP129" s="1912"/>
      <c r="AQ129" s="1912"/>
      <c r="AR129" s="1912"/>
      <c r="AS129" s="2145"/>
      <c r="AT129" s="2146">
        <v>100000000</v>
      </c>
      <c r="AU129" s="2146">
        <v>100000000</v>
      </c>
      <c r="AV129" s="636" t="s">
        <v>62</v>
      </c>
      <c r="AW129" s="2183"/>
      <c r="AX129" s="2030"/>
      <c r="AY129" s="1862"/>
      <c r="AZ129" s="2171"/>
      <c r="BA129" s="2171"/>
      <c r="BB129" s="1965"/>
      <c r="BC129" s="638" t="s">
        <v>1299</v>
      </c>
      <c r="BD129" s="1967"/>
    </row>
    <row r="130" spans="1:62" s="1725" customFormat="1" ht="20.100000000000001" customHeight="1">
      <c r="A130" s="1784">
        <v>22</v>
      </c>
      <c r="B130" s="1780"/>
      <c r="C130" s="1780"/>
      <c r="D130" s="1781"/>
      <c r="E130" s="1780"/>
      <c r="F130" s="1781"/>
      <c r="G130" s="1782"/>
      <c r="H130" s="1781"/>
      <c r="I130" s="1780"/>
      <c r="J130" s="1781"/>
      <c r="K130" s="1780"/>
      <c r="L130" s="1837" t="s">
        <v>1302</v>
      </c>
      <c r="M130" s="1785"/>
      <c r="N130" s="1786"/>
      <c r="O130" s="1786"/>
      <c r="P130" s="1786"/>
      <c r="Q130" s="1786"/>
      <c r="R130" s="1786"/>
      <c r="S130" s="1786"/>
      <c r="T130" s="1855"/>
      <c r="U130" s="1855"/>
      <c r="V130" s="1855"/>
      <c r="W130" s="2069"/>
      <c r="X130" s="2070"/>
      <c r="Y130" s="2097"/>
      <c r="Z130" s="2097"/>
      <c r="AA130" s="1876"/>
      <c r="AB130" s="1877"/>
      <c r="AC130" s="1876"/>
      <c r="AD130" s="2098"/>
      <c r="AE130" s="1876"/>
      <c r="AF130" s="2098"/>
      <c r="AG130" s="2070"/>
      <c r="AH130" s="1877"/>
      <c r="AI130" s="1913"/>
      <c r="AJ130" s="2118"/>
      <c r="AK130" s="2118"/>
      <c r="AL130" s="2118"/>
      <c r="AM130" s="1877"/>
      <c r="AN130" s="2118"/>
      <c r="AO130" s="2118"/>
      <c r="AP130" s="1912"/>
      <c r="AQ130" s="1912"/>
      <c r="AR130" s="1912"/>
      <c r="AS130" s="2145"/>
      <c r="AT130" s="2146">
        <v>250000000</v>
      </c>
      <c r="AU130" s="2146">
        <v>250000000</v>
      </c>
      <c r="AV130" s="636" t="s">
        <v>1303</v>
      </c>
      <c r="AW130" s="2183"/>
      <c r="AX130" s="2030"/>
      <c r="AY130" s="1862"/>
      <c r="AZ130" s="2171"/>
      <c r="BA130" s="2171"/>
      <c r="BB130" s="1965"/>
      <c r="BC130" s="638" t="s">
        <v>1299</v>
      </c>
      <c r="BD130" s="1967"/>
    </row>
    <row r="131" spans="1:62" s="1725" customFormat="1" ht="20.100000000000001" customHeight="1">
      <c r="A131" s="1784">
        <v>23</v>
      </c>
      <c r="B131" s="1780"/>
      <c r="C131" s="1780"/>
      <c r="D131" s="1781"/>
      <c r="E131" s="1780"/>
      <c r="F131" s="1781"/>
      <c r="G131" s="1782"/>
      <c r="H131" s="1781"/>
      <c r="I131" s="1780"/>
      <c r="J131" s="1781"/>
      <c r="K131" s="1780"/>
      <c r="L131" s="1837" t="s">
        <v>1304</v>
      </c>
      <c r="M131" s="1785"/>
      <c r="N131" s="1786"/>
      <c r="O131" s="1786"/>
      <c r="P131" s="1786"/>
      <c r="Q131" s="1786"/>
      <c r="R131" s="1786"/>
      <c r="S131" s="1786"/>
      <c r="T131" s="1855"/>
      <c r="U131" s="1855"/>
      <c r="V131" s="1855"/>
      <c r="W131" s="2069"/>
      <c r="X131" s="2070"/>
      <c r="Y131" s="2097"/>
      <c r="Z131" s="2097"/>
      <c r="AA131" s="1876"/>
      <c r="AB131" s="1877"/>
      <c r="AC131" s="1876"/>
      <c r="AD131" s="2098"/>
      <c r="AE131" s="1876"/>
      <c r="AF131" s="2098"/>
      <c r="AG131" s="2070"/>
      <c r="AH131" s="1877"/>
      <c r="AI131" s="1913"/>
      <c r="AJ131" s="2118"/>
      <c r="AK131" s="2118"/>
      <c r="AL131" s="2118"/>
      <c r="AM131" s="1877"/>
      <c r="AN131" s="2118"/>
      <c r="AO131" s="2118"/>
      <c r="AP131" s="1912"/>
      <c r="AQ131" s="1912"/>
      <c r="AR131" s="1912"/>
      <c r="AS131" s="2145"/>
      <c r="AT131" s="2146">
        <v>250000000</v>
      </c>
      <c r="AU131" s="2146">
        <v>250000000</v>
      </c>
      <c r="AV131" s="636" t="s">
        <v>58</v>
      </c>
      <c r="AW131" s="2183"/>
      <c r="AX131" s="2030"/>
      <c r="AY131" s="1862"/>
      <c r="AZ131" s="2171"/>
      <c r="BA131" s="2171"/>
      <c r="BB131" s="1965"/>
      <c r="BC131" s="638" t="s">
        <v>1299</v>
      </c>
      <c r="BD131" s="1967"/>
    </row>
    <row r="132" spans="1:62" ht="23.25" customHeight="1">
      <c r="A132" s="1783" t="s">
        <v>255</v>
      </c>
      <c r="B132" s="1780"/>
      <c r="C132" s="1780"/>
      <c r="D132" s="1780"/>
      <c r="E132" s="1780"/>
      <c r="F132" s="1780"/>
      <c r="G132" s="1780"/>
      <c r="H132" s="1780"/>
      <c r="I132" s="1780"/>
      <c r="J132" s="1780"/>
      <c r="K132" s="1780"/>
      <c r="L132" s="1783"/>
      <c r="M132" s="1807"/>
      <c r="N132" s="1776"/>
      <c r="O132" s="1776"/>
      <c r="P132" s="1824"/>
      <c r="Q132" s="1776"/>
      <c r="R132" s="1776"/>
      <c r="S132" s="1776"/>
      <c r="T132" s="1854"/>
      <c r="U132" s="1854"/>
      <c r="V132" s="1854"/>
      <c r="W132" s="1854"/>
      <c r="X132" s="1854"/>
      <c r="Y132" s="1862"/>
      <c r="Z132" s="1862"/>
      <c r="AA132" s="1854"/>
      <c r="AB132" s="2096"/>
      <c r="AC132" s="1854"/>
      <c r="AD132" s="1875"/>
      <c r="AE132" s="1854"/>
      <c r="AF132" s="1875"/>
      <c r="AG132" s="1854"/>
      <c r="AH132" s="2096"/>
      <c r="AI132" s="1778"/>
      <c r="AJ132" s="1853"/>
      <c r="AK132" s="1853"/>
      <c r="AL132" s="1853"/>
      <c r="AM132" s="1874"/>
      <c r="AN132" s="1907"/>
      <c r="AO132" s="1907"/>
      <c r="AP132" s="1778"/>
      <c r="AQ132" s="1778"/>
      <c r="AR132" s="1778"/>
      <c r="AS132" s="1936"/>
      <c r="AT132" s="648">
        <f>AT133+AT138</f>
        <v>223000000</v>
      </c>
      <c r="AU132" s="648">
        <f>AU133+AU138</f>
        <v>190702848.25</v>
      </c>
      <c r="AV132" s="636"/>
      <c r="AW132" s="2183"/>
      <c r="AX132" s="2030"/>
      <c r="AY132" s="1862"/>
      <c r="AZ132" s="2171"/>
      <c r="BA132" s="2171"/>
      <c r="BB132" s="1965"/>
      <c r="BC132" s="638"/>
      <c r="BD132" s="1764"/>
      <c r="BE132" s="1762"/>
      <c r="BF132" s="1762"/>
    </row>
    <row r="133" spans="1:62" s="1726" customFormat="1" ht="19.5" customHeight="1">
      <c r="A133" s="1784">
        <v>24</v>
      </c>
      <c r="B133" s="1785"/>
      <c r="C133" s="1786"/>
      <c r="D133" s="1787" t="s">
        <v>17</v>
      </c>
      <c r="E133" s="1786">
        <v>3</v>
      </c>
      <c r="F133" s="1787" t="s">
        <v>255</v>
      </c>
      <c r="G133" s="1788"/>
      <c r="H133" s="1787" t="s">
        <v>259</v>
      </c>
      <c r="I133" s="1790" t="s">
        <v>23</v>
      </c>
      <c r="J133" s="1787" t="s">
        <v>258</v>
      </c>
      <c r="K133" s="1825">
        <v>1</v>
      </c>
      <c r="L133" s="3266" t="s">
        <v>869</v>
      </c>
      <c r="M133" s="1785">
        <v>1</v>
      </c>
      <c r="N133" s="1786">
        <v>1</v>
      </c>
      <c r="O133" s="1786">
        <v>2</v>
      </c>
      <c r="P133" s="1829">
        <v>1</v>
      </c>
      <c r="Q133" s="1790">
        <v>1</v>
      </c>
      <c r="R133" s="1790">
        <v>1</v>
      </c>
      <c r="S133" s="1790">
        <v>81</v>
      </c>
      <c r="T133" s="1855">
        <v>200000000</v>
      </c>
      <c r="U133" s="1855">
        <v>200000000</v>
      </c>
      <c r="V133" s="1855">
        <v>46369000</v>
      </c>
      <c r="W133" s="1855">
        <v>0</v>
      </c>
      <c r="X133" s="2111" t="e">
        <f>#REF!+#REF!+#REF!</f>
        <v>#REF!</v>
      </c>
      <c r="Y133" s="2070" t="s">
        <v>27</v>
      </c>
      <c r="Z133" s="1879" t="s">
        <v>565</v>
      </c>
      <c r="AA133" s="1855">
        <v>200000000</v>
      </c>
      <c r="AB133" s="1877">
        <v>1</v>
      </c>
      <c r="AC133" s="1855">
        <v>185470000</v>
      </c>
      <c r="AD133" s="1878"/>
      <c r="AE133" s="1855"/>
      <c r="AF133" s="1878"/>
      <c r="AG133" s="2111">
        <v>0</v>
      </c>
      <c r="AH133" s="1877">
        <v>2016</v>
      </c>
      <c r="AI133" s="3204" t="s">
        <v>870</v>
      </c>
      <c r="AJ133" s="3205" t="s">
        <v>264</v>
      </c>
      <c r="AK133" s="2118" t="s">
        <v>265</v>
      </c>
      <c r="AL133" s="2118" t="s">
        <v>266</v>
      </c>
      <c r="AM133" s="1882" t="s">
        <v>581</v>
      </c>
      <c r="AN133" s="2224" t="s">
        <v>702</v>
      </c>
      <c r="AO133" s="2224" t="s">
        <v>645</v>
      </c>
      <c r="AP133" s="2118" t="s">
        <v>570</v>
      </c>
      <c r="AQ133" s="2118"/>
      <c r="AR133" s="2118" t="s">
        <v>1289</v>
      </c>
      <c r="AS133" s="2238" t="s">
        <v>871</v>
      </c>
      <c r="AT133" s="634">
        <v>200000000</v>
      </c>
      <c r="AU133" s="635">
        <v>175056055</v>
      </c>
      <c r="AV133" s="640" t="s">
        <v>27</v>
      </c>
      <c r="AW133" s="2256" t="e">
        <f>#REF!</f>
        <v>#REF!</v>
      </c>
      <c r="AX133" s="1788" t="s">
        <v>872</v>
      </c>
      <c r="AY133" s="1879" t="s">
        <v>565</v>
      </c>
      <c r="AZ133" s="91" t="s">
        <v>867</v>
      </c>
      <c r="BA133" s="91"/>
      <c r="BB133" s="3194" t="s">
        <v>873</v>
      </c>
      <c r="BC133" s="3267" t="s">
        <v>1294</v>
      </c>
      <c r="BD133" s="1971" t="s">
        <v>1305</v>
      </c>
      <c r="BI133" s="1726">
        <v>1</v>
      </c>
      <c r="BJ133" s="2014">
        <f>AT133</f>
        <v>200000000</v>
      </c>
    </row>
    <row r="134" spans="1:62" s="1726" customFormat="1" ht="20.100000000000001" hidden="1" customHeight="1">
      <c r="A134" s="2189">
        <v>92</v>
      </c>
      <c r="B134" s="1786"/>
      <c r="C134" s="1786"/>
      <c r="D134" s="1787" t="s">
        <v>17</v>
      </c>
      <c r="E134" s="1786">
        <v>3</v>
      </c>
      <c r="F134" s="1787" t="s">
        <v>255</v>
      </c>
      <c r="G134" s="2034"/>
      <c r="H134" s="1787" t="s">
        <v>259</v>
      </c>
      <c r="I134" s="1790" t="s">
        <v>23</v>
      </c>
      <c r="J134" s="1787" t="s">
        <v>258</v>
      </c>
      <c r="K134" s="1786">
        <v>1</v>
      </c>
      <c r="L134" s="3268" t="s">
        <v>874</v>
      </c>
      <c r="M134" s="1786">
        <v>1</v>
      </c>
      <c r="N134" s="1786">
        <v>1</v>
      </c>
      <c r="O134" s="1786">
        <v>2</v>
      </c>
      <c r="P134" s="1829">
        <v>1</v>
      </c>
      <c r="Q134" s="1790">
        <v>1</v>
      </c>
      <c r="R134" s="1790">
        <v>1</v>
      </c>
      <c r="S134" s="1790">
        <v>82</v>
      </c>
      <c r="T134" s="1855">
        <v>292336700</v>
      </c>
      <c r="U134" s="1855">
        <v>292336700</v>
      </c>
      <c r="V134" s="1855">
        <v>73084200</v>
      </c>
      <c r="W134" s="1855">
        <v>0</v>
      </c>
      <c r="X134" s="2111" t="e">
        <f>#REF!+#REF!+#REF!</f>
        <v>#REF!</v>
      </c>
      <c r="Y134" s="2084" t="s">
        <v>633</v>
      </c>
      <c r="Z134" s="2084" t="s">
        <v>633</v>
      </c>
      <c r="AA134" s="1855">
        <f>T123-AA133</f>
        <v>292336700</v>
      </c>
      <c r="AB134" s="1877"/>
      <c r="AC134" s="1855"/>
      <c r="AD134" s="1878"/>
      <c r="AE134" s="1855"/>
      <c r="AF134" s="1878"/>
      <c r="AG134" s="2111">
        <v>0</v>
      </c>
      <c r="AH134" s="1877">
        <v>2016</v>
      </c>
      <c r="AI134" s="2118" t="s">
        <v>21</v>
      </c>
      <c r="AJ134" s="2118" t="s">
        <v>21</v>
      </c>
      <c r="AK134" s="2118" t="s">
        <v>265</v>
      </c>
      <c r="AL134" s="2118" t="s">
        <v>21</v>
      </c>
      <c r="AM134" s="1882"/>
      <c r="AN134" s="2224" t="s">
        <v>603</v>
      </c>
      <c r="AO134" s="2224" t="s">
        <v>645</v>
      </c>
      <c r="AP134" s="2118" t="s">
        <v>570</v>
      </c>
      <c r="AQ134" s="2118"/>
      <c r="AR134" s="1788" t="s">
        <v>1283</v>
      </c>
      <c r="AS134" s="2132" t="s">
        <v>571</v>
      </c>
      <c r="AT134" s="2239">
        <v>292336700</v>
      </c>
      <c r="AU134" s="2239"/>
      <c r="AV134" s="1944" t="s">
        <v>636</v>
      </c>
      <c r="AW134" s="2070" t="e">
        <f>#REF!</f>
        <v>#REF!</v>
      </c>
      <c r="AX134" s="3135" t="s">
        <v>875</v>
      </c>
      <c r="AY134" s="1890" t="s">
        <v>565</v>
      </c>
      <c r="AZ134" s="3206" t="s">
        <v>876</v>
      </c>
      <c r="BA134" s="2237"/>
      <c r="BB134" s="3194" t="s">
        <v>877</v>
      </c>
      <c r="BC134" s="1976"/>
      <c r="BD134" s="1971"/>
    </row>
    <row r="135" spans="1:62" s="1726" customFormat="1" ht="20.100000000000001" hidden="1" customHeight="1">
      <c r="A135" s="2018"/>
      <c r="B135" s="1790"/>
      <c r="C135" s="1790"/>
      <c r="D135" s="1787" t="s">
        <v>17</v>
      </c>
      <c r="E135" s="1786">
        <v>3</v>
      </c>
      <c r="F135" s="1787" t="s">
        <v>255</v>
      </c>
      <c r="G135" s="2034"/>
      <c r="H135" s="1787" t="s">
        <v>259</v>
      </c>
      <c r="I135" s="1790" t="s">
        <v>23</v>
      </c>
      <c r="J135" s="1787" t="s">
        <v>258</v>
      </c>
      <c r="K135" s="1786">
        <v>2</v>
      </c>
      <c r="L135" s="3269" t="s">
        <v>878</v>
      </c>
      <c r="M135" s="1790">
        <v>1</v>
      </c>
      <c r="N135" s="1790"/>
      <c r="O135" s="1790"/>
      <c r="P135" s="1829"/>
      <c r="Q135" s="1790"/>
      <c r="R135" s="1790"/>
      <c r="S135" s="1790"/>
      <c r="T135" s="1856">
        <v>0</v>
      </c>
      <c r="U135" s="1856">
        <v>126830200</v>
      </c>
      <c r="V135" s="2059">
        <v>22381800</v>
      </c>
      <c r="W135" s="1856">
        <v>0</v>
      </c>
      <c r="X135" s="2067" t="e">
        <f>#REF!+#REF!+#REF!</f>
        <v>#REF!</v>
      </c>
      <c r="Y135" s="2212" t="s">
        <v>633</v>
      </c>
      <c r="Z135" s="2084" t="s">
        <v>633</v>
      </c>
      <c r="AA135" s="2094" t="e">
        <f>#REF!</f>
        <v>#REF!</v>
      </c>
      <c r="AB135" s="1880"/>
      <c r="AC135" s="1680"/>
      <c r="AD135" s="2074"/>
      <c r="AE135" s="2075"/>
      <c r="AF135" s="2074"/>
      <c r="AG135" s="2111"/>
      <c r="AH135" s="1877"/>
      <c r="AI135" s="2102"/>
      <c r="AJ135" s="2011"/>
      <c r="AK135" s="2011"/>
      <c r="AL135" s="2011"/>
      <c r="AM135" s="1882"/>
      <c r="AN135" s="1925"/>
      <c r="AO135" s="1925"/>
      <c r="AP135" s="2011"/>
      <c r="AQ135" s="1912"/>
      <c r="AR135" s="1912" t="s">
        <v>1283</v>
      </c>
      <c r="AS135" s="2123" t="s">
        <v>571</v>
      </c>
      <c r="AT135" s="2240">
        <v>126830200</v>
      </c>
      <c r="AU135" s="2240"/>
      <c r="AV135" s="1903" t="s">
        <v>27</v>
      </c>
      <c r="AW135" s="2070" t="e">
        <f>#REF!</f>
        <v>#REF!</v>
      </c>
      <c r="AX135" s="2143"/>
      <c r="AY135" s="2182"/>
      <c r="AZ135" s="2257"/>
      <c r="BA135" s="2237"/>
      <c r="BB135" s="2149"/>
      <c r="BC135" s="2150"/>
      <c r="BD135" s="1971"/>
    </row>
    <row r="136" spans="1:62" ht="20.100000000000001" hidden="1" customHeight="1">
      <c r="A136" s="1792">
        <v>93</v>
      </c>
      <c r="B136" s="1790"/>
      <c r="C136" s="1790"/>
      <c r="D136" s="1791" t="s">
        <v>17</v>
      </c>
      <c r="E136" s="1790">
        <v>3</v>
      </c>
      <c r="F136" s="1791" t="s">
        <v>255</v>
      </c>
      <c r="G136" s="1788"/>
      <c r="H136" s="1791" t="s">
        <v>259</v>
      </c>
      <c r="I136" s="1790" t="s">
        <v>23</v>
      </c>
      <c r="J136" s="1791" t="s">
        <v>258</v>
      </c>
      <c r="K136" s="1790">
        <v>2</v>
      </c>
      <c r="L136" s="1791" t="s">
        <v>269</v>
      </c>
      <c r="M136" s="1790">
        <v>1</v>
      </c>
      <c r="N136" s="1790">
        <v>1</v>
      </c>
      <c r="O136" s="1790">
        <v>0</v>
      </c>
      <c r="P136" s="1829">
        <v>1</v>
      </c>
      <c r="Q136" s="1790">
        <v>1</v>
      </c>
      <c r="R136" s="1790">
        <v>1</v>
      </c>
      <c r="S136" s="1790">
        <v>83</v>
      </c>
      <c r="T136" s="1856">
        <v>1678000000</v>
      </c>
      <c r="U136" s="1856">
        <v>1678000000</v>
      </c>
      <c r="V136" s="1856">
        <f>T136*10%</f>
        <v>167800000</v>
      </c>
      <c r="W136" s="1788">
        <v>0</v>
      </c>
      <c r="X136" s="2202">
        <f t="shared" ref="X136:X152" si="14">T136+V136+W136</f>
        <v>1845800000</v>
      </c>
      <c r="Y136" s="2068" t="s">
        <v>55</v>
      </c>
      <c r="Z136" s="1879" t="s">
        <v>565</v>
      </c>
      <c r="AA136" s="1856">
        <f>T136</f>
        <v>1678000000</v>
      </c>
      <c r="AB136" s="1880"/>
      <c r="AC136" s="1856"/>
      <c r="AD136" s="1881"/>
      <c r="AE136" s="1856"/>
      <c r="AF136" s="1881"/>
      <c r="AG136" s="2202">
        <v>0</v>
      </c>
      <c r="AH136" s="1880">
        <v>2016</v>
      </c>
      <c r="AI136" s="2011" t="s">
        <v>21</v>
      </c>
      <c r="AJ136" s="3160" t="s">
        <v>270</v>
      </c>
      <c r="AK136" s="2011" t="s">
        <v>271</v>
      </c>
      <c r="AL136" s="3160" t="s">
        <v>272</v>
      </c>
      <c r="AM136" s="1882"/>
      <c r="AN136" s="2225" t="s">
        <v>675</v>
      </c>
      <c r="AO136" s="3207" t="s">
        <v>729</v>
      </c>
      <c r="AP136" s="2011" t="s">
        <v>570</v>
      </c>
      <c r="AQ136" s="2011"/>
      <c r="AR136" s="2011" t="s">
        <v>1292</v>
      </c>
      <c r="AS136" s="2123" t="s">
        <v>571</v>
      </c>
      <c r="AT136" s="1856">
        <v>1678000000</v>
      </c>
      <c r="AU136" s="1856"/>
      <c r="AV136" s="2068" t="s">
        <v>55</v>
      </c>
      <c r="AW136" s="2070" t="e">
        <f>#REF!</f>
        <v>#REF!</v>
      </c>
      <c r="AX136" s="1788" t="s">
        <v>885</v>
      </c>
      <c r="AY136" s="1879" t="s">
        <v>565</v>
      </c>
      <c r="AZ136" s="91" t="s">
        <v>867</v>
      </c>
      <c r="BA136" s="91"/>
      <c r="BB136" s="3194" t="s">
        <v>880</v>
      </c>
      <c r="BC136" s="1976"/>
      <c r="BD136" s="1764"/>
      <c r="BE136" s="1762"/>
      <c r="BF136" s="1762"/>
    </row>
    <row r="137" spans="1:62" ht="20.100000000000001" hidden="1" customHeight="1">
      <c r="A137" s="1801">
        <v>94</v>
      </c>
      <c r="B137" s="1790"/>
      <c r="C137" s="1790"/>
      <c r="D137" s="1791" t="s">
        <v>17</v>
      </c>
      <c r="E137" s="1790">
        <v>3</v>
      </c>
      <c r="F137" s="1791" t="s">
        <v>255</v>
      </c>
      <c r="G137" s="1788"/>
      <c r="H137" s="1791" t="s">
        <v>259</v>
      </c>
      <c r="I137" s="1790" t="s">
        <v>23</v>
      </c>
      <c r="J137" s="1791" t="s">
        <v>258</v>
      </c>
      <c r="K137" s="1790">
        <v>3</v>
      </c>
      <c r="L137" s="1844" t="s">
        <v>273</v>
      </c>
      <c r="M137" s="1790">
        <v>1</v>
      </c>
      <c r="N137" s="1790">
        <v>1</v>
      </c>
      <c r="O137" s="1790">
        <v>0</v>
      </c>
      <c r="P137" s="1829">
        <v>1</v>
      </c>
      <c r="Q137" s="1790">
        <v>1</v>
      </c>
      <c r="R137" s="1790">
        <v>1</v>
      </c>
      <c r="S137" s="1790">
        <v>84</v>
      </c>
      <c r="T137" s="1856">
        <v>3572000000</v>
      </c>
      <c r="U137" s="1856">
        <v>3572000000</v>
      </c>
      <c r="V137" s="1856">
        <f>T137*10%</f>
        <v>357200000</v>
      </c>
      <c r="W137" s="1788">
        <v>0</v>
      </c>
      <c r="X137" s="2202">
        <f t="shared" si="14"/>
        <v>3929200000</v>
      </c>
      <c r="Y137" s="2068" t="s">
        <v>55</v>
      </c>
      <c r="Z137" s="1879" t="s">
        <v>565</v>
      </c>
      <c r="AA137" s="1856">
        <f>T137</f>
        <v>3572000000</v>
      </c>
      <c r="AB137" s="1880"/>
      <c r="AC137" s="1856"/>
      <c r="AD137" s="1881"/>
      <c r="AE137" s="1856"/>
      <c r="AF137" s="1881"/>
      <c r="AG137" s="2202">
        <v>0</v>
      </c>
      <c r="AH137" s="1880">
        <v>2018</v>
      </c>
      <c r="AI137" s="2011" t="s">
        <v>21</v>
      </c>
      <c r="AJ137" s="3160" t="s">
        <v>270</v>
      </c>
      <c r="AK137" s="2011" t="s">
        <v>271</v>
      </c>
      <c r="AL137" s="3160" t="s">
        <v>272</v>
      </c>
      <c r="AM137" s="1882"/>
      <c r="AN137" s="2225" t="s">
        <v>675</v>
      </c>
      <c r="AO137" s="3207" t="s">
        <v>729</v>
      </c>
      <c r="AP137" s="2011" t="s">
        <v>570</v>
      </c>
      <c r="AQ137" s="2011"/>
      <c r="AR137" s="2011" t="s">
        <v>1292</v>
      </c>
      <c r="AS137" s="2123" t="s">
        <v>571</v>
      </c>
      <c r="AT137" s="1941">
        <v>3572000000</v>
      </c>
      <c r="AU137" s="1941"/>
      <c r="AV137" s="2075" t="s">
        <v>55</v>
      </c>
      <c r="AW137" s="2070" t="e">
        <f>#REF!</f>
        <v>#REF!</v>
      </c>
      <c r="AX137" s="2118" t="s">
        <v>881</v>
      </c>
      <c r="AY137" s="1879" t="s">
        <v>565</v>
      </c>
      <c r="AZ137" s="91" t="s">
        <v>867</v>
      </c>
      <c r="BA137" s="91"/>
      <c r="BB137" s="3194" t="s">
        <v>882</v>
      </c>
      <c r="BC137" s="1976"/>
      <c r="BD137" s="1764"/>
      <c r="BE137" s="1762"/>
      <c r="BF137" s="1762"/>
    </row>
    <row r="138" spans="1:62" ht="20.100000000000001" customHeight="1">
      <c r="A138" s="1784">
        <v>25</v>
      </c>
      <c r="B138" s="1792"/>
      <c r="C138" s="1790"/>
      <c r="D138" s="1791" t="s">
        <v>17</v>
      </c>
      <c r="E138" s="1790">
        <v>3</v>
      </c>
      <c r="F138" s="1791" t="s">
        <v>255</v>
      </c>
      <c r="G138" s="1788"/>
      <c r="H138" s="1791" t="s">
        <v>259</v>
      </c>
      <c r="I138" s="1790" t="s">
        <v>23</v>
      </c>
      <c r="J138" s="1791" t="s">
        <v>258</v>
      </c>
      <c r="K138" s="1838">
        <v>4</v>
      </c>
      <c r="L138" s="1837" t="s">
        <v>274</v>
      </c>
      <c r="M138" s="1792">
        <v>1</v>
      </c>
      <c r="N138" s="1790">
        <v>1</v>
      </c>
      <c r="O138" s="1790">
        <v>0</v>
      </c>
      <c r="P138" s="1829">
        <v>1</v>
      </c>
      <c r="Q138" s="1790">
        <v>1</v>
      </c>
      <c r="R138" s="1790">
        <v>1</v>
      </c>
      <c r="S138" s="1790">
        <v>86</v>
      </c>
      <c r="T138" s="1856">
        <v>23000000</v>
      </c>
      <c r="U138" s="1856">
        <v>23000000</v>
      </c>
      <c r="V138" s="1856">
        <v>3000000</v>
      </c>
      <c r="W138" s="1788">
        <v>0</v>
      </c>
      <c r="X138" s="2202">
        <f t="shared" si="14"/>
        <v>26000000</v>
      </c>
      <c r="Y138" s="2068" t="s">
        <v>55</v>
      </c>
      <c r="Z138" s="1879" t="s">
        <v>565</v>
      </c>
      <c r="AA138" s="1856">
        <f>T138</f>
        <v>23000000</v>
      </c>
      <c r="AB138" s="1880">
        <v>1</v>
      </c>
      <c r="AC138" s="1856">
        <v>19200000</v>
      </c>
      <c r="AD138" s="1881">
        <v>15646793.25</v>
      </c>
      <c r="AE138" s="1856"/>
      <c r="AF138" s="1881" t="e">
        <f>#REF!-#REF!</f>
        <v>#REF!</v>
      </c>
      <c r="AG138" s="2202">
        <v>0</v>
      </c>
      <c r="AH138" s="1880">
        <v>2015</v>
      </c>
      <c r="AI138" s="3208" t="s">
        <v>883</v>
      </c>
      <c r="AJ138" s="3160" t="s">
        <v>264</v>
      </c>
      <c r="AK138" s="2011" t="s">
        <v>276</v>
      </c>
      <c r="AL138" s="3160" t="s">
        <v>277</v>
      </c>
      <c r="AM138" s="1882">
        <v>2015</v>
      </c>
      <c r="AN138" s="1925" t="s">
        <v>568</v>
      </c>
      <c r="AO138" s="1925" t="s">
        <v>645</v>
      </c>
      <c r="AP138" s="2011" t="s">
        <v>570</v>
      </c>
      <c r="AQ138" s="2011"/>
      <c r="AR138" s="2011" t="s">
        <v>1289</v>
      </c>
      <c r="AS138" s="3187" t="s">
        <v>884</v>
      </c>
      <c r="AT138" s="634">
        <v>23000000</v>
      </c>
      <c r="AU138" s="635">
        <v>15646793.25</v>
      </c>
      <c r="AV138" s="640" t="s">
        <v>55</v>
      </c>
      <c r="AW138" s="2256">
        <v>0</v>
      </c>
      <c r="AX138" s="2118" t="s">
        <v>885</v>
      </c>
      <c r="AY138" s="1879" t="s">
        <v>565</v>
      </c>
      <c r="AZ138" s="91" t="s">
        <v>867</v>
      </c>
      <c r="BA138" s="91"/>
      <c r="BB138" s="1975" t="s">
        <v>886</v>
      </c>
      <c r="BC138" s="1973">
        <v>2015</v>
      </c>
      <c r="BD138" s="1971" t="s">
        <v>1305</v>
      </c>
      <c r="BE138" s="1726"/>
      <c r="BF138" s="1726"/>
      <c r="BG138" s="1726"/>
      <c r="BH138" s="1726"/>
      <c r="BI138" s="1726">
        <v>1</v>
      </c>
      <c r="BJ138" s="2014">
        <f>AT138</f>
        <v>23000000</v>
      </c>
    </row>
    <row r="139" spans="1:62" ht="20.100000000000001" hidden="1" customHeight="1">
      <c r="A139" s="2190"/>
      <c r="B139" s="1790"/>
      <c r="C139" s="1790"/>
      <c r="D139" s="1791" t="s">
        <v>17</v>
      </c>
      <c r="E139" s="1790">
        <v>3</v>
      </c>
      <c r="F139" s="1791" t="s">
        <v>255</v>
      </c>
      <c r="G139" s="1788"/>
      <c r="H139" s="1791" t="s">
        <v>259</v>
      </c>
      <c r="I139" s="1790" t="s">
        <v>23</v>
      </c>
      <c r="J139" s="1791" t="s">
        <v>258</v>
      </c>
      <c r="K139" s="1791"/>
      <c r="L139" s="53" t="s">
        <v>887</v>
      </c>
      <c r="M139" s="1790">
        <v>1</v>
      </c>
      <c r="N139" s="1790"/>
      <c r="O139" s="1790"/>
      <c r="P139" s="1829"/>
      <c r="Q139" s="1790"/>
      <c r="R139" s="1790"/>
      <c r="S139" s="1790"/>
      <c r="T139" s="1856">
        <v>0</v>
      </c>
      <c r="U139" s="77">
        <v>100000000</v>
      </c>
      <c r="V139" s="2203">
        <v>15000000</v>
      </c>
      <c r="W139" s="2204">
        <v>0</v>
      </c>
      <c r="X139" s="2067" t="e">
        <f>#REF!+#REF!+#REF!</f>
        <v>#REF!</v>
      </c>
      <c r="Y139" s="2071" t="s">
        <v>633</v>
      </c>
      <c r="Z139" s="2072" t="s">
        <v>633</v>
      </c>
      <c r="AA139" s="2094" t="e">
        <f>#REF!</f>
        <v>#REF!</v>
      </c>
      <c r="AB139" s="1880"/>
      <c r="AC139" s="1680"/>
      <c r="AD139" s="2074"/>
      <c r="AE139" s="2075"/>
      <c r="AF139" s="2074"/>
      <c r="AG139" s="2202"/>
      <c r="AH139" s="1880"/>
      <c r="AI139" s="2102"/>
      <c r="AJ139" s="2011"/>
      <c r="AK139" s="2011"/>
      <c r="AL139" s="2011"/>
      <c r="AM139" s="1882"/>
      <c r="AN139" s="1925" t="s">
        <v>603</v>
      </c>
      <c r="AO139" s="1925" t="s">
        <v>603</v>
      </c>
      <c r="AP139" s="2011" t="s">
        <v>570</v>
      </c>
      <c r="AQ139" s="1912"/>
      <c r="AR139" s="2143" t="s">
        <v>1283</v>
      </c>
      <c r="AS139" s="3210" t="s">
        <v>571</v>
      </c>
      <c r="AT139" s="2241">
        <v>100000000</v>
      </c>
      <c r="AU139" s="2241"/>
      <c r="AV139" s="2242" t="s">
        <v>633</v>
      </c>
      <c r="AW139" s="2070" t="e">
        <f>#REF!</f>
        <v>#REF!</v>
      </c>
      <c r="AX139" s="2143"/>
      <c r="AY139" s="2182"/>
      <c r="AZ139" s="260"/>
      <c r="BA139" s="91"/>
      <c r="BB139" s="2149"/>
      <c r="BC139" s="2150"/>
      <c r="BD139" s="1764"/>
      <c r="BE139" s="1762"/>
      <c r="BF139" s="1762"/>
    </row>
    <row r="140" spans="1:62" ht="20.100000000000001" hidden="1" customHeight="1">
      <c r="A140" s="2018"/>
      <c r="B140" s="1790"/>
      <c r="C140" s="1790"/>
      <c r="D140" s="1791" t="s">
        <v>17</v>
      </c>
      <c r="E140" s="1790">
        <v>3</v>
      </c>
      <c r="F140" s="1791" t="s">
        <v>255</v>
      </c>
      <c r="G140" s="1788"/>
      <c r="H140" s="1791" t="s">
        <v>259</v>
      </c>
      <c r="I140" s="1790" t="s">
        <v>23</v>
      </c>
      <c r="J140" s="1791" t="s">
        <v>258</v>
      </c>
      <c r="K140" s="1791"/>
      <c r="L140" s="37" t="s">
        <v>888</v>
      </c>
      <c r="M140" s="1790">
        <v>1</v>
      </c>
      <c r="N140" s="1790"/>
      <c r="O140" s="1790"/>
      <c r="P140" s="1829"/>
      <c r="Q140" s="1790"/>
      <c r="R140" s="1790"/>
      <c r="S140" s="1790"/>
      <c r="T140" s="1856">
        <v>0</v>
      </c>
      <c r="U140" s="77">
        <v>461428600</v>
      </c>
      <c r="V140" s="2203">
        <v>81428600</v>
      </c>
      <c r="W140" s="2204">
        <v>0</v>
      </c>
      <c r="X140" s="2067" t="e">
        <f>#REF!+#REF!+#REF!</f>
        <v>#REF!</v>
      </c>
      <c r="Y140" s="2212" t="s">
        <v>633</v>
      </c>
      <c r="Z140" s="2084" t="s">
        <v>633</v>
      </c>
      <c r="AA140" s="2094" t="e">
        <f>#REF!</f>
        <v>#REF!</v>
      </c>
      <c r="AB140" s="1880"/>
      <c r="AC140" s="1680"/>
      <c r="AD140" s="2074"/>
      <c r="AE140" s="2075"/>
      <c r="AF140" s="2074"/>
      <c r="AG140" s="2202"/>
      <c r="AH140" s="1880"/>
      <c r="AI140" s="2102"/>
      <c r="AJ140" s="2011"/>
      <c r="AK140" s="2011"/>
      <c r="AL140" s="2011"/>
      <c r="AM140" s="1882"/>
      <c r="AN140" s="1925"/>
      <c r="AO140" s="1925"/>
      <c r="AP140" s="2011"/>
      <c r="AQ140" s="1912"/>
      <c r="AR140" s="2143" t="s">
        <v>1283</v>
      </c>
      <c r="AS140" s="2143"/>
      <c r="AT140" s="2143">
        <v>461428600</v>
      </c>
      <c r="AU140" s="2143"/>
      <c r="AV140" s="2084" t="s">
        <v>633</v>
      </c>
      <c r="AW140" s="2070" t="e">
        <f>#REF!</f>
        <v>#REF!</v>
      </c>
      <c r="AX140" s="2143"/>
      <c r="AY140" s="2182"/>
      <c r="AZ140" s="260"/>
      <c r="BA140" s="91"/>
      <c r="BB140" s="2149"/>
      <c r="BC140" s="2150"/>
      <c r="BD140" s="1764"/>
      <c r="BE140" s="1762"/>
      <c r="BF140" s="1762"/>
    </row>
    <row r="141" spans="1:62" ht="20.100000000000001" hidden="1" customHeight="1">
      <c r="A141" s="2018"/>
      <c r="B141" s="1790"/>
      <c r="C141" s="1790"/>
      <c r="D141" s="1791" t="s">
        <v>17</v>
      </c>
      <c r="E141" s="1790">
        <v>3</v>
      </c>
      <c r="F141" s="1791" t="s">
        <v>255</v>
      </c>
      <c r="G141" s="1788"/>
      <c r="H141" s="1791" t="s">
        <v>259</v>
      </c>
      <c r="I141" s="1790" t="s">
        <v>23</v>
      </c>
      <c r="J141" s="1791" t="s">
        <v>258</v>
      </c>
      <c r="K141" s="1791"/>
      <c r="L141" s="37" t="s">
        <v>889</v>
      </c>
      <c r="M141" s="1790">
        <v>1</v>
      </c>
      <c r="N141" s="1790"/>
      <c r="O141" s="1790"/>
      <c r="P141" s="1829"/>
      <c r="Q141" s="1790"/>
      <c r="R141" s="1790"/>
      <c r="S141" s="1790"/>
      <c r="T141" s="1856">
        <v>0</v>
      </c>
      <c r="U141" s="77">
        <v>505476800</v>
      </c>
      <c r="V141" s="2203">
        <v>89201771</v>
      </c>
      <c r="W141" s="2204">
        <v>0</v>
      </c>
      <c r="X141" s="2067" t="e">
        <f>#REF!+#REF!+#REF!</f>
        <v>#REF!</v>
      </c>
      <c r="Y141" s="2212" t="s">
        <v>633</v>
      </c>
      <c r="Z141" s="2084" t="s">
        <v>633</v>
      </c>
      <c r="AA141" s="2094" t="e">
        <f>#REF!</f>
        <v>#REF!</v>
      </c>
      <c r="AB141" s="1880"/>
      <c r="AC141" s="1680"/>
      <c r="AD141" s="2074"/>
      <c r="AE141" s="2075"/>
      <c r="AF141" s="2074"/>
      <c r="AG141" s="2202"/>
      <c r="AH141" s="1880"/>
      <c r="AI141" s="2102"/>
      <c r="AJ141" s="2011"/>
      <c r="AK141" s="2011"/>
      <c r="AL141" s="2011"/>
      <c r="AM141" s="1882"/>
      <c r="AN141" s="1925"/>
      <c r="AO141" s="1925"/>
      <c r="AP141" s="2011"/>
      <c r="AQ141" s="1912"/>
      <c r="AR141" s="2143" t="s">
        <v>1283</v>
      </c>
      <c r="AS141" s="2143"/>
      <c r="AT141" s="2143">
        <v>505476800</v>
      </c>
      <c r="AU141" s="2143"/>
      <c r="AV141" s="2084" t="s">
        <v>633</v>
      </c>
      <c r="AW141" s="2070" t="e">
        <f>#REF!</f>
        <v>#REF!</v>
      </c>
      <c r="AX141" s="2143"/>
      <c r="AY141" s="2182"/>
      <c r="AZ141" s="260"/>
      <c r="BA141" s="91"/>
      <c r="BB141" s="2149"/>
      <c r="BC141" s="2150"/>
      <c r="BD141" s="1764"/>
      <c r="BE141" s="1762"/>
      <c r="BF141" s="1762"/>
    </row>
    <row r="142" spans="1:62" ht="20.100000000000001" hidden="1" customHeight="1">
      <c r="A142" s="2191"/>
      <c r="B142" s="1790"/>
      <c r="C142" s="1790"/>
      <c r="D142" s="1791" t="s">
        <v>17</v>
      </c>
      <c r="E142" s="1790">
        <v>3</v>
      </c>
      <c r="F142" s="1791" t="s">
        <v>255</v>
      </c>
      <c r="G142" s="1788"/>
      <c r="H142" s="1791" t="s">
        <v>259</v>
      </c>
      <c r="I142" s="1790" t="s">
        <v>23</v>
      </c>
      <c r="J142" s="1791" t="s">
        <v>258</v>
      </c>
      <c r="K142" s="1791"/>
      <c r="L142" s="1649" t="s">
        <v>890</v>
      </c>
      <c r="M142" s="1790">
        <v>1</v>
      </c>
      <c r="N142" s="1790"/>
      <c r="O142" s="1790"/>
      <c r="P142" s="1829"/>
      <c r="Q142" s="1790"/>
      <c r="R142" s="1790"/>
      <c r="S142" s="1790"/>
      <c r="T142" s="1856">
        <v>0</v>
      </c>
      <c r="U142" s="77">
        <v>399167600</v>
      </c>
      <c r="V142" s="2203">
        <v>70441329</v>
      </c>
      <c r="W142" s="2204">
        <v>0</v>
      </c>
      <c r="X142" s="2067" t="e">
        <f>#REF!+#REF!+#REF!</f>
        <v>#REF!</v>
      </c>
      <c r="Y142" s="2212" t="s">
        <v>633</v>
      </c>
      <c r="Z142" s="2084" t="s">
        <v>633</v>
      </c>
      <c r="AA142" s="2094" t="e">
        <f>#REF!</f>
        <v>#REF!</v>
      </c>
      <c r="AB142" s="1880"/>
      <c r="AC142" s="1680"/>
      <c r="AD142" s="2074"/>
      <c r="AE142" s="2075"/>
      <c r="AF142" s="2074"/>
      <c r="AG142" s="2202"/>
      <c r="AH142" s="1880"/>
      <c r="AI142" s="2102"/>
      <c r="AJ142" s="2011"/>
      <c r="AK142" s="2011"/>
      <c r="AL142" s="2011"/>
      <c r="AM142" s="1882"/>
      <c r="AN142" s="1925"/>
      <c r="AO142" s="1925"/>
      <c r="AP142" s="2011"/>
      <c r="AQ142" s="1912"/>
      <c r="AR142" s="2143" t="s">
        <v>1283</v>
      </c>
      <c r="AS142" s="2143"/>
      <c r="AT142" s="2143">
        <v>399167600</v>
      </c>
      <c r="AU142" s="2143"/>
      <c r="AV142" s="2243" t="s">
        <v>633</v>
      </c>
      <c r="AW142" s="2070" t="e">
        <f>#REF!</f>
        <v>#REF!</v>
      </c>
      <c r="AX142" s="2143"/>
      <c r="AY142" s="2182"/>
      <c r="AZ142" s="260"/>
      <c r="BA142" s="91"/>
      <c r="BB142" s="2149"/>
      <c r="BC142" s="2150"/>
      <c r="BD142" s="1764"/>
      <c r="BE142" s="1762"/>
      <c r="BF142" s="1762"/>
    </row>
    <row r="143" spans="1:62" ht="20.100000000000001" customHeight="1">
      <c r="A143" s="1783" t="s">
        <v>891</v>
      </c>
      <c r="B143" s="2192"/>
      <c r="C143" s="2192"/>
      <c r="D143" s="2192"/>
      <c r="E143" s="2192"/>
      <c r="F143" s="2192"/>
      <c r="G143" s="2192"/>
      <c r="H143" s="2192"/>
      <c r="I143" s="2192"/>
      <c r="J143" s="2192"/>
      <c r="K143" s="2192"/>
      <c r="L143" s="1783"/>
      <c r="M143" s="1792"/>
      <c r="N143" s="1790"/>
      <c r="O143" s="1790"/>
      <c r="P143" s="1829"/>
      <c r="Q143" s="1790"/>
      <c r="R143" s="1790"/>
      <c r="S143" s="1790"/>
      <c r="T143" s="1856"/>
      <c r="U143" s="77"/>
      <c r="V143" s="2203"/>
      <c r="W143" s="2204"/>
      <c r="X143" s="2067"/>
      <c r="Y143" s="2212"/>
      <c r="Z143" s="2084"/>
      <c r="AA143" s="2094"/>
      <c r="AB143" s="1880"/>
      <c r="AC143" s="1680"/>
      <c r="AD143" s="2074"/>
      <c r="AE143" s="2075"/>
      <c r="AF143" s="2074"/>
      <c r="AG143" s="2202"/>
      <c r="AH143" s="1880"/>
      <c r="AI143" s="2102"/>
      <c r="AJ143" s="2011"/>
      <c r="AK143" s="2011"/>
      <c r="AL143" s="2011"/>
      <c r="AM143" s="1882"/>
      <c r="AN143" s="1925"/>
      <c r="AO143" s="1925"/>
      <c r="AP143" s="2011"/>
      <c r="AQ143" s="1912"/>
      <c r="AR143" s="2143"/>
      <c r="AS143" s="2244"/>
      <c r="AT143" s="649">
        <f>AT144</f>
        <v>1050000000</v>
      </c>
      <c r="AU143" s="649">
        <f>AU144</f>
        <v>613298850.72000003</v>
      </c>
      <c r="AV143" s="650"/>
      <c r="AW143" s="2256"/>
      <c r="AX143" s="2143"/>
      <c r="AY143" s="2182"/>
      <c r="AZ143" s="260"/>
      <c r="BA143" s="91"/>
      <c r="BB143" s="2149"/>
      <c r="BC143" s="638"/>
      <c r="BD143" s="1764"/>
      <c r="BE143" s="1762"/>
      <c r="BF143" s="1762"/>
    </row>
    <row r="144" spans="1:62" ht="20.100000000000001" customHeight="1">
      <c r="A144" s="1784">
        <v>26</v>
      </c>
      <c r="B144" s="1792"/>
      <c r="C144" s="1790"/>
      <c r="D144" s="1791" t="s">
        <v>17</v>
      </c>
      <c r="E144" s="1790">
        <v>4</v>
      </c>
      <c r="F144" s="1791" t="s">
        <v>891</v>
      </c>
      <c r="G144" s="1788"/>
      <c r="H144" s="1791" t="s">
        <v>259</v>
      </c>
      <c r="I144" s="1790" t="s">
        <v>23</v>
      </c>
      <c r="J144" s="1791" t="s">
        <v>258</v>
      </c>
      <c r="K144" s="1838">
        <v>1</v>
      </c>
      <c r="L144" s="1837" t="s">
        <v>281</v>
      </c>
      <c r="M144" s="1792">
        <v>1</v>
      </c>
      <c r="N144" s="1790">
        <v>1</v>
      </c>
      <c r="O144" s="1790">
        <v>0</v>
      </c>
      <c r="P144" s="1829">
        <v>1</v>
      </c>
      <c r="Q144" s="1790">
        <v>1</v>
      </c>
      <c r="R144" s="1790">
        <v>1</v>
      </c>
      <c r="S144" s="1790">
        <v>85</v>
      </c>
      <c r="T144" s="1856">
        <v>1050000000</v>
      </c>
      <c r="U144" s="1856">
        <v>1050000000</v>
      </c>
      <c r="V144" s="1856">
        <v>150000000</v>
      </c>
      <c r="W144" s="1856">
        <v>0</v>
      </c>
      <c r="X144" s="2067" t="e">
        <f>#REF!+#REF!+#REF!</f>
        <v>#REF!</v>
      </c>
      <c r="Y144" s="2068" t="s">
        <v>55</v>
      </c>
      <c r="Z144" s="1879" t="s">
        <v>565</v>
      </c>
      <c r="AA144" s="1879">
        <f>T144</f>
        <v>1050000000</v>
      </c>
      <c r="AB144" s="1880">
        <v>1</v>
      </c>
      <c r="AC144" s="1879">
        <v>752200000</v>
      </c>
      <c r="AD144" s="2095">
        <v>613298850.72000003</v>
      </c>
      <c r="AE144" s="1879"/>
      <c r="AF144" s="1881" t="e">
        <f>#REF!-#REF!</f>
        <v>#REF!</v>
      </c>
      <c r="AG144" s="2117">
        <v>0</v>
      </c>
      <c r="AH144" s="1880">
        <v>2016</v>
      </c>
      <c r="AI144" s="3208" t="s">
        <v>883</v>
      </c>
      <c r="AJ144" s="3160" t="s">
        <v>264</v>
      </c>
      <c r="AK144" s="2226">
        <v>1</v>
      </c>
      <c r="AL144" s="3160" t="s">
        <v>283</v>
      </c>
      <c r="AM144" s="1882">
        <v>2015</v>
      </c>
      <c r="AN144" s="1925" t="s">
        <v>568</v>
      </c>
      <c r="AO144" s="3202" t="s">
        <v>568</v>
      </c>
      <c r="AP144" s="3160" t="s">
        <v>584</v>
      </c>
      <c r="AQ144" s="2011"/>
      <c r="AR144" s="2011" t="s">
        <v>1289</v>
      </c>
      <c r="AS144" s="3187" t="s">
        <v>892</v>
      </c>
      <c r="AT144" s="636">
        <v>1050000000</v>
      </c>
      <c r="AU144" s="635">
        <v>613298850.72000003</v>
      </c>
      <c r="AV144" s="640" t="s">
        <v>55</v>
      </c>
      <c r="AW144" s="2256">
        <v>0</v>
      </c>
      <c r="AX144" s="2011" t="s">
        <v>21</v>
      </c>
      <c r="AY144" s="1879" t="s">
        <v>565</v>
      </c>
      <c r="AZ144" s="2258" t="s">
        <v>893</v>
      </c>
      <c r="BA144" s="2258"/>
      <c r="BB144" s="3194" t="s">
        <v>894</v>
      </c>
      <c r="BC144" s="1973">
        <v>2015</v>
      </c>
      <c r="BD144" s="1971" t="s">
        <v>1305</v>
      </c>
      <c r="BE144" s="1726"/>
      <c r="BF144" s="1726"/>
      <c r="BG144" s="1726"/>
      <c r="BH144" s="1726"/>
      <c r="BI144" s="1726">
        <v>1</v>
      </c>
      <c r="BJ144" s="2014">
        <f>AT144</f>
        <v>1050000000</v>
      </c>
    </row>
    <row r="145" spans="1:58" ht="20.100000000000001" hidden="1" customHeight="1">
      <c r="A145" s="2190"/>
      <c r="B145" s="1790"/>
      <c r="C145" s="1790"/>
      <c r="D145" s="1791" t="s">
        <v>17</v>
      </c>
      <c r="E145" s="1790"/>
      <c r="F145" s="1791" t="s">
        <v>255</v>
      </c>
      <c r="G145" s="1788"/>
      <c r="H145" s="1791" t="s">
        <v>895</v>
      </c>
      <c r="I145" s="1790"/>
      <c r="J145" s="1791" t="s">
        <v>896</v>
      </c>
      <c r="K145" s="1791"/>
      <c r="L145" s="1828" t="s">
        <v>897</v>
      </c>
      <c r="M145" s="1790">
        <v>1</v>
      </c>
      <c r="N145" s="1790"/>
      <c r="O145" s="1790"/>
      <c r="P145" s="1829"/>
      <c r="Q145" s="1790"/>
      <c r="R145" s="1790"/>
      <c r="S145" s="1790"/>
      <c r="T145" s="1856">
        <v>0</v>
      </c>
      <c r="U145" s="77">
        <v>27402600</v>
      </c>
      <c r="V145" s="1603">
        <v>7300000</v>
      </c>
      <c r="W145" s="2204">
        <v>0</v>
      </c>
      <c r="X145" s="2067" t="e">
        <f>#REF!+#REF!+#REF!</f>
        <v>#REF!</v>
      </c>
      <c r="Y145" s="2212" t="s">
        <v>633</v>
      </c>
      <c r="Z145" s="2084" t="s">
        <v>633</v>
      </c>
      <c r="AA145" s="2094" t="e">
        <f>#REF!</f>
        <v>#REF!</v>
      </c>
      <c r="AB145" s="1880"/>
      <c r="AC145" s="1680"/>
      <c r="AD145" s="2074"/>
      <c r="AE145" s="2075"/>
      <c r="AF145" s="2074"/>
      <c r="AG145" s="2117"/>
      <c r="AH145" s="1880"/>
      <c r="AI145" s="2102"/>
      <c r="AJ145" s="2011"/>
      <c r="AK145" s="2011"/>
      <c r="AL145" s="2011"/>
      <c r="AM145" s="1882"/>
      <c r="AN145" s="1925"/>
      <c r="AO145" s="1925"/>
      <c r="AP145" s="2011"/>
      <c r="AQ145" s="1912"/>
      <c r="AR145" s="2143" t="s">
        <v>1283</v>
      </c>
      <c r="AS145" s="2143"/>
      <c r="AT145" s="2241">
        <v>27402600</v>
      </c>
      <c r="AU145" s="2241"/>
      <c r="AV145" s="2242" t="s">
        <v>633</v>
      </c>
      <c r="AW145" s="2070" t="e">
        <f>#REF!</f>
        <v>#REF!</v>
      </c>
      <c r="AX145" s="2143"/>
      <c r="AY145" s="2182"/>
      <c r="AZ145" s="2257"/>
      <c r="BA145" s="2258"/>
      <c r="BB145" s="2149"/>
      <c r="BC145" s="2150"/>
      <c r="BD145" s="1764"/>
      <c r="BE145" s="1762"/>
      <c r="BF145" s="1762"/>
    </row>
    <row r="146" spans="1:58" ht="20.100000000000001" hidden="1" customHeight="1">
      <c r="A146" s="2018"/>
      <c r="B146" s="1790"/>
      <c r="C146" s="1790"/>
      <c r="D146" s="1791" t="s">
        <v>17</v>
      </c>
      <c r="E146" s="1790"/>
      <c r="F146" s="1791" t="s">
        <v>255</v>
      </c>
      <c r="G146" s="1788"/>
      <c r="H146" s="1791" t="s">
        <v>895</v>
      </c>
      <c r="I146" s="1790"/>
      <c r="J146" s="1791" t="s">
        <v>896</v>
      </c>
      <c r="K146" s="1791"/>
      <c r="L146" s="37" t="s">
        <v>898</v>
      </c>
      <c r="M146" s="1790">
        <v>1</v>
      </c>
      <c r="N146" s="1790"/>
      <c r="O146" s="1790"/>
      <c r="P146" s="1829"/>
      <c r="Q146" s="1790"/>
      <c r="R146" s="1790"/>
      <c r="S146" s="1790"/>
      <c r="T146" s="1856">
        <v>0</v>
      </c>
      <c r="U146" s="77">
        <v>186237900</v>
      </c>
      <c r="V146" s="1603">
        <v>0</v>
      </c>
      <c r="W146" s="2204">
        <v>0</v>
      </c>
      <c r="X146" s="2067" t="e">
        <f>#REF!+#REF!+#REF!</f>
        <v>#REF!</v>
      </c>
      <c r="Y146" s="2212" t="s">
        <v>633</v>
      </c>
      <c r="Z146" s="2084" t="s">
        <v>633</v>
      </c>
      <c r="AA146" s="2094" t="e">
        <f>#REF!</f>
        <v>#REF!</v>
      </c>
      <c r="AB146" s="1880"/>
      <c r="AC146" s="1680"/>
      <c r="AD146" s="2074"/>
      <c r="AE146" s="2075"/>
      <c r="AF146" s="2074"/>
      <c r="AG146" s="2117"/>
      <c r="AH146" s="1880"/>
      <c r="AI146" s="2102"/>
      <c r="AJ146" s="2011"/>
      <c r="AK146" s="2011"/>
      <c r="AL146" s="2011"/>
      <c r="AM146" s="1882"/>
      <c r="AN146" s="1925"/>
      <c r="AO146" s="1925"/>
      <c r="AP146" s="2011"/>
      <c r="AQ146" s="1912"/>
      <c r="AR146" s="2143" t="s">
        <v>1283</v>
      </c>
      <c r="AS146" s="2143"/>
      <c r="AT146" s="2143">
        <v>186237900</v>
      </c>
      <c r="AU146" s="2143"/>
      <c r="AV146" s="2084" t="s">
        <v>633</v>
      </c>
      <c r="AW146" s="2070" t="e">
        <f>#REF!</f>
        <v>#REF!</v>
      </c>
      <c r="AX146" s="2143"/>
      <c r="AY146" s="2182"/>
      <c r="AZ146" s="2257"/>
      <c r="BA146" s="2258"/>
      <c r="BB146" s="2149"/>
      <c r="BC146" s="2150"/>
      <c r="BD146" s="1764"/>
      <c r="BE146" s="1762"/>
      <c r="BF146" s="1762"/>
    </row>
    <row r="147" spans="1:58" ht="20.100000000000001" hidden="1" customHeight="1">
      <c r="A147" s="2018"/>
      <c r="B147" s="1790"/>
      <c r="C147" s="1790"/>
      <c r="D147" s="1791" t="s">
        <v>17</v>
      </c>
      <c r="E147" s="1790"/>
      <c r="F147" s="1791" t="s">
        <v>255</v>
      </c>
      <c r="G147" s="1788"/>
      <c r="H147" s="1791" t="s">
        <v>895</v>
      </c>
      <c r="I147" s="1790"/>
      <c r="J147" s="1791" t="s">
        <v>896</v>
      </c>
      <c r="K147" s="1791"/>
      <c r="L147" s="37" t="s">
        <v>899</v>
      </c>
      <c r="M147" s="1790">
        <v>1</v>
      </c>
      <c r="N147" s="1790"/>
      <c r="O147" s="1790"/>
      <c r="P147" s="1829"/>
      <c r="Q147" s="1790"/>
      <c r="R147" s="1790"/>
      <c r="S147" s="1790"/>
      <c r="T147" s="1856">
        <v>0</v>
      </c>
      <c r="U147" s="77">
        <v>73732600</v>
      </c>
      <c r="V147" s="1603">
        <v>0</v>
      </c>
      <c r="W147" s="2204">
        <v>0</v>
      </c>
      <c r="X147" s="2067" t="e">
        <f>#REF!+#REF!+#REF!</f>
        <v>#REF!</v>
      </c>
      <c r="Y147" s="2212" t="s">
        <v>633</v>
      </c>
      <c r="Z147" s="2084" t="s">
        <v>633</v>
      </c>
      <c r="AA147" s="2094" t="e">
        <f>#REF!</f>
        <v>#REF!</v>
      </c>
      <c r="AB147" s="1880"/>
      <c r="AC147" s="1680"/>
      <c r="AD147" s="2074"/>
      <c r="AE147" s="2075"/>
      <c r="AF147" s="2074"/>
      <c r="AG147" s="2117"/>
      <c r="AH147" s="1880"/>
      <c r="AI147" s="2102"/>
      <c r="AJ147" s="2011"/>
      <c r="AK147" s="2011"/>
      <c r="AL147" s="2011"/>
      <c r="AM147" s="1882"/>
      <c r="AN147" s="1925"/>
      <c r="AO147" s="1925"/>
      <c r="AP147" s="2011"/>
      <c r="AQ147" s="1912"/>
      <c r="AR147" s="2143" t="s">
        <v>1283</v>
      </c>
      <c r="AS147" s="2143"/>
      <c r="AT147" s="2143">
        <v>73732600</v>
      </c>
      <c r="AU147" s="2143"/>
      <c r="AV147" s="2084" t="s">
        <v>633</v>
      </c>
      <c r="AW147" s="2070" t="e">
        <f>#REF!</f>
        <v>#REF!</v>
      </c>
      <c r="AX147" s="2143"/>
      <c r="AY147" s="2182"/>
      <c r="AZ147" s="2257"/>
      <c r="BA147" s="2258"/>
      <c r="BB147" s="2149"/>
      <c r="BC147" s="2150"/>
      <c r="BD147" s="1764"/>
      <c r="BE147" s="1762"/>
      <c r="BF147" s="1762"/>
    </row>
    <row r="148" spans="1:58" ht="20.100000000000001" hidden="1" customHeight="1">
      <c r="A148" s="2018"/>
      <c r="B148" s="1790"/>
      <c r="C148" s="1790"/>
      <c r="D148" s="1791" t="s">
        <v>17</v>
      </c>
      <c r="E148" s="1790"/>
      <c r="F148" s="1791" t="s">
        <v>255</v>
      </c>
      <c r="G148" s="1788"/>
      <c r="H148" s="1791" t="s">
        <v>895</v>
      </c>
      <c r="I148" s="1790"/>
      <c r="J148" s="1791" t="s">
        <v>896</v>
      </c>
      <c r="K148" s="1791"/>
      <c r="L148" s="37" t="s">
        <v>900</v>
      </c>
      <c r="M148" s="1790">
        <v>1</v>
      </c>
      <c r="N148" s="1790"/>
      <c r="O148" s="1790"/>
      <c r="P148" s="1829"/>
      <c r="Q148" s="1790"/>
      <c r="R148" s="1790"/>
      <c r="S148" s="1790"/>
      <c r="T148" s="1856">
        <v>0</v>
      </c>
      <c r="U148" s="77">
        <v>1700000000</v>
      </c>
      <c r="V148" s="1603">
        <v>595000000</v>
      </c>
      <c r="W148" s="2204">
        <v>0</v>
      </c>
      <c r="X148" s="2067" t="e">
        <f>#REF!+#REF!+#REF!</f>
        <v>#REF!</v>
      </c>
      <c r="Y148" s="2212" t="s">
        <v>633</v>
      </c>
      <c r="Z148" s="2084" t="s">
        <v>633</v>
      </c>
      <c r="AA148" s="2094" t="e">
        <f>#REF!</f>
        <v>#REF!</v>
      </c>
      <c r="AB148" s="1880"/>
      <c r="AC148" s="1680"/>
      <c r="AD148" s="2074"/>
      <c r="AE148" s="2075"/>
      <c r="AF148" s="2074"/>
      <c r="AG148" s="2117"/>
      <c r="AH148" s="1880"/>
      <c r="AI148" s="2102"/>
      <c r="AJ148" s="2011"/>
      <c r="AK148" s="2011"/>
      <c r="AL148" s="2011"/>
      <c r="AM148" s="1882"/>
      <c r="AN148" s="1925"/>
      <c r="AO148" s="1925"/>
      <c r="AP148" s="2011"/>
      <c r="AQ148" s="1912"/>
      <c r="AR148" s="2143" t="s">
        <v>1283</v>
      </c>
      <c r="AS148" s="2143"/>
      <c r="AT148" s="2143">
        <v>1700000000</v>
      </c>
      <c r="AU148" s="2143"/>
      <c r="AV148" s="1903" t="s">
        <v>55</v>
      </c>
      <c r="AW148" s="2070" t="e">
        <f>#REF!</f>
        <v>#REF!</v>
      </c>
      <c r="AX148" s="2143"/>
      <c r="AY148" s="2182"/>
      <c r="AZ148" s="2257"/>
      <c r="BA148" s="2258"/>
      <c r="BB148" s="2149"/>
      <c r="BC148" s="2150"/>
      <c r="BD148" s="1764"/>
      <c r="BE148" s="1762"/>
      <c r="BF148" s="1762"/>
    </row>
    <row r="149" spans="1:58" ht="20.100000000000001" hidden="1" customHeight="1">
      <c r="A149" s="1792">
        <v>97</v>
      </c>
      <c r="B149" s="1790"/>
      <c r="C149" s="1790"/>
      <c r="D149" s="1791" t="s">
        <v>17</v>
      </c>
      <c r="E149" s="1790">
        <v>5</v>
      </c>
      <c r="F149" s="1791" t="s">
        <v>285</v>
      </c>
      <c r="G149" s="2034"/>
      <c r="H149" s="1791" t="s">
        <v>289</v>
      </c>
      <c r="I149" s="1790" t="s">
        <v>23</v>
      </c>
      <c r="J149" s="1791" t="s">
        <v>288</v>
      </c>
      <c r="K149" s="1790">
        <v>1</v>
      </c>
      <c r="L149" s="1791" t="s">
        <v>901</v>
      </c>
      <c r="M149" s="1790">
        <v>1</v>
      </c>
      <c r="N149" s="1790">
        <v>1</v>
      </c>
      <c r="O149" s="1790">
        <v>0</v>
      </c>
      <c r="P149" s="1829">
        <v>1</v>
      </c>
      <c r="Q149" s="1790">
        <v>1</v>
      </c>
      <c r="R149" s="1790">
        <v>1</v>
      </c>
      <c r="S149" s="1790">
        <v>87</v>
      </c>
      <c r="T149" s="2205">
        <v>411000000</v>
      </c>
      <c r="U149" s="2205">
        <v>411000000</v>
      </c>
      <c r="V149" s="2205">
        <v>41000000</v>
      </c>
      <c r="W149" s="2205">
        <v>0</v>
      </c>
      <c r="X149" s="2205">
        <f t="shared" si="14"/>
        <v>452000000</v>
      </c>
      <c r="Y149" s="2084" t="s">
        <v>633</v>
      </c>
      <c r="Z149" s="2084" t="s">
        <v>633</v>
      </c>
      <c r="AA149" s="1856">
        <v>411000000</v>
      </c>
      <c r="AB149" s="1880"/>
      <c r="AC149" s="1856"/>
      <c r="AD149" s="1881"/>
      <c r="AE149" s="1856"/>
      <c r="AF149" s="1881"/>
      <c r="AG149" s="1856" t="e">
        <f>-#REF!</f>
        <v>#REF!</v>
      </c>
      <c r="AH149" s="1880" t="s">
        <v>617</v>
      </c>
      <c r="AI149" s="1788" t="s">
        <v>291</v>
      </c>
      <c r="AJ149" s="1788" t="s">
        <v>292</v>
      </c>
      <c r="AK149" s="1788" t="s">
        <v>293</v>
      </c>
      <c r="AL149" s="1788" t="s">
        <v>294</v>
      </c>
      <c r="AM149" s="1882"/>
      <c r="AN149" s="1914" t="s">
        <v>608</v>
      </c>
      <c r="AO149" s="3202" t="s">
        <v>568</v>
      </c>
      <c r="AP149" s="2011" t="s">
        <v>570</v>
      </c>
      <c r="AQ149" s="2011"/>
      <c r="AR149" s="1788" t="s">
        <v>1283</v>
      </c>
      <c r="AS149" s="2123" t="s">
        <v>571</v>
      </c>
      <c r="AT149" s="1856">
        <v>411000000</v>
      </c>
      <c r="AU149" s="1856"/>
      <c r="AV149" s="2084" t="s">
        <v>633</v>
      </c>
      <c r="AW149" s="2070" t="e">
        <f>#REF!</f>
        <v>#REF!</v>
      </c>
      <c r="AX149" s="2011" t="s">
        <v>21</v>
      </c>
      <c r="AY149" s="2084" t="s">
        <v>633</v>
      </c>
      <c r="AZ149" s="3211" t="s">
        <v>903</v>
      </c>
      <c r="BA149" s="2259"/>
      <c r="BB149" s="3177" t="s">
        <v>904</v>
      </c>
      <c r="BC149" s="2150"/>
      <c r="BD149" s="1764"/>
      <c r="BE149" s="1762"/>
      <c r="BF149" s="1762"/>
    </row>
    <row r="150" spans="1:58" s="1725" customFormat="1" ht="20.100000000000001" hidden="1" customHeight="1">
      <c r="A150" s="1792">
        <v>98</v>
      </c>
      <c r="B150" s="1790"/>
      <c r="C150" s="1790"/>
      <c r="D150" s="1791" t="s">
        <v>17</v>
      </c>
      <c r="E150" s="1790">
        <v>5</v>
      </c>
      <c r="F150" s="1791" t="s">
        <v>285</v>
      </c>
      <c r="G150" s="1788"/>
      <c r="H150" s="1791" t="s">
        <v>289</v>
      </c>
      <c r="I150" s="1790" t="s">
        <v>23</v>
      </c>
      <c r="J150" s="1791" t="s">
        <v>288</v>
      </c>
      <c r="K150" s="1790">
        <v>2</v>
      </c>
      <c r="L150" s="1791" t="s">
        <v>296</v>
      </c>
      <c r="M150" s="1790">
        <v>1</v>
      </c>
      <c r="N150" s="1790">
        <v>1</v>
      </c>
      <c r="O150" s="1790">
        <v>0</v>
      </c>
      <c r="P150" s="1829">
        <v>1</v>
      </c>
      <c r="Q150" s="1790">
        <v>1</v>
      </c>
      <c r="R150" s="1790">
        <v>1</v>
      </c>
      <c r="S150" s="1790">
        <v>88</v>
      </c>
      <c r="T150" s="2205">
        <v>145000000</v>
      </c>
      <c r="U150" s="2205">
        <v>145000000</v>
      </c>
      <c r="V150" s="2205">
        <v>20000000</v>
      </c>
      <c r="W150" s="2205">
        <v>10000000</v>
      </c>
      <c r="X150" s="2205">
        <f t="shared" si="14"/>
        <v>175000000</v>
      </c>
      <c r="Y150" s="1879" t="s">
        <v>28</v>
      </c>
      <c r="Z150" s="1879" t="s">
        <v>565</v>
      </c>
      <c r="AA150" s="1856">
        <f>T150</f>
        <v>145000000</v>
      </c>
      <c r="AB150" s="1880"/>
      <c r="AC150" s="1856"/>
      <c r="AD150" s="1881"/>
      <c r="AE150" s="1856"/>
      <c r="AF150" s="1881"/>
      <c r="AG150" s="1856">
        <v>0</v>
      </c>
      <c r="AH150" s="1880" t="s">
        <v>617</v>
      </c>
      <c r="AI150" s="3209" t="s">
        <v>297</v>
      </c>
      <c r="AJ150" s="1788" t="s">
        <v>298</v>
      </c>
      <c r="AK150" s="1788" t="s">
        <v>299</v>
      </c>
      <c r="AL150" s="1788" t="s">
        <v>294</v>
      </c>
      <c r="AM150" s="1882"/>
      <c r="AN150" s="1914" t="s">
        <v>608</v>
      </c>
      <c r="AO150" s="1914" t="s">
        <v>654</v>
      </c>
      <c r="AP150" s="2011" t="s">
        <v>570</v>
      </c>
      <c r="AQ150" s="2011"/>
      <c r="AR150" s="2011" t="s">
        <v>1292</v>
      </c>
      <c r="AS150" s="2123" t="s">
        <v>719</v>
      </c>
      <c r="AT150" s="1856">
        <v>145000000</v>
      </c>
      <c r="AU150" s="1856"/>
      <c r="AV150" s="1879" t="s">
        <v>28</v>
      </c>
      <c r="AW150" s="2070" t="e">
        <f>#REF!</f>
        <v>#REF!</v>
      </c>
      <c r="AX150" s="2011" t="s">
        <v>765</v>
      </c>
      <c r="AY150" s="1879" t="s">
        <v>565</v>
      </c>
      <c r="AZ150" s="3212" t="s">
        <v>905</v>
      </c>
      <c r="BA150" s="2260"/>
      <c r="BB150" s="3177" t="s">
        <v>906</v>
      </c>
      <c r="BC150" s="2150"/>
      <c r="BD150" s="1967"/>
    </row>
    <row r="151" spans="1:58" s="1738" customFormat="1" ht="20.100000000000001" hidden="1" customHeight="1">
      <c r="A151" s="1792">
        <v>99</v>
      </c>
      <c r="B151" s="1790"/>
      <c r="C151" s="1790"/>
      <c r="D151" s="1791" t="s">
        <v>17</v>
      </c>
      <c r="E151" s="1790">
        <v>5</v>
      </c>
      <c r="F151" s="1791" t="s">
        <v>285</v>
      </c>
      <c r="G151" s="1788"/>
      <c r="H151" s="1791" t="s">
        <v>289</v>
      </c>
      <c r="I151" s="1790" t="s">
        <v>23</v>
      </c>
      <c r="J151" s="1791" t="s">
        <v>288</v>
      </c>
      <c r="K151" s="1790">
        <v>3</v>
      </c>
      <c r="L151" s="1791" t="s">
        <v>301</v>
      </c>
      <c r="M151" s="1790">
        <v>1</v>
      </c>
      <c r="N151" s="1790">
        <v>1</v>
      </c>
      <c r="O151" s="1790">
        <v>0</v>
      </c>
      <c r="P151" s="1829">
        <v>1</v>
      </c>
      <c r="Q151" s="1790">
        <v>1</v>
      </c>
      <c r="R151" s="1790">
        <v>1</v>
      </c>
      <c r="S151" s="1790">
        <v>89</v>
      </c>
      <c r="T151" s="2205">
        <v>500000000</v>
      </c>
      <c r="U151" s="2205">
        <v>500000000</v>
      </c>
      <c r="V151" s="2205">
        <v>25000000</v>
      </c>
      <c r="W151" s="2205">
        <v>0</v>
      </c>
      <c r="X151" s="2205">
        <f t="shared" si="14"/>
        <v>525000000</v>
      </c>
      <c r="Y151" s="1879" t="s">
        <v>302</v>
      </c>
      <c r="Z151" s="1879" t="s">
        <v>907</v>
      </c>
      <c r="AA151" s="1856">
        <v>500000000</v>
      </c>
      <c r="AB151" s="1880"/>
      <c r="AC151" s="1856"/>
      <c r="AD151" s="1881"/>
      <c r="AE151" s="1856">
        <v>500000000</v>
      </c>
      <c r="AF151" s="1881" t="e">
        <f>#REF!-#REF!</f>
        <v>#REF!</v>
      </c>
      <c r="AG151" s="1856">
        <f>+AA151-T151</f>
        <v>0</v>
      </c>
      <c r="AH151" s="1880" t="s">
        <v>617</v>
      </c>
      <c r="AI151" s="3137" t="s">
        <v>21</v>
      </c>
      <c r="AJ151" s="3137" t="s">
        <v>21</v>
      </c>
      <c r="AK151" s="3137" t="s">
        <v>21</v>
      </c>
      <c r="AL151" s="3137" t="s">
        <v>21</v>
      </c>
      <c r="AM151" s="1880"/>
      <c r="AN151" s="3188" t="s">
        <v>603</v>
      </c>
      <c r="AO151" s="3188" t="s">
        <v>603</v>
      </c>
      <c r="AP151" s="2011" t="s">
        <v>570</v>
      </c>
      <c r="AQ151" s="2011"/>
      <c r="AR151" s="2011"/>
      <c r="AS151" s="3160" t="s">
        <v>908</v>
      </c>
      <c r="AT151" s="1856">
        <v>500000000</v>
      </c>
      <c r="AU151" s="1856"/>
      <c r="AV151" s="1879" t="s">
        <v>302</v>
      </c>
      <c r="AW151" s="2070">
        <v>0</v>
      </c>
      <c r="AX151" s="3160" t="s">
        <v>21</v>
      </c>
      <c r="AY151" s="1879" t="s">
        <v>907</v>
      </c>
      <c r="AZ151" s="3212" t="s">
        <v>909</v>
      </c>
      <c r="BA151" s="2260"/>
      <c r="BB151" s="3177" t="s">
        <v>910</v>
      </c>
      <c r="BC151" s="2150"/>
      <c r="BD151" s="2261"/>
    </row>
    <row r="152" spans="1:58" s="1738" customFormat="1" ht="20.100000000000001" hidden="1" customHeight="1">
      <c r="A152" s="1792">
        <v>100</v>
      </c>
      <c r="B152" s="1790"/>
      <c r="C152" s="1790"/>
      <c r="D152" s="1791" t="s">
        <v>17</v>
      </c>
      <c r="E152" s="1790">
        <v>6</v>
      </c>
      <c r="F152" s="1791" t="s">
        <v>304</v>
      </c>
      <c r="G152" s="1788"/>
      <c r="H152" s="1791" t="s">
        <v>289</v>
      </c>
      <c r="I152" s="1790" t="s">
        <v>23</v>
      </c>
      <c r="J152" s="1791" t="s">
        <v>288</v>
      </c>
      <c r="K152" s="1790">
        <v>1</v>
      </c>
      <c r="L152" s="1791" t="s">
        <v>307</v>
      </c>
      <c r="M152" s="1790">
        <v>1</v>
      </c>
      <c r="N152" s="1790">
        <v>1</v>
      </c>
      <c r="O152" s="1790">
        <v>0</v>
      </c>
      <c r="P152" s="1829">
        <v>1</v>
      </c>
      <c r="Q152" s="1790">
        <v>1</v>
      </c>
      <c r="R152" s="1790">
        <v>1</v>
      </c>
      <c r="S152" s="1790">
        <v>90</v>
      </c>
      <c r="T152" s="1856">
        <v>20000000</v>
      </c>
      <c r="U152" s="1856">
        <v>20000000</v>
      </c>
      <c r="V152" s="1856">
        <v>3500000</v>
      </c>
      <c r="W152" s="1856">
        <v>0</v>
      </c>
      <c r="X152" s="2068">
        <f t="shared" si="14"/>
        <v>23500000</v>
      </c>
      <c r="Y152" s="2068" t="s">
        <v>28</v>
      </c>
      <c r="Z152" s="1879" t="s">
        <v>565</v>
      </c>
      <c r="AA152" s="1879">
        <f>T152</f>
        <v>20000000</v>
      </c>
      <c r="AB152" s="1880">
        <v>1</v>
      </c>
      <c r="AC152" s="1879">
        <v>20000000</v>
      </c>
      <c r="AD152" s="2095"/>
      <c r="AE152" s="1879"/>
      <c r="AF152" s="2095"/>
      <c r="AG152" s="2117" t="e">
        <f>+#REF!-#REF!</f>
        <v>#REF!</v>
      </c>
      <c r="AH152" s="1880" t="s">
        <v>617</v>
      </c>
      <c r="AI152" s="3208" t="s">
        <v>911</v>
      </c>
      <c r="AJ152" s="2011" t="s">
        <v>71</v>
      </c>
      <c r="AK152" s="2011" t="s">
        <v>309</v>
      </c>
      <c r="AL152" s="3160" t="s">
        <v>310</v>
      </c>
      <c r="AM152" s="1880">
        <v>2015</v>
      </c>
      <c r="AN152" s="3202" t="s">
        <v>568</v>
      </c>
      <c r="AO152" s="3202" t="s">
        <v>645</v>
      </c>
      <c r="AP152" s="3160" t="s">
        <v>584</v>
      </c>
      <c r="AQ152" s="2245"/>
      <c r="AR152" s="2245" t="s">
        <v>1291</v>
      </c>
      <c r="AS152" s="2143" t="s">
        <v>21</v>
      </c>
      <c r="AT152" s="1879">
        <v>20000000</v>
      </c>
      <c r="AU152" s="1879"/>
      <c r="AV152" s="2068" t="s">
        <v>28</v>
      </c>
      <c r="AW152" s="2070" t="e">
        <f>#REF!</f>
        <v>#REF!</v>
      </c>
      <c r="AX152" s="2011" t="s">
        <v>765</v>
      </c>
      <c r="AY152" s="1879" t="s">
        <v>565</v>
      </c>
      <c r="AZ152" s="2258" t="s">
        <v>893</v>
      </c>
      <c r="BA152" s="2258"/>
      <c r="BB152" s="3177" t="s">
        <v>912</v>
      </c>
      <c r="BC152" s="2150"/>
      <c r="BD152" s="2261"/>
    </row>
    <row r="153" spans="1:58" s="1739" customFormat="1" ht="20.100000000000001" hidden="1" customHeight="1">
      <c r="A153" s="1775">
        <v>101</v>
      </c>
      <c r="B153" s="1776"/>
      <c r="C153" s="1776"/>
      <c r="D153" s="1777" t="s">
        <v>17</v>
      </c>
      <c r="E153" s="1776">
        <v>7</v>
      </c>
      <c r="F153" s="1777" t="s">
        <v>311</v>
      </c>
      <c r="G153" s="1778"/>
      <c r="H153" s="1777" t="s">
        <v>315</v>
      </c>
      <c r="I153" s="1776" t="s">
        <v>23</v>
      </c>
      <c r="J153" s="1777" t="s">
        <v>314</v>
      </c>
      <c r="K153" s="1776">
        <v>1</v>
      </c>
      <c r="L153" s="2054" t="s">
        <v>317</v>
      </c>
      <c r="M153" s="1776">
        <v>0</v>
      </c>
      <c r="N153" s="1776">
        <v>0</v>
      </c>
      <c r="O153" s="1776">
        <v>1</v>
      </c>
      <c r="P153" s="1824">
        <v>0</v>
      </c>
      <c r="Q153" s="1776">
        <v>0</v>
      </c>
      <c r="R153" s="1776">
        <v>0</v>
      </c>
      <c r="S153" s="1776"/>
      <c r="T153" s="1854">
        <f>SUM(T155:T156)</f>
        <v>1562000000</v>
      </c>
      <c r="U153" s="1854">
        <f>SUM(U155:U156)</f>
        <v>1562000000</v>
      </c>
      <c r="V153" s="1854">
        <f>SUM(V155:V156)</f>
        <v>253000000</v>
      </c>
      <c r="W153" s="1854">
        <f>SUM(W155:W156)</f>
        <v>0</v>
      </c>
      <c r="X153" s="1854" t="e">
        <f>SUM(X155:X156)</f>
        <v>#REF!</v>
      </c>
      <c r="Y153" s="1862" t="s">
        <v>21</v>
      </c>
      <c r="Z153" s="1862"/>
      <c r="AA153" s="1854">
        <f>SUM(AA155:AA156)</f>
        <v>1562000000</v>
      </c>
      <c r="AB153" s="2213"/>
      <c r="AC153" s="1854"/>
      <c r="AD153" s="1875"/>
      <c r="AE153" s="1854"/>
      <c r="AF153" s="1875"/>
      <c r="AG153" s="1854" t="e">
        <f>+#REF!-#REF!</f>
        <v>#REF!</v>
      </c>
      <c r="AH153" s="2213" t="s">
        <v>21</v>
      </c>
      <c r="AI153" s="3178" t="s">
        <v>21</v>
      </c>
      <c r="AJ153" s="1778" t="s">
        <v>21</v>
      </c>
      <c r="AK153" s="2227" t="s">
        <v>21</v>
      </c>
      <c r="AL153" s="3178" t="s">
        <v>21</v>
      </c>
      <c r="AM153" s="3213" t="s">
        <v>21</v>
      </c>
      <c r="AN153" s="3188" t="s">
        <v>21</v>
      </c>
      <c r="AO153" s="3188" t="s">
        <v>21</v>
      </c>
      <c r="AP153" s="1778"/>
      <c r="AQ153" s="1778"/>
      <c r="AR153" s="1778"/>
      <c r="AS153" s="1778"/>
      <c r="AT153" s="1934">
        <f>SUM(AT155:AT156)</f>
        <v>1562000000</v>
      </c>
      <c r="AU153" s="1934"/>
      <c r="AV153" s="1935" t="s">
        <v>21</v>
      </c>
      <c r="AW153" s="1862"/>
      <c r="AX153" s="2113" t="s">
        <v>21</v>
      </c>
      <c r="AY153" s="1862"/>
      <c r="AZ153" s="2262" t="s">
        <v>913</v>
      </c>
      <c r="BA153" s="2262"/>
      <c r="BB153" s="1965" t="s">
        <v>914</v>
      </c>
      <c r="BC153" s="1966"/>
      <c r="BD153" s="2263"/>
    </row>
    <row r="154" spans="1:58" s="1738" customFormat="1" ht="20.100000000000001" customHeight="1">
      <c r="A154" s="1783" t="s">
        <v>1306</v>
      </c>
      <c r="B154" s="1780"/>
      <c r="C154" s="1780"/>
      <c r="D154" s="1780"/>
      <c r="E154" s="1780"/>
      <c r="F154" s="1780"/>
      <c r="G154" s="1780"/>
      <c r="H154" s="1780"/>
      <c r="I154" s="1780"/>
      <c r="J154" s="1780"/>
      <c r="K154" s="1780"/>
      <c r="L154" s="1783"/>
      <c r="M154" s="1807"/>
      <c r="N154" s="1776"/>
      <c r="O154" s="1776"/>
      <c r="P154" s="1824"/>
      <c r="Q154" s="1776"/>
      <c r="R154" s="1776"/>
      <c r="S154" s="1776"/>
      <c r="T154" s="1854"/>
      <c r="U154" s="1854"/>
      <c r="V154" s="1854"/>
      <c r="W154" s="1854"/>
      <c r="X154" s="1854"/>
      <c r="Y154" s="1862"/>
      <c r="Z154" s="1862"/>
      <c r="AA154" s="1854"/>
      <c r="AB154" s="2213"/>
      <c r="AC154" s="1854"/>
      <c r="AD154" s="1875"/>
      <c r="AE154" s="1854"/>
      <c r="AF154" s="1875"/>
      <c r="AG154" s="1854"/>
      <c r="AH154" s="2213"/>
      <c r="AI154" s="1778"/>
      <c r="AJ154" s="1778"/>
      <c r="AK154" s="2227"/>
      <c r="AL154" s="1778"/>
      <c r="AM154" s="1874"/>
      <c r="AN154" s="1907"/>
      <c r="AO154" s="1907"/>
      <c r="AP154" s="1778"/>
      <c r="AQ154" s="1778"/>
      <c r="AR154" s="1778"/>
      <c r="AS154" s="1936"/>
      <c r="AT154" s="648">
        <f>AT155+AT158</f>
        <v>635600000</v>
      </c>
      <c r="AU154" s="648">
        <f>AU155+AU158</f>
        <v>519051416.05000001</v>
      </c>
      <c r="AV154" s="636"/>
      <c r="AW154" s="2183"/>
      <c r="AX154" s="2113"/>
      <c r="AY154" s="1862"/>
      <c r="AZ154" s="2262"/>
      <c r="BA154" s="2262"/>
      <c r="BB154" s="1965"/>
      <c r="BC154" s="638"/>
      <c r="BD154" s="2261"/>
    </row>
    <row r="155" spans="1:58" s="1738" customFormat="1" ht="20.100000000000001" customHeight="1">
      <c r="A155" s="1784">
        <v>27</v>
      </c>
      <c r="B155" s="1785"/>
      <c r="C155" s="1786"/>
      <c r="D155" s="1787" t="s">
        <v>17</v>
      </c>
      <c r="E155" s="1786">
        <v>7</v>
      </c>
      <c r="F155" s="1787" t="s">
        <v>311</v>
      </c>
      <c r="G155" s="1788"/>
      <c r="H155" s="1787" t="s">
        <v>315</v>
      </c>
      <c r="I155" s="1790" t="s">
        <v>23</v>
      </c>
      <c r="J155" s="1787" t="s">
        <v>314</v>
      </c>
      <c r="K155" s="1825">
        <v>1</v>
      </c>
      <c r="L155" s="1837" t="s">
        <v>915</v>
      </c>
      <c r="M155" s="1785">
        <v>1</v>
      </c>
      <c r="N155" s="1786">
        <v>1</v>
      </c>
      <c r="O155" s="1786">
        <v>2</v>
      </c>
      <c r="P155" s="1829">
        <v>1</v>
      </c>
      <c r="Q155" s="1790">
        <v>1</v>
      </c>
      <c r="R155" s="1790">
        <v>1</v>
      </c>
      <c r="S155" s="1790">
        <v>91</v>
      </c>
      <c r="T155" s="1855">
        <v>629000000</v>
      </c>
      <c r="U155" s="1855">
        <v>629000000</v>
      </c>
      <c r="V155" s="1855">
        <v>88000000</v>
      </c>
      <c r="W155" s="1855">
        <v>0</v>
      </c>
      <c r="X155" s="1855" t="e">
        <f>+#REF!+#REF!+#REF!</f>
        <v>#REF!</v>
      </c>
      <c r="Y155" s="1876" t="s">
        <v>55</v>
      </c>
      <c r="Z155" s="1879" t="s">
        <v>565</v>
      </c>
      <c r="AA155" s="1855">
        <v>629000000</v>
      </c>
      <c r="AB155" s="1880">
        <v>1</v>
      </c>
      <c r="AC155" s="1855">
        <v>629140000</v>
      </c>
      <c r="AD155" s="1878">
        <v>513687070.98000002</v>
      </c>
      <c r="AE155" s="1855"/>
      <c r="AF155" s="1878" t="e">
        <f>#REF!-#REF!</f>
        <v>#REF!</v>
      </c>
      <c r="AG155" s="1855">
        <v>0</v>
      </c>
      <c r="AH155" s="1880">
        <v>2015</v>
      </c>
      <c r="AI155" s="3132" t="s">
        <v>916</v>
      </c>
      <c r="AJ155" s="1912" t="s">
        <v>71</v>
      </c>
      <c r="AK155" s="1913">
        <v>0.3</v>
      </c>
      <c r="AL155" s="3132" t="s">
        <v>917</v>
      </c>
      <c r="AM155" s="1882">
        <v>2015</v>
      </c>
      <c r="AN155" s="3196" t="s">
        <v>568</v>
      </c>
      <c r="AO155" s="3214" t="s">
        <v>918</v>
      </c>
      <c r="AP155" s="3198" t="s">
        <v>584</v>
      </c>
      <c r="AQ155" s="1912"/>
      <c r="AR155" s="1912" t="s">
        <v>1289</v>
      </c>
      <c r="AS155" s="3270" t="s">
        <v>919</v>
      </c>
      <c r="AT155" s="634">
        <v>629000000</v>
      </c>
      <c r="AU155" s="635">
        <v>513687070.98000002</v>
      </c>
      <c r="AV155" s="636" t="s">
        <v>55</v>
      </c>
      <c r="AW155" s="2264">
        <v>0</v>
      </c>
      <c r="AX155" s="2011" t="s">
        <v>21</v>
      </c>
      <c r="AY155" s="1879" t="s">
        <v>565</v>
      </c>
      <c r="AZ155" s="2122" t="s">
        <v>920</v>
      </c>
      <c r="BA155" s="2132"/>
      <c r="BB155" s="1975" t="s">
        <v>921</v>
      </c>
      <c r="BC155" s="1973">
        <v>2015</v>
      </c>
      <c r="BD155" s="2261"/>
    </row>
    <row r="156" spans="1:58" s="1738" customFormat="1" ht="20.100000000000001" hidden="1" customHeight="1">
      <c r="A156" s="2189">
        <v>103</v>
      </c>
      <c r="B156" s="1786"/>
      <c r="C156" s="1786"/>
      <c r="D156" s="1787" t="s">
        <v>17</v>
      </c>
      <c r="E156" s="1786">
        <v>7</v>
      </c>
      <c r="F156" s="1787" t="s">
        <v>311</v>
      </c>
      <c r="G156" s="1788"/>
      <c r="H156" s="1787" t="s">
        <v>315</v>
      </c>
      <c r="I156" s="1790" t="s">
        <v>23</v>
      </c>
      <c r="J156" s="1787" t="s">
        <v>314</v>
      </c>
      <c r="K156" s="1786">
        <v>1</v>
      </c>
      <c r="L156" s="2195" t="s">
        <v>922</v>
      </c>
      <c r="M156" s="1786">
        <v>1</v>
      </c>
      <c r="N156" s="1786">
        <v>1</v>
      </c>
      <c r="O156" s="1786">
        <v>2</v>
      </c>
      <c r="P156" s="1829">
        <v>1</v>
      </c>
      <c r="Q156" s="1790">
        <v>1</v>
      </c>
      <c r="R156" s="1790">
        <v>1</v>
      </c>
      <c r="S156" s="1790">
        <v>92</v>
      </c>
      <c r="T156" s="1855">
        <v>933000000</v>
      </c>
      <c r="U156" s="1855">
        <v>933000000</v>
      </c>
      <c r="V156" s="1855">
        <v>165000000</v>
      </c>
      <c r="W156" s="1855">
        <v>0</v>
      </c>
      <c r="X156" s="1855" t="e">
        <f>+#REF!+#REF!+#REF!</f>
        <v>#REF!</v>
      </c>
      <c r="Y156" s="1876" t="s">
        <v>55</v>
      </c>
      <c r="Z156" s="1879" t="s">
        <v>565</v>
      </c>
      <c r="AA156" s="1855">
        <v>933000000</v>
      </c>
      <c r="AB156" s="1880">
        <v>0</v>
      </c>
      <c r="AC156" s="1855"/>
      <c r="AD156" s="1878"/>
      <c r="AE156" s="1855"/>
      <c r="AF156" s="1878"/>
      <c r="AG156" s="1855">
        <v>0</v>
      </c>
      <c r="AH156" s="1880">
        <v>2015</v>
      </c>
      <c r="AI156" s="3132" t="s">
        <v>923</v>
      </c>
      <c r="AJ156" s="3216" t="s">
        <v>21</v>
      </c>
      <c r="AK156" s="3216" t="s">
        <v>21</v>
      </c>
      <c r="AL156" s="3216" t="s">
        <v>21</v>
      </c>
      <c r="AM156" s="1882"/>
      <c r="AN156" s="3217" t="s">
        <v>603</v>
      </c>
      <c r="AO156" s="3217" t="s">
        <v>603</v>
      </c>
      <c r="AP156" s="3216" t="s">
        <v>570</v>
      </c>
      <c r="AQ156" s="2228"/>
      <c r="AR156" s="2228" t="s">
        <v>1292</v>
      </c>
      <c r="AS156" s="3215" t="s">
        <v>719</v>
      </c>
      <c r="AT156" s="2239">
        <v>933000000</v>
      </c>
      <c r="AU156" s="2239"/>
      <c r="AV156" s="2246" t="s">
        <v>55</v>
      </c>
      <c r="AW156" s="1876" t="e">
        <f>#REF!</f>
        <v>#REF!</v>
      </c>
      <c r="AX156" s="3160" t="s">
        <v>21</v>
      </c>
      <c r="AY156" s="1879" t="s">
        <v>565</v>
      </c>
      <c r="AZ156" s="3215" t="s">
        <v>913</v>
      </c>
      <c r="BA156" s="2132"/>
      <c r="BB156" s="3194" t="s">
        <v>921</v>
      </c>
      <c r="BC156" s="1976"/>
      <c r="BD156" s="2261"/>
    </row>
    <row r="157" spans="1:58" s="1735" customFormat="1" ht="20.100000000000001" hidden="1" customHeight="1">
      <c r="A157" s="1775">
        <v>104</v>
      </c>
      <c r="B157" s="1776"/>
      <c r="C157" s="1776"/>
      <c r="D157" s="1777" t="s">
        <v>17</v>
      </c>
      <c r="E157" s="1776">
        <v>7</v>
      </c>
      <c r="F157" s="1777" t="s">
        <v>311</v>
      </c>
      <c r="G157" s="1778"/>
      <c r="H157" s="1777" t="s">
        <v>315</v>
      </c>
      <c r="I157" s="1776" t="s">
        <v>23</v>
      </c>
      <c r="J157" s="1777" t="s">
        <v>314</v>
      </c>
      <c r="K157" s="1776">
        <v>2</v>
      </c>
      <c r="L157" s="2054" t="s">
        <v>325</v>
      </c>
      <c r="M157" s="1776">
        <v>0</v>
      </c>
      <c r="N157" s="1776">
        <v>0</v>
      </c>
      <c r="O157" s="1776">
        <v>1</v>
      </c>
      <c r="P157" s="1824">
        <v>0</v>
      </c>
      <c r="Q157" s="1776">
        <v>0</v>
      </c>
      <c r="R157" s="1776">
        <v>0</v>
      </c>
      <c r="S157" s="1776"/>
      <c r="T157" s="1854">
        <f>SUM(T158:T159)</f>
        <v>210600000</v>
      </c>
      <c r="U157" s="1854">
        <f>SUM(U158:U159)</f>
        <v>210600000</v>
      </c>
      <c r="V157" s="1854">
        <f>SUM(V158:V159)</f>
        <v>42600000</v>
      </c>
      <c r="W157" s="1854">
        <f>SUM(W158:W159)</f>
        <v>0</v>
      </c>
      <c r="X157" s="1854" t="e">
        <f>#REF!+#REF!+#REF!</f>
        <v>#REF!</v>
      </c>
      <c r="Y157" s="1862" t="s">
        <v>21</v>
      </c>
      <c r="Z157" s="1862"/>
      <c r="AA157" s="1854">
        <f>SUM(AA158:AA159)</f>
        <v>210600000</v>
      </c>
      <c r="AB157" s="1874"/>
      <c r="AC157" s="1854"/>
      <c r="AD157" s="1875"/>
      <c r="AE157" s="1854"/>
      <c r="AF157" s="1875"/>
      <c r="AG157" s="1854" t="e">
        <f>#REF!-#REF!</f>
        <v>#REF!</v>
      </c>
      <c r="AH157" s="1874" t="s">
        <v>21</v>
      </c>
      <c r="AI157" s="3178" t="s">
        <v>21</v>
      </c>
      <c r="AJ157" s="3178" t="s">
        <v>21</v>
      </c>
      <c r="AK157" s="1778" t="s">
        <v>21</v>
      </c>
      <c r="AL157" s="1778" t="s">
        <v>21</v>
      </c>
      <c r="AM157" s="1874" t="s">
        <v>21</v>
      </c>
      <c r="AN157" s="1907" t="s">
        <v>21</v>
      </c>
      <c r="AO157" s="1907" t="s">
        <v>21</v>
      </c>
      <c r="AP157" s="1778"/>
      <c r="AQ157" s="1778"/>
      <c r="AR157" s="1778"/>
      <c r="AS157" s="1778"/>
      <c r="AT157" s="1934">
        <f>SUM(AT158:AT159)</f>
        <v>210600000</v>
      </c>
      <c r="AU157" s="1934"/>
      <c r="AV157" s="1935" t="s">
        <v>21</v>
      </c>
      <c r="AW157" s="1862"/>
      <c r="AX157" s="3178" t="s">
        <v>21</v>
      </c>
      <c r="AY157" s="1862"/>
      <c r="AZ157" s="1853" t="s">
        <v>913</v>
      </c>
      <c r="BA157" s="1853"/>
      <c r="BB157" s="3155" t="s">
        <v>924</v>
      </c>
      <c r="BC157" s="1966"/>
      <c r="BD157" s="2170"/>
    </row>
    <row r="158" spans="1:58" s="1735" customFormat="1" ht="20.100000000000001" customHeight="1">
      <c r="A158" s="1784">
        <v>28</v>
      </c>
      <c r="B158" s="1785"/>
      <c r="C158" s="1786"/>
      <c r="D158" s="1787" t="s">
        <v>17</v>
      </c>
      <c r="E158" s="1786">
        <v>7</v>
      </c>
      <c r="F158" s="1787" t="s">
        <v>311</v>
      </c>
      <c r="G158" s="1788"/>
      <c r="H158" s="1787" t="s">
        <v>315</v>
      </c>
      <c r="I158" s="1790" t="s">
        <v>23</v>
      </c>
      <c r="J158" s="1787" t="s">
        <v>314</v>
      </c>
      <c r="K158" s="1825">
        <v>2</v>
      </c>
      <c r="L158" s="1837" t="s">
        <v>925</v>
      </c>
      <c r="M158" s="1785">
        <v>1</v>
      </c>
      <c r="N158" s="1786">
        <v>1</v>
      </c>
      <c r="O158" s="1786">
        <v>2</v>
      </c>
      <c r="P158" s="1829">
        <v>1</v>
      </c>
      <c r="Q158" s="1790">
        <v>1</v>
      </c>
      <c r="R158" s="1790">
        <v>1</v>
      </c>
      <c r="S158" s="1790">
        <v>93</v>
      </c>
      <c r="T158" s="1855">
        <v>6600000</v>
      </c>
      <c r="U158" s="1855">
        <v>6600000</v>
      </c>
      <c r="V158" s="1855">
        <v>600000</v>
      </c>
      <c r="W158" s="1855">
        <v>0</v>
      </c>
      <c r="X158" s="1855" t="e">
        <f>+#REF!+#REF!+#REF!</f>
        <v>#REF!</v>
      </c>
      <c r="Y158" s="1876" t="s">
        <v>55</v>
      </c>
      <c r="Z158" s="1879" t="s">
        <v>565</v>
      </c>
      <c r="AA158" s="1855">
        <v>6600000</v>
      </c>
      <c r="AB158" s="1877">
        <v>1</v>
      </c>
      <c r="AC158" s="1855">
        <v>6570000</v>
      </c>
      <c r="AD158" s="1878">
        <v>5364345.07</v>
      </c>
      <c r="AE158" s="1855"/>
      <c r="AF158" s="1878" t="e">
        <f>#REF!-#REF!</f>
        <v>#REF!</v>
      </c>
      <c r="AG158" s="1855">
        <v>0</v>
      </c>
      <c r="AH158" s="1877">
        <v>2015</v>
      </c>
      <c r="AI158" s="3132" t="s">
        <v>926</v>
      </c>
      <c r="AJ158" s="3198" t="s">
        <v>328</v>
      </c>
      <c r="AK158" s="1912" t="s">
        <v>329</v>
      </c>
      <c r="AL158" s="1912" t="s">
        <v>330</v>
      </c>
      <c r="AM158" s="1882">
        <v>2015</v>
      </c>
      <c r="AN158" s="1919" t="s">
        <v>568</v>
      </c>
      <c r="AO158" s="3217" t="s">
        <v>645</v>
      </c>
      <c r="AP158" s="1912" t="s">
        <v>570</v>
      </c>
      <c r="AQ158" s="1912"/>
      <c r="AR158" s="1912" t="s">
        <v>1289</v>
      </c>
      <c r="AS158" s="2145" t="s">
        <v>927</v>
      </c>
      <c r="AT158" s="634">
        <v>6600000</v>
      </c>
      <c r="AU158" s="635">
        <v>5364345.07</v>
      </c>
      <c r="AV158" s="636" t="s">
        <v>55</v>
      </c>
      <c r="AW158" s="2264">
        <v>0</v>
      </c>
      <c r="AX158" s="3198" t="s">
        <v>21</v>
      </c>
      <c r="AY158" s="1879" t="s">
        <v>565</v>
      </c>
      <c r="AZ158" s="91" t="s">
        <v>913</v>
      </c>
      <c r="BA158" s="91"/>
      <c r="BB158" s="2149" t="s">
        <v>928</v>
      </c>
      <c r="BC158" s="1973">
        <v>2015</v>
      </c>
      <c r="BD158" s="2170"/>
    </row>
    <row r="159" spans="1:58" s="1735" customFormat="1" ht="20.100000000000001" hidden="1" customHeight="1">
      <c r="A159" s="2189">
        <v>106</v>
      </c>
      <c r="B159" s="1786"/>
      <c r="C159" s="1786"/>
      <c r="D159" s="1787" t="s">
        <v>17</v>
      </c>
      <c r="E159" s="1786">
        <v>7</v>
      </c>
      <c r="F159" s="1787" t="s">
        <v>311</v>
      </c>
      <c r="G159" s="1788"/>
      <c r="H159" s="1787" t="s">
        <v>315</v>
      </c>
      <c r="I159" s="1790" t="s">
        <v>23</v>
      </c>
      <c r="J159" s="1787" t="s">
        <v>314</v>
      </c>
      <c r="K159" s="1786">
        <v>2</v>
      </c>
      <c r="L159" s="2195" t="s">
        <v>929</v>
      </c>
      <c r="M159" s="1786">
        <v>1</v>
      </c>
      <c r="N159" s="1786">
        <v>1</v>
      </c>
      <c r="O159" s="1786">
        <v>2</v>
      </c>
      <c r="P159" s="1829">
        <v>1</v>
      </c>
      <c r="Q159" s="1790">
        <v>1</v>
      </c>
      <c r="R159" s="1790">
        <v>1</v>
      </c>
      <c r="S159" s="1790">
        <v>94</v>
      </c>
      <c r="T159" s="1855">
        <v>204000000</v>
      </c>
      <c r="U159" s="1855">
        <v>204000000</v>
      </c>
      <c r="V159" s="1855">
        <v>42000000</v>
      </c>
      <c r="W159" s="1855">
        <v>0</v>
      </c>
      <c r="X159" s="1855" t="e">
        <f>+#REF!+#REF!+#REF!</f>
        <v>#REF!</v>
      </c>
      <c r="Y159" s="1876" t="s">
        <v>55</v>
      </c>
      <c r="Z159" s="1879" t="s">
        <v>565</v>
      </c>
      <c r="AA159" s="1855">
        <v>204000000</v>
      </c>
      <c r="AB159" s="1877">
        <v>0</v>
      </c>
      <c r="AC159" s="1855"/>
      <c r="AD159" s="1878"/>
      <c r="AE159" s="1855"/>
      <c r="AF159" s="1878"/>
      <c r="AG159" s="1855">
        <v>0</v>
      </c>
      <c r="AH159" s="1877">
        <v>2015</v>
      </c>
      <c r="AI159" s="3198" t="s">
        <v>21</v>
      </c>
      <c r="AJ159" s="3198" t="s">
        <v>21</v>
      </c>
      <c r="AK159" s="3198" t="s">
        <v>21</v>
      </c>
      <c r="AL159" s="3198" t="s">
        <v>21</v>
      </c>
      <c r="AM159" s="1882"/>
      <c r="AN159" s="3217" t="s">
        <v>603</v>
      </c>
      <c r="AO159" s="3217" t="s">
        <v>603</v>
      </c>
      <c r="AP159" s="1912" t="s">
        <v>570</v>
      </c>
      <c r="AQ159" s="1912"/>
      <c r="AR159" s="1912" t="s">
        <v>1292</v>
      </c>
      <c r="AS159" s="3215" t="s">
        <v>571</v>
      </c>
      <c r="AT159" s="2239">
        <v>204000000</v>
      </c>
      <c r="AU159" s="2239"/>
      <c r="AV159" s="2246" t="s">
        <v>55</v>
      </c>
      <c r="AW159" s="1876" t="e">
        <f>#REF!</f>
        <v>#REF!</v>
      </c>
      <c r="AX159" s="3216" t="s">
        <v>21</v>
      </c>
      <c r="AY159" s="1879" t="s">
        <v>565</v>
      </c>
      <c r="AZ159" s="1970" t="s">
        <v>913</v>
      </c>
      <c r="BA159" s="1970"/>
      <c r="BB159" s="3177" t="s">
        <v>930</v>
      </c>
      <c r="BC159" s="2150"/>
      <c r="BD159" s="2170"/>
    </row>
    <row r="160" spans="1:58" s="1735" customFormat="1" ht="20.100000000000001" hidden="1" customHeight="1">
      <c r="A160" s="1792">
        <v>107</v>
      </c>
      <c r="B160" s="1790"/>
      <c r="C160" s="1790"/>
      <c r="D160" s="1791" t="s">
        <v>17</v>
      </c>
      <c r="E160" s="1790">
        <v>7</v>
      </c>
      <c r="F160" s="1791" t="s">
        <v>311</v>
      </c>
      <c r="G160" s="1788"/>
      <c r="H160" s="1791" t="s">
        <v>315</v>
      </c>
      <c r="I160" s="1790" t="s">
        <v>23</v>
      </c>
      <c r="J160" s="1791" t="s">
        <v>314</v>
      </c>
      <c r="K160" s="1790">
        <v>3</v>
      </c>
      <c r="L160" s="1791" t="s">
        <v>332</v>
      </c>
      <c r="M160" s="1790">
        <v>1</v>
      </c>
      <c r="N160" s="1790">
        <v>1</v>
      </c>
      <c r="O160" s="1790">
        <v>0</v>
      </c>
      <c r="P160" s="1829">
        <v>1</v>
      </c>
      <c r="Q160" s="1790">
        <v>1</v>
      </c>
      <c r="R160" s="1790">
        <v>1</v>
      </c>
      <c r="S160" s="1790">
        <v>95</v>
      </c>
      <c r="T160" s="1856">
        <v>280000000</v>
      </c>
      <c r="U160" s="1856">
        <v>280000000</v>
      </c>
      <c r="V160" s="1856">
        <v>20000000</v>
      </c>
      <c r="W160" s="1856">
        <v>0</v>
      </c>
      <c r="X160" s="1856">
        <f t="shared" ref="X160:X165" si="15">T160+V160+W160</f>
        <v>300000000</v>
      </c>
      <c r="Y160" s="1879" t="s">
        <v>91</v>
      </c>
      <c r="Z160" s="1879" t="s">
        <v>565</v>
      </c>
      <c r="AA160" s="1856">
        <f>T160</f>
        <v>280000000</v>
      </c>
      <c r="AB160" s="1880"/>
      <c r="AC160" s="1856"/>
      <c r="AD160" s="1881"/>
      <c r="AE160" s="1856"/>
      <c r="AF160" s="1881"/>
      <c r="AG160" s="1856">
        <v>0</v>
      </c>
      <c r="AH160" s="1880">
        <v>2016</v>
      </c>
      <c r="AI160" s="3137" t="s">
        <v>21</v>
      </c>
      <c r="AJ160" s="1788" t="s">
        <v>333</v>
      </c>
      <c r="AK160" s="1788" t="s">
        <v>334</v>
      </c>
      <c r="AL160" s="2011" t="s">
        <v>294</v>
      </c>
      <c r="AM160" s="1880"/>
      <c r="AN160" s="2225" t="s">
        <v>702</v>
      </c>
      <c r="AO160" s="1919" t="s">
        <v>729</v>
      </c>
      <c r="AP160" s="1912" t="s">
        <v>570</v>
      </c>
      <c r="AQ160" s="1912"/>
      <c r="AR160" s="1788" t="s">
        <v>1283</v>
      </c>
      <c r="AS160" s="3132" t="s">
        <v>931</v>
      </c>
      <c r="AT160" s="1856">
        <v>280000000</v>
      </c>
      <c r="AU160" s="1856"/>
      <c r="AV160" s="1879" t="s">
        <v>91</v>
      </c>
      <c r="AW160" s="1876" t="e">
        <f>#REF!</f>
        <v>#REF!</v>
      </c>
      <c r="AX160" s="1778" t="s">
        <v>21</v>
      </c>
      <c r="AY160" s="1879" t="s">
        <v>565</v>
      </c>
      <c r="AZ160" s="3163" t="s">
        <v>932</v>
      </c>
      <c r="BA160" s="1974"/>
      <c r="BB160" s="3177" t="s">
        <v>933</v>
      </c>
      <c r="BC160" s="2150"/>
      <c r="BD160" s="2170"/>
    </row>
    <row r="161" spans="1:56" s="1735" customFormat="1" ht="20.100000000000001" hidden="1" customHeight="1">
      <c r="A161" s="1792">
        <v>108</v>
      </c>
      <c r="B161" s="1790"/>
      <c r="C161" s="1790"/>
      <c r="D161" s="1791" t="s">
        <v>17</v>
      </c>
      <c r="E161" s="1790">
        <v>7</v>
      </c>
      <c r="F161" s="1791" t="s">
        <v>311</v>
      </c>
      <c r="G161" s="1788"/>
      <c r="H161" s="1791" t="s">
        <v>315</v>
      </c>
      <c r="I161" s="1790" t="s">
        <v>23</v>
      </c>
      <c r="J161" s="1791" t="s">
        <v>314</v>
      </c>
      <c r="K161" s="1790">
        <v>4</v>
      </c>
      <c r="L161" s="1791" t="s">
        <v>336</v>
      </c>
      <c r="M161" s="1790">
        <v>1</v>
      </c>
      <c r="N161" s="1790">
        <v>1</v>
      </c>
      <c r="O161" s="1790">
        <v>0</v>
      </c>
      <c r="P161" s="1829">
        <v>1</v>
      </c>
      <c r="Q161" s="1790">
        <v>1</v>
      </c>
      <c r="R161" s="1790">
        <v>1</v>
      </c>
      <c r="S161" s="1790">
        <v>96</v>
      </c>
      <c r="T161" s="1856">
        <v>104000000</v>
      </c>
      <c r="U161" s="1856">
        <v>104000000</v>
      </c>
      <c r="V161" s="1856">
        <v>18000000</v>
      </c>
      <c r="W161" s="1856">
        <v>0</v>
      </c>
      <c r="X161" s="1856">
        <f t="shared" si="15"/>
        <v>122000000</v>
      </c>
      <c r="Y161" s="1879" t="s">
        <v>55</v>
      </c>
      <c r="Z161" s="1879" t="s">
        <v>565</v>
      </c>
      <c r="AA161" s="1856">
        <f>T161</f>
        <v>104000000</v>
      </c>
      <c r="AB161" s="1880"/>
      <c r="AC161" s="1856"/>
      <c r="AD161" s="1881"/>
      <c r="AE161" s="1856"/>
      <c r="AF161" s="1881"/>
      <c r="AG161" s="1856">
        <v>0</v>
      </c>
      <c r="AH161" s="1880">
        <v>2018</v>
      </c>
      <c r="AI161" s="3137" t="s">
        <v>21</v>
      </c>
      <c r="AJ161" s="1788" t="s">
        <v>337</v>
      </c>
      <c r="AK161" s="2229">
        <v>0.63</v>
      </c>
      <c r="AL161" s="3137" t="s">
        <v>338</v>
      </c>
      <c r="AM161" s="1882"/>
      <c r="AN161" s="1919" t="s">
        <v>608</v>
      </c>
      <c r="AO161" s="3186" t="s">
        <v>934</v>
      </c>
      <c r="AP161" s="1912" t="s">
        <v>570</v>
      </c>
      <c r="AQ161" s="1912"/>
      <c r="AR161" s="1912" t="s">
        <v>1292</v>
      </c>
      <c r="AS161" s="3209" t="s">
        <v>571</v>
      </c>
      <c r="AT161" s="1856">
        <v>104000000</v>
      </c>
      <c r="AU161" s="1856"/>
      <c r="AV161" s="1879" t="s">
        <v>55</v>
      </c>
      <c r="AW161" s="1876" t="e">
        <f>#REF!</f>
        <v>#REF!</v>
      </c>
      <c r="AX161" s="1912" t="s">
        <v>21</v>
      </c>
      <c r="AY161" s="1879" t="s">
        <v>565</v>
      </c>
      <c r="AZ161" s="3161" t="s">
        <v>935</v>
      </c>
      <c r="BA161" s="91"/>
      <c r="BB161" s="2149" t="s">
        <v>936</v>
      </c>
      <c r="BC161" s="2150"/>
      <c r="BD161" s="2170"/>
    </row>
    <row r="162" spans="1:56" s="1735" customFormat="1" ht="20.100000000000001" hidden="1" customHeight="1">
      <c r="A162" s="1792">
        <v>109</v>
      </c>
      <c r="B162" s="1790"/>
      <c r="C162" s="1790"/>
      <c r="D162" s="1791" t="s">
        <v>17</v>
      </c>
      <c r="E162" s="1790">
        <v>7</v>
      </c>
      <c r="F162" s="1791" t="s">
        <v>311</v>
      </c>
      <c r="G162" s="1788"/>
      <c r="H162" s="1791" t="s">
        <v>315</v>
      </c>
      <c r="I162" s="1790" t="s">
        <v>23</v>
      </c>
      <c r="J162" s="1791" t="s">
        <v>314</v>
      </c>
      <c r="K162" s="1790">
        <v>5</v>
      </c>
      <c r="L162" s="1791" t="s">
        <v>340</v>
      </c>
      <c r="M162" s="1790">
        <v>1</v>
      </c>
      <c r="N162" s="1790">
        <v>1</v>
      </c>
      <c r="O162" s="1790">
        <v>0</v>
      </c>
      <c r="P162" s="1829">
        <v>1</v>
      </c>
      <c r="Q162" s="1790">
        <v>1</v>
      </c>
      <c r="R162" s="1790">
        <v>1</v>
      </c>
      <c r="S162" s="1790">
        <v>97</v>
      </c>
      <c r="T162" s="1856">
        <v>1845000000</v>
      </c>
      <c r="U162" s="1856">
        <v>1845000000</v>
      </c>
      <c r="V162" s="1856">
        <v>333000000</v>
      </c>
      <c r="W162" s="1856">
        <v>0</v>
      </c>
      <c r="X162" s="1856">
        <f t="shared" si="15"/>
        <v>2178000000</v>
      </c>
      <c r="Y162" s="1879" t="s">
        <v>55</v>
      </c>
      <c r="Z162" s="1879" t="s">
        <v>565</v>
      </c>
      <c r="AA162" s="1856">
        <f>T162</f>
        <v>1845000000</v>
      </c>
      <c r="AB162" s="1880"/>
      <c r="AC162" s="1856"/>
      <c r="AD162" s="1881"/>
      <c r="AE162" s="1856"/>
      <c r="AF162" s="1881"/>
      <c r="AG162" s="1856">
        <v>0</v>
      </c>
      <c r="AH162" s="1880">
        <v>2017</v>
      </c>
      <c r="AI162" s="3137" t="s">
        <v>21</v>
      </c>
      <c r="AJ162" s="91" t="s">
        <v>71</v>
      </c>
      <c r="AK162" s="1788" t="s">
        <v>341</v>
      </c>
      <c r="AL162" s="91" t="s">
        <v>342</v>
      </c>
      <c r="AM162" s="1882"/>
      <c r="AN162" s="1907" t="s">
        <v>568</v>
      </c>
      <c r="AO162" s="3207" t="s">
        <v>729</v>
      </c>
      <c r="AP162" s="1912" t="s">
        <v>570</v>
      </c>
      <c r="AQ162" s="1912"/>
      <c r="AR162" s="1912" t="s">
        <v>1295</v>
      </c>
      <c r="AS162" s="3209" t="s">
        <v>571</v>
      </c>
      <c r="AT162" s="1856">
        <v>1845000000</v>
      </c>
      <c r="AU162" s="1856"/>
      <c r="AV162" s="1879" t="s">
        <v>55</v>
      </c>
      <c r="AW162" s="1876" t="e">
        <f>#REF!</f>
        <v>#REF!</v>
      </c>
      <c r="AX162" s="1912" t="s">
        <v>21</v>
      </c>
      <c r="AY162" s="1879" t="s">
        <v>565</v>
      </c>
      <c r="AZ162" s="91" t="s">
        <v>913</v>
      </c>
      <c r="BA162" s="91"/>
      <c r="BB162" s="2155" t="s">
        <v>937</v>
      </c>
      <c r="BC162" s="2156"/>
      <c r="BD162" s="2170"/>
    </row>
    <row r="163" spans="1:56" s="1740" customFormat="1" ht="20.100000000000001" hidden="1" customHeight="1">
      <c r="A163" s="1792">
        <v>110</v>
      </c>
      <c r="B163" s="1790"/>
      <c r="C163" s="1790"/>
      <c r="D163" s="1791" t="s">
        <v>17</v>
      </c>
      <c r="E163" s="1790">
        <v>7</v>
      </c>
      <c r="F163" s="1791" t="s">
        <v>311</v>
      </c>
      <c r="G163" s="1788"/>
      <c r="H163" s="1791" t="s">
        <v>315</v>
      </c>
      <c r="I163" s="1790" t="s">
        <v>23</v>
      </c>
      <c r="J163" s="1791" t="s">
        <v>314</v>
      </c>
      <c r="K163" s="1790">
        <v>6</v>
      </c>
      <c r="L163" s="1791" t="s">
        <v>343</v>
      </c>
      <c r="M163" s="1790">
        <v>1</v>
      </c>
      <c r="N163" s="1790">
        <v>1</v>
      </c>
      <c r="O163" s="1790">
        <v>0</v>
      </c>
      <c r="P163" s="1829">
        <v>1</v>
      </c>
      <c r="Q163" s="1790">
        <v>1</v>
      </c>
      <c r="R163" s="1790">
        <v>1</v>
      </c>
      <c r="S163" s="1790">
        <v>98</v>
      </c>
      <c r="T163" s="1856">
        <v>200000000</v>
      </c>
      <c r="U163" s="1856">
        <v>200000000</v>
      </c>
      <c r="V163" s="1856">
        <v>0</v>
      </c>
      <c r="W163" s="1856">
        <v>0</v>
      </c>
      <c r="X163" s="1856">
        <f t="shared" si="15"/>
        <v>200000000</v>
      </c>
      <c r="Y163" s="1879" t="s">
        <v>62</v>
      </c>
      <c r="Z163" s="1879" t="s">
        <v>619</v>
      </c>
      <c r="AA163" s="1856">
        <v>200000000</v>
      </c>
      <c r="AB163" s="1880"/>
      <c r="AC163" s="1856"/>
      <c r="AD163" s="1881"/>
      <c r="AE163" s="1856"/>
      <c r="AF163" s="1881"/>
      <c r="AG163" s="1856">
        <v>0</v>
      </c>
      <c r="AH163" s="1880">
        <v>2017</v>
      </c>
      <c r="AI163" s="3137" t="s">
        <v>21</v>
      </c>
      <c r="AJ163" s="91" t="s">
        <v>71</v>
      </c>
      <c r="AK163" s="2229">
        <v>0.95</v>
      </c>
      <c r="AL163" s="1974" t="s">
        <v>344</v>
      </c>
      <c r="AM163" s="1882"/>
      <c r="AN163" s="1907" t="s">
        <v>568</v>
      </c>
      <c r="AO163" s="1919" t="s">
        <v>938</v>
      </c>
      <c r="AP163" s="1912" t="s">
        <v>570</v>
      </c>
      <c r="AQ163" s="1912"/>
      <c r="AR163" s="1912" t="s">
        <v>1292</v>
      </c>
      <c r="AS163" s="3209" t="s">
        <v>571</v>
      </c>
      <c r="AT163" s="1856">
        <v>200000000</v>
      </c>
      <c r="AU163" s="1856"/>
      <c r="AV163" s="1879" t="s">
        <v>62</v>
      </c>
      <c r="AW163" s="1876" t="e">
        <f>#REF!</f>
        <v>#REF!</v>
      </c>
      <c r="AX163" s="1912" t="s">
        <v>21</v>
      </c>
      <c r="AY163" s="1879" t="s">
        <v>619</v>
      </c>
      <c r="AZ163" s="3163" t="s">
        <v>939</v>
      </c>
      <c r="BA163" s="1974"/>
      <c r="BB163" s="1983" t="s">
        <v>940</v>
      </c>
      <c r="BC163" s="1984"/>
      <c r="BD163" s="2265"/>
    </row>
    <row r="164" spans="1:56" s="1741" customFormat="1" ht="20.100000000000001" hidden="1" customHeight="1">
      <c r="A164" s="1792">
        <v>111</v>
      </c>
      <c r="B164" s="1790"/>
      <c r="C164" s="1790"/>
      <c r="D164" s="1791" t="s">
        <v>17</v>
      </c>
      <c r="E164" s="1790">
        <v>7</v>
      </c>
      <c r="F164" s="1791" t="s">
        <v>311</v>
      </c>
      <c r="G164" s="1788"/>
      <c r="H164" s="1791" t="s">
        <v>315</v>
      </c>
      <c r="I164" s="1790" t="s">
        <v>23</v>
      </c>
      <c r="J164" s="1791" t="s">
        <v>314</v>
      </c>
      <c r="K164" s="1790">
        <v>7</v>
      </c>
      <c r="L164" s="1791" t="s">
        <v>346</v>
      </c>
      <c r="M164" s="1790">
        <v>1</v>
      </c>
      <c r="N164" s="1790">
        <v>1</v>
      </c>
      <c r="O164" s="1790">
        <v>0</v>
      </c>
      <c r="P164" s="1829">
        <v>1</v>
      </c>
      <c r="Q164" s="1790">
        <v>1</v>
      </c>
      <c r="R164" s="1790">
        <v>1</v>
      </c>
      <c r="S164" s="1790">
        <v>99</v>
      </c>
      <c r="T164" s="1856">
        <v>205000000</v>
      </c>
      <c r="U164" s="1856">
        <v>205000000</v>
      </c>
      <c r="V164" s="1856">
        <v>45000000</v>
      </c>
      <c r="W164" s="1856">
        <v>0</v>
      </c>
      <c r="X164" s="1856">
        <f t="shared" si="15"/>
        <v>250000000</v>
      </c>
      <c r="Y164" s="1879" t="s">
        <v>117</v>
      </c>
      <c r="Z164" s="1879" t="s">
        <v>619</v>
      </c>
      <c r="AA164" s="1856">
        <v>205000000</v>
      </c>
      <c r="AB164" s="1880"/>
      <c r="AC164" s="1856"/>
      <c r="AD164" s="1881"/>
      <c r="AE164" s="1856"/>
      <c r="AF164" s="1881"/>
      <c r="AG164" s="1856">
        <f>+AA164-T164</f>
        <v>0</v>
      </c>
      <c r="AH164" s="1880" t="s">
        <v>617</v>
      </c>
      <c r="AI164" s="3137" t="s">
        <v>21</v>
      </c>
      <c r="AJ164" s="91" t="s">
        <v>347</v>
      </c>
      <c r="AK164" s="3137" t="s">
        <v>21</v>
      </c>
      <c r="AL164" s="3137" t="s">
        <v>21</v>
      </c>
      <c r="AM164" s="1882"/>
      <c r="AN164" s="1907" t="s">
        <v>568</v>
      </c>
      <c r="AO164" s="1910" t="s">
        <v>603</v>
      </c>
      <c r="AP164" s="1912" t="s">
        <v>570</v>
      </c>
      <c r="AQ164" s="1912"/>
      <c r="AR164" s="1788" t="s">
        <v>1283</v>
      </c>
      <c r="AS164" s="3209" t="s">
        <v>571</v>
      </c>
      <c r="AT164" s="1856">
        <v>205000000</v>
      </c>
      <c r="AU164" s="1856"/>
      <c r="AV164" s="1879" t="s">
        <v>117</v>
      </c>
      <c r="AW164" s="1876" t="e">
        <f>#REF!</f>
        <v>#REF!</v>
      </c>
      <c r="AX164" s="1912" t="s">
        <v>21</v>
      </c>
      <c r="AY164" s="1879" t="s">
        <v>619</v>
      </c>
      <c r="AZ164" s="3161" t="s">
        <v>941</v>
      </c>
      <c r="BA164" s="91"/>
      <c r="BB164" s="3194" t="s">
        <v>942</v>
      </c>
      <c r="BC164" s="1976"/>
      <c r="BD164" s="2266"/>
    </row>
    <row r="165" spans="1:56" s="1741" customFormat="1" ht="20.100000000000001" hidden="1" customHeight="1">
      <c r="A165" s="1792">
        <v>112</v>
      </c>
      <c r="B165" s="1790"/>
      <c r="C165" s="1790"/>
      <c r="D165" s="1791" t="s">
        <v>17</v>
      </c>
      <c r="E165" s="1790">
        <v>7</v>
      </c>
      <c r="F165" s="1791" t="s">
        <v>311</v>
      </c>
      <c r="G165" s="1788"/>
      <c r="H165" s="1791" t="s">
        <v>315</v>
      </c>
      <c r="I165" s="1790" t="s">
        <v>23</v>
      </c>
      <c r="J165" s="1791" t="s">
        <v>314</v>
      </c>
      <c r="K165" s="1790">
        <v>8</v>
      </c>
      <c r="L165" s="1791" t="s">
        <v>349</v>
      </c>
      <c r="M165" s="1790">
        <v>1</v>
      </c>
      <c r="N165" s="1790">
        <v>1</v>
      </c>
      <c r="O165" s="1790">
        <v>0</v>
      </c>
      <c r="P165" s="1829">
        <v>1</v>
      </c>
      <c r="Q165" s="1790">
        <v>1</v>
      </c>
      <c r="R165" s="1790">
        <v>1</v>
      </c>
      <c r="S165" s="1790">
        <v>100</v>
      </c>
      <c r="T165" s="1856">
        <v>500000000</v>
      </c>
      <c r="U165" s="1856">
        <v>500000000</v>
      </c>
      <c r="V165" s="1856">
        <v>220000000</v>
      </c>
      <c r="W165" s="1856">
        <v>0</v>
      </c>
      <c r="X165" s="1856">
        <f t="shared" si="15"/>
        <v>720000000</v>
      </c>
      <c r="Y165" s="1879" t="s">
        <v>62</v>
      </c>
      <c r="Z165" s="1879" t="s">
        <v>619</v>
      </c>
      <c r="AA165" s="1856">
        <v>500000000</v>
      </c>
      <c r="AB165" s="1880"/>
      <c r="AC165" s="1856"/>
      <c r="AD165" s="1881"/>
      <c r="AE165" s="1856"/>
      <c r="AF165" s="1881"/>
      <c r="AG165" s="1856">
        <v>0</v>
      </c>
      <c r="AH165" s="1880">
        <v>2017</v>
      </c>
      <c r="AI165" s="3137" t="s">
        <v>21</v>
      </c>
      <c r="AJ165" s="91" t="s">
        <v>350</v>
      </c>
      <c r="AK165" s="3137" t="s">
        <v>21</v>
      </c>
      <c r="AL165" s="3137" t="s">
        <v>21</v>
      </c>
      <c r="AM165" s="1882"/>
      <c r="AN165" s="3186" t="s">
        <v>608</v>
      </c>
      <c r="AO165" s="1910" t="s">
        <v>603</v>
      </c>
      <c r="AP165" s="1912" t="s">
        <v>570</v>
      </c>
      <c r="AQ165" s="1912"/>
      <c r="AR165" s="1912" t="s">
        <v>1292</v>
      </c>
      <c r="AS165" s="3209" t="s">
        <v>571</v>
      </c>
      <c r="AT165" s="1856">
        <v>500000000</v>
      </c>
      <c r="AU165" s="1856"/>
      <c r="AV165" s="1879" t="s">
        <v>62</v>
      </c>
      <c r="AW165" s="1876" t="e">
        <f>#REF!</f>
        <v>#REF!</v>
      </c>
      <c r="AX165" s="1912" t="s">
        <v>21</v>
      </c>
      <c r="AY165" s="1879" t="s">
        <v>619</v>
      </c>
      <c r="AZ165" s="3161" t="s">
        <v>943</v>
      </c>
      <c r="BA165" s="91"/>
      <c r="BB165" s="3194" t="s">
        <v>944</v>
      </c>
      <c r="BC165" s="1976"/>
      <c r="BD165" s="2266"/>
    </row>
    <row r="166" spans="1:56" s="1741" customFormat="1" ht="20.100000000000001" hidden="1" customHeight="1">
      <c r="A166" s="2018"/>
      <c r="B166" s="1790"/>
      <c r="C166" s="1790"/>
      <c r="D166" s="1791" t="s">
        <v>17</v>
      </c>
      <c r="E166" s="1790"/>
      <c r="F166" s="1791" t="s">
        <v>426</v>
      </c>
      <c r="G166" s="1788"/>
      <c r="H166" s="1791" t="s">
        <v>315</v>
      </c>
      <c r="I166" s="1790"/>
      <c r="J166" s="1791" t="s">
        <v>314</v>
      </c>
      <c r="K166" s="1791"/>
      <c r="L166" s="1791" t="s">
        <v>945</v>
      </c>
      <c r="M166" s="1790">
        <v>1</v>
      </c>
      <c r="N166" s="1790"/>
      <c r="O166" s="1790"/>
      <c r="P166" s="1829"/>
      <c r="Q166" s="1790"/>
      <c r="R166" s="1790"/>
      <c r="S166" s="1790"/>
      <c r="T166" s="1856">
        <v>0</v>
      </c>
      <c r="U166" s="77">
        <v>61600000</v>
      </c>
      <c r="V166" s="1603">
        <v>106510000</v>
      </c>
      <c r="W166" s="2204">
        <v>7700000</v>
      </c>
      <c r="X166" s="2067" t="e">
        <f>#REF!+#REF!+#REF!</f>
        <v>#REF!</v>
      </c>
      <c r="Y166" s="2067" t="s">
        <v>633</v>
      </c>
      <c r="Z166" s="1879" t="s">
        <v>633</v>
      </c>
      <c r="AA166" s="2094" t="e">
        <f>#REF!</f>
        <v>#REF!</v>
      </c>
      <c r="AB166" s="1880"/>
      <c r="AC166" s="1680"/>
      <c r="AD166" s="2074"/>
      <c r="AE166" s="2075"/>
      <c r="AF166" s="2074"/>
      <c r="AG166" s="1856"/>
      <c r="AH166" s="1880"/>
      <c r="AI166" s="2102"/>
      <c r="AJ166" s="2011"/>
      <c r="AK166" s="2011"/>
      <c r="AL166" s="2011"/>
      <c r="AM166" s="1882"/>
      <c r="AN166" s="1925"/>
      <c r="AO166" s="1925"/>
      <c r="AP166" s="2011"/>
      <c r="AQ166" s="1912"/>
      <c r="AR166" s="2143" t="s">
        <v>1292</v>
      </c>
      <c r="AS166" s="2143"/>
      <c r="AT166" s="2143">
        <v>61600000</v>
      </c>
      <c r="AU166" s="2143"/>
      <c r="AV166" s="2084" t="s">
        <v>91</v>
      </c>
      <c r="AW166" s="1876" t="e">
        <f>#REF!</f>
        <v>#REF!</v>
      </c>
      <c r="AX166" s="2143"/>
      <c r="AY166" s="2182"/>
      <c r="AZ166" s="260"/>
      <c r="BA166" s="91"/>
      <c r="BB166" s="2149"/>
      <c r="BC166" s="2150"/>
      <c r="BD166" s="2266"/>
    </row>
    <row r="167" spans="1:56" s="1741" customFormat="1" ht="20.100000000000001" hidden="1" customHeight="1">
      <c r="A167" s="2018"/>
      <c r="B167" s="1790"/>
      <c r="C167" s="1790"/>
      <c r="D167" s="1791" t="s">
        <v>17</v>
      </c>
      <c r="E167" s="1790"/>
      <c r="F167" s="1791" t="s">
        <v>946</v>
      </c>
      <c r="G167" s="1788"/>
      <c r="H167" s="1791" t="s">
        <v>947</v>
      </c>
      <c r="I167" s="1790"/>
      <c r="J167" s="1791" t="s">
        <v>948</v>
      </c>
      <c r="K167" s="1791"/>
      <c r="L167" s="1791" t="s">
        <v>949</v>
      </c>
      <c r="M167" s="1790">
        <v>1</v>
      </c>
      <c r="N167" s="1790"/>
      <c r="O167" s="1790"/>
      <c r="P167" s="1829"/>
      <c r="Q167" s="1790"/>
      <c r="R167" s="1790"/>
      <c r="S167" s="1790"/>
      <c r="T167" s="1856">
        <v>0</v>
      </c>
      <c r="U167" s="77">
        <v>225000000</v>
      </c>
      <c r="V167" s="1603">
        <v>0</v>
      </c>
      <c r="W167" s="2204">
        <v>0</v>
      </c>
      <c r="X167" s="2067" t="e">
        <f>#REF!+#REF!+#REF!</f>
        <v>#REF!</v>
      </c>
      <c r="Y167" s="2212" t="s">
        <v>633</v>
      </c>
      <c r="Z167" s="2084" t="s">
        <v>633</v>
      </c>
      <c r="AA167" s="2094" t="e">
        <f>#REF!</f>
        <v>#REF!</v>
      </c>
      <c r="AB167" s="1880"/>
      <c r="AC167" s="1680"/>
      <c r="AD167" s="2074"/>
      <c r="AE167" s="2075"/>
      <c r="AF167" s="2074"/>
      <c r="AG167" s="1856"/>
      <c r="AH167" s="1880"/>
      <c r="AI167" s="2102"/>
      <c r="AJ167" s="2011"/>
      <c r="AK167" s="2011"/>
      <c r="AL167" s="2011"/>
      <c r="AM167" s="1882"/>
      <c r="AN167" s="1925"/>
      <c r="AO167" s="1925"/>
      <c r="AP167" s="2011"/>
      <c r="AQ167" s="1912"/>
      <c r="AR167" s="2143" t="s">
        <v>1283</v>
      </c>
      <c r="AS167" s="2143"/>
      <c r="AT167" s="2143">
        <v>225000000</v>
      </c>
      <c r="AU167" s="2143"/>
      <c r="AV167" s="2084" t="s">
        <v>633</v>
      </c>
      <c r="AW167" s="1876" t="e">
        <f>#REF!</f>
        <v>#REF!</v>
      </c>
      <c r="AX167" s="2143"/>
      <c r="AY167" s="2182"/>
      <c r="AZ167" s="260"/>
      <c r="BA167" s="91"/>
      <c r="BB167" s="2149"/>
      <c r="BC167" s="2150"/>
      <c r="BD167" s="2266"/>
    </row>
    <row r="168" spans="1:56" s="1742" customFormat="1" ht="20.100000000000001" hidden="1" customHeight="1">
      <c r="A168" s="2036"/>
      <c r="B168" s="2028"/>
      <c r="C168" s="2028"/>
      <c r="D168" s="2029" t="s">
        <v>17</v>
      </c>
      <c r="E168" s="2028"/>
      <c r="F168" s="2029" t="s">
        <v>950</v>
      </c>
      <c r="G168" s="2030"/>
      <c r="H168" s="2029" t="s">
        <v>951</v>
      </c>
      <c r="I168" s="2028"/>
      <c r="J168" s="2029" t="s">
        <v>952</v>
      </c>
      <c r="K168" s="2029"/>
      <c r="L168" s="2196" t="s">
        <v>953</v>
      </c>
      <c r="M168" s="2036">
        <v>0</v>
      </c>
      <c r="N168" s="2028"/>
      <c r="O168" s="2028"/>
      <c r="P168" s="2045"/>
      <c r="Q168" s="2028"/>
      <c r="R168" s="2028"/>
      <c r="S168" s="2028"/>
      <c r="T168" s="2065">
        <v>0</v>
      </c>
      <c r="U168" s="1997">
        <v>300000000</v>
      </c>
      <c r="V168" s="2206">
        <v>0</v>
      </c>
      <c r="W168" s="2207">
        <v>0</v>
      </c>
      <c r="X168" s="2066" t="e">
        <f>#REF!+#REF!+#REF!</f>
        <v>#REF!</v>
      </c>
      <c r="Y168" s="2066"/>
      <c r="Z168" s="2081"/>
      <c r="AA168" s="2081"/>
      <c r="AB168" s="2082"/>
      <c r="AC168" s="2087"/>
      <c r="AD168" s="2088"/>
      <c r="AE168" s="2089"/>
      <c r="AF168" s="2088"/>
      <c r="AG168" s="2065"/>
      <c r="AH168" s="2082"/>
      <c r="AI168" s="2113"/>
      <c r="AJ168" s="2113"/>
      <c r="AK168" s="2113"/>
      <c r="AL168" s="2113"/>
      <c r="AM168" s="2110" t="s">
        <v>622</v>
      </c>
      <c r="AN168" s="2113"/>
      <c r="AO168" s="2113"/>
      <c r="AP168" s="2113" t="s">
        <v>21</v>
      </c>
      <c r="AQ168" s="2247"/>
      <c r="AR168" s="2248"/>
      <c r="AS168" s="3218" t="s">
        <v>21</v>
      </c>
      <c r="AT168" s="2248"/>
      <c r="AU168" s="2248"/>
      <c r="AV168" s="2247" t="s">
        <v>21</v>
      </c>
      <c r="AW168" s="2248"/>
      <c r="AX168" s="2248"/>
      <c r="AY168" s="2267"/>
      <c r="AZ168" s="2177"/>
      <c r="BA168" s="1997"/>
      <c r="BB168" s="2173"/>
      <c r="BC168" s="2174"/>
      <c r="BD168" s="2268"/>
    </row>
    <row r="169" spans="1:56" s="1743" customFormat="1" ht="20.100000000000001" hidden="1" customHeight="1">
      <c r="A169" s="1772"/>
      <c r="B169" s="1773"/>
      <c r="C169" s="1773"/>
      <c r="D169" s="1774" t="s">
        <v>17</v>
      </c>
      <c r="E169" s="1773"/>
      <c r="F169" s="1774" t="s">
        <v>950</v>
      </c>
      <c r="G169" s="1908"/>
      <c r="H169" s="1774" t="s">
        <v>951</v>
      </c>
      <c r="I169" s="1773"/>
      <c r="J169" s="1774" t="s">
        <v>952</v>
      </c>
      <c r="K169" s="1774"/>
      <c r="L169" s="2197" t="s">
        <v>953</v>
      </c>
      <c r="M169" s="1772">
        <v>0.5</v>
      </c>
      <c r="N169" s="1773"/>
      <c r="O169" s="1773"/>
      <c r="P169" s="1822"/>
      <c r="Q169" s="1773"/>
      <c r="R169" s="1773"/>
      <c r="S169" s="1773"/>
      <c r="T169" s="1852">
        <v>0</v>
      </c>
      <c r="U169" s="1851">
        <v>300000000</v>
      </c>
      <c r="V169" s="2208">
        <v>0</v>
      </c>
      <c r="W169" s="2209">
        <v>0</v>
      </c>
      <c r="X169" s="1898" t="e">
        <f>#REF!+#REF!+#REF!</f>
        <v>#REF!</v>
      </c>
      <c r="Y169" s="1898"/>
      <c r="Z169" s="1863"/>
      <c r="AA169" s="1863"/>
      <c r="AB169" s="1872"/>
      <c r="AC169" s="2214"/>
      <c r="AD169" s="2215"/>
      <c r="AE169" s="2216"/>
      <c r="AF169" s="2215"/>
      <c r="AG169" s="1852"/>
      <c r="AH169" s="1872"/>
      <c r="AI169" s="2230"/>
      <c r="AJ169" s="2230"/>
      <c r="AK169" s="2230"/>
      <c r="AL169" s="2230"/>
      <c r="AM169" s="2052" t="s">
        <v>622</v>
      </c>
      <c r="AN169" s="2230"/>
      <c r="AO169" s="2230"/>
      <c r="AP169" s="2230" t="s">
        <v>21</v>
      </c>
      <c r="AQ169" s="1908"/>
      <c r="AR169" s="2249" t="s">
        <v>1291</v>
      </c>
      <c r="AS169" s="3220" t="s">
        <v>21</v>
      </c>
      <c r="AT169" s="2249">
        <v>200000000</v>
      </c>
      <c r="AU169" s="2249"/>
      <c r="AV169" s="1863" t="s">
        <v>62</v>
      </c>
      <c r="AW169" s="2214" t="e">
        <f>#REF!</f>
        <v>#REF!</v>
      </c>
      <c r="AX169" s="2249"/>
      <c r="AY169" s="2269"/>
      <c r="AZ169" s="2270"/>
      <c r="BA169" s="1851"/>
      <c r="BB169" s="1962"/>
      <c r="BC169" s="1963"/>
      <c r="BD169" s="2271"/>
    </row>
    <row r="170" spans="1:56" s="1743" customFormat="1" ht="20.100000000000001" hidden="1" customHeight="1">
      <c r="A170" s="1772"/>
      <c r="B170" s="1773"/>
      <c r="C170" s="1773"/>
      <c r="D170" s="1774" t="s">
        <v>17</v>
      </c>
      <c r="E170" s="1773"/>
      <c r="F170" s="1774" t="s">
        <v>950</v>
      </c>
      <c r="G170" s="1908"/>
      <c r="H170" s="1774" t="s">
        <v>951</v>
      </c>
      <c r="I170" s="1773"/>
      <c r="J170" s="1774" t="s">
        <v>952</v>
      </c>
      <c r="K170" s="1774"/>
      <c r="L170" s="2197" t="s">
        <v>953</v>
      </c>
      <c r="M170" s="1772">
        <v>0.5</v>
      </c>
      <c r="N170" s="1773"/>
      <c r="O170" s="1773"/>
      <c r="P170" s="1822"/>
      <c r="Q170" s="1773"/>
      <c r="R170" s="1773"/>
      <c r="S170" s="1773"/>
      <c r="T170" s="1852">
        <v>0</v>
      </c>
      <c r="U170" s="1851">
        <v>300000000</v>
      </c>
      <c r="V170" s="2208">
        <v>0</v>
      </c>
      <c r="W170" s="2209">
        <v>0</v>
      </c>
      <c r="X170" s="1898" t="e">
        <f>#REF!+#REF!+#REF!</f>
        <v>#REF!</v>
      </c>
      <c r="Y170" s="1898"/>
      <c r="Z170" s="1863"/>
      <c r="AA170" s="1863"/>
      <c r="AB170" s="1872"/>
      <c r="AC170" s="2214"/>
      <c r="AD170" s="2215"/>
      <c r="AE170" s="2216"/>
      <c r="AF170" s="2215"/>
      <c r="AG170" s="1852"/>
      <c r="AH170" s="1872"/>
      <c r="AI170" s="2230"/>
      <c r="AJ170" s="2230"/>
      <c r="AK170" s="2230"/>
      <c r="AL170" s="2230"/>
      <c r="AM170" s="2052" t="s">
        <v>622</v>
      </c>
      <c r="AN170" s="2230"/>
      <c r="AO170" s="2230"/>
      <c r="AP170" s="2230" t="s">
        <v>21</v>
      </c>
      <c r="AQ170" s="1908"/>
      <c r="AR170" s="2249" t="s">
        <v>1291</v>
      </c>
      <c r="AS170" s="3220" t="s">
        <v>21</v>
      </c>
      <c r="AT170" s="2249">
        <v>100000000</v>
      </c>
      <c r="AU170" s="2249"/>
      <c r="AV170" s="1863" t="s">
        <v>117</v>
      </c>
      <c r="AW170" s="2214" t="e">
        <f>#REF!</f>
        <v>#REF!</v>
      </c>
      <c r="AX170" s="2249"/>
      <c r="AY170" s="2269"/>
      <c r="AZ170" s="2270"/>
      <c r="BA170" s="1851"/>
      <c r="BB170" s="1962"/>
      <c r="BC170" s="1963"/>
      <c r="BD170" s="2271"/>
    </row>
    <row r="171" spans="1:56" s="1744" customFormat="1" ht="25.5" hidden="1">
      <c r="A171" s="2036"/>
      <c r="B171" s="2028"/>
      <c r="C171" s="2028"/>
      <c r="D171" s="2029" t="s">
        <v>17</v>
      </c>
      <c r="E171" s="2028"/>
      <c r="F171" s="2029" t="s">
        <v>950</v>
      </c>
      <c r="G171" s="2030"/>
      <c r="H171" s="2029" t="s">
        <v>951</v>
      </c>
      <c r="I171" s="2028"/>
      <c r="J171" s="2029" t="s">
        <v>952</v>
      </c>
      <c r="K171" s="2029"/>
      <c r="L171" s="2198" t="s">
        <v>956</v>
      </c>
      <c r="M171" s="2036">
        <v>0</v>
      </c>
      <c r="N171" s="2028"/>
      <c r="O171" s="2028"/>
      <c r="P171" s="2045"/>
      <c r="Q171" s="2028"/>
      <c r="R171" s="2028"/>
      <c r="S171" s="2028"/>
      <c r="T171" s="2065">
        <v>0</v>
      </c>
      <c r="U171" s="1997">
        <v>500000000</v>
      </c>
      <c r="V171" s="2206">
        <v>0</v>
      </c>
      <c r="W171" s="2207">
        <v>0</v>
      </c>
      <c r="X171" s="2066" t="e">
        <f>#REF!+#REF!+#REF!</f>
        <v>#REF!</v>
      </c>
      <c r="Y171" s="2066"/>
      <c r="Z171" s="2081"/>
      <c r="AA171" s="2081"/>
      <c r="AB171" s="2082"/>
      <c r="AC171" s="2087"/>
      <c r="AD171" s="2088"/>
      <c r="AE171" s="2089"/>
      <c r="AF171" s="2088"/>
      <c r="AG171" s="2065"/>
      <c r="AH171" s="2082"/>
      <c r="AI171" s="2113"/>
      <c r="AJ171" s="2113"/>
      <c r="AK171" s="2113"/>
      <c r="AL171" s="2113"/>
      <c r="AM171" s="2110" t="s">
        <v>622</v>
      </c>
      <c r="AN171" s="2113"/>
      <c r="AO171" s="2113"/>
      <c r="AP171" s="2113" t="s">
        <v>21</v>
      </c>
      <c r="AQ171" s="2030"/>
      <c r="AR171" s="2140"/>
      <c r="AS171" s="3221" t="s">
        <v>21</v>
      </c>
      <c r="AT171" s="2140"/>
      <c r="AU171" s="2140"/>
      <c r="AV171" s="2081" t="s">
        <v>21</v>
      </c>
      <c r="AW171" s="2087"/>
      <c r="AX171" s="2140"/>
      <c r="AY171" s="2176"/>
      <c r="AZ171" s="2177"/>
      <c r="BA171" s="1997"/>
      <c r="BB171" s="2173"/>
      <c r="BC171" s="2174"/>
      <c r="BD171" s="2272"/>
    </row>
    <row r="172" spans="1:56" s="1743" customFormat="1" ht="25.5" hidden="1">
      <c r="A172" s="1772"/>
      <c r="B172" s="1773"/>
      <c r="C172" s="1773"/>
      <c r="D172" s="1774" t="s">
        <v>17</v>
      </c>
      <c r="E172" s="1773"/>
      <c r="F172" s="1774" t="s">
        <v>950</v>
      </c>
      <c r="G172" s="1908"/>
      <c r="H172" s="1774" t="s">
        <v>951</v>
      </c>
      <c r="I172" s="1773"/>
      <c r="J172" s="1774" t="s">
        <v>952</v>
      </c>
      <c r="K172" s="1774"/>
      <c r="L172" s="2199" t="s">
        <v>956</v>
      </c>
      <c r="M172" s="1772">
        <v>0.5</v>
      </c>
      <c r="N172" s="1773"/>
      <c r="O172" s="1773"/>
      <c r="P172" s="1822"/>
      <c r="Q172" s="1773"/>
      <c r="R172" s="1773"/>
      <c r="S172" s="1773"/>
      <c r="T172" s="1852">
        <v>0</v>
      </c>
      <c r="U172" s="1851">
        <v>500000000</v>
      </c>
      <c r="V172" s="2208">
        <v>0</v>
      </c>
      <c r="W172" s="2209">
        <v>0</v>
      </c>
      <c r="X172" s="1898" t="e">
        <f>#REF!+#REF!+#REF!</f>
        <v>#REF!</v>
      </c>
      <c r="Y172" s="1898"/>
      <c r="Z172" s="1863"/>
      <c r="AA172" s="1863"/>
      <c r="AB172" s="1872"/>
      <c r="AC172" s="2214"/>
      <c r="AD172" s="2215"/>
      <c r="AE172" s="2216"/>
      <c r="AF172" s="2215"/>
      <c r="AG172" s="1852"/>
      <c r="AH172" s="1872"/>
      <c r="AI172" s="2230"/>
      <c r="AJ172" s="2230"/>
      <c r="AK172" s="2230"/>
      <c r="AL172" s="2230"/>
      <c r="AM172" s="2052" t="s">
        <v>622</v>
      </c>
      <c r="AN172" s="2230"/>
      <c r="AO172" s="2230"/>
      <c r="AP172" s="2230" t="s">
        <v>21</v>
      </c>
      <c r="AQ172" s="1908"/>
      <c r="AR172" s="2249" t="s">
        <v>1291</v>
      </c>
      <c r="AS172" s="3220" t="s">
        <v>21</v>
      </c>
      <c r="AT172" s="2249">
        <v>100000000</v>
      </c>
      <c r="AU172" s="2249"/>
      <c r="AV172" s="1863" t="s">
        <v>62</v>
      </c>
      <c r="AW172" s="2214" t="e">
        <f>#REF!</f>
        <v>#REF!</v>
      </c>
      <c r="AX172" s="2249"/>
      <c r="AY172" s="2269"/>
      <c r="AZ172" s="2270"/>
      <c r="BA172" s="1851"/>
      <c r="BB172" s="1962"/>
      <c r="BC172" s="1963"/>
      <c r="BD172" s="2271"/>
    </row>
    <row r="173" spans="1:56" s="1743" customFormat="1" ht="25.5" hidden="1">
      <c r="A173" s="1772"/>
      <c r="B173" s="1773"/>
      <c r="C173" s="1773"/>
      <c r="D173" s="1774" t="s">
        <v>17</v>
      </c>
      <c r="E173" s="1773"/>
      <c r="F173" s="1774" t="s">
        <v>950</v>
      </c>
      <c r="G173" s="1908"/>
      <c r="H173" s="1774" t="s">
        <v>951</v>
      </c>
      <c r="I173" s="1773"/>
      <c r="J173" s="1774" t="s">
        <v>952</v>
      </c>
      <c r="K173" s="1774"/>
      <c r="L173" s="2199" t="s">
        <v>956</v>
      </c>
      <c r="M173" s="1772">
        <v>0.5</v>
      </c>
      <c r="N173" s="1773"/>
      <c r="O173" s="1773"/>
      <c r="P173" s="1822"/>
      <c r="Q173" s="1773"/>
      <c r="R173" s="1773"/>
      <c r="S173" s="1773"/>
      <c r="T173" s="1852">
        <v>0</v>
      </c>
      <c r="U173" s="1851">
        <v>500000000</v>
      </c>
      <c r="V173" s="2208">
        <v>0</v>
      </c>
      <c r="W173" s="2209">
        <v>0</v>
      </c>
      <c r="X173" s="1898" t="e">
        <f>#REF!+#REF!+#REF!</f>
        <v>#REF!</v>
      </c>
      <c r="Y173" s="1898"/>
      <c r="Z173" s="1863"/>
      <c r="AA173" s="1863"/>
      <c r="AB173" s="1872"/>
      <c r="AC173" s="2214"/>
      <c r="AD173" s="2215"/>
      <c r="AE173" s="2216"/>
      <c r="AF173" s="2215"/>
      <c r="AG173" s="1852"/>
      <c r="AH173" s="1872"/>
      <c r="AI173" s="2230"/>
      <c r="AJ173" s="2230"/>
      <c r="AK173" s="2230"/>
      <c r="AL173" s="2230"/>
      <c r="AM173" s="2052" t="s">
        <v>622</v>
      </c>
      <c r="AN173" s="2230"/>
      <c r="AO173" s="2230"/>
      <c r="AP173" s="2230" t="s">
        <v>21</v>
      </c>
      <c r="AQ173" s="1908"/>
      <c r="AR173" s="2249" t="s">
        <v>1291</v>
      </c>
      <c r="AS173" s="3220" t="s">
        <v>21</v>
      </c>
      <c r="AT173" s="2249">
        <v>100000000</v>
      </c>
      <c r="AU173" s="2249"/>
      <c r="AV173" s="1863" t="s">
        <v>636</v>
      </c>
      <c r="AW173" s="2214" t="e">
        <f>#REF!</f>
        <v>#REF!</v>
      </c>
      <c r="AX173" s="2249"/>
      <c r="AY173" s="2269"/>
      <c r="AZ173" s="2270"/>
      <c r="BA173" s="1851"/>
      <c r="BB173" s="1962"/>
      <c r="BC173" s="1963"/>
      <c r="BD173" s="2271"/>
    </row>
    <row r="174" spans="1:56" s="1745" customFormat="1" ht="20.100000000000001" hidden="1" customHeight="1">
      <c r="A174" s="1811"/>
      <c r="B174" s="1812"/>
      <c r="C174" s="1812"/>
      <c r="D174" s="1813" t="s">
        <v>17</v>
      </c>
      <c r="E174" s="1812"/>
      <c r="F174" s="1813" t="s">
        <v>950</v>
      </c>
      <c r="G174" s="1923"/>
      <c r="H174" s="1813" t="s">
        <v>951</v>
      </c>
      <c r="I174" s="1812"/>
      <c r="J174" s="1813" t="s">
        <v>952</v>
      </c>
      <c r="K174" s="1813"/>
      <c r="L174" s="2200" t="s">
        <v>956</v>
      </c>
      <c r="M174" s="1811">
        <v>0.5</v>
      </c>
      <c r="N174" s="1812"/>
      <c r="O174" s="1812"/>
      <c r="P174" s="2201"/>
      <c r="Q174" s="1812"/>
      <c r="R174" s="1812"/>
      <c r="S174" s="1812"/>
      <c r="T174" s="1866">
        <v>0</v>
      </c>
      <c r="U174" s="1865">
        <v>500000000</v>
      </c>
      <c r="V174" s="1865">
        <v>0</v>
      </c>
      <c r="W174" s="2210">
        <v>0</v>
      </c>
      <c r="X174" s="1901" t="e">
        <f>#REF!+#REF!+#REF!</f>
        <v>#REF!</v>
      </c>
      <c r="Y174" s="1901"/>
      <c r="Z174" s="1899"/>
      <c r="AA174" s="1899"/>
      <c r="AB174" s="1922"/>
      <c r="AC174" s="2131"/>
      <c r="AD174" s="2217"/>
      <c r="AE174" s="2218"/>
      <c r="AF174" s="2217"/>
      <c r="AG174" s="1866"/>
      <c r="AH174" s="1922"/>
      <c r="AI174" s="2231"/>
      <c r="AJ174" s="2231"/>
      <c r="AK174" s="2231"/>
      <c r="AL174" s="2231"/>
      <c r="AM174" s="2232" t="s">
        <v>622</v>
      </c>
      <c r="AN174" s="2231"/>
      <c r="AO174" s="2231"/>
      <c r="AP174" s="2231" t="s">
        <v>21</v>
      </c>
      <c r="AQ174" s="1923"/>
      <c r="AR174" s="2250" t="s">
        <v>1283</v>
      </c>
      <c r="AS174" s="3223" t="s">
        <v>21</v>
      </c>
      <c r="AT174" s="2250">
        <v>300000000</v>
      </c>
      <c r="AU174" s="2250"/>
      <c r="AV174" s="1899" t="s">
        <v>633</v>
      </c>
      <c r="AW174" s="2214" t="e">
        <f>#REF!</f>
        <v>#REF!</v>
      </c>
      <c r="AX174" s="2250"/>
      <c r="AY174" s="2273"/>
      <c r="AZ174" s="2274"/>
      <c r="BA174" s="1865"/>
      <c r="BB174" s="2147"/>
      <c r="BC174" s="2148"/>
      <c r="BD174" s="2275"/>
    </row>
    <row r="175" spans="1:56" s="1741" customFormat="1" ht="20.100000000000001" hidden="1" customHeight="1">
      <c r="A175" s="1775">
        <v>113</v>
      </c>
      <c r="B175" s="1776" t="s">
        <v>960</v>
      </c>
      <c r="C175" s="1776"/>
      <c r="D175" s="1777" t="s">
        <v>352</v>
      </c>
      <c r="E175" s="1776">
        <v>8</v>
      </c>
      <c r="F175" s="1777" t="s">
        <v>354</v>
      </c>
      <c r="G175" s="2193"/>
      <c r="H175" s="1777" t="s">
        <v>358</v>
      </c>
      <c r="I175" s="1776" t="s">
        <v>23</v>
      </c>
      <c r="J175" s="1777" t="s">
        <v>357</v>
      </c>
      <c r="K175" s="1776">
        <v>1</v>
      </c>
      <c r="L175" s="3271" t="s">
        <v>360</v>
      </c>
      <c r="M175" s="1776">
        <v>0</v>
      </c>
      <c r="N175" s="1776">
        <v>0</v>
      </c>
      <c r="O175" s="1776">
        <v>1</v>
      </c>
      <c r="P175" s="1824">
        <v>0</v>
      </c>
      <c r="Q175" s="1776">
        <v>0</v>
      </c>
      <c r="R175" s="1776">
        <v>1</v>
      </c>
      <c r="S175" s="1776">
        <v>101</v>
      </c>
      <c r="T175" s="1854">
        <f>SUM(T177:T188)</f>
        <v>290311500</v>
      </c>
      <c r="U175" s="1854">
        <f>SUM(U177:U188)</f>
        <v>527171100</v>
      </c>
      <c r="V175" s="1854">
        <f>SUM(V177:V188)</f>
        <v>54543500</v>
      </c>
      <c r="W175" s="1854">
        <f>SUM(W177:W188)</f>
        <v>0</v>
      </c>
      <c r="X175" s="1854" t="e">
        <f>SUM(X177:X188)</f>
        <v>#REF!</v>
      </c>
      <c r="Y175" s="2219" t="s">
        <v>21</v>
      </c>
      <c r="Z175" s="2219"/>
      <c r="AA175" s="1854">
        <f>SUM(AA177:AA183)</f>
        <v>290311500</v>
      </c>
      <c r="AB175" s="1874"/>
      <c r="AC175" s="1854"/>
      <c r="AD175" s="1875"/>
      <c r="AE175" s="1854"/>
      <c r="AF175" s="1875"/>
      <c r="AG175" s="2233" t="e">
        <f>+#REF!-#REF!</f>
        <v>#REF!</v>
      </c>
      <c r="AH175" s="1874" t="s">
        <v>21</v>
      </c>
      <c r="AI175" s="3225" t="s">
        <v>21</v>
      </c>
      <c r="AJ175" s="3225" t="s">
        <v>21</v>
      </c>
      <c r="AK175" s="2227" t="s">
        <v>21</v>
      </c>
      <c r="AL175" s="3225" t="s">
        <v>21</v>
      </c>
      <c r="AM175" s="3213" t="s">
        <v>21</v>
      </c>
      <c r="AN175" s="1925"/>
      <c r="AO175" s="3202" t="s">
        <v>21</v>
      </c>
      <c r="AP175" s="2193"/>
      <c r="AQ175" s="2193"/>
      <c r="AR175" s="2193"/>
      <c r="AS175" s="3225" t="s">
        <v>21</v>
      </c>
      <c r="AT175" s="1934">
        <f>SUM(AT177:AT183)</f>
        <v>290311500</v>
      </c>
      <c r="AU175" s="1934"/>
      <c r="AV175" s="2251" t="s">
        <v>21</v>
      </c>
      <c r="AW175" s="2219"/>
      <c r="AX175" s="1912" t="s">
        <v>21</v>
      </c>
      <c r="AY175" s="2219"/>
      <c r="AZ175" s="2193" t="s">
        <v>961</v>
      </c>
      <c r="BA175" s="2193"/>
      <c r="BB175" s="1965" t="s">
        <v>962</v>
      </c>
      <c r="BC175" s="1966"/>
      <c r="BD175" s="2266"/>
    </row>
    <row r="176" spans="1:56" s="1741" customFormat="1" ht="20.100000000000001" customHeight="1">
      <c r="A176" s="1783" t="s">
        <v>1307</v>
      </c>
      <c r="B176" s="1780"/>
      <c r="C176" s="1780"/>
      <c r="D176" s="1780"/>
      <c r="E176" s="1780"/>
      <c r="F176" s="1780"/>
      <c r="G176" s="1780"/>
      <c r="H176" s="1780"/>
      <c r="I176" s="1780"/>
      <c r="J176" s="1780"/>
      <c r="K176" s="1780"/>
      <c r="L176" s="1783"/>
      <c r="M176" s="1807"/>
      <c r="N176" s="1776"/>
      <c r="O176" s="1776"/>
      <c r="P176" s="1824"/>
      <c r="Q176" s="1776"/>
      <c r="R176" s="1776"/>
      <c r="S176" s="1776"/>
      <c r="T176" s="1854"/>
      <c r="U176" s="1854"/>
      <c r="V176" s="1854"/>
      <c r="W176" s="1854"/>
      <c r="X176" s="1854"/>
      <c r="Y176" s="2219"/>
      <c r="Z176" s="2219"/>
      <c r="AA176" s="1854"/>
      <c r="AB176" s="1874"/>
      <c r="AC176" s="1854"/>
      <c r="AD176" s="1875"/>
      <c r="AE176" s="1854"/>
      <c r="AF176" s="1875"/>
      <c r="AG176" s="2233"/>
      <c r="AH176" s="1874"/>
      <c r="AI176" s="2193"/>
      <c r="AJ176" s="2193"/>
      <c r="AK176" s="2227"/>
      <c r="AL176" s="2193"/>
      <c r="AM176" s="1874"/>
      <c r="AN176" s="1925"/>
      <c r="AO176" s="1925"/>
      <c r="AP176" s="2193"/>
      <c r="AQ176" s="2193"/>
      <c r="AR176" s="2193"/>
      <c r="AS176" s="1965"/>
      <c r="AT176" s="648">
        <f>AT177+AT178+AT179+AT180</f>
        <v>176773500</v>
      </c>
      <c r="AU176" s="648">
        <f>AU177+AU178+AU179+AU180</f>
        <v>176486000</v>
      </c>
      <c r="AV176" s="640"/>
      <c r="AW176" s="2276"/>
      <c r="AX176" s="1912"/>
      <c r="AY176" s="2219"/>
      <c r="AZ176" s="2193"/>
      <c r="BA176" s="2193"/>
      <c r="BB176" s="1965"/>
      <c r="BC176" s="638"/>
      <c r="BD176" s="2266"/>
    </row>
    <row r="177" spans="1:56" s="1741" customFormat="1" ht="20.100000000000001" customHeight="1">
      <c r="A177" s="3658">
        <v>29</v>
      </c>
      <c r="B177" s="1785"/>
      <c r="C177" s="1786"/>
      <c r="D177" s="1787" t="s">
        <v>352</v>
      </c>
      <c r="E177" s="1786">
        <v>8</v>
      </c>
      <c r="F177" s="1787" t="s">
        <v>354</v>
      </c>
      <c r="G177" s="1788"/>
      <c r="H177" s="1787" t="s">
        <v>358</v>
      </c>
      <c r="I177" s="1790" t="s">
        <v>23</v>
      </c>
      <c r="J177" s="1787" t="s">
        <v>357</v>
      </c>
      <c r="K177" s="1825">
        <v>1</v>
      </c>
      <c r="L177" s="3266" t="s">
        <v>963</v>
      </c>
      <c r="M177" s="1785">
        <v>1</v>
      </c>
      <c r="N177" s="1786">
        <v>1</v>
      </c>
      <c r="O177" s="1786">
        <v>2</v>
      </c>
      <c r="P177" s="1790">
        <f>1/7</f>
        <v>0.14285714285714285</v>
      </c>
      <c r="Q177" s="1790">
        <f>1/7</f>
        <v>0.14285714285714285</v>
      </c>
      <c r="R177" s="1790">
        <v>0</v>
      </c>
      <c r="S177" s="1790"/>
      <c r="T177" s="1855">
        <v>49882300</v>
      </c>
      <c r="U177" s="1855">
        <v>49882300</v>
      </c>
      <c r="V177" s="1855">
        <v>3797300</v>
      </c>
      <c r="W177" s="1856">
        <v>0</v>
      </c>
      <c r="X177" s="1856">
        <f t="shared" ref="X177:X183" si="16">T177+V177+W177</f>
        <v>53679600</v>
      </c>
      <c r="Y177" s="2070" t="s">
        <v>58</v>
      </c>
      <c r="Z177" s="1879" t="s">
        <v>619</v>
      </c>
      <c r="AA177" s="1855">
        <v>49882300</v>
      </c>
      <c r="AB177" s="1877"/>
      <c r="AC177" s="1855"/>
      <c r="AD177" s="1878"/>
      <c r="AE177" s="1855"/>
      <c r="AF177" s="1878"/>
      <c r="AG177" s="2234">
        <v>0</v>
      </c>
      <c r="AH177" s="1877" t="s">
        <v>617</v>
      </c>
      <c r="AI177" s="3205" t="s">
        <v>964</v>
      </c>
      <c r="AJ177" s="3205" t="s">
        <v>363</v>
      </c>
      <c r="AK177" s="1913">
        <v>1</v>
      </c>
      <c r="AL177" s="3205" t="s">
        <v>21</v>
      </c>
      <c r="AM177" s="1882">
        <v>2016</v>
      </c>
      <c r="AN177" s="3226" t="s">
        <v>568</v>
      </c>
      <c r="AO177" s="2252" t="s">
        <v>568</v>
      </c>
      <c r="AP177" s="1912" t="s">
        <v>570</v>
      </c>
      <c r="AQ177" s="1912"/>
      <c r="AR177" s="1912" t="s">
        <v>1289</v>
      </c>
      <c r="AS177" s="3270" t="s">
        <v>21</v>
      </c>
      <c r="AT177" s="634">
        <v>49882300</v>
      </c>
      <c r="AU177" s="3664">
        <v>176486000</v>
      </c>
      <c r="AV177" s="640" t="s">
        <v>58</v>
      </c>
      <c r="AW177" s="2256">
        <v>0</v>
      </c>
      <c r="AX177" s="1912" t="s">
        <v>21</v>
      </c>
      <c r="AY177" s="1879" t="s">
        <v>619</v>
      </c>
      <c r="AZ177" s="2259" t="s">
        <v>961</v>
      </c>
      <c r="BA177" s="91"/>
      <c r="BB177" s="3194" t="s">
        <v>965</v>
      </c>
      <c r="BC177" s="644">
        <v>2016</v>
      </c>
      <c r="BD177" s="2266"/>
    </row>
    <row r="178" spans="1:56" s="1741" customFormat="1" ht="20.100000000000001" customHeight="1">
      <c r="A178" s="3659"/>
      <c r="B178" s="1785"/>
      <c r="C178" s="1786"/>
      <c r="D178" s="1787" t="s">
        <v>352</v>
      </c>
      <c r="E178" s="1786">
        <v>8</v>
      </c>
      <c r="F178" s="1787" t="s">
        <v>354</v>
      </c>
      <c r="G178" s="1788"/>
      <c r="H178" s="1787" t="s">
        <v>358</v>
      </c>
      <c r="I178" s="1790" t="s">
        <v>23</v>
      </c>
      <c r="J178" s="1787" t="s">
        <v>357</v>
      </c>
      <c r="K178" s="1825">
        <v>1</v>
      </c>
      <c r="L178" s="3266" t="s">
        <v>966</v>
      </c>
      <c r="M178" s="1785">
        <v>1</v>
      </c>
      <c r="N178" s="1786">
        <v>1</v>
      </c>
      <c r="O178" s="1786">
        <v>2</v>
      </c>
      <c r="P178" s="1790">
        <f t="shared" ref="P178:Q183" si="17">1/7</f>
        <v>0.14285714285714285</v>
      </c>
      <c r="Q178" s="1790">
        <f t="shared" si="17"/>
        <v>0.14285714285714285</v>
      </c>
      <c r="R178" s="1790">
        <v>0</v>
      </c>
      <c r="S178" s="1790"/>
      <c r="T178" s="1855">
        <v>38400000</v>
      </c>
      <c r="U178" s="1855">
        <v>38400000</v>
      </c>
      <c r="V178" s="1855">
        <v>9335300</v>
      </c>
      <c r="W178" s="1856">
        <v>0</v>
      </c>
      <c r="X178" s="1856">
        <f t="shared" si="16"/>
        <v>47735300</v>
      </c>
      <c r="Y178" s="2070" t="s">
        <v>58</v>
      </c>
      <c r="Z178" s="1879" t="s">
        <v>619</v>
      </c>
      <c r="AA178" s="1855">
        <v>38400000</v>
      </c>
      <c r="AB178" s="1877"/>
      <c r="AC178" s="1855"/>
      <c r="AD178" s="1878"/>
      <c r="AE178" s="1855"/>
      <c r="AF178" s="1878"/>
      <c r="AG178" s="2234">
        <v>0</v>
      </c>
      <c r="AH178" s="1877" t="s">
        <v>617</v>
      </c>
      <c r="AI178" s="3205" t="s">
        <v>964</v>
      </c>
      <c r="AJ178" s="3205" t="s">
        <v>365</v>
      </c>
      <c r="AK178" s="1913">
        <v>1</v>
      </c>
      <c r="AL178" s="3205" t="s">
        <v>21</v>
      </c>
      <c r="AM178" s="1882">
        <v>2016</v>
      </c>
      <c r="AN178" s="3226" t="s">
        <v>568</v>
      </c>
      <c r="AO178" s="2252" t="s">
        <v>568</v>
      </c>
      <c r="AP178" s="1912" t="s">
        <v>570</v>
      </c>
      <c r="AQ178" s="1912"/>
      <c r="AR178" s="1912" t="s">
        <v>1289</v>
      </c>
      <c r="AS178" s="3270" t="s">
        <v>21</v>
      </c>
      <c r="AT178" s="634">
        <v>38400000</v>
      </c>
      <c r="AU178" s="3665"/>
      <c r="AV178" s="640" t="s">
        <v>58</v>
      </c>
      <c r="AW178" s="2256">
        <v>0</v>
      </c>
      <c r="AX178" s="1912" t="s">
        <v>21</v>
      </c>
      <c r="AY178" s="1879" t="s">
        <v>619</v>
      </c>
      <c r="AZ178" s="2259" t="s">
        <v>961</v>
      </c>
      <c r="BA178" s="91"/>
      <c r="BB178" s="3194" t="s">
        <v>967</v>
      </c>
      <c r="BC178" s="644">
        <v>2016</v>
      </c>
      <c r="BD178" s="2266"/>
    </row>
    <row r="179" spans="1:56" s="1741" customFormat="1" ht="20.100000000000001" customHeight="1">
      <c r="A179" s="3659"/>
      <c r="B179" s="1785"/>
      <c r="C179" s="1786"/>
      <c r="D179" s="1787" t="s">
        <v>352</v>
      </c>
      <c r="E179" s="1786">
        <v>8</v>
      </c>
      <c r="F179" s="1787" t="s">
        <v>354</v>
      </c>
      <c r="G179" s="1788"/>
      <c r="H179" s="1787" t="s">
        <v>358</v>
      </c>
      <c r="I179" s="1790" t="s">
        <v>23</v>
      </c>
      <c r="J179" s="1787" t="s">
        <v>357</v>
      </c>
      <c r="K179" s="1825">
        <v>1</v>
      </c>
      <c r="L179" s="3266" t="s">
        <v>968</v>
      </c>
      <c r="M179" s="1785">
        <v>1</v>
      </c>
      <c r="N179" s="1786">
        <v>1</v>
      </c>
      <c r="O179" s="1786">
        <v>2</v>
      </c>
      <c r="P179" s="1790">
        <f t="shared" si="17"/>
        <v>0.14285714285714285</v>
      </c>
      <c r="Q179" s="1790">
        <f t="shared" si="17"/>
        <v>0.14285714285714285</v>
      </c>
      <c r="R179" s="1790">
        <v>0</v>
      </c>
      <c r="S179" s="1790"/>
      <c r="T179" s="1855">
        <v>44400000</v>
      </c>
      <c r="U179" s="1855">
        <v>44400000</v>
      </c>
      <c r="V179" s="1855">
        <v>485800</v>
      </c>
      <c r="W179" s="1856">
        <v>0</v>
      </c>
      <c r="X179" s="1856">
        <f t="shared" si="16"/>
        <v>44885800</v>
      </c>
      <c r="Y179" s="2070" t="s">
        <v>58</v>
      </c>
      <c r="Z179" s="1879" t="s">
        <v>619</v>
      </c>
      <c r="AA179" s="1855">
        <v>44400000</v>
      </c>
      <c r="AB179" s="1877"/>
      <c r="AC179" s="1855"/>
      <c r="AD179" s="1878"/>
      <c r="AE179" s="1855"/>
      <c r="AF179" s="1878"/>
      <c r="AG179" s="2234">
        <v>0</v>
      </c>
      <c r="AH179" s="1877" t="s">
        <v>617</v>
      </c>
      <c r="AI179" s="3205" t="s">
        <v>964</v>
      </c>
      <c r="AJ179" s="2118" t="s">
        <v>367</v>
      </c>
      <c r="AK179" s="1913">
        <v>1</v>
      </c>
      <c r="AL179" s="3205" t="s">
        <v>21</v>
      </c>
      <c r="AM179" s="1882">
        <v>2016</v>
      </c>
      <c r="AN179" s="3227" t="s">
        <v>568</v>
      </c>
      <c r="AO179" s="2252" t="s">
        <v>568</v>
      </c>
      <c r="AP179" s="1912" t="s">
        <v>570</v>
      </c>
      <c r="AQ179" s="1912"/>
      <c r="AR179" s="1912" t="s">
        <v>1289</v>
      </c>
      <c r="AS179" s="3270" t="s">
        <v>21</v>
      </c>
      <c r="AT179" s="634">
        <v>44400000</v>
      </c>
      <c r="AU179" s="3665"/>
      <c r="AV179" s="640" t="s">
        <v>58</v>
      </c>
      <c r="AW179" s="2256">
        <v>0</v>
      </c>
      <c r="AX179" s="3225" t="s">
        <v>21</v>
      </c>
      <c r="AY179" s="1879" t="s">
        <v>619</v>
      </c>
      <c r="AZ179" s="2259" t="s">
        <v>961</v>
      </c>
      <c r="BA179" s="91"/>
      <c r="BB179" s="3187" t="s">
        <v>969</v>
      </c>
      <c r="BC179" s="644">
        <v>2016</v>
      </c>
      <c r="BD179" s="2266"/>
    </row>
    <row r="180" spans="1:56" s="1741" customFormat="1" ht="30" customHeight="1">
      <c r="A180" s="3660"/>
      <c r="B180" s="1785"/>
      <c r="C180" s="1786"/>
      <c r="D180" s="1787" t="s">
        <v>352</v>
      </c>
      <c r="E180" s="1786">
        <v>8</v>
      </c>
      <c r="F180" s="1787" t="s">
        <v>354</v>
      </c>
      <c r="G180" s="1788"/>
      <c r="H180" s="1787" t="s">
        <v>358</v>
      </c>
      <c r="I180" s="1790" t="s">
        <v>23</v>
      </c>
      <c r="J180" s="1787" t="s">
        <v>357</v>
      </c>
      <c r="K180" s="1825">
        <v>1</v>
      </c>
      <c r="L180" s="3272" t="s">
        <v>970</v>
      </c>
      <c r="M180" s="1785">
        <v>1</v>
      </c>
      <c r="N180" s="1786">
        <v>1</v>
      </c>
      <c r="O180" s="1786">
        <v>2</v>
      </c>
      <c r="P180" s="1790">
        <f t="shared" si="17"/>
        <v>0.14285714285714285</v>
      </c>
      <c r="Q180" s="1790">
        <f t="shared" si="17"/>
        <v>0.14285714285714285</v>
      </c>
      <c r="R180" s="1790">
        <v>0</v>
      </c>
      <c r="S180" s="1790"/>
      <c r="T180" s="1855">
        <v>44091200</v>
      </c>
      <c r="U180" s="1855">
        <v>44091200</v>
      </c>
      <c r="V180" s="1855">
        <v>1992700</v>
      </c>
      <c r="W180" s="1856">
        <v>0</v>
      </c>
      <c r="X180" s="1856">
        <f t="shared" si="16"/>
        <v>46083900</v>
      </c>
      <c r="Y180" s="2070" t="s">
        <v>58</v>
      </c>
      <c r="Z180" s="1879" t="s">
        <v>619</v>
      </c>
      <c r="AA180" s="1855">
        <v>44091200</v>
      </c>
      <c r="AB180" s="1877"/>
      <c r="AC180" s="1855"/>
      <c r="AD180" s="1878"/>
      <c r="AE180" s="1855"/>
      <c r="AF180" s="1878"/>
      <c r="AG180" s="2234">
        <v>0</v>
      </c>
      <c r="AH180" s="1877" t="s">
        <v>617</v>
      </c>
      <c r="AI180" s="3205" t="s">
        <v>964</v>
      </c>
      <c r="AJ180" s="3205" t="s">
        <v>369</v>
      </c>
      <c r="AK180" s="1913">
        <v>1</v>
      </c>
      <c r="AL180" s="3205" t="s">
        <v>21</v>
      </c>
      <c r="AM180" s="1882">
        <v>2016</v>
      </c>
      <c r="AN180" s="3226" t="s">
        <v>568</v>
      </c>
      <c r="AO180" s="2252" t="s">
        <v>568</v>
      </c>
      <c r="AP180" s="1912" t="s">
        <v>570</v>
      </c>
      <c r="AQ180" s="1912"/>
      <c r="AR180" s="1912" t="s">
        <v>1289</v>
      </c>
      <c r="AS180" s="3270" t="s">
        <v>21</v>
      </c>
      <c r="AT180" s="634">
        <v>44091200</v>
      </c>
      <c r="AU180" s="3666"/>
      <c r="AV180" s="640" t="s">
        <v>58</v>
      </c>
      <c r="AW180" s="2256">
        <v>0</v>
      </c>
      <c r="AX180" s="1912" t="s">
        <v>21</v>
      </c>
      <c r="AY180" s="1879" t="s">
        <v>619</v>
      </c>
      <c r="AZ180" s="2259" t="s">
        <v>961</v>
      </c>
      <c r="BA180" s="91"/>
      <c r="BB180" s="3194" t="s">
        <v>971</v>
      </c>
      <c r="BC180" s="638">
        <v>2016</v>
      </c>
      <c r="BD180" s="2266"/>
    </row>
    <row r="181" spans="1:56" s="1746" customFormat="1" ht="20.100000000000001" hidden="1" customHeight="1">
      <c r="A181" s="2189">
        <v>118</v>
      </c>
      <c r="B181" s="1786"/>
      <c r="C181" s="1786"/>
      <c r="D181" s="1787" t="s">
        <v>352</v>
      </c>
      <c r="E181" s="1786">
        <v>8</v>
      </c>
      <c r="F181" s="1787" t="s">
        <v>354</v>
      </c>
      <c r="G181" s="1788"/>
      <c r="H181" s="1787" t="s">
        <v>358</v>
      </c>
      <c r="I181" s="1790" t="s">
        <v>23</v>
      </c>
      <c r="J181" s="1787" t="s">
        <v>357</v>
      </c>
      <c r="K181" s="1786">
        <v>1</v>
      </c>
      <c r="L181" s="3268" t="s">
        <v>972</v>
      </c>
      <c r="M181" s="1786">
        <v>1</v>
      </c>
      <c r="N181" s="1786">
        <v>1</v>
      </c>
      <c r="O181" s="1786">
        <v>2</v>
      </c>
      <c r="P181" s="1790">
        <f t="shared" si="17"/>
        <v>0.14285714285714285</v>
      </c>
      <c r="Q181" s="1790">
        <f t="shared" si="17"/>
        <v>0.14285714285714285</v>
      </c>
      <c r="R181" s="1790">
        <v>0</v>
      </c>
      <c r="S181" s="1790"/>
      <c r="T181" s="1855">
        <v>31565800</v>
      </c>
      <c r="U181" s="1855">
        <v>31565800</v>
      </c>
      <c r="V181" s="1855">
        <v>2586200</v>
      </c>
      <c r="W181" s="1856">
        <v>0</v>
      </c>
      <c r="X181" s="1856">
        <f t="shared" si="16"/>
        <v>34152000</v>
      </c>
      <c r="Y181" s="2070" t="s">
        <v>91</v>
      </c>
      <c r="Z181" s="1879" t="s">
        <v>565</v>
      </c>
      <c r="AA181" s="1855">
        <v>31565800</v>
      </c>
      <c r="AB181" s="1877"/>
      <c r="AC181" s="1855"/>
      <c r="AD181" s="1878"/>
      <c r="AE181" s="1855"/>
      <c r="AF181" s="1878"/>
      <c r="AG181" s="2234">
        <v>0</v>
      </c>
      <c r="AH181" s="1877" t="s">
        <v>617</v>
      </c>
      <c r="AI181" s="3205" t="s">
        <v>964</v>
      </c>
      <c r="AJ181" s="2118" t="s">
        <v>347</v>
      </c>
      <c r="AK181" s="1913">
        <v>1</v>
      </c>
      <c r="AL181" s="3205" t="s">
        <v>21</v>
      </c>
      <c r="AM181" s="1882">
        <v>2016</v>
      </c>
      <c r="AN181" s="3227" t="s">
        <v>568</v>
      </c>
      <c r="AO181" s="2252" t="s">
        <v>568</v>
      </c>
      <c r="AP181" s="1912" t="s">
        <v>570</v>
      </c>
      <c r="AQ181" s="1912"/>
      <c r="AR181" s="1912" t="s">
        <v>1293</v>
      </c>
      <c r="AS181" s="3215" t="s">
        <v>21</v>
      </c>
      <c r="AT181" s="2239">
        <v>31565800</v>
      </c>
      <c r="AU181" s="2239"/>
      <c r="AV181" s="2253" t="s">
        <v>91</v>
      </c>
      <c r="AW181" s="2070" t="e">
        <f>#REF!</f>
        <v>#REF!</v>
      </c>
      <c r="AX181" s="1912" t="s">
        <v>21</v>
      </c>
      <c r="AY181" s="1879" t="s">
        <v>565</v>
      </c>
      <c r="AZ181" s="2259" t="s">
        <v>961</v>
      </c>
      <c r="BA181" s="91"/>
      <c r="BB181" s="1975" t="s">
        <v>973</v>
      </c>
      <c r="BC181" s="1976"/>
      <c r="BD181" s="2277"/>
    </row>
    <row r="182" spans="1:56" s="1726" customFormat="1" ht="20.100000000000001" hidden="1" customHeight="1">
      <c r="A182" s="1785">
        <v>119</v>
      </c>
      <c r="B182" s="1786"/>
      <c r="C182" s="1786"/>
      <c r="D182" s="1787" t="s">
        <v>352</v>
      </c>
      <c r="E182" s="1786">
        <v>8</v>
      </c>
      <c r="F182" s="1787" t="s">
        <v>354</v>
      </c>
      <c r="G182" s="1788"/>
      <c r="H182" s="1787" t="s">
        <v>358</v>
      </c>
      <c r="I182" s="1790" t="s">
        <v>23</v>
      </c>
      <c r="J182" s="1787" t="s">
        <v>357</v>
      </c>
      <c r="K182" s="1786">
        <v>1</v>
      </c>
      <c r="L182" s="3269" t="s">
        <v>974</v>
      </c>
      <c r="M182" s="1786">
        <v>1</v>
      </c>
      <c r="N182" s="1786">
        <v>1</v>
      </c>
      <c r="O182" s="1786">
        <v>2</v>
      </c>
      <c r="P182" s="1790">
        <f t="shared" si="17"/>
        <v>0.14285714285714285</v>
      </c>
      <c r="Q182" s="2211">
        <f>'Signed 5,8M'!V161</f>
        <v>18000000</v>
      </c>
      <c r="R182" s="1790">
        <v>0</v>
      </c>
      <c r="S182" s="1790"/>
      <c r="T182" s="1855">
        <v>10278200</v>
      </c>
      <c r="U182" s="1855">
        <v>10278200</v>
      </c>
      <c r="V182" s="1855">
        <v>182000</v>
      </c>
      <c r="W182" s="1856">
        <v>0</v>
      </c>
      <c r="X182" s="1856">
        <f t="shared" si="16"/>
        <v>10460200</v>
      </c>
      <c r="Y182" s="2070" t="s">
        <v>55</v>
      </c>
      <c r="Z182" s="1879" t="s">
        <v>565</v>
      </c>
      <c r="AA182" s="1855">
        <v>10278200</v>
      </c>
      <c r="AB182" s="1877"/>
      <c r="AC182" s="1855"/>
      <c r="AD182" s="1878"/>
      <c r="AE182" s="1855"/>
      <c r="AF182" s="1878"/>
      <c r="AG182" s="2234">
        <v>0</v>
      </c>
      <c r="AH182" s="1877" t="s">
        <v>617</v>
      </c>
      <c r="AI182" s="3205" t="s">
        <v>964</v>
      </c>
      <c r="AJ182" s="3205" t="s">
        <v>372</v>
      </c>
      <c r="AK182" s="1913">
        <v>1</v>
      </c>
      <c r="AL182" s="3205" t="s">
        <v>21</v>
      </c>
      <c r="AM182" s="1882"/>
      <c r="AN182" s="3227" t="s">
        <v>568</v>
      </c>
      <c r="AO182" s="2252" t="s">
        <v>568</v>
      </c>
      <c r="AP182" s="1912" t="s">
        <v>570</v>
      </c>
      <c r="AQ182" s="1912"/>
      <c r="AR182" s="1788" t="s">
        <v>1283</v>
      </c>
      <c r="AS182" s="3215" t="s">
        <v>719</v>
      </c>
      <c r="AT182" s="1855">
        <v>10278200</v>
      </c>
      <c r="AU182" s="1855"/>
      <c r="AV182" s="2070" t="s">
        <v>55</v>
      </c>
      <c r="AW182" s="2070" t="e">
        <f>#REF!</f>
        <v>#REF!</v>
      </c>
      <c r="AX182" s="1912" t="s">
        <v>21</v>
      </c>
      <c r="AY182" s="1879" t="s">
        <v>565</v>
      </c>
      <c r="AZ182" s="3204" t="s">
        <v>975</v>
      </c>
      <c r="BA182" s="2118"/>
      <c r="BB182" s="3194" t="s">
        <v>976</v>
      </c>
      <c r="BC182" s="1976"/>
      <c r="BD182" s="1971"/>
    </row>
    <row r="183" spans="1:56" s="1726" customFormat="1" ht="20.100000000000001" hidden="1" customHeight="1">
      <c r="A183" s="1785">
        <v>120</v>
      </c>
      <c r="B183" s="1786"/>
      <c r="C183" s="1786"/>
      <c r="D183" s="1787" t="s">
        <v>352</v>
      </c>
      <c r="E183" s="1786">
        <v>8</v>
      </c>
      <c r="F183" s="1787" t="s">
        <v>354</v>
      </c>
      <c r="G183" s="1788"/>
      <c r="H183" s="1787" t="s">
        <v>358</v>
      </c>
      <c r="I183" s="1790" t="s">
        <v>23</v>
      </c>
      <c r="J183" s="1787" t="s">
        <v>357</v>
      </c>
      <c r="K183" s="1786">
        <v>1</v>
      </c>
      <c r="L183" s="3269" t="s">
        <v>977</v>
      </c>
      <c r="M183" s="1786">
        <v>1</v>
      </c>
      <c r="N183" s="1786">
        <v>1</v>
      </c>
      <c r="O183" s="1786">
        <v>2</v>
      </c>
      <c r="P183" s="1790">
        <f t="shared" si="17"/>
        <v>0.14285714285714285</v>
      </c>
      <c r="Q183" s="1790">
        <f t="shared" si="17"/>
        <v>0.14285714285714285</v>
      </c>
      <c r="R183" s="1790">
        <v>0</v>
      </c>
      <c r="S183" s="1790"/>
      <c r="T183" s="1855">
        <v>71694000</v>
      </c>
      <c r="U183" s="1855">
        <v>71694000</v>
      </c>
      <c r="V183" s="1855">
        <v>7041900</v>
      </c>
      <c r="W183" s="1856">
        <v>0</v>
      </c>
      <c r="X183" s="1856">
        <f t="shared" si="16"/>
        <v>78735900</v>
      </c>
      <c r="Y183" s="2070" t="s">
        <v>55</v>
      </c>
      <c r="Z183" s="1879" t="s">
        <v>565</v>
      </c>
      <c r="AA183" s="1855">
        <v>71694000</v>
      </c>
      <c r="AB183" s="1877"/>
      <c r="AC183" s="1855"/>
      <c r="AD183" s="1878"/>
      <c r="AE183" s="1855"/>
      <c r="AF183" s="1878"/>
      <c r="AG183" s="2234">
        <v>0</v>
      </c>
      <c r="AH183" s="1877" t="s">
        <v>617</v>
      </c>
      <c r="AI183" s="3205" t="s">
        <v>964</v>
      </c>
      <c r="AJ183" s="3205" t="s">
        <v>375</v>
      </c>
      <c r="AK183" s="1913">
        <v>0.95</v>
      </c>
      <c r="AL183" s="3205" t="s">
        <v>21</v>
      </c>
      <c r="AM183" s="1882">
        <v>2016</v>
      </c>
      <c r="AN183" s="3226" t="s">
        <v>568</v>
      </c>
      <c r="AO183" s="2252" t="s">
        <v>568</v>
      </c>
      <c r="AP183" s="1912" t="s">
        <v>570</v>
      </c>
      <c r="AQ183" s="1912"/>
      <c r="AR183" s="1912" t="s">
        <v>1293</v>
      </c>
      <c r="AS183" s="3215" t="s">
        <v>21</v>
      </c>
      <c r="AT183" s="1855">
        <v>71694000</v>
      </c>
      <c r="AU183" s="1855"/>
      <c r="AV183" s="2070" t="s">
        <v>55</v>
      </c>
      <c r="AW183" s="2070" t="e">
        <f>#REF!</f>
        <v>#REF!</v>
      </c>
      <c r="AX183" s="1912" t="s">
        <v>21</v>
      </c>
      <c r="AY183" s="1879" t="s">
        <v>565</v>
      </c>
      <c r="AZ183" s="3204" t="s">
        <v>978</v>
      </c>
      <c r="BA183" s="2118"/>
      <c r="BB183" s="3194" t="s">
        <v>979</v>
      </c>
      <c r="BC183" s="1976"/>
      <c r="BD183" s="1971"/>
    </row>
    <row r="184" spans="1:56" s="1726" customFormat="1" ht="20.100000000000001" hidden="1" customHeight="1">
      <c r="A184" s="2194"/>
      <c r="B184" s="1786"/>
      <c r="C184" s="1786"/>
      <c r="D184" s="1787" t="s">
        <v>352</v>
      </c>
      <c r="E184" s="1786"/>
      <c r="F184" s="1787" t="s">
        <v>354</v>
      </c>
      <c r="G184" s="1912"/>
      <c r="H184" s="1787" t="s">
        <v>358</v>
      </c>
      <c r="I184" s="1786"/>
      <c r="J184" s="1787" t="s">
        <v>357</v>
      </c>
      <c r="K184" s="1787"/>
      <c r="L184" s="67" t="s">
        <v>980</v>
      </c>
      <c r="M184" s="1786">
        <v>1</v>
      </c>
      <c r="N184" s="1786"/>
      <c r="O184" s="1786"/>
      <c r="P184" s="1827"/>
      <c r="Q184" s="1786"/>
      <c r="R184" s="1786"/>
      <c r="S184" s="1786"/>
      <c r="T184" s="1855">
        <v>0</v>
      </c>
      <c r="U184" s="77">
        <v>48543100</v>
      </c>
      <c r="V184" s="1603">
        <v>6552200</v>
      </c>
      <c r="W184" s="2204">
        <v>0</v>
      </c>
      <c r="X184" s="2067" t="e">
        <f>#REF!+#REF!+#REF!</f>
        <v>#REF!</v>
      </c>
      <c r="Y184" s="2212" t="s">
        <v>633</v>
      </c>
      <c r="Z184" s="2084" t="s">
        <v>633</v>
      </c>
      <c r="AA184" s="2220" t="e">
        <f>#REF!</f>
        <v>#REF!</v>
      </c>
      <c r="AB184" s="1877"/>
      <c r="AC184" s="2221"/>
      <c r="AD184" s="2222"/>
      <c r="AE184" s="2223"/>
      <c r="AF184" s="2222"/>
      <c r="AG184" s="2234"/>
      <c r="AH184" s="1877"/>
      <c r="AI184" s="2235"/>
      <c r="AJ184" s="2118"/>
      <c r="AK184" s="2118"/>
      <c r="AL184" s="2118"/>
      <c r="AM184" s="2108"/>
      <c r="AN184" s="2224"/>
      <c r="AO184" s="2224"/>
      <c r="AP184" s="2118"/>
      <c r="AQ184" s="1912"/>
      <c r="AR184" s="2143" t="s">
        <v>1283</v>
      </c>
      <c r="AS184" s="2143"/>
      <c r="AT184" s="2143">
        <v>48543100</v>
      </c>
      <c r="AU184" s="2143"/>
      <c r="AV184" s="2084" t="s">
        <v>633</v>
      </c>
      <c r="AW184" s="2070" t="e">
        <f>#REF!</f>
        <v>#REF!</v>
      </c>
      <c r="AX184" s="2143"/>
      <c r="AY184" s="2182"/>
      <c r="AZ184" s="2278"/>
      <c r="BA184" s="2118"/>
      <c r="BB184" s="2162"/>
      <c r="BC184" s="2163"/>
      <c r="BD184" s="1971"/>
    </row>
    <row r="185" spans="1:56" s="1726" customFormat="1" ht="20.100000000000001" hidden="1" customHeight="1">
      <c r="A185" s="2194"/>
      <c r="B185" s="1786"/>
      <c r="C185" s="1786"/>
      <c r="D185" s="1787" t="s">
        <v>352</v>
      </c>
      <c r="E185" s="1786"/>
      <c r="F185" s="1787" t="s">
        <v>354</v>
      </c>
      <c r="G185" s="1912"/>
      <c r="H185" s="1787" t="s">
        <v>358</v>
      </c>
      <c r="I185" s="1786"/>
      <c r="J185" s="1787" t="s">
        <v>357</v>
      </c>
      <c r="K185" s="1787"/>
      <c r="L185" s="67" t="s">
        <v>981</v>
      </c>
      <c r="M185" s="1786">
        <v>1</v>
      </c>
      <c r="N185" s="1786"/>
      <c r="O185" s="1786"/>
      <c r="P185" s="1827"/>
      <c r="Q185" s="1786"/>
      <c r="R185" s="1786"/>
      <c r="S185" s="1786"/>
      <c r="T185" s="1855">
        <v>0</v>
      </c>
      <c r="U185" s="77">
        <v>53879300</v>
      </c>
      <c r="V185" s="1603">
        <v>4967200</v>
      </c>
      <c r="W185" s="2204">
        <v>0</v>
      </c>
      <c r="X185" s="2067" t="e">
        <f>#REF!+#REF!+#REF!</f>
        <v>#REF!</v>
      </c>
      <c r="Y185" s="2212" t="s">
        <v>633</v>
      </c>
      <c r="Z185" s="2084" t="s">
        <v>633</v>
      </c>
      <c r="AA185" s="2220" t="e">
        <f>#REF!</f>
        <v>#REF!</v>
      </c>
      <c r="AB185" s="1877"/>
      <c r="AC185" s="2221"/>
      <c r="AD185" s="2222"/>
      <c r="AE185" s="2223"/>
      <c r="AF185" s="2222"/>
      <c r="AG185" s="2234"/>
      <c r="AH185" s="1877"/>
      <c r="AI185" s="2235"/>
      <c r="AJ185" s="2118"/>
      <c r="AK185" s="2118"/>
      <c r="AL185" s="2118"/>
      <c r="AM185" s="2108"/>
      <c r="AN185" s="2224"/>
      <c r="AO185" s="2224"/>
      <c r="AP185" s="2118"/>
      <c r="AQ185" s="1912"/>
      <c r="AR185" s="2143" t="s">
        <v>1283</v>
      </c>
      <c r="AS185" s="2143"/>
      <c r="AT185" s="2143">
        <v>53879300</v>
      </c>
      <c r="AU185" s="2143"/>
      <c r="AV185" s="2084" t="s">
        <v>633</v>
      </c>
      <c r="AW185" s="2070" t="e">
        <f>#REF!</f>
        <v>#REF!</v>
      </c>
      <c r="AX185" s="2143"/>
      <c r="AY185" s="2182"/>
      <c r="AZ185" s="2278"/>
      <c r="BA185" s="2118"/>
      <c r="BB185" s="2162"/>
      <c r="BC185" s="2163"/>
      <c r="BD185" s="1971"/>
    </row>
    <row r="186" spans="1:56" s="1726" customFormat="1" ht="20.100000000000001" hidden="1" customHeight="1">
      <c r="A186" s="2194"/>
      <c r="B186" s="1786"/>
      <c r="C186" s="1786"/>
      <c r="D186" s="1787" t="s">
        <v>352</v>
      </c>
      <c r="E186" s="1786"/>
      <c r="F186" s="1787" t="s">
        <v>354</v>
      </c>
      <c r="G186" s="1912"/>
      <c r="H186" s="1787" t="s">
        <v>358</v>
      </c>
      <c r="I186" s="1786"/>
      <c r="J186" s="1787" t="s">
        <v>357</v>
      </c>
      <c r="K186" s="1787"/>
      <c r="L186" s="67" t="s">
        <v>982</v>
      </c>
      <c r="M186" s="1786">
        <v>1</v>
      </c>
      <c r="N186" s="1786"/>
      <c r="O186" s="1786"/>
      <c r="P186" s="1827"/>
      <c r="Q186" s="1786"/>
      <c r="R186" s="1786"/>
      <c r="S186" s="1786"/>
      <c r="T186" s="1855">
        <v>0</v>
      </c>
      <c r="U186" s="77">
        <v>32709400</v>
      </c>
      <c r="V186" s="1603">
        <v>5567500</v>
      </c>
      <c r="W186" s="2204">
        <v>0</v>
      </c>
      <c r="X186" s="2067" t="e">
        <f>#REF!+#REF!+#REF!</f>
        <v>#REF!</v>
      </c>
      <c r="Y186" s="2212" t="s">
        <v>633</v>
      </c>
      <c r="Z186" s="2084" t="s">
        <v>633</v>
      </c>
      <c r="AA186" s="2220" t="e">
        <f>#REF!</f>
        <v>#REF!</v>
      </c>
      <c r="AB186" s="1877"/>
      <c r="AC186" s="2221"/>
      <c r="AD186" s="2222"/>
      <c r="AE186" s="2223"/>
      <c r="AF186" s="2222"/>
      <c r="AG186" s="2234"/>
      <c r="AH186" s="1877"/>
      <c r="AI186" s="2235"/>
      <c r="AJ186" s="2118"/>
      <c r="AK186" s="2118"/>
      <c r="AL186" s="2118"/>
      <c r="AM186" s="2108"/>
      <c r="AN186" s="2224"/>
      <c r="AO186" s="2224"/>
      <c r="AP186" s="2118"/>
      <c r="AQ186" s="1912"/>
      <c r="AR186" s="2143" t="s">
        <v>1283</v>
      </c>
      <c r="AS186" s="2143"/>
      <c r="AT186" s="2143">
        <v>32709400</v>
      </c>
      <c r="AU186" s="2143"/>
      <c r="AV186" s="2084" t="s">
        <v>633</v>
      </c>
      <c r="AW186" s="2070" t="e">
        <f>#REF!</f>
        <v>#REF!</v>
      </c>
      <c r="AX186" s="2143"/>
      <c r="AY186" s="2182"/>
      <c r="AZ186" s="2278"/>
      <c r="BA186" s="2118"/>
      <c r="BB186" s="2162"/>
      <c r="BC186" s="2163"/>
      <c r="BD186" s="1971"/>
    </row>
    <row r="187" spans="1:56" s="1726" customFormat="1" ht="20.100000000000001" hidden="1" customHeight="1">
      <c r="A187" s="2194"/>
      <c r="B187" s="1786"/>
      <c r="C187" s="1786"/>
      <c r="D187" s="1787" t="s">
        <v>352</v>
      </c>
      <c r="E187" s="1786"/>
      <c r="F187" s="1787" t="s">
        <v>354</v>
      </c>
      <c r="G187" s="1912"/>
      <c r="H187" s="1787" t="s">
        <v>358</v>
      </c>
      <c r="I187" s="1786"/>
      <c r="J187" s="1787" t="s">
        <v>357</v>
      </c>
      <c r="K187" s="1787"/>
      <c r="L187" s="67" t="s">
        <v>983</v>
      </c>
      <c r="M187" s="1786">
        <v>1</v>
      </c>
      <c r="N187" s="1786"/>
      <c r="O187" s="1786"/>
      <c r="P187" s="1827"/>
      <c r="Q187" s="1786"/>
      <c r="R187" s="1786"/>
      <c r="S187" s="1786"/>
      <c r="T187" s="1855">
        <v>0</v>
      </c>
      <c r="U187" s="77">
        <v>51777700</v>
      </c>
      <c r="V187" s="1603">
        <v>6994700</v>
      </c>
      <c r="W187" s="2204">
        <v>0</v>
      </c>
      <c r="X187" s="2067" t="e">
        <f>#REF!+#REF!+#REF!</f>
        <v>#REF!</v>
      </c>
      <c r="Y187" s="2212" t="s">
        <v>633</v>
      </c>
      <c r="Z187" s="2084" t="s">
        <v>633</v>
      </c>
      <c r="AA187" s="2220" t="e">
        <f>#REF!</f>
        <v>#REF!</v>
      </c>
      <c r="AB187" s="1877"/>
      <c r="AC187" s="2221"/>
      <c r="AD187" s="2222"/>
      <c r="AE187" s="2223"/>
      <c r="AF187" s="2222"/>
      <c r="AG187" s="2234"/>
      <c r="AH187" s="1877"/>
      <c r="AI187" s="2235"/>
      <c r="AJ187" s="2118"/>
      <c r="AK187" s="2118"/>
      <c r="AL187" s="2118"/>
      <c r="AM187" s="2108"/>
      <c r="AN187" s="2224"/>
      <c r="AO187" s="2224"/>
      <c r="AP187" s="2118"/>
      <c r="AQ187" s="1912"/>
      <c r="AR187" s="2143" t="s">
        <v>1283</v>
      </c>
      <c r="AS187" s="2143"/>
      <c r="AT187" s="2143">
        <v>51777700</v>
      </c>
      <c r="AU187" s="2143"/>
      <c r="AV187" s="2084" t="s">
        <v>633</v>
      </c>
      <c r="AW187" s="2070" t="e">
        <f>#REF!</f>
        <v>#REF!</v>
      </c>
      <c r="AX187" s="2143"/>
      <c r="AY187" s="2182"/>
      <c r="AZ187" s="2278"/>
      <c r="BA187" s="2118"/>
      <c r="BB187" s="2162"/>
      <c r="BC187" s="2163"/>
      <c r="BD187" s="1971"/>
    </row>
    <row r="188" spans="1:56" s="1726" customFormat="1" ht="20.100000000000001" hidden="1" customHeight="1">
      <c r="A188" s="2194"/>
      <c r="B188" s="1786"/>
      <c r="C188" s="1786"/>
      <c r="D188" s="1787" t="s">
        <v>352</v>
      </c>
      <c r="E188" s="1786"/>
      <c r="F188" s="1787" t="s">
        <v>354</v>
      </c>
      <c r="G188" s="1912"/>
      <c r="H188" s="1787" t="s">
        <v>358</v>
      </c>
      <c r="I188" s="1786"/>
      <c r="J188" s="1787" t="s">
        <v>357</v>
      </c>
      <c r="K188" s="1787"/>
      <c r="L188" s="67" t="s">
        <v>984</v>
      </c>
      <c r="M188" s="1786">
        <v>1</v>
      </c>
      <c r="N188" s="1786"/>
      <c r="O188" s="1786"/>
      <c r="P188" s="1827"/>
      <c r="Q188" s="1786"/>
      <c r="R188" s="1786"/>
      <c r="S188" s="1786"/>
      <c r="T188" s="1855">
        <v>0</v>
      </c>
      <c r="U188" s="77">
        <v>49950100</v>
      </c>
      <c r="V188" s="1603">
        <v>5040700</v>
      </c>
      <c r="W188" s="2204">
        <v>0</v>
      </c>
      <c r="X188" s="2067" t="e">
        <f>#REF!+#REF!+#REF!</f>
        <v>#REF!</v>
      </c>
      <c r="Y188" s="2212" t="s">
        <v>633</v>
      </c>
      <c r="Z188" s="2084" t="s">
        <v>633</v>
      </c>
      <c r="AA188" s="2220" t="e">
        <f>#REF!</f>
        <v>#REF!</v>
      </c>
      <c r="AB188" s="1877"/>
      <c r="AC188" s="2221"/>
      <c r="AD188" s="2222"/>
      <c r="AE188" s="2223"/>
      <c r="AF188" s="2222"/>
      <c r="AG188" s="2234"/>
      <c r="AH188" s="1877"/>
      <c r="AI188" s="2235"/>
      <c r="AJ188" s="2118"/>
      <c r="AK188" s="2118"/>
      <c r="AL188" s="2118"/>
      <c r="AM188" s="2108"/>
      <c r="AN188" s="2224"/>
      <c r="AO188" s="2224"/>
      <c r="AP188" s="2118"/>
      <c r="AQ188" s="1912"/>
      <c r="AR188" s="2143" t="s">
        <v>1283</v>
      </c>
      <c r="AS188" s="2143"/>
      <c r="AT188" s="2143">
        <v>49950100</v>
      </c>
      <c r="AU188" s="2143"/>
      <c r="AV188" s="2084" t="s">
        <v>633</v>
      </c>
      <c r="AW188" s="2070" t="e">
        <f>#REF!</f>
        <v>#REF!</v>
      </c>
      <c r="AX188" s="2143"/>
      <c r="AY188" s="2182"/>
      <c r="AZ188" s="2278"/>
      <c r="BA188" s="2118"/>
      <c r="BB188" s="2162"/>
      <c r="BC188" s="2163"/>
      <c r="BD188" s="1971"/>
    </row>
    <row r="189" spans="1:56" s="1726" customFormat="1" ht="20.100000000000001" hidden="1" customHeight="1">
      <c r="A189" s="1807">
        <v>121</v>
      </c>
      <c r="B189" s="1776"/>
      <c r="C189" s="1776"/>
      <c r="D189" s="1777" t="s">
        <v>352</v>
      </c>
      <c r="E189" s="1776">
        <v>9</v>
      </c>
      <c r="F189" s="1777" t="s">
        <v>377</v>
      </c>
      <c r="G189" s="2193"/>
      <c r="H189" s="1777" t="s">
        <v>381</v>
      </c>
      <c r="I189" s="1776" t="s">
        <v>23</v>
      </c>
      <c r="J189" s="1777" t="s">
        <v>380</v>
      </c>
      <c r="K189" s="1776">
        <v>1</v>
      </c>
      <c r="L189" s="3273" t="s">
        <v>383</v>
      </c>
      <c r="M189" s="1776">
        <v>0</v>
      </c>
      <c r="N189" s="1776">
        <v>0</v>
      </c>
      <c r="O189" s="1776">
        <v>1</v>
      </c>
      <c r="P189" s="1824">
        <v>0</v>
      </c>
      <c r="Q189" s="1776">
        <v>0</v>
      </c>
      <c r="R189" s="1776">
        <v>1</v>
      </c>
      <c r="S189" s="1776">
        <v>102</v>
      </c>
      <c r="T189" s="1854">
        <f>SUM(T190:T196)</f>
        <v>238210000</v>
      </c>
      <c r="U189" s="1854">
        <f>SUM(U190:U196)</f>
        <v>298145500</v>
      </c>
      <c r="V189" s="1854">
        <f t="shared" ref="V189:W189" si="18">SUM(V190:V196)</f>
        <v>60851400</v>
      </c>
      <c r="W189" s="1854">
        <f t="shared" si="18"/>
        <v>0</v>
      </c>
      <c r="X189" s="1854">
        <f>SUM(X190:X195)</f>
        <v>288657100</v>
      </c>
      <c r="Y189" s="2219" t="s">
        <v>21</v>
      </c>
      <c r="Z189" s="2219"/>
      <c r="AA189" s="1854">
        <f>SUM(AA190:AA195)</f>
        <v>238210000</v>
      </c>
      <c r="AB189" s="1874"/>
      <c r="AC189" s="1854"/>
      <c r="AD189" s="1875"/>
      <c r="AE189" s="1854"/>
      <c r="AF189" s="1875"/>
      <c r="AG189" s="2219" t="e">
        <f>+#REF!-#REF!</f>
        <v>#REF!</v>
      </c>
      <c r="AH189" s="1874" t="s">
        <v>21</v>
      </c>
      <c r="AI189" s="2193" t="s">
        <v>21</v>
      </c>
      <c r="AJ189" s="2193" t="s">
        <v>21</v>
      </c>
      <c r="AK189" s="2227" t="s">
        <v>21</v>
      </c>
      <c r="AL189" s="3228" t="s">
        <v>21</v>
      </c>
      <c r="AM189" s="3213" t="s">
        <v>21</v>
      </c>
      <c r="AN189" s="3202" t="s">
        <v>21</v>
      </c>
      <c r="AO189" s="3202" t="s">
        <v>21</v>
      </c>
      <c r="AP189" s="2193"/>
      <c r="AQ189" s="2193"/>
      <c r="AR189" s="2193"/>
      <c r="AS189" s="3225" t="s">
        <v>21</v>
      </c>
      <c r="AT189" s="1854">
        <f>SUM(AT190:AT195)</f>
        <v>238210000</v>
      </c>
      <c r="AU189" s="1854"/>
      <c r="AV189" s="2219" t="s">
        <v>21</v>
      </c>
      <c r="AW189" s="2219"/>
      <c r="AX189" s="1912" t="s">
        <v>21</v>
      </c>
      <c r="AY189" s="2219"/>
      <c r="AZ189" s="3228" t="s">
        <v>985</v>
      </c>
      <c r="BA189" s="2236"/>
      <c r="BB189" s="1965" t="s">
        <v>962</v>
      </c>
      <c r="BC189" s="1966"/>
      <c r="BD189" s="1971"/>
    </row>
    <row r="190" spans="1:56" s="1726" customFormat="1" ht="20.100000000000001" hidden="1" customHeight="1">
      <c r="A190" s="1785">
        <v>124</v>
      </c>
      <c r="B190" s="1786"/>
      <c r="C190" s="1786"/>
      <c r="D190" s="1787" t="s">
        <v>352</v>
      </c>
      <c r="E190" s="1786">
        <v>9</v>
      </c>
      <c r="F190" s="1787" t="s">
        <v>377</v>
      </c>
      <c r="G190" s="1788"/>
      <c r="H190" s="1787" t="s">
        <v>381</v>
      </c>
      <c r="I190" s="1790" t="s">
        <v>23</v>
      </c>
      <c r="J190" s="1787" t="s">
        <v>380</v>
      </c>
      <c r="K190" s="1786">
        <v>1</v>
      </c>
      <c r="L190" s="3269" t="s">
        <v>986</v>
      </c>
      <c r="M190" s="1786">
        <v>1</v>
      </c>
      <c r="N190" s="1786">
        <v>1</v>
      </c>
      <c r="O190" s="1786">
        <v>2</v>
      </c>
      <c r="P190" s="1790">
        <f t="shared" ref="P190:Q194" si="19">1/6</f>
        <v>0.16666666666666666</v>
      </c>
      <c r="Q190" s="1790">
        <f t="shared" si="19"/>
        <v>0.16666666666666666</v>
      </c>
      <c r="R190" s="1790">
        <v>0</v>
      </c>
      <c r="S190" s="1790"/>
      <c r="T190" s="1855">
        <v>40000000</v>
      </c>
      <c r="U190" s="1855">
        <v>40000000</v>
      </c>
      <c r="V190" s="1855">
        <v>10000000</v>
      </c>
      <c r="W190" s="1855">
        <v>0</v>
      </c>
      <c r="X190" s="1856">
        <f t="shared" ref="X190:X195" si="20">T190+V190+W190</f>
        <v>50000000</v>
      </c>
      <c r="Y190" s="2070" t="s">
        <v>58</v>
      </c>
      <c r="Z190" s="1879" t="s">
        <v>619</v>
      </c>
      <c r="AA190" s="1876">
        <v>40000000</v>
      </c>
      <c r="AB190" s="1877"/>
      <c r="AC190" s="1876"/>
      <c r="AD190" s="2098"/>
      <c r="AE190" s="1876"/>
      <c r="AF190" s="2098"/>
      <c r="AG190" s="2070">
        <v>0</v>
      </c>
      <c r="AH190" s="1877" t="s">
        <v>617</v>
      </c>
      <c r="AI190" s="2118" t="s">
        <v>248</v>
      </c>
      <c r="AJ190" s="3205" t="s">
        <v>387</v>
      </c>
      <c r="AK190" s="1913">
        <v>0.85</v>
      </c>
      <c r="AL190" s="3229" t="s">
        <v>21</v>
      </c>
      <c r="AM190" s="1882">
        <v>2016</v>
      </c>
      <c r="AN190" s="3226" t="s">
        <v>568</v>
      </c>
      <c r="AO190" s="2254" t="s">
        <v>568</v>
      </c>
      <c r="AP190" s="1912" t="s">
        <v>570</v>
      </c>
      <c r="AQ190" s="1912"/>
      <c r="AR190" s="1912" t="s">
        <v>1291</v>
      </c>
      <c r="AS190" s="3215" t="s">
        <v>21</v>
      </c>
      <c r="AT190" s="1876">
        <v>40000000</v>
      </c>
      <c r="AU190" s="1876"/>
      <c r="AV190" s="2070" t="s">
        <v>58</v>
      </c>
      <c r="AW190" s="2070" t="e">
        <f>#REF!</f>
        <v>#REF!</v>
      </c>
      <c r="AX190" s="1912" t="s">
        <v>21</v>
      </c>
      <c r="AY190" s="1879" t="s">
        <v>619</v>
      </c>
      <c r="AZ190" s="3206" t="s">
        <v>987</v>
      </c>
      <c r="BA190" s="2237"/>
      <c r="BB190" s="3194" t="s">
        <v>988</v>
      </c>
      <c r="BC190" s="1976"/>
      <c r="BD190" s="1971"/>
    </row>
    <row r="191" spans="1:56" s="1726" customFormat="1" ht="20.100000000000001" hidden="1" customHeight="1">
      <c r="A191" s="1785">
        <v>125</v>
      </c>
      <c r="B191" s="1786"/>
      <c r="C191" s="1786"/>
      <c r="D191" s="1787" t="s">
        <v>352</v>
      </c>
      <c r="E191" s="1786">
        <v>9</v>
      </c>
      <c r="F191" s="1787" t="s">
        <v>377</v>
      </c>
      <c r="G191" s="1788"/>
      <c r="H191" s="1787" t="s">
        <v>381</v>
      </c>
      <c r="I191" s="1790" t="s">
        <v>23</v>
      </c>
      <c r="J191" s="1787" t="s">
        <v>380</v>
      </c>
      <c r="K191" s="1786">
        <v>1</v>
      </c>
      <c r="L191" s="3269" t="s">
        <v>989</v>
      </c>
      <c r="M191" s="1786">
        <v>1</v>
      </c>
      <c r="N191" s="1786">
        <v>1</v>
      </c>
      <c r="O191" s="1786">
        <v>2</v>
      </c>
      <c r="P191" s="1790">
        <f t="shared" si="19"/>
        <v>0.16666666666666666</v>
      </c>
      <c r="Q191" s="1790">
        <f t="shared" si="19"/>
        <v>0.16666666666666666</v>
      </c>
      <c r="R191" s="1790">
        <v>0</v>
      </c>
      <c r="S191" s="1790"/>
      <c r="T191" s="1855">
        <v>40000000</v>
      </c>
      <c r="U191" s="1855">
        <v>40000000</v>
      </c>
      <c r="V191" s="1855">
        <v>5985000</v>
      </c>
      <c r="W191" s="1855">
        <v>0</v>
      </c>
      <c r="X191" s="1856">
        <f t="shared" si="20"/>
        <v>45985000</v>
      </c>
      <c r="Y191" s="2070" t="s">
        <v>58</v>
      </c>
      <c r="Z191" s="1879" t="s">
        <v>619</v>
      </c>
      <c r="AA191" s="1876">
        <v>40000000</v>
      </c>
      <c r="AB191" s="1877"/>
      <c r="AC191" s="1876"/>
      <c r="AD191" s="2098"/>
      <c r="AE191" s="1876"/>
      <c r="AF191" s="2098"/>
      <c r="AG191" s="2070">
        <v>0</v>
      </c>
      <c r="AH191" s="1877" t="s">
        <v>617</v>
      </c>
      <c r="AI191" s="2118" t="s">
        <v>248</v>
      </c>
      <c r="AJ191" s="3205" t="s">
        <v>391</v>
      </c>
      <c r="AK191" s="1913">
        <v>1</v>
      </c>
      <c r="AL191" s="3229" t="s">
        <v>21</v>
      </c>
      <c r="AM191" s="1882">
        <v>2016</v>
      </c>
      <c r="AN191" s="3227" t="s">
        <v>568</v>
      </c>
      <c r="AO191" s="2255" t="s">
        <v>568</v>
      </c>
      <c r="AP191" s="1912" t="s">
        <v>570</v>
      </c>
      <c r="AQ191" s="1912"/>
      <c r="AR191" s="1912" t="s">
        <v>1291</v>
      </c>
      <c r="AS191" s="3215" t="s">
        <v>21</v>
      </c>
      <c r="AT191" s="1876">
        <v>40000000</v>
      </c>
      <c r="AU191" s="1876"/>
      <c r="AV191" s="2070" t="s">
        <v>58</v>
      </c>
      <c r="AW191" s="2070" t="e">
        <f>#REF!</f>
        <v>#REF!</v>
      </c>
      <c r="AX191" s="1912" t="s">
        <v>21</v>
      </c>
      <c r="AY191" s="1879" t="s">
        <v>619</v>
      </c>
      <c r="AZ191" s="3230" t="s">
        <v>990</v>
      </c>
      <c r="BA191" s="2279"/>
      <c r="BB191" s="3194" t="s">
        <v>991</v>
      </c>
      <c r="BC191" s="1976"/>
      <c r="BD191" s="1971"/>
    </row>
    <row r="192" spans="1:56" s="1726" customFormat="1" ht="20.100000000000001" hidden="1" customHeight="1">
      <c r="A192" s="1785">
        <v>126</v>
      </c>
      <c r="B192" s="1786"/>
      <c r="C192" s="1786"/>
      <c r="D192" s="1787" t="s">
        <v>352</v>
      </c>
      <c r="E192" s="1786">
        <v>9</v>
      </c>
      <c r="F192" s="1787" t="s">
        <v>377</v>
      </c>
      <c r="G192" s="1788"/>
      <c r="H192" s="1787" t="s">
        <v>381</v>
      </c>
      <c r="I192" s="1790" t="s">
        <v>23</v>
      </c>
      <c r="J192" s="1787" t="s">
        <v>380</v>
      </c>
      <c r="K192" s="1786">
        <v>1</v>
      </c>
      <c r="L192" s="3269" t="s">
        <v>992</v>
      </c>
      <c r="M192" s="1786">
        <v>1</v>
      </c>
      <c r="N192" s="1786">
        <v>1</v>
      </c>
      <c r="O192" s="1786">
        <v>2</v>
      </c>
      <c r="P192" s="1790">
        <f t="shared" si="19"/>
        <v>0.16666666666666666</v>
      </c>
      <c r="Q192" s="1790">
        <f t="shared" si="19"/>
        <v>0.16666666666666666</v>
      </c>
      <c r="R192" s="1790">
        <v>0</v>
      </c>
      <c r="S192" s="1790"/>
      <c r="T192" s="1855">
        <v>39908600</v>
      </c>
      <c r="U192" s="1855">
        <v>39908600</v>
      </c>
      <c r="V192" s="1855">
        <v>10290700</v>
      </c>
      <c r="W192" s="1855">
        <v>0</v>
      </c>
      <c r="X192" s="1856">
        <f t="shared" si="20"/>
        <v>50199300</v>
      </c>
      <c r="Y192" s="2070" t="s">
        <v>58</v>
      </c>
      <c r="Z192" s="1879" t="s">
        <v>619</v>
      </c>
      <c r="AA192" s="1876">
        <v>39900000</v>
      </c>
      <c r="AB192" s="1877"/>
      <c r="AC192" s="1876"/>
      <c r="AD192" s="2098"/>
      <c r="AE192" s="1876"/>
      <c r="AF192" s="2098"/>
      <c r="AG192" s="2070">
        <v>0</v>
      </c>
      <c r="AH192" s="1877" t="s">
        <v>617</v>
      </c>
      <c r="AI192" s="2118" t="s">
        <v>248</v>
      </c>
      <c r="AJ192" s="2118" t="s">
        <v>394</v>
      </c>
      <c r="AK192" s="1913">
        <v>1</v>
      </c>
      <c r="AL192" s="3229" t="s">
        <v>21</v>
      </c>
      <c r="AM192" s="1882">
        <v>2016</v>
      </c>
      <c r="AN192" s="3226" t="s">
        <v>568</v>
      </c>
      <c r="AO192" s="2255" t="s">
        <v>568</v>
      </c>
      <c r="AP192" s="1912" t="s">
        <v>570</v>
      </c>
      <c r="AQ192" s="1912"/>
      <c r="AR192" s="1912" t="s">
        <v>1291</v>
      </c>
      <c r="AS192" s="3215" t="s">
        <v>21</v>
      </c>
      <c r="AT192" s="1876">
        <v>39900000</v>
      </c>
      <c r="AU192" s="1876"/>
      <c r="AV192" s="2070" t="s">
        <v>58</v>
      </c>
      <c r="AW192" s="2070" t="e">
        <f>#REF!</f>
        <v>#REF!</v>
      </c>
      <c r="AX192" s="3225" t="s">
        <v>21</v>
      </c>
      <c r="AY192" s="1879" t="s">
        <v>619</v>
      </c>
      <c r="AZ192" s="2237" t="s">
        <v>985</v>
      </c>
      <c r="BA192" s="2237"/>
      <c r="BB192" s="3194" t="s">
        <v>993</v>
      </c>
      <c r="BC192" s="1976"/>
      <c r="BD192" s="1971"/>
    </row>
    <row r="193" spans="1:58" s="1726" customFormat="1" ht="20.100000000000001" hidden="1" customHeight="1">
      <c r="A193" s="1785">
        <v>127</v>
      </c>
      <c r="B193" s="1786"/>
      <c r="C193" s="1786"/>
      <c r="D193" s="1787" t="s">
        <v>352</v>
      </c>
      <c r="E193" s="1786" t="s">
        <v>994</v>
      </c>
      <c r="F193" s="1787" t="s">
        <v>377</v>
      </c>
      <c r="G193" s="1788"/>
      <c r="H193" s="1787" t="s">
        <v>381</v>
      </c>
      <c r="I193" s="1790" t="s">
        <v>23</v>
      </c>
      <c r="J193" s="1787" t="s">
        <v>380</v>
      </c>
      <c r="K193" s="1786">
        <v>1</v>
      </c>
      <c r="L193" s="3269" t="s">
        <v>995</v>
      </c>
      <c r="M193" s="1786">
        <v>1</v>
      </c>
      <c r="N193" s="1786">
        <v>1</v>
      </c>
      <c r="O193" s="1786">
        <v>2</v>
      </c>
      <c r="P193" s="1790">
        <f t="shared" si="19"/>
        <v>0.16666666666666666</v>
      </c>
      <c r="Q193" s="1790">
        <f t="shared" si="19"/>
        <v>0.16666666666666666</v>
      </c>
      <c r="R193" s="1790">
        <v>0</v>
      </c>
      <c r="S193" s="1790"/>
      <c r="T193" s="1855">
        <v>40000000</v>
      </c>
      <c r="U193" s="1855">
        <v>40000000</v>
      </c>
      <c r="V193" s="1855">
        <v>10000000</v>
      </c>
      <c r="W193" s="1855">
        <v>0</v>
      </c>
      <c r="X193" s="1856">
        <f t="shared" si="20"/>
        <v>50000000</v>
      </c>
      <c r="Y193" s="2070" t="s">
        <v>58</v>
      </c>
      <c r="Z193" s="1879" t="s">
        <v>619</v>
      </c>
      <c r="AA193" s="1876">
        <v>40000000</v>
      </c>
      <c r="AB193" s="1877"/>
      <c r="AC193" s="1876"/>
      <c r="AD193" s="2098"/>
      <c r="AE193" s="1876"/>
      <c r="AF193" s="2098"/>
      <c r="AG193" s="2070">
        <v>0</v>
      </c>
      <c r="AH193" s="1877" t="s">
        <v>617</v>
      </c>
      <c r="AI193" s="2118" t="s">
        <v>248</v>
      </c>
      <c r="AJ193" s="2118" t="s">
        <v>396</v>
      </c>
      <c r="AK193" s="1913">
        <v>1</v>
      </c>
      <c r="AL193" s="3229" t="s">
        <v>21</v>
      </c>
      <c r="AM193" s="1882">
        <v>2016</v>
      </c>
      <c r="AN193" s="3226" t="s">
        <v>568</v>
      </c>
      <c r="AO193" s="2255" t="s">
        <v>568</v>
      </c>
      <c r="AP193" s="1912" t="s">
        <v>570</v>
      </c>
      <c r="AQ193" s="1912"/>
      <c r="AR193" s="1912" t="s">
        <v>1291</v>
      </c>
      <c r="AS193" s="3215" t="s">
        <v>21</v>
      </c>
      <c r="AT193" s="1876">
        <v>40000000</v>
      </c>
      <c r="AU193" s="1876"/>
      <c r="AV193" s="2070" t="s">
        <v>58</v>
      </c>
      <c r="AW193" s="2070" t="e">
        <f>#REF!</f>
        <v>#REF!</v>
      </c>
      <c r="AX193" s="1912" t="s">
        <v>21</v>
      </c>
      <c r="AY193" s="1879" t="s">
        <v>619</v>
      </c>
      <c r="AZ193" s="2237" t="s">
        <v>985</v>
      </c>
      <c r="BA193" s="2237"/>
      <c r="BB193" s="3187" t="s">
        <v>996</v>
      </c>
      <c r="BC193" s="1984"/>
      <c r="BD193" s="1971"/>
    </row>
    <row r="194" spans="1:58" ht="20.100000000000001" hidden="1" customHeight="1">
      <c r="A194" s="1785">
        <v>128</v>
      </c>
      <c r="B194" s="1786"/>
      <c r="C194" s="1786"/>
      <c r="D194" s="1787" t="s">
        <v>352</v>
      </c>
      <c r="E194" s="1786">
        <v>9</v>
      </c>
      <c r="F194" s="1787" t="s">
        <v>377</v>
      </c>
      <c r="G194" s="1788"/>
      <c r="H194" s="1787" t="s">
        <v>381</v>
      </c>
      <c r="I194" s="1790" t="s">
        <v>23</v>
      </c>
      <c r="J194" s="1787" t="s">
        <v>380</v>
      </c>
      <c r="K194" s="1786">
        <v>1</v>
      </c>
      <c r="L194" s="3269" t="s">
        <v>997</v>
      </c>
      <c r="M194" s="1786">
        <v>1</v>
      </c>
      <c r="N194" s="1786">
        <v>1</v>
      </c>
      <c r="O194" s="1786">
        <v>2</v>
      </c>
      <c r="P194" s="1790">
        <f t="shared" si="19"/>
        <v>0.16666666666666666</v>
      </c>
      <c r="Q194" s="1790">
        <f t="shared" si="19"/>
        <v>0.16666666666666666</v>
      </c>
      <c r="R194" s="1790">
        <v>0</v>
      </c>
      <c r="S194" s="1790"/>
      <c r="T194" s="1855">
        <v>40000000</v>
      </c>
      <c r="U194" s="1855">
        <v>40000000</v>
      </c>
      <c r="V194" s="1855">
        <v>10000000</v>
      </c>
      <c r="W194" s="1855">
        <v>0</v>
      </c>
      <c r="X194" s="1856">
        <f t="shared" si="20"/>
        <v>50000000</v>
      </c>
      <c r="Y194" s="2070" t="s">
        <v>58</v>
      </c>
      <c r="Z194" s="1879" t="s">
        <v>619</v>
      </c>
      <c r="AA194" s="1876">
        <v>40000000</v>
      </c>
      <c r="AB194" s="1877"/>
      <c r="AC194" s="1876"/>
      <c r="AD194" s="2098"/>
      <c r="AE194" s="1876"/>
      <c r="AF194" s="2098"/>
      <c r="AG194" s="2070">
        <v>0</v>
      </c>
      <c r="AH194" s="1877" t="s">
        <v>617</v>
      </c>
      <c r="AI194" s="2118" t="s">
        <v>248</v>
      </c>
      <c r="AJ194" s="3205" t="s">
        <v>398</v>
      </c>
      <c r="AK194" s="1913">
        <v>1</v>
      </c>
      <c r="AL194" s="3229" t="s">
        <v>21</v>
      </c>
      <c r="AM194" s="1882">
        <v>2016</v>
      </c>
      <c r="AN194" s="3226" t="s">
        <v>568</v>
      </c>
      <c r="AO194" s="2255" t="s">
        <v>568</v>
      </c>
      <c r="AP194" s="1912" t="s">
        <v>570</v>
      </c>
      <c r="AQ194" s="1912"/>
      <c r="AR194" s="1912" t="s">
        <v>1291</v>
      </c>
      <c r="AS194" s="3215" t="s">
        <v>21</v>
      </c>
      <c r="AT194" s="1876">
        <v>40000000</v>
      </c>
      <c r="AU194" s="1876"/>
      <c r="AV194" s="2070" t="s">
        <v>58</v>
      </c>
      <c r="AW194" s="2070" t="e">
        <f>#REF!</f>
        <v>#REF!</v>
      </c>
      <c r="AX194" s="1912" t="s">
        <v>21</v>
      </c>
      <c r="AY194" s="1879" t="s">
        <v>619</v>
      </c>
      <c r="AZ194" s="3230" t="s">
        <v>998</v>
      </c>
      <c r="BA194" s="2279"/>
      <c r="BB194" s="3187" t="s">
        <v>999</v>
      </c>
      <c r="BC194" s="1984"/>
      <c r="BD194" s="1764"/>
      <c r="BE194" s="1762"/>
      <c r="BF194" s="1762"/>
    </row>
    <row r="195" spans="1:58" ht="20.100000000000001" hidden="1" customHeight="1">
      <c r="A195" s="1785">
        <v>123</v>
      </c>
      <c r="B195" s="1786"/>
      <c r="C195" s="1786"/>
      <c r="D195" s="1787" t="s">
        <v>352</v>
      </c>
      <c r="E195" s="1786">
        <v>9</v>
      </c>
      <c r="F195" s="1787" t="s">
        <v>377</v>
      </c>
      <c r="G195" s="1788"/>
      <c r="H195" s="1787" t="s">
        <v>381</v>
      </c>
      <c r="I195" s="1790" t="s">
        <v>23</v>
      </c>
      <c r="J195" s="1787" t="s">
        <v>380</v>
      </c>
      <c r="K195" s="1786">
        <v>1</v>
      </c>
      <c r="L195" s="3269" t="s">
        <v>1000</v>
      </c>
      <c r="M195" s="1786">
        <v>1</v>
      </c>
      <c r="N195" s="1786">
        <v>1</v>
      </c>
      <c r="O195" s="1786">
        <v>2</v>
      </c>
      <c r="P195" s="1790">
        <f>1/6</f>
        <v>0.16666666666666666</v>
      </c>
      <c r="Q195" s="1790">
        <f>1/6</f>
        <v>0.16666666666666666</v>
      </c>
      <c r="R195" s="1790">
        <v>0</v>
      </c>
      <c r="S195" s="1790"/>
      <c r="T195" s="1855">
        <v>38301400</v>
      </c>
      <c r="U195" s="1855">
        <v>38301400</v>
      </c>
      <c r="V195" s="1855">
        <v>4171400</v>
      </c>
      <c r="W195" s="1855">
        <v>0</v>
      </c>
      <c r="X195" s="1856">
        <f t="shared" si="20"/>
        <v>42472800</v>
      </c>
      <c r="Y195" s="2070" t="s">
        <v>58</v>
      </c>
      <c r="Z195" s="1879" t="s">
        <v>619</v>
      </c>
      <c r="AA195" s="1876">
        <v>38310000</v>
      </c>
      <c r="AB195" s="1877"/>
      <c r="AC195" s="1876"/>
      <c r="AD195" s="2098"/>
      <c r="AE195" s="1876"/>
      <c r="AF195" s="2098"/>
      <c r="AG195" s="2070">
        <v>0</v>
      </c>
      <c r="AH195" s="1877" t="s">
        <v>617</v>
      </c>
      <c r="AI195" s="2118" t="s">
        <v>248</v>
      </c>
      <c r="AJ195" s="2118" t="s">
        <v>385</v>
      </c>
      <c r="AK195" s="1913">
        <v>1</v>
      </c>
      <c r="AL195" s="3229" t="s">
        <v>21</v>
      </c>
      <c r="AM195" s="1882">
        <v>2016</v>
      </c>
      <c r="AN195" s="3226" t="s">
        <v>568</v>
      </c>
      <c r="AO195" s="2255" t="s">
        <v>568</v>
      </c>
      <c r="AP195" s="1912" t="s">
        <v>570</v>
      </c>
      <c r="AQ195" s="1912"/>
      <c r="AR195" s="1912" t="s">
        <v>1291</v>
      </c>
      <c r="AS195" s="3215" t="s">
        <v>21</v>
      </c>
      <c r="AT195" s="1876">
        <v>38310000</v>
      </c>
      <c r="AU195" s="1876"/>
      <c r="AV195" s="2070" t="s">
        <v>58</v>
      </c>
      <c r="AW195" s="2070" t="e">
        <f>#REF!</f>
        <v>#REF!</v>
      </c>
      <c r="AX195" s="1912" t="s">
        <v>21</v>
      </c>
      <c r="AY195" s="1879" t="s">
        <v>619</v>
      </c>
      <c r="AZ195" s="3229" t="s">
        <v>985</v>
      </c>
      <c r="BA195" s="2237"/>
      <c r="BB195" s="3194" t="s">
        <v>1001</v>
      </c>
      <c r="BC195" s="1976"/>
      <c r="BD195" s="1764"/>
      <c r="BE195" s="1762"/>
      <c r="BF195" s="1762"/>
    </row>
    <row r="196" spans="1:58" ht="20.100000000000001" hidden="1" customHeight="1">
      <c r="A196" s="2018"/>
      <c r="B196" s="1790"/>
      <c r="C196" s="1790"/>
      <c r="D196" s="1787" t="s">
        <v>352</v>
      </c>
      <c r="E196" s="1790"/>
      <c r="F196" s="1787" t="s">
        <v>377</v>
      </c>
      <c r="G196" s="1788"/>
      <c r="H196" s="1787" t="s">
        <v>381</v>
      </c>
      <c r="I196" s="1790"/>
      <c r="J196" s="1787" t="s">
        <v>380</v>
      </c>
      <c r="K196" s="1791"/>
      <c r="L196" s="3274" t="s">
        <v>1002</v>
      </c>
      <c r="M196" s="1790">
        <v>1</v>
      </c>
      <c r="N196" s="1790"/>
      <c r="O196" s="1790"/>
      <c r="P196" s="1829"/>
      <c r="Q196" s="1790"/>
      <c r="R196" s="1790"/>
      <c r="S196" s="1790"/>
      <c r="T196" s="1856">
        <v>0</v>
      </c>
      <c r="U196" s="77">
        <v>59935500</v>
      </c>
      <c r="V196" s="1603">
        <v>10404300</v>
      </c>
      <c r="W196" s="2204"/>
      <c r="X196" s="2067" t="e">
        <f>#REF!+#REF!+#REF!</f>
        <v>#REF!</v>
      </c>
      <c r="Y196" s="2212" t="s">
        <v>633</v>
      </c>
      <c r="Z196" s="2084" t="s">
        <v>633</v>
      </c>
      <c r="AA196" s="2094" t="e">
        <f>#REF!</f>
        <v>#REF!</v>
      </c>
      <c r="AB196" s="1880"/>
      <c r="AC196" s="1680"/>
      <c r="AD196" s="2074"/>
      <c r="AE196" s="2075"/>
      <c r="AF196" s="2074"/>
      <c r="AG196" s="2070"/>
      <c r="AH196" s="1877"/>
      <c r="AI196" s="2102"/>
      <c r="AJ196" s="2011"/>
      <c r="AK196" s="2011"/>
      <c r="AL196" s="2011"/>
      <c r="AM196" s="1882"/>
      <c r="AN196" s="1925"/>
      <c r="AO196" s="1925"/>
      <c r="AP196" s="2011"/>
      <c r="AQ196" s="1912"/>
      <c r="AR196" s="2143" t="s">
        <v>1283</v>
      </c>
      <c r="AS196" s="2143"/>
      <c r="AT196" s="2143">
        <v>59935500</v>
      </c>
      <c r="AU196" s="2143"/>
      <c r="AV196" s="2084" t="s">
        <v>633</v>
      </c>
      <c r="AW196" s="2070" t="e">
        <f>#REF!</f>
        <v>#REF!</v>
      </c>
      <c r="AX196" s="2143"/>
      <c r="AY196" s="2182"/>
      <c r="AZ196" s="2257"/>
      <c r="BA196" s="2237"/>
      <c r="BB196" s="2149"/>
      <c r="BC196" s="2150"/>
      <c r="BD196" s="1764"/>
      <c r="BE196" s="1762"/>
      <c r="BF196" s="1762"/>
    </row>
    <row r="197" spans="1:58" ht="20.100000000000001" hidden="1" customHeight="1">
      <c r="A197" s="1792">
        <v>129</v>
      </c>
      <c r="B197" s="1790"/>
      <c r="C197" s="1790"/>
      <c r="D197" s="1791" t="s">
        <v>352</v>
      </c>
      <c r="E197" s="1790">
        <v>10</v>
      </c>
      <c r="F197" s="1791" t="s">
        <v>400</v>
      </c>
      <c r="G197" s="1788"/>
      <c r="H197" s="1791" t="s">
        <v>403</v>
      </c>
      <c r="I197" s="1790" t="s">
        <v>23</v>
      </c>
      <c r="J197" s="1791" t="s">
        <v>1003</v>
      </c>
      <c r="K197" s="1790">
        <v>1</v>
      </c>
      <c r="L197" s="3274" t="s">
        <v>404</v>
      </c>
      <c r="M197" s="1790">
        <v>1</v>
      </c>
      <c r="N197" s="1790">
        <v>1</v>
      </c>
      <c r="O197" s="1790">
        <v>0</v>
      </c>
      <c r="P197" s="1829">
        <v>1</v>
      </c>
      <c r="Q197" s="1790">
        <v>1</v>
      </c>
      <c r="R197" s="1790">
        <v>1</v>
      </c>
      <c r="S197" s="1790">
        <v>103</v>
      </c>
      <c r="T197" s="1856">
        <v>300000000</v>
      </c>
      <c r="U197" s="1856">
        <v>300000000</v>
      </c>
      <c r="V197" s="1856">
        <v>0</v>
      </c>
      <c r="W197" s="1856">
        <v>0</v>
      </c>
      <c r="X197" s="2068">
        <v>300000000</v>
      </c>
      <c r="Y197" s="2068" t="s">
        <v>62</v>
      </c>
      <c r="Z197" s="1879" t="s">
        <v>619</v>
      </c>
      <c r="AA197" s="1879">
        <v>300000000</v>
      </c>
      <c r="AB197" s="1877"/>
      <c r="AC197" s="1879"/>
      <c r="AD197" s="2095"/>
      <c r="AE197" s="1879"/>
      <c r="AF197" s="2095"/>
      <c r="AG197" s="2070">
        <v>0</v>
      </c>
      <c r="AH197" s="1877" t="s">
        <v>617</v>
      </c>
      <c r="AI197" s="2102" t="s">
        <v>248</v>
      </c>
      <c r="AJ197" s="3160" t="s">
        <v>405</v>
      </c>
      <c r="AK197" s="2011" t="s">
        <v>183</v>
      </c>
      <c r="AL197" s="3160" t="s">
        <v>21</v>
      </c>
      <c r="AM197" s="1882"/>
      <c r="AN197" s="3226" t="s">
        <v>608</v>
      </c>
      <c r="AO197" s="2255" t="s">
        <v>645</v>
      </c>
      <c r="AP197" s="1912" t="s">
        <v>570</v>
      </c>
      <c r="AQ197" s="1912"/>
      <c r="AR197" s="1912" t="s">
        <v>1292</v>
      </c>
      <c r="AS197" s="3215" t="s">
        <v>719</v>
      </c>
      <c r="AT197" s="1879">
        <v>300000000</v>
      </c>
      <c r="AU197" s="1879"/>
      <c r="AV197" s="2068" t="s">
        <v>62</v>
      </c>
      <c r="AW197" s="2070" t="e">
        <f>#REF!</f>
        <v>#REF!</v>
      </c>
      <c r="AX197" s="1912" t="s">
        <v>21</v>
      </c>
      <c r="AY197" s="1879" t="s">
        <v>619</v>
      </c>
      <c r="AZ197" s="3136" t="s">
        <v>1004</v>
      </c>
      <c r="BA197" s="3232" t="s">
        <v>1005</v>
      </c>
      <c r="BB197" s="3194" t="s">
        <v>1006</v>
      </c>
      <c r="BC197" s="1976"/>
      <c r="BD197" s="1764"/>
      <c r="BE197" s="1762"/>
      <c r="BF197" s="1762"/>
    </row>
    <row r="198" spans="1:58" s="1723" customFormat="1" ht="20.100000000000001" hidden="1" customHeight="1">
      <c r="A198" s="1792">
        <v>130</v>
      </c>
      <c r="B198" s="1790"/>
      <c r="C198" s="1790"/>
      <c r="D198" s="1791" t="s">
        <v>352</v>
      </c>
      <c r="E198" s="1790">
        <v>11</v>
      </c>
      <c r="F198" s="1791" t="s">
        <v>406</v>
      </c>
      <c r="G198" s="1788"/>
      <c r="H198" s="1791" t="s">
        <v>409</v>
      </c>
      <c r="I198" s="1790" t="s">
        <v>23</v>
      </c>
      <c r="J198" s="1791" t="s">
        <v>408</v>
      </c>
      <c r="K198" s="1790">
        <v>1</v>
      </c>
      <c r="L198" s="1791" t="s">
        <v>410</v>
      </c>
      <c r="M198" s="1790">
        <v>1</v>
      </c>
      <c r="N198" s="1790">
        <v>1</v>
      </c>
      <c r="O198" s="1790">
        <v>0</v>
      </c>
      <c r="P198" s="1829">
        <v>1</v>
      </c>
      <c r="Q198" s="1790">
        <v>1</v>
      </c>
      <c r="R198" s="1790">
        <v>1</v>
      </c>
      <c r="S198" s="1790">
        <v>104</v>
      </c>
      <c r="T198" s="1856">
        <v>150000000</v>
      </c>
      <c r="U198" s="1856">
        <v>150000000</v>
      </c>
      <c r="V198" s="1856">
        <f>T198*10%</f>
        <v>15000000</v>
      </c>
      <c r="W198" s="2312">
        <v>0</v>
      </c>
      <c r="X198" s="2068">
        <f>T198+V198+W198</f>
        <v>165000000</v>
      </c>
      <c r="Y198" s="2068" t="s">
        <v>62</v>
      </c>
      <c r="Z198" s="1879" t="s">
        <v>619</v>
      </c>
      <c r="AA198" s="1879">
        <v>150000000</v>
      </c>
      <c r="AB198" s="1877"/>
      <c r="AC198" s="1879"/>
      <c r="AD198" s="2095"/>
      <c r="AE198" s="1879"/>
      <c r="AF198" s="2095"/>
      <c r="AG198" s="2070">
        <v>0</v>
      </c>
      <c r="AH198" s="1877" t="s">
        <v>617</v>
      </c>
      <c r="AI198" s="3160" t="s">
        <v>21</v>
      </c>
      <c r="AJ198" s="3160" t="s">
        <v>21</v>
      </c>
      <c r="AK198" s="2011" t="s">
        <v>411</v>
      </c>
      <c r="AL198" s="3160" t="s">
        <v>21</v>
      </c>
      <c r="AM198" s="1882"/>
      <c r="AN198" s="3202" t="s">
        <v>603</v>
      </c>
      <c r="AO198" s="2255" t="s">
        <v>645</v>
      </c>
      <c r="AP198" s="1912" t="s">
        <v>570</v>
      </c>
      <c r="AQ198" s="1912"/>
      <c r="AR198" s="1912" t="s">
        <v>1292</v>
      </c>
      <c r="AS198" s="3209" t="s">
        <v>571</v>
      </c>
      <c r="AT198" s="1879">
        <v>150000000</v>
      </c>
      <c r="AU198" s="1879"/>
      <c r="AV198" s="2068" t="s">
        <v>62</v>
      </c>
      <c r="AW198" s="2070" t="e">
        <f>#REF!</f>
        <v>#REF!</v>
      </c>
      <c r="AX198" s="1912" t="s">
        <v>21</v>
      </c>
      <c r="AY198" s="1879" t="s">
        <v>619</v>
      </c>
      <c r="AZ198" s="2011" t="s">
        <v>1007</v>
      </c>
      <c r="BA198" s="2011"/>
      <c r="BB198" s="3194" t="s">
        <v>1008</v>
      </c>
      <c r="BC198" s="1976"/>
      <c r="BD198" s="1961"/>
    </row>
    <row r="199" spans="1:58" s="1724" customFormat="1" ht="20.100000000000001" hidden="1" customHeight="1">
      <c r="A199" s="1792">
        <v>131</v>
      </c>
      <c r="B199" s="1790"/>
      <c r="C199" s="1790"/>
      <c r="D199" s="1791" t="s">
        <v>352</v>
      </c>
      <c r="E199" s="1790">
        <v>11</v>
      </c>
      <c r="F199" s="1791" t="s">
        <v>406</v>
      </c>
      <c r="G199" s="1788"/>
      <c r="H199" s="1791" t="s">
        <v>413</v>
      </c>
      <c r="I199" s="1790" t="s">
        <v>40</v>
      </c>
      <c r="J199" s="1791" t="s">
        <v>412</v>
      </c>
      <c r="K199" s="1790">
        <v>1</v>
      </c>
      <c r="L199" s="1791" t="s">
        <v>414</v>
      </c>
      <c r="M199" s="1790">
        <v>1</v>
      </c>
      <c r="N199" s="1790">
        <v>1</v>
      </c>
      <c r="O199" s="1790">
        <v>0</v>
      </c>
      <c r="P199" s="1829">
        <v>1</v>
      </c>
      <c r="Q199" s="1790">
        <v>1</v>
      </c>
      <c r="R199" s="1790">
        <v>1</v>
      </c>
      <c r="S199" s="1790">
        <v>105</v>
      </c>
      <c r="T199" s="1856">
        <v>240000000</v>
      </c>
      <c r="U199" s="1856">
        <v>240000000</v>
      </c>
      <c r="V199" s="1856">
        <f>T199*10%</f>
        <v>24000000</v>
      </c>
      <c r="W199" s="2312">
        <v>0</v>
      </c>
      <c r="X199" s="2068">
        <f>T199+V199+W199</f>
        <v>264000000</v>
      </c>
      <c r="Y199" s="2068" t="s">
        <v>58</v>
      </c>
      <c r="Z199" s="1879" t="s">
        <v>619</v>
      </c>
      <c r="AA199" s="1879">
        <v>240000000</v>
      </c>
      <c r="AB199" s="1877"/>
      <c r="AC199" s="1879"/>
      <c r="AD199" s="2095"/>
      <c r="AE199" s="1879"/>
      <c r="AF199" s="2095"/>
      <c r="AG199" s="2070">
        <v>0</v>
      </c>
      <c r="AH199" s="1877" t="s">
        <v>617</v>
      </c>
      <c r="AI199" s="2011" t="s">
        <v>248</v>
      </c>
      <c r="AJ199" s="2011" t="s">
        <v>415</v>
      </c>
      <c r="AK199" s="2229">
        <v>1</v>
      </c>
      <c r="AL199" s="2011" t="s">
        <v>294</v>
      </c>
      <c r="AM199" s="1880"/>
      <c r="AN199" s="2225" t="s">
        <v>614</v>
      </c>
      <c r="AO199" s="2255" t="s">
        <v>568</v>
      </c>
      <c r="AP199" s="1912" t="s">
        <v>570</v>
      </c>
      <c r="AQ199" s="1912"/>
      <c r="AR199" s="1912" t="s">
        <v>1292</v>
      </c>
      <c r="AS199" s="1912" t="s">
        <v>719</v>
      </c>
      <c r="AT199" s="1879">
        <v>240000000</v>
      </c>
      <c r="AU199" s="1879"/>
      <c r="AV199" s="2068" t="s">
        <v>58</v>
      </c>
      <c r="AW199" s="2070" t="e">
        <f>#REF!</f>
        <v>#REF!</v>
      </c>
      <c r="AX199" s="1912" t="s">
        <v>21</v>
      </c>
      <c r="AY199" s="1879" t="s">
        <v>619</v>
      </c>
      <c r="AZ199" s="3208" t="s">
        <v>1009</v>
      </c>
      <c r="BA199" s="2011"/>
      <c r="BB199" s="3194" t="s">
        <v>1010</v>
      </c>
      <c r="BC199" s="1976"/>
      <c r="BD199" s="1964"/>
    </row>
    <row r="200" spans="1:58" s="1724" customFormat="1" ht="20.100000000000001" hidden="1" customHeight="1">
      <c r="A200" s="1792">
        <v>132</v>
      </c>
      <c r="B200" s="1790"/>
      <c r="C200" s="1790"/>
      <c r="D200" s="1791" t="s">
        <v>352</v>
      </c>
      <c r="E200" s="1790">
        <v>11</v>
      </c>
      <c r="F200" s="1791" t="s">
        <v>406</v>
      </c>
      <c r="G200" s="1788"/>
      <c r="H200" s="1791" t="s">
        <v>418</v>
      </c>
      <c r="I200" s="1790" t="s">
        <v>51</v>
      </c>
      <c r="J200" s="1791" t="s">
        <v>417</v>
      </c>
      <c r="K200" s="1790">
        <v>1</v>
      </c>
      <c r="L200" s="1791" t="s">
        <v>419</v>
      </c>
      <c r="M200" s="1790">
        <v>1</v>
      </c>
      <c r="N200" s="1790">
        <v>1</v>
      </c>
      <c r="O200" s="1790">
        <v>0</v>
      </c>
      <c r="P200" s="1829">
        <v>1</v>
      </c>
      <c r="Q200" s="1790">
        <v>1</v>
      </c>
      <c r="R200" s="1790">
        <v>1</v>
      </c>
      <c r="S200" s="1790">
        <v>106</v>
      </c>
      <c r="T200" s="1856">
        <v>100400000</v>
      </c>
      <c r="U200" s="1856">
        <v>100400000</v>
      </c>
      <c r="V200" s="1856">
        <f>T200*10%</f>
        <v>10040000</v>
      </c>
      <c r="W200" s="2312">
        <v>0</v>
      </c>
      <c r="X200" s="2068">
        <f>T200+V200+W200</f>
        <v>110440000</v>
      </c>
      <c r="Y200" s="2068" t="s">
        <v>91</v>
      </c>
      <c r="Z200" s="1879" t="s">
        <v>565</v>
      </c>
      <c r="AA200" s="1879">
        <f>T200</f>
        <v>100400000</v>
      </c>
      <c r="AB200" s="1877"/>
      <c r="AC200" s="1879"/>
      <c r="AD200" s="2095"/>
      <c r="AE200" s="1879"/>
      <c r="AF200" s="2095"/>
      <c r="AG200" s="2070">
        <v>0</v>
      </c>
      <c r="AH200" s="1877" t="s">
        <v>617</v>
      </c>
      <c r="AI200" s="2011" t="s">
        <v>248</v>
      </c>
      <c r="AJ200" s="2011" t="s">
        <v>420</v>
      </c>
      <c r="AK200" s="2229">
        <v>0.5</v>
      </c>
      <c r="AL200" s="2011" t="s">
        <v>294</v>
      </c>
      <c r="AM200" s="1880"/>
      <c r="AN200" s="2225" t="s">
        <v>1011</v>
      </c>
      <c r="AO200" s="2225" t="s">
        <v>1012</v>
      </c>
      <c r="AP200" s="1912" t="s">
        <v>570</v>
      </c>
      <c r="AQ200" s="1912"/>
      <c r="AR200" s="1912" t="s">
        <v>1283</v>
      </c>
      <c r="AS200" s="3132" t="s">
        <v>1013</v>
      </c>
      <c r="AT200" s="1879">
        <v>100400000</v>
      </c>
      <c r="AU200" s="1879"/>
      <c r="AV200" s="2068" t="s">
        <v>91</v>
      </c>
      <c r="AW200" s="2070" t="e">
        <f>#REF!</f>
        <v>#REF!</v>
      </c>
      <c r="AX200" s="1912" t="s">
        <v>21</v>
      </c>
      <c r="AY200" s="1879" t="s">
        <v>565</v>
      </c>
      <c r="AZ200" s="3208" t="s">
        <v>1014</v>
      </c>
      <c r="BA200" s="2011"/>
      <c r="BB200" s="3194" t="s">
        <v>1015</v>
      </c>
      <c r="BC200" s="1976"/>
      <c r="BD200" s="1964"/>
    </row>
    <row r="201" spans="1:58" s="1724" customFormat="1" ht="20.100000000000001" hidden="1" customHeight="1">
      <c r="A201" s="1810">
        <v>133</v>
      </c>
      <c r="B201" s="1769"/>
      <c r="C201" s="1769"/>
      <c r="D201" s="1770" t="s">
        <v>352</v>
      </c>
      <c r="E201" s="1769">
        <v>11</v>
      </c>
      <c r="F201" s="1770" t="s">
        <v>406</v>
      </c>
      <c r="G201" s="1771"/>
      <c r="H201" s="1770" t="s">
        <v>423</v>
      </c>
      <c r="I201" s="1769" t="s">
        <v>72</v>
      </c>
      <c r="J201" s="1770" t="s">
        <v>422</v>
      </c>
      <c r="K201" s="1769">
        <v>1</v>
      </c>
      <c r="L201" s="1770" t="s">
        <v>424</v>
      </c>
      <c r="M201" s="1769">
        <v>0</v>
      </c>
      <c r="N201" s="1769">
        <v>1</v>
      </c>
      <c r="O201" s="1769">
        <v>1</v>
      </c>
      <c r="P201" s="1820">
        <v>0</v>
      </c>
      <c r="Q201" s="1769">
        <v>0</v>
      </c>
      <c r="R201" s="1769">
        <v>1</v>
      </c>
      <c r="S201" s="1769">
        <v>107</v>
      </c>
      <c r="T201" s="1850">
        <v>1255600000</v>
      </c>
      <c r="U201" s="1850">
        <v>1255600000</v>
      </c>
      <c r="V201" s="1850">
        <f>T201*10%</f>
        <v>125560000</v>
      </c>
      <c r="W201" s="2313">
        <v>0</v>
      </c>
      <c r="X201" s="1897">
        <f>T201+V201+W201</f>
        <v>1381160000</v>
      </c>
      <c r="Y201" s="1897" t="s">
        <v>21</v>
      </c>
      <c r="Z201" s="1869"/>
      <c r="AA201" s="1869">
        <f>SUM(AA202:AA204)</f>
        <v>1255600000</v>
      </c>
      <c r="AB201" s="1870"/>
      <c r="AC201" s="1869"/>
      <c r="AD201" s="2325"/>
      <c r="AE201" s="1869"/>
      <c r="AF201" s="2325"/>
      <c r="AG201" s="1897">
        <f>SUM(AG202:AG204)</f>
        <v>-755600000</v>
      </c>
      <c r="AH201" s="1870" t="s">
        <v>21</v>
      </c>
      <c r="AI201" s="3233" t="s">
        <v>21</v>
      </c>
      <c r="AJ201" s="3233" t="s">
        <v>21</v>
      </c>
      <c r="AK201" s="3233" t="s">
        <v>21</v>
      </c>
      <c r="AL201" s="3233" t="s">
        <v>21</v>
      </c>
      <c r="AM201" s="3234" t="s">
        <v>21</v>
      </c>
      <c r="AN201" s="3202" t="s">
        <v>21</v>
      </c>
      <c r="AO201" s="3202" t="s">
        <v>21</v>
      </c>
      <c r="AP201" s="1908" t="s">
        <v>21</v>
      </c>
      <c r="AQ201" s="1908"/>
      <c r="AR201" s="1908"/>
      <c r="AS201" s="1908" t="s">
        <v>21</v>
      </c>
      <c r="AT201" s="1869">
        <f>SUM(AT202:AT204)</f>
        <v>1255600000</v>
      </c>
      <c r="AU201" s="1869"/>
      <c r="AV201" s="1897" t="s">
        <v>21</v>
      </c>
      <c r="AW201" s="1897"/>
      <c r="AX201" s="1912" t="s">
        <v>21</v>
      </c>
      <c r="AY201" s="1869"/>
      <c r="AZ201" s="3235" t="s">
        <v>21</v>
      </c>
      <c r="BA201" s="3233" t="s">
        <v>21</v>
      </c>
      <c r="BB201" s="3167" t="s">
        <v>21</v>
      </c>
      <c r="BC201" s="1960"/>
      <c r="BD201" s="1964"/>
    </row>
    <row r="202" spans="1:58" ht="20.100000000000001" hidden="1" customHeight="1">
      <c r="A202" s="1772">
        <v>133</v>
      </c>
      <c r="B202" s="1773"/>
      <c r="C202" s="1773"/>
      <c r="D202" s="1774" t="s">
        <v>352</v>
      </c>
      <c r="E202" s="1773">
        <v>11</v>
      </c>
      <c r="F202" s="1774" t="s">
        <v>406</v>
      </c>
      <c r="G202" s="1771"/>
      <c r="H202" s="1774" t="s">
        <v>423</v>
      </c>
      <c r="I202" s="1773" t="s">
        <v>72</v>
      </c>
      <c r="J202" s="1774" t="s">
        <v>422</v>
      </c>
      <c r="K202" s="1773">
        <v>1</v>
      </c>
      <c r="L202" s="1774" t="s">
        <v>424</v>
      </c>
      <c r="M202" s="1773">
        <f>1/3</f>
        <v>0.33333333333333331</v>
      </c>
      <c r="N202" s="1773">
        <v>0</v>
      </c>
      <c r="O202" s="1773">
        <v>2</v>
      </c>
      <c r="P202" s="1773">
        <f t="shared" ref="P202:Q204" si="21">1/3</f>
        <v>0.33333333333333331</v>
      </c>
      <c r="Q202" s="1773">
        <f t="shared" si="21"/>
        <v>0.33333333333333331</v>
      </c>
      <c r="R202" s="1773">
        <v>0</v>
      </c>
      <c r="S202" s="1773"/>
      <c r="T202" s="1852">
        <v>0</v>
      </c>
      <c r="U202" s="1852">
        <v>0</v>
      </c>
      <c r="V202" s="1852">
        <f>T202*10%</f>
        <v>0</v>
      </c>
      <c r="W202" s="2314">
        <v>0</v>
      </c>
      <c r="X202" s="1898">
        <f>T202+V202+W202</f>
        <v>0</v>
      </c>
      <c r="Y202" s="1898" t="s">
        <v>58</v>
      </c>
      <c r="Z202" s="1863" t="s">
        <v>619</v>
      </c>
      <c r="AA202" s="1863">
        <v>250000000</v>
      </c>
      <c r="AB202" s="1872"/>
      <c r="AC202" s="1863"/>
      <c r="AD202" s="2326"/>
      <c r="AE202" s="1863"/>
      <c r="AF202" s="2326"/>
      <c r="AG202" s="1898">
        <v>0</v>
      </c>
      <c r="AH202" s="1872" t="s">
        <v>617</v>
      </c>
      <c r="AI202" s="3219" t="s">
        <v>21</v>
      </c>
      <c r="AJ202" s="3219" t="s">
        <v>21</v>
      </c>
      <c r="AK202" s="3219" t="s">
        <v>21</v>
      </c>
      <c r="AL202" s="3219" t="s">
        <v>21</v>
      </c>
      <c r="AM202" s="1872"/>
      <c r="AN202" s="3227" t="s">
        <v>603</v>
      </c>
      <c r="AO202" s="3227" t="s">
        <v>603</v>
      </c>
      <c r="AP202" s="1908" t="s">
        <v>570</v>
      </c>
      <c r="AQ202" s="1908"/>
      <c r="AR202" s="1908" t="s">
        <v>1292</v>
      </c>
      <c r="AS202" s="3168" t="s">
        <v>571</v>
      </c>
      <c r="AT202" s="1863">
        <v>250000000</v>
      </c>
      <c r="AU202" s="1863"/>
      <c r="AV202" s="1898" t="s">
        <v>58</v>
      </c>
      <c r="AW202" s="1898" t="e">
        <f>#REF!</f>
        <v>#REF!</v>
      </c>
      <c r="AX202" s="1912" t="s">
        <v>21</v>
      </c>
      <c r="AY202" s="1863" t="s">
        <v>619</v>
      </c>
      <c r="AZ202" s="3236" t="s">
        <v>1017</v>
      </c>
      <c r="BA202" s="2230"/>
      <c r="BB202" s="3157" t="s">
        <v>1018</v>
      </c>
      <c r="BC202" s="1963"/>
      <c r="BD202" s="1764"/>
      <c r="BE202" s="1762"/>
      <c r="BF202" s="1762"/>
    </row>
    <row r="203" spans="1:58" s="1723" customFormat="1" ht="20.100000000000001" hidden="1" customHeight="1">
      <c r="A203" s="1772">
        <v>134</v>
      </c>
      <c r="B203" s="1773"/>
      <c r="C203" s="1773"/>
      <c r="D203" s="1774" t="s">
        <v>352</v>
      </c>
      <c r="E203" s="1773">
        <v>11</v>
      </c>
      <c r="F203" s="1774" t="s">
        <v>406</v>
      </c>
      <c r="G203" s="1771"/>
      <c r="H203" s="1774" t="s">
        <v>423</v>
      </c>
      <c r="I203" s="1773" t="s">
        <v>72</v>
      </c>
      <c r="J203" s="1774" t="s">
        <v>422</v>
      </c>
      <c r="K203" s="1773">
        <v>1</v>
      </c>
      <c r="L203" s="1774" t="s">
        <v>424</v>
      </c>
      <c r="M203" s="1773">
        <f>1/3</f>
        <v>0.33333333333333331</v>
      </c>
      <c r="N203" s="1773">
        <v>0</v>
      </c>
      <c r="O203" s="1773">
        <v>2</v>
      </c>
      <c r="P203" s="1773">
        <f t="shared" si="21"/>
        <v>0.33333333333333331</v>
      </c>
      <c r="Q203" s="1773">
        <f t="shared" si="21"/>
        <v>0.33333333333333331</v>
      </c>
      <c r="R203" s="1773">
        <v>0</v>
      </c>
      <c r="S203" s="1773"/>
      <c r="T203" s="1852">
        <v>0</v>
      </c>
      <c r="U203" s="1852">
        <v>0</v>
      </c>
      <c r="V203" s="1852">
        <v>0</v>
      </c>
      <c r="W203" s="2314">
        <v>0</v>
      </c>
      <c r="X203" s="1898">
        <v>0</v>
      </c>
      <c r="Y203" s="1898" t="s">
        <v>91</v>
      </c>
      <c r="Z203" s="1863" t="s">
        <v>565</v>
      </c>
      <c r="AA203" s="1863">
        <v>250000000</v>
      </c>
      <c r="AB203" s="1872"/>
      <c r="AC203" s="1863"/>
      <c r="AD203" s="2326"/>
      <c r="AE203" s="1863"/>
      <c r="AF203" s="2326"/>
      <c r="AG203" s="1898">
        <v>0</v>
      </c>
      <c r="AH203" s="1872" t="s">
        <v>617</v>
      </c>
      <c r="AI203" s="1929" t="s">
        <v>21</v>
      </c>
      <c r="AJ203" s="2230" t="s">
        <v>21</v>
      </c>
      <c r="AK203" s="2230" t="s">
        <v>21</v>
      </c>
      <c r="AL203" s="2230" t="s">
        <v>21</v>
      </c>
      <c r="AM203" s="1872"/>
      <c r="AN203" s="3227" t="s">
        <v>603</v>
      </c>
      <c r="AO203" s="3227" t="s">
        <v>603</v>
      </c>
      <c r="AP203" s="1908" t="s">
        <v>570</v>
      </c>
      <c r="AQ203" s="1908"/>
      <c r="AR203" s="1908" t="s">
        <v>1292</v>
      </c>
      <c r="AS203" s="3168" t="s">
        <v>571</v>
      </c>
      <c r="AT203" s="1863">
        <v>250000000</v>
      </c>
      <c r="AU203" s="1863"/>
      <c r="AV203" s="1898" t="s">
        <v>91</v>
      </c>
      <c r="AW203" s="1898" t="e">
        <f>#REF!</f>
        <v>#REF!</v>
      </c>
      <c r="AX203" s="1912" t="s">
        <v>21</v>
      </c>
      <c r="AY203" s="1863" t="s">
        <v>565</v>
      </c>
      <c r="AZ203" s="3236" t="s">
        <v>1020</v>
      </c>
      <c r="BA203" s="2230"/>
      <c r="BB203" s="3157" t="s">
        <v>1018</v>
      </c>
      <c r="BC203" s="1963"/>
      <c r="BD203" s="1961"/>
    </row>
    <row r="204" spans="1:58" s="1724" customFormat="1" ht="20.100000000000001" hidden="1" customHeight="1">
      <c r="A204" s="1772">
        <v>135</v>
      </c>
      <c r="B204" s="1773"/>
      <c r="C204" s="1773"/>
      <c r="D204" s="1774" t="s">
        <v>352</v>
      </c>
      <c r="E204" s="1773">
        <v>11</v>
      </c>
      <c r="F204" s="1774" t="s">
        <v>406</v>
      </c>
      <c r="G204" s="2280"/>
      <c r="H204" s="1774" t="s">
        <v>423</v>
      </c>
      <c r="I204" s="1773" t="s">
        <v>72</v>
      </c>
      <c r="J204" s="1774" t="s">
        <v>422</v>
      </c>
      <c r="K204" s="1773">
        <v>1</v>
      </c>
      <c r="L204" s="1774" t="s">
        <v>424</v>
      </c>
      <c r="M204" s="1773">
        <f>1/3</f>
        <v>0.33333333333333331</v>
      </c>
      <c r="N204" s="1773">
        <v>0</v>
      </c>
      <c r="O204" s="1773">
        <v>2</v>
      </c>
      <c r="P204" s="1773">
        <f t="shared" si="21"/>
        <v>0.33333333333333331</v>
      </c>
      <c r="Q204" s="1773">
        <f t="shared" si="21"/>
        <v>0.33333333333333331</v>
      </c>
      <c r="R204" s="1773">
        <v>0</v>
      </c>
      <c r="S204" s="1773"/>
      <c r="T204" s="1852">
        <v>0</v>
      </c>
      <c r="U204" s="1852">
        <v>0</v>
      </c>
      <c r="V204" s="1852">
        <v>0</v>
      </c>
      <c r="W204" s="2314">
        <v>0</v>
      </c>
      <c r="X204" s="1898">
        <v>0</v>
      </c>
      <c r="Y204" s="1901" t="s">
        <v>633</v>
      </c>
      <c r="Z204" s="1901" t="s">
        <v>633</v>
      </c>
      <c r="AA204" s="1863">
        <f>T201-AA202-AA203</f>
        <v>755600000</v>
      </c>
      <c r="AB204" s="1872"/>
      <c r="AC204" s="1863"/>
      <c r="AD204" s="2326"/>
      <c r="AE204" s="1863"/>
      <c r="AF204" s="2326"/>
      <c r="AG204" s="1898">
        <f>+AA202+AA203-T201</f>
        <v>-755600000</v>
      </c>
      <c r="AH204" s="1872" t="s">
        <v>617</v>
      </c>
      <c r="AI204" s="1929" t="s">
        <v>21</v>
      </c>
      <c r="AJ204" s="2230" t="s">
        <v>21</v>
      </c>
      <c r="AK204" s="2230" t="s">
        <v>21</v>
      </c>
      <c r="AL204" s="2230" t="s">
        <v>21</v>
      </c>
      <c r="AM204" s="1872"/>
      <c r="AN204" s="3227" t="s">
        <v>603</v>
      </c>
      <c r="AO204" s="3227" t="s">
        <v>603</v>
      </c>
      <c r="AP204" s="1908" t="s">
        <v>570</v>
      </c>
      <c r="AQ204" s="1908"/>
      <c r="AR204" s="1912" t="s">
        <v>1283</v>
      </c>
      <c r="AS204" s="3168" t="s">
        <v>571</v>
      </c>
      <c r="AT204" s="1863">
        <v>755600000</v>
      </c>
      <c r="AU204" s="1863"/>
      <c r="AV204" s="1901" t="s">
        <v>633</v>
      </c>
      <c r="AW204" s="1898" t="e">
        <f>#REF!</f>
        <v>#REF!</v>
      </c>
      <c r="AX204" s="1908" t="s">
        <v>21</v>
      </c>
      <c r="AY204" s="1901" t="s">
        <v>633</v>
      </c>
      <c r="AZ204" s="3219" t="s">
        <v>1007</v>
      </c>
      <c r="BA204" s="2230"/>
      <c r="BB204" s="3157" t="s">
        <v>1018</v>
      </c>
      <c r="BC204" s="1963"/>
      <c r="BD204" s="1964"/>
    </row>
    <row r="205" spans="1:58" s="1724" customFormat="1" ht="20.100000000000001" hidden="1" customHeight="1">
      <c r="A205" s="1792">
        <v>136</v>
      </c>
      <c r="B205" s="1790"/>
      <c r="C205" s="1790"/>
      <c r="D205" s="1791" t="s">
        <v>352</v>
      </c>
      <c r="E205" s="1790">
        <v>12</v>
      </c>
      <c r="F205" s="1791" t="s">
        <v>426</v>
      </c>
      <c r="G205" s="1788"/>
      <c r="H205" s="1791" t="s">
        <v>428</v>
      </c>
      <c r="I205" s="1790" t="s">
        <v>23</v>
      </c>
      <c r="J205" s="1791" t="s">
        <v>422</v>
      </c>
      <c r="K205" s="1790">
        <v>1</v>
      </c>
      <c r="L205" s="1791" t="s">
        <v>1022</v>
      </c>
      <c r="M205" s="1790">
        <v>1</v>
      </c>
      <c r="N205" s="1790">
        <v>1</v>
      </c>
      <c r="O205" s="1790">
        <v>0</v>
      </c>
      <c r="P205" s="1829">
        <v>1</v>
      </c>
      <c r="Q205" s="1790">
        <v>1</v>
      </c>
      <c r="R205" s="1790">
        <v>1</v>
      </c>
      <c r="S205" s="1790">
        <v>108</v>
      </c>
      <c r="T205" s="1856">
        <v>106800000</v>
      </c>
      <c r="U205" s="1856">
        <v>106800000</v>
      </c>
      <c r="V205" s="1856">
        <v>10700000</v>
      </c>
      <c r="W205" s="1856">
        <v>0</v>
      </c>
      <c r="X205" s="2068">
        <f t="shared" ref="X205:X222" si="22">T205+V205+W205</f>
        <v>117500000</v>
      </c>
      <c r="Y205" s="2068" t="s">
        <v>91</v>
      </c>
      <c r="Z205" s="1879" t="s">
        <v>565</v>
      </c>
      <c r="AA205" s="1879">
        <f>T205</f>
        <v>106800000</v>
      </c>
      <c r="AB205" s="1880">
        <v>1</v>
      </c>
      <c r="AC205" s="1879">
        <v>106800000</v>
      </c>
      <c r="AD205" s="2095"/>
      <c r="AE205" s="1879"/>
      <c r="AF205" s="2095"/>
      <c r="AG205" s="2117">
        <v>0</v>
      </c>
      <c r="AH205" s="1880" t="s">
        <v>617</v>
      </c>
      <c r="AI205" s="3208" t="s">
        <v>911</v>
      </c>
      <c r="AJ205" s="2011" t="s">
        <v>33</v>
      </c>
      <c r="AK205" s="2229">
        <v>1</v>
      </c>
      <c r="AL205" s="3209" t="s">
        <v>21</v>
      </c>
      <c r="AM205" s="3237" t="s">
        <v>581</v>
      </c>
      <c r="AN205" s="3238" t="s">
        <v>614</v>
      </c>
      <c r="AO205" s="2255" t="s">
        <v>568</v>
      </c>
      <c r="AP205" s="1912" t="s">
        <v>570</v>
      </c>
      <c r="AQ205" s="1912"/>
      <c r="AR205" s="1912" t="s">
        <v>1293</v>
      </c>
      <c r="AS205" s="1912" t="s">
        <v>21</v>
      </c>
      <c r="AT205" s="1879">
        <v>106800000</v>
      </c>
      <c r="AU205" s="1879"/>
      <c r="AV205" s="2068" t="s">
        <v>91</v>
      </c>
      <c r="AW205" s="2068" t="e">
        <f>#REF!</f>
        <v>#REF!</v>
      </c>
      <c r="AX205" s="1908" t="s">
        <v>21</v>
      </c>
      <c r="AY205" s="1879" t="s">
        <v>565</v>
      </c>
      <c r="AZ205" s="91" t="s">
        <v>1023</v>
      </c>
      <c r="BA205" s="91"/>
      <c r="BB205" s="3194" t="s">
        <v>1024</v>
      </c>
      <c r="BC205" s="1976"/>
      <c r="BD205" s="1964"/>
    </row>
    <row r="206" spans="1:58" s="1724" customFormat="1" ht="20.100000000000001" hidden="1" customHeight="1">
      <c r="A206" s="1810">
        <v>137</v>
      </c>
      <c r="B206" s="1769"/>
      <c r="C206" s="1769"/>
      <c r="D206" s="1770" t="s">
        <v>352</v>
      </c>
      <c r="E206" s="1769">
        <v>13</v>
      </c>
      <c r="F206" s="2281" t="s">
        <v>430</v>
      </c>
      <c r="G206" s="1771"/>
      <c r="H206" s="2281" t="s">
        <v>434</v>
      </c>
      <c r="I206" s="2297" t="s">
        <v>23</v>
      </c>
      <c r="J206" s="2281" t="s">
        <v>433</v>
      </c>
      <c r="K206" s="2297">
        <v>1</v>
      </c>
      <c r="L206" s="1770" t="s">
        <v>435</v>
      </c>
      <c r="M206" s="1769">
        <v>0</v>
      </c>
      <c r="N206" s="1769">
        <v>1</v>
      </c>
      <c r="O206" s="1769">
        <v>1</v>
      </c>
      <c r="P206" s="1820">
        <v>0</v>
      </c>
      <c r="Q206" s="1769">
        <v>0</v>
      </c>
      <c r="R206" s="1769">
        <v>1</v>
      </c>
      <c r="S206" s="1769">
        <v>109</v>
      </c>
      <c r="T206" s="1849">
        <v>811166600</v>
      </c>
      <c r="U206" s="1849">
        <v>811166600</v>
      </c>
      <c r="V206" s="1849">
        <v>81116700</v>
      </c>
      <c r="W206" s="1849">
        <v>0</v>
      </c>
      <c r="X206" s="1849">
        <f t="shared" si="22"/>
        <v>892283300</v>
      </c>
      <c r="Y206" s="1869" t="s">
        <v>21</v>
      </c>
      <c r="Z206" s="1869"/>
      <c r="AA206" s="1849">
        <f>SUM(AA207:AA209)</f>
        <v>811166600</v>
      </c>
      <c r="AB206" s="1872"/>
      <c r="AC206" s="1849"/>
      <c r="AD206" s="2327"/>
      <c r="AE206" s="1849"/>
      <c r="AF206" s="2327"/>
      <c r="AG206" s="1849">
        <f>SUM(AG207:AG209)</f>
        <v>-461166600</v>
      </c>
      <c r="AH206" s="1872" t="s">
        <v>21</v>
      </c>
      <c r="AI206" s="3239" t="s">
        <v>21</v>
      </c>
      <c r="AJ206" s="1869" t="s">
        <v>21</v>
      </c>
      <c r="AK206" s="2341" t="s">
        <v>21</v>
      </c>
      <c r="AL206" s="3240" t="s">
        <v>21</v>
      </c>
      <c r="AM206" s="3234" t="s">
        <v>21</v>
      </c>
      <c r="AN206" s="3202" t="s">
        <v>21</v>
      </c>
      <c r="AO206" s="3202" t="s">
        <v>21</v>
      </c>
      <c r="AP206" s="1771" t="s">
        <v>21</v>
      </c>
      <c r="AQ206" s="1771"/>
      <c r="AR206" s="1771"/>
      <c r="AS206" s="1771" t="s">
        <v>21</v>
      </c>
      <c r="AT206" s="1849">
        <f>SUM(AT207:AT209)</f>
        <v>811166600</v>
      </c>
      <c r="AU206" s="1849"/>
      <c r="AV206" s="1869" t="s">
        <v>21</v>
      </c>
      <c r="AW206" s="1869"/>
      <c r="AX206" s="1908" t="s">
        <v>21</v>
      </c>
      <c r="AY206" s="1869"/>
      <c r="AZ206" s="1849" t="s">
        <v>21</v>
      </c>
      <c r="BA206" s="1849"/>
      <c r="BB206" s="3241" t="s">
        <v>21</v>
      </c>
      <c r="BC206" s="2363"/>
      <c r="BD206" s="1964"/>
    </row>
    <row r="207" spans="1:58" s="1723" customFormat="1" ht="20.100000000000001" hidden="1" customHeight="1">
      <c r="A207" s="1772">
        <v>137</v>
      </c>
      <c r="B207" s="1773"/>
      <c r="C207" s="1773"/>
      <c r="D207" s="1774" t="s">
        <v>352</v>
      </c>
      <c r="E207" s="1773">
        <v>13</v>
      </c>
      <c r="F207" s="2282" t="s">
        <v>430</v>
      </c>
      <c r="G207" s="1771"/>
      <c r="H207" s="2282" t="s">
        <v>434</v>
      </c>
      <c r="I207" s="2298" t="s">
        <v>23</v>
      </c>
      <c r="J207" s="2282" t="s">
        <v>433</v>
      </c>
      <c r="K207" s="2298">
        <v>1</v>
      </c>
      <c r="L207" s="1774" t="s">
        <v>435</v>
      </c>
      <c r="M207" s="1769">
        <f>1/3</f>
        <v>0.33333333333333331</v>
      </c>
      <c r="N207" s="1773">
        <v>0</v>
      </c>
      <c r="O207" s="1773">
        <v>2</v>
      </c>
      <c r="P207" s="1769">
        <f t="shared" ref="P207:Q209" si="23">1/3</f>
        <v>0.33333333333333331</v>
      </c>
      <c r="Q207" s="1769">
        <f t="shared" si="23"/>
        <v>0.33333333333333331</v>
      </c>
      <c r="R207" s="1769">
        <v>0</v>
      </c>
      <c r="S207" s="1769"/>
      <c r="T207" s="1851">
        <v>0</v>
      </c>
      <c r="U207" s="1851">
        <v>0</v>
      </c>
      <c r="V207" s="1851">
        <v>0</v>
      </c>
      <c r="W207" s="1851">
        <v>0</v>
      </c>
      <c r="X207" s="1851">
        <f t="shared" si="22"/>
        <v>0</v>
      </c>
      <c r="Y207" s="1863" t="s">
        <v>62</v>
      </c>
      <c r="Z207" s="1869" t="s">
        <v>619</v>
      </c>
      <c r="AA207" s="1851">
        <v>225000000</v>
      </c>
      <c r="AB207" s="1872"/>
      <c r="AC207" s="1851"/>
      <c r="AD207" s="2328"/>
      <c r="AE207" s="1851"/>
      <c r="AF207" s="2328"/>
      <c r="AG207" s="1863">
        <v>0</v>
      </c>
      <c r="AH207" s="1872" t="s">
        <v>617</v>
      </c>
      <c r="AI207" s="3242" t="s">
        <v>21</v>
      </c>
      <c r="AJ207" s="1863" t="s">
        <v>436</v>
      </c>
      <c r="AK207" s="1929">
        <v>0</v>
      </c>
      <c r="AL207" s="3243" t="s">
        <v>21</v>
      </c>
      <c r="AM207" s="1872"/>
      <c r="AN207" s="3226" t="s">
        <v>608</v>
      </c>
      <c r="AO207" s="3202" t="s">
        <v>603</v>
      </c>
      <c r="AP207" s="1908" t="s">
        <v>570</v>
      </c>
      <c r="AQ207" s="1908"/>
      <c r="AR207" s="1912" t="s">
        <v>1283</v>
      </c>
      <c r="AS207" s="3168" t="s">
        <v>571</v>
      </c>
      <c r="AT207" s="1851">
        <v>225000000</v>
      </c>
      <c r="AU207" s="1851"/>
      <c r="AV207" s="1899" t="s">
        <v>633</v>
      </c>
      <c r="AW207" s="1899" t="e">
        <f>#REF!</f>
        <v>#REF!</v>
      </c>
      <c r="AX207" s="1908" t="s">
        <v>1308</v>
      </c>
      <c r="AY207" s="1869"/>
      <c r="AZ207" s="1851" t="s">
        <v>1026</v>
      </c>
      <c r="BA207" s="1851"/>
      <c r="BB207" s="3241" t="s">
        <v>1027</v>
      </c>
      <c r="BC207" s="2363"/>
      <c r="BD207" s="1961"/>
    </row>
    <row r="208" spans="1:58" s="1724" customFormat="1" ht="20.100000000000001" hidden="1" customHeight="1">
      <c r="A208" s="1772">
        <v>138</v>
      </c>
      <c r="B208" s="1773"/>
      <c r="C208" s="1773"/>
      <c r="D208" s="1774" t="s">
        <v>352</v>
      </c>
      <c r="E208" s="1773">
        <v>13</v>
      </c>
      <c r="F208" s="2282" t="s">
        <v>430</v>
      </c>
      <c r="G208" s="1771"/>
      <c r="H208" s="2282" t="s">
        <v>434</v>
      </c>
      <c r="I208" s="2298" t="s">
        <v>23</v>
      </c>
      <c r="J208" s="2282" t="s">
        <v>433</v>
      </c>
      <c r="K208" s="2298">
        <v>1</v>
      </c>
      <c r="L208" s="1774" t="s">
        <v>435</v>
      </c>
      <c r="M208" s="1769">
        <f>1/3</f>
        <v>0.33333333333333331</v>
      </c>
      <c r="N208" s="1773">
        <v>0</v>
      </c>
      <c r="O208" s="1773">
        <v>2</v>
      </c>
      <c r="P208" s="1769">
        <f t="shared" si="23"/>
        <v>0.33333333333333331</v>
      </c>
      <c r="Q208" s="1769">
        <f t="shared" si="23"/>
        <v>0.33333333333333331</v>
      </c>
      <c r="R208" s="1769">
        <v>0</v>
      </c>
      <c r="S208" s="1769"/>
      <c r="T208" s="1851">
        <v>0</v>
      </c>
      <c r="U208" s="1851">
        <v>0</v>
      </c>
      <c r="V208" s="1851">
        <v>0</v>
      </c>
      <c r="W208" s="1851">
        <v>0</v>
      </c>
      <c r="X208" s="1851">
        <f t="shared" si="22"/>
        <v>0</v>
      </c>
      <c r="Y208" s="1863" t="s">
        <v>58</v>
      </c>
      <c r="Z208" s="1869" t="s">
        <v>619</v>
      </c>
      <c r="AA208" s="1851">
        <v>125000000</v>
      </c>
      <c r="AB208" s="1872"/>
      <c r="AC208" s="1851"/>
      <c r="AD208" s="2328"/>
      <c r="AE208" s="1851"/>
      <c r="AF208" s="2328"/>
      <c r="AG208" s="1863">
        <v>0</v>
      </c>
      <c r="AH208" s="1872" t="s">
        <v>617</v>
      </c>
      <c r="AI208" s="1929" t="s">
        <v>21</v>
      </c>
      <c r="AJ208" s="1863" t="s">
        <v>21</v>
      </c>
      <c r="AK208" s="1929" t="s">
        <v>21</v>
      </c>
      <c r="AL208" s="3243" t="s">
        <v>21</v>
      </c>
      <c r="AM208" s="1872"/>
      <c r="AN208" s="3226" t="s">
        <v>608</v>
      </c>
      <c r="AO208" s="3202" t="s">
        <v>603</v>
      </c>
      <c r="AP208" s="1908" t="s">
        <v>570</v>
      </c>
      <c r="AQ208" s="1908"/>
      <c r="AR208" s="1908" t="s">
        <v>1292</v>
      </c>
      <c r="AS208" s="3168" t="s">
        <v>571</v>
      </c>
      <c r="AT208" s="1851">
        <v>125000000</v>
      </c>
      <c r="AU208" s="1851"/>
      <c r="AV208" s="1863" t="s">
        <v>58</v>
      </c>
      <c r="AW208" s="1899" t="e">
        <f>#REF!</f>
        <v>#REF!</v>
      </c>
      <c r="AX208" s="1912" t="s">
        <v>21</v>
      </c>
      <c r="AY208" s="1869" t="s">
        <v>619</v>
      </c>
      <c r="AZ208" s="1851" t="s">
        <v>1026</v>
      </c>
      <c r="BA208" s="1851"/>
      <c r="BB208" s="3241" t="s">
        <v>1027</v>
      </c>
      <c r="BC208" s="2363"/>
      <c r="BD208" s="1964"/>
    </row>
    <row r="209" spans="1:58" s="1724" customFormat="1" ht="20.100000000000001" hidden="1" customHeight="1">
      <c r="A209" s="1772">
        <v>139</v>
      </c>
      <c r="B209" s="1773"/>
      <c r="C209" s="1773"/>
      <c r="D209" s="1774" t="s">
        <v>352</v>
      </c>
      <c r="E209" s="1773">
        <v>13</v>
      </c>
      <c r="F209" s="2282" t="s">
        <v>430</v>
      </c>
      <c r="G209" s="1814"/>
      <c r="H209" s="2282" t="s">
        <v>434</v>
      </c>
      <c r="I209" s="2298" t="s">
        <v>23</v>
      </c>
      <c r="J209" s="2282" t="s">
        <v>433</v>
      </c>
      <c r="K209" s="2298">
        <v>1</v>
      </c>
      <c r="L209" s="1774" t="s">
        <v>435</v>
      </c>
      <c r="M209" s="1769">
        <f>1/3</f>
        <v>0.33333333333333331</v>
      </c>
      <c r="N209" s="1773">
        <v>0</v>
      </c>
      <c r="O209" s="1773">
        <v>2</v>
      </c>
      <c r="P209" s="1769">
        <f t="shared" si="23"/>
        <v>0.33333333333333331</v>
      </c>
      <c r="Q209" s="1769">
        <f t="shared" si="23"/>
        <v>0.33333333333333331</v>
      </c>
      <c r="R209" s="1769">
        <v>0</v>
      </c>
      <c r="S209" s="1769"/>
      <c r="T209" s="1851">
        <v>0</v>
      </c>
      <c r="U209" s="1851">
        <v>0</v>
      </c>
      <c r="V209" s="1851">
        <v>0</v>
      </c>
      <c r="W209" s="1851">
        <v>0</v>
      </c>
      <c r="X209" s="1851">
        <f t="shared" si="22"/>
        <v>0</v>
      </c>
      <c r="Y209" s="1899" t="s">
        <v>633</v>
      </c>
      <c r="Z209" s="1899" t="s">
        <v>633</v>
      </c>
      <c r="AA209" s="1851">
        <f>T206-AA207-AA208</f>
        <v>461166600</v>
      </c>
      <c r="AB209" s="1872"/>
      <c r="AC209" s="1851"/>
      <c r="AD209" s="2328"/>
      <c r="AE209" s="1851"/>
      <c r="AF209" s="2328"/>
      <c r="AG209" s="1863">
        <f>+AA207+AA208-T206</f>
        <v>-461166600</v>
      </c>
      <c r="AH209" s="1872" t="s">
        <v>617</v>
      </c>
      <c r="AI209" s="1929" t="s">
        <v>21</v>
      </c>
      <c r="AJ209" s="1863" t="s">
        <v>21</v>
      </c>
      <c r="AK209" s="1929" t="s">
        <v>21</v>
      </c>
      <c r="AL209" s="3243" t="s">
        <v>21</v>
      </c>
      <c r="AM209" s="1872"/>
      <c r="AN209" s="3226" t="s">
        <v>608</v>
      </c>
      <c r="AO209" s="3202" t="s">
        <v>603</v>
      </c>
      <c r="AP209" s="1908" t="s">
        <v>570</v>
      </c>
      <c r="AQ209" s="1908"/>
      <c r="AR209" s="1912" t="s">
        <v>1283</v>
      </c>
      <c r="AS209" s="3168" t="s">
        <v>571</v>
      </c>
      <c r="AT209" s="1851">
        <v>461166600</v>
      </c>
      <c r="AU209" s="1851"/>
      <c r="AV209" s="1899" t="s">
        <v>633</v>
      </c>
      <c r="AW209" s="1899" t="e">
        <f>#REF!</f>
        <v>#REF!</v>
      </c>
      <c r="AX209" s="1771" t="s">
        <v>1309</v>
      </c>
      <c r="AY209" s="1899" t="s">
        <v>633</v>
      </c>
      <c r="AZ209" s="1851" t="s">
        <v>1026</v>
      </c>
      <c r="BA209" s="1851"/>
      <c r="BB209" s="3241" t="s">
        <v>1027</v>
      </c>
      <c r="BC209" s="2363"/>
      <c r="BD209" s="1964"/>
    </row>
    <row r="210" spans="1:58" s="1724" customFormat="1" ht="20.100000000000001" hidden="1" customHeight="1">
      <c r="A210" s="1810">
        <v>140</v>
      </c>
      <c r="B210" s="1769"/>
      <c r="C210" s="1769"/>
      <c r="D210" s="1770" t="s">
        <v>352</v>
      </c>
      <c r="E210" s="1769">
        <v>13</v>
      </c>
      <c r="F210" s="2281" t="s">
        <v>430</v>
      </c>
      <c r="G210" s="1771"/>
      <c r="H210" s="2281" t="s">
        <v>434</v>
      </c>
      <c r="I210" s="2298" t="s">
        <v>23</v>
      </c>
      <c r="J210" s="2281" t="s">
        <v>433</v>
      </c>
      <c r="K210" s="2297">
        <v>2</v>
      </c>
      <c r="L210" s="1770" t="s">
        <v>437</v>
      </c>
      <c r="M210" s="1769">
        <v>0</v>
      </c>
      <c r="N210" s="1769">
        <v>1</v>
      </c>
      <c r="O210" s="1769">
        <v>1</v>
      </c>
      <c r="P210" s="1820">
        <v>0</v>
      </c>
      <c r="Q210" s="1769">
        <v>0</v>
      </c>
      <c r="R210" s="1769">
        <v>1</v>
      </c>
      <c r="S210" s="1769">
        <v>110</v>
      </c>
      <c r="T210" s="1849">
        <v>535676000</v>
      </c>
      <c r="U210" s="1849">
        <v>535676000</v>
      </c>
      <c r="V210" s="1849">
        <v>53567600</v>
      </c>
      <c r="W210" s="1849">
        <v>0</v>
      </c>
      <c r="X210" s="1849">
        <f t="shared" si="22"/>
        <v>589243600</v>
      </c>
      <c r="Y210" s="1869" t="s">
        <v>21</v>
      </c>
      <c r="Z210" s="1869"/>
      <c r="AA210" s="1849">
        <f>SUM(AA211:AA213)</f>
        <v>535676000</v>
      </c>
      <c r="AB210" s="1870"/>
      <c r="AC210" s="1849"/>
      <c r="AD210" s="2327"/>
      <c r="AE210" s="1849"/>
      <c r="AF210" s="2327"/>
      <c r="AG210" s="1849">
        <f>SUM(AG211:AG213)</f>
        <v>-285676000</v>
      </c>
      <c r="AH210" s="1870" t="s">
        <v>21</v>
      </c>
      <c r="AI210" s="3239" t="s">
        <v>21</v>
      </c>
      <c r="AJ210" s="1869" t="s">
        <v>436</v>
      </c>
      <c r="AK210" s="2341">
        <v>0</v>
      </c>
      <c r="AL210" s="3240" t="s">
        <v>21</v>
      </c>
      <c r="AM210" s="1872"/>
      <c r="AN210" s="3227" t="s">
        <v>21</v>
      </c>
      <c r="AO210" s="3202" t="s">
        <v>1030</v>
      </c>
      <c r="AP210" s="1908" t="s">
        <v>570</v>
      </c>
      <c r="AQ210" s="1908"/>
      <c r="AR210" s="1908"/>
      <c r="AS210" s="3168" t="s">
        <v>571</v>
      </c>
      <c r="AT210" s="1849">
        <f>SUM(AT211:AT213)</f>
        <v>535676000</v>
      </c>
      <c r="AU210" s="1849"/>
      <c r="AV210" s="1869" t="s">
        <v>21</v>
      </c>
      <c r="AW210" s="1869"/>
      <c r="AX210" s="1908" t="s">
        <v>21</v>
      </c>
      <c r="AY210" s="1869"/>
      <c r="AZ210" s="1849" t="s">
        <v>1026</v>
      </c>
      <c r="BA210" s="1849"/>
      <c r="BB210" s="3167" t="s">
        <v>1031</v>
      </c>
      <c r="BC210" s="1960"/>
      <c r="BD210" s="1964"/>
    </row>
    <row r="211" spans="1:58" s="1747" customFormat="1" ht="20.100000000000001" hidden="1" customHeight="1">
      <c r="A211" s="1772">
        <v>140</v>
      </c>
      <c r="B211" s="1773"/>
      <c r="C211" s="1773"/>
      <c r="D211" s="1774" t="s">
        <v>352</v>
      </c>
      <c r="E211" s="1773">
        <v>13</v>
      </c>
      <c r="F211" s="2282" t="s">
        <v>430</v>
      </c>
      <c r="G211" s="1771"/>
      <c r="H211" s="2282" t="s">
        <v>434</v>
      </c>
      <c r="I211" s="2298" t="s">
        <v>23</v>
      </c>
      <c r="J211" s="2282" t="s">
        <v>433</v>
      </c>
      <c r="K211" s="2298">
        <v>2</v>
      </c>
      <c r="L211" s="1774" t="s">
        <v>437</v>
      </c>
      <c r="M211" s="1769">
        <f>1/3</f>
        <v>0.33333333333333331</v>
      </c>
      <c r="N211" s="1773">
        <v>0</v>
      </c>
      <c r="O211" s="1773">
        <v>2</v>
      </c>
      <c r="P211" s="1773">
        <f t="shared" ref="P211:Q213" si="24">1/3</f>
        <v>0.33333333333333331</v>
      </c>
      <c r="Q211" s="1773">
        <f t="shared" si="24"/>
        <v>0.33333333333333331</v>
      </c>
      <c r="R211" s="1773">
        <v>0</v>
      </c>
      <c r="S211" s="1773"/>
      <c r="T211" s="1851">
        <v>0</v>
      </c>
      <c r="U211" s="1851">
        <v>0</v>
      </c>
      <c r="V211" s="1851">
        <v>0</v>
      </c>
      <c r="W211" s="1851">
        <v>0</v>
      </c>
      <c r="X211" s="1851">
        <f t="shared" si="22"/>
        <v>0</v>
      </c>
      <c r="Y211" s="1863" t="s">
        <v>62</v>
      </c>
      <c r="Z211" s="1863" t="s">
        <v>619</v>
      </c>
      <c r="AA211" s="1851">
        <v>125000000</v>
      </c>
      <c r="AB211" s="1872"/>
      <c r="AC211" s="1851"/>
      <c r="AD211" s="2328"/>
      <c r="AE211" s="1851"/>
      <c r="AF211" s="2328"/>
      <c r="AG211" s="1863">
        <v>0</v>
      </c>
      <c r="AH211" s="1872" t="s">
        <v>617</v>
      </c>
      <c r="AI211" s="3242" t="s">
        <v>21</v>
      </c>
      <c r="AJ211" s="1863" t="s">
        <v>436</v>
      </c>
      <c r="AK211" s="1929">
        <v>0</v>
      </c>
      <c r="AL211" s="3243" t="s">
        <v>21</v>
      </c>
      <c r="AM211" s="1872"/>
      <c r="AN211" s="3226" t="s">
        <v>608</v>
      </c>
      <c r="AO211" s="3202" t="s">
        <v>603</v>
      </c>
      <c r="AP211" s="1908" t="s">
        <v>570</v>
      </c>
      <c r="AQ211" s="1908"/>
      <c r="AR211" s="1912" t="s">
        <v>1283</v>
      </c>
      <c r="AS211" s="3168" t="s">
        <v>571</v>
      </c>
      <c r="AT211" s="1851">
        <v>125000000</v>
      </c>
      <c r="AU211" s="1851"/>
      <c r="AV211" s="1899" t="s">
        <v>633</v>
      </c>
      <c r="AW211" s="1899" t="e">
        <f>#REF!</f>
        <v>#REF!</v>
      </c>
      <c r="AX211" s="1908" t="s">
        <v>1310</v>
      </c>
      <c r="AY211" s="1863"/>
      <c r="AZ211" s="1851" t="s">
        <v>1026</v>
      </c>
      <c r="BA211" s="1851"/>
      <c r="BB211" s="3157" t="s">
        <v>1031</v>
      </c>
      <c r="BC211" s="1963"/>
      <c r="BD211" s="2364"/>
    </row>
    <row r="212" spans="1:58" s="1747" customFormat="1" ht="20.100000000000001" hidden="1" customHeight="1">
      <c r="A212" s="1772">
        <v>141</v>
      </c>
      <c r="B212" s="1773"/>
      <c r="C212" s="1773"/>
      <c r="D212" s="1774" t="s">
        <v>352</v>
      </c>
      <c r="E212" s="1773">
        <v>13</v>
      </c>
      <c r="F212" s="2282" t="s">
        <v>430</v>
      </c>
      <c r="G212" s="1771"/>
      <c r="H212" s="2282" t="s">
        <v>434</v>
      </c>
      <c r="I212" s="2298" t="s">
        <v>23</v>
      </c>
      <c r="J212" s="2282" t="s">
        <v>433</v>
      </c>
      <c r="K212" s="2298">
        <v>2</v>
      </c>
      <c r="L212" s="1774" t="s">
        <v>437</v>
      </c>
      <c r="M212" s="1769">
        <f>1/3</f>
        <v>0.33333333333333331</v>
      </c>
      <c r="N212" s="1773">
        <v>0</v>
      </c>
      <c r="O212" s="1773">
        <v>2</v>
      </c>
      <c r="P212" s="1773">
        <f t="shared" si="24"/>
        <v>0.33333333333333331</v>
      </c>
      <c r="Q212" s="1773">
        <f t="shared" si="24"/>
        <v>0.33333333333333331</v>
      </c>
      <c r="R212" s="1773">
        <v>0</v>
      </c>
      <c r="S212" s="1773"/>
      <c r="T212" s="1851">
        <v>0</v>
      </c>
      <c r="U212" s="1851">
        <v>0</v>
      </c>
      <c r="V212" s="1851">
        <v>0</v>
      </c>
      <c r="W212" s="1851">
        <v>0</v>
      </c>
      <c r="X212" s="1851">
        <f t="shared" si="22"/>
        <v>0</v>
      </c>
      <c r="Y212" s="1863" t="s">
        <v>58</v>
      </c>
      <c r="Z212" s="1863" t="s">
        <v>619</v>
      </c>
      <c r="AA212" s="1851">
        <v>125000000</v>
      </c>
      <c r="AB212" s="1872"/>
      <c r="AC212" s="1851"/>
      <c r="AD212" s="2328"/>
      <c r="AE212" s="1851"/>
      <c r="AF212" s="2328"/>
      <c r="AG212" s="1863">
        <v>0</v>
      </c>
      <c r="AH212" s="1872" t="s">
        <v>617</v>
      </c>
      <c r="AI212" s="1929" t="s">
        <v>21</v>
      </c>
      <c r="AJ212" s="1863" t="s">
        <v>21</v>
      </c>
      <c r="AK212" s="1929" t="s">
        <v>21</v>
      </c>
      <c r="AL212" s="3243" t="s">
        <v>21</v>
      </c>
      <c r="AM212" s="1872"/>
      <c r="AN212" s="3226" t="s">
        <v>608</v>
      </c>
      <c r="AO212" s="3202" t="s">
        <v>603</v>
      </c>
      <c r="AP212" s="1908" t="s">
        <v>570</v>
      </c>
      <c r="AQ212" s="1908"/>
      <c r="AR212" s="1908" t="s">
        <v>1292</v>
      </c>
      <c r="AS212" s="3168" t="s">
        <v>571</v>
      </c>
      <c r="AT212" s="1851">
        <v>125000000</v>
      </c>
      <c r="AU212" s="1851"/>
      <c r="AV212" s="1863" t="s">
        <v>58</v>
      </c>
      <c r="AW212" s="1899" t="e">
        <f>#REF!</f>
        <v>#REF!</v>
      </c>
      <c r="AX212" s="1908" t="s">
        <v>21</v>
      </c>
      <c r="AY212" s="1863" t="s">
        <v>619</v>
      </c>
      <c r="AZ212" s="1851" t="s">
        <v>1026</v>
      </c>
      <c r="BA212" s="1851"/>
      <c r="BB212" s="3157" t="s">
        <v>1031</v>
      </c>
      <c r="BC212" s="1963"/>
      <c r="BD212" s="2364"/>
    </row>
    <row r="213" spans="1:58" ht="20.100000000000001" hidden="1" customHeight="1">
      <c r="A213" s="1772">
        <v>142</v>
      </c>
      <c r="B213" s="1773"/>
      <c r="C213" s="1773"/>
      <c r="D213" s="1774" t="s">
        <v>352</v>
      </c>
      <c r="E213" s="1773">
        <v>13</v>
      </c>
      <c r="F213" s="2282" t="s">
        <v>430</v>
      </c>
      <c r="G213" s="1814"/>
      <c r="H213" s="2282" t="s">
        <v>434</v>
      </c>
      <c r="I213" s="2298" t="s">
        <v>23</v>
      </c>
      <c r="J213" s="2282" t="s">
        <v>433</v>
      </c>
      <c r="K213" s="2298">
        <v>2</v>
      </c>
      <c r="L213" s="1774" t="s">
        <v>437</v>
      </c>
      <c r="M213" s="1769">
        <f>1/3</f>
        <v>0.33333333333333331</v>
      </c>
      <c r="N213" s="1773">
        <v>0</v>
      </c>
      <c r="O213" s="1773">
        <v>2</v>
      </c>
      <c r="P213" s="1773">
        <f t="shared" si="24"/>
        <v>0.33333333333333331</v>
      </c>
      <c r="Q213" s="1773">
        <f t="shared" si="24"/>
        <v>0.33333333333333331</v>
      </c>
      <c r="R213" s="1773">
        <v>0</v>
      </c>
      <c r="S213" s="1773"/>
      <c r="T213" s="1851">
        <v>0</v>
      </c>
      <c r="U213" s="1851">
        <v>0</v>
      </c>
      <c r="V213" s="1851">
        <v>0</v>
      </c>
      <c r="W213" s="1851">
        <v>0</v>
      </c>
      <c r="X213" s="1851">
        <f t="shared" si="22"/>
        <v>0</v>
      </c>
      <c r="Y213" s="1899" t="s">
        <v>633</v>
      </c>
      <c r="Z213" s="1899" t="s">
        <v>633</v>
      </c>
      <c r="AA213" s="1851">
        <f>T210-AA211-AA212</f>
        <v>285676000</v>
      </c>
      <c r="AB213" s="1872"/>
      <c r="AC213" s="1851"/>
      <c r="AD213" s="2328"/>
      <c r="AE213" s="1851"/>
      <c r="AF213" s="2328"/>
      <c r="AG213" s="1863">
        <f>+AA211+AA212-T210</f>
        <v>-285676000</v>
      </c>
      <c r="AH213" s="1872" t="s">
        <v>617</v>
      </c>
      <c r="AI213" s="1929" t="s">
        <v>21</v>
      </c>
      <c r="AJ213" s="1863" t="s">
        <v>21</v>
      </c>
      <c r="AK213" s="1929" t="s">
        <v>21</v>
      </c>
      <c r="AL213" s="3243" t="s">
        <v>21</v>
      </c>
      <c r="AM213" s="1872"/>
      <c r="AN213" s="3226" t="s">
        <v>608</v>
      </c>
      <c r="AO213" s="3202" t="s">
        <v>603</v>
      </c>
      <c r="AP213" s="1908" t="s">
        <v>570</v>
      </c>
      <c r="AQ213" s="1908"/>
      <c r="AR213" s="1912" t="s">
        <v>1283</v>
      </c>
      <c r="AS213" s="3168" t="s">
        <v>571</v>
      </c>
      <c r="AT213" s="1851">
        <v>285676000</v>
      </c>
      <c r="AU213" s="1851"/>
      <c r="AV213" s="1899" t="s">
        <v>633</v>
      </c>
      <c r="AW213" s="1899" t="e">
        <f>#REF!</f>
        <v>#REF!</v>
      </c>
      <c r="AX213" s="1908" t="s">
        <v>1034</v>
      </c>
      <c r="AY213" s="1899" t="s">
        <v>633</v>
      </c>
      <c r="AZ213" s="1851" t="s">
        <v>1026</v>
      </c>
      <c r="BA213" s="1851"/>
      <c r="BB213" s="3157" t="s">
        <v>1031</v>
      </c>
      <c r="BC213" s="1963"/>
      <c r="BD213" s="1764"/>
      <c r="BE213" s="1762"/>
      <c r="BF213" s="1762"/>
    </row>
    <row r="214" spans="1:58" ht="20.100000000000001" hidden="1" customHeight="1">
      <c r="A214" s="1792">
        <v>143</v>
      </c>
      <c r="B214" s="1790"/>
      <c r="C214" s="1790"/>
      <c r="D214" s="1791" t="s">
        <v>352</v>
      </c>
      <c r="E214" s="1790">
        <v>13</v>
      </c>
      <c r="F214" s="2283" t="s">
        <v>430</v>
      </c>
      <c r="G214" s="1788"/>
      <c r="H214" s="2283" t="s">
        <v>439</v>
      </c>
      <c r="I214" s="64" t="s">
        <v>40</v>
      </c>
      <c r="J214" s="2283" t="s">
        <v>438</v>
      </c>
      <c r="K214" s="64">
        <v>1</v>
      </c>
      <c r="L214" s="1791" t="s">
        <v>440</v>
      </c>
      <c r="M214" s="1790">
        <v>1</v>
      </c>
      <c r="N214" s="1790">
        <v>1</v>
      </c>
      <c r="O214" s="1790">
        <v>0</v>
      </c>
      <c r="P214" s="1829">
        <v>1</v>
      </c>
      <c r="Q214" s="1790">
        <v>1</v>
      </c>
      <c r="R214" s="1790">
        <v>1</v>
      </c>
      <c r="S214" s="1790">
        <v>111</v>
      </c>
      <c r="T214" s="91">
        <v>68900000</v>
      </c>
      <c r="U214" s="91">
        <v>68900000</v>
      </c>
      <c r="V214" s="91">
        <v>13780000</v>
      </c>
      <c r="W214" s="1856">
        <v>0</v>
      </c>
      <c r="X214" s="91">
        <f t="shared" si="22"/>
        <v>82680000</v>
      </c>
      <c r="Y214" s="1879" t="s">
        <v>170</v>
      </c>
      <c r="Z214" s="1879" t="s">
        <v>619</v>
      </c>
      <c r="AA214" s="91">
        <f>T214</f>
        <v>68900000</v>
      </c>
      <c r="AB214" s="1880"/>
      <c r="AC214" s="91"/>
      <c r="AD214" s="2329"/>
      <c r="AE214" s="91"/>
      <c r="AF214" s="2329"/>
      <c r="AG214" s="91">
        <v>0</v>
      </c>
      <c r="AH214" s="1880" t="s">
        <v>617</v>
      </c>
      <c r="AI214" s="91" t="s">
        <v>441</v>
      </c>
      <c r="AJ214" s="3160" t="s">
        <v>21</v>
      </c>
      <c r="AK214" s="3160" t="s">
        <v>21</v>
      </c>
      <c r="AL214" s="3160" t="s">
        <v>21</v>
      </c>
      <c r="AM214" s="1877"/>
      <c r="AN214" s="3202" t="s">
        <v>603</v>
      </c>
      <c r="AO214" s="3202" t="s">
        <v>603</v>
      </c>
      <c r="AP214" s="1912" t="s">
        <v>570</v>
      </c>
      <c r="AQ214" s="1912"/>
      <c r="AR214" s="1912" t="s">
        <v>1292</v>
      </c>
      <c r="AS214" s="3215" t="s">
        <v>571</v>
      </c>
      <c r="AT214" s="91">
        <v>68900000</v>
      </c>
      <c r="AU214" s="91"/>
      <c r="AV214" s="1879" t="s">
        <v>170</v>
      </c>
      <c r="AW214" s="1879" t="e">
        <f>#REF!</f>
        <v>#REF!</v>
      </c>
      <c r="AX214" s="1908" t="s">
        <v>21</v>
      </c>
      <c r="AY214" s="1879" t="s">
        <v>619</v>
      </c>
      <c r="AZ214" s="91" t="s">
        <v>1026</v>
      </c>
      <c r="BA214" s="91"/>
      <c r="BB214" s="1983" t="s">
        <v>1035</v>
      </c>
      <c r="BC214" s="1984"/>
      <c r="BD214" s="1764"/>
      <c r="BE214" s="1762"/>
      <c r="BF214" s="1762"/>
    </row>
    <row r="215" spans="1:58" ht="39.75" hidden="1" customHeight="1">
      <c r="A215" s="1792">
        <v>144</v>
      </c>
      <c r="B215" s="1790"/>
      <c r="C215" s="1790"/>
      <c r="D215" s="1791" t="s">
        <v>352</v>
      </c>
      <c r="E215" s="1790">
        <v>13</v>
      </c>
      <c r="F215" s="2283" t="s">
        <v>430</v>
      </c>
      <c r="G215" s="1788"/>
      <c r="H215" s="2283" t="s">
        <v>439</v>
      </c>
      <c r="I215" s="64" t="s">
        <v>40</v>
      </c>
      <c r="J215" s="2283" t="s">
        <v>438</v>
      </c>
      <c r="K215" s="64">
        <v>2</v>
      </c>
      <c r="L215" s="1791" t="s">
        <v>442</v>
      </c>
      <c r="M215" s="1790">
        <v>1</v>
      </c>
      <c r="N215" s="1790">
        <v>1</v>
      </c>
      <c r="O215" s="1790">
        <v>0</v>
      </c>
      <c r="P215" s="1829">
        <v>1</v>
      </c>
      <c r="Q215" s="1790">
        <v>1</v>
      </c>
      <c r="R215" s="1790">
        <v>1</v>
      </c>
      <c r="S215" s="1790">
        <v>112</v>
      </c>
      <c r="T215" s="91">
        <v>30000000</v>
      </c>
      <c r="U215" s="91">
        <v>30000000</v>
      </c>
      <c r="V215" s="91">
        <v>6000000</v>
      </c>
      <c r="W215" s="91">
        <v>500000</v>
      </c>
      <c r="X215" s="91">
        <f t="shared" si="22"/>
        <v>36500000</v>
      </c>
      <c r="Y215" s="1879" t="s">
        <v>170</v>
      </c>
      <c r="Z215" s="1879" t="s">
        <v>619</v>
      </c>
      <c r="AA215" s="91">
        <v>30000000</v>
      </c>
      <c r="AB215" s="1880"/>
      <c r="AC215" s="91"/>
      <c r="AD215" s="2329"/>
      <c r="AE215" s="91"/>
      <c r="AF215" s="2329"/>
      <c r="AG215" s="91">
        <v>0</v>
      </c>
      <c r="AH215" s="1880" t="s">
        <v>617</v>
      </c>
      <c r="AI215" s="91" t="s">
        <v>441</v>
      </c>
      <c r="AJ215" s="3160" t="s">
        <v>21</v>
      </c>
      <c r="AK215" s="3160" t="s">
        <v>21</v>
      </c>
      <c r="AL215" s="3160" t="s">
        <v>21</v>
      </c>
      <c r="AM215" s="1877"/>
      <c r="AN215" s="3202" t="s">
        <v>603</v>
      </c>
      <c r="AO215" s="3202" t="s">
        <v>603</v>
      </c>
      <c r="AP215" s="1912" t="s">
        <v>570</v>
      </c>
      <c r="AQ215" s="1912"/>
      <c r="AR215" s="1912" t="s">
        <v>1292</v>
      </c>
      <c r="AS215" s="3215" t="s">
        <v>571</v>
      </c>
      <c r="AT215" s="91">
        <v>30000000</v>
      </c>
      <c r="AU215" s="91"/>
      <c r="AV215" s="1879" t="s">
        <v>170</v>
      </c>
      <c r="AW215" s="1879" t="e">
        <f>#REF!</f>
        <v>#REF!</v>
      </c>
      <c r="AX215" s="1912" t="s">
        <v>21</v>
      </c>
      <c r="AY215" s="1879" t="s">
        <v>619</v>
      </c>
      <c r="AZ215" s="91" t="s">
        <v>1026</v>
      </c>
      <c r="BA215" s="91"/>
      <c r="BB215" s="3194" t="s">
        <v>1036</v>
      </c>
      <c r="BC215" s="1976"/>
      <c r="BD215" s="1764"/>
      <c r="BE215" s="1762"/>
      <c r="BF215" s="1762"/>
    </row>
    <row r="216" spans="1:58" ht="20.100000000000001" hidden="1" customHeight="1">
      <c r="A216" s="1792">
        <v>145</v>
      </c>
      <c r="B216" s="1790"/>
      <c r="C216" s="1790"/>
      <c r="D216" s="1791" t="s">
        <v>352</v>
      </c>
      <c r="E216" s="1790">
        <v>14</v>
      </c>
      <c r="F216" s="2283" t="s">
        <v>1037</v>
      </c>
      <c r="G216" s="2284"/>
      <c r="H216" s="2283" t="s">
        <v>447</v>
      </c>
      <c r="I216" s="64" t="s">
        <v>23</v>
      </c>
      <c r="J216" s="2283" t="s">
        <v>446</v>
      </c>
      <c r="K216" s="64">
        <v>1</v>
      </c>
      <c r="L216" s="1791" t="s">
        <v>448</v>
      </c>
      <c r="M216" s="1790">
        <v>1</v>
      </c>
      <c r="N216" s="1790">
        <v>1</v>
      </c>
      <c r="O216" s="1790">
        <v>0</v>
      </c>
      <c r="P216" s="1829">
        <v>1</v>
      </c>
      <c r="Q216" s="1790">
        <v>1</v>
      </c>
      <c r="R216" s="1790">
        <v>1</v>
      </c>
      <c r="S216" s="1790">
        <v>113</v>
      </c>
      <c r="T216" s="1879">
        <v>92308000</v>
      </c>
      <c r="U216" s="1879">
        <v>92308000</v>
      </c>
      <c r="V216" s="1856">
        <v>2500000</v>
      </c>
      <c r="W216" s="1856">
        <v>0</v>
      </c>
      <c r="X216" s="2068">
        <f t="shared" si="22"/>
        <v>94808000</v>
      </c>
      <c r="Y216" s="2330" t="s">
        <v>1038</v>
      </c>
      <c r="Z216" s="2330" t="s">
        <v>602</v>
      </c>
      <c r="AA216" s="1879">
        <f>T216</f>
        <v>92308000</v>
      </c>
      <c r="AB216" s="1880"/>
      <c r="AC216" s="1879"/>
      <c r="AD216" s="2095"/>
      <c r="AE216" s="1879"/>
      <c r="AF216" s="2095"/>
      <c r="AG216" s="2117" t="e">
        <f>+#REF!-#REF!</f>
        <v>#REF!</v>
      </c>
      <c r="AH216" s="1880" t="s">
        <v>617</v>
      </c>
      <c r="AI216" s="3160" t="s">
        <v>21</v>
      </c>
      <c r="AJ216" s="3160" t="s">
        <v>21</v>
      </c>
      <c r="AK216" s="3160" t="s">
        <v>21</v>
      </c>
      <c r="AL216" s="3160" t="s">
        <v>21</v>
      </c>
      <c r="AM216" s="1877"/>
      <c r="AN216" s="3202" t="s">
        <v>603</v>
      </c>
      <c r="AO216" s="3202" t="s">
        <v>603</v>
      </c>
      <c r="AP216" s="1912" t="s">
        <v>570</v>
      </c>
      <c r="AQ216" s="1912"/>
      <c r="AR216" s="1912" t="s">
        <v>1283</v>
      </c>
      <c r="AS216" s="3215" t="s">
        <v>571</v>
      </c>
      <c r="AT216" s="1879">
        <v>92308000</v>
      </c>
      <c r="AU216" s="1879"/>
      <c r="AV216" s="2330" t="s">
        <v>1038</v>
      </c>
      <c r="AW216" s="2330" t="e">
        <f>#REF!</f>
        <v>#REF!</v>
      </c>
      <c r="AX216" s="1912" t="s">
        <v>1039</v>
      </c>
      <c r="AY216" s="2330" t="s">
        <v>605</v>
      </c>
      <c r="AZ216" s="3161" t="s">
        <v>1040</v>
      </c>
      <c r="BA216" s="1985" t="s">
        <v>1041</v>
      </c>
      <c r="BB216" s="3194" t="s">
        <v>1042</v>
      </c>
      <c r="BC216" s="1976"/>
      <c r="BD216" s="1764"/>
      <c r="BE216" s="1762"/>
      <c r="BF216" s="1762"/>
    </row>
    <row r="217" spans="1:58" s="1747" customFormat="1" ht="20.100000000000001" hidden="1" customHeight="1">
      <c r="A217" s="1792">
        <v>146</v>
      </c>
      <c r="B217" s="1790"/>
      <c r="C217" s="1790"/>
      <c r="D217" s="1791" t="s">
        <v>352</v>
      </c>
      <c r="E217" s="1790">
        <v>15</v>
      </c>
      <c r="F217" s="1791" t="s">
        <v>449</v>
      </c>
      <c r="G217" s="2285"/>
      <c r="H217" s="1791" t="s">
        <v>452</v>
      </c>
      <c r="I217" s="1790" t="s">
        <v>23</v>
      </c>
      <c r="J217" s="1791" t="s">
        <v>451</v>
      </c>
      <c r="K217" s="1790">
        <v>1</v>
      </c>
      <c r="L217" s="1791" t="s">
        <v>453</v>
      </c>
      <c r="M217" s="1790">
        <v>1</v>
      </c>
      <c r="N217" s="1790">
        <v>1</v>
      </c>
      <c r="O217" s="1790">
        <v>0</v>
      </c>
      <c r="P217" s="1829">
        <v>1</v>
      </c>
      <c r="Q217" s="1790">
        <v>1</v>
      </c>
      <c r="R217" s="1790">
        <v>1</v>
      </c>
      <c r="S217" s="1790">
        <v>114</v>
      </c>
      <c r="T217" s="1856">
        <v>107000000</v>
      </c>
      <c r="U217" s="1856">
        <v>107000000</v>
      </c>
      <c r="V217" s="2059">
        <v>4261000</v>
      </c>
      <c r="W217" s="1856">
        <v>2160000</v>
      </c>
      <c r="X217" s="2067">
        <f t="shared" si="22"/>
        <v>113421000</v>
      </c>
      <c r="Y217" s="2331" t="s">
        <v>21</v>
      </c>
      <c r="Z217" s="2331" t="s">
        <v>21</v>
      </c>
      <c r="AA217" s="1879">
        <v>107000000</v>
      </c>
      <c r="AB217" s="1880"/>
      <c r="AC217" s="1879"/>
      <c r="AD217" s="2095"/>
      <c r="AE217" s="1879"/>
      <c r="AF217" s="2095"/>
      <c r="AG217" s="2068" t="e">
        <f>-#REF!</f>
        <v>#REF!</v>
      </c>
      <c r="AH217" s="1880" t="s">
        <v>617</v>
      </c>
      <c r="AI217" s="3160" t="s">
        <v>21</v>
      </c>
      <c r="AJ217" s="2011" t="s">
        <v>455</v>
      </c>
      <c r="AK217" s="3160" t="s">
        <v>21</v>
      </c>
      <c r="AL217" s="3160" t="s">
        <v>21</v>
      </c>
      <c r="AM217" s="1877"/>
      <c r="AN217" s="3207" t="s">
        <v>675</v>
      </c>
      <c r="AO217" s="3202" t="s">
        <v>603</v>
      </c>
      <c r="AP217" s="1912" t="s">
        <v>570</v>
      </c>
      <c r="AQ217" s="1912"/>
      <c r="AR217" s="1912" t="s">
        <v>1283</v>
      </c>
      <c r="AS217" s="1912" t="s">
        <v>1043</v>
      </c>
      <c r="AT217" s="1879">
        <v>107000000</v>
      </c>
      <c r="AU217" s="1879"/>
      <c r="AV217" s="2331" t="s">
        <v>633</v>
      </c>
      <c r="AW217" s="2331" t="e">
        <f>#REF!</f>
        <v>#REF!</v>
      </c>
      <c r="AX217" s="1912" t="s">
        <v>1044</v>
      </c>
      <c r="AY217" s="2331" t="s">
        <v>633</v>
      </c>
      <c r="AZ217" s="3244" t="s">
        <v>1045</v>
      </c>
      <c r="BA217" s="2258"/>
      <c r="BB217" s="2149" t="s">
        <v>1046</v>
      </c>
      <c r="BC217" s="2150"/>
      <c r="BD217" s="2364"/>
    </row>
    <row r="218" spans="1:58" s="1747" customFormat="1" ht="20.100000000000001" hidden="1" customHeight="1">
      <c r="A218" s="2018"/>
      <c r="B218" s="1790"/>
      <c r="C218" s="1790"/>
      <c r="D218" s="1791" t="s">
        <v>352</v>
      </c>
      <c r="E218" s="1790"/>
      <c r="F218" s="1791" t="s">
        <v>1047</v>
      </c>
      <c r="G218" s="1788"/>
      <c r="H218" s="1791" t="s">
        <v>1048</v>
      </c>
      <c r="I218" s="1790"/>
      <c r="J218" s="1791" t="s">
        <v>1049</v>
      </c>
      <c r="K218" s="1791"/>
      <c r="L218" s="2299" t="s">
        <v>1050</v>
      </c>
      <c r="M218" s="1790">
        <v>1</v>
      </c>
      <c r="N218" s="1790"/>
      <c r="O218" s="1790"/>
      <c r="P218" s="1829"/>
      <c r="Q218" s="1790"/>
      <c r="R218" s="1790"/>
      <c r="S218" s="1790"/>
      <c r="T218" s="1856">
        <v>0</v>
      </c>
      <c r="U218" s="1458">
        <v>150000000</v>
      </c>
      <c r="V218" s="2315">
        <v>0</v>
      </c>
      <c r="W218" s="2059">
        <v>0</v>
      </c>
      <c r="X218" s="2067" t="e">
        <f>#REF!+#REF!+#REF!</f>
        <v>#REF!</v>
      </c>
      <c r="Y218" s="2212" t="s">
        <v>633</v>
      </c>
      <c r="Z218" s="2212" t="s">
        <v>633</v>
      </c>
      <c r="AA218" s="2094" t="e">
        <f>#REF!</f>
        <v>#REF!</v>
      </c>
      <c r="AB218" s="1880"/>
      <c r="AC218" s="1680"/>
      <c r="AD218" s="2074"/>
      <c r="AE218" s="2075"/>
      <c r="AF218" s="2074"/>
      <c r="AG218" s="2068"/>
      <c r="AH218" s="1880"/>
      <c r="AI218" s="2102"/>
      <c r="AJ218" s="2011"/>
      <c r="AK218" s="2011"/>
      <c r="AL218" s="2011"/>
      <c r="AM218" s="1880"/>
      <c r="AN218" s="1925"/>
      <c r="AO218" s="1925"/>
      <c r="AP218" s="2011"/>
      <c r="AQ218" s="1912"/>
      <c r="AR218" s="2143" t="s">
        <v>1283</v>
      </c>
      <c r="AS218" s="2143"/>
      <c r="AT218" s="2143">
        <v>150000000</v>
      </c>
      <c r="AU218" s="2143"/>
      <c r="AV218" s="2331" t="s">
        <v>1051</v>
      </c>
      <c r="AW218" s="2365" t="e">
        <f>#REF!</f>
        <v>#REF!</v>
      </c>
      <c r="AX218" s="2143"/>
      <c r="AY218" s="2182"/>
      <c r="AZ218" s="2257"/>
      <c r="BA218" s="2258"/>
      <c r="BB218" s="2149"/>
      <c r="BC218" s="2150"/>
      <c r="BD218" s="2364"/>
    </row>
    <row r="219" spans="1:58" s="1747" customFormat="1" ht="20.100000000000001" hidden="1" customHeight="1">
      <c r="A219" s="2018"/>
      <c r="B219" s="1790"/>
      <c r="C219" s="1790"/>
      <c r="D219" s="1791" t="s">
        <v>352</v>
      </c>
      <c r="E219" s="1790"/>
      <c r="F219" s="1791" t="s">
        <v>1047</v>
      </c>
      <c r="G219" s="1788"/>
      <c r="H219" s="1791" t="s">
        <v>1048</v>
      </c>
      <c r="I219" s="1790"/>
      <c r="J219" s="1791" t="s">
        <v>1049</v>
      </c>
      <c r="K219" s="1791"/>
      <c r="L219" s="2299" t="s">
        <v>1052</v>
      </c>
      <c r="M219" s="1790">
        <v>1</v>
      </c>
      <c r="N219" s="1790"/>
      <c r="O219" s="1790"/>
      <c r="P219" s="1829"/>
      <c r="Q219" s="1790"/>
      <c r="R219" s="1790"/>
      <c r="S219" s="1790"/>
      <c r="T219" s="1856">
        <v>0</v>
      </c>
      <c r="U219" s="1458">
        <v>55000000</v>
      </c>
      <c r="V219" s="2315">
        <v>0</v>
      </c>
      <c r="W219" s="2059">
        <v>0</v>
      </c>
      <c r="X219" s="2067" t="e">
        <f>#REF!+#REF!+#REF!</f>
        <v>#REF!</v>
      </c>
      <c r="Y219" s="2212" t="s">
        <v>633</v>
      </c>
      <c r="Z219" s="2212" t="s">
        <v>633</v>
      </c>
      <c r="AA219" s="2094" t="e">
        <f>#REF!</f>
        <v>#REF!</v>
      </c>
      <c r="AB219" s="1880"/>
      <c r="AC219" s="1680"/>
      <c r="AD219" s="2074"/>
      <c r="AE219" s="2075"/>
      <c r="AF219" s="2074"/>
      <c r="AG219" s="2068"/>
      <c r="AH219" s="1880"/>
      <c r="AI219" s="2102"/>
      <c r="AJ219" s="2011"/>
      <c r="AK219" s="2011"/>
      <c r="AL219" s="2011"/>
      <c r="AM219" s="1880"/>
      <c r="AN219" s="1925"/>
      <c r="AO219" s="1925"/>
      <c r="AP219" s="2011"/>
      <c r="AQ219" s="1912"/>
      <c r="AR219" s="2143" t="s">
        <v>1283</v>
      </c>
      <c r="AS219" s="2143"/>
      <c r="AT219" s="2143">
        <v>55000000</v>
      </c>
      <c r="AU219" s="2143"/>
      <c r="AV219" s="2331" t="s">
        <v>1051</v>
      </c>
      <c r="AW219" s="2365" t="e">
        <f>#REF!</f>
        <v>#REF!</v>
      </c>
      <c r="AX219" s="2143"/>
      <c r="AY219" s="2182"/>
      <c r="AZ219" s="2257"/>
      <c r="BA219" s="2258"/>
      <c r="BB219" s="2149"/>
      <c r="BC219" s="2150"/>
      <c r="BD219" s="2364"/>
    </row>
    <row r="220" spans="1:58" s="1747" customFormat="1" ht="20.100000000000001" hidden="1" customHeight="1">
      <c r="A220" s="2018"/>
      <c r="B220" s="1790"/>
      <c r="C220" s="1790"/>
      <c r="D220" s="1791" t="s">
        <v>352</v>
      </c>
      <c r="E220" s="1790"/>
      <c r="F220" s="1791" t="s">
        <v>1047</v>
      </c>
      <c r="G220" s="1788"/>
      <c r="H220" s="1791" t="s">
        <v>1048</v>
      </c>
      <c r="I220" s="1790"/>
      <c r="J220" s="1791" t="s">
        <v>1049</v>
      </c>
      <c r="K220" s="1791"/>
      <c r="L220" s="2299" t="s">
        <v>1053</v>
      </c>
      <c r="M220" s="1790">
        <v>1</v>
      </c>
      <c r="N220" s="1790"/>
      <c r="O220" s="1790"/>
      <c r="P220" s="1829"/>
      <c r="Q220" s="1790"/>
      <c r="R220" s="1790"/>
      <c r="S220" s="1790"/>
      <c r="T220" s="1856">
        <v>0</v>
      </c>
      <c r="U220" s="1458">
        <v>45000000</v>
      </c>
      <c r="V220" s="2315">
        <v>0</v>
      </c>
      <c r="W220" s="2059">
        <v>0</v>
      </c>
      <c r="X220" s="2067" t="e">
        <f>#REF!+#REF!+#REF!</f>
        <v>#REF!</v>
      </c>
      <c r="Y220" s="2212" t="s">
        <v>633</v>
      </c>
      <c r="Z220" s="2212" t="s">
        <v>633</v>
      </c>
      <c r="AA220" s="2094" t="e">
        <f>#REF!</f>
        <v>#REF!</v>
      </c>
      <c r="AB220" s="1880"/>
      <c r="AC220" s="1680"/>
      <c r="AD220" s="2074"/>
      <c r="AE220" s="2075"/>
      <c r="AF220" s="2074"/>
      <c r="AG220" s="2068"/>
      <c r="AH220" s="1880"/>
      <c r="AI220" s="2102"/>
      <c r="AJ220" s="2011"/>
      <c r="AK220" s="2011"/>
      <c r="AL220" s="2011"/>
      <c r="AM220" s="1880"/>
      <c r="AN220" s="1925"/>
      <c r="AO220" s="1925"/>
      <c r="AP220" s="2011"/>
      <c r="AQ220" s="1912"/>
      <c r="AR220" s="2143" t="s">
        <v>1283</v>
      </c>
      <c r="AS220" s="2143"/>
      <c r="AT220" s="2143">
        <v>45000000</v>
      </c>
      <c r="AU220" s="2143"/>
      <c r="AV220" s="2331" t="s">
        <v>1051</v>
      </c>
      <c r="AW220" s="2365" t="e">
        <f>#REF!</f>
        <v>#REF!</v>
      </c>
      <c r="AX220" s="2143"/>
      <c r="AY220" s="2182"/>
      <c r="AZ220" s="2257"/>
      <c r="BA220" s="2258"/>
      <c r="BB220" s="2149"/>
      <c r="BC220" s="2150"/>
      <c r="BD220" s="2364"/>
    </row>
    <row r="221" spans="1:58" s="1747" customFormat="1" ht="20.100000000000001" hidden="1" customHeight="1">
      <c r="A221" s="2018"/>
      <c r="B221" s="1790"/>
      <c r="C221" s="1790"/>
      <c r="D221" s="1791" t="s">
        <v>352</v>
      </c>
      <c r="E221" s="1790"/>
      <c r="F221" s="1791" t="s">
        <v>1047</v>
      </c>
      <c r="G221" s="1788"/>
      <c r="H221" s="1791" t="s">
        <v>1048</v>
      </c>
      <c r="I221" s="1790"/>
      <c r="J221" s="1791" t="s">
        <v>1049</v>
      </c>
      <c r="K221" s="1791"/>
      <c r="L221" s="2299" t="s">
        <v>1054</v>
      </c>
      <c r="M221" s="1790">
        <v>1</v>
      </c>
      <c r="N221" s="1790"/>
      <c r="O221" s="1790"/>
      <c r="P221" s="1829"/>
      <c r="Q221" s="1790"/>
      <c r="R221" s="1790"/>
      <c r="S221" s="1790"/>
      <c r="T221" s="1856">
        <v>0</v>
      </c>
      <c r="U221" s="1458">
        <v>40000000</v>
      </c>
      <c r="V221" s="2315">
        <v>0</v>
      </c>
      <c r="W221" s="2059">
        <v>0</v>
      </c>
      <c r="X221" s="2067" t="e">
        <f>#REF!+#REF!+#REF!</f>
        <v>#REF!</v>
      </c>
      <c r="Y221" s="2212" t="s">
        <v>633</v>
      </c>
      <c r="Z221" s="2212" t="s">
        <v>633</v>
      </c>
      <c r="AA221" s="2094" t="e">
        <f>#REF!</f>
        <v>#REF!</v>
      </c>
      <c r="AB221" s="1880"/>
      <c r="AC221" s="1680"/>
      <c r="AD221" s="2074"/>
      <c r="AE221" s="2075"/>
      <c r="AF221" s="2074"/>
      <c r="AG221" s="2068"/>
      <c r="AH221" s="1880"/>
      <c r="AI221" s="2102"/>
      <c r="AJ221" s="2011"/>
      <c r="AK221" s="2011"/>
      <c r="AL221" s="2011"/>
      <c r="AM221" s="1880"/>
      <c r="AN221" s="1925"/>
      <c r="AO221" s="1925"/>
      <c r="AP221" s="2011"/>
      <c r="AQ221" s="1912"/>
      <c r="AR221" s="2143" t="s">
        <v>1283</v>
      </c>
      <c r="AS221" s="2143"/>
      <c r="AT221" s="2143">
        <v>40000000</v>
      </c>
      <c r="AU221" s="2143"/>
      <c r="AV221" s="2331" t="s">
        <v>1051</v>
      </c>
      <c r="AW221" s="2365" t="e">
        <f>#REF!</f>
        <v>#REF!</v>
      </c>
      <c r="AX221" s="2143"/>
      <c r="AY221" s="2182"/>
      <c r="AZ221" s="2257"/>
      <c r="BA221" s="2258"/>
      <c r="BB221" s="2149"/>
      <c r="BC221" s="2150"/>
      <c r="BD221" s="2364"/>
    </row>
    <row r="222" spans="1:58" s="1747" customFormat="1" ht="20.100000000000001" hidden="1" customHeight="1">
      <c r="A222" s="1792">
        <v>147</v>
      </c>
      <c r="B222" s="1790"/>
      <c r="C222" s="1790"/>
      <c r="D222" s="1791" t="s">
        <v>352</v>
      </c>
      <c r="E222" s="1790">
        <v>16</v>
      </c>
      <c r="F222" s="1791" t="s">
        <v>1055</v>
      </c>
      <c r="G222" s="1788"/>
      <c r="H222" s="1791" t="s">
        <v>460</v>
      </c>
      <c r="I222" s="1790" t="s">
        <v>23</v>
      </c>
      <c r="J222" s="1791" t="s">
        <v>459</v>
      </c>
      <c r="K222" s="1790">
        <v>1</v>
      </c>
      <c r="L222" s="2300" t="s">
        <v>1056</v>
      </c>
      <c r="M222" s="2301">
        <v>1</v>
      </c>
      <c r="N222" s="2301">
        <v>1</v>
      </c>
      <c r="O222" s="2301">
        <v>0</v>
      </c>
      <c r="P222" s="1829">
        <v>1</v>
      </c>
      <c r="Q222" s="1790">
        <v>1</v>
      </c>
      <c r="R222" s="1790">
        <v>1</v>
      </c>
      <c r="S222" s="1790">
        <v>115</v>
      </c>
      <c r="T222" s="1856">
        <v>150000000</v>
      </c>
      <c r="U222" s="1856">
        <v>150000000</v>
      </c>
      <c r="V222" s="2316">
        <v>9000000</v>
      </c>
      <c r="W222" s="1856">
        <v>0</v>
      </c>
      <c r="X222" s="2068">
        <f t="shared" si="22"/>
        <v>159000000</v>
      </c>
      <c r="Y222" s="2068" t="s">
        <v>462</v>
      </c>
      <c r="Z222" s="1879" t="s">
        <v>565</v>
      </c>
      <c r="AA222" s="1879">
        <f>T222</f>
        <v>150000000</v>
      </c>
      <c r="AB222" s="1880"/>
      <c r="AC222" s="1879"/>
      <c r="AD222" s="2095"/>
      <c r="AE222" s="1879"/>
      <c r="AF222" s="2095"/>
      <c r="AG222" s="2117" t="e">
        <f>+#REF!-#REF!</f>
        <v>#REF!</v>
      </c>
      <c r="AH222" s="1880" t="s">
        <v>617</v>
      </c>
      <c r="AI222" s="3208" t="s">
        <v>1057</v>
      </c>
      <c r="AJ222" s="3208" t="s">
        <v>1057</v>
      </c>
      <c r="AK222" s="3208" t="s">
        <v>1058</v>
      </c>
      <c r="AL222" s="3208" t="s">
        <v>1059</v>
      </c>
      <c r="AM222" s="1877"/>
      <c r="AN222" s="3207" t="s">
        <v>608</v>
      </c>
      <c r="AO222" s="3207" t="s">
        <v>568</v>
      </c>
      <c r="AP222" s="1912" t="s">
        <v>570</v>
      </c>
      <c r="AQ222" s="1912"/>
      <c r="AR222" s="1912" t="s">
        <v>1295</v>
      </c>
      <c r="AS222" s="1912" t="s">
        <v>1311</v>
      </c>
      <c r="AT222" s="1879">
        <v>150000000</v>
      </c>
      <c r="AU222" s="1879"/>
      <c r="AV222" s="2068" t="s">
        <v>462</v>
      </c>
      <c r="AW222" s="2365" t="e">
        <f>#REF!</f>
        <v>#REF!</v>
      </c>
      <c r="AX222" s="1912" t="s">
        <v>21</v>
      </c>
      <c r="AY222" s="1879" t="s">
        <v>565</v>
      </c>
      <c r="AZ222" s="3244" t="s">
        <v>1060</v>
      </c>
      <c r="BA222" s="2258"/>
      <c r="BB222" s="3187" t="s">
        <v>1061</v>
      </c>
      <c r="BC222" s="1984"/>
      <c r="BD222" s="2366"/>
      <c r="BE222" s="2381"/>
      <c r="BF222" s="2364"/>
    </row>
    <row r="223" spans="1:58" s="1747" customFormat="1" ht="20.100000000000001" hidden="1" customHeight="1">
      <c r="A223" s="1801">
        <v>148</v>
      </c>
      <c r="B223" s="2286"/>
      <c r="C223" s="2286"/>
      <c r="D223" s="1844" t="s">
        <v>352</v>
      </c>
      <c r="E223" s="2286">
        <v>17</v>
      </c>
      <c r="F223" s="1844" t="s">
        <v>1062</v>
      </c>
      <c r="G223" s="2144"/>
      <c r="H223" s="1844" t="s">
        <v>470</v>
      </c>
      <c r="I223" s="2286" t="s">
        <v>23</v>
      </c>
      <c r="J223" s="1844" t="s">
        <v>469</v>
      </c>
      <c r="K223" s="2286">
        <v>1</v>
      </c>
      <c r="L223" s="1844" t="s">
        <v>471</v>
      </c>
      <c r="M223" s="2286">
        <v>1</v>
      </c>
      <c r="N223" s="2286">
        <v>1</v>
      </c>
      <c r="O223" s="2286">
        <v>0</v>
      </c>
      <c r="P223" s="2302">
        <v>1</v>
      </c>
      <c r="Q223" s="2286">
        <v>1</v>
      </c>
      <c r="R223" s="2286">
        <v>1</v>
      </c>
      <c r="S223" s="2286">
        <v>116</v>
      </c>
      <c r="T223" s="1941">
        <v>114400000</v>
      </c>
      <c r="U223" s="1941">
        <v>114400000</v>
      </c>
      <c r="V223" s="2317">
        <v>17200000</v>
      </c>
      <c r="W223" s="1941">
        <v>0</v>
      </c>
      <c r="X223" s="2075" t="e">
        <f>+#REF!+#REF!+#REF!</f>
        <v>#REF!</v>
      </c>
      <c r="Y223" s="2075" t="s">
        <v>1063</v>
      </c>
      <c r="Z223" s="1680" t="s">
        <v>565</v>
      </c>
      <c r="AA223" s="1680">
        <v>114400000</v>
      </c>
      <c r="AB223" s="2332"/>
      <c r="AC223" s="1680"/>
      <c r="AD223" s="2074"/>
      <c r="AE223" s="1680"/>
      <c r="AF223" s="2074"/>
      <c r="AG223" s="2342">
        <v>0</v>
      </c>
      <c r="AH223" s="2332" t="s">
        <v>617</v>
      </c>
      <c r="AI223" s="3245" t="s">
        <v>1064</v>
      </c>
      <c r="AJ223" s="3246" t="s">
        <v>1065</v>
      </c>
      <c r="AK223" s="3246" t="s">
        <v>1066</v>
      </c>
      <c r="AL223" s="3246" t="s">
        <v>1067</v>
      </c>
      <c r="AM223" s="2343"/>
      <c r="AN223" s="3247" t="s">
        <v>608</v>
      </c>
      <c r="AO223" s="3247" t="s">
        <v>1012</v>
      </c>
      <c r="AP223" s="2143" t="s">
        <v>570</v>
      </c>
      <c r="AQ223" s="2143"/>
      <c r="AR223" s="1912" t="s">
        <v>1283</v>
      </c>
      <c r="AS223" s="3248" t="s">
        <v>1312</v>
      </c>
      <c r="AT223" s="1680">
        <v>114400000</v>
      </c>
      <c r="AU223" s="1680"/>
      <c r="AV223" s="2075" t="s">
        <v>1063</v>
      </c>
      <c r="AW223" s="2365" t="e">
        <f>#REF!</f>
        <v>#REF!</v>
      </c>
      <c r="AX223" s="2143" t="s">
        <v>21</v>
      </c>
      <c r="AY223" s="1680" t="s">
        <v>565</v>
      </c>
      <c r="AZ223" s="3249" t="s">
        <v>1069</v>
      </c>
      <c r="BA223" s="2367"/>
      <c r="BB223" s="3250" t="s">
        <v>1070</v>
      </c>
      <c r="BC223" s="1976"/>
      <c r="BD223" s="2366"/>
      <c r="BE223" s="2381"/>
      <c r="BF223" s="2364"/>
    </row>
    <row r="224" spans="1:58" s="1747" customFormat="1" ht="20.100000000000001" hidden="1" customHeight="1">
      <c r="A224" s="2018"/>
      <c r="B224" s="1790"/>
      <c r="C224" s="1790"/>
      <c r="D224" s="1844" t="s">
        <v>352</v>
      </c>
      <c r="E224" s="1790"/>
      <c r="F224" s="1791" t="s">
        <v>1071</v>
      </c>
      <c r="G224" s="1788"/>
      <c r="H224" s="1791" t="s">
        <v>1072</v>
      </c>
      <c r="I224" s="1790"/>
      <c r="J224" s="1791" t="s">
        <v>1073</v>
      </c>
      <c r="K224" s="1791"/>
      <c r="L224" s="1791" t="s">
        <v>1074</v>
      </c>
      <c r="M224" s="1790">
        <v>1</v>
      </c>
      <c r="N224" s="1790"/>
      <c r="O224" s="1790"/>
      <c r="P224" s="1829"/>
      <c r="Q224" s="1790"/>
      <c r="R224" s="1790"/>
      <c r="S224" s="1790"/>
      <c r="T224" s="1856">
        <v>0</v>
      </c>
      <c r="U224" s="1856">
        <v>200000000</v>
      </c>
      <c r="V224" s="2315">
        <v>0</v>
      </c>
      <c r="W224" s="1856"/>
      <c r="X224" s="2067" t="e">
        <f>#REF!+#REF!+#REF!</f>
        <v>#REF!</v>
      </c>
      <c r="Y224" s="2071" t="s">
        <v>633</v>
      </c>
      <c r="Z224" s="2072" t="s">
        <v>633</v>
      </c>
      <c r="AA224" s="2094" t="e">
        <f>#REF!</f>
        <v>#REF!</v>
      </c>
      <c r="AB224" s="1880"/>
      <c r="AC224" s="1680"/>
      <c r="AD224" s="2074"/>
      <c r="AE224" s="2075"/>
      <c r="AF224" s="2074"/>
      <c r="AG224" s="2117"/>
      <c r="AH224" s="1880"/>
      <c r="AI224" s="2102"/>
      <c r="AJ224" s="2011"/>
      <c r="AK224" s="2011"/>
      <c r="AL224" s="2011"/>
      <c r="AM224" s="1880"/>
      <c r="AN224" s="1925"/>
      <c r="AO224" s="1925"/>
      <c r="AP224" s="2011"/>
      <c r="AQ224" s="1912"/>
      <c r="AR224" s="2143" t="s">
        <v>1283</v>
      </c>
      <c r="AS224" s="2143"/>
      <c r="AT224" s="2143">
        <v>200000000</v>
      </c>
      <c r="AU224" s="2143"/>
      <c r="AV224" s="2084" t="s">
        <v>633</v>
      </c>
      <c r="AW224" s="2365" t="e">
        <f>#REF!</f>
        <v>#REF!</v>
      </c>
      <c r="AX224" s="2143"/>
      <c r="AY224" s="2182"/>
      <c r="AZ224" s="260"/>
      <c r="BA224" s="91"/>
      <c r="BB224" s="2149"/>
      <c r="BC224" s="2150"/>
      <c r="BD224" s="2366"/>
      <c r="BE224" s="2381"/>
      <c r="BF224" s="2364"/>
    </row>
    <row r="225" spans="1:62" s="1747" customFormat="1" ht="20.100000000000001" hidden="1" customHeight="1">
      <c r="A225" s="2018"/>
      <c r="B225" s="1790"/>
      <c r="C225" s="1790"/>
      <c r="D225" s="1844" t="s">
        <v>352</v>
      </c>
      <c r="E225" s="1790"/>
      <c r="F225" s="1791" t="s">
        <v>1075</v>
      </c>
      <c r="G225" s="1788"/>
      <c r="H225" s="1791"/>
      <c r="I225" s="1790"/>
      <c r="J225" s="1791" t="s">
        <v>1077</v>
      </c>
      <c r="K225" s="1791"/>
      <c r="L225" s="1791" t="s">
        <v>1078</v>
      </c>
      <c r="M225" s="1790">
        <v>1</v>
      </c>
      <c r="N225" s="1790"/>
      <c r="O225" s="1790"/>
      <c r="P225" s="1829"/>
      <c r="Q225" s="1790"/>
      <c r="R225" s="1790"/>
      <c r="S225" s="1790"/>
      <c r="T225" s="1856">
        <v>0</v>
      </c>
      <c r="U225" s="77">
        <v>107950000</v>
      </c>
      <c r="V225" s="2318">
        <v>2950000</v>
      </c>
      <c r="W225" s="1856"/>
      <c r="X225" s="2067" t="e">
        <f>#REF!+#REF!+#REF!</f>
        <v>#REF!</v>
      </c>
      <c r="Y225" s="2071" t="s">
        <v>633</v>
      </c>
      <c r="Z225" s="2072" t="s">
        <v>633</v>
      </c>
      <c r="AA225" s="2094" t="e">
        <f>#REF!</f>
        <v>#REF!</v>
      </c>
      <c r="AB225" s="1880"/>
      <c r="AC225" s="1680"/>
      <c r="AD225" s="2074"/>
      <c r="AE225" s="2075"/>
      <c r="AF225" s="2074"/>
      <c r="AG225" s="2117"/>
      <c r="AH225" s="1880"/>
      <c r="AI225" s="2102"/>
      <c r="AJ225" s="2011"/>
      <c r="AK225" s="2011"/>
      <c r="AL225" s="2011"/>
      <c r="AM225" s="1880"/>
      <c r="AN225" s="1925"/>
      <c r="AO225" s="1925"/>
      <c r="AP225" s="2011"/>
      <c r="AQ225" s="1912"/>
      <c r="AR225" s="2143" t="s">
        <v>1283</v>
      </c>
      <c r="AS225" s="2143"/>
      <c r="AT225" s="2143">
        <v>107950000</v>
      </c>
      <c r="AU225" s="2143"/>
      <c r="AV225" s="2084" t="s">
        <v>633</v>
      </c>
      <c r="AW225" s="2365" t="e">
        <f>#REF!</f>
        <v>#REF!</v>
      </c>
      <c r="AX225" s="2143"/>
      <c r="AY225" s="2182"/>
      <c r="AZ225" s="260"/>
      <c r="BA225" s="91"/>
      <c r="BB225" s="2149"/>
      <c r="BC225" s="2150"/>
      <c r="BD225" s="2366"/>
      <c r="BE225" s="2381"/>
      <c r="BF225" s="2364"/>
    </row>
    <row r="226" spans="1:62" s="1747" customFormat="1" ht="20.100000000000001" hidden="1" customHeight="1">
      <c r="A226" s="2287"/>
      <c r="B226" s="2288"/>
      <c r="C226" s="2288"/>
      <c r="D226" s="2289"/>
      <c r="E226" s="2288"/>
      <c r="F226" s="2289"/>
      <c r="G226" s="2290"/>
      <c r="H226" s="2289"/>
      <c r="I226" s="2288"/>
      <c r="J226" s="2289"/>
      <c r="K226" s="2289"/>
      <c r="L226" s="2289"/>
      <c r="M226" s="2288"/>
      <c r="N226" s="2288"/>
      <c r="O226" s="2288"/>
      <c r="P226" s="2303"/>
      <c r="Q226" s="2288"/>
      <c r="R226" s="2288"/>
      <c r="S226" s="2288"/>
      <c r="T226" s="2319" t="e">
        <f>SUBTOTAL(109,#REF!)</f>
        <v>#REF!</v>
      </c>
      <c r="U226" s="2319" t="e">
        <f>SUBTOTAL(109,#REF!)</f>
        <v>#REF!</v>
      </c>
      <c r="V226" s="2320"/>
      <c r="W226" s="2319"/>
      <c r="X226" s="2321"/>
      <c r="Y226" s="2321"/>
      <c r="Z226" s="2333"/>
      <c r="AA226" s="2321"/>
      <c r="AB226" s="2334"/>
      <c r="AC226" s="2335"/>
      <c r="AD226" s="2336"/>
      <c r="AE226" s="2335"/>
      <c r="AF226" s="2336"/>
      <c r="AG226" s="2344"/>
      <c r="AH226" s="2345"/>
      <c r="AI226" s="2346"/>
      <c r="AJ226" s="2290"/>
      <c r="AK226" s="2290"/>
      <c r="AL226" s="2290"/>
      <c r="AM226" s="2290"/>
      <c r="AN226" s="2347"/>
      <c r="AO226" s="2347"/>
      <c r="AP226" s="2290"/>
      <c r="AQ226" s="2290"/>
      <c r="AR226" s="2290"/>
      <c r="AS226" s="2353"/>
      <c r="AT226" s="2353" t="e">
        <f>AT5+AT6+AT14+AT15+AT16+AT17+AT18+AT19+AT20+AT21+AT22+AT23+AT24+AT25+AT26+AT27+AT29+AT31+AT32+AT33+AT34+AT35+AT36+AT37+AT38+AT40+AT43+AT44+AT46+AT47+AT48+AT49+AT51+AT52+AT53+AT54+AT55+AT56+AT57+AT58+AT59+AT60+AT64+AT65+AT66+AT67+AT68+AT71+AT72+AT74+AT75+AT76+AT77+AT78+AT79+AT80+AT81+AT82+AT83+AT84+AT85+AT86+AT87+AT88+AT89+AT90+AT91+AT92+AT93+AT94+AT95+AT96+AT98+AT99+AT100+#REF!+#REF!+AT101+AT102+AT103+AT104+AT106+AT107+AT108+AT110+AT111+AT113+AT114+AT115+AT116+AT118+AT119+AT120+AT121+AT122+AT133+AT134+AT135+AT136+AT137+AT139+AT140+AT141+AT142+AT145+AT146+AT147+AT148+AT149+AT150+AT152+AT156+AT159+AT160+AT161+AT162+AT163+AT164+AT165+AT166+AT167+AT169+AT170+AT172+AT173+AT174+AT181+AT182+AT183+AT184+AT185+AT186+AT187+AT188+AT190+AT191+AT192+AT193+AT194+AT195+AT196+AT197+AT198+AT199+AT200+AT202+AT203+AT204+AT205+AT207+AT208+AT209+AT211+AT212+AT213+AT214+AT215+AT216+AT217+AT218+AT219+AT220+AT221+AT222+AT223+AT224+AT225</f>
        <v>#REF!</v>
      </c>
      <c r="AU226" s="2353"/>
      <c r="AV226" s="2353" t="e">
        <f>SUBTOTAL(109,#REF!)</f>
        <v>#REF!</v>
      </c>
      <c r="AW226" s="2353" t="e">
        <f>SUBTOTAL(109,#REF!)</f>
        <v>#REF!</v>
      </c>
      <c r="AX226" s="2353"/>
      <c r="AY226" s="2368"/>
      <c r="AZ226" s="2369"/>
      <c r="BA226" s="2370"/>
      <c r="BB226" s="2371"/>
      <c r="BC226" s="2372"/>
      <c r="BD226" s="2366"/>
      <c r="BE226" s="2381"/>
      <c r="BF226" s="2364"/>
    </row>
    <row r="227" spans="1:62" s="1747" customFormat="1" ht="20.100000000000001" customHeight="1">
      <c r="A227" s="1783" t="s">
        <v>1313</v>
      </c>
      <c r="B227" s="2291"/>
      <c r="C227" s="2292"/>
      <c r="D227" s="2293"/>
      <c r="E227" s="2292"/>
      <c r="F227" s="2293"/>
      <c r="G227" s="2294"/>
      <c r="H227" s="2293"/>
      <c r="I227" s="2292"/>
      <c r="J227" s="2293"/>
      <c r="K227" s="2293"/>
      <c r="L227" s="653"/>
      <c r="M227" s="2292"/>
      <c r="N227" s="2292"/>
      <c r="O227" s="2292"/>
      <c r="P227" s="2304"/>
      <c r="Q227" s="2292"/>
      <c r="R227" s="2292"/>
      <c r="S227" s="2292"/>
      <c r="T227" s="2322"/>
      <c r="U227" s="2322"/>
      <c r="V227" s="2323"/>
      <c r="W227" s="2322"/>
      <c r="X227" s="2324"/>
      <c r="Y227" s="2324"/>
      <c r="Z227" s="2337"/>
      <c r="AA227" s="2324"/>
      <c r="AB227" s="2338"/>
      <c r="AC227" s="2339"/>
      <c r="AD227" s="2340"/>
      <c r="AE227" s="2339"/>
      <c r="AF227" s="2340"/>
      <c r="AG227" s="2348"/>
      <c r="AH227" s="2349"/>
      <c r="AI227" s="2350"/>
      <c r="AJ227" s="2294"/>
      <c r="AK227" s="2294"/>
      <c r="AL227" s="2294"/>
      <c r="AM227" s="2294"/>
      <c r="AN227" s="2351"/>
      <c r="AO227" s="2351"/>
      <c r="AP227" s="2294"/>
      <c r="AQ227" s="2294"/>
      <c r="AR227" s="2294"/>
      <c r="AS227" s="2354"/>
      <c r="AT227" s="654">
        <f>AT229</f>
        <v>200000000</v>
      </c>
      <c r="AU227" s="654">
        <f>AU229</f>
        <v>200000000</v>
      </c>
      <c r="AV227" s="655"/>
      <c r="AW227" s="2354"/>
      <c r="AX227" s="2354"/>
      <c r="AY227" s="2373"/>
      <c r="AZ227" s="2374"/>
      <c r="BA227" s="2375"/>
      <c r="BB227" s="2372"/>
      <c r="BC227" s="656"/>
      <c r="BD227" s="2366"/>
      <c r="BE227" s="2381"/>
      <c r="BF227" s="2364"/>
    </row>
    <row r="228" spans="1:62" s="1747" customFormat="1" ht="20.100000000000001" hidden="1" customHeight="1">
      <c r="A228" s="1749"/>
      <c r="B228" s="1749"/>
      <c r="C228" s="1749"/>
      <c r="D228" s="1750"/>
      <c r="E228" s="1749"/>
      <c r="F228" s="1750"/>
      <c r="G228" s="1750"/>
      <c r="H228" s="1750"/>
      <c r="I228" s="1749"/>
      <c r="J228" s="1750"/>
      <c r="K228" s="1750"/>
      <c r="L228" s="1749"/>
      <c r="M228" s="1749">
        <f>SUM(M4:M226)</f>
        <v>159.50000000000006</v>
      </c>
      <c r="N228" s="2305">
        <f>SUM(N4:N225)</f>
        <v>131</v>
      </c>
      <c r="O228" s="1749" t="e">
        <f>SUM(#REF!)</f>
        <v>#REF!</v>
      </c>
      <c r="P228" s="1751">
        <f>SUM(P4:P226)</f>
        <v>121.99999999999994</v>
      </c>
      <c r="Q228" s="1751">
        <f>SUM(Q4:Q226)</f>
        <v>18000118.857142851</v>
      </c>
      <c r="R228" s="1749"/>
      <c r="S228" s="1749"/>
      <c r="T228" s="1752"/>
      <c r="U228" s="1752"/>
      <c r="V228" s="1753"/>
      <c r="W228" s="1753"/>
      <c r="X228" s="1753"/>
      <c r="Y228" s="1754"/>
      <c r="Z228" s="1755"/>
      <c r="AA228" s="1755"/>
      <c r="AB228" s="1756"/>
      <c r="AC228" s="1753"/>
      <c r="AD228" s="1753"/>
      <c r="AE228" s="1753"/>
      <c r="AF228" s="1753"/>
      <c r="AG228" s="1757"/>
      <c r="AH228" s="1754"/>
      <c r="AI228"/>
      <c r="AJ228" s="1756"/>
      <c r="AK228" s="1754"/>
      <c r="AL228" s="1754"/>
      <c r="AM228" s="1754"/>
      <c r="AN228" s="1754"/>
      <c r="AO228" s="1754"/>
      <c r="AP228" s="1758"/>
      <c r="AQ228" s="1758"/>
      <c r="AR228" s="1758"/>
      <c r="AS228" s="1758"/>
      <c r="AT228" s="1760"/>
      <c r="AU228" s="1760"/>
      <c r="AV228" s="1760"/>
      <c r="AW228" s="1760"/>
      <c r="AX228" s="1760">
        <f>AT24+AT34+AT35+AT36+AT54+AT60+AT65+AT75+AT79+AT80+AT100+AT134+AT149+AT204+AT209+AT213</f>
        <v>5827548704</v>
      </c>
      <c r="AY228" s="1760"/>
      <c r="AZ228" s="1760"/>
      <c r="BA228" s="1760"/>
      <c r="BD228" s="2366"/>
      <c r="BE228" s="2381"/>
      <c r="BF228" s="2364"/>
    </row>
    <row r="229" spans="1:62" s="1747" customFormat="1" ht="20.100000000000001" customHeight="1">
      <c r="A229" s="2295">
        <v>30</v>
      </c>
      <c r="B229" s="1749"/>
      <c r="C229" s="1749"/>
      <c r="D229" s="1750"/>
      <c r="E229" s="1749"/>
      <c r="F229" s="1750"/>
      <c r="G229" s="1750"/>
      <c r="H229" s="1750"/>
      <c r="I229" s="1749"/>
      <c r="J229" s="1750"/>
      <c r="K229" s="1750"/>
      <c r="L229" s="2306" t="s">
        <v>956</v>
      </c>
      <c r="M229" s="1749"/>
      <c r="N229" s="2305"/>
      <c r="O229" s="1749"/>
      <c r="P229" s="1751"/>
      <c r="Q229" s="1751"/>
      <c r="R229" s="1749"/>
      <c r="S229" s="1749"/>
      <c r="T229" s="1752"/>
      <c r="U229" s="1752"/>
      <c r="V229" s="1753"/>
      <c r="W229" s="1753"/>
      <c r="X229" s="1753"/>
      <c r="Y229" s="1754"/>
      <c r="Z229" s="1755"/>
      <c r="AA229" s="1755"/>
      <c r="AB229" s="1756"/>
      <c r="AC229" s="1753"/>
      <c r="AD229" s="1753"/>
      <c r="AE229" s="1753"/>
      <c r="AF229" s="1753"/>
      <c r="AG229" s="1757"/>
      <c r="AH229" s="1754"/>
      <c r="AI229"/>
      <c r="AJ229" s="1756"/>
      <c r="AK229" s="1754"/>
      <c r="AL229" s="1754"/>
      <c r="AM229" s="1754"/>
      <c r="AN229" s="1754"/>
      <c r="AO229" s="1754"/>
      <c r="AP229" s="1758"/>
      <c r="AQ229" s="1758"/>
      <c r="AR229" s="1758"/>
      <c r="AS229" s="1758"/>
      <c r="AT229" s="658">
        <v>200000000</v>
      </c>
      <c r="AU229" s="658">
        <v>200000000</v>
      </c>
      <c r="AV229" s="2355"/>
      <c r="AW229" s="1760"/>
      <c r="AX229" s="1760"/>
      <c r="AY229" s="1760"/>
      <c r="AZ229" s="1760"/>
      <c r="BA229" s="1760"/>
      <c r="BC229" s="2376"/>
      <c r="BD229" s="2366"/>
      <c r="BE229" s="2381"/>
      <c r="BF229" s="2364"/>
    </row>
    <row r="230" spans="1:62" ht="20.100000000000001" customHeight="1">
      <c r="A230" s="2296" t="s">
        <v>477</v>
      </c>
      <c r="D230" s="1749"/>
      <c r="F230" s="1749"/>
      <c r="G230" s="1749"/>
      <c r="H230" s="1749"/>
      <c r="J230" s="1749"/>
      <c r="K230" s="1749"/>
      <c r="L230" s="2296"/>
      <c r="AT230" s="664">
        <f>AT9+AT132+AT143+AT154+AT176+AT227</f>
        <v>5809063500</v>
      </c>
      <c r="AU230" s="665">
        <f>AU9+AU132+AU143+AU154+AU176+AU227</f>
        <v>4838867249.7200003</v>
      </c>
      <c r="AV230" s="666"/>
      <c r="BC230" s="2377"/>
    </row>
    <row r="231" spans="1:62" ht="20.100000000000001" customHeight="1">
      <c r="N231" s="2305">
        <f>SUM(N4:N225)</f>
        <v>131</v>
      </c>
      <c r="AU231" s="1976">
        <f>AT230+'[4]GB DAN DK'!AT214+[4]GB!AT233+'[4]PROSES - ada RC tambah'!AT200+'[4]PROSES - blm RC'!AT222+'[4]BELUM PROSES (rkp)'!AT216</f>
        <v>43450145184</v>
      </c>
      <c r="AW231" s="1760" t="e">
        <f>AW25+AW134</f>
        <v>#REF!</v>
      </c>
      <c r="BD231" s="1762" t="s">
        <v>1314</v>
      </c>
      <c r="BE231" s="1763">
        <f t="shared" ref="BE231:BJ231" si="25">SUM(BE9:BE230)</f>
        <v>5</v>
      </c>
      <c r="BF231" s="2309">
        <f t="shared" si="25"/>
        <v>160350000</v>
      </c>
      <c r="BG231" s="2309">
        <f t="shared" si="25"/>
        <v>5</v>
      </c>
      <c r="BH231" s="2309">
        <f t="shared" si="25"/>
        <v>820000000</v>
      </c>
      <c r="BI231" s="2309">
        <f t="shared" si="25"/>
        <v>3</v>
      </c>
      <c r="BJ231" s="2309">
        <f t="shared" si="25"/>
        <v>1273000000</v>
      </c>
    </row>
    <row r="232" spans="1:62" ht="20.100000000000001" customHeight="1">
      <c r="L232" s="1748">
        <f>27+16</f>
        <v>43</v>
      </c>
      <c r="M232" s="1749">
        <f>130-14</f>
        <v>116</v>
      </c>
      <c r="AT232" s="2356" t="s">
        <v>1315</v>
      </c>
      <c r="AU232" s="2357" t="s">
        <v>1316</v>
      </c>
      <c r="AV232" s="2358" t="s">
        <v>1317</v>
      </c>
      <c r="AW232" s="2378"/>
      <c r="AX232" s="2378"/>
      <c r="AY232" s="2378"/>
      <c r="AZ232" s="2378"/>
      <c r="BA232" s="2378"/>
      <c r="BC232" s="2379" t="s">
        <v>1318</v>
      </c>
      <c r="BF232" s="2383">
        <f>BF231/1000000000</f>
        <v>0.16034999999999999</v>
      </c>
      <c r="BG232" s="2383"/>
      <c r="BH232" s="2383">
        <f t="shared" ref="BH232:BJ232" si="26">BH231/1000000000</f>
        <v>0.82</v>
      </c>
      <c r="BI232" s="2383"/>
      <c r="BJ232" s="2383">
        <f t="shared" si="26"/>
        <v>1.2729999999999999</v>
      </c>
    </row>
    <row r="233" spans="1:62" ht="20.100000000000001" customHeight="1">
      <c r="L233" s="1748">
        <f>L232+37</f>
        <v>80</v>
      </c>
      <c r="T233" s="1752" t="e">
        <f>#REF!-700000000</f>
        <v>#REF!</v>
      </c>
      <c r="AT233" s="2359">
        <f>AT138+AT144+AT155+AT158+AT11+AT13</f>
        <v>2073600000</v>
      </c>
      <c r="AU233" s="2360">
        <f>AU158+AU155+AU144+AU138+AU13+AU11</f>
        <v>1400175050.6599998</v>
      </c>
      <c r="AV233" s="2361" t="s">
        <v>1319</v>
      </c>
      <c r="AW233" s="2378"/>
      <c r="AX233" s="2378"/>
      <c r="AY233" s="2378"/>
      <c r="AZ233" s="2378"/>
      <c r="BA233" s="2378"/>
      <c r="BC233" s="2380">
        <v>2015</v>
      </c>
    </row>
    <row r="234" spans="1:62" ht="20.100000000000001" customHeight="1">
      <c r="AC234" s="1753">
        <f>AA88+AA89+AA90+AA95</f>
        <v>1172200000</v>
      </c>
      <c r="AT234" s="2359">
        <f>AT230-AT233</f>
        <v>3735463500</v>
      </c>
      <c r="AU234" s="2360" t="e">
        <f>AU230-AU233-#REF!+#REF!</f>
        <v>#REF!</v>
      </c>
      <c r="AV234" s="2361" t="s">
        <v>1320</v>
      </c>
      <c r="AW234" s="2378"/>
      <c r="AX234" s="2378"/>
      <c r="AY234" s="2378"/>
      <c r="AZ234" s="2378"/>
      <c r="BA234" s="2378"/>
      <c r="BC234" s="2380">
        <v>2016</v>
      </c>
    </row>
    <row r="237" spans="1:62" ht="20.100000000000001" customHeight="1">
      <c r="AU237" s="1976">
        <f>AT230+'[4]GB DAN DK'!AT214+[4]GB!AT233+'[4]PROSES - ada RC tambah'!AT200+'[4]PROSES - blm RC'!AT222+'[4]BELUM PROSES (rkp)'!AT216</f>
        <v>43450145184</v>
      </c>
    </row>
    <row r="238" spans="1:62" ht="20.100000000000001" customHeight="1">
      <c r="AU238" s="1759">
        <v>45613529200</v>
      </c>
      <c r="BF238" s="1762"/>
    </row>
    <row r="239" spans="1:62" ht="20.100000000000001" customHeight="1">
      <c r="M239" s="2307">
        <v>423620000</v>
      </c>
      <c r="N239" s="2307">
        <v>423620000</v>
      </c>
      <c r="O239" s="2308">
        <f>N239+N244</f>
        <v>424800000</v>
      </c>
      <c r="AU239" s="1759">
        <f>AU238-AU237</f>
        <v>2163384016</v>
      </c>
      <c r="BF239" s="1762"/>
    </row>
    <row r="240" spans="1:62" ht="20.100000000000001" customHeight="1">
      <c r="M240" s="2307">
        <v>325000000</v>
      </c>
      <c r="N240" s="2307">
        <v>325000000</v>
      </c>
      <c r="BE240" s="1762"/>
      <c r="BF240" s="1762"/>
    </row>
    <row r="241" spans="1:58" ht="20.100000000000001" customHeight="1">
      <c r="M241" s="2307">
        <v>200000000</v>
      </c>
      <c r="N241" s="2307">
        <v>200000000</v>
      </c>
      <c r="BE241" s="1762"/>
      <c r="BF241" s="1762"/>
    </row>
    <row r="242" spans="1:58" ht="20.100000000000001" customHeight="1">
      <c r="A242" s="1762"/>
      <c r="B242" s="1747"/>
      <c r="C242" s="1747"/>
      <c r="D242" s="1747"/>
      <c r="E242" s="1747"/>
      <c r="F242" s="1747"/>
      <c r="G242" s="1747"/>
      <c r="H242" s="1747"/>
      <c r="I242" s="1747"/>
      <c r="J242" s="1747"/>
      <c r="K242" s="1747"/>
      <c r="M242" s="2307">
        <v>26380000</v>
      </c>
      <c r="N242" s="1749">
        <v>25200000</v>
      </c>
      <c r="BE242" s="1762"/>
      <c r="BF242" s="1762"/>
    </row>
    <row r="243" spans="1:58" ht="20.100000000000001" customHeight="1">
      <c r="A243" s="1762"/>
      <c r="B243" s="1747"/>
      <c r="C243" s="1747"/>
      <c r="D243" s="1747"/>
      <c r="E243" s="1747"/>
      <c r="F243" s="1747"/>
      <c r="G243" s="1747"/>
      <c r="H243" s="1747"/>
      <c r="I243" s="1747"/>
      <c r="J243" s="1747"/>
      <c r="K243" s="1747"/>
      <c r="L243" s="2309"/>
      <c r="M243" s="2310">
        <f>SUM(M239:M242)</f>
        <v>975000000</v>
      </c>
      <c r="N243" s="1752">
        <f>SUM(N239:N242)</f>
        <v>973820000</v>
      </c>
      <c r="O243" s="2310"/>
      <c r="P243" s="2311"/>
      <c r="Q243" s="1753"/>
      <c r="R243" s="1753"/>
      <c r="S243" s="1754"/>
      <c r="T243" s="1755"/>
      <c r="U243" s="1755"/>
      <c r="V243" s="1755"/>
      <c r="W243" s="1755"/>
      <c r="Z243" s="1754"/>
      <c r="AA243" s="1754"/>
      <c r="AC243" s="1754"/>
      <c r="AD243" s="1754"/>
      <c r="AE243" s="1754"/>
      <c r="AF243" s="1754"/>
      <c r="AL243" s="1760"/>
      <c r="AM243" s="1760"/>
      <c r="AN243" s="1760"/>
      <c r="AO243" s="1747"/>
      <c r="AP243" s="2362"/>
      <c r="AQ243" s="2362"/>
      <c r="AR243" s="2362"/>
      <c r="AS243" s="2362"/>
      <c r="AT243" s="1763"/>
      <c r="AU243" s="1763"/>
      <c r="AV243" s="1763"/>
      <c r="AW243" s="2381"/>
      <c r="AX243" s="2381"/>
      <c r="AY243" s="2381"/>
      <c r="AZ243" s="2381"/>
      <c r="BA243" s="2381"/>
      <c r="BB243" s="2364"/>
      <c r="BC243" s="2382"/>
      <c r="BE243" s="1762"/>
      <c r="BF243" s="1762"/>
    </row>
    <row r="244" spans="1:58" ht="20.100000000000001" customHeight="1">
      <c r="A244" s="1762"/>
      <c r="B244" s="1747"/>
      <c r="C244" s="1747"/>
      <c r="D244" s="1747"/>
      <c r="E244" s="1747"/>
      <c r="F244" s="1747"/>
      <c r="G244" s="1747"/>
      <c r="H244" s="1747"/>
      <c r="I244" s="1747"/>
      <c r="J244" s="1747"/>
      <c r="K244" s="1747"/>
      <c r="L244" s="2309"/>
      <c r="M244" s="2310"/>
      <c r="N244" s="2310">
        <f>M243-N243</f>
        <v>1180000</v>
      </c>
      <c r="O244" s="2310"/>
      <c r="P244" s="2311"/>
      <c r="Q244" s="1753"/>
      <c r="R244" s="1753"/>
      <c r="S244" s="1754"/>
      <c r="T244" s="1755"/>
      <c r="U244" s="1755"/>
      <c r="V244" s="1755"/>
      <c r="W244" s="1755"/>
      <c r="Z244" s="1754"/>
      <c r="AA244" s="1754"/>
      <c r="AC244" s="1754"/>
      <c r="AD244" s="1754"/>
      <c r="AE244" s="1754"/>
      <c r="AF244" s="1754"/>
      <c r="AL244" s="1760"/>
      <c r="AM244" s="1760"/>
      <c r="AN244" s="1760"/>
      <c r="AO244" s="1747"/>
      <c r="AP244" s="2362"/>
      <c r="AQ244" s="2362"/>
      <c r="AR244" s="2362"/>
      <c r="AS244" s="2362"/>
      <c r="AT244" s="1763"/>
      <c r="AU244" s="1763"/>
      <c r="AV244" s="1763"/>
      <c r="AW244" s="2381"/>
      <c r="AX244" s="2381"/>
      <c r="AY244" s="2381"/>
      <c r="AZ244" s="2381"/>
      <c r="BA244" s="2381"/>
      <c r="BB244" s="2364"/>
      <c r="BC244" s="2382"/>
      <c r="BE244" s="1762"/>
      <c r="BF244" s="1762"/>
    </row>
    <row r="245" spans="1:58" ht="20.100000000000001" customHeight="1">
      <c r="A245" s="1762"/>
      <c r="B245" s="1747"/>
      <c r="C245" s="1747"/>
      <c r="D245" s="1747"/>
      <c r="E245" s="1747"/>
      <c r="F245" s="1747"/>
      <c r="G245" s="1747"/>
      <c r="H245" s="1747"/>
      <c r="I245" s="1747"/>
      <c r="J245" s="1747"/>
      <c r="K245" s="1747"/>
      <c r="L245" s="2309"/>
      <c r="M245" s="2310"/>
      <c r="N245" s="2310"/>
      <c r="O245" s="2310"/>
      <c r="P245" s="2311"/>
      <c r="Q245" s="1753"/>
      <c r="R245" s="1753"/>
      <c r="S245" s="1754"/>
      <c r="T245" s="1755"/>
      <c r="U245" s="1755"/>
      <c r="V245" s="1755"/>
      <c r="W245" s="1755"/>
      <c r="Z245" s="1754"/>
      <c r="AA245" s="1754"/>
      <c r="AC245" s="1754"/>
      <c r="AD245" s="1754"/>
      <c r="AE245" s="1754"/>
      <c r="AF245" s="1754"/>
      <c r="AL245" s="1760"/>
      <c r="AM245" s="1760"/>
      <c r="AN245" s="1760"/>
      <c r="AO245" s="1747"/>
      <c r="AP245" s="2362"/>
      <c r="AQ245" s="2362"/>
      <c r="AR245" s="2362"/>
      <c r="AS245" s="2362"/>
      <c r="AT245" s="1763"/>
      <c r="AU245" s="1763"/>
      <c r="AV245" s="1763"/>
      <c r="AW245" s="2381"/>
      <c r="AX245" s="2381"/>
      <c r="AY245" s="2381"/>
      <c r="AZ245" s="2381"/>
      <c r="BA245" s="2381"/>
      <c r="BB245" s="2364"/>
      <c r="BC245" s="2382"/>
      <c r="BE245" s="1762"/>
      <c r="BF245" s="1762"/>
    </row>
    <row r="246" spans="1:58" ht="20.100000000000001" customHeight="1">
      <c r="A246" s="1762"/>
      <c r="B246" s="1747"/>
      <c r="C246" s="1747"/>
      <c r="D246" s="1747"/>
      <c r="E246" s="1747"/>
      <c r="F246" s="1747"/>
      <c r="G246" s="1747"/>
      <c r="H246" s="1747"/>
      <c r="I246" s="1747"/>
      <c r="J246" s="1747"/>
      <c r="K246" s="1747"/>
      <c r="L246" s="2309"/>
      <c r="M246" s="2310"/>
      <c r="N246" s="2310"/>
      <c r="O246" s="2310"/>
      <c r="P246" s="2311"/>
      <c r="Q246" s="1753"/>
      <c r="R246" s="1753"/>
      <c r="S246" s="1754"/>
      <c r="T246" s="1755"/>
      <c r="U246" s="1755"/>
      <c r="V246" s="1755"/>
      <c r="W246" s="1755"/>
      <c r="Z246" s="1754"/>
      <c r="AA246" s="1754"/>
      <c r="AC246" s="1754"/>
      <c r="AD246" s="1754"/>
      <c r="AE246" s="1754"/>
      <c r="AF246" s="1754"/>
      <c r="AL246" s="1760"/>
      <c r="AM246" s="1760"/>
      <c r="AN246" s="1760"/>
      <c r="AO246" s="1747"/>
      <c r="AP246" s="2362"/>
      <c r="AQ246" s="2362"/>
      <c r="AR246" s="2362"/>
      <c r="AS246" s="2362"/>
      <c r="AT246" s="1763"/>
      <c r="AU246" s="1763"/>
      <c r="AV246" s="1763"/>
      <c r="AW246" s="2381"/>
      <c r="AX246" s="2381"/>
      <c r="AY246" s="2381"/>
      <c r="AZ246" s="2381"/>
      <c r="BA246" s="2381"/>
      <c r="BB246" s="2364"/>
      <c r="BC246" s="2382"/>
      <c r="BE246" s="1762"/>
      <c r="BF246" s="1762"/>
    </row>
    <row r="247" spans="1:58" ht="20.100000000000001" customHeight="1">
      <c r="A247" s="1762"/>
      <c r="B247" s="1747"/>
      <c r="C247" s="1747"/>
      <c r="D247" s="1747"/>
      <c r="E247" s="1747"/>
      <c r="F247" s="1747"/>
      <c r="G247" s="1747"/>
      <c r="H247" s="1747"/>
      <c r="I247" s="1747"/>
      <c r="J247" s="1747"/>
      <c r="K247" s="1747"/>
      <c r="L247" s="2309"/>
      <c r="M247" s="2310"/>
      <c r="N247" s="2310"/>
      <c r="O247" s="2310"/>
      <c r="P247" s="2311"/>
      <c r="Q247" s="1753"/>
      <c r="R247" s="1753"/>
      <c r="S247" s="1754"/>
      <c r="T247" s="1755"/>
      <c r="U247" s="1755"/>
      <c r="V247" s="1755"/>
      <c r="W247" s="1755"/>
      <c r="Z247" s="1754"/>
      <c r="AA247" s="1754"/>
      <c r="AC247" s="1754"/>
      <c r="AD247" s="1754"/>
      <c r="AE247" s="1754"/>
      <c r="AF247" s="1754"/>
      <c r="AL247" s="1760"/>
      <c r="AM247" s="1760"/>
      <c r="AN247" s="1760"/>
      <c r="AO247" s="1747"/>
      <c r="AP247" s="2362"/>
      <c r="AQ247" s="2362"/>
      <c r="AR247" s="2362"/>
      <c r="AS247" s="2362"/>
      <c r="AT247" s="1763"/>
      <c r="AU247" s="1763"/>
      <c r="AV247" s="1763"/>
      <c r="AW247" s="2381"/>
      <c r="AX247" s="2381"/>
      <c r="AY247" s="2381"/>
      <c r="AZ247" s="2381"/>
      <c r="BA247" s="2381"/>
      <c r="BB247" s="2364"/>
      <c r="BC247" s="2382"/>
      <c r="BE247" s="1762"/>
      <c r="BF247" s="1762"/>
    </row>
    <row r="248" spans="1:58" ht="20.100000000000001" customHeight="1">
      <c r="A248" s="1762"/>
      <c r="B248" s="1747"/>
      <c r="C248" s="1747"/>
      <c r="D248" s="1747"/>
      <c r="E248" s="1747"/>
      <c r="F248" s="1747"/>
      <c r="G248" s="1747"/>
      <c r="H248" s="1747"/>
      <c r="I248" s="1747"/>
      <c r="J248" s="1747"/>
      <c r="K248" s="1747"/>
      <c r="L248" s="2309"/>
      <c r="M248" s="2310"/>
      <c r="N248" s="2310"/>
      <c r="O248" s="2310"/>
      <c r="P248" s="2311"/>
      <c r="Q248" s="1753"/>
      <c r="R248" s="1753"/>
      <c r="S248" s="1754"/>
      <c r="T248" s="1755"/>
      <c r="U248" s="1755"/>
      <c r="V248" s="1755"/>
      <c r="W248" s="1755"/>
      <c r="Z248" s="1754"/>
      <c r="AA248" s="1754"/>
      <c r="AC248" s="1754"/>
      <c r="AD248" s="1754"/>
      <c r="AE248" s="1754"/>
      <c r="AF248" s="1754"/>
      <c r="AL248" s="1760"/>
      <c r="AM248" s="1760"/>
      <c r="AN248" s="1760"/>
      <c r="AO248" s="1747"/>
      <c r="AP248" s="2362"/>
      <c r="AQ248" s="2362"/>
      <c r="AR248" s="2362"/>
      <c r="AS248" s="2362"/>
      <c r="AT248" s="1763"/>
      <c r="AU248" s="1763"/>
      <c r="AV248" s="1763"/>
      <c r="AW248" s="2381"/>
      <c r="AX248" s="2381"/>
      <c r="AY248" s="2381"/>
      <c r="AZ248" s="2381"/>
      <c r="BA248" s="2381"/>
      <c r="BB248" s="2364"/>
      <c r="BC248" s="2382"/>
      <c r="BE248" s="1762"/>
      <c r="BF248" s="1762"/>
    </row>
    <row r="249" spans="1:58" ht="20.100000000000001" customHeight="1">
      <c r="A249" s="1762"/>
      <c r="B249" s="1747"/>
      <c r="C249" s="1747"/>
      <c r="D249" s="1747"/>
      <c r="E249" s="1747"/>
      <c r="F249" s="1747"/>
      <c r="G249" s="1747"/>
      <c r="H249" s="1747"/>
      <c r="I249" s="1747"/>
      <c r="J249" s="1747"/>
      <c r="K249" s="1747"/>
      <c r="L249" s="2309"/>
      <c r="M249" s="2310"/>
      <c r="N249" s="2310"/>
      <c r="O249" s="2310"/>
      <c r="P249" s="2311"/>
      <c r="Q249" s="1753"/>
      <c r="R249" s="1753"/>
      <c r="S249" s="1754"/>
      <c r="T249" s="1755"/>
      <c r="U249" s="1755"/>
      <c r="V249" s="1755"/>
      <c r="W249" s="1755"/>
      <c r="Z249" s="1754"/>
      <c r="AA249" s="1754"/>
      <c r="AC249" s="1754"/>
      <c r="AD249" s="1754"/>
      <c r="AE249" s="1754"/>
      <c r="AF249" s="1754"/>
      <c r="AL249" s="1760"/>
      <c r="AM249" s="1760"/>
      <c r="AN249" s="1760"/>
      <c r="AO249" s="1747"/>
      <c r="AP249" s="2362"/>
      <c r="AQ249" s="2362"/>
      <c r="AR249" s="2362"/>
      <c r="AS249" s="2362"/>
      <c r="AT249" s="1763"/>
      <c r="AU249" s="1763"/>
      <c r="AV249" s="1763"/>
      <c r="AW249" s="2381"/>
      <c r="AX249" s="2381"/>
      <c r="AY249" s="2381"/>
      <c r="AZ249" s="2381"/>
      <c r="BA249" s="2381"/>
      <c r="BB249" s="2364"/>
      <c r="BC249" s="2382"/>
      <c r="BE249" s="1762"/>
      <c r="BF249" s="1762"/>
    </row>
    <row r="250" spans="1:58" ht="20.100000000000001" customHeight="1">
      <c r="A250" s="1762"/>
      <c r="B250" s="1747"/>
      <c r="C250" s="1747"/>
      <c r="D250" s="1747"/>
      <c r="E250" s="1747"/>
      <c r="F250" s="1747"/>
      <c r="G250" s="1747"/>
      <c r="H250" s="1747"/>
      <c r="I250" s="1747"/>
      <c r="J250" s="1747"/>
      <c r="K250" s="1747"/>
      <c r="L250" s="2309"/>
      <c r="M250" s="2310"/>
      <c r="N250" s="2310"/>
      <c r="O250" s="2310"/>
      <c r="P250" s="2311"/>
      <c r="Q250" s="1753"/>
      <c r="R250" s="1753"/>
      <c r="S250" s="1754"/>
      <c r="T250" s="1755"/>
      <c r="U250" s="1755"/>
      <c r="V250" s="1755"/>
      <c r="W250" s="1755"/>
      <c r="Z250" s="1754"/>
      <c r="AA250" s="1754"/>
      <c r="AC250" s="1754"/>
      <c r="AD250" s="1754"/>
      <c r="AE250" s="1754"/>
      <c r="AF250" s="1754"/>
      <c r="AL250" s="1760"/>
      <c r="AM250" s="1760"/>
      <c r="AN250" s="1760"/>
      <c r="AO250" s="1747"/>
      <c r="AP250" s="2362"/>
      <c r="AQ250" s="2362"/>
      <c r="AR250" s="2362"/>
      <c r="AS250" s="2362"/>
      <c r="AT250" s="1763"/>
      <c r="AU250" s="1763"/>
      <c r="AV250" s="1763"/>
      <c r="AW250" s="2381"/>
      <c r="AX250" s="2381"/>
      <c r="AY250" s="2381"/>
      <c r="AZ250" s="2381"/>
      <c r="BA250" s="2381"/>
      <c r="BB250" s="2364"/>
      <c r="BC250" s="2382"/>
      <c r="BE250" s="1762"/>
      <c r="BF250" s="1762"/>
    </row>
    <row r="251" spans="1:58" ht="20.100000000000001" customHeight="1">
      <c r="A251" s="1762"/>
      <c r="B251" s="1747"/>
      <c r="C251" s="1747"/>
      <c r="D251" s="1747"/>
      <c r="E251" s="1747"/>
      <c r="F251" s="1747"/>
      <c r="G251" s="1747"/>
      <c r="H251" s="1747"/>
      <c r="I251" s="1747"/>
      <c r="J251" s="1747"/>
      <c r="K251" s="1747"/>
      <c r="L251" s="2309"/>
      <c r="M251" s="2310"/>
      <c r="N251" s="2310"/>
      <c r="O251" s="2310"/>
      <c r="P251" s="2311"/>
      <c r="Q251" s="1753"/>
      <c r="R251" s="1753"/>
      <c r="S251" s="1754"/>
      <c r="T251" s="1755"/>
      <c r="U251" s="1755"/>
      <c r="V251" s="1755"/>
      <c r="W251" s="1755"/>
      <c r="Z251" s="1754"/>
      <c r="AA251" s="1754"/>
      <c r="AC251" s="1754"/>
      <c r="AD251" s="1754"/>
      <c r="AE251" s="1754"/>
      <c r="AF251" s="1754"/>
      <c r="AL251" s="1760"/>
      <c r="AM251" s="1760"/>
      <c r="AN251" s="1760"/>
      <c r="AO251" s="1747"/>
      <c r="AP251" s="2362"/>
      <c r="AQ251" s="2362"/>
      <c r="AR251" s="2362"/>
      <c r="AS251" s="2362"/>
      <c r="AT251" s="1763"/>
      <c r="AU251" s="1763"/>
      <c r="AV251" s="1763"/>
      <c r="AW251" s="2381"/>
      <c r="AX251" s="2381"/>
      <c r="AY251" s="2381"/>
      <c r="AZ251" s="2381"/>
      <c r="BA251" s="2381"/>
      <c r="BB251" s="2364"/>
      <c r="BC251" s="2382"/>
      <c r="BE251" s="1762"/>
      <c r="BF251" s="1762"/>
    </row>
    <row r="252" spans="1:58" ht="20.100000000000001" customHeight="1">
      <c r="A252" s="1762"/>
      <c r="B252" s="1747"/>
      <c r="C252" s="1747"/>
      <c r="D252" s="1747"/>
      <c r="E252" s="1747"/>
      <c r="F252" s="1747"/>
      <c r="G252" s="1747"/>
      <c r="H252" s="1747"/>
      <c r="I252" s="1747"/>
      <c r="J252" s="1747"/>
      <c r="K252" s="1747"/>
      <c r="L252" s="2309"/>
      <c r="M252" s="2310"/>
      <c r="N252" s="2310"/>
      <c r="O252" s="2310"/>
      <c r="P252" s="2311"/>
      <c r="Q252" s="1753"/>
      <c r="R252" s="1753"/>
      <c r="S252" s="1754"/>
      <c r="T252" s="1755"/>
      <c r="U252" s="1755"/>
      <c r="V252" s="1755"/>
      <c r="W252" s="1755"/>
      <c r="Z252" s="1754"/>
      <c r="AA252" s="1754"/>
      <c r="AC252" s="1754"/>
      <c r="AD252" s="1754"/>
      <c r="AE252" s="1754"/>
      <c r="AF252" s="1754"/>
      <c r="AL252" s="1760"/>
      <c r="AM252" s="1760"/>
      <c r="AN252" s="1760"/>
      <c r="AO252" s="1747"/>
      <c r="AP252" s="2362"/>
      <c r="AQ252" s="2362"/>
      <c r="AR252" s="2362"/>
      <c r="AS252" s="2362"/>
      <c r="AT252" s="1763"/>
      <c r="AU252" s="1763"/>
      <c r="AV252" s="1763"/>
      <c r="AW252" s="2381"/>
      <c r="AX252" s="2381"/>
      <c r="AY252" s="2381"/>
      <c r="AZ252" s="2381"/>
      <c r="BA252" s="2381"/>
      <c r="BB252" s="2364"/>
      <c r="BC252" s="2382"/>
      <c r="BE252" s="1762"/>
      <c r="BF252" s="1762"/>
    </row>
    <row r="253" spans="1:58" ht="20.100000000000001" customHeight="1">
      <c r="A253" s="1762"/>
      <c r="B253" s="1747"/>
      <c r="C253" s="1747"/>
      <c r="D253" s="1747"/>
      <c r="E253" s="1747"/>
      <c r="F253" s="1747"/>
      <c r="G253" s="1747"/>
      <c r="H253" s="1747"/>
      <c r="I253" s="1747"/>
      <c r="J253" s="1747"/>
      <c r="K253" s="1747"/>
      <c r="L253" s="2309"/>
      <c r="M253" s="2310"/>
      <c r="N253" s="2310"/>
      <c r="O253" s="2310"/>
      <c r="P253" s="2311"/>
      <c r="Q253" s="1753"/>
      <c r="R253" s="1753"/>
      <c r="S253" s="1754"/>
      <c r="T253" s="1755"/>
      <c r="U253" s="1755"/>
      <c r="V253" s="1755"/>
      <c r="W253" s="1755"/>
      <c r="Z253" s="1754"/>
      <c r="AA253" s="1754"/>
      <c r="AC253" s="1754"/>
      <c r="AD253" s="1754"/>
      <c r="AE253" s="1754"/>
      <c r="AF253" s="1754"/>
      <c r="AL253" s="1760"/>
      <c r="AM253" s="1760"/>
      <c r="AN253" s="1760"/>
      <c r="AO253" s="1747"/>
      <c r="AP253" s="2362"/>
      <c r="AQ253" s="2362"/>
      <c r="AR253" s="2362"/>
      <c r="AS253" s="2362"/>
      <c r="AT253" s="1763"/>
      <c r="AU253" s="1763"/>
      <c r="AV253" s="1763"/>
      <c r="AW253" s="2381"/>
      <c r="AX253" s="2381"/>
      <c r="AY253" s="2381"/>
      <c r="AZ253" s="2381"/>
      <c r="BA253" s="2381"/>
      <c r="BB253" s="2364"/>
      <c r="BC253" s="2382"/>
      <c r="BE253" s="1762"/>
    </row>
    <row r="254" spans="1:58" ht="20.100000000000001" customHeight="1">
      <c r="A254" s="1762"/>
      <c r="B254" s="1747"/>
      <c r="C254" s="1747"/>
      <c r="D254" s="1747"/>
      <c r="E254" s="1747"/>
      <c r="F254" s="1747"/>
      <c r="G254" s="1747"/>
      <c r="H254" s="1747"/>
      <c r="I254" s="1747"/>
      <c r="J254" s="1747"/>
      <c r="K254" s="1747"/>
      <c r="L254" s="2309"/>
      <c r="M254" s="2310"/>
      <c r="N254" s="2310"/>
      <c r="O254" s="2310"/>
      <c r="P254" s="2311"/>
      <c r="Q254" s="1753"/>
      <c r="R254" s="1753"/>
      <c r="S254" s="1754"/>
      <c r="T254" s="1755"/>
      <c r="U254" s="1755"/>
      <c r="V254" s="1755"/>
      <c r="W254" s="1755"/>
      <c r="Z254" s="1754"/>
      <c r="AA254" s="1754"/>
      <c r="AC254" s="1754"/>
      <c r="AD254" s="1754"/>
      <c r="AE254" s="1754"/>
      <c r="AF254" s="1754"/>
      <c r="AL254" s="1760"/>
      <c r="AM254" s="1760"/>
      <c r="AN254" s="1760"/>
      <c r="AO254" s="1747"/>
      <c r="AP254" s="2362"/>
      <c r="AQ254" s="2362"/>
      <c r="AR254" s="2362"/>
      <c r="AS254" s="2362"/>
      <c r="AT254" s="1763"/>
      <c r="AU254" s="1763"/>
      <c r="AV254" s="1763"/>
      <c r="AW254" s="2381"/>
      <c r="AX254" s="2381"/>
      <c r="AY254" s="2381"/>
      <c r="AZ254" s="2381"/>
      <c r="BA254" s="2381"/>
      <c r="BB254" s="2364"/>
      <c r="BC254" s="2382"/>
      <c r="BE254" s="1762"/>
    </row>
    <row r="255" spans="1:58" ht="20.100000000000001" customHeight="1">
      <c r="A255" s="1762"/>
      <c r="B255" s="1747"/>
      <c r="C255" s="1747"/>
      <c r="D255" s="1747"/>
      <c r="E255" s="1747"/>
      <c r="F255" s="1747"/>
      <c r="G255" s="1747"/>
      <c r="H255" s="1747"/>
      <c r="I255" s="1747"/>
      <c r="J255" s="1747"/>
      <c r="K255" s="1747"/>
      <c r="L255" s="2309"/>
      <c r="M255" s="2310"/>
      <c r="N255" s="2310"/>
      <c r="O255" s="2310"/>
      <c r="P255" s="2311"/>
      <c r="Q255" s="1753"/>
      <c r="R255" s="1753"/>
      <c r="S255" s="1754"/>
      <c r="T255" s="1755"/>
      <c r="U255" s="1755"/>
      <c r="V255" s="1755"/>
      <c r="W255" s="1755"/>
      <c r="Z255" s="1754"/>
      <c r="AA255" s="1754"/>
      <c r="AC255" s="1754"/>
      <c r="AD255" s="1754"/>
      <c r="AE255" s="1754"/>
      <c r="AF255" s="1754"/>
      <c r="AL255" s="1760"/>
      <c r="AM255" s="1760"/>
      <c r="AN255" s="1760"/>
      <c r="AO255" s="1747"/>
      <c r="AP255" s="2362"/>
      <c r="AQ255" s="2362"/>
      <c r="AR255" s="2362"/>
      <c r="AS255" s="2362"/>
      <c r="AT255" s="1763"/>
      <c r="AU255" s="1763"/>
      <c r="AV255" s="1763"/>
      <c r="AW255" s="2381"/>
      <c r="AX255" s="2381"/>
      <c r="AY255" s="2381"/>
      <c r="AZ255" s="2381"/>
      <c r="BA255" s="2381"/>
      <c r="BB255" s="2364"/>
      <c r="BC255" s="2382"/>
    </row>
    <row r="256" spans="1:58" ht="20.100000000000001" customHeight="1">
      <c r="A256" s="1762"/>
      <c r="B256" s="1747"/>
      <c r="C256" s="1747"/>
      <c r="D256" s="1747"/>
      <c r="E256" s="1747"/>
      <c r="F256" s="1747"/>
      <c r="G256" s="1747"/>
      <c r="H256" s="1747"/>
      <c r="I256" s="1747"/>
      <c r="J256" s="1747"/>
      <c r="K256" s="1747"/>
      <c r="L256" s="2309"/>
      <c r="M256" s="2310"/>
      <c r="N256" s="2310"/>
      <c r="O256" s="2310"/>
      <c r="P256" s="2311"/>
      <c r="Q256" s="1753"/>
      <c r="R256" s="1753"/>
      <c r="S256" s="1754"/>
      <c r="T256" s="1755"/>
      <c r="U256" s="1755"/>
      <c r="V256" s="1755"/>
      <c r="W256" s="1755"/>
      <c r="Z256" s="1754"/>
      <c r="AA256" s="1754"/>
      <c r="AC256" s="1754"/>
      <c r="AD256" s="1754"/>
      <c r="AE256" s="1754"/>
      <c r="AF256" s="1754"/>
      <c r="AL256" s="1760"/>
      <c r="AM256" s="1760"/>
      <c r="AN256" s="1760"/>
      <c r="AO256" s="1747"/>
      <c r="AP256" s="2362"/>
      <c r="AQ256" s="2362"/>
      <c r="AR256" s="2362"/>
      <c r="AS256" s="2362"/>
      <c r="AT256" s="1763"/>
      <c r="AU256" s="1763"/>
      <c r="AV256" s="1763"/>
      <c r="AW256" s="2381"/>
      <c r="AX256" s="2381"/>
      <c r="AY256" s="2381"/>
      <c r="AZ256" s="2381"/>
      <c r="BA256" s="2381"/>
      <c r="BB256" s="2364"/>
      <c r="BC256" s="2382"/>
    </row>
    <row r="257" spans="1:55" ht="20.100000000000001" customHeight="1">
      <c r="A257" s="1762"/>
      <c r="B257" s="1747"/>
      <c r="C257" s="1747"/>
      <c r="D257" s="1747"/>
      <c r="E257" s="1747"/>
      <c r="F257" s="1747"/>
      <c r="G257" s="1747"/>
      <c r="H257" s="1747"/>
      <c r="I257" s="1747"/>
      <c r="J257" s="1747"/>
      <c r="K257" s="1747"/>
      <c r="L257" s="2309"/>
      <c r="M257" s="2310"/>
      <c r="N257" s="2310"/>
      <c r="O257" s="2310"/>
      <c r="P257" s="2311"/>
      <c r="Q257" s="1753"/>
      <c r="R257" s="1753"/>
      <c r="S257" s="1754"/>
      <c r="T257" s="1755"/>
      <c r="U257" s="1755"/>
      <c r="V257" s="1755"/>
      <c r="W257" s="1755"/>
      <c r="Z257" s="1754"/>
      <c r="AA257" s="1754"/>
      <c r="AC257" s="1754"/>
      <c r="AD257" s="1754"/>
      <c r="AE257" s="1754"/>
      <c r="AF257" s="1754"/>
      <c r="AL257" s="1760"/>
      <c r="AM257" s="1760"/>
      <c r="AN257" s="1760"/>
      <c r="AO257" s="1747"/>
      <c r="AP257" s="2362"/>
      <c r="AQ257" s="2362"/>
      <c r="AR257" s="2362"/>
      <c r="AS257" s="2362"/>
      <c r="AT257" s="1763"/>
      <c r="AU257" s="1763"/>
      <c r="AV257" s="1763"/>
      <c r="AW257" s="2381"/>
      <c r="AX257" s="2381"/>
      <c r="AY257" s="2381"/>
      <c r="AZ257" s="2381"/>
      <c r="BA257" s="2381"/>
      <c r="BB257" s="2364"/>
      <c r="BC257" s="2382"/>
    </row>
  </sheetData>
  <autoFilter ref="A3:BJ234">
    <filterColumn colId="43">
      <filters>
        <filter val="LA"/>
      </filters>
    </filterColumn>
  </autoFilter>
  <mergeCells count="6">
    <mergeCell ref="A1:AV1"/>
    <mergeCell ref="A9:L9"/>
    <mergeCell ref="A62:A64"/>
    <mergeCell ref="A177:A180"/>
    <mergeCell ref="L62:L64"/>
    <mergeCell ref="AU177:AU180"/>
  </mergeCells>
  <printOptions horizontalCentered="1"/>
  <pageMargins left="0.35416666666666702" right="0.35416666666666702" top="0.156944444444444" bottom="0.74791666666666701" header="0.118055555555556" footer="0.23611111111111099"/>
  <pageSetup paperSize="9" scale="57" fitToHeight="0" orientation="portrait" r:id="rId1"/>
  <headerFooter>
    <oddFooter>&amp;R&amp;P/&amp;N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B2:F30"/>
  <sheetViews>
    <sheetView zoomScale="77" zoomScaleNormal="77" workbookViewId="0">
      <selection activeCell="C17" sqref="C17"/>
    </sheetView>
  </sheetViews>
  <sheetFormatPr defaultColWidth="9" defaultRowHeight="15"/>
  <cols>
    <col min="3" max="3" width="23.85546875" customWidth="1"/>
    <col min="4" max="4" width="18.85546875" customWidth="1"/>
    <col min="5" max="5" width="21.5703125" customWidth="1"/>
    <col min="6" max="6" width="14.5703125" customWidth="1"/>
    <col min="9" max="9" width="2.42578125" customWidth="1"/>
  </cols>
  <sheetData>
    <row r="2" spans="2:6" ht="15.75">
      <c r="B2" s="3667" t="s">
        <v>1321</v>
      </c>
      <c r="C2" s="3667"/>
      <c r="D2" s="3667"/>
      <c r="E2" s="3667"/>
      <c r="F2" s="3667"/>
    </row>
    <row r="3" spans="2:6">
      <c r="B3" s="3668" t="s">
        <v>1322</v>
      </c>
      <c r="C3" s="3668"/>
      <c r="D3" s="3668"/>
      <c r="E3" s="3668"/>
      <c r="F3" s="3668"/>
    </row>
    <row r="4" spans="2:6" ht="12.75" customHeight="1">
      <c r="B4" s="1698"/>
      <c r="C4" s="1698"/>
      <c r="D4" s="1698"/>
      <c r="E4" s="1698"/>
      <c r="F4" s="1698"/>
    </row>
    <row r="5" spans="2:6" ht="14.25" customHeight="1">
      <c r="B5" s="1699"/>
      <c r="C5" s="1699"/>
      <c r="D5" s="1699"/>
      <c r="E5" s="1699"/>
      <c r="F5" s="1700" t="s">
        <v>1323</v>
      </c>
    </row>
    <row r="6" spans="2:6" ht="31.5">
      <c r="B6" s="1701" t="s">
        <v>1324</v>
      </c>
      <c r="C6" s="1702" t="s">
        <v>1325</v>
      </c>
      <c r="D6" s="1703" t="s">
        <v>17</v>
      </c>
      <c r="E6" s="1704" t="s">
        <v>352</v>
      </c>
      <c r="F6" s="1705" t="s">
        <v>477</v>
      </c>
    </row>
    <row r="7" spans="2:6" ht="20.100000000000001" customHeight="1">
      <c r="B7" s="1706" t="s">
        <v>23</v>
      </c>
      <c r="C7" s="1707" t="s">
        <v>565</v>
      </c>
      <c r="D7" s="1708">
        <f>SUM(D8:D12)</f>
        <v>20344.126496000001</v>
      </c>
      <c r="E7" s="1708">
        <f>SUM(E8:E12)</f>
        <v>1217.4459999999999</v>
      </c>
      <c r="F7" s="1709">
        <f>SUM(F8:F12)</f>
        <v>21561.572496000001</v>
      </c>
    </row>
    <row r="8" spans="2:6" ht="20.100000000000001" customHeight="1">
      <c r="B8" s="1710">
        <v>1</v>
      </c>
      <c r="C8" s="1711" t="s">
        <v>55</v>
      </c>
      <c r="D8" s="1712">
        <f>14919391000/1000000</f>
        <v>14919.391</v>
      </c>
      <c r="E8" s="1712">
        <f>81972200/1000000</f>
        <v>81.972200000000001</v>
      </c>
      <c r="F8" s="1713">
        <f>D8+E8</f>
        <v>15001.3632</v>
      </c>
    </row>
    <row r="9" spans="2:6" ht="20.100000000000001" customHeight="1">
      <c r="B9" s="1710">
        <v>2</v>
      </c>
      <c r="C9" s="1711" t="s">
        <v>27</v>
      </c>
      <c r="D9" s="1712">
        <f>2222716900/1000000</f>
        <v>2222.7168999999999</v>
      </c>
      <c r="E9" s="1712">
        <v>0</v>
      </c>
      <c r="F9" s="1713">
        <f>D9+E9</f>
        <v>2222.7168999999999</v>
      </c>
    </row>
    <row r="10" spans="2:6" ht="20.100000000000001" customHeight="1">
      <c r="B10" s="1710">
        <v>3</v>
      </c>
      <c r="C10" s="1711" t="s">
        <v>28</v>
      </c>
      <c r="D10" s="1712">
        <f>1056818596/1000000</f>
        <v>1056.8185960000001</v>
      </c>
      <c r="E10" s="1712">
        <v>0</v>
      </c>
      <c r="F10" s="1713">
        <f>D10+E10</f>
        <v>1056.8185960000001</v>
      </c>
    </row>
    <row r="11" spans="2:6" ht="20.100000000000001" customHeight="1">
      <c r="B11" s="1710">
        <v>5</v>
      </c>
      <c r="C11" s="1711" t="s">
        <v>1326</v>
      </c>
      <c r="D11" s="1712">
        <f>754200000/1000000</f>
        <v>754.2</v>
      </c>
      <c r="E11" s="1712">
        <f>1043165800/1000000</f>
        <v>1043.1658</v>
      </c>
      <c r="F11" s="1713">
        <f t="shared" ref="F11:F12" si="0">D11+E11</f>
        <v>1797.3658</v>
      </c>
    </row>
    <row r="12" spans="2:6" ht="20.100000000000001" customHeight="1">
      <c r="B12" s="1710">
        <v>6</v>
      </c>
      <c r="C12" s="1711" t="s">
        <v>1327</v>
      </c>
      <c r="D12" s="1714">
        <f>1391000000/1000000</f>
        <v>1391</v>
      </c>
      <c r="E12" s="1714">
        <f>92308000/1000000</f>
        <v>92.308000000000007</v>
      </c>
      <c r="F12" s="1713">
        <f t="shared" si="0"/>
        <v>1483.308</v>
      </c>
    </row>
    <row r="13" spans="2:6" ht="20.100000000000001" customHeight="1">
      <c r="B13" s="1715" t="s">
        <v>40</v>
      </c>
      <c r="C13" s="1716" t="s">
        <v>619</v>
      </c>
      <c r="D13" s="1708">
        <f>SUM(D14:D18)</f>
        <v>7280.4</v>
      </c>
      <c r="E13" s="1708">
        <f>SUM(E14:E18)</f>
        <v>1552.1100000000001</v>
      </c>
      <c r="F13" s="1709">
        <f>SUM(F14:F18)</f>
        <v>8832.51</v>
      </c>
    </row>
    <row r="14" spans="2:6" ht="20.100000000000001" customHeight="1">
      <c r="B14" s="1710">
        <v>1</v>
      </c>
      <c r="C14" s="1711" t="s">
        <v>62</v>
      </c>
      <c r="D14" s="1712">
        <f>3192400000/1000000</f>
        <v>3192.4</v>
      </c>
      <c r="E14" s="1712">
        <f>450000000/1000000</f>
        <v>450</v>
      </c>
      <c r="F14" s="1713">
        <f>D14+E14</f>
        <v>3642.4</v>
      </c>
    </row>
    <row r="15" spans="2:6" ht="20.100000000000001" customHeight="1">
      <c r="B15" s="1710">
        <v>2</v>
      </c>
      <c r="C15" s="1711" t="s">
        <v>117</v>
      </c>
      <c r="D15" s="1712">
        <f>2630000000/1000000</f>
        <v>2630</v>
      </c>
      <c r="E15" s="1712">
        <v>0</v>
      </c>
      <c r="F15" s="1713">
        <f t="shared" ref="F15:F16" si="1">D15+E15</f>
        <v>2630</v>
      </c>
    </row>
    <row r="16" spans="2:6" ht="20.100000000000001" customHeight="1">
      <c r="B16" s="1710">
        <v>3</v>
      </c>
      <c r="C16" s="1711" t="s">
        <v>58</v>
      </c>
      <c r="D16" s="1712">
        <f>1208000000/1000000</f>
        <v>1208</v>
      </c>
      <c r="E16" s="1712">
        <f>1003210000/1000000</f>
        <v>1003.21</v>
      </c>
      <c r="F16" s="1713">
        <f t="shared" si="1"/>
        <v>2211.21</v>
      </c>
    </row>
    <row r="17" spans="2:6" ht="20.100000000000001" customHeight="1">
      <c r="B17" s="1710">
        <v>4</v>
      </c>
      <c r="C17" s="1711" t="s">
        <v>636</v>
      </c>
      <c r="D17" s="1712">
        <f>250000000/1000000</f>
        <v>250</v>
      </c>
      <c r="E17" s="1712">
        <v>0</v>
      </c>
      <c r="F17" s="1713">
        <f t="shared" ref="F17:F18" si="2">D17+E17</f>
        <v>250</v>
      </c>
    </row>
    <row r="18" spans="2:6" ht="20.100000000000001" customHeight="1">
      <c r="B18" s="1710">
        <v>5</v>
      </c>
      <c r="C18" s="1711" t="s">
        <v>170</v>
      </c>
      <c r="D18" s="1712">
        <v>0</v>
      </c>
      <c r="E18" s="1712">
        <f>98900000/1000000</f>
        <v>98.9</v>
      </c>
      <c r="F18" s="1713">
        <f t="shared" si="2"/>
        <v>98.9</v>
      </c>
    </row>
    <row r="19" spans="2:6" ht="20.100000000000001" customHeight="1">
      <c r="B19" s="1715" t="s">
        <v>51</v>
      </c>
      <c r="C19" s="1716" t="s">
        <v>1328</v>
      </c>
      <c r="D19" s="1708">
        <f>SUM(D20)</f>
        <v>7062.1955040000003</v>
      </c>
      <c r="E19" s="1708">
        <f>SUM(E20)</f>
        <v>2828.3281000000002</v>
      </c>
      <c r="F19" s="1709">
        <f>SUM(F20)</f>
        <v>9742.3786039999995</v>
      </c>
    </row>
    <row r="20" spans="2:6" ht="20.100000000000001" customHeight="1">
      <c r="B20" s="1710">
        <v>1</v>
      </c>
      <c r="C20" s="1711" t="s">
        <v>1329</v>
      </c>
      <c r="D20" s="1712">
        <f>7062195504/1000000</f>
        <v>7062.1955040000003</v>
      </c>
      <c r="E20" s="1712">
        <f>2828328100/1000000</f>
        <v>2828.3281000000002</v>
      </c>
      <c r="F20" s="1713">
        <f>D20+E20-148.145</f>
        <v>9742.3786039999995</v>
      </c>
    </row>
    <row r="21" spans="2:6" ht="24.95" customHeight="1">
      <c r="B21" s="1717"/>
      <c r="C21" s="1718" t="s">
        <v>477</v>
      </c>
      <c r="D21" s="1719">
        <f>D7+D13+D19</f>
        <v>34686.722000000002</v>
      </c>
      <c r="E21" s="1719">
        <f>E7+E13+E19</f>
        <v>5597.8841000000002</v>
      </c>
      <c r="F21" s="1720">
        <f>F7+F13+F19</f>
        <v>40136.4611</v>
      </c>
    </row>
    <row r="23" spans="2:6">
      <c r="B23" s="1721" t="s">
        <v>1330</v>
      </c>
      <c r="F23" s="544"/>
    </row>
    <row r="24" spans="2:6">
      <c r="B24" s="1721" t="s">
        <v>1331</v>
      </c>
    </row>
    <row r="25" spans="2:6">
      <c r="B25" s="1721" t="s">
        <v>1332</v>
      </c>
    </row>
    <row r="26" spans="2:6">
      <c r="B26" s="1721" t="s">
        <v>1333</v>
      </c>
    </row>
    <row r="27" spans="2:6">
      <c r="B27" s="1721" t="s">
        <v>1334</v>
      </c>
    </row>
    <row r="29" spans="2:6">
      <c r="F29">
        <v>148145000</v>
      </c>
    </row>
    <row r="30" spans="2:6">
      <c r="F30" s="174" t="e">
        <f>#REF!-56660000</f>
        <v>#REF!</v>
      </c>
    </row>
  </sheetData>
  <mergeCells count="2">
    <mergeCell ref="B2:F2"/>
    <mergeCell ref="B3:F3"/>
  </mergeCells>
  <pageMargins left="0.59027777777777801" right="0.118055555555556" top="0.74791666666666701" bottom="0.74791666666666701" header="0.31458333333333299" footer="0.31458333333333299"/>
  <pageSetup paperSize="9" fitToHeight="0"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499984740745262"/>
    <pageSetUpPr fitToPage="1"/>
  </sheetPr>
  <dimension ref="A1:AT32"/>
  <sheetViews>
    <sheetView topLeftCell="J1" zoomScale="70" zoomScaleNormal="70" workbookViewId="0">
      <pane ySplit="7" topLeftCell="A14" activePane="bottomLeft" state="frozen"/>
      <selection pane="bottomLeft" activeCell="Z17" sqref="Z17"/>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1335</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694" t="s">
        <v>1085</v>
      </c>
      <c r="U4" s="3669" t="s">
        <v>7</v>
      </c>
      <c r="V4" s="3669"/>
      <c r="W4" s="3669"/>
      <c r="X4" s="3669"/>
      <c r="Y4" s="3669"/>
      <c r="Z4" s="3669"/>
      <c r="AA4" s="3669"/>
      <c r="AB4" s="3669"/>
      <c r="AC4" s="3669"/>
      <c r="AD4" s="3669"/>
      <c r="AE4" s="3669"/>
      <c r="AF4" s="3669"/>
      <c r="AG4" s="3669"/>
      <c r="AH4" s="3669"/>
      <c r="AI4" s="3669"/>
      <c r="AJ4" s="3669"/>
      <c r="AK4" s="3550"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513" t="s">
        <v>1088</v>
      </c>
      <c r="V5" s="3513"/>
      <c r="W5" s="3513"/>
      <c r="X5" s="3514"/>
      <c r="Y5" s="3676" t="s">
        <v>1136</v>
      </c>
      <c r="Z5" s="3676" t="s">
        <v>7</v>
      </c>
      <c r="AA5" s="3676" t="s">
        <v>1137</v>
      </c>
      <c r="AB5" s="3670" t="s">
        <v>1138</v>
      </c>
      <c r="AC5" s="3671"/>
      <c r="AD5" s="3671"/>
      <c r="AE5" s="3671"/>
      <c r="AF5" s="3672"/>
      <c r="AG5" s="3677" t="s">
        <v>10</v>
      </c>
      <c r="AH5" s="3673" t="s">
        <v>1089</v>
      </c>
      <c r="AI5" s="3674"/>
      <c r="AJ5" s="3675"/>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DATA!B2</f>
        <v>I</v>
      </c>
      <c r="K8" s="22" t="str">
        <f>DATA!D2</f>
        <v>INFRASTRUKTUR</v>
      </c>
      <c r="L8" s="22"/>
      <c r="M8" s="22"/>
      <c r="N8" s="1404"/>
      <c r="O8" s="212" t="e">
        <f>#REF!+#REF!+#REF!+#REF!+#REF!+#REF!+O9+O20+#REF!+#REF!</f>
        <v>#REF!</v>
      </c>
      <c r="P8" s="191" t="e">
        <f>#REF!+#REF!+#REF!+#REF!+#REF!+#REF!+P9+P20+#REF!+#REF!</f>
        <v>#REF!</v>
      </c>
      <c r="Q8" s="191" t="e">
        <f>+#REF!+#REF!+#REF!+#REF!+#REF!+Q9+Q20+#REF!+#REF!</f>
        <v>#REF!</v>
      </c>
      <c r="R8" s="191" t="e">
        <f>+#REF!+#REF!+#REF!+#REF!+#REF!+R9+R20+#REF!+#REF!</f>
        <v>#REF!</v>
      </c>
      <c r="S8" s="240" t="e">
        <f>+#REF!+#REF!+#REF!+#REF!+#REF!+S9+S20+#REF!+#REF!</f>
        <v>#REF!</v>
      </c>
      <c r="T8" s="1433"/>
      <c r="U8" s="192"/>
      <c r="V8" s="79" t="e">
        <f>+#REF!+#REF!+#REF!+#REF!+#REF!+V9+V20+#REF!+#REF!</f>
        <v>#REF!</v>
      </c>
      <c r="W8" s="79" t="e">
        <f>+#REF!+#REF!+#REF!+#REF!+#REF!+W9+W20+#REF!+#REF!</f>
        <v>#REF!</v>
      </c>
      <c r="X8" s="239" t="e">
        <f>+#REF!+#REF!+#REF!+#REF!+#REF!+X9</f>
        <v>#REF!</v>
      </c>
      <c r="Y8" s="79">
        <f>Y9+Y20</f>
        <v>4332600000</v>
      </c>
      <c r="Z8" s="79"/>
      <c r="AA8" s="224"/>
      <c r="AB8" s="1464"/>
      <c r="AC8" s="1464"/>
      <c r="AD8" s="1464"/>
      <c r="AE8" s="1464"/>
      <c r="AF8" s="1464"/>
      <c r="AG8" s="1495"/>
      <c r="AH8" s="192" t="e">
        <f>+#REF!+#REF!+#REF!+#REF!+#REF!+AH9+AH20+#REF!+#REF!</f>
        <v>#REF!</v>
      </c>
      <c r="AI8" s="79" t="s">
        <v>21</v>
      </c>
      <c r="AJ8" s="212" t="e">
        <f>P8-AH8</f>
        <v>#REF!</v>
      </c>
      <c r="AK8" s="1496"/>
      <c r="AL8" s="1497"/>
      <c r="AM8" s="1498"/>
      <c r="AN8" s="1499"/>
      <c r="AO8" s="1528"/>
    </row>
    <row r="9" spans="1:46" s="4" customFormat="1" ht="24.75" customHeight="1">
      <c r="J9" s="250"/>
      <c r="K9" s="25">
        <v>6</v>
      </c>
      <c r="L9" s="108" t="str">
        <f>DATA!F139</f>
        <v xml:space="preserve">PT. PLN    </v>
      </c>
      <c r="M9" s="25"/>
      <c r="N9" s="1416"/>
      <c r="O9" s="213">
        <f>+O10</f>
        <v>4271000000</v>
      </c>
      <c r="P9" s="194">
        <f>+P10</f>
        <v>4271000000</v>
      </c>
      <c r="Q9" s="194">
        <f>+Q10</f>
        <v>843000000</v>
      </c>
      <c r="R9" s="194">
        <f>+R10</f>
        <v>0</v>
      </c>
      <c r="S9" s="242">
        <f t="shared" ref="S9:S23" si="0">P9+Q9+R9</f>
        <v>5114000000</v>
      </c>
      <c r="T9" s="1434"/>
      <c r="U9" s="1549"/>
      <c r="V9" s="80">
        <f>+V10</f>
        <v>4271000000</v>
      </c>
      <c r="W9" s="80">
        <f>+W10</f>
        <v>0</v>
      </c>
      <c r="X9" s="241"/>
      <c r="Y9" s="80">
        <f>+Y10</f>
        <v>4271000000</v>
      </c>
      <c r="Z9" s="80"/>
      <c r="AA9" s="1465"/>
      <c r="AB9" s="1466"/>
      <c r="AC9" s="1466"/>
      <c r="AD9" s="1466"/>
      <c r="AE9" s="1576"/>
      <c r="AF9" s="1465"/>
      <c r="AG9" s="1540"/>
      <c r="AH9" s="195">
        <f>+AH10</f>
        <v>4271000000</v>
      </c>
      <c r="AI9" s="80" t="s">
        <v>21</v>
      </c>
      <c r="AJ9" s="213"/>
      <c r="AK9" s="1501"/>
      <c r="AL9" s="1502"/>
      <c r="AM9" s="168"/>
      <c r="AN9" s="1503"/>
      <c r="AO9" s="1529"/>
      <c r="AP9" s="5"/>
      <c r="AQ9" s="10">
        <f t="shared" ref="AQ9:AQ22" si="1">IF(Z9="RRT",Y9,0)</f>
        <v>0</v>
      </c>
      <c r="AR9" s="10">
        <f t="shared" ref="AR9:AR14" si="2">IF(Z9="JICA",Y9,0)</f>
        <v>0</v>
      </c>
      <c r="AS9" s="10">
        <f t="shared" ref="AS9:AS14" si="3">IF(Z9="Belum ada indikasi",Y9,0)</f>
        <v>0</v>
      </c>
      <c r="AT9" s="10">
        <f t="shared" ref="AT9:AT14" si="4">IF(Z9="Korea",Y9,0)</f>
        <v>0</v>
      </c>
    </row>
    <row r="10" spans="1:46" s="5" customFormat="1" ht="33.75" customHeight="1">
      <c r="J10" s="180"/>
      <c r="K10" s="1692"/>
      <c r="L10" s="30" t="str">
        <f>DATA!I139</f>
        <v>A</v>
      </c>
      <c r="M10" s="3427" t="str">
        <f>DATA!J139</f>
        <v>Program Pembangunan Infrastruktur Ketenagalistrikan</v>
      </c>
      <c r="N10" s="3556"/>
      <c r="O10" s="214">
        <f>O11+O12+O13+O14+O15+O17+O18+O19</f>
        <v>4271000000</v>
      </c>
      <c r="P10" s="197">
        <f>P11+P12+P13+P14+P15+P17+P18+P19</f>
        <v>4271000000</v>
      </c>
      <c r="Q10" s="1436">
        <f>Q11+Q12+Q13+Q14+Q15+Q17+Q18+Q19</f>
        <v>843000000</v>
      </c>
      <c r="R10" s="1436">
        <f>R11+R12+R13+R14+R15+R17+R18+R19</f>
        <v>0</v>
      </c>
      <c r="S10" s="244">
        <f t="shared" si="0"/>
        <v>5114000000</v>
      </c>
      <c r="T10" s="1437"/>
      <c r="U10" s="1539"/>
      <c r="V10" s="81">
        <f>V11+V12+V13+V14+V15+V17+V18+V19</f>
        <v>4271000000</v>
      </c>
      <c r="W10" s="81">
        <f>W11+W12+W13+W14+W15+W17+W18+W19</f>
        <v>0</v>
      </c>
      <c r="X10" s="243"/>
      <c r="Y10" s="81">
        <f>Y11+Y12+Y13+Y14+Y16+Y17+Y18+Y19+Y15</f>
        <v>4271000000</v>
      </c>
      <c r="Z10" s="81"/>
      <c r="AA10" s="1469"/>
      <c r="AB10" s="1470"/>
      <c r="AC10" s="1470"/>
      <c r="AD10" s="1470"/>
      <c r="AE10" s="1653"/>
      <c r="AF10" s="1568"/>
      <c r="AG10" s="1695"/>
      <c r="AH10" s="198">
        <f>AH11+AH12+AH13+AH14+AH15+AH17+AH18+AH19</f>
        <v>4271000000</v>
      </c>
      <c r="AI10" s="81" t="s">
        <v>21</v>
      </c>
      <c r="AJ10" s="214">
        <f>Y10+Y21</f>
        <v>4332600000</v>
      </c>
      <c r="AK10" s="1505"/>
      <c r="AL10" s="1506"/>
      <c r="AM10" s="169"/>
      <c r="AN10" s="1507"/>
      <c r="AO10" s="1530"/>
      <c r="AP10" s="10"/>
      <c r="AQ10" s="10">
        <f t="shared" si="1"/>
        <v>0</v>
      </c>
      <c r="AR10" s="10">
        <f t="shared" si="2"/>
        <v>0</v>
      </c>
      <c r="AS10" s="10">
        <f t="shared" si="3"/>
        <v>0</v>
      </c>
      <c r="AT10" s="10">
        <f t="shared" si="4"/>
        <v>0</v>
      </c>
    </row>
    <row r="11" spans="1:46" ht="62.25" customHeight="1">
      <c r="A11" s="10">
        <f>DATA!A141</f>
        <v>103</v>
      </c>
      <c r="B11" s="10">
        <f>DATA!B141</f>
        <v>0</v>
      </c>
      <c r="C11" s="10" t="str">
        <f>DATA!D141</f>
        <v>INFRASTRUKTUR</v>
      </c>
      <c r="D11" s="10">
        <f>DATA!E141</f>
        <v>7</v>
      </c>
      <c r="E11" s="10" t="str">
        <f>DATA!F141</f>
        <v xml:space="preserve">PT. PLN    </v>
      </c>
      <c r="F11" s="10" t="str">
        <f>DATA!H141</f>
        <v>Electricity Infrastructure Development Program</v>
      </c>
      <c r="G11" s="10" t="str">
        <f>DATA!I141</f>
        <v>A</v>
      </c>
      <c r="H11" s="10" t="str">
        <f>DATA!J141</f>
        <v>Program Pembangunan Infrastruktur Ketenagalistrikan</v>
      </c>
      <c r="I11" s="10">
        <f>DATA!K141</f>
        <v>1</v>
      </c>
      <c r="J11" s="181"/>
      <c r="K11" s="34"/>
      <c r="L11" s="34"/>
      <c r="M11" s="52">
        <v>1</v>
      </c>
      <c r="N11" s="199" t="str">
        <f>DATA!L141</f>
        <v>Construction of Java Sumatera Interconnection 500 kV (HVDC-Phase 3 &amp; 4)</v>
      </c>
      <c r="O11" s="1402">
        <f>DATA!T141</f>
        <v>933000000</v>
      </c>
      <c r="P11" s="187">
        <f>DATA!U141</f>
        <v>933000000</v>
      </c>
      <c r="Q11" s="1446">
        <f>DATA!V141</f>
        <v>165000000</v>
      </c>
      <c r="R11" s="1446">
        <f>DATA!W141</f>
        <v>0</v>
      </c>
      <c r="S11" s="1447">
        <f t="shared" si="0"/>
        <v>1098000000</v>
      </c>
      <c r="T11" s="1448"/>
      <c r="U11" s="1449" t="str">
        <f>DATA!Y141</f>
        <v>JICA</v>
      </c>
      <c r="V11" s="77">
        <f>DATA!AA141</f>
        <v>933000000</v>
      </c>
      <c r="W11" s="77">
        <v>0</v>
      </c>
      <c r="X11" s="1450" t="str">
        <f>DATA!Y141</f>
        <v>JICA</v>
      </c>
      <c r="Y11" s="109">
        <v>933000000</v>
      </c>
      <c r="Z11" s="109" t="s">
        <v>55</v>
      </c>
      <c r="AA11" s="1484" t="s">
        <v>879</v>
      </c>
      <c r="AB11" s="828"/>
      <c r="AC11" s="828"/>
      <c r="AD11" s="1485"/>
      <c r="AE11" s="1486"/>
      <c r="AF11" s="1486"/>
      <c r="AG11" s="3275" t="s">
        <v>1220</v>
      </c>
      <c r="AH11" s="1509">
        <f>DATA!AT141</f>
        <v>933000000</v>
      </c>
      <c r="AI11" s="109" t="str">
        <f>DATA!AU141</f>
        <v>JICA</v>
      </c>
      <c r="AJ11" s="216" t="str">
        <f>DATA!AW141</f>
        <v>-</v>
      </c>
      <c r="AK11" s="245">
        <f>DATA!AM141</f>
        <v>0</v>
      </c>
      <c r="AL11" s="1510" t="str">
        <f>DATA!AN141</f>
        <v>belum ada keterangan</v>
      </c>
      <c r="AM11" s="1511" t="str">
        <f>DATA!AO141</f>
        <v>belum ada keterangan</v>
      </c>
      <c r="AN11" s="1512">
        <f>DATA!AQ141</f>
        <v>0</v>
      </c>
      <c r="AO11" s="1531" t="str">
        <f>DATA!AR141</f>
        <v>penyiapan dokumen R/C</v>
      </c>
      <c r="AQ11" s="10">
        <f t="shared" si="1"/>
        <v>0</v>
      </c>
      <c r="AR11" s="10">
        <f t="shared" si="2"/>
        <v>933000000</v>
      </c>
      <c r="AS11" s="10">
        <f t="shared" si="3"/>
        <v>0</v>
      </c>
      <c r="AT11" s="10">
        <f t="shared" si="4"/>
        <v>0</v>
      </c>
    </row>
    <row r="12" spans="1:46" ht="31.5" customHeight="1">
      <c r="A12" s="10">
        <f>DATA!A144</f>
        <v>106</v>
      </c>
      <c r="B12" s="10">
        <f>DATA!B144</f>
        <v>0</v>
      </c>
      <c r="C12" s="10" t="str">
        <f>DATA!D144</f>
        <v>INFRASTRUKTUR</v>
      </c>
      <c r="D12" s="10">
        <f>DATA!E144</f>
        <v>7</v>
      </c>
      <c r="E12" s="10" t="str">
        <f>DATA!F144</f>
        <v xml:space="preserve">PT. PLN    </v>
      </c>
      <c r="F12" s="10" t="str">
        <f>DATA!H144</f>
        <v>Electricity Infrastructure Development Program</v>
      </c>
      <c r="G12" s="10" t="str">
        <f>DATA!I144</f>
        <v>A</v>
      </c>
      <c r="H12" s="10" t="str">
        <f>DATA!J144</f>
        <v>Program Pembangunan Infrastruktur Ketenagalistrikan</v>
      </c>
      <c r="I12" s="10">
        <f>DATA!K144</f>
        <v>2</v>
      </c>
      <c r="J12" s="181"/>
      <c r="K12" s="34"/>
      <c r="L12" s="34"/>
      <c r="M12" s="52">
        <v>2</v>
      </c>
      <c r="N12" s="199" t="str">
        <f>DATA!L144</f>
        <v>Hululais Geothermal Power Plant  1&amp;2 (2x55MW)</v>
      </c>
      <c r="O12" s="1402">
        <f>DATA!T144</f>
        <v>204000000</v>
      </c>
      <c r="P12" s="187">
        <f>DATA!U144</f>
        <v>204000000</v>
      </c>
      <c r="Q12" s="1446">
        <f>DATA!V144</f>
        <v>42000000</v>
      </c>
      <c r="R12" s="1446">
        <f>DATA!W144</f>
        <v>0</v>
      </c>
      <c r="S12" s="1447">
        <f t="shared" si="0"/>
        <v>246000000</v>
      </c>
      <c r="T12" s="1448"/>
      <c r="U12" s="1449" t="str">
        <f>DATA!Y144</f>
        <v>JICA</v>
      </c>
      <c r="V12" s="77">
        <f>DATA!AA144</f>
        <v>204000000</v>
      </c>
      <c r="W12" s="77">
        <v>0</v>
      </c>
      <c r="X12" s="1450" t="str">
        <f>DATA!Y144</f>
        <v>JICA</v>
      </c>
      <c r="Y12" s="109">
        <v>204000000</v>
      </c>
      <c r="Z12" s="109" t="s">
        <v>55</v>
      </c>
      <c r="AA12" s="1484" t="s">
        <v>1160</v>
      </c>
      <c r="AB12" s="828"/>
      <c r="AC12" s="828"/>
      <c r="AD12" s="1485"/>
      <c r="AE12" s="1486"/>
      <c r="AF12" s="1486"/>
      <c r="AG12" s="3275" t="s">
        <v>1221</v>
      </c>
      <c r="AH12" s="1509">
        <f>DATA!AT144</f>
        <v>204000000</v>
      </c>
      <c r="AI12" s="109" t="str">
        <f>DATA!AU144</f>
        <v>JICA</v>
      </c>
      <c r="AJ12" s="216" t="str">
        <f>DATA!AW144</f>
        <v>-</v>
      </c>
      <c r="AK12" s="245">
        <f>DATA!AM144</f>
        <v>0</v>
      </c>
      <c r="AL12" s="1510" t="str">
        <f>DATA!AN144</f>
        <v>belum ada keterangan</v>
      </c>
      <c r="AM12" s="1511" t="str">
        <f>DATA!AO144</f>
        <v>belum ada keterangan</v>
      </c>
      <c r="AN12" s="1512">
        <f>DATA!AQ144</f>
        <v>0</v>
      </c>
      <c r="AO12" s="1531" t="str">
        <f>DATA!AR144</f>
        <v>belum ada dokumen R/C</v>
      </c>
      <c r="AQ12" s="10">
        <f t="shared" si="1"/>
        <v>0</v>
      </c>
      <c r="AR12" s="10">
        <f t="shared" si="2"/>
        <v>204000000</v>
      </c>
      <c r="AS12" s="10">
        <f t="shared" si="3"/>
        <v>0</v>
      </c>
      <c r="AT12" s="10">
        <f t="shared" si="4"/>
        <v>0</v>
      </c>
    </row>
    <row r="13" spans="1:46" ht="51" customHeight="1">
      <c r="A13" s="10">
        <f>DATA!A145</f>
        <v>107</v>
      </c>
      <c r="B13" s="10">
        <f>DATA!B145</f>
        <v>0</v>
      </c>
      <c r="C13" s="10" t="str">
        <f>DATA!D145</f>
        <v>INFRASTRUKTUR</v>
      </c>
      <c r="D13" s="10">
        <f>DATA!E145</f>
        <v>7</v>
      </c>
      <c r="E13" s="10" t="str">
        <f>DATA!F145</f>
        <v xml:space="preserve">PT. PLN    </v>
      </c>
      <c r="F13" s="10" t="str">
        <f>DATA!H145</f>
        <v>Electricity Infrastructure Development Program</v>
      </c>
      <c r="G13" s="10" t="str">
        <f>DATA!I145</f>
        <v>A</v>
      </c>
      <c r="H13" s="10" t="str">
        <f>DATA!J145</f>
        <v>Program Pembangunan Infrastruktur Ketenagalistrikan</v>
      </c>
      <c r="I13" s="10">
        <f>DATA!K145</f>
        <v>3</v>
      </c>
      <c r="J13" s="181"/>
      <c r="K13" s="34"/>
      <c r="L13" s="34"/>
      <c r="M13" s="52">
        <v>3</v>
      </c>
      <c r="N13" s="199" t="str">
        <f>DATA!L145</f>
        <v>Bakaru II Hydro Electrical Power Plant (2x63MW)</v>
      </c>
      <c r="O13" s="1402">
        <f>DATA!T145</f>
        <v>280000000</v>
      </c>
      <c r="P13" s="187">
        <f>DATA!U145</f>
        <v>280000000</v>
      </c>
      <c r="Q13" s="1446">
        <f>DATA!V145</f>
        <v>20000000</v>
      </c>
      <c r="R13" s="1446">
        <f>DATA!W145</f>
        <v>0</v>
      </c>
      <c r="S13" s="1447">
        <f t="shared" si="0"/>
        <v>300000000</v>
      </c>
      <c r="T13" s="1448"/>
      <c r="U13" s="1449" t="str">
        <f>DATA!Y145</f>
        <v>Jerman (KfW)</v>
      </c>
      <c r="V13" s="77">
        <f>DATA!AA145</f>
        <v>280000000</v>
      </c>
      <c r="W13" s="77">
        <v>0</v>
      </c>
      <c r="X13" s="1450" t="str">
        <f>DATA!Y145</f>
        <v>Jerman (KfW)</v>
      </c>
      <c r="Y13" s="109">
        <v>280000000</v>
      </c>
      <c r="Z13" s="109" t="s">
        <v>633</v>
      </c>
      <c r="AA13" s="1484" t="s">
        <v>879</v>
      </c>
      <c r="AB13" s="828"/>
      <c r="AC13" s="828"/>
      <c r="AD13" s="1485"/>
      <c r="AE13" s="1486"/>
      <c r="AF13" s="1486"/>
      <c r="AG13" s="3262" t="s">
        <v>1222</v>
      </c>
      <c r="AH13" s="1509">
        <f>DATA!AT145</f>
        <v>280000000</v>
      </c>
      <c r="AI13" s="109" t="str">
        <f>DATA!AU145</f>
        <v>Jerman (KfW)</v>
      </c>
      <c r="AJ13" s="216" t="str">
        <f>DATA!AW145</f>
        <v>-</v>
      </c>
      <c r="AK13" s="245">
        <f>DATA!AM145</f>
        <v>0</v>
      </c>
      <c r="AL13" s="1512" t="str">
        <f>DATA!AN145</f>
        <v>dalam proses</v>
      </c>
      <c r="AM13" s="1522" t="str">
        <f>DATA!AO145</f>
        <v>dalam proses
(perencanaan)</v>
      </c>
      <c r="AN13" s="1512">
        <f>DATA!AQ145</f>
        <v>0</v>
      </c>
      <c r="AO13" s="1531" t="str">
        <f>DATA!AR145</f>
        <v>- tidak diketahui dalam proses apa
- belum ada dokumen R/C</v>
      </c>
      <c r="AQ13" s="10">
        <f t="shared" si="1"/>
        <v>0</v>
      </c>
      <c r="AR13" s="10">
        <f t="shared" si="2"/>
        <v>0</v>
      </c>
      <c r="AS13" s="10">
        <f t="shared" si="3"/>
        <v>280000000</v>
      </c>
      <c r="AT13" s="10">
        <f t="shared" si="4"/>
        <v>0</v>
      </c>
    </row>
    <row r="14" spans="1:46" ht="42.75" customHeight="1">
      <c r="A14" s="10">
        <f>DATA!A146</f>
        <v>108</v>
      </c>
      <c r="B14" s="10">
        <f>DATA!B146</f>
        <v>0</v>
      </c>
      <c r="C14" s="10" t="str">
        <f>DATA!D146</f>
        <v>INFRASTRUKTUR</v>
      </c>
      <c r="D14" s="10">
        <f>DATA!E146</f>
        <v>7</v>
      </c>
      <c r="E14" s="10" t="str">
        <f>DATA!F146</f>
        <v xml:space="preserve">PT. PLN    </v>
      </c>
      <c r="F14" s="10" t="str">
        <f>DATA!H146</f>
        <v>Electricity Infrastructure Development Program</v>
      </c>
      <c r="G14" s="10" t="str">
        <f>DATA!I146</f>
        <v>A</v>
      </c>
      <c r="H14" s="10" t="str">
        <f>DATA!J146</f>
        <v>Program Pembangunan Infrastruktur Ketenagalistrikan</v>
      </c>
      <c r="I14" s="10">
        <f>DATA!K146</f>
        <v>4</v>
      </c>
      <c r="J14" s="181"/>
      <c r="K14" s="34"/>
      <c r="L14" s="34"/>
      <c r="M14" s="52">
        <v>4</v>
      </c>
      <c r="N14" s="199" t="str">
        <f>DATA!L146</f>
        <v>Tulehu Geothermal Power Plant Project Unit 1&amp;2 (2x10MW)</v>
      </c>
      <c r="O14" s="1402">
        <f>DATA!T146</f>
        <v>104000000</v>
      </c>
      <c r="P14" s="187">
        <f>DATA!U146</f>
        <v>104000000</v>
      </c>
      <c r="Q14" s="1446">
        <f>DATA!V146</f>
        <v>18000000</v>
      </c>
      <c r="R14" s="1446">
        <v>0</v>
      </c>
      <c r="S14" s="1447">
        <f t="shared" si="0"/>
        <v>122000000</v>
      </c>
      <c r="T14" s="1448"/>
      <c r="U14" s="1449" t="str">
        <f>DATA!Y146</f>
        <v>JICA</v>
      </c>
      <c r="V14" s="77">
        <f>DATA!AA146</f>
        <v>104000000</v>
      </c>
      <c r="W14" s="77">
        <v>0</v>
      </c>
      <c r="X14" s="1450" t="str">
        <f>DATA!Y146</f>
        <v>JICA</v>
      </c>
      <c r="Y14" s="109">
        <v>104000000</v>
      </c>
      <c r="Z14" s="109" t="s">
        <v>55</v>
      </c>
      <c r="AA14" s="1484" t="s">
        <v>1160</v>
      </c>
      <c r="AB14" s="828"/>
      <c r="AC14" s="828"/>
      <c r="AD14" s="1485"/>
      <c r="AE14" s="1486"/>
      <c r="AF14" s="1486"/>
      <c r="AG14" s="3275" t="s">
        <v>1221</v>
      </c>
      <c r="AH14" s="1509">
        <f>DATA!AT146</f>
        <v>104000000</v>
      </c>
      <c r="AI14" s="109" t="str">
        <f>DATA!AU146</f>
        <v>JICA</v>
      </c>
      <c r="AJ14" s="216" t="str">
        <f>DATA!AW146</f>
        <v>-</v>
      </c>
      <c r="AK14" s="245">
        <f>DATA!AM146</f>
        <v>0</v>
      </c>
      <c r="AL14" s="1510" t="str">
        <f>DATA!AN146</f>
        <v>dalam proses
(penyusunan FS)</v>
      </c>
      <c r="AM14" s="1511" t="str">
        <f>DATA!AO146</f>
        <v>dalam proses
(pelaksanaan 63%)</v>
      </c>
      <c r="AN14" s="1512">
        <f>DATA!AQ146</f>
        <v>0</v>
      </c>
      <c r="AO14" s="1531" t="str">
        <f>DATA!AR146</f>
        <v>belum ada dokumen R/C</v>
      </c>
      <c r="AQ14" s="10">
        <f t="shared" si="1"/>
        <v>0</v>
      </c>
      <c r="AR14" s="10">
        <f t="shared" si="2"/>
        <v>104000000</v>
      </c>
      <c r="AS14" s="10">
        <f t="shared" si="3"/>
        <v>0</v>
      </c>
      <c r="AT14" s="10">
        <f t="shared" si="4"/>
        <v>0</v>
      </c>
    </row>
    <row r="15" spans="1:46" ht="30" customHeight="1">
      <c r="A15" s="10">
        <f>DATA!A147</f>
        <v>109</v>
      </c>
      <c r="B15" s="10">
        <f>DATA!B147</f>
        <v>0</v>
      </c>
      <c r="C15" s="10" t="str">
        <f>DATA!D147</f>
        <v>INFRASTRUKTUR</v>
      </c>
      <c r="D15" s="10">
        <f>DATA!E147</f>
        <v>7</v>
      </c>
      <c r="E15" s="10" t="str">
        <f>DATA!F147</f>
        <v xml:space="preserve">PT. PLN    </v>
      </c>
      <c r="F15" s="10" t="str">
        <f>DATA!H147</f>
        <v>Electricity Infrastructure Development Program</v>
      </c>
      <c r="G15" s="10" t="str">
        <f>DATA!I147</f>
        <v>A</v>
      </c>
      <c r="H15" s="10" t="str">
        <f>DATA!J147</f>
        <v>Program Pembangunan Infrastruktur Ketenagalistrikan</v>
      </c>
      <c r="I15" s="10">
        <f>DATA!K147</f>
        <v>5</v>
      </c>
      <c r="J15" s="181"/>
      <c r="K15" s="34"/>
      <c r="L15" s="34"/>
      <c r="M15" s="52">
        <v>5</v>
      </c>
      <c r="N15" s="199" t="str">
        <f>DATA!L147</f>
        <v>Indramayu Coal Fired Power Plant  #4 (1x1000MW)</v>
      </c>
      <c r="O15" s="1402">
        <f>DATA!T147</f>
        <v>1845000000</v>
      </c>
      <c r="P15" s="187">
        <f>DATA!U147</f>
        <v>1845000000</v>
      </c>
      <c r="Q15" s="1446">
        <f>DATA!V147</f>
        <v>333000000</v>
      </c>
      <c r="R15" s="1446">
        <v>0</v>
      </c>
      <c r="S15" s="1447">
        <f t="shared" si="0"/>
        <v>2178000000</v>
      </c>
      <c r="T15" s="1448"/>
      <c r="U15" s="1449" t="str">
        <f>DATA!Y147</f>
        <v>JICA</v>
      </c>
      <c r="V15" s="77">
        <f>DATA!AA147</f>
        <v>1845000000</v>
      </c>
      <c r="W15" s="77">
        <v>0</v>
      </c>
      <c r="X15" s="1450" t="str">
        <f>DATA!Y147</f>
        <v>JICA</v>
      </c>
      <c r="Y15" s="618">
        <v>300000000</v>
      </c>
      <c r="Z15" s="109" t="s">
        <v>55</v>
      </c>
      <c r="AA15" s="1477" t="s">
        <v>1223</v>
      </c>
      <c r="AB15" s="1478"/>
      <c r="AC15" s="1478"/>
      <c r="AD15" s="1479"/>
      <c r="AE15" s="1480"/>
      <c r="AF15" s="1480"/>
      <c r="AG15" s="1696"/>
      <c r="AH15" s="1509">
        <f>DATA!AT147</f>
        <v>1845000000</v>
      </c>
      <c r="AI15" s="109" t="str">
        <f>DATA!AU147</f>
        <v>JICA</v>
      </c>
      <c r="AJ15" s="216" t="str">
        <f>DATA!AW147</f>
        <v>-</v>
      </c>
      <c r="AK15" s="245">
        <f>DATA!AM147</f>
        <v>0</v>
      </c>
      <c r="AL15" s="1510" t="str">
        <f>DATA!AN147</f>
        <v>siap</v>
      </c>
      <c r="AM15" s="1511" t="str">
        <f>DATA!AO147</f>
        <v>dalam proses
(perencanaan)</v>
      </c>
      <c r="AN15" s="1512">
        <f>DATA!AQ147</f>
        <v>0</v>
      </c>
      <c r="AO15" s="1531" t="str">
        <f>DATA!AR147</f>
        <v>belum ada dokumen R/C</v>
      </c>
      <c r="AQ15" s="10">
        <f t="shared" si="1"/>
        <v>0</v>
      </c>
      <c r="AR15" s="10">
        <f t="shared" ref="AR15:AR22" si="5">IF(Z15="JICA",Y15,0)</f>
        <v>300000000</v>
      </c>
      <c r="AS15" s="10">
        <f t="shared" ref="AS15:AS22" si="6">IF(Z15="Belum ada indikasi",Y15,0)</f>
        <v>0</v>
      </c>
      <c r="AT15" s="10">
        <f t="shared" ref="AT15:AT22" si="7">IF(Z15="Korea",Y15,0)</f>
        <v>0</v>
      </c>
    </row>
    <row r="16" spans="1:46" ht="30" customHeight="1">
      <c r="J16" s="181"/>
      <c r="K16" s="34"/>
      <c r="L16" s="34"/>
      <c r="M16" s="52"/>
      <c r="N16" s="199"/>
      <c r="O16" s="1402"/>
      <c r="P16" s="187"/>
      <c r="Q16" s="1446"/>
      <c r="R16" s="1446"/>
      <c r="S16" s="1447"/>
      <c r="T16" s="1448"/>
      <c r="U16" s="1449"/>
      <c r="V16" s="77"/>
      <c r="W16" s="77"/>
      <c r="X16" s="1450"/>
      <c r="Y16" s="618">
        <f>1845000000-300000000</f>
        <v>1545000000</v>
      </c>
      <c r="Z16" s="109" t="s">
        <v>55</v>
      </c>
      <c r="AA16" s="1574" t="s">
        <v>1160</v>
      </c>
      <c r="AB16" s="1478"/>
      <c r="AC16" s="1478"/>
      <c r="AD16" s="1479"/>
      <c r="AE16" s="1480"/>
      <c r="AF16" s="1480"/>
      <c r="AG16" s="3275" t="s">
        <v>1224</v>
      </c>
      <c r="AH16" s="1509"/>
      <c r="AI16" s="109"/>
      <c r="AJ16" s="216"/>
      <c r="AK16" s="245"/>
      <c r="AL16" s="1510"/>
      <c r="AM16" s="1511"/>
      <c r="AN16" s="1512"/>
      <c r="AO16" s="1531"/>
      <c r="AQ16" s="10">
        <f t="shared" si="1"/>
        <v>0</v>
      </c>
      <c r="AR16" s="10">
        <f t="shared" si="5"/>
        <v>1545000000</v>
      </c>
      <c r="AS16" s="10">
        <f t="shared" si="6"/>
        <v>0</v>
      </c>
      <c r="AT16" s="10">
        <f t="shared" si="7"/>
        <v>0</v>
      </c>
    </row>
    <row r="17" spans="1:46" ht="60.75" customHeight="1">
      <c r="A17" s="10">
        <f>DATA!A148</f>
        <v>110</v>
      </c>
      <c r="B17" s="10">
        <f>DATA!B148</f>
        <v>0</v>
      </c>
      <c r="C17" s="10" t="str">
        <f>DATA!D148</f>
        <v>INFRASTRUKTUR</v>
      </c>
      <c r="D17" s="10">
        <f>DATA!E148</f>
        <v>7</v>
      </c>
      <c r="E17" s="10" t="str">
        <f>DATA!F148</f>
        <v xml:space="preserve">PT. PLN    </v>
      </c>
      <c r="F17" s="10" t="str">
        <f>DATA!H148</f>
        <v>Electricity Infrastructure Development Program</v>
      </c>
      <c r="G17" s="10" t="str">
        <f>DATA!I148</f>
        <v>A</v>
      </c>
      <c r="H17" s="10" t="str">
        <f>DATA!J148</f>
        <v>Program Pembangunan Infrastruktur Ketenagalistrikan</v>
      </c>
      <c r="I17" s="10">
        <f>DATA!K148</f>
        <v>6</v>
      </c>
      <c r="J17" s="181"/>
      <c r="K17" s="34"/>
      <c r="L17" s="34"/>
      <c r="M17" s="52">
        <v>6</v>
      </c>
      <c r="N17" s="199" t="str">
        <f>DATA!L148</f>
        <v>Additional Loan for Upper Cisokan Pumped Storage Hydro Electrical Power Plant (4x260MW)</v>
      </c>
      <c r="O17" s="1402">
        <f>DATA!T148</f>
        <v>200000000</v>
      </c>
      <c r="P17" s="187">
        <f>DATA!U148</f>
        <v>200000000</v>
      </c>
      <c r="Q17" s="1446">
        <f>DATA!V148</f>
        <v>0</v>
      </c>
      <c r="R17" s="1446">
        <v>0</v>
      </c>
      <c r="S17" s="1447">
        <f t="shared" si="0"/>
        <v>200000000</v>
      </c>
      <c r="T17" s="1448"/>
      <c r="U17" s="1449" t="str">
        <f>DATA!Y148</f>
        <v>Bank Dunia</v>
      </c>
      <c r="V17" s="77">
        <f>DATA!AA148</f>
        <v>200000000</v>
      </c>
      <c r="W17" s="77">
        <v>0</v>
      </c>
      <c r="X17" s="1450" t="str">
        <f>DATA!Y148</f>
        <v>Bank Dunia</v>
      </c>
      <c r="Y17" s="109">
        <v>200000000</v>
      </c>
      <c r="Z17" s="109" t="s">
        <v>62</v>
      </c>
      <c r="AA17" s="1484" t="s">
        <v>879</v>
      </c>
      <c r="AB17" s="828"/>
      <c r="AC17" s="828"/>
      <c r="AD17" s="1485"/>
      <c r="AE17" s="1486"/>
      <c r="AF17" s="1486"/>
      <c r="AG17" s="3275" t="s">
        <v>1225</v>
      </c>
      <c r="AH17" s="1509">
        <f>DATA!AT148</f>
        <v>200000000</v>
      </c>
      <c r="AI17" s="109" t="str">
        <f>DATA!AU148</f>
        <v>Bank Dunia</v>
      </c>
      <c r="AJ17" s="216" t="str">
        <f>DATA!AW148</f>
        <v>-</v>
      </c>
      <c r="AK17" s="245">
        <f>DATA!AM148</f>
        <v>0</v>
      </c>
      <c r="AL17" s="1510" t="str">
        <f>DATA!AN148</f>
        <v>siap</v>
      </c>
      <c r="AM17" s="1511" t="str">
        <f>DATA!AO148</f>
        <v>dalam proses
(pelaksanaan 95%)</v>
      </c>
      <c r="AN17" s="1512">
        <f>DATA!AQ148</f>
        <v>0</v>
      </c>
      <c r="AO17" s="1531" t="str">
        <f>DATA!AR148</f>
        <v>belum ada dokumen R/C</v>
      </c>
      <c r="AQ17" s="10">
        <f t="shared" si="1"/>
        <v>0</v>
      </c>
      <c r="AR17" s="10">
        <f t="shared" si="5"/>
        <v>0</v>
      </c>
      <c r="AS17" s="10">
        <f t="shared" si="6"/>
        <v>0</v>
      </c>
      <c r="AT17" s="10">
        <f t="shared" si="7"/>
        <v>0</v>
      </c>
    </row>
    <row r="18" spans="1:46" ht="51.75" customHeight="1">
      <c r="A18" s="10">
        <f>DATA!A149</f>
        <v>111</v>
      </c>
      <c r="B18" s="10">
        <f>DATA!B149</f>
        <v>0</v>
      </c>
      <c r="C18" s="10" t="str">
        <f>DATA!D149</f>
        <v>INFRASTRUKTUR</v>
      </c>
      <c r="D18" s="10">
        <f>DATA!E149</f>
        <v>7</v>
      </c>
      <c r="E18" s="10" t="str">
        <f>DATA!F149</f>
        <v xml:space="preserve">PT. PLN    </v>
      </c>
      <c r="F18" s="10" t="str">
        <f>DATA!H149</f>
        <v>Electricity Infrastructure Development Program</v>
      </c>
      <c r="G18" s="10" t="str">
        <f>DATA!I149</f>
        <v>A</v>
      </c>
      <c r="H18" s="10" t="str">
        <f>DATA!J149</f>
        <v>Program Pembangunan Infrastruktur Ketenagalistrikan</v>
      </c>
      <c r="I18" s="10">
        <f>DATA!K149</f>
        <v>7</v>
      </c>
      <c r="J18" s="181"/>
      <c r="K18" s="34"/>
      <c r="L18" s="34"/>
      <c r="M18" s="52">
        <v>7</v>
      </c>
      <c r="N18" s="199" t="str">
        <f>DATA!L149</f>
        <v>Sungai Penuh Geothermal Power Plant 1&amp;2 (2x55MW)</v>
      </c>
      <c r="O18" s="1402">
        <f>DATA!T149</f>
        <v>205000000</v>
      </c>
      <c r="P18" s="187">
        <f>DATA!U149</f>
        <v>205000000</v>
      </c>
      <c r="Q18" s="1446">
        <f>DATA!V149</f>
        <v>45000000</v>
      </c>
      <c r="R18" s="1446">
        <v>0</v>
      </c>
      <c r="S18" s="1447">
        <f t="shared" si="0"/>
        <v>250000000</v>
      </c>
      <c r="T18" s="1448"/>
      <c r="U18" s="1449" t="str">
        <f>DATA!Y149</f>
        <v>ADB</v>
      </c>
      <c r="V18" s="77">
        <f>DATA!AA149</f>
        <v>205000000</v>
      </c>
      <c r="W18" s="77">
        <v>0</v>
      </c>
      <c r="X18" s="1450" t="str">
        <f>DATA!Y149</f>
        <v>ADB</v>
      </c>
      <c r="Y18" s="109">
        <v>205000000</v>
      </c>
      <c r="Z18" s="109" t="s">
        <v>117</v>
      </c>
      <c r="AA18" s="1484" t="s">
        <v>879</v>
      </c>
      <c r="AB18" s="828"/>
      <c r="AC18" s="828"/>
      <c r="AD18" s="1485"/>
      <c r="AE18" s="1486"/>
      <c r="AF18" s="1486"/>
      <c r="AG18" s="1697" t="s">
        <v>1226</v>
      </c>
      <c r="AH18" s="1509">
        <f>DATA!AT149</f>
        <v>205000000</v>
      </c>
      <c r="AI18" s="109" t="str">
        <f>DATA!AU149</f>
        <v>ADB</v>
      </c>
      <c r="AJ18" s="216" t="str">
        <f>DATA!AW149</f>
        <v>-</v>
      </c>
      <c r="AK18" s="245">
        <f>DATA!AM149</f>
        <v>0</v>
      </c>
      <c r="AL18" s="1510" t="str">
        <f>DATA!AN149</f>
        <v>siap</v>
      </c>
      <c r="AM18" s="1511" t="str">
        <f>DATA!AO149</f>
        <v>belum ada keterangan</v>
      </c>
      <c r="AN18" s="1512">
        <f>DATA!AQ149</f>
        <v>0</v>
      </c>
      <c r="AO18" s="1531" t="str">
        <f>DATA!AR149</f>
        <v>belum ada dokumen R/C</v>
      </c>
      <c r="AQ18" s="10">
        <f t="shared" si="1"/>
        <v>0</v>
      </c>
      <c r="AR18" s="10">
        <f t="shared" si="5"/>
        <v>0</v>
      </c>
      <c r="AS18" s="10">
        <f t="shared" si="6"/>
        <v>0</v>
      </c>
      <c r="AT18" s="10">
        <f t="shared" si="7"/>
        <v>0</v>
      </c>
    </row>
    <row r="19" spans="1:46" ht="40.5" customHeight="1">
      <c r="A19" s="10">
        <f>DATA!A150</f>
        <v>112</v>
      </c>
      <c r="B19" s="10">
        <f>DATA!B150</f>
        <v>0</v>
      </c>
      <c r="C19" s="10" t="str">
        <f>DATA!D150</f>
        <v>INFRASTRUKTUR</v>
      </c>
      <c r="D19" s="10">
        <f>DATA!E150</f>
        <v>7</v>
      </c>
      <c r="E19" s="10" t="str">
        <f>DATA!F150</f>
        <v xml:space="preserve">PT. PLN    </v>
      </c>
      <c r="F19" s="10" t="str">
        <f>DATA!H150</f>
        <v>Electricity Infrastructure Development Program</v>
      </c>
      <c r="G19" s="10" t="str">
        <f>DATA!I150</f>
        <v>A</v>
      </c>
      <c r="H19" s="10" t="str">
        <f>DATA!J150</f>
        <v>Program Pembangunan Infrastruktur Ketenagalistrikan</v>
      </c>
      <c r="I19" s="10">
        <f>DATA!K150</f>
        <v>8</v>
      </c>
      <c r="J19" s="181"/>
      <c r="K19" s="54"/>
      <c r="L19" s="54"/>
      <c r="M19" s="52">
        <v>8</v>
      </c>
      <c r="N19" s="199" t="str">
        <f>DATA!L150</f>
        <v>Matenggeng Pumped Storage Hydro Electrical Power Plant (4x225MW)</v>
      </c>
      <c r="O19" s="1402">
        <f>DATA!T150</f>
        <v>500000000</v>
      </c>
      <c r="P19" s="187">
        <f>DATA!U150</f>
        <v>500000000</v>
      </c>
      <c r="Q19" s="1446">
        <f>DATA!V150</f>
        <v>220000000</v>
      </c>
      <c r="R19" s="1446">
        <v>0</v>
      </c>
      <c r="S19" s="1447">
        <f t="shared" si="0"/>
        <v>720000000</v>
      </c>
      <c r="T19" s="1448"/>
      <c r="U19" s="1449" t="str">
        <f>DATA!Y150</f>
        <v>Bank Dunia</v>
      </c>
      <c r="V19" s="77">
        <f>DATA!AA150</f>
        <v>500000000</v>
      </c>
      <c r="W19" s="77">
        <v>0</v>
      </c>
      <c r="X19" s="1450" t="str">
        <f>DATA!Y150</f>
        <v>Bank Dunia</v>
      </c>
      <c r="Y19" s="109">
        <v>500000000</v>
      </c>
      <c r="Z19" s="109" t="s">
        <v>62</v>
      </c>
      <c r="AA19" s="1484" t="s">
        <v>1173</v>
      </c>
      <c r="AB19" s="828"/>
      <c r="AC19" s="828"/>
      <c r="AD19" s="1485"/>
      <c r="AE19" s="1486"/>
      <c r="AF19" s="1486"/>
      <c r="AG19" s="1552" t="s">
        <v>1227</v>
      </c>
      <c r="AH19" s="1509">
        <f>DATA!AT150</f>
        <v>500000000</v>
      </c>
      <c r="AI19" s="109" t="str">
        <f>DATA!AU150</f>
        <v>Bank Dunia</v>
      </c>
      <c r="AJ19" s="216" t="str">
        <f>DATA!AW150</f>
        <v>-</v>
      </c>
      <c r="AK19" s="245">
        <f>DATA!AM150</f>
        <v>0</v>
      </c>
      <c r="AL19" s="1510" t="str">
        <f>DATA!AN150</f>
        <v>dalam proses
(penyusunan FS)</v>
      </c>
      <c r="AM19" s="1511" t="str">
        <f>DATA!AO150</f>
        <v>belum ada keterangan</v>
      </c>
      <c r="AN19" s="1512">
        <f>DATA!AQ150</f>
        <v>0</v>
      </c>
      <c r="AO19" s="1531" t="str">
        <f>DATA!AR150</f>
        <v>belum ada dokumen R/C</v>
      </c>
      <c r="AQ19" s="10">
        <f t="shared" si="1"/>
        <v>0</v>
      </c>
      <c r="AR19" s="10">
        <f t="shared" si="5"/>
        <v>0</v>
      </c>
      <c r="AS19" s="10">
        <f t="shared" si="6"/>
        <v>0</v>
      </c>
      <c r="AT19" s="10">
        <f t="shared" si="7"/>
        <v>0</v>
      </c>
    </row>
    <row r="20" spans="1:46" ht="24" customHeight="1">
      <c r="J20" s="181"/>
      <c r="K20" s="25">
        <v>7</v>
      </c>
      <c r="L20" s="108" t="s">
        <v>426</v>
      </c>
      <c r="M20" s="25"/>
      <c r="N20" s="1416"/>
      <c r="O20" s="213">
        <f>+O21</f>
        <v>0</v>
      </c>
      <c r="P20" s="194">
        <f>+P21</f>
        <v>61600000</v>
      </c>
      <c r="Q20" s="194">
        <f>+Q21</f>
        <v>106510000</v>
      </c>
      <c r="R20" s="194">
        <f>+R21</f>
        <v>7700000</v>
      </c>
      <c r="S20" s="242">
        <f t="shared" si="0"/>
        <v>175810000</v>
      </c>
      <c r="T20" s="1434" t="e">
        <f>P20+#REF!</f>
        <v>#REF!</v>
      </c>
      <c r="U20" s="1549"/>
      <c r="V20" s="80">
        <f>+V21</f>
        <v>0</v>
      </c>
      <c r="W20" s="80">
        <f>+W21</f>
        <v>61600000</v>
      </c>
      <c r="X20" s="241"/>
      <c r="Y20" s="80">
        <f>+Y21</f>
        <v>61600000</v>
      </c>
      <c r="Z20" s="80"/>
      <c r="AA20" s="1465"/>
      <c r="AB20" s="1466"/>
      <c r="AC20" s="1466"/>
      <c r="AD20" s="1467"/>
      <c r="AE20" s="1468"/>
      <c r="AF20" s="1468"/>
      <c r="AG20" s="1468"/>
      <c r="AH20" s="195">
        <f>+AH21</f>
        <v>61600000</v>
      </c>
      <c r="AI20" s="80" t="s">
        <v>21</v>
      </c>
      <c r="AJ20" s="213"/>
      <c r="AK20" s="1501"/>
      <c r="AL20" s="1502"/>
      <c r="AM20" s="168"/>
      <c r="AN20" s="1503"/>
      <c r="AO20" s="1529"/>
      <c r="AQ20" s="10">
        <f t="shared" si="1"/>
        <v>0</v>
      </c>
      <c r="AR20" s="10">
        <f t="shared" si="5"/>
        <v>0</v>
      </c>
      <c r="AS20" s="10">
        <f t="shared" si="6"/>
        <v>0</v>
      </c>
      <c r="AT20" s="10">
        <f t="shared" si="7"/>
        <v>0</v>
      </c>
    </row>
    <row r="21" spans="1:46" ht="23.25" customHeight="1">
      <c r="J21" s="181"/>
      <c r="K21" s="1693"/>
      <c r="L21" s="30" t="str">
        <f>DATA!I149</f>
        <v>A</v>
      </c>
      <c r="M21" s="3427" t="str">
        <f>DATA!J149</f>
        <v>Program Pembangunan Infrastruktur Ketenagalistrikan</v>
      </c>
      <c r="N21" s="3556"/>
      <c r="O21" s="214">
        <f>O22</f>
        <v>0</v>
      </c>
      <c r="P21" s="1559">
        <f>+P22</f>
        <v>61600000</v>
      </c>
      <c r="Q21" s="1567">
        <f>+Q22</f>
        <v>106510000</v>
      </c>
      <c r="R21" s="1567">
        <f>+R22</f>
        <v>7700000</v>
      </c>
      <c r="S21" s="244">
        <f t="shared" si="0"/>
        <v>175810000</v>
      </c>
      <c r="T21" s="1437"/>
      <c r="U21" s="1539"/>
      <c r="V21" s="81">
        <f>V22</f>
        <v>0</v>
      </c>
      <c r="W21" s="81">
        <f>W22</f>
        <v>61600000</v>
      </c>
      <c r="X21" s="243"/>
      <c r="Y21" s="81">
        <f>Y22</f>
        <v>61600000</v>
      </c>
      <c r="Z21" s="81"/>
      <c r="AA21" s="1469"/>
      <c r="AB21" s="1470"/>
      <c r="AC21" s="1470"/>
      <c r="AD21" s="1471"/>
      <c r="AE21" s="1472"/>
      <c r="AF21" s="1472"/>
      <c r="AG21" s="1472"/>
      <c r="AH21" s="198">
        <f>AH22</f>
        <v>61600000</v>
      </c>
      <c r="AI21" s="81" t="s">
        <v>21</v>
      </c>
      <c r="AJ21" s="214"/>
      <c r="AK21" s="1505"/>
      <c r="AL21" s="1506"/>
      <c r="AM21" s="169"/>
      <c r="AN21" s="1507"/>
      <c r="AO21" s="1530"/>
      <c r="AQ21" s="10">
        <f t="shared" si="1"/>
        <v>0</v>
      </c>
      <c r="AR21" s="10">
        <f t="shared" si="5"/>
        <v>0</v>
      </c>
      <c r="AS21" s="10">
        <f t="shared" si="6"/>
        <v>0</v>
      </c>
      <c r="AT21" s="10">
        <f t="shared" si="7"/>
        <v>0</v>
      </c>
    </row>
    <row r="22" spans="1:46" ht="60.75" customHeight="1">
      <c r="J22" s="181"/>
      <c r="K22" s="54"/>
      <c r="L22" s="54"/>
      <c r="M22" s="52">
        <v>9</v>
      </c>
      <c r="N22" s="199" t="str">
        <f>DATA!L151</f>
        <v>Development of Seulawah Agam Geothermal Working Area for 55 MW-Capacity Geothermal Power Plant in Aceh</v>
      </c>
      <c r="O22" s="1402">
        <f>DATA!T151</f>
        <v>0</v>
      </c>
      <c r="P22" s="187">
        <f>DATA!U151</f>
        <v>61600000</v>
      </c>
      <c r="Q22" s="187">
        <f>DATA!V151</f>
        <v>106510000</v>
      </c>
      <c r="R22" s="187">
        <f>DATA!W151</f>
        <v>7700000</v>
      </c>
      <c r="S22" s="1447">
        <f t="shared" si="0"/>
        <v>175810000</v>
      </c>
      <c r="T22" s="1448"/>
      <c r="U22" s="1449"/>
      <c r="V22" s="77">
        <v>0</v>
      </c>
      <c r="W22" s="77">
        <f>DATA!AA151</f>
        <v>61600000</v>
      </c>
      <c r="X22" s="1450" t="str">
        <f>DATA!Y151</f>
        <v>Belum Ada Indikasi</v>
      </c>
      <c r="Y22" s="109">
        <v>61600000</v>
      </c>
      <c r="Z22" s="109" t="s">
        <v>91</v>
      </c>
      <c r="AA22" s="1484" t="s">
        <v>879</v>
      </c>
      <c r="AB22" s="828"/>
      <c r="AC22" s="828"/>
      <c r="AD22" s="1485"/>
      <c r="AE22" s="1486"/>
      <c r="AF22" s="1486"/>
      <c r="AG22" s="3275" t="s">
        <v>1228</v>
      </c>
      <c r="AH22" s="1509">
        <f>DATA!AT151</f>
        <v>61600000</v>
      </c>
      <c r="AI22" s="109" t="str">
        <f>DATA!AU151</f>
        <v>Jerman (KfW)</v>
      </c>
      <c r="AJ22" s="216">
        <f>DATA!AW151</f>
        <v>0</v>
      </c>
      <c r="AK22" s="245">
        <f>DATA!AM151</f>
        <v>0</v>
      </c>
      <c r="AL22" s="1510" t="str">
        <f>DATA!AN151</f>
        <v>belum ada keterangan</v>
      </c>
      <c r="AM22" s="1511" t="str">
        <f>DATA!AO151</f>
        <v>belum ada keterangan</v>
      </c>
      <c r="AN22" s="1512">
        <f>DATA!AQ151</f>
        <v>0</v>
      </c>
      <c r="AO22" s="1531" t="str">
        <f>DATA!AR151</f>
        <v>belum ada dokumen R/C</v>
      </c>
      <c r="AQ22" s="10">
        <f t="shared" si="1"/>
        <v>0</v>
      </c>
      <c r="AR22" s="10">
        <f t="shared" si="5"/>
        <v>0</v>
      </c>
      <c r="AS22" s="10">
        <f t="shared" si="6"/>
        <v>0</v>
      </c>
      <c r="AT22" s="10">
        <f t="shared" si="7"/>
        <v>0</v>
      </c>
    </row>
    <row r="23" spans="1:46" s="3" customFormat="1" ht="30" customHeight="1">
      <c r="J23" s="3450" t="s">
        <v>477</v>
      </c>
      <c r="K23" s="3451"/>
      <c r="L23" s="3451"/>
      <c r="M23" s="3573"/>
      <c r="N23" s="3573"/>
      <c r="O23" s="282" t="e">
        <f>+O8+#REF!</f>
        <v>#REF!</v>
      </c>
      <c r="P23" s="278" t="e">
        <f>+P8+#REF!</f>
        <v>#REF!</v>
      </c>
      <c r="Q23" s="1460" t="e">
        <f>+Q8+#REF!</f>
        <v>#REF!</v>
      </c>
      <c r="R23" s="1460" t="e">
        <f>+R8+#REF!</f>
        <v>#REF!</v>
      </c>
      <c r="S23" s="288" t="e">
        <f t="shared" si="0"/>
        <v>#REF!</v>
      </c>
      <c r="T23" s="1461"/>
      <c r="U23" s="279"/>
      <c r="V23" s="280" t="e">
        <f>+V8+#REF!</f>
        <v>#REF!</v>
      </c>
      <c r="W23" s="280" t="e">
        <f>+W8+#REF!</f>
        <v>#REF!</v>
      </c>
      <c r="X23" s="287"/>
      <c r="Y23" s="280">
        <f>Y8</f>
        <v>4332600000</v>
      </c>
      <c r="Z23" s="280"/>
      <c r="AA23" s="280"/>
      <c r="AB23" s="1490"/>
      <c r="AC23" s="1490"/>
      <c r="AD23" s="1490"/>
      <c r="AE23" s="1490"/>
      <c r="AF23" s="1490"/>
      <c r="AG23" s="1554"/>
      <c r="AH23" s="279" t="e">
        <f>+AH8+#REF!</f>
        <v>#REF!</v>
      </c>
      <c r="AI23" s="280" t="s">
        <v>21</v>
      </c>
      <c r="AJ23" s="280" t="s">
        <v>21</v>
      </c>
      <c r="AK23" s="1523"/>
      <c r="AL23" s="1524"/>
      <c r="AM23" s="1525"/>
      <c r="AN23" s="1526"/>
      <c r="AO23" s="1534"/>
      <c r="AP23" s="12"/>
      <c r="AQ23" s="1535">
        <f>SUM(AQ9:AQ22)</f>
        <v>0</v>
      </c>
      <c r="AR23" s="1535">
        <f>SUM(AR9:AR22)</f>
        <v>3086000000</v>
      </c>
      <c r="AS23" s="1535">
        <f>SUM(AS9:AS22)</f>
        <v>280000000</v>
      </c>
      <c r="AT23" s="1535">
        <f>SUM(AT9:AT22)</f>
        <v>0</v>
      </c>
    </row>
    <row r="24" spans="1:46" s="12" customFormat="1">
      <c r="A24" s="10"/>
      <c r="B24" s="10"/>
      <c r="C24" s="10"/>
      <c r="D24" s="10"/>
      <c r="E24" s="10"/>
      <c r="F24" s="10"/>
      <c r="G24" s="10"/>
      <c r="H24" s="10"/>
      <c r="I24" s="10"/>
      <c r="J24" s="11"/>
      <c r="K24" s="10"/>
      <c r="L24" s="10"/>
      <c r="M24" s="1425"/>
      <c r="N24" s="1426"/>
      <c r="O24" s="13"/>
      <c r="P24" s="13"/>
      <c r="Q24" s="1395"/>
      <c r="R24" s="1395"/>
      <c r="S24" s="13"/>
      <c r="T24" s="13"/>
      <c r="U24" s="14"/>
      <c r="V24" s="13"/>
      <c r="W24" s="13"/>
      <c r="X24" s="13"/>
      <c r="Y24" s="13"/>
      <c r="Z24" s="13"/>
      <c r="AA24" s="13"/>
      <c r="AB24" s="13"/>
      <c r="AC24" s="13"/>
      <c r="AD24" s="13"/>
      <c r="AE24" s="13"/>
      <c r="AF24" s="13"/>
      <c r="AG24" s="13"/>
      <c r="AK24" s="14"/>
      <c r="AL24" s="14"/>
      <c r="AM24" s="14"/>
      <c r="AN24" s="14"/>
      <c r="AO24" s="175"/>
    </row>
    <row r="25" spans="1:46" s="12" customFormat="1">
      <c r="A25" s="10"/>
      <c r="B25" s="10"/>
      <c r="C25" s="10"/>
      <c r="D25" s="10"/>
      <c r="E25" s="10"/>
      <c r="F25" s="10"/>
      <c r="G25" s="10"/>
      <c r="H25" s="10"/>
      <c r="I25" s="10"/>
      <c r="J25" s="11"/>
      <c r="K25" s="10" t="s">
        <v>1111</v>
      </c>
      <c r="L25" s="10"/>
      <c r="M25" s="10"/>
      <c r="O25" s="13"/>
      <c r="P25" s="13"/>
      <c r="Q25" s="1395"/>
      <c r="R25" s="1395"/>
      <c r="S25" s="13"/>
      <c r="T25" s="13"/>
      <c r="U25" s="14"/>
      <c r="V25" s="13"/>
      <c r="W25" s="13"/>
      <c r="X25" s="13"/>
      <c r="Y25" s="13"/>
      <c r="Z25" s="13"/>
      <c r="AA25" s="13"/>
      <c r="AB25" s="13"/>
      <c r="AC25" s="13"/>
      <c r="AD25" s="13"/>
      <c r="AE25" s="13"/>
      <c r="AF25" s="13"/>
      <c r="AG25" s="13"/>
      <c r="AH25" s="289"/>
      <c r="AK25" s="14"/>
      <c r="AL25" s="14"/>
      <c r="AM25" s="14"/>
      <c r="AN25" s="14"/>
      <c r="AO25" s="175"/>
      <c r="AP25" s="10"/>
    </row>
    <row r="28" spans="1:46">
      <c r="AH28" s="289"/>
    </row>
    <row r="29" spans="1:46">
      <c r="AP29" s="12"/>
    </row>
    <row r="30" spans="1:46" s="12" customFormat="1">
      <c r="A30" s="10"/>
      <c r="B30" s="10"/>
      <c r="C30" s="10"/>
      <c r="D30" s="10"/>
      <c r="E30" s="10"/>
      <c r="F30" s="10"/>
      <c r="G30" s="10"/>
      <c r="H30" s="10"/>
      <c r="I30" s="10"/>
      <c r="J30" s="11"/>
      <c r="K30" s="10"/>
      <c r="L30" s="10"/>
      <c r="M30" s="10"/>
      <c r="O30" s="13"/>
      <c r="P30" s="13"/>
      <c r="Q30" s="1395"/>
      <c r="R30" s="1395"/>
      <c r="S30" s="13"/>
      <c r="T30" s="13"/>
      <c r="U30" s="14"/>
      <c r="V30" s="13"/>
      <c r="W30" s="13"/>
      <c r="X30" s="13"/>
      <c r="Y30" s="13"/>
      <c r="Z30" s="13"/>
      <c r="AA30" s="13"/>
      <c r="AB30" s="13"/>
      <c r="AC30" s="13"/>
      <c r="AD30" s="13"/>
      <c r="AE30" s="13"/>
      <c r="AF30" s="13"/>
      <c r="AG30" s="13"/>
      <c r="AI30" s="289"/>
      <c r="AK30" s="14"/>
      <c r="AL30" s="14"/>
      <c r="AM30" s="14"/>
      <c r="AN30" s="14"/>
      <c r="AO30" s="175"/>
    </row>
    <row r="31" spans="1:46" s="12" customFormat="1">
      <c r="A31" s="10"/>
      <c r="B31" s="10"/>
      <c r="C31" s="10"/>
      <c r="D31" s="10"/>
      <c r="E31" s="10"/>
      <c r="F31" s="10"/>
      <c r="G31" s="10"/>
      <c r="H31" s="10"/>
      <c r="I31" s="10"/>
      <c r="J31" s="11"/>
      <c r="K31" s="10"/>
      <c r="L31" s="10"/>
      <c r="M31" s="10"/>
      <c r="O31" s="13"/>
      <c r="P31" s="13"/>
      <c r="Q31" s="1395"/>
      <c r="R31" s="1395"/>
      <c r="S31" s="13"/>
      <c r="T31" s="13"/>
      <c r="U31" s="14"/>
      <c r="V31" s="13"/>
      <c r="W31" s="13"/>
      <c r="X31" s="13"/>
      <c r="Y31" s="13"/>
      <c r="Z31" s="13"/>
      <c r="AA31" s="13"/>
      <c r="AB31" s="13"/>
      <c r="AC31" s="13"/>
      <c r="AD31" s="13"/>
      <c r="AE31" s="13"/>
      <c r="AF31" s="13"/>
      <c r="AG31" s="13"/>
      <c r="AH31" s="289"/>
      <c r="AK31" s="14"/>
      <c r="AL31" s="14"/>
      <c r="AM31" s="14"/>
      <c r="AN31" s="14"/>
      <c r="AO31" s="175"/>
      <c r="AP31" s="1536"/>
    </row>
    <row r="32" spans="1:46" s="12" customFormat="1">
      <c r="A32" s="10"/>
      <c r="B32" s="10"/>
      <c r="C32" s="10"/>
      <c r="D32" s="10"/>
      <c r="E32" s="10"/>
      <c r="F32" s="10"/>
      <c r="G32" s="10"/>
      <c r="H32" s="10"/>
      <c r="I32" s="10"/>
      <c r="J32" s="11"/>
      <c r="K32" s="10"/>
      <c r="L32" s="10"/>
      <c r="M32" s="10"/>
      <c r="O32" s="13"/>
      <c r="P32" s="13"/>
      <c r="Q32" s="1395"/>
      <c r="R32" s="1395"/>
      <c r="S32" s="13"/>
      <c r="T32" s="13"/>
      <c r="U32" s="14"/>
      <c r="V32" s="13"/>
      <c r="W32" s="13"/>
      <c r="X32" s="13"/>
      <c r="Y32" s="13"/>
      <c r="Z32" s="13"/>
      <c r="AA32" s="13"/>
      <c r="AB32" s="13"/>
      <c r="AC32" s="13"/>
      <c r="AD32" s="13"/>
      <c r="AE32" s="13"/>
      <c r="AF32" s="13"/>
      <c r="AG32" s="13"/>
      <c r="AK32" s="14"/>
      <c r="AL32" s="14"/>
      <c r="AM32" s="14"/>
      <c r="AN32" s="14"/>
      <c r="AO32" s="175"/>
      <c r="AP32" s="10"/>
    </row>
  </sheetData>
  <autoFilter ref="A7:AO23"/>
  <mergeCells count="22">
    <mergeCell ref="M10:N10"/>
    <mergeCell ref="M21:N21"/>
    <mergeCell ref="J23:N23"/>
    <mergeCell ref="O5:O6"/>
    <mergeCell ref="P5:P6"/>
    <mergeCell ref="J5:N6"/>
    <mergeCell ref="J1:AO1"/>
    <mergeCell ref="J2:AO2"/>
    <mergeCell ref="U4:AJ4"/>
    <mergeCell ref="AK4:AO4"/>
    <mergeCell ref="U5:X5"/>
    <mergeCell ref="AB5:AF5"/>
    <mergeCell ref="AH5:AJ5"/>
    <mergeCell ref="AK5:AO5"/>
    <mergeCell ref="Q5:Q6"/>
    <mergeCell ref="R5:R6"/>
    <mergeCell ref="S5:S6"/>
    <mergeCell ref="T5:T6"/>
    <mergeCell ref="Y5:Y6"/>
    <mergeCell ref="Z5:Z6"/>
    <mergeCell ref="AA5:AA6"/>
    <mergeCell ref="AG5:AG6"/>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pageSetUpPr fitToPage="1"/>
  </sheetPr>
  <dimension ref="A1:AT27"/>
  <sheetViews>
    <sheetView topLeftCell="J1" zoomScale="70" zoomScaleNormal="70" workbookViewId="0">
      <pane ySplit="7" topLeftCell="A8" activePane="bottomLeft" state="frozen"/>
      <selection pane="bottomLeft" activeCell="AA15" sqref="AA15"/>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0:46" s="1" customFormat="1" ht="18">
      <c r="J1" s="3356" t="s">
        <v>1336</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0: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0:46">
      <c r="Y3" s="13" t="e">
        <f>#REF!-21610980</f>
        <v>#REF!</v>
      </c>
    </row>
    <row r="4" spans="10: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0: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0: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0: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0:46" s="3" customFormat="1" ht="30" customHeight="1">
      <c r="J8" s="178" t="s">
        <v>960</v>
      </c>
      <c r="K8" s="112" t="str">
        <f>[5]DATA!D160</f>
        <v>NON-INFRASTRUKTUR</v>
      </c>
      <c r="L8" s="22"/>
      <c r="M8" s="22"/>
      <c r="N8" s="1404"/>
      <c r="O8" s="212" t="e">
        <f>+#REF!+#REF!+#REF!+#REF!+#REF!+#REF!+#REF!+#REF!+#REF!+#REF!+O9+#REF!+#REF!+#REF!</f>
        <v>#REF!</v>
      </c>
      <c r="P8" s="191" t="e">
        <f>+#REF!+#REF!+#REF!+#REF!+#REF!+#REF!+#REF!+#REF!+#REF!+#REF!+P9+#REF!+#REF!+#REF!</f>
        <v>#REF!</v>
      </c>
      <c r="Q8" s="191" t="e">
        <f>+#REF!+#REF!+#REF!+#REF!+#REF!+#REF!+#REF!+#REF!+#REF!+#REF!+Q9+#REF!+#REF!</f>
        <v>#REF!</v>
      </c>
      <c r="R8" s="191" t="e">
        <f>+#REF!+#REF!+#REF!+#REF!+#REF!+#REF!+#REF!+#REF!+#REF!+#REF!+R9+#REF!+#REF!</f>
        <v>#REF!</v>
      </c>
      <c r="S8" s="240" t="e">
        <f>+#REF!+#REF!+#REF!+#REF!+#REF!+#REF!+#REF!+#REF!+#REF!+#REF!+S9+#REF!+#REF!</f>
        <v>#REF!</v>
      </c>
      <c r="T8" s="1445"/>
      <c r="U8" s="192"/>
      <c r="V8" s="79" t="e">
        <f>+#REF!+#REF!+#REF!+#REF!+#REF!+#REF!+#REF!+#REF!+V9+#REF!+#REF!+#REF!+#REF!</f>
        <v>#REF!</v>
      </c>
      <c r="W8" s="79" t="e">
        <f>+#REF!+#REF!+#REF!+#REF!+#REF!+#REF!+#REF!+#REF!+W9+#REF!+#REF!+#REF!+#REF!</f>
        <v>#REF!</v>
      </c>
      <c r="X8" s="239" t="e">
        <f>+#REF!+#REF!+#REF!+#REF!+#REF!+#REF!+#REF!+#REF!+X9+#REF!+#REF!+#REF!+#REF!</f>
        <v>#REF!</v>
      </c>
      <c r="Y8" s="79">
        <f>+Y9</f>
        <v>290000000</v>
      </c>
      <c r="Z8" s="79"/>
      <c r="AA8" s="1464"/>
      <c r="AB8" s="1481"/>
      <c r="AC8" s="1482"/>
      <c r="AD8" s="1483"/>
      <c r="AE8" s="1483"/>
      <c r="AF8" s="1483"/>
      <c r="AG8" s="1515"/>
      <c r="AH8" s="192" t="e">
        <f>#REF!+#REF!+#REF!+#REF!+#REF!+#REF!+#REF!+#REF!+AH9+#REF!+#REF!+#REF!+#REF!</f>
        <v>#REF!</v>
      </c>
      <c r="AI8" s="79" t="s">
        <v>21</v>
      </c>
      <c r="AJ8" s="79" t="s">
        <v>21</v>
      </c>
      <c r="AK8" s="1496"/>
      <c r="AL8" s="1516"/>
      <c r="AM8" s="1517"/>
      <c r="AN8" s="1518"/>
      <c r="AO8" s="1532"/>
      <c r="AP8" s="4"/>
      <c r="AQ8" s="10">
        <f t="shared" ref="AQ8:AQ17" si="0">IF(Z8="RRT",Y8,0)</f>
        <v>0</v>
      </c>
      <c r="AR8" s="10">
        <f t="shared" ref="AR8:AR17" si="1">IF(Z8="JICA",Y8,0)</f>
        <v>0</v>
      </c>
      <c r="AS8" s="10">
        <f t="shared" ref="AS8:AS17" si="2">IF(Z8="Belum ada indikasi",Y8,0)</f>
        <v>0</v>
      </c>
      <c r="AT8" s="10">
        <f t="shared" ref="AT8:AT17" si="3">IF(Z8="Korea",Y8,0)</f>
        <v>0</v>
      </c>
    </row>
    <row r="9" spans="10:46" s="9" customFormat="1" ht="27.75" customHeight="1">
      <c r="J9" s="254"/>
      <c r="K9" s="25">
        <v>18</v>
      </c>
      <c r="L9" s="108" t="s">
        <v>1047</v>
      </c>
      <c r="M9" s="25"/>
      <c r="N9" s="1416"/>
      <c r="O9" s="213">
        <f>O10</f>
        <v>0</v>
      </c>
      <c r="P9" s="194">
        <f>P10</f>
        <v>290000000</v>
      </c>
      <c r="Q9" s="194">
        <f>Q10</f>
        <v>0</v>
      </c>
      <c r="R9" s="194">
        <f>R10</f>
        <v>0</v>
      </c>
      <c r="S9" s="242">
        <f t="shared" ref="S9:S16" si="4">P9+Q9+R9</f>
        <v>290000000</v>
      </c>
      <c r="T9" s="1434"/>
      <c r="U9" s="1435"/>
      <c r="V9" s="80">
        <f>V10</f>
        <v>0</v>
      </c>
      <c r="W9" s="80">
        <f>W10</f>
        <v>290000000</v>
      </c>
      <c r="X9" s="241"/>
      <c r="Y9" s="80">
        <f>Y10</f>
        <v>290000000</v>
      </c>
      <c r="Z9" s="80"/>
      <c r="AA9" s="1465"/>
      <c r="AB9" s="1466"/>
      <c r="AC9" s="1467"/>
      <c r="AD9" s="1468"/>
      <c r="AE9" s="1468"/>
      <c r="AF9" s="1468"/>
      <c r="AG9" s="1500"/>
      <c r="AH9" s="195">
        <f>AH10</f>
        <v>290000000</v>
      </c>
      <c r="AI9" s="80" t="s">
        <v>21</v>
      </c>
      <c r="AJ9" s="213"/>
      <c r="AK9" s="1501"/>
      <c r="AL9" s="1502"/>
      <c r="AM9" s="168"/>
      <c r="AN9" s="1503"/>
      <c r="AO9" s="1529"/>
      <c r="AQ9" s="10">
        <f t="shared" si="0"/>
        <v>0</v>
      </c>
      <c r="AR9" s="10">
        <f t="shared" si="1"/>
        <v>0</v>
      </c>
      <c r="AS9" s="10">
        <f t="shared" si="2"/>
        <v>0</v>
      </c>
      <c r="AT9" s="10">
        <f t="shared" si="3"/>
        <v>0</v>
      </c>
    </row>
    <row r="10" spans="10:46" s="9" customFormat="1" ht="25.5" customHeight="1">
      <c r="J10" s="254"/>
      <c r="K10" s="29"/>
      <c r="L10" s="30" t="s">
        <v>23</v>
      </c>
      <c r="M10" s="3427" t="s">
        <v>1049</v>
      </c>
      <c r="N10" s="3564"/>
      <c r="O10" s="214">
        <f>O11+O12+O14+O16</f>
        <v>0</v>
      </c>
      <c r="P10" s="197">
        <f>P11+P12+P14+P16</f>
        <v>290000000</v>
      </c>
      <c r="Q10" s="1436">
        <f>Q11+Q12+Q14+Q16</f>
        <v>0</v>
      </c>
      <c r="R10" s="1436">
        <f>R11+R12+R14+R16</f>
        <v>0</v>
      </c>
      <c r="S10" s="244">
        <f t="shared" si="4"/>
        <v>290000000</v>
      </c>
      <c r="T10" s="1437"/>
      <c r="U10" s="198"/>
      <c r="V10" s="81">
        <f>V11+V12+V14+V16</f>
        <v>0</v>
      </c>
      <c r="W10" s="81">
        <f>W11+W12+W14+W16</f>
        <v>290000000</v>
      </c>
      <c r="X10" s="243"/>
      <c r="Y10" s="81">
        <f>Y11+Y12+Y14+Y16+Y13+Y15+Y17</f>
        <v>290000000</v>
      </c>
      <c r="Z10" s="81"/>
      <c r="AA10" s="1469"/>
      <c r="AB10" s="1470"/>
      <c r="AC10" s="1471"/>
      <c r="AD10" s="1472"/>
      <c r="AE10" s="1472"/>
      <c r="AF10" s="1472"/>
      <c r="AG10" s="1504"/>
      <c r="AH10" s="198">
        <f>AH11+AH12+AH14+AH16</f>
        <v>290000000</v>
      </c>
      <c r="AI10" s="81" t="s">
        <v>21</v>
      </c>
      <c r="AJ10" s="214"/>
      <c r="AK10" s="1505"/>
      <c r="AL10" s="1506"/>
      <c r="AM10" s="169"/>
      <c r="AN10" s="1507"/>
      <c r="AO10" s="1530"/>
      <c r="AQ10" s="10">
        <f t="shared" si="0"/>
        <v>0</v>
      </c>
      <c r="AR10" s="10">
        <f t="shared" si="1"/>
        <v>0</v>
      </c>
      <c r="AS10" s="10">
        <f t="shared" si="2"/>
        <v>0</v>
      </c>
      <c r="AT10" s="10">
        <f t="shared" si="3"/>
        <v>0</v>
      </c>
    </row>
    <row r="11" spans="10:46" s="9" customFormat="1" ht="32.25" customHeight="1">
      <c r="J11" s="254"/>
      <c r="K11" s="1690"/>
      <c r="L11" s="35"/>
      <c r="M11" s="36">
        <v>1</v>
      </c>
      <c r="N11" s="1691" t="str">
        <f>[5]DATA!L202</f>
        <v>Upgrading Medical Equipments for Army Hospital of Gatot Subroto</v>
      </c>
      <c r="O11" s="1413">
        <f>[5]DATA!T202</f>
        <v>0</v>
      </c>
      <c r="P11" s="1414">
        <f>[5]DATA!U202</f>
        <v>150000000</v>
      </c>
      <c r="Q11" s="1414">
        <f>[5]DATA!V202</f>
        <v>0</v>
      </c>
      <c r="R11" s="1414">
        <f>[5]DATA!W202</f>
        <v>0</v>
      </c>
      <c r="S11" s="1447">
        <f t="shared" si="4"/>
        <v>150000000</v>
      </c>
      <c r="T11" s="1457"/>
      <c r="U11" s="1440"/>
      <c r="V11" s="1458">
        <v>0</v>
      </c>
      <c r="W11" s="77">
        <f>[5]DATA!AA202</f>
        <v>150000000</v>
      </c>
      <c r="X11" s="1450" t="str">
        <f>[5]DATA!Y202</f>
        <v>Belum Ada Indikasi</v>
      </c>
      <c r="Y11" s="109">
        <v>150000000</v>
      </c>
      <c r="Z11" s="618" t="s">
        <v>1051</v>
      </c>
      <c r="AA11" s="1477" t="s">
        <v>879</v>
      </c>
      <c r="AB11" s="1478"/>
      <c r="AC11" s="1479"/>
      <c r="AD11" s="1480"/>
      <c r="AE11" s="1480"/>
      <c r="AF11" s="1480"/>
      <c r="AG11" s="1508"/>
      <c r="AH11" s="1509">
        <f>[5]DATA!AT202</f>
        <v>150000000</v>
      </c>
      <c r="AI11" s="109" t="str">
        <f>[5]DATA!AU202</f>
        <v>Austria</v>
      </c>
      <c r="AJ11" s="1520" t="e">
        <f>[5]DATA!AW202</f>
        <v>#REF!</v>
      </c>
      <c r="AK11" s="245" t="e">
        <f>[5]DATA!AM202</f>
        <v>#REF!</v>
      </c>
      <c r="AL11" s="1512" t="str">
        <f>[5]DATA!AN202</f>
        <v>dalam proses
(penyusunan FS)</v>
      </c>
      <c r="AM11" s="1512" t="str">
        <f>[5]DATA!AO202</f>
        <v>belum ada keterangan</v>
      </c>
      <c r="AN11" s="1519" t="e">
        <f>[5]DATA!AQ202</f>
        <v>#REF!</v>
      </c>
      <c r="AO11" s="1531" t="str">
        <f>[5]DATA!AR202</f>
        <v>penyiapan dokumen R/C</v>
      </c>
      <c r="AQ11" s="10">
        <f t="shared" si="0"/>
        <v>0</v>
      </c>
      <c r="AR11" s="10">
        <f t="shared" si="1"/>
        <v>0</v>
      </c>
      <c r="AS11" s="10">
        <f t="shared" si="2"/>
        <v>0</v>
      </c>
      <c r="AT11" s="10">
        <f t="shared" si="3"/>
        <v>0</v>
      </c>
    </row>
    <row r="12" spans="10:46" s="9" customFormat="1" ht="30.75" customHeight="1">
      <c r="J12" s="254"/>
      <c r="K12" s="1690"/>
      <c r="L12" s="34"/>
      <c r="M12" s="36">
        <v>2</v>
      </c>
      <c r="N12" s="1691" t="str">
        <f>[5]DATA!L203</f>
        <v>Upgrading Medical Equipments for Army Hospitals</v>
      </c>
      <c r="O12" s="1413">
        <f>[5]DATA!T203</f>
        <v>0</v>
      </c>
      <c r="P12" s="1414">
        <f>[5]DATA!U203</f>
        <v>55000000</v>
      </c>
      <c r="Q12" s="1414">
        <f>[5]DATA!V203</f>
        <v>0</v>
      </c>
      <c r="R12" s="1414">
        <f>[5]DATA!W203</f>
        <v>0</v>
      </c>
      <c r="S12" s="1447">
        <f t="shared" si="4"/>
        <v>55000000</v>
      </c>
      <c r="T12" s="1457"/>
      <c r="U12" s="1440"/>
      <c r="V12" s="1458">
        <v>0</v>
      </c>
      <c r="W12" s="77">
        <f>[5]DATA!AA203</f>
        <v>55000000</v>
      </c>
      <c r="X12" s="1450" t="str">
        <f>[5]DATA!Y203</f>
        <v>Belum Ada Indikasi</v>
      </c>
      <c r="Y12" s="618">
        <v>30000000</v>
      </c>
      <c r="Z12" s="618" t="s">
        <v>1051</v>
      </c>
      <c r="AA12" s="1477" t="s">
        <v>1258</v>
      </c>
      <c r="AB12" s="1478"/>
      <c r="AC12" s="1479"/>
      <c r="AD12" s="1480"/>
      <c r="AE12" s="1480"/>
      <c r="AF12" s="1480"/>
      <c r="AG12" s="3253" t="s">
        <v>1259</v>
      </c>
      <c r="AH12" s="1509">
        <f>[5]DATA!AT203</f>
        <v>55000000</v>
      </c>
      <c r="AI12" s="109" t="str">
        <f>[5]DATA!AU203</f>
        <v>Austria</v>
      </c>
      <c r="AJ12" s="1520" t="e">
        <f>[5]DATA!AW203</f>
        <v>#REF!</v>
      </c>
      <c r="AK12" s="245" t="e">
        <f>[5]DATA!AM203</f>
        <v>#REF!</v>
      </c>
      <c r="AL12" s="1512" t="str">
        <f>[5]DATA!AN203</f>
        <v>dalam proses
(penyusunan FS)</v>
      </c>
      <c r="AM12" s="1512" t="str">
        <f>[5]DATA!AO203</f>
        <v>belum ada keterangan</v>
      </c>
      <c r="AN12" s="1519" t="e">
        <f>[5]DATA!AQ203</f>
        <v>#REF!</v>
      </c>
      <c r="AO12" s="1531" t="str">
        <f>[5]DATA!AR203</f>
        <v>penyiapan dokumen R/C</v>
      </c>
      <c r="AQ12" s="10">
        <f t="shared" si="0"/>
        <v>0</v>
      </c>
      <c r="AR12" s="10">
        <f t="shared" si="1"/>
        <v>0</v>
      </c>
      <c r="AS12" s="10">
        <f t="shared" si="2"/>
        <v>0</v>
      </c>
      <c r="AT12" s="10">
        <f t="shared" si="3"/>
        <v>0</v>
      </c>
    </row>
    <row r="13" spans="10:46" s="9" customFormat="1" ht="23.25" customHeight="1">
      <c r="J13" s="254"/>
      <c r="K13" s="1690"/>
      <c r="L13" s="34"/>
      <c r="M13" s="36"/>
      <c r="N13" s="1691"/>
      <c r="O13" s="1413"/>
      <c r="P13" s="1414"/>
      <c r="Q13" s="1414"/>
      <c r="R13" s="1414"/>
      <c r="S13" s="1447"/>
      <c r="T13" s="1457"/>
      <c r="U13" s="1440"/>
      <c r="V13" s="1458"/>
      <c r="W13" s="77"/>
      <c r="X13" s="1450"/>
      <c r="Y13" s="618">
        <f>55000000-30000000</f>
        <v>25000000</v>
      </c>
      <c r="Z13" s="618" t="s">
        <v>633</v>
      </c>
      <c r="AA13" s="1477" t="s">
        <v>879</v>
      </c>
      <c r="AB13" s="1478"/>
      <c r="AC13" s="1479"/>
      <c r="AD13" s="1480"/>
      <c r="AE13" s="1480"/>
      <c r="AF13" s="1480"/>
      <c r="AG13" s="1508"/>
      <c r="AH13" s="1509"/>
      <c r="AI13" s="109"/>
      <c r="AJ13" s="1520"/>
      <c r="AK13" s="245"/>
      <c r="AL13" s="1512"/>
      <c r="AM13" s="1512"/>
      <c r="AN13" s="1519"/>
      <c r="AO13" s="1531"/>
      <c r="AQ13" s="10">
        <f t="shared" si="0"/>
        <v>0</v>
      </c>
      <c r="AR13" s="10">
        <f t="shared" si="1"/>
        <v>0</v>
      </c>
      <c r="AS13" s="10">
        <f t="shared" si="2"/>
        <v>25000000</v>
      </c>
      <c r="AT13" s="10">
        <f t="shared" si="3"/>
        <v>0</v>
      </c>
    </row>
    <row r="14" spans="10:46" s="9" customFormat="1" ht="20.25" customHeight="1">
      <c r="J14" s="254"/>
      <c r="K14" s="1690"/>
      <c r="L14" s="34"/>
      <c r="M14" s="36">
        <v>3</v>
      </c>
      <c r="N14" s="1691" t="str">
        <f>[5]DATA!L204</f>
        <v>Upgrading Medical Equipments for Naval Hospitals</v>
      </c>
      <c r="O14" s="1413">
        <f>[5]DATA!T204</f>
        <v>0</v>
      </c>
      <c r="P14" s="1414">
        <f>[5]DATA!U204</f>
        <v>45000000</v>
      </c>
      <c r="Q14" s="1414">
        <f>[5]DATA!V204</f>
        <v>0</v>
      </c>
      <c r="R14" s="1414">
        <f>[5]DATA!W204</f>
        <v>0</v>
      </c>
      <c r="S14" s="1447">
        <f t="shared" si="4"/>
        <v>45000000</v>
      </c>
      <c r="T14" s="1457"/>
      <c r="U14" s="1440"/>
      <c r="V14" s="1458">
        <v>0</v>
      </c>
      <c r="W14" s="77">
        <f>[5]DATA!AA204</f>
        <v>45000000</v>
      </c>
      <c r="X14" s="1450" t="str">
        <f>[5]DATA!Y204</f>
        <v>Belum Ada Indikasi</v>
      </c>
      <c r="Y14" s="618">
        <v>15000000</v>
      </c>
      <c r="Z14" s="618" t="s">
        <v>1051</v>
      </c>
      <c r="AA14" s="1477" t="s">
        <v>1260</v>
      </c>
      <c r="AB14" s="1478"/>
      <c r="AC14" s="1479"/>
      <c r="AD14" s="1480"/>
      <c r="AE14" s="1480"/>
      <c r="AF14" s="1480"/>
      <c r="AG14" s="3253" t="s">
        <v>1261</v>
      </c>
      <c r="AH14" s="1509">
        <f>[5]DATA!AT204</f>
        <v>45000000</v>
      </c>
      <c r="AI14" s="109" t="str">
        <f>[5]DATA!AU204</f>
        <v>Austria</v>
      </c>
      <c r="AJ14" s="1520" t="e">
        <f>[5]DATA!AW204</f>
        <v>#REF!</v>
      </c>
      <c r="AK14" s="245" t="e">
        <f>[5]DATA!AM204</f>
        <v>#REF!</v>
      </c>
      <c r="AL14" s="1512" t="str">
        <f>[5]DATA!AN204</f>
        <v>dalam proses
(penyusunan FS)</v>
      </c>
      <c r="AM14" s="1512" t="str">
        <f>[5]DATA!AO204</f>
        <v>belum ada keterangan</v>
      </c>
      <c r="AN14" s="1519" t="e">
        <f>[5]DATA!AQ204</f>
        <v>#REF!</v>
      </c>
      <c r="AO14" s="1531" t="str">
        <f>[5]DATA!AR204</f>
        <v>penyiapan dokumen R/C</v>
      </c>
      <c r="AQ14" s="10">
        <f t="shared" si="0"/>
        <v>0</v>
      </c>
      <c r="AR14" s="10">
        <f t="shared" si="1"/>
        <v>0</v>
      </c>
      <c r="AS14" s="10">
        <f t="shared" si="2"/>
        <v>0</v>
      </c>
      <c r="AT14" s="10">
        <f t="shared" si="3"/>
        <v>0</v>
      </c>
    </row>
    <row r="15" spans="10:46" s="9" customFormat="1" ht="20.25" customHeight="1">
      <c r="J15" s="254"/>
      <c r="K15" s="1690"/>
      <c r="L15" s="34"/>
      <c r="M15" s="36"/>
      <c r="N15" s="1691"/>
      <c r="O15" s="1413"/>
      <c r="P15" s="1414"/>
      <c r="Q15" s="1414"/>
      <c r="R15" s="1414"/>
      <c r="S15" s="1447"/>
      <c r="T15" s="1457"/>
      <c r="U15" s="1440"/>
      <c r="V15" s="1458"/>
      <c r="W15" s="77"/>
      <c r="X15" s="1450"/>
      <c r="Y15" s="618">
        <f>45000000-15000000</f>
        <v>30000000</v>
      </c>
      <c r="Z15" s="618" t="s">
        <v>633</v>
      </c>
      <c r="AA15" s="1477" t="s">
        <v>879</v>
      </c>
      <c r="AB15" s="1478"/>
      <c r="AC15" s="1479"/>
      <c r="AD15" s="1480"/>
      <c r="AE15" s="1480"/>
      <c r="AF15" s="1480"/>
      <c r="AG15" s="1508"/>
      <c r="AH15" s="1509"/>
      <c r="AI15" s="109"/>
      <c r="AJ15" s="1520"/>
      <c r="AK15" s="245"/>
      <c r="AL15" s="1512"/>
      <c r="AM15" s="1512"/>
      <c r="AN15" s="1519"/>
      <c r="AO15" s="1531"/>
      <c r="AQ15" s="10">
        <f t="shared" si="0"/>
        <v>0</v>
      </c>
      <c r="AR15" s="10">
        <f t="shared" si="1"/>
        <v>0</v>
      </c>
      <c r="AS15" s="10">
        <f t="shared" si="2"/>
        <v>30000000</v>
      </c>
      <c r="AT15" s="10">
        <f t="shared" si="3"/>
        <v>0</v>
      </c>
    </row>
    <row r="16" spans="10:46" s="9" customFormat="1" ht="21.75" customHeight="1">
      <c r="J16" s="254"/>
      <c r="K16" s="1690"/>
      <c r="L16" s="54"/>
      <c r="M16" s="36">
        <v>4</v>
      </c>
      <c r="N16" s="1691" t="str">
        <f>[5]DATA!L205</f>
        <v>Upgrading Medical Equipments for Air Force Hospitals</v>
      </c>
      <c r="O16" s="1413">
        <f>[5]DATA!T205</f>
        <v>0</v>
      </c>
      <c r="P16" s="1414">
        <f>[5]DATA!U205</f>
        <v>40000000</v>
      </c>
      <c r="Q16" s="1414">
        <f>[5]DATA!V205</f>
        <v>0</v>
      </c>
      <c r="R16" s="1414">
        <f>[5]DATA!W205</f>
        <v>0</v>
      </c>
      <c r="S16" s="1447">
        <f t="shared" si="4"/>
        <v>40000000</v>
      </c>
      <c r="T16" s="1457"/>
      <c r="U16" s="1440"/>
      <c r="V16" s="1458">
        <v>0</v>
      </c>
      <c r="W16" s="77">
        <f>[5]DATA!AA205</f>
        <v>40000000</v>
      </c>
      <c r="X16" s="1450" t="str">
        <f>[5]DATA!Y205</f>
        <v>Belum Ada Indikasi</v>
      </c>
      <c r="Y16" s="618">
        <v>15000000</v>
      </c>
      <c r="Z16" s="618" t="s">
        <v>1051</v>
      </c>
      <c r="AA16" s="1477" t="s">
        <v>1260</v>
      </c>
      <c r="AB16" s="1478"/>
      <c r="AC16" s="1479"/>
      <c r="AD16" s="1480"/>
      <c r="AE16" s="1480"/>
      <c r="AF16" s="1480"/>
      <c r="AG16" s="3253" t="s">
        <v>1262</v>
      </c>
      <c r="AH16" s="1509">
        <f>[5]DATA!AT205</f>
        <v>40000000</v>
      </c>
      <c r="AI16" s="109" t="str">
        <f>[5]DATA!AU205</f>
        <v>Austria</v>
      </c>
      <c r="AJ16" s="1520" t="e">
        <f>[5]DATA!AW205</f>
        <v>#REF!</v>
      </c>
      <c r="AK16" s="245" t="e">
        <f>[5]DATA!AM205</f>
        <v>#REF!</v>
      </c>
      <c r="AL16" s="1512" t="str">
        <f>[5]DATA!AN205</f>
        <v>dalam proses
(penyusunan FS)</v>
      </c>
      <c r="AM16" s="1512" t="str">
        <f>[5]DATA!AO205</f>
        <v>belum ada keterangan</v>
      </c>
      <c r="AN16" s="1519" t="e">
        <f>[5]DATA!AQ205</f>
        <v>#REF!</v>
      </c>
      <c r="AO16" s="1531" t="str">
        <f>[5]DATA!AR205</f>
        <v>penyiapan dokumen R/C</v>
      </c>
      <c r="AP16" s="4"/>
      <c r="AQ16" s="10">
        <f t="shared" si="0"/>
        <v>0</v>
      </c>
      <c r="AR16" s="10">
        <f t="shared" si="1"/>
        <v>0</v>
      </c>
      <c r="AS16" s="10">
        <f t="shared" si="2"/>
        <v>0</v>
      </c>
      <c r="AT16" s="10">
        <f t="shared" si="3"/>
        <v>0</v>
      </c>
    </row>
    <row r="17" spans="1:46" s="9" customFormat="1" ht="21.75" customHeight="1">
      <c r="J17" s="254"/>
      <c r="K17" s="1690"/>
      <c r="L17" s="54"/>
      <c r="M17" s="36"/>
      <c r="N17" s="1691"/>
      <c r="O17" s="1413"/>
      <c r="P17" s="1414"/>
      <c r="Q17" s="1414"/>
      <c r="R17" s="1414"/>
      <c r="S17" s="1447"/>
      <c r="T17" s="1457"/>
      <c r="U17" s="1440"/>
      <c r="V17" s="1458"/>
      <c r="W17" s="77"/>
      <c r="X17" s="1450"/>
      <c r="Y17" s="618">
        <f>40000000-15000000</f>
        <v>25000000</v>
      </c>
      <c r="Z17" s="618" t="s">
        <v>633</v>
      </c>
      <c r="AA17" s="1477" t="s">
        <v>879</v>
      </c>
      <c r="AB17" s="1478"/>
      <c r="AC17" s="1479"/>
      <c r="AD17" s="1480"/>
      <c r="AE17" s="1480"/>
      <c r="AF17" s="1480"/>
      <c r="AG17" s="1508"/>
      <c r="AH17" s="1509"/>
      <c r="AI17" s="109"/>
      <c r="AJ17" s="1520"/>
      <c r="AK17" s="245"/>
      <c r="AL17" s="1512"/>
      <c r="AM17" s="1512"/>
      <c r="AN17" s="1519"/>
      <c r="AO17" s="1531"/>
      <c r="AP17" s="4"/>
      <c r="AQ17" s="10">
        <f t="shared" si="0"/>
        <v>0</v>
      </c>
      <c r="AR17" s="10">
        <f t="shared" si="1"/>
        <v>0</v>
      </c>
      <c r="AS17" s="10">
        <f t="shared" si="2"/>
        <v>25000000</v>
      </c>
      <c r="AT17" s="10">
        <f t="shared" si="3"/>
        <v>0</v>
      </c>
    </row>
    <row r="18" spans="1:46" s="3" customFormat="1" ht="30" customHeight="1">
      <c r="J18" s="3450" t="s">
        <v>477</v>
      </c>
      <c r="K18" s="3451"/>
      <c r="L18" s="3451"/>
      <c r="M18" s="3573"/>
      <c r="N18" s="3573"/>
      <c r="O18" s="282" t="e">
        <f>+#REF!+O8</f>
        <v>#REF!</v>
      </c>
      <c r="P18" s="278" t="e">
        <f>+#REF!+P8</f>
        <v>#REF!</v>
      </c>
      <c r="Q18" s="1460" t="e">
        <f>+#REF!+Q8</f>
        <v>#REF!</v>
      </c>
      <c r="R18" s="1460" t="e">
        <f>+#REF!+R8</f>
        <v>#REF!</v>
      </c>
      <c r="S18" s="288" t="e">
        <f>P18+Q18+R18</f>
        <v>#REF!</v>
      </c>
      <c r="T18" s="1461"/>
      <c r="U18" s="279"/>
      <c r="V18" s="280" t="e">
        <f>+#REF!+V8</f>
        <v>#REF!</v>
      </c>
      <c r="W18" s="280" t="e">
        <f>+#REF!+W8</f>
        <v>#REF!</v>
      </c>
      <c r="X18" s="287"/>
      <c r="Y18" s="280">
        <f>+Y8</f>
        <v>290000000</v>
      </c>
      <c r="Z18" s="280"/>
      <c r="AA18" s="280"/>
      <c r="AB18" s="1490"/>
      <c r="AC18" s="1490"/>
      <c r="AD18" s="1490"/>
      <c r="AE18" s="1490"/>
      <c r="AF18" s="1490"/>
      <c r="AG18" s="285"/>
      <c r="AH18" s="279" t="e">
        <f>+#REF!+AH8</f>
        <v>#REF!</v>
      </c>
      <c r="AI18" s="280" t="s">
        <v>21</v>
      </c>
      <c r="AJ18" s="280" t="s">
        <v>21</v>
      </c>
      <c r="AK18" s="1523"/>
      <c r="AL18" s="1524"/>
      <c r="AM18" s="1525"/>
      <c r="AN18" s="1526"/>
      <c r="AO18" s="1534"/>
      <c r="AP18" s="12"/>
      <c r="AQ18" s="1535">
        <f>SUM(AQ8:AQ17)</f>
        <v>0</v>
      </c>
      <c r="AR18" s="1535">
        <f>SUM(AR8:AR17)</f>
        <v>0</v>
      </c>
      <c r="AS18" s="1535">
        <f>SUM(AS8:AS17)</f>
        <v>80000000</v>
      </c>
      <c r="AT18" s="1535">
        <f>SUM(AT8:AT17)</f>
        <v>0</v>
      </c>
    </row>
    <row r="19" spans="1:46" s="12" customFormat="1">
      <c r="A19" s="10"/>
      <c r="B19" s="10"/>
      <c r="C19" s="10"/>
      <c r="D19" s="10"/>
      <c r="E19" s="10"/>
      <c r="F19" s="10"/>
      <c r="G19" s="10"/>
      <c r="H19" s="10"/>
      <c r="I19" s="10"/>
      <c r="J19" s="11"/>
      <c r="K19" s="10"/>
      <c r="L19" s="10"/>
      <c r="M19" s="1425"/>
      <c r="N19" s="1426"/>
      <c r="O19" s="13"/>
      <c r="P19" s="13"/>
      <c r="Q19" s="1395"/>
      <c r="R19" s="1395"/>
      <c r="S19" s="13"/>
      <c r="T19" s="13"/>
      <c r="U19" s="14"/>
      <c r="V19" s="13"/>
      <c r="W19" s="13"/>
      <c r="X19" s="13"/>
      <c r="Y19" s="13"/>
      <c r="Z19" s="13"/>
      <c r="AA19" s="13"/>
      <c r="AB19" s="13"/>
      <c r="AC19" s="13"/>
      <c r="AD19" s="13"/>
      <c r="AE19" s="13"/>
      <c r="AF19" s="13"/>
      <c r="AG19" s="13"/>
      <c r="AK19" s="14"/>
      <c r="AL19" s="14"/>
      <c r="AM19" s="14"/>
      <c r="AN19" s="14"/>
      <c r="AO19" s="175"/>
    </row>
    <row r="20" spans="1:46" s="12" customFormat="1">
      <c r="A20" s="10"/>
      <c r="B20" s="10"/>
      <c r="C20" s="10"/>
      <c r="D20" s="10"/>
      <c r="E20" s="10"/>
      <c r="F20" s="10"/>
      <c r="G20" s="10"/>
      <c r="H20" s="10"/>
      <c r="I20" s="10"/>
      <c r="J20" s="11"/>
      <c r="K20" s="10" t="s">
        <v>1111</v>
      </c>
      <c r="L20" s="10"/>
      <c r="M20" s="10"/>
      <c r="O20" s="13"/>
      <c r="P20" s="13"/>
      <c r="Q20" s="1395"/>
      <c r="R20" s="1395"/>
      <c r="S20" s="13"/>
      <c r="T20" s="13"/>
      <c r="U20" s="14"/>
      <c r="V20" s="13" t="e">
        <f>V18+W18</f>
        <v>#REF!</v>
      </c>
      <c r="W20" s="13"/>
      <c r="X20" s="13"/>
      <c r="Y20" s="13"/>
      <c r="Z20" s="13"/>
      <c r="AA20" s="13"/>
      <c r="AB20" s="13"/>
      <c r="AC20" s="13"/>
      <c r="AD20" s="13"/>
      <c r="AE20" s="13"/>
      <c r="AF20" s="13"/>
      <c r="AG20" s="13"/>
      <c r="AH20" s="289"/>
      <c r="AK20" s="14"/>
      <c r="AL20" s="14"/>
      <c r="AM20" s="14"/>
      <c r="AN20" s="14"/>
      <c r="AO20" s="175"/>
      <c r="AP20" s="10"/>
    </row>
    <row r="21" spans="1:46">
      <c r="V21" s="13" t="e">
        <f>V20-AH18</f>
        <v>#REF!</v>
      </c>
      <c r="Y21" s="13">
        <f>Y18+5809063500</f>
        <v>6099063500</v>
      </c>
      <c r="Z21" s="13" t="e">
        <f>Y18-#REF!</f>
        <v>#REF!</v>
      </c>
    </row>
    <row r="23" spans="1:46">
      <c r="AH23" s="289"/>
    </row>
    <row r="24" spans="1:46">
      <c r="Y24" s="13" t="e">
        <f>#REF!+Y16+Y14+Y12+#REF!+#REF!+#REF!+#REF!+#REF!+#REF!+#REF!+#REF!+#REF!+#REF!+#REF!+#REF!+#REF!+#REF!+#REF!+#REF!+#REF!+#REF!</f>
        <v>#REF!</v>
      </c>
      <c r="AP24" s="12"/>
    </row>
    <row r="25" spans="1:46" s="12" customFormat="1">
      <c r="A25" s="10"/>
      <c r="B25" s="10"/>
      <c r="C25" s="10"/>
      <c r="D25" s="10"/>
      <c r="E25" s="10"/>
      <c r="F25" s="10"/>
      <c r="G25" s="10"/>
      <c r="H25" s="10"/>
      <c r="I25" s="10"/>
      <c r="J25" s="11"/>
      <c r="K25" s="10"/>
      <c r="L25" s="10"/>
      <c r="M25" s="10"/>
      <c r="O25" s="13"/>
      <c r="P25" s="13"/>
      <c r="Q25" s="1395"/>
      <c r="R25" s="1395"/>
      <c r="S25" s="13"/>
      <c r="T25" s="13"/>
      <c r="U25" s="14"/>
      <c r="V25" s="13"/>
      <c r="W25" s="13"/>
      <c r="X25" s="13"/>
      <c r="Y25" s="13"/>
      <c r="Z25" s="13"/>
      <c r="AA25" s="13"/>
      <c r="AB25" s="13"/>
      <c r="AC25" s="13"/>
      <c r="AD25" s="13"/>
      <c r="AE25" s="13"/>
      <c r="AF25" s="13"/>
      <c r="AG25" s="13"/>
      <c r="AI25" s="289"/>
      <c r="AK25" s="14"/>
      <c r="AL25" s="14"/>
      <c r="AM25" s="14"/>
      <c r="AN25" s="14"/>
      <c r="AO25" s="175"/>
    </row>
    <row r="26" spans="1:46" s="12" customFormat="1">
      <c r="A26" s="10"/>
      <c r="B26" s="10"/>
      <c r="C26" s="10"/>
      <c r="D26" s="10"/>
      <c r="E26" s="10"/>
      <c r="F26" s="10"/>
      <c r="G26" s="10"/>
      <c r="H26" s="10"/>
      <c r="I26" s="10"/>
      <c r="J26" s="11"/>
      <c r="K26" s="10"/>
      <c r="L26" s="10"/>
      <c r="M26" s="10"/>
      <c r="O26" s="13"/>
      <c r="P26" s="13"/>
      <c r="Q26" s="1395"/>
      <c r="R26" s="1395"/>
      <c r="S26" s="13"/>
      <c r="T26" s="13"/>
      <c r="U26" s="14"/>
      <c r="V26" s="13"/>
      <c r="W26" s="13"/>
      <c r="X26" s="13"/>
      <c r="Y26" s="13" t="e">
        <f>#REF!+Y16+Y14+Y12+#REF!+#REF!+#REF!+#REF!+#REF!+#REF!+#REF!+#REF!+#REF!+#REF!+#REF!+#REF!+#REF!+#REF!+#REF!+#REF!+#REF!+#REF!+#REF!+#REF!+#REF!+#REF!+#REF!+71100000</f>
        <v>#REF!</v>
      </c>
      <c r="Z26" s="13"/>
      <c r="AA26" s="13"/>
      <c r="AB26" s="13"/>
      <c r="AC26" s="13"/>
      <c r="AD26" s="13"/>
      <c r="AE26" s="13"/>
      <c r="AF26" s="13"/>
      <c r="AG26" s="13"/>
      <c r="AH26" s="289"/>
      <c r="AK26" s="14"/>
      <c r="AL26" s="14"/>
      <c r="AM26" s="14"/>
      <c r="AN26" s="14"/>
      <c r="AO26" s="175"/>
      <c r="AP26" s="1536"/>
    </row>
    <row r="27" spans="1:46" s="12" customFormat="1">
      <c r="A27" s="10"/>
      <c r="B27" s="10"/>
      <c r="C27" s="10"/>
      <c r="D27" s="10"/>
      <c r="E27" s="10"/>
      <c r="F27" s="10"/>
      <c r="G27" s="10"/>
      <c r="H27" s="10"/>
      <c r="I27" s="10"/>
      <c r="J27" s="11"/>
      <c r="K27" s="10"/>
      <c r="L27" s="10"/>
      <c r="M27" s="10"/>
      <c r="O27" s="13"/>
      <c r="P27" s="13"/>
      <c r="Q27" s="1395"/>
      <c r="R27" s="1395"/>
      <c r="S27" s="13"/>
      <c r="T27" s="13"/>
      <c r="U27" s="14"/>
      <c r="V27" s="13"/>
      <c r="W27" s="13"/>
      <c r="X27" s="13"/>
      <c r="Y27" s="13"/>
      <c r="Z27" s="13"/>
      <c r="AA27" s="13"/>
      <c r="AB27" s="13"/>
      <c r="AC27" s="13"/>
      <c r="AD27" s="13"/>
      <c r="AE27" s="13"/>
      <c r="AF27" s="13"/>
      <c r="AG27" s="13"/>
      <c r="AK27" s="14"/>
      <c r="AL27" s="14"/>
      <c r="AM27" s="14"/>
      <c r="AN27" s="14"/>
      <c r="AO27" s="175"/>
      <c r="AP27" s="10"/>
    </row>
  </sheetData>
  <autoFilter ref="A7:AO18"/>
  <mergeCells count="21">
    <mergeCell ref="M10:N10"/>
    <mergeCell ref="J18:N18"/>
    <mergeCell ref="O5:O6"/>
    <mergeCell ref="P5:P6"/>
    <mergeCell ref="Q5:Q6"/>
    <mergeCell ref="J5:N6"/>
    <mergeCell ref="J1:AO1"/>
    <mergeCell ref="J2:AO2"/>
    <mergeCell ref="U4:AJ4"/>
    <mergeCell ref="AK4:AO4"/>
    <mergeCell ref="U5:X5"/>
    <mergeCell ref="AB5:AF5"/>
    <mergeCell ref="AH5:AJ5"/>
    <mergeCell ref="AK5:AO5"/>
    <mergeCell ref="R5:R6"/>
    <mergeCell ref="S5:S6"/>
    <mergeCell ref="T5:T6"/>
    <mergeCell ref="Y5:Y6"/>
    <mergeCell ref="Z5:Z6"/>
    <mergeCell ref="AA5:AA6"/>
    <mergeCell ref="AG5:AG6"/>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pageSetUpPr fitToPage="1"/>
  </sheetPr>
  <dimension ref="A1:AT59"/>
  <sheetViews>
    <sheetView topLeftCell="J1" zoomScale="70" zoomScaleNormal="70" workbookViewId="0">
      <pane ySplit="7" topLeftCell="A8" activePane="bottomLeft" state="frozen"/>
      <selection pane="bottomLeft" activeCell="N10" sqref="N10"/>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1337</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DATA!B2</f>
        <v>I</v>
      </c>
      <c r="K8" s="22" t="str">
        <f>DATA!D2</f>
        <v>INFRASTRUKTUR</v>
      </c>
      <c r="L8" s="22"/>
      <c r="M8" s="22"/>
      <c r="N8" s="1404"/>
      <c r="O8" s="212" t="e">
        <f>O9+O47+#REF!+#REF!+#REF!+#REF!+#REF!+#REF!+#REF!+#REF!</f>
        <v>#REF!</v>
      </c>
      <c r="P8" s="191" t="e">
        <f>P9+P47+#REF!+#REF!+#REF!+#REF!+#REF!+#REF!+#REF!+#REF!</f>
        <v>#REF!</v>
      </c>
      <c r="Q8" s="191" t="e">
        <f>+Q9+Q47+#REF!+#REF!+#REF!+#REF!+#REF!+#REF!+#REF!</f>
        <v>#REF!</v>
      </c>
      <c r="R8" s="191" t="e">
        <f>+R9+R47+#REF!+#REF!+#REF!+#REF!+#REF!+#REF!+#REF!</f>
        <v>#REF!</v>
      </c>
      <c r="S8" s="240" t="e">
        <f>+S9+S47+#REF!+#REF!+#REF!+#REF!+#REF!+#REF!+#REF!</f>
        <v>#REF!</v>
      </c>
      <c r="T8" s="1433"/>
      <c r="U8" s="192"/>
      <c r="V8" s="79" t="e">
        <f>+V9+V47+#REF!+#REF!+#REF!+#REF!+#REF!+#REF!+#REF!</f>
        <v>#REF!</v>
      </c>
      <c r="W8" s="79" t="e">
        <f>+W9+W47+#REF!+#REF!+#REF!+#REF!+#REF!+#REF!+#REF!</f>
        <v>#REF!</v>
      </c>
      <c r="X8" s="239" t="e">
        <f>+X9+X47+#REF!+#REF!+#REF!+#REF!</f>
        <v>#REF!</v>
      </c>
      <c r="Y8" s="79">
        <f>+Y9+Y47</f>
        <v>8331080000</v>
      </c>
      <c r="Z8" s="79"/>
      <c r="AA8" s="224"/>
      <c r="AB8" s="1464"/>
      <c r="AC8" s="1464"/>
      <c r="AD8" s="1464"/>
      <c r="AE8" s="1464"/>
      <c r="AF8" s="1464"/>
      <c r="AG8" s="1495"/>
      <c r="AH8" s="192" t="e">
        <f>+AH9+AH47+#REF!+#REF!+#REF!+#REF!+#REF!+#REF!+#REF!</f>
        <v>#REF!</v>
      </c>
      <c r="AI8" s="79" t="s">
        <v>21</v>
      </c>
      <c r="AJ8" s="212" t="e">
        <f>P8-AH8</f>
        <v>#REF!</v>
      </c>
      <c r="AK8" s="1496"/>
      <c r="AL8" s="1497"/>
      <c r="AM8" s="1498"/>
      <c r="AN8" s="1499"/>
      <c r="AO8" s="1528"/>
    </row>
    <row r="9" spans="1:46" s="4" customFormat="1" ht="24.95" customHeight="1">
      <c r="J9" s="179"/>
      <c r="K9" s="25">
        <f>DATA!E2</f>
        <v>1</v>
      </c>
      <c r="L9" s="26" t="str">
        <f>DATA!F2</f>
        <v>Kementerian Pekerjaan Umum dan Perumahan Rakyat</v>
      </c>
      <c r="M9" s="26"/>
      <c r="N9" s="1416"/>
      <c r="O9" s="213" t="e">
        <f>#REF!+#REF!+#REF!+O10+O23+O34+O37+O42+#REF!+#REF!+#REF!+#REF!+#REF!+#REF!+O45</f>
        <v>#REF!</v>
      </c>
      <c r="P9" s="194" t="e">
        <f>+#REF!+#REF!+#REF!+P10+P23+P34+P37+P42+#REF!+#REF!+#REF!+#REF!+#REF!+P45+#REF!</f>
        <v>#REF!</v>
      </c>
      <c r="Q9" s="194" t="e">
        <f>+#REF!+#REF!+#REF!+Q10+Q23+Q34+Q37+Q42+#REF!+#REF!+#REF!+#REF!+#REF!+Q45+#REF!</f>
        <v>#REF!</v>
      </c>
      <c r="R9" s="194" t="e">
        <f>+#REF!+#REF!+#REF!+R10+R23+R34+R37+R42+#REF!+#REF!+#REF!+#REF!+#REF!+R45+#REF!</f>
        <v>#REF!</v>
      </c>
      <c r="S9" s="242" t="e">
        <f>+#REF!+#REF!+#REF!+S10+S23+S34+S37+S42+#REF!+#REF!+#REF!+#REF!+#REF!+S45+#REF!</f>
        <v>#REF!</v>
      </c>
      <c r="T9" s="1538"/>
      <c r="U9" s="195"/>
      <c r="V9" s="80" t="e">
        <f>+#REF!+#REF!+#REF!+V10+V23+V34+V37+V42+#REF!+#REF!+#REF!+#REF!+#REF!+#REF!+V45</f>
        <v>#REF!</v>
      </c>
      <c r="W9" s="80" t="e">
        <f>+#REF!+#REF!+#REF!+W10+W23+W34+W37+W42+#REF!+#REF!+#REF!+#REF!+#REF!+#REF!+W45</f>
        <v>#REF!</v>
      </c>
      <c r="X9" s="241" t="e">
        <f>+#REF!+#REF!+#REF!+X10+X23+X34+X37+#REF!+#REF!+#REF!+#REF!+#REF!+X45</f>
        <v>#REF!</v>
      </c>
      <c r="Y9" s="80">
        <f>+Y10+Y23+Y34+Y37+Y42+Y45</f>
        <v>8131080000</v>
      </c>
      <c r="Z9" s="80"/>
      <c r="AA9" s="226"/>
      <c r="AB9" s="1465"/>
      <c r="AC9" s="1465"/>
      <c r="AD9" s="1465"/>
      <c r="AE9" s="1465"/>
      <c r="AF9" s="1465"/>
      <c r="AG9" s="1540"/>
      <c r="AH9" s="195" t="e">
        <f>+#REF!+#REF!+#REF!+AH10+AH23+AH34+AH37+AH42+#REF!+#REF!+#REF!+#REF!+#REF!+#REF!+AH45</f>
        <v>#REF!</v>
      </c>
      <c r="AI9" s="80" t="s">
        <v>21</v>
      </c>
      <c r="AJ9" s="213"/>
      <c r="AK9" s="1501"/>
      <c r="AL9" s="1541"/>
      <c r="AM9" s="1542"/>
      <c r="AN9" s="1543"/>
      <c r="AO9" s="1546"/>
    </row>
    <row r="10" spans="1:46" s="5" customFormat="1" ht="33.75" customHeight="1">
      <c r="J10" s="1417"/>
      <c r="K10" s="50"/>
      <c r="L10" s="30" t="str">
        <f>DATA!I24</f>
        <v>D</v>
      </c>
      <c r="M10" s="31" t="str">
        <f>DATA!J24</f>
        <v>Program Pembangunan Air Minum</v>
      </c>
      <c r="N10" s="1419"/>
      <c r="O10" s="214" t="e">
        <f>O11+O13+O14+O15+O17+O18+O19+O20+#REF!+O22+O16+#REF!</f>
        <v>#REF!</v>
      </c>
      <c r="P10" s="197" t="e">
        <f>P11+P13+P14+P15+P17+P18+P19+P20+#REF!+P22+P16+#REF!</f>
        <v>#REF!</v>
      </c>
      <c r="Q10" s="1436">
        <f>SUM(Q11:Q22)</f>
        <v>43634000</v>
      </c>
      <c r="R10" s="1436" t="e">
        <f>R11+R13+R14+R15+R17+R18+R19+R20+#REF!+R22+R16+#REF!</f>
        <v>#REF!</v>
      </c>
      <c r="S10" s="244" t="e">
        <f t="shared" ref="S10:S11" si="0">P10+Q10+R10</f>
        <v>#REF!</v>
      </c>
      <c r="T10" s="1437"/>
      <c r="U10" s="198"/>
      <c r="V10" s="81" t="e">
        <f>V11+V13+V14+V15+V16+V17+V18+V19+V20+#REF!+V22+#REF!</f>
        <v>#REF!</v>
      </c>
      <c r="W10" s="81" t="e">
        <f>W11+W13+W14+W15+W16+W17+W18+W19+W20+#REF!+W22+#REF!</f>
        <v>#REF!</v>
      </c>
      <c r="X10" s="243"/>
      <c r="Y10" s="81">
        <f>Y11+Y13+Y14+Y15+Y16+Y17+Y18+Y19+Y20+Y22</f>
        <v>796300000</v>
      </c>
      <c r="Z10" s="81"/>
      <c r="AA10" s="1469"/>
      <c r="AB10" s="1470"/>
      <c r="AC10" s="1471"/>
      <c r="AD10" s="1472"/>
      <c r="AE10" s="1472"/>
      <c r="AF10" s="1472"/>
      <c r="AG10" s="1504"/>
      <c r="AH10" s="198" t="e">
        <f>AH11+AH13+AH14+AH15+AH16+AH17+AH18+AH19+AH20+#REF!+AH22+#REF!</f>
        <v>#REF!</v>
      </c>
      <c r="AI10" s="81" t="s">
        <v>21</v>
      </c>
      <c r="AJ10" s="214"/>
      <c r="AK10" s="1505"/>
      <c r="AL10" s="1506"/>
      <c r="AM10" s="169"/>
      <c r="AN10" s="1507"/>
      <c r="AO10" s="1530"/>
      <c r="AQ10" s="10">
        <f t="shared" ref="AQ10:AQ44" si="1">IF(Z10="RRT",Y10,0)</f>
        <v>0</v>
      </c>
      <c r="AR10" s="10">
        <f t="shared" ref="AR10:AR44" si="2">IF(Z10="JICA",Y10,0)</f>
        <v>0</v>
      </c>
      <c r="AS10" s="10">
        <f t="shared" ref="AS10:AS44" si="3">IF(Z10="Belum ada indikasi",Y10,0)</f>
        <v>0</v>
      </c>
      <c r="AT10" s="10">
        <f t="shared" ref="AT10:AT44" si="4">IF(Z10="Korea",Y10,0)</f>
        <v>0</v>
      </c>
    </row>
    <row r="11" spans="1:46" ht="39.75" customHeight="1">
      <c r="A11" s="10">
        <f>DATA!A25</f>
        <v>22</v>
      </c>
      <c r="B11" s="10">
        <f>DATA!B25</f>
        <v>0</v>
      </c>
      <c r="C11" s="10" t="str">
        <f>DATA!D25</f>
        <v>INFRASTRUKTUR</v>
      </c>
      <c r="D11" s="10">
        <f>DATA!E25</f>
        <v>1</v>
      </c>
      <c r="E11" s="10" t="str">
        <f>DATA!F25</f>
        <v>Kementerian Pekerjaan Umum dan Perumahan Rakyat</v>
      </c>
      <c r="F11" s="10" t="str">
        <f>DATA!H25</f>
        <v>Drinking Water Development Program</v>
      </c>
      <c r="G11" s="10" t="str">
        <f>DATA!I25</f>
        <v>D</v>
      </c>
      <c r="H11" s="10" t="str">
        <f>DATA!J25</f>
        <v>Program Pembangunan Air Minum</v>
      </c>
      <c r="I11" s="10">
        <f>DATA!K25</f>
        <v>2</v>
      </c>
      <c r="J11" s="1418"/>
      <c r="K11" s="34"/>
      <c r="L11" s="34"/>
      <c r="M11" s="36">
        <v>1</v>
      </c>
      <c r="N11" s="199" t="str">
        <f>DATA!L25</f>
        <v>National Urban Water Supply</v>
      </c>
      <c r="O11" s="1402">
        <f>DATA!T25</f>
        <v>100000000</v>
      </c>
      <c r="P11" s="187">
        <f>DATA!U25</f>
        <v>100000000</v>
      </c>
      <c r="Q11" s="1446">
        <f>DATA!V25</f>
        <v>5000000</v>
      </c>
      <c r="R11" s="1446">
        <f>DATA!W25</f>
        <v>0</v>
      </c>
      <c r="S11" s="1447">
        <f t="shared" si="0"/>
        <v>105000000</v>
      </c>
      <c r="T11" s="1448"/>
      <c r="U11" s="1449" t="str">
        <f>DATA!Y25</f>
        <v>Bank Dunia</v>
      </c>
      <c r="V11" s="77">
        <f>DATA!AA25</f>
        <v>100000000</v>
      </c>
      <c r="W11" s="77">
        <v>0</v>
      </c>
      <c r="X11" s="1450" t="str">
        <f>DATA!Y25</f>
        <v>Bank Dunia</v>
      </c>
      <c r="Y11" s="109">
        <v>100000000</v>
      </c>
      <c r="Z11" s="109" t="s">
        <v>62</v>
      </c>
      <c r="AA11" s="3254" t="s">
        <v>1157</v>
      </c>
      <c r="AB11" s="1474"/>
      <c r="AC11" s="1475"/>
      <c r="AD11" s="1476"/>
      <c r="AE11" s="1476"/>
      <c r="AF11" s="1476"/>
      <c r="AG11" s="1508" t="s">
        <v>1158</v>
      </c>
      <c r="AH11" s="1509">
        <f>DATA!AT25</f>
        <v>100000000</v>
      </c>
      <c r="AI11" s="109" t="str">
        <f>DATA!AU25</f>
        <v>Bank Dunia</v>
      </c>
      <c r="AJ11" s="1544" t="str">
        <f>DATA!AW25</f>
        <v>-</v>
      </c>
      <c r="AK11" s="245">
        <f>DATA!AM25</f>
        <v>0</v>
      </c>
      <c r="AL11" s="1510" t="str">
        <f>DATA!AN25</f>
        <v>belum ada keterangan</v>
      </c>
      <c r="AM11" s="1511" t="str">
        <f>DATA!AO25</f>
        <v>belum ada keterangan</v>
      </c>
      <c r="AN11" s="1510">
        <f>DATA!AQ25</f>
        <v>0</v>
      </c>
      <c r="AO11" s="1533" t="str">
        <f>DATA!AR25</f>
        <v>belum ada dokumen R/C</v>
      </c>
      <c r="AQ11" s="10">
        <f t="shared" si="1"/>
        <v>0</v>
      </c>
      <c r="AR11" s="10">
        <f t="shared" si="2"/>
        <v>0</v>
      </c>
      <c r="AS11" s="10">
        <f t="shared" si="3"/>
        <v>0</v>
      </c>
      <c r="AT11" s="10">
        <f t="shared" si="4"/>
        <v>0</v>
      </c>
    </row>
    <row r="12" spans="1:46" ht="27.75" customHeight="1">
      <c r="J12" s="1418"/>
      <c r="K12" s="34"/>
      <c r="L12" s="34"/>
      <c r="M12" s="172">
        <v>2</v>
      </c>
      <c r="N12" s="199" t="s">
        <v>1159</v>
      </c>
      <c r="O12" s="1402"/>
      <c r="P12" s="187"/>
      <c r="Q12" s="1446"/>
      <c r="R12" s="1446"/>
      <c r="S12" s="1447"/>
      <c r="T12" s="1448"/>
      <c r="U12" s="1449"/>
      <c r="V12" s="77"/>
      <c r="W12" s="77"/>
      <c r="X12" s="1450"/>
      <c r="Y12" s="109"/>
      <c r="Z12" s="109"/>
      <c r="AA12" s="1484"/>
      <c r="AB12" s="828"/>
      <c r="AC12" s="1485"/>
      <c r="AD12" s="1486"/>
      <c r="AE12" s="1486"/>
      <c r="AF12" s="1486"/>
      <c r="AG12" s="1514"/>
      <c r="AH12" s="1509"/>
      <c r="AI12" s="109"/>
      <c r="AJ12" s="1544"/>
      <c r="AK12" s="245"/>
      <c r="AL12" s="1510"/>
      <c r="AM12" s="1511"/>
      <c r="AN12" s="1510"/>
      <c r="AO12" s="1533"/>
      <c r="AQ12" s="10">
        <f t="shared" si="1"/>
        <v>0</v>
      </c>
      <c r="AR12" s="10">
        <f t="shared" si="2"/>
        <v>0</v>
      </c>
      <c r="AS12" s="10">
        <f t="shared" si="3"/>
        <v>0</v>
      </c>
      <c r="AT12" s="10">
        <f t="shared" si="4"/>
        <v>0</v>
      </c>
    </row>
    <row r="13" spans="1:46" ht="29.25" customHeight="1">
      <c r="A13" s="10">
        <f>DATA!A27</f>
        <v>24</v>
      </c>
      <c r="B13" s="10">
        <f>DATA!B27</f>
        <v>0</v>
      </c>
      <c r="C13" s="10" t="str">
        <f>DATA!D27</f>
        <v>INFRASTRUKTUR</v>
      </c>
      <c r="D13" s="10">
        <f>DATA!E27</f>
        <v>1</v>
      </c>
      <c r="E13" s="10" t="str">
        <f>DATA!F27</f>
        <v>Kementerian Pekerjaan Umum dan Perumahan Rakyat</v>
      </c>
      <c r="F13" s="10" t="str">
        <f>DATA!H27</f>
        <v>Drinking Water Development Program</v>
      </c>
      <c r="G13" s="10" t="str">
        <f>DATA!I27</f>
        <v>D</v>
      </c>
      <c r="H13" s="10" t="str">
        <f>DATA!J27</f>
        <v>Program Pembangunan Air Minum</v>
      </c>
      <c r="I13" s="10">
        <f>DATA!K27</f>
        <v>3</v>
      </c>
      <c r="J13" s="1418"/>
      <c r="K13" s="34"/>
      <c r="L13" s="34"/>
      <c r="M13" s="3390"/>
      <c r="N13" s="199" t="str">
        <f>DATA!L27</f>
        <v xml:space="preserve">Mamminasata Water Supply Development Project </v>
      </c>
      <c r="O13" s="1402">
        <f>DATA!T27</f>
        <v>100000000</v>
      </c>
      <c r="P13" s="187">
        <f>DATA!U27</f>
        <v>100000000</v>
      </c>
      <c r="Q13" s="1446">
        <f>DATA!V27</f>
        <v>5000000</v>
      </c>
      <c r="R13" s="1446">
        <f>DATA!W27</f>
        <v>0</v>
      </c>
      <c r="S13" s="1447">
        <f>P13+Q13+R13</f>
        <v>105000000</v>
      </c>
      <c r="T13" s="1448"/>
      <c r="U13" s="1449" t="str">
        <f>DATA!Y27</f>
        <v>JICA</v>
      </c>
      <c r="V13" s="77">
        <f>DATA!AA27</f>
        <v>100000000</v>
      </c>
      <c r="W13" s="77">
        <v>0</v>
      </c>
      <c r="X13" s="1450" t="str">
        <f>DATA!Y27</f>
        <v>JICA</v>
      </c>
      <c r="Y13" s="109">
        <v>100000000</v>
      </c>
      <c r="Z13" s="109" t="s">
        <v>55</v>
      </c>
      <c r="AA13" s="1484" t="s">
        <v>1160</v>
      </c>
      <c r="AB13" s="828"/>
      <c r="AC13" s="1485"/>
      <c r="AD13" s="1486"/>
      <c r="AE13" s="1486"/>
      <c r="AF13" s="1486"/>
      <c r="AG13" s="3253" t="s">
        <v>1161</v>
      </c>
      <c r="AH13" s="1509">
        <f>DATA!AT27</f>
        <v>100000000</v>
      </c>
      <c r="AI13" s="109" t="str">
        <f>DATA!AU27</f>
        <v>JICA</v>
      </c>
      <c r="AJ13" s="1544" t="str">
        <f>DATA!AW27</f>
        <v>-</v>
      </c>
      <c r="AK13" s="245">
        <f>DATA!AM26</f>
        <v>0</v>
      </c>
      <c r="AL13" s="1510" t="str">
        <f>DATA!AN27</f>
        <v>siap</v>
      </c>
      <c r="AM13" s="1511" t="str">
        <f>DATA!AO27</f>
        <v>dalam proses
(persiapan)</v>
      </c>
      <c r="AN13" s="1510">
        <f>DATA!AQ26</f>
        <v>0</v>
      </c>
      <c r="AO13" s="1533" t="str">
        <f>DATA!AR27</f>
        <v>belum ada dokumen R/C</v>
      </c>
      <c r="AQ13" s="10">
        <f t="shared" si="1"/>
        <v>0</v>
      </c>
      <c r="AR13" s="10">
        <f t="shared" si="2"/>
        <v>100000000</v>
      </c>
      <c r="AS13" s="10">
        <f t="shared" si="3"/>
        <v>0</v>
      </c>
      <c r="AT13" s="10">
        <f t="shared" si="4"/>
        <v>0</v>
      </c>
    </row>
    <row r="14" spans="1:46" ht="35.25" customHeight="1">
      <c r="A14" s="10">
        <f>DATA!A28</f>
        <v>25</v>
      </c>
      <c r="B14" s="10">
        <f>DATA!B28</f>
        <v>0</v>
      </c>
      <c r="C14" s="10" t="str">
        <f>DATA!D28</f>
        <v>INFRASTRUKTUR</v>
      </c>
      <c r="D14" s="10">
        <f>DATA!E28</f>
        <v>1</v>
      </c>
      <c r="E14" s="10" t="str">
        <f>DATA!F28</f>
        <v>Kementerian Pekerjaan Umum dan Perumahan Rakyat</v>
      </c>
      <c r="F14" s="10" t="str">
        <f>DATA!H28</f>
        <v>Drinking Water Development Program</v>
      </c>
      <c r="G14" s="10" t="str">
        <f>DATA!I28</f>
        <v>D</v>
      </c>
      <c r="H14" s="10" t="str">
        <f>DATA!J28</f>
        <v>Program Pembangunan Air Minum</v>
      </c>
      <c r="I14" s="10">
        <f>DATA!K28</f>
        <v>3</v>
      </c>
      <c r="J14" s="1418"/>
      <c r="K14" s="34"/>
      <c r="L14" s="34"/>
      <c r="M14" s="3392"/>
      <c r="N14" s="199" t="str">
        <f>DATA!L28</f>
        <v xml:space="preserve">The Development of Regional Water Supply System in Benteng Kobema </v>
      </c>
      <c r="O14" s="1402">
        <f>DATA!T28</f>
        <v>74300000</v>
      </c>
      <c r="P14" s="187">
        <f>DATA!U28</f>
        <v>74300000</v>
      </c>
      <c r="Q14" s="1446">
        <f>DATA!V28</f>
        <v>3715000</v>
      </c>
      <c r="R14" s="1446">
        <f>DATA!W28</f>
        <v>0</v>
      </c>
      <c r="S14" s="1447">
        <f>P14+Q14+R14</f>
        <v>78015000</v>
      </c>
      <c r="T14" s="1448"/>
      <c r="U14" s="1449" t="str">
        <f>DATA!Y28</f>
        <v>Bank Dunia/JICA/ADB</v>
      </c>
      <c r="V14" s="77">
        <f>DATA!AA28</f>
        <v>74300000</v>
      </c>
      <c r="W14" s="77">
        <v>0</v>
      </c>
      <c r="X14" s="1450" t="str">
        <f>DATA!Y28</f>
        <v>Bank Dunia/JICA/ADB</v>
      </c>
      <c r="Y14" s="109">
        <v>74300000</v>
      </c>
      <c r="Z14" s="109" t="s">
        <v>1162</v>
      </c>
      <c r="AA14" s="1484" t="s">
        <v>1163</v>
      </c>
      <c r="AB14" s="828"/>
      <c r="AC14" s="1485"/>
      <c r="AD14" s="1486"/>
      <c r="AE14" s="1486"/>
      <c r="AF14" s="1486"/>
      <c r="AG14" s="3253" t="s">
        <v>1164</v>
      </c>
      <c r="AH14" s="1509">
        <f>DATA!AT28</f>
        <v>74300000</v>
      </c>
      <c r="AI14" s="109" t="str">
        <f>DATA!AU28</f>
        <v>Bank Dunia</v>
      </c>
      <c r="AJ14" s="1544" t="str">
        <f>DATA!AW28</f>
        <v>- usulan K/L lender: Bank Dunia/JICA/ADB. 
- Pihak Bank Dunia berminat, ADB dan JICA tidak minat.</v>
      </c>
      <c r="AK14" s="245">
        <f>DATA!AM27</f>
        <v>0</v>
      </c>
      <c r="AL14" s="1510" t="str">
        <f>DATA!AN28</f>
        <v>dalam proses
(penyusunan FS)</v>
      </c>
      <c r="AM14" s="1511" t="str">
        <f>DATA!AO28</f>
        <v>dalam proses
(persiapan)</v>
      </c>
      <c r="AN14" s="1510">
        <f>DATA!AQ27</f>
        <v>0</v>
      </c>
      <c r="AO14" s="1533" t="str">
        <f>DATA!AR28</f>
        <v>belum ada dokumen R/C</v>
      </c>
      <c r="AQ14" s="10">
        <f t="shared" si="1"/>
        <v>0</v>
      </c>
      <c r="AR14" s="10">
        <f t="shared" si="2"/>
        <v>0</v>
      </c>
      <c r="AS14" s="10">
        <f t="shared" si="3"/>
        <v>0</v>
      </c>
      <c r="AT14" s="10">
        <f t="shared" si="4"/>
        <v>0</v>
      </c>
    </row>
    <row r="15" spans="1:46" ht="40.5" customHeight="1">
      <c r="A15" s="10">
        <f>DATA!A29</f>
        <v>26</v>
      </c>
      <c r="B15" s="10">
        <f>DATA!B29</f>
        <v>0</v>
      </c>
      <c r="C15" s="10" t="str">
        <f>DATA!D29</f>
        <v>INFRASTRUKTUR</v>
      </c>
      <c r="D15" s="10">
        <f>DATA!E29</f>
        <v>1</v>
      </c>
      <c r="E15" s="10" t="str">
        <f>DATA!F29</f>
        <v>Kementerian Pekerjaan Umum dan Perumahan Rakyat</v>
      </c>
      <c r="F15" s="10" t="str">
        <f>DATA!H29</f>
        <v>Drinking Water Development Program</v>
      </c>
      <c r="G15" s="10" t="str">
        <f>DATA!I29</f>
        <v>D</v>
      </c>
      <c r="H15" s="10" t="str">
        <f>DATA!J29</f>
        <v>Program Pembangunan Air Minum</v>
      </c>
      <c r="I15" s="10">
        <f>DATA!K29</f>
        <v>3</v>
      </c>
      <c r="J15" s="1418"/>
      <c r="K15" s="34"/>
      <c r="L15" s="34"/>
      <c r="M15" s="3392"/>
      <c r="N15" s="199" t="str">
        <f>DATA!L29</f>
        <v xml:space="preserve">The Development of Regional Water Supply System in Wosusokas </v>
      </c>
      <c r="O15" s="1402">
        <f>DATA!T29</f>
        <v>106200000</v>
      </c>
      <c r="P15" s="187">
        <f>DATA!U29</f>
        <v>106200000</v>
      </c>
      <c r="Q15" s="1446">
        <f>DATA!V29</f>
        <v>5310000</v>
      </c>
      <c r="R15" s="1446">
        <f>DATA!W29</f>
        <v>0</v>
      </c>
      <c r="S15" s="1447">
        <f t="shared" ref="S15:S24" si="5">P15+Q15+R15</f>
        <v>111510000</v>
      </c>
      <c r="T15" s="1448"/>
      <c r="U15" s="1449" t="str">
        <f>DATA!Y29</f>
        <v>Jerman (KfW)</v>
      </c>
      <c r="V15" s="77">
        <f>DATA!AA29</f>
        <v>106200000</v>
      </c>
      <c r="W15" s="77">
        <v>0</v>
      </c>
      <c r="X15" s="1450" t="str">
        <f>DATA!Y29</f>
        <v>Jerman (KfW)</v>
      </c>
      <c r="Y15" s="109">
        <v>106200000</v>
      </c>
      <c r="Z15" s="109" t="s">
        <v>91</v>
      </c>
      <c r="AA15" s="1484" t="s">
        <v>879</v>
      </c>
      <c r="AB15" s="828"/>
      <c r="AC15" s="1485"/>
      <c r="AD15" s="1486"/>
      <c r="AE15" s="1486"/>
      <c r="AF15" s="1486"/>
      <c r="AG15" s="1513" t="s">
        <v>1165</v>
      </c>
      <c r="AH15" s="1509">
        <f>DATA!AT29</f>
        <v>106200000</v>
      </c>
      <c r="AI15" s="109" t="str">
        <f>DATA!AU29</f>
        <v>Jerman (KfW)</v>
      </c>
      <c r="AJ15" s="1544" t="str">
        <f>DATA!AW29</f>
        <v>-</v>
      </c>
      <c r="AK15" s="245">
        <f>DATA!AM28</f>
        <v>0</v>
      </c>
      <c r="AL15" s="1510" t="str">
        <f>DATA!AN29</f>
        <v>dalam proses
(penyusunan FS)</v>
      </c>
      <c r="AM15" s="1511" t="str">
        <f>DATA!AO29</f>
        <v>dalam proses
(persiapan)</v>
      </c>
      <c r="AN15" s="1510">
        <f>DATA!AQ28</f>
        <v>0</v>
      </c>
      <c r="AO15" s="1533" t="str">
        <f>DATA!AR29</f>
        <v>belum ada dokumen R/C</v>
      </c>
      <c r="AQ15" s="10">
        <f t="shared" si="1"/>
        <v>0</v>
      </c>
      <c r="AR15" s="10">
        <f t="shared" si="2"/>
        <v>0</v>
      </c>
      <c r="AS15" s="10">
        <f t="shared" si="3"/>
        <v>0</v>
      </c>
      <c r="AT15" s="10">
        <f t="shared" si="4"/>
        <v>0</v>
      </c>
    </row>
    <row r="16" spans="1:46" ht="34.5" customHeight="1">
      <c r="A16" s="10">
        <f>DATA!A30</f>
        <v>27</v>
      </c>
      <c r="B16" s="10">
        <f>DATA!B30</f>
        <v>0</v>
      </c>
      <c r="C16" s="10" t="str">
        <f>DATA!D30</f>
        <v>INFRASTRUKTUR</v>
      </c>
      <c r="D16" s="10">
        <f>DATA!E30</f>
        <v>1</v>
      </c>
      <c r="E16" s="10" t="str">
        <f>DATA!F30</f>
        <v>Kementerian Pekerjaan Umum dan Perumahan Rakyat</v>
      </c>
      <c r="F16" s="10" t="str">
        <f>DATA!H30</f>
        <v>Drinking Water Development Program</v>
      </c>
      <c r="G16" s="10" t="str">
        <f>DATA!I30</f>
        <v>D</v>
      </c>
      <c r="H16" s="10" t="str">
        <f>DATA!J30</f>
        <v>Program Pembangunan Air Minum</v>
      </c>
      <c r="I16" s="10">
        <f>DATA!K30</f>
        <v>3</v>
      </c>
      <c r="J16" s="1418"/>
      <c r="K16" s="34"/>
      <c r="L16" s="34"/>
      <c r="M16" s="3392"/>
      <c r="N16" s="199" t="str">
        <f>DATA!L30</f>
        <v xml:space="preserve">The Development of Regional Water Supply System of Jatigede </v>
      </c>
      <c r="O16" s="1402">
        <f>DATA!T30</f>
        <v>167000000</v>
      </c>
      <c r="P16" s="187">
        <f>DATA!U30</f>
        <v>140620000</v>
      </c>
      <c r="Q16" s="1446">
        <f>DATA!V30</f>
        <v>8350000</v>
      </c>
      <c r="R16" s="1446">
        <f>DATA!W30</f>
        <v>0</v>
      </c>
      <c r="S16" s="1447">
        <f t="shared" si="5"/>
        <v>148970000</v>
      </c>
      <c r="T16" s="1448"/>
      <c r="U16" s="1449" t="str">
        <f>DATA!Y30</f>
        <v>Bank Dunia/JICA/ADB</v>
      </c>
      <c r="V16" s="77">
        <f>DATA!AA30</f>
        <v>140620000</v>
      </c>
      <c r="W16" s="77">
        <v>0</v>
      </c>
      <c r="X16" s="1450" t="str">
        <f>DATA!Y30</f>
        <v>Bank Dunia/JICA/ADB</v>
      </c>
      <c r="Y16" s="109">
        <v>140620000</v>
      </c>
      <c r="Z16" s="109" t="s">
        <v>636</v>
      </c>
      <c r="AA16" s="1484" t="s">
        <v>879</v>
      </c>
      <c r="AB16" s="828"/>
      <c r="AC16" s="1485"/>
      <c r="AD16" s="1486"/>
      <c r="AE16" s="1486"/>
      <c r="AF16" s="1486"/>
      <c r="AG16" s="1514"/>
      <c r="AH16" s="1509">
        <f>DATA!AT30</f>
        <v>140620000</v>
      </c>
      <c r="AI16" s="109" t="str">
        <f>DATA!AU30</f>
        <v>Belum Ada Indikasi</v>
      </c>
      <c r="AJ16" s="1544" t="str">
        <f>DATA!AW30</f>
        <v xml:space="preserve">- terdapat pengurangan nilai pinjaman sebesar USD 26,38 juta yang dialihkan untuk membiayai kegiatan ES.
- usulan K/L lender: Bank Dunia/JICA/ADB. 
- Pihak Bank Dunia, ADB, dan JICA tidak berminat. </v>
      </c>
      <c r="AK16" s="245">
        <f>DATA!AM29</f>
        <v>0</v>
      </c>
      <c r="AL16" s="1510" t="str">
        <f>DATA!AN30</f>
        <v>belum ada keterangan</v>
      </c>
      <c r="AM16" s="1511" t="str">
        <f>DATA!AO30</f>
        <v>belum ada keterangan</v>
      </c>
      <c r="AN16" s="1510">
        <f>DATA!AQ29</f>
        <v>0</v>
      </c>
      <c r="AO16" s="1533" t="str">
        <f>DATA!AR30</f>
        <v>- nilai pinjaman berkurang sebesar USD 26,38 juta untuk kegiatan ES
- belum ada dokumen R/C</v>
      </c>
      <c r="AQ16" s="10">
        <f t="shared" si="1"/>
        <v>0</v>
      </c>
      <c r="AR16" s="10">
        <f t="shared" si="2"/>
        <v>0</v>
      </c>
      <c r="AS16" s="10">
        <f t="shared" si="3"/>
        <v>0</v>
      </c>
      <c r="AT16" s="10">
        <f t="shared" si="4"/>
        <v>0</v>
      </c>
    </row>
    <row r="17" spans="1:46" ht="41.25" customHeight="1">
      <c r="A17" s="10">
        <f>DATA!A31</f>
        <v>28</v>
      </c>
      <c r="B17" s="10">
        <f>DATA!B31</f>
        <v>0</v>
      </c>
      <c r="C17" s="10" t="str">
        <f>DATA!D31</f>
        <v>INFRASTRUKTUR</v>
      </c>
      <c r="D17" s="10">
        <f>DATA!E31</f>
        <v>1</v>
      </c>
      <c r="E17" s="10" t="str">
        <f>DATA!F31</f>
        <v>Kementerian Pekerjaan Umum dan Perumahan Rakyat</v>
      </c>
      <c r="F17" s="10" t="str">
        <f>DATA!H31</f>
        <v>Drinking Water Development Program</v>
      </c>
      <c r="G17" s="10" t="str">
        <f>DATA!I31</f>
        <v>D</v>
      </c>
      <c r="H17" s="10" t="str">
        <f>DATA!J31</f>
        <v>Program Pembangunan Air Minum</v>
      </c>
      <c r="I17" s="10">
        <f>DATA!K31</f>
        <v>3</v>
      </c>
      <c r="J17" s="1418"/>
      <c r="K17" s="34"/>
      <c r="L17" s="34"/>
      <c r="M17" s="3392"/>
      <c r="N17" s="199" t="str">
        <f>DATA!L31</f>
        <v>The Development of Regional Water Supply System of Petanglong</v>
      </c>
      <c r="O17" s="1402">
        <f>DATA!T31</f>
        <v>95380000</v>
      </c>
      <c r="P17" s="187">
        <f>DATA!U31</f>
        <v>95380000</v>
      </c>
      <c r="Q17" s="1446">
        <f>DATA!V31</f>
        <v>4769000</v>
      </c>
      <c r="R17" s="1446">
        <f>DATA!W31</f>
        <v>0</v>
      </c>
      <c r="S17" s="1447">
        <f t="shared" si="5"/>
        <v>100149000</v>
      </c>
      <c r="T17" s="1448"/>
      <c r="U17" s="1449" t="str">
        <f>DATA!Y31</f>
        <v>Bank Dunia/JICA/ADB</v>
      </c>
      <c r="V17" s="77">
        <f>DATA!AA31</f>
        <v>95380000</v>
      </c>
      <c r="W17" s="77">
        <v>0</v>
      </c>
      <c r="X17" s="1450" t="str">
        <f>DATA!Y31</f>
        <v>Bank Dunia/JICA/ADB</v>
      </c>
      <c r="Y17" s="109">
        <v>95380000</v>
      </c>
      <c r="Z17" s="109" t="s">
        <v>1166</v>
      </c>
      <c r="AA17" s="1484" t="s">
        <v>879</v>
      </c>
      <c r="AB17" s="828"/>
      <c r="AC17" s="1485"/>
      <c r="AD17" s="1486"/>
      <c r="AE17" s="1486"/>
      <c r="AF17" s="1486"/>
      <c r="AG17" s="1514"/>
      <c r="AH17" s="1509">
        <f>DATA!AT31</f>
        <v>95380000</v>
      </c>
      <c r="AI17" s="109" t="str">
        <f>DATA!AU31</f>
        <v>Belum Ada Indikasi</v>
      </c>
      <c r="AJ17" s="1544" t="str">
        <f>DATA!AW31</f>
        <v xml:space="preserve">- usulan K/L lender: Bank Dunia/JICA/ADB. 
- Pihak Bank Dunia, ADB, dan JICA tidak berminat. </v>
      </c>
      <c r="AK17" s="245">
        <f>DATA!AM30</f>
        <v>0</v>
      </c>
      <c r="AL17" s="1510" t="str">
        <f>DATA!AN31</f>
        <v>belum ada keterangan</v>
      </c>
      <c r="AM17" s="1511" t="str">
        <f>DATA!AO31</f>
        <v>belum ada keterangan</v>
      </c>
      <c r="AN17" s="1510">
        <f>DATA!AQ30</f>
        <v>0</v>
      </c>
      <c r="AO17" s="1533" t="str">
        <f>DATA!AR31</f>
        <v>belum ada dokumen R/C</v>
      </c>
      <c r="AQ17" s="10">
        <f t="shared" si="1"/>
        <v>0</v>
      </c>
      <c r="AR17" s="10">
        <f t="shared" si="2"/>
        <v>0</v>
      </c>
      <c r="AS17" s="10">
        <f t="shared" si="3"/>
        <v>0</v>
      </c>
      <c r="AT17" s="10">
        <f t="shared" si="4"/>
        <v>0</v>
      </c>
    </row>
    <row r="18" spans="1:46" ht="41.25" customHeight="1">
      <c r="A18" s="10">
        <f>DATA!A32</f>
        <v>29</v>
      </c>
      <c r="B18" s="10">
        <f>DATA!B32</f>
        <v>0</v>
      </c>
      <c r="C18" s="10" t="str">
        <f>DATA!D32</f>
        <v>INFRASTRUKTUR</v>
      </c>
      <c r="D18" s="10">
        <f>DATA!E32</f>
        <v>1</v>
      </c>
      <c r="E18" s="10" t="str">
        <f>DATA!F32</f>
        <v>Kementerian Pekerjaan Umum dan Perumahan Rakyat</v>
      </c>
      <c r="F18" s="10" t="str">
        <f>DATA!H32</f>
        <v>Drinking Water Development Program</v>
      </c>
      <c r="G18" s="10" t="str">
        <f>DATA!I32</f>
        <v>D</v>
      </c>
      <c r="H18" s="10" t="str">
        <f>DATA!J32</f>
        <v>Program Pembangunan Air Minum</v>
      </c>
      <c r="I18" s="10">
        <f>DATA!K32</f>
        <v>3</v>
      </c>
      <c r="J18" s="1418"/>
      <c r="K18" s="34"/>
      <c r="L18" s="34"/>
      <c r="M18" s="3392"/>
      <c r="N18" s="199" t="str">
        <f>DATA!L32</f>
        <v xml:space="preserve">The Development of Regional Water Supply System of Durolis </v>
      </c>
      <c r="O18" s="1402">
        <f>DATA!T32</f>
        <v>33400000</v>
      </c>
      <c r="P18" s="187">
        <f>DATA!U32</f>
        <v>33400000</v>
      </c>
      <c r="Q18" s="1446">
        <f>DATA!V32</f>
        <v>1670000</v>
      </c>
      <c r="R18" s="1446">
        <f>DATA!W32</f>
        <v>0</v>
      </c>
      <c r="S18" s="1447">
        <f t="shared" si="5"/>
        <v>35070000</v>
      </c>
      <c r="T18" s="1448"/>
      <c r="U18" s="1449" t="str">
        <f>DATA!Y32</f>
        <v>Bank Dunia/JICA/ADB</v>
      </c>
      <c r="V18" s="77">
        <f>DATA!AA32</f>
        <v>33400000</v>
      </c>
      <c r="W18" s="77">
        <v>0</v>
      </c>
      <c r="X18" s="1450" t="str">
        <f>DATA!Y32</f>
        <v>Bank Dunia/JICA/ADB</v>
      </c>
      <c r="Y18" s="109">
        <v>33400000</v>
      </c>
      <c r="Z18" s="109" t="s">
        <v>1167</v>
      </c>
      <c r="AA18" s="1484" t="s">
        <v>879</v>
      </c>
      <c r="AB18" s="828"/>
      <c r="AC18" s="1485"/>
      <c r="AD18" s="1486"/>
      <c r="AE18" s="1486"/>
      <c r="AF18" s="1486"/>
      <c r="AG18" s="1514"/>
      <c r="AH18" s="1509">
        <f>DATA!AT32</f>
        <v>33400000</v>
      </c>
      <c r="AI18" s="109" t="str">
        <f>DATA!AU32</f>
        <v>Belum Ada Indikasi</v>
      </c>
      <c r="AJ18" s="1544" t="str">
        <f>DATA!AW32</f>
        <v xml:space="preserve">- usulan K/L lender: Bank Dunia/JICA/ADB.
- Pihak Bank Dunia, ADB, dan JICA tidak berminat. </v>
      </c>
      <c r="AK18" s="245">
        <f>DATA!AM31</f>
        <v>0</v>
      </c>
      <c r="AL18" s="1510" t="str">
        <f>DATA!AN32</f>
        <v>siap</v>
      </c>
      <c r="AM18" s="1511" t="str">
        <f>DATA!AO32</f>
        <v>siap</v>
      </c>
      <c r="AN18" s="1510">
        <f>DATA!AQ31</f>
        <v>0</v>
      </c>
      <c r="AO18" s="1533" t="str">
        <f>DATA!AR32</f>
        <v>belum ada dokumen R/C</v>
      </c>
      <c r="AQ18" s="10">
        <f t="shared" si="1"/>
        <v>0</v>
      </c>
      <c r="AR18" s="10">
        <f t="shared" si="2"/>
        <v>0</v>
      </c>
      <c r="AS18" s="10">
        <f t="shared" si="3"/>
        <v>0</v>
      </c>
      <c r="AT18" s="10">
        <f t="shared" si="4"/>
        <v>0</v>
      </c>
    </row>
    <row r="19" spans="1:46" ht="86.25" customHeight="1">
      <c r="A19" s="10">
        <f>DATA!A33</f>
        <v>30</v>
      </c>
      <c r="B19" s="10">
        <f>DATA!B33</f>
        <v>0</v>
      </c>
      <c r="C19" s="10" t="str">
        <f>DATA!D33</f>
        <v>INFRASTRUKTUR</v>
      </c>
      <c r="D19" s="10">
        <f>DATA!E33</f>
        <v>1</v>
      </c>
      <c r="E19" s="10" t="str">
        <f>DATA!F33</f>
        <v>Kementerian Pekerjaan Umum dan Perumahan Rakyat</v>
      </c>
      <c r="F19" s="10" t="str">
        <f>DATA!H33</f>
        <v>Drinking Water Development Program</v>
      </c>
      <c r="G19" s="10" t="str">
        <f>DATA!I33</f>
        <v>D</v>
      </c>
      <c r="H19" s="10" t="str">
        <f>DATA!J33</f>
        <v>Program Pembangunan Air Minum</v>
      </c>
      <c r="I19" s="10">
        <f>DATA!K33</f>
        <v>3</v>
      </c>
      <c r="J19" s="1418"/>
      <c r="K19" s="34"/>
      <c r="L19" s="34"/>
      <c r="M19" s="3392"/>
      <c r="N19" s="199" t="str">
        <f>DATA!L33</f>
        <v xml:space="preserve">The Development of Regional Water Supply System of  Banten - Jakarta from Karian Dam </v>
      </c>
      <c r="O19" s="1402">
        <f>DATA!T33</f>
        <v>40000000</v>
      </c>
      <c r="P19" s="187">
        <f>DATA!U33</f>
        <v>40000000</v>
      </c>
      <c r="Q19" s="1446">
        <f>DATA!V33</f>
        <v>2000000</v>
      </c>
      <c r="R19" s="1446">
        <f>DATA!W33</f>
        <v>0</v>
      </c>
      <c r="S19" s="1447">
        <f t="shared" si="5"/>
        <v>42000000</v>
      </c>
      <c r="T19" s="1448"/>
      <c r="U19" s="1449" t="str">
        <f>DATA!Y33</f>
        <v>Korea</v>
      </c>
      <c r="V19" s="77">
        <f>DATA!AA33</f>
        <v>40000000</v>
      </c>
      <c r="W19" s="77">
        <v>0</v>
      </c>
      <c r="X19" s="1450" t="str">
        <f>DATA!Y33</f>
        <v>Korea</v>
      </c>
      <c r="Y19" s="109">
        <v>40000000</v>
      </c>
      <c r="Z19" s="109" t="s">
        <v>28</v>
      </c>
      <c r="AA19" s="1484" t="s">
        <v>879</v>
      </c>
      <c r="AB19" s="828"/>
      <c r="AC19" s="1485"/>
      <c r="AD19" s="1486"/>
      <c r="AE19" s="1486"/>
      <c r="AF19" s="1486"/>
      <c r="AG19" s="3255" t="s">
        <v>1168</v>
      </c>
      <c r="AH19" s="1509">
        <f>DATA!AT33</f>
        <v>40000000</v>
      </c>
      <c r="AI19" s="109" t="str">
        <f>DATA!AU33</f>
        <v>Korea</v>
      </c>
      <c r="AJ19" s="1544" t="str">
        <f>DATA!AW33</f>
        <v>belum masuk rolling plan EDCF (Korea)</v>
      </c>
      <c r="AK19" s="245">
        <f>DATA!AM32</f>
        <v>0</v>
      </c>
      <c r="AL19" s="1510" t="str">
        <f>DATA!AN33</f>
        <v>dalam proses
(memiliki FS)</v>
      </c>
      <c r="AM19" s="1511" t="str">
        <f>DATA!AO33</f>
        <v>dalam proses
(persiapan)</v>
      </c>
      <c r="AN19" s="1510">
        <f>DATA!AQ32</f>
        <v>0</v>
      </c>
      <c r="AO19" s="1533" t="str">
        <f>DATA!AR33</f>
        <v>belum ada dokumen R/C</v>
      </c>
      <c r="AQ19" s="10">
        <f t="shared" si="1"/>
        <v>0</v>
      </c>
      <c r="AR19" s="10">
        <f t="shared" si="2"/>
        <v>0</v>
      </c>
      <c r="AS19" s="10">
        <f t="shared" si="3"/>
        <v>0</v>
      </c>
      <c r="AT19" s="10">
        <f t="shared" si="4"/>
        <v>40000000</v>
      </c>
    </row>
    <row r="20" spans="1:46" ht="41.25" customHeight="1">
      <c r="A20" s="10">
        <f>DATA!A34</f>
        <v>31</v>
      </c>
      <c r="B20" s="10">
        <f>DATA!B34</f>
        <v>0</v>
      </c>
      <c r="C20" s="10" t="str">
        <f>DATA!D34</f>
        <v>INFRASTRUKTUR</v>
      </c>
      <c r="D20" s="10">
        <f>DATA!E34</f>
        <v>1</v>
      </c>
      <c r="E20" s="10" t="str">
        <f>DATA!F34</f>
        <v>Kementerian Pekerjaan Umum dan Perumahan Rakyat</v>
      </c>
      <c r="F20" s="10" t="str">
        <f>DATA!H34</f>
        <v>Drinking Water Development Program</v>
      </c>
      <c r="G20" s="10" t="str">
        <f>DATA!I34</f>
        <v>D</v>
      </c>
      <c r="H20" s="10" t="str">
        <f>DATA!J34</f>
        <v>Program Pembangunan Air Minum</v>
      </c>
      <c r="I20" s="10">
        <f>DATA!K34</f>
        <v>3</v>
      </c>
      <c r="J20" s="1418"/>
      <c r="K20" s="34"/>
      <c r="L20" s="34"/>
      <c r="M20" s="3391"/>
      <c r="N20" s="199" t="str">
        <f>DATA!L34</f>
        <v xml:space="preserve">The Development of Regional Water Supply System of Mebidang </v>
      </c>
      <c r="O20" s="1402">
        <f>DATA!T34</f>
        <v>56400000</v>
      </c>
      <c r="P20" s="187">
        <f>DATA!U34</f>
        <v>56400000</v>
      </c>
      <c r="Q20" s="1446">
        <f>DATA!V34</f>
        <v>2820000</v>
      </c>
      <c r="R20" s="1446">
        <f>DATA!W34</f>
        <v>0</v>
      </c>
      <c r="S20" s="1447">
        <f t="shared" si="5"/>
        <v>59220000</v>
      </c>
      <c r="T20" s="1448"/>
      <c r="U20" s="1449" t="str">
        <f>DATA!Y34</f>
        <v>Jerman (KfW)</v>
      </c>
      <c r="V20" s="77">
        <f>DATA!AA34</f>
        <v>56400000</v>
      </c>
      <c r="W20" s="77">
        <v>0</v>
      </c>
      <c r="X20" s="1450" t="str">
        <f>DATA!Y34</f>
        <v>Jerman (KfW)</v>
      </c>
      <c r="Y20" s="109">
        <v>56400000</v>
      </c>
      <c r="Z20" s="109" t="s">
        <v>91</v>
      </c>
      <c r="AA20" s="1484" t="s">
        <v>1169</v>
      </c>
      <c r="AB20" s="828"/>
      <c r="AC20" s="1485"/>
      <c r="AD20" s="1486"/>
      <c r="AE20" s="1486"/>
      <c r="AF20" s="1486"/>
      <c r="AG20" s="3255" t="s">
        <v>1170</v>
      </c>
      <c r="AH20" s="1509">
        <f>DATA!AT34</f>
        <v>56400000</v>
      </c>
      <c r="AI20" s="109" t="str">
        <f>DATA!AU34</f>
        <v>Jerman (KfW)</v>
      </c>
      <c r="AJ20" s="1544" t="str">
        <f>DATA!AW34</f>
        <v>-</v>
      </c>
      <c r="AK20" s="245">
        <f>DATA!AM33</f>
        <v>0</v>
      </c>
      <c r="AL20" s="1510" t="str">
        <f>DATA!AN34</f>
        <v>dalam proses
(memiliki FS dan DED)</v>
      </c>
      <c r="AM20" s="1511" t="str">
        <f>DATA!AO34</f>
        <v>dalam proses
(persiapan)</v>
      </c>
      <c r="AN20" s="1510">
        <f>DATA!AQ33</f>
        <v>0</v>
      </c>
      <c r="AO20" s="1533" t="str">
        <f>DATA!AR34</f>
        <v>belum ada dokumen R/C</v>
      </c>
      <c r="AQ20" s="10">
        <f t="shared" si="1"/>
        <v>0</v>
      </c>
      <c r="AR20" s="10">
        <f t="shared" si="2"/>
        <v>0</v>
      </c>
      <c r="AS20" s="10">
        <f t="shared" si="3"/>
        <v>0</v>
      </c>
      <c r="AT20" s="10">
        <f t="shared" si="4"/>
        <v>0</v>
      </c>
    </row>
    <row r="21" spans="1:46" ht="30" customHeight="1">
      <c r="J21" s="1418"/>
      <c r="K21" s="34"/>
      <c r="L21" s="34"/>
      <c r="M21" s="36">
        <v>3</v>
      </c>
      <c r="N21" s="1412" t="s">
        <v>102</v>
      </c>
      <c r="O21" s="1413"/>
      <c r="P21" s="1414"/>
      <c r="Q21" s="1446"/>
      <c r="R21" s="1446"/>
      <c r="S21" s="1447"/>
      <c r="T21" s="1457"/>
      <c r="U21" s="1449"/>
      <c r="V21" s="77"/>
      <c r="W21" s="77"/>
      <c r="X21" s="1450"/>
      <c r="Y21" s="109"/>
      <c r="Z21" s="109"/>
      <c r="AA21" s="1484"/>
      <c r="AB21" s="828"/>
      <c r="AC21" s="1485"/>
      <c r="AD21" s="1486"/>
      <c r="AE21" s="1486"/>
      <c r="AF21" s="1486"/>
      <c r="AG21" s="1514"/>
      <c r="AH21" s="1509"/>
      <c r="AI21" s="109"/>
      <c r="AJ21" s="1544"/>
      <c r="AK21" s="245"/>
      <c r="AL21" s="1510"/>
      <c r="AM21" s="1511"/>
      <c r="AN21" s="1510"/>
      <c r="AO21" s="1533"/>
      <c r="AQ21" s="10">
        <f t="shared" si="1"/>
        <v>0</v>
      </c>
      <c r="AR21" s="10">
        <f t="shared" si="2"/>
        <v>0</v>
      </c>
      <c r="AS21" s="10">
        <f t="shared" si="3"/>
        <v>0</v>
      </c>
      <c r="AT21" s="10">
        <f t="shared" si="4"/>
        <v>0</v>
      </c>
    </row>
    <row r="22" spans="1:46" ht="53.25" customHeight="1">
      <c r="J22" s="1418"/>
      <c r="K22" s="34"/>
      <c r="L22" s="34"/>
      <c r="N22" s="1597" t="str">
        <f>DATA!L39</f>
        <v>IKK Water Supply Program and Small Water Treatment Plant for Water Scarcity Area</v>
      </c>
      <c r="O22" s="1413">
        <v>50000000</v>
      </c>
      <c r="P22" s="1414">
        <v>50000000</v>
      </c>
      <c r="Q22" s="1446">
        <f>DATA!V37</f>
        <v>5000000</v>
      </c>
      <c r="R22" s="1446">
        <f>DATA!W37</f>
        <v>0</v>
      </c>
      <c r="S22" s="1447">
        <f t="shared" si="5"/>
        <v>55000000</v>
      </c>
      <c r="T22" s="1457"/>
      <c r="U22" s="1449" t="str">
        <f>DATA!Y39</f>
        <v>IDB</v>
      </c>
      <c r="V22" s="77">
        <f>DATA!AA39</f>
        <v>50000000</v>
      </c>
      <c r="W22" s="77">
        <v>0</v>
      </c>
      <c r="X22" s="1450" t="str">
        <f>DATA!Y39</f>
        <v>IDB</v>
      </c>
      <c r="Y22" s="109">
        <v>50000000</v>
      </c>
      <c r="Z22" s="109" t="s">
        <v>636</v>
      </c>
      <c r="AA22" s="1484" t="s">
        <v>879</v>
      </c>
      <c r="AB22" s="828"/>
      <c r="AC22" s="1485"/>
      <c r="AD22" s="1486"/>
      <c r="AE22" s="1486"/>
      <c r="AF22" s="1486"/>
      <c r="AG22" s="1514"/>
      <c r="AH22" s="1509">
        <f>P22</f>
        <v>50000000</v>
      </c>
      <c r="AI22" s="109" t="s">
        <v>633</v>
      </c>
      <c r="AJ22" s="1544" t="str">
        <f>DATA!AW39</f>
        <v>- usulan K/L lender:IDB.
- pihak IDB tidak berminat mendanai kegiatan ini, diusulkan kepada AIIB.
- Indikasi Lender AIIB menjadi belum ada indikasi (konfirmasi tgl 29 Jan'16)</v>
      </c>
      <c r="AK22" s="245">
        <f>DATA!AM39</f>
        <v>0</v>
      </c>
      <c r="AL22" s="1510" t="str">
        <f>DATA!AN39</f>
        <v>siap</v>
      </c>
      <c r="AM22" s="1511" t="str">
        <f>DATA!AO39</f>
        <v>dalam proses
(pelaksanaan &lt;50%)</v>
      </c>
      <c r="AN22" s="1510">
        <f>DATA!AQ39</f>
        <v>0</v>
      </c>
      <c r="AO22" s="1533" t="str">
        <f>DATA!AR39</f>
        <v>belum ada dokumen R/C</v>
      </c>
      <c r="AQ22" s="10">
        <f t="shared" si="1"/>
        <v>0</v>
      </c>
      <c r="AR22" s="10">
        <f t="shared" si="2"/>
        <v>0</v>
      </c>
      <c r="AS22" s="10">
        <f t="shared" si="3"/>
        <v>0</v>
      </c>
      <c r="AT22" s="10">
        <f t="shared" si="4"/>
        <v>0</v>
      </c>
    </row>
    <row r="23" spans="1:46" s="5" customFormat="1" ht="39.75" customHeight="1">
      <c r="J23" s="1417"/>
      <c r="K23" s="50"/>
      <c r="L23" s="30" t="str">
        <f>DATA!I41</f>
        <v>E</v>
      </c>
      <c r="M23" s="3427" t="str">
        <f>DATA!J41</f>
        <v xml:space="preserve">Program Pembangunan Sistem Pengelolaan Air Limbah </v>
      </c>
      <c r="N23" s="3556"/>
      <c r="O23" s="214" t="e">
        <f>O24+O26+O27+O28+O32+O33+#REF!</f>
        <v>#REF!</v>
      </c>
      <c r="P23" s="197" t="e">
        <f>P24+P26+P27+P28+P32+P33+#REF!</f>
        <v>#NAME?</v>
      </c>
      <c r="Q23" s="1436">
        <f>SUM(Q24:Q33)</f>
        <v>166170000</v>
      </c>
      <c r="R23" s="1436" t="e">
        <f>R24+R26+R27+R28+R32+R33+#REF!</f>
        <v>#REF!</v>
      </c>
      <c r="S23" s="244" t="e">
        <f t="shared" si="5"/>
        <v>#NAME?</v>
      </c>
      <c r="T23" s="1437"/>
      <c r="U23" s="198"/>
      <c r="V23" s="81">
        <f>SUM(V24:V33)</f>
        <v>3557800000</v>
      </c>
      <c r="W23" s="81">
        <f>SUM(W24:W33)</f>
        <v>0</v>
      </c>
      <c r="X23" s="243">
        <f>SUM(X24:X33)</f>
        <v>0</v>
      </c>
      <c r="Y23" s="81">
        <f>Y24+Y25+Y26+Y27+Y28+Y29+Y30+Y31+Y32+Y33</f>
        <v>3557800000</v>
      </c>
      <c r="Z23" s="81"/>
      <c r="AA23" s="1469"/>
      <c r="AB23" s="1470"/>
      <c r="AC23" s="1471"/>
      <c r="AD23" s="1472"/>
      <c r="AE23" s="1472"/>
      <c r="AF23" s="1472"/>
      <c r="AG23" s="1504"/>
      <c r="AH23" s="198">
        <f>SUM(AH24:AH33)</f>
        <v>3557800000</v>
      </c>
      <c r="AI23" s="81" t="s">
        <v>21</v>
      </c>
      <c r="AJ23" s="214">
        <f>SUM(AJ24:AJ33)</f>
        <v>0</v>
      </c>
      <c r="AK23" s="1505"/>
      <c r="AL23" s="1506"/>
      <c r="AM23" s="169"/>
      <c r="AN23" s="1507"/>
      <c r="AO23" s="1530"/>
      <c r="AQ23" s="10">
        <f t="shared" si="1"/>
        <v>0</v>
      </c>
      <c r="AR23" s="10">
        <f t="shared" si="2"/>
        <v>0</v>
      </c>
      <c r="AS23" s="10">
        <f t="shared" si="3"/>
        <v>0</v>
      </c>
      <c r="AT23" s="10">
        <f t="shared" si="4"/>
        <v>0</v>
      </c>
    </row>
    <row r="24" spans="1:46" ht="42" customHeight="1">
      <c r="J24" s="1418"/>
      <c r="K24" s="34"/>
      <c r="L24" s="34"/>
      <c r="M24" s="3399">
        <v>4</v>
      </c>
      <c r="N24" s="3580" t="str">
        <f>DATA!L42</f>
        <v>Community Based Sanitation Program (SANIMAS)</v>
      </c>
      <c r="O24" s="3592">
        <f>DATA!T41</f>
        <v>250000000</v>
      </c>
      <c r="P24" s="3410" t="e">
        <f>'SEKTOR PERKOTKIM'!Y134\</f>
        <v>#NAME?</v>
      </c>
      <c r="Q24" s="3438">
        <f>DATA!V41</f>
        <v>12500000</v>
      </c>
      <c r="R24" s="3438">
        <f>DATA!W41</f>
        <v>0</v>
      </c>
      <c r="S24" s="3603" t="e">
        <f t="shared" si="5"/>
        <v>#NAME?</v>
      </c>
      <c r="T24" s="1439"/>
      <c r="U24" s="1449" t="str">
        <f>DATA!Y42</f>
        <v>ADB</v>
      </c>
      <c r="V24" s="77">
        <f>DATA!AA42</f>
        <v>125000000</v>
      </c>
      <c r="W24" s="77">
        <v>0</v>
      </c>
      <c r="X24" s="1450" t="str">
        <f>DATA!Y42</f>
        <v>ADB</v>
      </c>
      <c r="Y24" s="109">
        <v>125000000</v>
      </c>
      <c r="Z24" s="109" t="s">
        <v>117</v>
      </c>
      <c r="AA24" s="1484" t="s">
        <v>879</v>
      </c>
      <c r="AB24" s="828"/>
      <c r="AC24" s="1485"/>
      <c r="AD24" s="1486"/>
      <c r="AE24" s="1486"/>
      <c r="AF24" s="1486"/>
      <c r="AG24" s="3253" t="s">
        <v>1338</v>
      </c>
      <c r="AH24" s="1509">
        <f>DATA!AT42</f>
        <v>125000000</v>
      </c>
      <c r="AI24" s="109" t="str">
        <f>DATA!AU42</f>
        <v>ADB</v>
      </c>
      <c r="AJ24" s="1544" t="str">
        <f>DATA!AW42</f>
        <v>-</v>
      </c>
      <c r="AK24" s="1582">
        <f>DATA!AM42</f>
        <v>0</v>
      </c>
      <c r="AL24" s="3515" t="str">
        <f>DATA!AN42</f>
        <v>belum ada keterangan</v>
      </c>
      <c r="AM24" s="3515" t="str">
        <f>DATA!AO42</f>
        <v>tidak butuh lahan</v>
      </c>
      <c r="AN24" s="1545">
        <f>DATA!AQ42</f>
        <v>0</v>
      </c>
      <c r="AO24" s="1664" t="str">
        <f>DATA!AR42</f>
        <v>- untuk wilayah Timur
- belum ada dokumen R/C</v>
      </c>
      <c r="AQ24" s="10">
        <f t="shared" si="1"/>
        <v>0</v>
      </c>
      <c r="AR24" s="10">
        <f t="shared" si="2"/>
        <v>0</v>
      </c>
      <c r="AS24" s="10">
        <f t="shared" si="3"/>
        <v>0</v>
      </c>
      <c r="AT24" s="10">
        <f t="shared" si="4"/>
        <v>0</v>
      </c>
    </row>
    <row r="25" spans="1:46" ht="36.75" customHeight="1">
      <c r="J25" s="1418"/>
      <c r="K25" s="34"/>
      <c r="L25" s="34"/>
      <c r="M25" s="3400"/>
      <c r="N25" s="3581"/>
      <c r="O25" s="3591"/>
      <c r="P25" s="3409"/>
      <c r="Q25" s="3439"/>
      <c r="R25" s="3439"/>
      <c r="S25" s="3604"/>
      <c r="T25" s="1443"/>
      <c r="U25" s="1449" t="str">
        <f>DATA!Y43</f>
        <v>IDB</v>
      </c>
      <c r="V25" s="77">
        <f>DATA!AA43</f>
        <v>125000000</v>
      </c>
      <c r="W25" s="77">
        <v>0</v>
      </c>
      <c r="X25" s="1450" t="str">
        <f>DATA!Y43</f>
        <v>IDB</v>
      </c>
      <c r="Y25" s="109">
        <v>125000000</v>
      </c>
      <c r="Z25" s="109" t="s">
        <v>58</v>
      </c>
      <c r="AA25" s="1484" t="s">
        <v>879</v>
      </c>
      <c r="AB25" s="828"/>
      <c r="AC25" s="1485"/>
      <c r="AD25" s="1486"/>
      <c r="AE25" s="1486"/>
      <c r="AF25" s="1486"/>
      <c r="AG25" s="1513" t="s">
        <v>1339</v>
      </c>
      <c r="AH25" s="1509">
        <f>DATA!AT43</f>
        <v>125000000</v>
      </c>
      <c r="AI25" s="109" t="str">
        <f>DATA!AU43</f>
        <v>IDB</v>
      </c>
      <c r="AJ25" s="1544" t="str">
        <f>DATA!AW43</f>
        <v>-</v>
      </c>
      <c r="AK25" s="1582">
        <f>DATA!AM43</f>
        <v>0</v>
      </c>
      <c r="AL25" s="3630"/>
      <c r="AM25" s="3630"/>
      <c r="AN25" s="1545">
        <f>DATA!AQ43</f>
        <v>0</v>
      </c>
      <c r="AO25" s="1664" t="str">
        <f>DATA!AR43</f>
        <v>- untuk wilayah Barat
- belum ada dokumen R/C</v>
      </c>
      <c r="AQ25" s="10">
        <f t="shared" si="1"/>
        <v>0</v>
      </c>
      <c r="AR25" s="10">
        <f t="shared" si="2"/>
        <v>0</v>
      </c>
      <c r="AS25" s="10">
        <f t="shared" si="3"/>
        <v>0</v>
      </c>
      <c r="AT25" s="10">
        <f t="shared" si="4"/>
        <v>0</v>
      </c>
    </row>
    <row r="26" spans="1:46" ht="36.75" customHeight="1">
      <c r="A26" s="10">
        <f>DATA!A44</f>
        <v>36</v>
      </c>
      <c r="B26" s="10">
        <f>DATA!B44</f>
        <v>0</v>
      </c>
      <c r="C26" s="10" t="str">
        <f>DATA!D44</f>
        <v>INFRASTRUKTUR</v>
      </c>
      <c r="D26" s="10">
        <f>DATA!E44</f>
        <v>1</v>
      </c>
      <c r="E26" s="10" t="str">
        <f>DATA!F44</f>
        <v>Kementerian Pekerjaan Umum dan Perumahan Rakyat</v>
      </c>
      <c r="F26" s="10" t="str">
        <f>DATA!H44</f>
        <v>Development of Waste Water Management Program</v>
      </c>
      <c r="G26" s="10" t="str">
        <f>DATA!I44</f>
        <v>E</v>
      </c>
      <c r="H26" s="10" t="str">
        <f>DATA!J44</f>
        <v xml:space="preserve">Program Pembangunan Sistem Pengelolaan Air Limbah </v>
      </c>
      <c r="I26" s="10">
        <f>DATA!K44</f>
        <v>2</v>
      </c>
      <c r="J26" s="1418"/>
      <c r="K26" s="34"/>
      <c r="L26" s="34"/>
      <c r="M26" s="36">
        <v>5</v>
      </c>
      <c r="N26" s="199" t="str">
        <f>DATA!L44</f>
        <v>Jakarta Sewerage Development Project - Zone 1 and Zone 6</v>
      </c>
      <c r="O26" s="1402">
        <f>DATA!T44</f>
        <v>1950000000</v>
      </c>
      <c r="P26" s="187">
        <f>DATA!U44</f>
        <v>1950000000</v>
      </c>
      <c r="Q26" s="1446">
        <f>DATA!V44</f>
        <v>97500000</v>
      </c>
      <c r="R26" s="1446"/>
      <c r="S26" s="1447">
        <f>P26+Q26+R26</f>
        <v>2047500000</v>
      </c>
      <c r="T26" s="1448"/>
      <c r="U26" s="1449" t="str">
        <f>DATA!Y44</f>
        <v>JICA</v>
      </c>
      <c r="V26" s="77">
        <f>DATA!AA44</f>
        <v>1950000000</v>
      </c>
      <c r="W26" s="77">
        <v>0</v>
      </c>
      <c r="X26" s="1450" t="str">
        <f>DATA!Y44</f>
        <v>JICA</v>
      </c>
      <c r="Y26" s="109">
        <v>1950000000</v>
      </c>
      <c r="Z26" s="109" t="s">
        <v>55</v>
      </c>
      <c r="AA26" s="1484" t="s">
        <v>879</v>
      </c>
      <c r="AB26" s="828"/>
      <c r="AC26" s="1485"/>
      <c r="AD26" s="1486"/>
      <c r="AE26" s="1486"/>
      <c r="AF26" s="1486"/>
      <c r="AG26" s="1508" t="s">
        <v>1183</v>
      </c>
      <c r="AH26" s="1509">
        <f>DATA!AT44</f>
        <v>1950000000</v>
      </c>
      <c r="AI26" s="109" t="str">
        <f>DATA!AU44</f>
        <v>JICA</v>
      </c>
      <c r="AJ26" s="1544" t="str">
        <f>DATA!AW44</f>
        <v>-</v>
      </c>
      <c r="AK26" s="245">
        <f>DATA!AM44</f>
        <v>0</v>
      </c>
      <c r="AL26" s="1510" t="str">
        <f>DATA!AN44</f>
        <v>dalam proses
(memiliki FS)</v>
      </c>
      <c r="AM26" s="1511" t="str">
        <f>DATA!AO44</f>
        <v>dalam proses</v>
      </c>
      <c r="AN26" s="1545">
        <f>DATA!AQ44</f>
        <v>0</v>
      </c>
      <c r="AO26" s="1533" t="str">
        <f>DATA!AR44</f>
        <v>- Zona I: dalam pelaksanaan ES (tender konsultan)
- belum ada dokumen R/C</v>
      </c>
      <c r="AQ26" s="10">
        <f t="shared" si="1"/>
        <v>0</v>
      </c>
      <c r="AR26" s="10">
        <f t="shared" si="2"/>
        <v>1950000000</v>
      </c>
      <c r="AS26" s="10">
        <f t="shared" si="3"/>
        <v>0</v>
      </c>
      <c r="AT26" s="10">
        <f t="shared" si="4"/>
        <v>0</v>
      </c>
    </row>
    <row r="27" spans="1:46" ht="33.75" customHeight="1">
      <c r="A27" s="10">
        <f>DATA!A45</f>
        <v>37</v>
      </c>
      <c r="B27" s="10">
        <f>DATA!B45</f>
        <v>0</v>
      </c>
      <c r="C27" s="10" t="str">
        <f>DATA!D45</f>
        <v>INFRASTRUKTUR</v>
      </c>
      <c r="D27" s="10">
        <f>DATA!E45</f>
        <v>1</v>
      </c>
      <c r="E27" s="10" t="str">
        <f>DATA!F45</f>
        <v>Kementerian Pekerjaan Umum dan Perumahan Rakyat</v>
      </c>
      <c r="F27" s="10" t="str">
        <f>DATA!H45</f>
        <v>Development of Waste Water Management Program</v>
      </c>
      <c r="G27" s="10" t="str">
        <f>DATA!I45</f>
        <v>E</v>
      </c>
      <c r="H27" s="10" t="str">
        <f>DATA!J45</f>
        <v xml:space="preserve">Program Pembangunan Sistem Pengelolaan Air Limbah </v>
      </c>
      <c r="I27" s="10">
        <f>DATA!K45</f>
        <v>3</v>
      </c>
      <c r="J27" s="1418"/>
      <c r="K27" s="34"/>
      <c r="L27" s="34"/>
      <c r="M27" s="36">
        <v>6</v>
      </c>
      <c r="N27" s="199" t="str">
        <f>DATA!L45</f>
        <v>The Development of Sewage Treatment Plant Facility in Priority Area</v>
      </c>
      <c r="O27" s="1402">
        <f>DATA!T45</f>
        <v>75000000</v>
      </c>
      <c r="P27" s="187">
        <f>DATA!U45</f>
        <v>75000000</v>
      </c>
      <c r="Q27" s="1446">
        <f>DATA!V45</f>
        <v>3750000</v>
      </c>
      <c r="R27" s="1446"/>
      <c r="S27" s="1447">
        <f>P27+Q27+R27</f>
        <v>78750000</v>
      </c>
      <c r="T27" s="1448"/>
      <c r="U27" s="1449" t="str">
        <f>DATA!Y45</f>
        <v>Bank Dunia/JICA</v>
      </c>
      <c r="V27" s="77">
        <f>DATA!AA45</f>
        <v>75000000</v>
      </c>
      <c r="W27" s="77">
        <v>0</v>
      </c>
      <c r="X27" s="1450" t="str">
        <f>DATA!Y45</f>
        <v>Bank Dunia/JICA</v>
      </c>
      <c r="Y27" s="109">
        <v>75000000</v>
      </c>
      <c r="Z27" s="109" t="s">
        <v>62</v>
      </c>
      <c r="AA27" s="1484" t="s">
        <v>879</v>
      </c>
      <c r="AB27" s="828"/>
      <c r="AC27" s="1485"/>
      <c r="AD27" s="1486"/>
      <c r="AE27" s="1486"/>
      <c r="AF27" s="1486"/>
      <c r="AG27" s="1508" t="s">
        <v>1164</v>
      </c>
      <c r="AH27" s="1509">
        <f>DATA!AT45</f>
        <v>75000000</v>
      </c>
      <c r="AI27" s="109" t="str">
        <f>DATA!AU45</f>
        <v>Bank Dunia</v>
      </c>
      <c r="AJ27" s="1544" t="str">
        <f>DATA!AW45</f>
        <v xml:space="preserve">- usulan K/L lender: Bank Dunia/JICA/ADB. 
- pihak Bank Dunia berminat, ADB dan JICA tidak berminat
- dalam rencana pembiayaan Bank Dunia, kegiatan ini dijadikan satu paket dengan kegiatan "Sewerage System Development in Indonesia" </v>
      </c>
      <c r="AK27" s="245">
        <f>DATA!AM45</f>
        <v>0</v>
      </c>
      <c r="AL27" s="1510" t="str">
        <f>DATA!AN45</f>
        <v>dalam proses
(memiliki FS)</v>
      </c>
      <c r="AM27" s="1511" t="str">
        <f>DATA!AO45</f>
        <v>belum ada keterangan</v>
      </c>
      <c r="AN27" s="1545">
        <f>DATA!AQ45</f>
        <v>0</v>
      </c>
      <c r="AO27" s="1533" t="str">
        <f>DATA!AR45</f>
        <v>belum ada dokumen R/C</v>
      </c>
      <c r="AQ27" s="10">
        <f t="shared" si="1"/>
        <v>0</v>
      </c>
      <c r="AR27" s="10">
        <f t="shared" si="2"/>
        <v>0</v>
      </c>
      <c r="AS27" s="10">
        <f t="shared" si="3"/>
        <v>0</v>
      </c>
      <c r="AT27" s="10">
        <f t="shared" si="4"/>
        <v>0</v>
      </c>
    </row>
    <row r="28" spans="1:46" s="9" customFormat="1" ht="73.5" customHeight="1">
      <c r="A28" s="9">
        <f>DATA!A47</f>
        <v>38</v>
      </c>
      <c r="B28" s="9">
        <f>DATA!B47</f>
        <v>0</v>
      </c>
      <c r="C28" s="9" t="str">
        <f>DATA!D47</f>
        <v>INFRASTRUKTUR</v>
      </c>
      <c r="D28" s="9">
        <f>DATA!E47</f>
        <v>1</v>
      </c>
      <c r="E28" s="9" t="str">
        <f>DATA!F47</f>
        <v>Kementerian Pekerjaan Umum dan Perumahan Rakyat</v>
      </c>
      <c r="F28" s="9" t="str">
        <f>DATA!H47</f>
        <v>Development of Waste Water Management Program</v>
      </c>
      <c r="G28" s="9" t="str">
        <f>DATA!I47</f>
        <v>E</v>
      </c>
      <c r="H28" s="9" t="str">
        <f>DATA!J47</f>
        <v xml:space="preserve">Program Pembangunan Sistem Pengelolaan Air Limbah </v>
      </c>
      <c r="I28" s="9">
        <f>DATA!K47</f>
        <v>4</v>
      </c>
      <c r="J28" s="1418"/>
      <c r="K28" s="63"/>
      <c r="L28" s="63"/>
      <c r="M28" s="3453">
        <v>7</v>
      </c>
      <c r="N28" s="3582" t="str">
        <f>DATA!L47</f>
        <v>Sewerage System Development in Indonesia</v>
      </c>
      <c r="O28" s="3593">
        <f>DATA!T46</f>
        <v>975000000</v>
      </c>
      <c r="P28" s="3431">
        <f>AH28+AH29+AH30+AH31</f>
        <v>949800000</v>
      </c>
      <c r="Q28" s="3440">
        <f>DATA!V46</f>
        <v>48750000</v>
      </c>
      <c r="R28" s="3440"/>
      <c r="S28" s="3605">
        <f>P28+Q28+R28</f>
        <v>998550000</v>
      </c>
      <c r="T28" s="1679"/>
      <c r="U28" s="3486" t="str">
        <f>DATA!Y47</f>
        <v>ADB</v>
      </c>
      <c r="V28" s="3491">
        <f>DATA!AA47</f>
        <v>424800000</v>
      </c>
      <c r="W28" s="3491" t="s">
        <v>21</v>
      </c>
      <c r="X28" s="3616" t="str">
        <f>DATA!Y47</f>
        <v>ADB</v>
      </c>
      <c r="Y28" s="273">
        <v>400000000</v>
      </c>
      <c r="Z28" s="273" t="s">
        <v>117</v>
      </c>
      <c r="AA28" s="1684" t="s">
        <v>1173</v>
      </c>
      <c r="AB28" s="1685"/>
      <c r="AC28" s="1686"/>
      <c r="AD28" s="1687"/>
      <c r="AE28" s="1687"/>
      <c r="AF28" s="1687"/>
      <c r="AG28" s="3255" t="s">
        <v>1174</v>
      </c>
      <c r="AH28" s="281">
        <f>DATA!AT47</f>
        <v>400000000</v>
      </c>
      <c r="AI28" s="273" t="str">
        <f>DATA!AU47</f>
        <v>ADB</v>
      </c>
      <c r="AJ28" s="1688" t="str">
        <f>DATA!AW47</f>
        <v>- nilai kegiatan yang tercantum dalam COBP ADB sebesar USD 400 juta.
- nilai kegiatan berkurang sebesar USD 25,2 yang dialihkan untuk membiayai kegiatan ES</v>
      </c>
      <c r="AK28" s="245">
        <f>DATA!AM47</f>
        <v>0</v>
      </c>
      <c r="AL28" s="3516" t="str">
        <f>DATA!AN47</f>
        <v>belum ada keterangan</v>
      </c>
      <c r="AM28" s="3516" t="str">
        <f>DATA!AO47</f>
        <v>belum ada keterangan</v>
      </c>
      <c r="AN28" s="1545">
        <f>DATA!AQ47</f>
        <v>0</v>
      </c>
      <c r="AO28" s="3506" t="str">
        <f>DATA!AR47</f>
        <v>- nilai pinjaman berkurang sebesar USD 25,20 juta untuk kegiatan ES
- belum ada dokumen R/C</v>
      </c>
      <c r="AQ28" s="10">
        <f t="shared" si="1"/>
        <v>0</v>
      </c>
      <c r="AR28" s="10">
        <f t="shared" si="2"/>
        <v>0</v>
      </c>
      <c r="AS28" s="10">
        <f t="shared" si="3"/>
        <v>0</v>
      </c>
      <c r="AT28" s="10">
        <f t="shared" si="4"/>
        <v>0</v>
      </c>
    </row>
    <row r="29" spans="1:46" s="9" customFormat="1" ht="63.75">
      <c r="J29" s="1418"/>
      <c r="K29" s="63"/>
      <c r="L29" s="63"/>
      <c r="M29" s="3454"/>
      <c r="N29" s="3583"/>
      <c r="O29" s="3594"/>
      <c r="P29" s="3432"/>
      <c r="Q29" s="3441"/>
      <c r="R29" s="3441"/>
      <c r="S29" s="3606"/>
      <c r="T29" s="1681"/>
      <c r="U29" s="3487"/>
      <c r="V29" s="3492"/>
      <c r="W29" s="3492"/>
      <c r="X29" s="3617"/>
      <c r="Y29" s="273">
        <v>24800000</v>
      </c>
      <c r="Z29" s="273" t="s">
        <v>1063</v>
      </c>
      <c r="AA29" s="1684" t="s">
        <v>1160</v>
      </c>
      <c r="AB29" s="1685"/>
      <c r="AC29" s="1686"/>
      <c r="AD29" s="1687"/>
      <c r="AE29" s="1687"/>
      <c r="AF29" s="1687"/>
      <c r="AG29" s="3253" t="s">
        <v>1175</v>
      </c>
      <c r="AH29" s="281">
        <f>DATA!AT50</f>
        <v>24800000</v>
      </c>
      <c r="AI29" s="273" t="str">
        <f>DATA!AU50</f>
        <v>Belum Ada Indikasi</v>
      </c>
      <c r="AJ29" s="1689" t="str">
        <f>DATA!AW50</f>
        <v>co-financing dengan ADB (USD 400 juta), IDB (USD 325 juta) &amp; Bank Dunia (USD 200 juta)</v>
      </c>
      <c r="AK29" s="245">
        <f>DATA!AM50</f>
        <v>0</v>
      </c>
      <c r="AL29" s="3517"/>
      <c r="AM29" s="3517"/>
      <c r="AN29" s="1545">
        <f>DATA!AQ50</f>
        <v>0</v>
      </c>
      <c r="AO29" s="3507"/>
      <c r="AQ29" s="10">
        <f t="shared" si="1"/>
        <v>0</v>
      </c>
      <c r="AR29" s="10">
        <f t="shared" si="2"/>
        <v>0</v>
      </c>
      <c r="AS29" s="10">
        <f t="shared" si="3"/>
        <v>0</v>
      </c>
      <c r="AT29" s="10">
        <f t="shared" si="4"/>
        <v>0</v>
      </c>
    </row>
    <row r="30" spans="1:46" s="9" customFormat="1" ht="38.25">
      <c r="A30" s="9">
        <f>DATA!A48</f>
        <v>39</v>
      </c>
      <c r="B30" s="9">
        <f>DATA!B48</f>
        <v>0</v>
      </c>
      <c r="C30" s="9" t="str">
        <f>DATA!D48</f>
        <v>INFRASTRUKTUR</v>
      </c>
      <c r="D30" s="9">
        <f>DATA!E48</f>
        <v>1</v>
      </c>
      <c r="E30" s="9" t="str">
        <f>DATA!F48</f>
        <v>Kementerian Pekerjaan Umum dan Perumahan Rakyat</v>
      </c>
      <c r="F30" s="9" t="str">
        <f>DATA!H48</f>
        <v>Development of Waste Water Management Program</v>
      </c>
      <c r="G30" s="9" t="str">
        <f>DATA!I48</f>
        <v>E</v>
      </c>
      <c r="H30" s="9" t="str">
        <f>DATA!J48</f>
        <v xml:space="preserve">Program Pembangunan Sistem Pengelolaan Air Limbah </v>
      </c>
      <c r="I30" s="9">
        <f>DATA!K48</f>
        <v>4</v>
      </c>
      <c r="J30" s="1418"/>
      <c r="K30" s="63"/>
      <c r="L30" s="63"/>
      <c r="M30" s="3454"/>
      <c r="N30" s="3583"/>
      <c r="O30" s="3594"/>
      <c r="P30" s="3432"/>
      <c r="Q30" s="3441"/>
      <c r="R30" s="3441"/>
      <c r="S30" s="3606"/>
      <c r="T30" s="1681"/>
      <c r="U30" s="1455" t="str">
        <f>DATA!Y48</f>
        <v>IDB</v>
      </c>
      <c r="V30" s="91">
        <f>DATA!AA48</f>
        <v>325000000</v>
      </c>
      <c r="W30" s="91">
        <v>0</v>
      </c>
      <c r="X30" s="286" t="str">
        <f>DATA!Y48</f>
        <v>IDB</v>
      </c>
      <c r="Y30" s="273">
        <v>325000000</v>
      </c>
      <c r="Z30" s="273" t="s">
        <v>58</v>
      </c>
      <c r="AA30" s="1684" t="s">
        <v>879</v>
      </c>
      <c r="AB30" s="1685"/>
      <c r="AC30" s="1686"/>
      <c r="AD30" s="1687"/>
      <c r="AE30" s="1687"/>
      <c r="AF30" s="1687"/>
      <c r="AG30" s="3255" t="s">
        <v>1176</v>
      </c>
      <c r="AH30" s="281">
        <f>DATA!AT48</f>
        <v>325000000</v>
      </c>
      <c r="AI30" s="273" t="str">
        <f>DATA!AU48</f>
        <v>IDB</v>
      </c>
      <c r="AJ30" s="1688" t="str">
        <f>DATA!AW48</f>
        <v>-</v>
      </c>
      <c r="AK30" s="245">
        <f>DATA!AM48</f>
        <v>0</v>
      </c>
      <c r="AL30" s="3517"/>
      <c r="AM30" s="3517"/>
      <c r="AN30" s="1545">
        <f>DATA!AQ48</f>
        <v>0</v>
      </c>
      <c r="AO30" s="3507"/>
      <c r="AQ30" s="10">
        <f t="shared" si="1"/>
        <v>0</v>
      </c>
      <c r="AR30" s="10">
        <f t="shared" si="2"/>
        <v>0</v>
      </c>
      <c r="AS30" s="10">
        <f t="shared" si="3"/>
        <v>0</v>
      </c>
      <c r="AT30" s="10">
        <f t="shared" si="4"/>
        <v>0</v>
      </c>
    </row>
    <row r="31" spans="1:46" s="9" customFormat="1" ht="87" customHeight="1">
      <c r="A31" s="9">
        <f>DATA!A49</f>
        <v>40</v>
      </c>
      <c r="B31" s="9">
        <f>DATA!B49</f>
        <v>0</v>
      </c>
      <c r="C31" s="9" t="str">
        <f>DATA!D49</f>
        <v>INFRASTRUKTUR</v>
      </c>
      <c r="D31" s="9">
        <f>DATA!E49</f>
        <v>1</v>
      </c>
      <c r="E31" s="9" t="str">
        <f>DATA!F49</f>
        <v>Kementerian Pekerjaan Umum dan Perumahan Rakyat</v>
      </c>
      <c r="F31" s="9" t="str">
        <f>DATA!H49</f>
        <v>Development of Waste Water Management Program</v>
      </c>
      <c r="G31" s="9" t="str">
        <f>DATA!I49</f>
        <v>E</v>
      </c>
      <c r="H31" s="9" t="str">
        <f>DATA!J49</f>
        <v xml:space="preserve">Program Pembangunan Sistem Pengelolaan Air Limbah </v>
      </c>
      <c r="I31" s="9">
        <f>DATA!K49</f>
        <v>4</v>
      </c>
      <c r="J31" s="1418"/>
      <c r="K31" s="63"/>
      <c r="L31" s="63"/>
      <c r="M31" s="3455"/>
      <c r="N31" s="3584"/>
      <c r="O31" s="3595"/>
      <c r="P31" s="3433"/>
      <c r="Q31" s="3442"/>
      <c r="R31" s="3442"/>
      <c r="S31" s="3607"/>
      <c r="T31" s="1683"/>
      <c r="U31" s="1455" t="str">
        <f>DATA!Y49</f>
        <v>Bank Dunia</v>
      </c>
      <c r="V31" s="91">
        <f>DATA!AA49</f>
        <v>200000000</v>
      </c>
      <c r="W31" s="91">
        <v>0</v>
      </c>
      <c r="X31" s="286" t="str">
        <f>DATA!Y49</f>
        <v>Bank Dunia</v>
      </c>
      <c r="Y31" s="273">
        <v>200000000</v>
      </c>
      <c r="Z31" s="273" t="s">
        <v>62</v>
      </c>
      <c r="AA31" s="1684" t="s">
        <v>879</v>
      </c>
      <c r="AB31" s="1685"/>
      <c r="AC31" s="1686"/>
      <c r="AD31" s="1687"/>
      <c r="AE31" s="1687"/>
      <c r="AF31" s="1687"/>
      <c r="AG31" s="3255" t="s">
        <v>1177</v>
      </c>
      <c r="AH31" s="281">
        <f>DATA!AT49</f>
        <v>200000000</v>
      </c>
      <c r="AI31" s="273" t="str">
        <f>DATA!AU49</f>
        <v>Bank Dunia</v>
      </c>
      <c r="AJ31" s="1688" t="str">
        <f>DATA!AW49</f>
        <v>-</v>
      </c>
      <c r="AK31" s="245">
        <f>DATA!AM49</f>
        <v>0</v>
      </c>
      <c r="AL31" s="3518"/>
      <c r="AM31" s="3518"/>
      <c r="AN31" s="1545">
        <f>DATA!AQ49</f>
        <v>0</v>
      </c>
      <c r="AO31" s="3508"/>
      <c r="AQ31" s="10">
        <f t="shared" si="1"/>
        <v>0</v>
      </c>
      <c r="AR31" s="10">
        <f t="shared" si="2"/>
        <v>0</v>
      </c>
      <c r="AS31" s="10">
        <f t="shared" si="3"/>
        <v>0</v>
      </c>
      <c r="AT31" s="10">
        <f t="shared" si="4"/>
        <v>0</v>
      </c>
    </row>
    <row r="32" spans="1:46" ht="64.5" customHeight="1">
      <c r="A32" s="10">
        <f>DATA!A51</f>
        <v>41</v>
      </c>
      <c r="B32" s="10">
        <f>DATA!B51</f>
        <v>0</v>
      </c>
      <c r="C32" s="10" t="str">
        <f>DATA!D51</f>
        <v>INFRASTRUKTUR</v>
      </c>
      <c r="D32" s="10">
        <f>DATA!E51</f>
        <v>1</v>
      </c>
      <c r="E32" s="10" t="str">
        <f>DATA!F51</f>
        <v>Kementerian Pekerjaan Umum dan Perumahan Rakyat</v>
      </c>
      <c r="F32" s="10" t="str">
        <f>DATA!H51</f>
        <v>Development of Waste Water Management Program</v>
      </c>
      <c r="G32" s="10" t="str">
        <f>DATA!I51</f>
        <v>E</v>
      </c>
      <c r="H32" s="10" t="str">
        <f>DATA!J51</f>
        <v xml:space="preserve">Program Pembangunan Sistem Pengelolaan Air Limbah </v>
      </c>
      <c r="I32" s="10">
        <f>DATA!K51</f>
        <v>5</v>
      </c>
      <c r="J32" s="1418"/>
      <c r="K32" s="34"/>
      <c r="L32" s="34"/>
      <c r="M32" s="36">
        <v>8</v>
      </c>
      <c r="N32" s="199" t="str">
        <f>DATA!L51</f>
        <v>Denpasar Sewerage Development Project - Phase III</v>
      </c>
      <c r="O32" s="1402">
        <f>DATA!T51</f>
        <v>233000000</v>
      </c>
      <c r="P32" s="187">
        <f>DATA!U51</f>
        <v>233000000</v>
      </c>
      <c r="Q32" s="1446">
        <f>BB[[#This Row],[PENDAMPING BB]]</f>
        <v>1670000</v>
      </c>
      <c r="R32" s="1446"/>
      <c r="S32" s="1447">
        <f t="shared" ref="S32:S38" si="6">P32+Q32+R32</f>
        <v>234670000</v>
      </c>
      <c r="T32" s="1448"/>
      <c r="U32" s="1449" t="str">
        <f>DATA!Y51</f>
        <v>JICA</v>
      </c>
      <c r="V32" s="77">
        <f>DATA!AA51</f>
        <v>233000000</v>
      </c>
      <c r="W32" s="77">
        <v>0</v>
      </c>
      <c r="X32" s="1450" t="str">
        <f>DATA!Y51</f>
        <v>JICA</v>
      </c>
      <c r="Y32" s="109">
        <v>233000000</v>
      </c>
      <c r="Z32" s="109" t="s">
        <v>55</v>
      </c>
      <c r="AA32" s="1484" t="s">
        <v>1160</v>
      </c>
      <c r="AB32" s="828"/>
      <c r="AC32" s="1485"/>
      <c r="AD32" s="1486"/>
      <c r="AE32" s="1486"/>
      <c r="AF32" s="1486"/>
      <c r="AG32" s="3253" t="s">
        <v>1178</v>
      </c>
      <c r="AH32" s="1509">
        <f>DATA!AT51</f>
        <v>233000000</v>
      </c>
      <c r="AI32" s="109" t="str">
        <f>DATA!AU51</f>
        <v>JICA</v>
      </c>
      <c r="AJ32" s="1544" t="str">
        <f>DATA!AW51</f>
        <v>-</v>
      </c>
      <c r="AK32" s="245">
        <f>DATA!AM51</f>
        <v>0</v>
      </c>
      <c r="AL32" s="1510" t="str">
        <f>DATA!AN51</f>
        <v>dalam proses
(memiliki FS)</v>
      </c>
      <c r="AM32" s="1511" t="str">
        <f>DATA!AO51</f>
        <v>belum ada keterangan</v>
      </c>
      <c r="AN32" s="1545">
        <f>DATA!AQ51</f>
        <v>0</v>
      </c>
      <c r="AO32" s="1533" t="str">
        <f>DATA!AR51</f>
        <v>Pengajuan pre-request</v>
      </c>
      <c r="AQ32" s="10">
        <f t="shared" si="1"/>
        <v>0</v>
      </c>
      <c r="AR32" s="10">
        <f t="shared" si="2"/>
        <v>233000000</v>
      </c>
      <c r="AS32" s="10">
        <f t="shared" si="3"/>
        <v>0</v>
      </c>
      <c r="AT32" s="10">
        <f t="shared" si="4"/>
        <v>0</v>
      </c>
    </row>
    <row r="33" spans="1:46" ht="37.5" customHeight="1">
      <c r="A33" s="10">
        <f>DATA!A52</f>
        <v>42</v>
      </c>
      <c r="B33" s="10">
        <f>DATA!B52</f>
        <v>0</v>
      </c>
      <c r="C33" s="10" t="str">
        <f>DATA!D52</f>
        <v>INFRASTRUKTUR</v>
      </c>
      <c r="D33" s="10">
        <f>DATA!E52</f>
        <v>1</v>
      </c>
      <c r="E33" s="10" t="str">
        <f>DATA!F52</f>
        <v>Kementerian Pekerjaan Umum dan Perumahan Rakyat</v>
      </c>
      <c r="F33" s="10" t="str">
        <f>DATA!H52</f>
        <v>Development of Waste Water Management Program</v>
      </c>
      <c r="G33" s="10" t="str">
        <f>DATA!I52</f>
        <v>E</v>
      </c>
      <c r="H33" s="10" t="str">
        <f>DATA!J52</f>
        <v xml:space="preserve">Program Pembangunan Sistem Pengelolaan Air Limbah </v>
      </c>
      <c r="I33" s="10">
        <f>DATA!K52</f>
        <v>6</v>
      </c>
      <c r="J33" s="1418"/>
      <c r="K33" s="34"/>
      <c r="L33" s="34"/>
      <c r="M33" s="36">
        <v>9</v>
      </c>
      <c r="N33" s="199" t="str">
        <f>DATA!L52</f>
        <v>The Development and Optimization of Wastewater Treatment in Greater Bandung</v>
      </c>
      <c r="O33" s="1402">
        <f>DATA!T52</f>
        <v>100000000</v>
      </c>
      <c r="P33" s="187">
        <f>DATA!U52</f>
        <v>100000000</v>
      </c>
      <c r="Q33" s="1446">
        <f>BB[[#This Row],[PENDAMPING BB]]</f>
        <v>2000000</v>
      </c>
      <c r="R33" s="1446"/>
      <c r="S33" s="1447">
        <f t="shared" si="6"/>
        <v>102000000</v>
      </c>
      <c r="T33" s="1448"/>
      <c r="U33" s="1449" t="str">
        <f>DATA!Y52</f>
        <v>Jerman (KfW)</v>
      </c>
      <c r="V33" s="77">
        <f>DATA!AA52</f>
        <v>100000000</v>
      </c>
      <c r="W33" s="77">
        <v>0</v>
      </c>
      <c r="X33" s="1450" t="str">
        <f>DATA!Y52</f>
        <v>Jerman (KfW)</v>
      </c>
      <c r="Y33" s="109">
        <v>100000000</v>
      </c>
      <c r="Z33" s="109" t="s">
        <v>91</v>
      </c>
      <c r="AA33" s="1484" t="s">
        <v>1163</v>
      </c>
      <c r="AB33" s="828"/>
      <c r="AC33" s="1485"/>
      <c r="AD33" s="1486"/>
      <c r="AE33" s="1486"/>
      <c r="AF33" s="1486"/>
      <c r="AG33" s="1514"/>
      <c r="AH33" s="1509">
        <f>DATA!AT52</f>
        <v>100000000</v>
      </c>
      <c r="AI33" s="109" t="str">
        <f>DATA!AU52</f>
        <v>Jerman (KfW)</v>
      </c>
      <c r="AJ33" s="1544" t="str">
        <f>DATA!AW52</f>
        <v>-</v>
      </c>
      <c r="AK33" s="245">
        <f>DATA!AM52</f>
        <v>0</v>
      </c>
      <c r="AL33" s="1510" t="str">
        <f>DATA!AN52</f>
        <v>dalam proses
(penyusunan FS)</v>
      </c>
      <c r="AM33" s="1511" t="str">
        <f>DATA!AO52</f>
        <v>belum ada keterangan</v>
      </c>
      <c r="AN33" s="1545">
        <f>DATA!AQ52</f>
        <v>0</v>
      </c>
      <c r="AO33" s="1533" t="str">
        <f>DATA!AR52</f>
        <v>penyiapan dokumen R/C</v>
      </c>
      <c r="AQ33" s="10">
        <f t="shared" si="1"/>
        <v>0</v>
      </c>
      <c r="AR33" s="10">
        <f t="shared" si="2"/>
        <v>0</v>
      </c>
      <c r="AS33" s="10">
        <f t="shared" si="3"/>
        <v>0</v>
      </c>
      <c r="AT33" s="10">
        <f t="shared" si="4"/>
        <v>0</v>
      </c>
    </row>
    <row r="34" spans="1:46" s="5" customFormat="1" ht="33.75" customHeight="1">
      <c r="J34" s="1417"/>
      <c r="K34" s="50"/>
      <c r="L34" s="30" t="str">
        <f>DATA!I54</f>
        <v>F</v>
      </c>
      <c r="M34" s="3565" t="str">
        <f>DATA!J54</f>
        <v xml:space="preserve">Program Pembangunan Sistem Pengelolaan Persampahan </v>
      </c>
      <c r="N34" s="3566"/>
      <c r="O34" s="214">
        <f>+O35+O36</f>
        <v>250000000</v>
      </c>
      <c r="P34" s="197">
        <f>+P35+P36</f>
        <v>250000000</v>
      </c>
      <c r="Q34" s="1436">
        <f>+Q35+Q36</f>
        <v>12500000</v>
      </c>
      <c r="R34" s="1436">
        <f>+R35+R36</f>
        <v>0</v>
      </c>
      <c r="S34" s="244">
        <f t="shared" si="6"/>
        <v>262500000</v>
      </c>
      <c r="T34" s="1437"/>
      <c r="U34" s="198"/>
      <c r="V34" s="81">
        <f>+V35+V36</f>
        <v>250000000</v>
      </c>
      <c r="W34" s="81">
        <f>+W35+W36</f>
        <v>0</v>
      </c>
      <c r="X34" s="243"/>
      <c r="Y34" s="81">
        <f>Y35+Y36</f>
        <v>250000000</v>
      </c>
      <c r="Z34" s="81"/>
      <c r="AA34" s="1469"/>
      <c r="AB34" s="1470"/>
      <c r="AC34" s="1471"/>
      <c r="AD34" s="1472"/>
      <c r="AE34" s="1472"/>
      <c r="AF34" s="1472"/>
      <c r="AG34" s="1504"/>
      <c r="AH34" s="198">
        <f>+AH35+AH36</f>
        <v>250000000</v>
      </c>
      <c r="AI34" s="81" t="s">
        <v>21</v>
      </c>
      <c r="AJ34" s="214"/>
      <c r="AK34" s="1505"/>
      <c r="AL34" s="1506"/>
      <c r="AM34" s="169"/>
      <c r="AN34" s="1507"/>
      <c r="AO34" s="1530"/>
      <c r="AQ34" s="10">
        <f t="shared" si="1"/>
        <v>0</v>
      </c>
      <c r="AR34" s="10">
        <f t="shared" si="2"/>
        <v>0</v>
      </c>
      <c r="AS34" s="10">
        <f t="shared" si="3"/>
        <v>0</v>
      </c>
      <c r="AT34" s="10">
        <f t="shared" si="4"/>
        <v>0</v>
      </c>
    </row>
    <row r="35" spans="1:46" ht="37.5" customHeight="1">
      <c r="A35" s="10">
        <f>DATA!A54</f>
        <v>43</v>
      </c>
      <c r="B35" s="10">
        <f>DATA!B54</f>
        <v>0</v>
      </c>
      <c r="C35" s="10" t="str">
        <f>DATA!D54</f>
        <v>INFRASTRUKTUR</v>
      </c>
      <c r="D35" s="10">
        <f>DATA!E54</f>
        <v>1</v>
      </c>
      <c r="E35" s="10" t="str">
        <f>DATA!F54</f>
        <v>Kementerian Pekerjaan Umum dan Perumahan Rakyat</v>
      </c>
      <c r="F35" s="10" t="str">
        <f>DATA!H54</f>
        <v>Development of Solid Waste Management Program</v>
      </c>
      <c r="G35" s="10" t="str">
        <f>DATA!I54</f>
        <v>F</v>
      </c>
      <c r="H35" s="10" t="str">
        <f>DATA!J54</f>
        <v xml:space="preserve">Program Pembangunan Sistem Pengelolaan Persampahan </v>
      </c>
      <c r="I35" s="10">
        <f>DATA!K54</f>
        <v>1</v>
      </c>
      <c r="J35" s="1418"/>
      <c r="K35" s="34"/>
      <c r="L35" s="35"/>
      <c r="M35" s="36">
        <v>10</v>
      </c>
      <c r="N35" s="199" t="str">
        <f>DATA!L54</f>
        <v xml:space="preserve">Advanced Solid Waste Management for Sustainable Urban Development (Advance SWM-SUD) </v>
      </c>
      <c r="O35" s="1402">
        <f>DATA!T54</f>
        <v>150000000</v>
      </c>
      <c r="P35" s="187">
        <f>DATA!U54</f>
        <v>150000000</v>
      </c>
      <c r="Q35" s="1446">
        <f>DATA!V54</f>
        <v>7500000</v>
      </c>
      <c r="R35" s="1446">
        <f>DATA!W54</f>
        <v>0</v>
      </c>
      <c r="S35" s="1447">
        <f t="shared" si="6"/>
        <v>157500000</v>
      </c>
      <c r="T35" s="1448"/>
      <c r="U35" s="1449" t="str">
        <f>DATA!Y54</f>
        <v>Jerman (KfW)</v>
      </c>
      <c r="V35" s="77">
        <f>DATA!AA54</f>
        <v>150000000</v>
      </c>
      <c r="W35" s="77">
        <v>0</v>
      </c>
      <c r="X35" s="1450" t="str">
        <f>DATA!Y54</f>
        <v>Jerman (KfW)</v>
      </c>
      <c r="Y35" s="109">
        <v>150000000</v>
      </c>
      <c r="Z35" s="109" t="s">
        <v>91</v>
      </c>
      <c r="AA35" s="1484" t="s">
        <v>1163</v>
      </c>
      <c r="AB35" s="828"/>
      <c r="AC35" s="1485"/>
      <c r="AD35" s="1486"/>
      <c r="AE35" s="1486"/>
      <c r="AF35" s="1486"/>
      <c r="AG35" s="1514"/>
      <c r="AH35" s="1509">
        <f>DATA!AT54</f>
        <v>150000000</v>
      </c>
      <c r="AI35" s="109" t="str">
        <f>DATA!AU54</f>
        <v>Jerman (KfW)</v>
      </c>
      <c r="AJ35" s="1544" t="str">
        <f>DATA!AW54</f>
        <v>-</v>
      </c>
      <c r="AK35" s="245">
        <f>DATA!AM54</f>
        <v>0</v>
      </c>
      <c r="AL35" s="1510" t="str">
        <f>DATA!AN54</f>
        <v>dalam proses
(penyusunan FS)</v>
      </c>
      <c r="AM35" s="1511" t="str">
        <f>DATA!AO54</f>
        <v>belum ada keterangan</v>
      </c>
      <c r="AN35" s="1545">
        <f>DATA!AQ54</f>
        <v>0</v>
      </c>
      <c r="AO35" s="1533" t="str">
        <f>DATA!AR54</f>
        <v>belum ada dokumen R/C</v>
      </c>
      <c r="AQ35" s="10">
        <f t="shared" si="1"/>
        <v>0</v>
      </c>
      <c r="AR35" s="10">
        <f t="shared" si="2"/>
        <v>0</v>
      </c>
      <c r="AS35" s="10">
        <f t="shared" si="3"/>
        <v>0</v>
      </c>
      <c r="AT35" s="10">
        <f t="shared" si="4"/>
        <v>0</v>
      </c>
    </row>
    <row r="36" spans="1:46" ht="40.5" customHeight="1">
      <c r="A36" s="10">
        <f>DATA!A55</f>
        <v>44</v>
      </c>
      <c r="B36" s="10">
        <f>DATA!B55</f>
        <v>0</v>
      </c>
      <c r="C36" s="10" t="str">
        <f>DATA!D55</f>
        <v>INFRASTRUKTUR</v>
      </c>
      <c r="D36" s="10">
        <f>DATA!E55</f>
        <v>1</v>
      </c>
      <c r="E36" s="10" t="str">
        <f>DATA!F55</f>
        <v>Kementerian Pekerjaan Umum dan Perumahan Rakyat</v>
      </c>
      <c r="F36" s="10" t="str">
        <f>DATA!H55</f>
        <v>Development of Solid Waste Management Program</v>
      </c>
      <c r="G36" s="10" t="str">
        <f>DATA!I55</f>
        <v>F</v>
      </c>
      <c r="H36" s="10" t="str">
        <f>DATA!J55</f>
        <v xml:space="preserve">Program Pembangunan Sistem Pengelolaan Persampahan </v>
      </c>
      <c r="I36" s="10">
        <f>DATA!K55</f>
        <v>2</v>
      </c>
      <c r="J36" s="1418"/>
      <c r="K36" s="34"/>
      <c r="L36" s="54"/>
      <c r="M36" s="36">
        <v>11</v>
      </c>
      <c r="N36" s="199" t="str">
        <f>DATA!L55</f>
        <v>The Improvement of Solid Waste Management to Support Regional Area and Metropolitan Cities</v>
      </c>
      <c r="O36" s="1402">
        <f>DATA!T55</f>
        <v>100000000</v>
      </c>
      <c r="P36" s="187">
        <f>DATA!U55</f>
        <v>100000000</v>
      </c>
      <c r="Q36" s="1446">
        <f>DATA!V55</f>
        <v>5000000</v>
      </c>
      <c r="R36" s="1446">
        <f>DATA!W55</f>
        <v>0</v>
      </c>
      <c r="S36" s="1447">
        <f t="shared" si="6"/>
        <v>105000000</v>
      </c>
      <c r="T36" s="1448"/>
      <c r="U36" s="1449" t="str">
        <f>DATA!Y55</f>
        <v>Bank Dunia</v>
      </c>
      <c r="V36" s="77">
        <f>DATA!AA55</f>
        <v>100000000</v>
      </c>
      <c r="W36" s="77">
        <v>0</v>
      </c>
      <c r="X36" s="1450" t="str">
        <f>DATA!Y55</f>
        <v>Bank Dunia</v>
      </c>
      <c r="Y36" s="109">
        <v>100000000</v>
      </c>
      <c r="Z36" s="109" t="s">
        <v>62</v>
      </c>
      <c r="AA36" s="1484" t="s">
        <v>879</v>
      </c>
      <c r="AB36" s="828"/>
      <c r="AC36" s="1485"/>
      <c r="AD36" s="1486"/>
      <c r="AE36" s="1486"/>
      <c r="AF36" s="1486"/>
      <c r="AG36" s="1514" t="s">
        <v>1164</v>
      </c>
      <c r="AH36" s="1509">
        <f>DATA!AT55</f>
        <v>100000000</v>
      </c>
      <c r="AI36" s="109" t="str">
        <f>DATA!AU55</f>
        <v>Bank Dunia</v>
      </c>
      <c r="AJ36" s="1544" t="str">
        <f>DATA!AW55</f>
        <v>-</v>
      </c>
      <c r="AK36" s="245">
        <f>DATA!AM55</f>
        <v>0</v>
      </c>
      <c r="AL36" s="1510" t="str">
        <f>DATA!AN55</f>
        <v>dalam proses
(memiliki FS)</v>
      </c>
      <c r="AM36" s="1511" t="str">
        <f>DATA!AO55</f>
        <v>dalam proses
(persiapan)</v>
      </c>
      <c r="AN36" s="1545">
        <f>DATA!AQ55</f>
        <v>0</v>
      </c>
      <c r="AO36" s="1533" t="str">
        <f>DATA!AR55</f>
        <v>- karena DED dalam proses finalisasi, maka diasumsikan memiliki FS.
- Dokumen penyiapan: sedang cari tambahan lokasi
- Siap hanya Balikpapan&amp;Tangerang (USD 40 juta)
- belum ada dokumen R/C</v>
      </c>
      <c r="AQ36" s="10">
        <f t="shared" si="1"/>
        <v>0</v>
      </c>
      <c r="AR36" s="10">
        <f t="shared" si="2"/>
        <v>0</v>
      </c>
      <c r="AS36" s="10">
        <f t="shared" si="3"/>
        <v>0</v>
      </c>
      <c r="AT36" s="10">
        <f t="shared" si="4"/>
        <v>0</v>
      </c>
    </row>
    <row r="37" spans="1:46" s="5" customFormat="1" ht="33.75" customHeight="1">
      <c r="A37" s="135"/>
      <c r="B37" s="135"/>
      <c r="C37" s="135"/>
      <c r="D37" s="135"/>
      <c r="E37" s="135"/>
      <c r="F37" s="135"/>
      <c r="G37" s="135"/>
      <c r="H37" s="135"/>
      <c r="I37" s="135"/>
      <c r="J37" s="1417"/>
      <c r="K37" s="50"/>
      <c r="L37" s="30" t="str">
        <f>DATA!I56</f>
        <v>G</v>
      </c>
      <c r="M37" s="31" t="str">
        <f>DATA!J56</f>
        <v>Program Penanganan Kumuh</v>
      </c>
      <c r="N37" s="1419"/>
      <c r="O37" s="214" t="e">
        <f>O38+#REF!+O40+O41</f>
        <v>#REF!</v>
      </c>
      <c r="P37" s="197" t="e">
        <f>P38+#REF!+P40+P41</f>
        <v>#REF!</v>
      </c>
      <c r="Q37" s="1567">
        <f>SUM(Q38:Q41)</f>
        <v>128105000</v>
      </c>
      <c r="R37" s="1567" t="e">
        <f>R38+#REF!+R40+R41</f>
        <v>#REF!</v>
      </c>
      <c r="S37" s="244" t="e">
        <f t="shared" si="6"/>
        <v>#REF!</v>
      </c>
      <c r="T37" s="1437"/>
      <c r="U37" s="198"/>
      <c r="V37" s="81" t="e">
        <f>V38+V39+#REF!+V40+V41</f>
        <v>#REF!</v>
      </c>
      <c r="W37" s="81" t="e">
        <f>W38+W39+#REF!+W40+W41</f>
        <v>#REF!</v>
      </c>
      <c r="X37" s="243"/>
      <c r="Y37" s="81">
        <f>Y38+Y39+Y40+Y41</f>
        <v>2851980000</v>
      </c>
      <c r="Z37" s="81"/>
      <c r="AA37" s="1469"/>
      <c r="AB37" s="1470"/>
      <c r="AC37" s="1471"/>
      <c r="AD37" s="1472"/>
      <c r="AE37" s="1472"/>
      <c r="AF37" s="1472"/>
      <c r="AG37" s="1504"/>
      <c r="AH37" s="198" t="e">
        <f>AH38+#REF!+#REF!+AH39+AH40+AH41</f>
        <v>#REF!</v>
      </c>
      <c r="AI37" s="81" t="s">
        <v>21</v>
      </c>
      <c r="AJ37" s="214"/>
      <c r="AK37" s="1505"/>
      <c r="AL37" s="1506"/>
      <c r="AM37" s="169"/>
      <c r="AN37" s="1507"/>
      <c r="AO37" s="1530"/>
      <c r="AQ37" s="10">
        <f t="shared" si="1"/>
        <v>0</v>
      </c>
      <c r="AR37" s="10">
        <f t="shared" si="2"/>
        <v>0</v>
      </c>
      <c r="AS37" s="10">
        <f t="shared" si="3"/>
        <v>0</v>
      </c>
      <c r="AT37" s="10">
        <f t="shared" si="4"/>
        <v>0</v>
      </c>
    </row>
    <row r="38" spans="1:46" ht="115.5" customHeight="1">
      <c r="A38" s="8">
        <f>DATA!A56</f>
        <v>45</v>
      </c>
      <c r="B38" s="8">
        <f>DATA!B56</f>
        <v>0</v>
      </c>
      <c r="C38" s="8" t="str">
        <f>DATA!D56</f>
        <v>INFRASTRUKTUR</v>
      </c>
      <c r="D38" s="8">
        <f>DATA!E56</f>
        <v>1</v>
      </c>
      <c r="E38" s="8" t="str">
        <f>DATA!F56</f>
        <v>Kementerian Pekerjaan Umum dan Perumahan Rakyat</v>
      </c>
      <c r="F38" s="8" t="str">
        <f>DATA!H56</f>
        <v>Slum Alleviation Program</v>
      </c>
      <c r="G38" s="8" t="str">
        <f>DATA!I56</f>
        <v>G</v>
      </c>
      <c r="H38" s="8" t="str">
        <f>DATA!J56</f>
        <v>Program Penanganan Kumuh</v>
      </c>
      <c r="I38" s="8">
        <f>DATA!K56</f>
        <v>1</v>
      </c>
      <c r="J38" s="1418"/>
      <c r="K38" s="34"/>
      <c r="L38" s="35"/>
      <c r="M38" s="36">
        <v>12</v>
      </c>
      <c r="N38" s="199" t="str">
        <f>DATA!L56</f>
        <v>Slum Improvement in Strategic Human Settlements Area (SISHA)</v>
      </c>
      <c r="O38" s="1402">
        <f>DATA!T56</f>
        <v>2100000000</v>
      </c>
      <c r="P38" s="187">
        <f>DATA!U56</f>
        <v>2100000000</v>
      </c>
      <c r="Q38" s="1446">
        <f>DATA!V56</f>
        <v>105000000</v>
      </c>
      <c r="R38" s="1446">
        <f>DATA!W56</f>
        <v>0</v>
      </c>
      <c r="S38" s="1447">
        <f t="shared" si="6"/>
        <v>2205000000</v>
      </c>
      <c r="T38" s="1448"/>
      <c r="U38" s="1509" t="str">
        <f>DATA!Y56</f>
        <v>Bank Dunia/JICA/ADB</v>
      </c>
      <c r="V38" s="77">
        <f>DATA!AA56</f>
        <v>2100000000</v>
      </c>
      <c r="W38" s="77">
        <v>0</v>
      </c>
      <c r="X38" s="1450" t="str">
        <f>DATA!Y56</f>
        <v>Bank Dunia/JICA/ADB</v>
      </c>
      <c r="Y38" s="109">
        <v>2100000000</v>
      </c>
      <c r="Z38" s="109" t="s">
        <v>1063</v>
      </c>
      <c r="AA38" s="1484" t="s">
        <v>1160</v>
      </c>
      <c r="AB38" s="828"/>
      <c r="AC38" s="1485"/>
      <c r="AD38" s="1486"/>
      <c r="AE38" s="1486"/>
      <c r="AF38" s="1486"/>
      <c r="AG38" s="3253" t="s">
        <v>1180</v>
      </c>
      <c r="AH38" s="1509">
        <f>DATA!AT56</f>
        <v>2100000000</v>
      </c>
      <c r="AI38" s="109" t="str">
        <f>DATA!AU56</f>
        <v>Belum Ada Indikasi</v>
      </c>
      <c r="AJ38" s="1544" t="str">
        <f>DATA!AW56</f>
        <v xml:space="preserve">- usulan K/L lender: Bank Dunia/JICA/ADB.
- Pihak Bank Dunia, ADB dan JICA tidak berminat. </v>
      </c>
      <c r="AK38" s="245">
        <f>DATA!AM56</f>
        <v>0</v>
      </c>
      <c r="AL38" s="1510" t="str">
        <f>DATA!AN56</f>
        <v>dalam proses
(penyusunan FS)</v>
      </c>
      <c r="AM38" s="1511" t="str">
        <f>DATA!AO56</f>
        <v>dalam proses
(perencanaan)</v>
      </c>
      <c r="AN38" s="1545">
        <f>DATA!AQ56</f>
        <v>0</v>
      </c>
      <c r="AO38" s="1533" t="str">
        <f>DATA!AP56</f>
        <v>belum ada proses tender/lelang</v>
      </c>
      <c r="AQ38" s="10">
        <f t="shared" si="1"/>
        <v>0</v>
      </c>
      <c r="AR38" s="10">
        <f t="shared" si="2"/>
        <v>0</v>
      </c>
      <c r="AS38" s="10">
        <f t="shared" si="3"/>
        <v>0</v>
      </c>
      <c r="AT38" s="10">
        <f t="shared" si="4"/>
        <v>0</v>
      </c>
    </row>
    <row r="39" spans="1:46" ht="23.25" customHeight="1">
      <c r="A39" s="8"/>
      <c r="B39" s="8"/>
      <c r="C39" s="8"/>
      <c r="D39" s="8"/>
      <c r="E39" s="8"/>
      <c r="F39" s="8"/>
      <c r="G39" s="8"/>
      <c r="H39" s="8"/>
      <c r="I39" s="8"/>
      <c r="J39" s="1418"/>
      <c r="K39" s="34"/>
      <c r="L39" s="34"/>
      <c r="M39" s="189">
        <v>13</v>
      </c>
      <c r="N39" s="1556" t="str">
        <f>DATA!L59</f>
        <v>National Slum Upgrading</v>
      </c>
      <c r="O39" s="1665">
        <v>289880000</v>
      </c>
      <c r="P39" s="1666">
        <v>289880000</v>
      </c>
      <c r="Q39" s="1599"/>
      <c r="R39" s="1599"/>
      <c r="S39" s="1442"/>
      <c r="T39" s="1443"/>
      <c r="U39" s="1432"/>
      <c r="V39" s="1458">
        <f>DATA!AA61</f>
        <v>289880000</v>
      </c>
      <c r="W39" s="1458">
        <v>0</v>
      </c>
      <c r="X39" s="1441" t="str">
        <f>DATA!Y61</f>
        <v>Belum Ada Indikasi</v>
      </c>
      <c r="Y39" s="109">
        <v>289880000</v>
      </c>
      <c r="Z39" s="109" t="s">
        <v>1154</v>
      </c>
      <c r="AA39" s="1484" t="s">
        <v>879</v>
      </c>
      <c r="AB39" s="828"/>
      <c r="AC39" s="1485"/>
      <c r="AD39" s="1486"/>
      <c r="AE39" s="1486"/>
      <c r="AF39" s="1486"/>
      <c r="AG39" s="1514"/>
      <c r="AH39" s="1509">
        <f>DATA!AT61</f>
        <v>289880000</v>
      </c>
      <c r="AI39" s="109" t="str">
        <f>DATA!AU61</f>
        <v>Belum Ada Indikasi</v>
      </c>
      <c r="AJ39" s="1520" t="str">
        <f>DATA!AW61</f>
        <v>co-financing dengan IDB (USD 329,7 juta), Bank Dunia (USD 216,5 juta) &amp; AIIB (USD 216,5 juta)</v>
      </c>
      <c r="AK39" s="245" t="str">
        <f>DATA!AM61</f>
        <v>-</v>
      </c>
      <c r="AL39" s="1510" t="str">
        <f>DATA!AN61</f>
        <v>belum ada keterangan</v>
      </c>
      <c r="AM39" s="1511" t="str">
        <f>DATA!AO61</f>
        <v>belum ada keterangan</v>
      </c>
      <c r="AN39" s="1545">
        <f>DATA!AQ61</f>
        <v>0</v>
      </c>
      <c r="AO39" s="1533" t="str">
        <f>DATA!AP61</f>
        <v>belum ada proses tender/lelang</v>
      </c>
      <c r="AQ39" s="10">
        <f t="shared" si="1"/>
        <v>0</v>
      </c>
      <c r="AR39" s="10">
        <f t="shared" si="2"/>
        <v>0</v>
      </c>
      <c r="AS39" s="10">
        <f t="shared" si="3"/>
        <v>0</v>
      </c>
      <c r="AT39" s="10">
        <f t="shared" si="4"/>
        <v>0</v>
      </c>
    </row>
    <row r="40" spans="1:46" ht="27" customHeight="1">
      <c r="A40" s="8">
        <f>DATA!A62</f>
        <v>48</v>
      </c>
      <c r="B40" s="8">
        <f>DATA!B62</f>
        <v>0</v>
      </c>
      <c r="C40" s="8" t="str">
        <f>DATA!D62</f>
        <v>INFRASTRUKTUR</v>
      </c>
      <c r="D40" s="8">
        <f>DATA!E62</f>
        <v>1</v>
      </c>
      <c r="E40" s="8" t="str">
        <f>DATA!F62</f>
        <v>Kementerian Pekerjaan Umum dan Perumahan Rakyat</v>
      </c>
      <c r="F40" s="8" t="str">
        <f>DATA!H62</f>
        <v>Slum Alleviation Program</v>
      </c>
      <c r="G40" s="8" t="str">
        <f>DATA!I62</f>
        <v>G</v>
      </c>
      <c r="H40" s="8" t="str">
        <f>DATA!J62</f>
        <v>Program Penanganan Kumuh</v>
      </c>
      <c r="I40" s="8">
        <f>DATA!K62</f>
        <v>3</v>
      </c>
      <c r="J40" s="1418"/>
      <c r="K40" s="34"/>
      <c r="L40" s="34"/>
      <c r="M40" s="36">
        <v>14</v>
      </c>
      <c r="N40" s="199" t="str">
        <f>DATA!L62</f>
        <v>Rural Settlement Infrastructure Development (RSID)</v>
      </c>
      <c r="O40" s="1402">
        <f>DATA!T62</f>
        <v>201000000</v>
      </c>
      <c r="P40" s="187">
        <f>DATA!U62</f>
        <v>201000000</v>
      </c>
      <c r="Q40" s="1453">
        <f>DATA!V62</f>
        <v>10050000</v>
      </c>
      <c r="R40" s="1453">
        <f>DATA!W62</f>
        <v>0</v>
      </c>
      <c r="S40" s="1447">
        <f t="shared" ref="S40:S43" si="7">P40+Q40+R40</f>
        <v>211050000</v>
      </c>
      <c r="T40" s="1448"/>
      <c r="U40" s="1449" t="str">
        <f>DATA!Y62</f>
        <v>JICA</v>
      </c>
      <c r="V40" s="77">
        <f>DATA!AA62</f>
        <v>201000000</v>
      </c>
      <c r="W40" s="77">
        <v>0</v>
      </c>
      <c r="X40" s="1450" t="str">
        <f>DATA!Y62</f>
        <v>JICA</v>
      </c>
      <c r="Y40" s="109">
        <v>201000000</v>
      </c>
      <c r="Z40" s="109" t="s">
        <v>55</v>
      </c>
      <c r="AA40" s="1473" t="s">
        <v>1181</v>
      </c>
      <c r="AB40" s="1474"/>
      <c r="AC40" s="1475"/>
      <c r="AD40" s="1476"/>
      <c r="AE40" s="1476"/>
      <c r="AF40" s="1476"/>
      <c r="AG40" s="1508" t="s">
        <v>1182</v>
      </c>
      <c r="AH40" s="1509">
        <f>DATA!AT62</f>
        <v>201000000</v>
      </c>
      <c r="AI40" s="109" t="str">
        <f>DATA!AU62</f>
        <v>JICA</v>
      </c>
      <c r="AJ40" s="1544" t="str">
        <f>DATA!AW62</f>
        <v>-</v>
      </c>
      <c r="AK40" s="245">
        <f>DATA!AM62</f>
        <v>0</v>
      </c>
      <c r="AL40" s="1510" t="str">
        <f>DATA!AN62</f>
        <v>dalam proses
(penyusunan FS)</v>
      </c>
      <c r="AM40" s="1511" t="str">
        <f>DATA!AO62</f>
        <v>dalam proses
(perencanaan)</v>
      </c>
      <c r="AN40" s="1545">
        <f>DATA!AQ62</f>
        <v>0</v>
      </c>
      <c r="AO40" s="1533" t="str">
        <f>DATA!AR62</f>
        <v>belum ada dokumen R/C</v>
      </c>
      <c r="AQ40" s="10">
        <f t="shared" si="1"/>
        <v>0</v>
      </c>
      <c r="AR40" s="10">
        <f t="shared" si="2"/>
        <v>201000000</v>
      </c>
      <c r="AS40" s="10">
        <f t="shared" si="3"/>
        <v>0</v>
      </c>
      <c r="AT40" s="10">
        <f t="shared" si="4"/>
        <v>0</v>
      </c>
    </row>
    <row r="41" spans="1:46" ht="51" customHeight="1">
      <c r="A41" s="8">
        <f>DATA!A63</f>
        <v>49</v>
      </c>
      <c r="B41" s="8">
        <f>DATA!B63</f>
        <v>0</v>
      </c>
      <c r="C41" s="8" t="str">
        <f>DATA!D63</f>
        <v>INFRASTRUKTUR</v>
      </c>
      <c r="D41" s="8">
        <f>DATA!E63</f>
        <v>1</v>
      </c>
      <c r="E41" s="8" t="str">
        <f>DATA!F63</f>
        <v>Kementerian Pekerjaan Umum dan Perumahan Rakyat</v>
      </c>
      <c r="F41" s="8" t="str">
        <f>DATA!H63</f>
        <v>Slum Alleviation Program</v>
      </c>
      <c r="G41" s="8" t="str">
        <f>DATA!I63</f>
        <v>G</v>
      </c>
      <c r="H41" s="8" t="str">
        <f>DATA!J63</f>
        <v>Program Penanganan Kumuh</v>
      </c>
      <c r="I41" s="8">
        <f>DATA!K63</f>
        <v>4</v>
      </c>
      <c r="J41" s="1418"/>
      <c r="K41" s="34"/>
      <c r="L41" s="54"/>
      <c r="M41" s="36">
        <v>15</v>
      </c>
      <c r="N41" s="199" t="str">
        <f>DATA!L63</f>
        <v>Building Administration and Capacity Enforcement Development for Seismic Resilience</v>
      </c>
      <c r="O41" s="1402">
        <f>DATA!T63</f>
        <v>261100000</v>
      </c>
      <c r="P41" s="187">
        <f>DATA!U63</f>
        <v>261100000</v>
      </c>
      <c r="Q41" s="1453">
        <f>DATA!V63</f>
        <v>13055000</v>
      </c>
      <c r="R41" s="1453">
        <f>DATA!W63</f>
        <v>0</v>
      </c>
      <c r="S41" s="1447">
        <f t="shared" si="7"/>
        <v>274155000</v>
      </c>
      <c r="T41" s="1448"/>
      <c r="U41" s="1449" t="str">
        <f>DATA!Y63</f>
        <v>JICA</v>
      </c>
      <c r="V41" s="77">
        <f>DATA!AA63</f>
        <v>261100000</v>
      </c>
      <c r="W41" s="77">
        <v>0</v>
      </c>
      <c r="X41" s="1450" t="str">
        <f>DATA!Y63</f>
        <v>JICA</v>
      </c>
      <c r="Y41" s="109">
        <v>261100000</v>
      </c>
      <c r="Z41" s="109" t="s">
        <v>55</v>
      </c>
      <c r="AA41" s="1484" t="s">
        <v>879</v>
      </c>
      <c r="AB41" s="828"/>
      <c r="AC41" s="1485"/>
      <c r="AD41" s="1486"/>
      <c r="AE41" s="1486"/>
      <c r="AF41" s="1486"/>
      <c r="AG41" s="1508" t="s">
        <v>1183</v>
      </c>
      <c r="AH41" s="1509">
        <f>DATA!AT63</f>
        <v>261100000</v>
      </c>
      <c r="AI41" s="109" t="str">
        <f>DATA!AU63</f>
        <v>JICA</v>
      </c>
      <c r="AJ41" s="1544" t="str">
        <f>DATA!AW63</f>
        <v>-</v>
      </c>
      <c r="AK41" s="245">
        <f>DATA!AM63</f>
        <v>0</v>
      </c>
      <c r="AL41" s="1510" t="str">
        <f>DATA!AN63</f>
        <v>dalam proses
(penyusunan FS)</v>
      </c>
      <c r="AM41" s="1511" t="str">
        <f>DATA!AO63</f>
        <v>tidak butuh lahan</v>
      </c>
      <c r="AN41" s="1545">
        <f>DATA!AQ63</f>
        <v>0</v>
      </c>
      <c r="AO41" s="1533" t="str">
        <f>DATA!AR63</f>
        <v>belum ada dokumen R/C</v>
      </c>
      <c r="AQ41" s="10">
        <f t="shared" si="1"/>
        <v>0</v>
      </c>
      <c r="AR41" s="10">
        <f t="shared" si="2"/>
        <v>261100000</v>
      </c>
      <c r="AS41" s="10">
        <f t="shared" si="3"/>
        <v>0</v>
      </c>
      <c r="AT41" s="10">
        <f t="shared" si="4"/>
        <v>0</v>
      </c>
    </row>
    <row r="42" spans="1:46" ht="33.75" customHeight="1">
      <c r="J42" s="1418"/>
      <c r="K42" s="34"/>
      <c r="L42" s="30" t="s">
        <v>161</v>
      </c>
      <c r="M42" s="31" t="s">
        <v>750</v>
      </c>
      <c r="N42" s="1419"/>
      <c r="O42" s="1667">
        <f>O43</f>
        <v>0</v>
      </c>
      <c r="P42" s="197">
        <f>P43</f>
        <v>225000000</v>
      </c>
      <c r="Q42" s="1436">
        <f>Q43</f>
        <v>25000000</v>
      </c>
      <c r="R42" s="1436">
        <f>R43</f>
        <v>0</v>
      </c>
      <c r="S42" s="244">
        <f t="shared" si="7"/>
        <v>250000000</v>
      </c>
      <c r="T42" s="1437"/>
      <c r="U42" s="198"/>
      <c r="V42" s="81">
        <f>V43</f>
        <v>0</v>
      </c>
      <c r="W42" s="81">
        <f>W43</f>
        <v>225000000</v>
      </c>
      <c r="X42" s="243"/>
      <c r="Y42" s="81">
        <f>SUM(Y43:Y44)</f>
        <v>225000000</v>
      </c>
      <c r="Z42" s="81"/>
      <c r="AA42" s="1469"/>
      <c r="AB42" s="1470"/>
      <c r="AC42" s="1471"/>
      <c r="AD42" s="1472"/>
      <c r="AE42" s="1472"/>
      <c r="AF42" s="1472"/>
      <c r="AG42" s="1504"/>
      <c r="AH42" s="198">
        <f>AH43</f>
        <v>225000000</v>
      </c>
      <c r="AI42" s="81" t="s">
        <v>21</v>
      </c>
      <c r="AJ42" s="214"/>
      <c r="AK42" s="1505"/>
      <c r="AL42" s="1506"/>
      <c r="AM42" s="169"/>
      <c r="AN42" s="1507"/>
      <c r="AO42" s="1530"/>
      <c r="AQ42" s="10">
        <f t="shared" si="1"/>
        <v>0</v>
      </c>
      <c r="AR42" s="10">
        <f t="shared" si="2"/>
        <v>0</v>
      </c>
      <c r="AS42" s="10">
        <f t="shared" si="3"/>
        <v>0</v>
      </c>
      <c r="AT42" s="10">
        <f t="shared" si="4"/>
        <v>0</v>
      </c>
    </row>
    <row r="43" spans="1:46" ht="49.5" customHeight="1">
      <c r="J43" s="1418"/>
      <c r="K43" s="34"/>
      <c r="L43" s="54"/>
      <c r="M43" s="36">
        <v>16</v>
      </c>
      <c r="N43" s="199" t="str">
        <f>DATA!L64</f>
        <v>National Urban Development Project</v>
      </c>
      <c r="O43" s="1668">
        <f>DATA!T64</f>
        <v>0</v>
      </c>
      <c r="P43" s="1669">
        <f>DATA!U64</f>
        <v>225000000</v>
      </c>
      <c r="Q43" s="1669">
        <f>DATA!V64</f>
        <v>25000000</v>
      </c>
      <c r="R43" s="1669">
        <f>DATA!W64</f>
        <v>0</v>
      </c>
      <c r="S43" s="1447">
        <f t="shared" si="7"/>
        <v>250000000</v>
      </c>
      <c r="T43" s="1448"/>
      <c r="U43" s="1449"/>
      <c r="V43" s="77">
        <v>0</v>
      </c>
      <c r="W43" s="77">
        <f>DATA!AA64</f>
        <v>225000000</v>
      </c>
      <c r="X43" s="1450" t="str">
        <f>DATA!Y64</f>
        <v>Belum Ada Indikasi</v>
      </c>
      <c r="Y43" s="618">
        <v>49610000</v>
      </c>
      <c r="Z43" s="109" t="s">
        <v>62</v>
      </c>
      <c r="AA43" s="3254" t="s">
        <v>1184</v>
      </c>
      <c r="AB43" s="1474"/>
      <c r="AC43" s="1475"/>
      <c r="AD43" s="1476"/>
      <c r="AE43" s="1476"/>
      <c r="AF43" s="1476"/>
      <c r="AG43" s="1514"/>
      <c r="AH43" s="1509">
        <f>DATA!AT64</f>
        <v>225000000</v>
      </c>
      <c r="AI43" s="1509" t="str">
        <f>DATA!AU64</f>
        <v>Belum Ada Indikasi</v>
      </c>
      <c r="AJ43" s="1544">
        <f>DATA!AW64</f>
        <v>0</v>
      </c>
      <c r="AK43" s="245">
        <f>DATA!AM64</f>
        <v>0</v>
      </c>
      <c r="AL43" s="1510" t="str">
        <f>DATA!AN64</f>
        <v>belum ada keterangan</v>
      </c>
      <c r="AM43" s="1511" t="str">
        <f>DATA!AO64</f>
        <v>belum ada keterangan</v>
      </c>
      <c r="AN43" s="1545">
        <f>DATA!AQ64</f>
        <v>0</v>
      </c>
      <c r="AO43" s="1533" t="str">
        <f>DATA!AR64</f>
        <v>belum ada dokumen R/C</v>
      </c>
      <c r="AQ43" s="10">
        <f t="shared" si="1"/>
        <v>0</v>
      </c>
      <c r="AR43" s="10">
        <f t="shared" si="2"/>
        <v>0</v>
      </c>
      <c r="AS43" s="10">
        <f t="shared" si="3"/>
        <v>0</v>
      </c>
      <c r="AT43" s="10">
        <f t="shared" si="4"/>
        <v>0</v>
      </c>
    </row>
    <row r="44" spans="1:46" ht="19.5" customHeight="1">
      <c r="J44" s="1418"/>
      <c r="K44" s="34"/>
      <c r="L44" s="54"/>
      <c r="M44" s="36"/>
      <c r="N44" s="199"/>
      <c r="O44" s="1668"/>
      <c r="P44" s="1669"/>
      <c r="Q44" s="1669"/>
      <c r="R44" s="1669"/>
      <c r="S44" s="1447"/>
      <c r="T44" s="1448"/>
      <c r="U44" s="1449"/>
      <c r="V44" s="77"/>
      <c r="W44" s="77"/>
      <c r="X44" s="1450"/>
      <c r="Y44" s="618">
        <f>225000000-49610000</f>
        <v>175390000</v>
      </c>
      <c r="Z44" s="109" t="s">
        <v>62</v>
      </c>
      <c r="AA44" s="1484" t="s">
        <v>879</v>
      </c>
      <c r="AB44" s="828"/>
      <c r="AC44" s="1485"/>
      <c r="AD44" s="1486"/>
      <c r="AE44" s="1486"/>
      <c r="AF44" s="1486"/>
      <c r="AG44" s="1514"/>
      <c r="AH44" s="1509"/>
      <c r="AI44" s="1509"/>
      <c r="AJ44" s="1544"/>
      <c r="AK44" s="245"/>
      <c r="AL44" s="1510"/>
      <c r="AM44" s="1511"/>
      <c r="AN44" s="1545"/>
      <c r="AO44" s="1533"/>
      <c r="AQ44" s="10">
        <f t="shared" si="1"/>
        <v>0</v>
      </c>
      <c r="AR44" s="10">
        <f t="shared" si="2"/>
        <v>0</v>
      </c>
      <c r="AS44" s="10">
        <f t="shared" si="3"/>
        <v>0</v>
      </c>
      <c r="AT44" s="10">
        <f t="shared" si="4"/>
        <v>0</v>
      </c>
    </row>
    <row r="45" spans="1:46" ht="32.25" customHeight="1">
      <c r="J45" s="1418"/>
      <c r="K45" s="58"/>
      <c r="L45" s="30" t="s">
        <v>1094</v>
      </c>
      <c r="M45" s="31" t="str">
        <f>DATA!J117</f>
        <v>Program Penyediaaan Perumahan Bagi MBR</v>
      </c>
      <c r="N45" s="1419"/>
      <c r="O45" s="214">
        <f>+O46</f>
        <v>300000000</v>
      </c>
      <c r="P45" s="197">
        <f>+P46</f>
        <v>450000000</v>
      </c>
      <c r="Q45" s="1436">
        <f>Q46</f>
        <v>0</v>
      </c>
      <c r="R45" s="1436">
        <f>+R46</f>
        <v>0</v>
      </c>
      <c r="S45" s="244">
        <f t="shared" ref="S45:S50" si="8">P45+Q45+R45</f>
        <v>450000000</v>
      </c>
      <c r="T45" s="1437"/>
      <c r="U45" s="1539"/>
      <c r="V45" s="81">
        <f>+V46</f>
        <v>0</v>
      </c>
      <c r="W45" s="81">
        <f>+W46</f>
        <v>450000000</v>
      </c>
      <c r="X45" s="243"/>
      <c r="Y45" s="81">
        <f>Y46</f>
        <v>450000000</v>
      </c>
      <c r="Z45" s="81"/>
      <c r="AA45" s="1469"/>
      <c r="AB45" s="1470"/>
      <c r="AC45" s="1471"/>
      <c r="AD45" s="1472"/>
      <c r="AE45" s="1472"/>
      <c r="AF45" s="1472"/>
      <c r="AG45" s="1504"/>
      <c r="AH45" s="198">
        <f>+AH46</f>
        <v>450000000</v>
      </c>
      <c r="AI45" s="81" t="s">
        <v>21</v>
      </c>
      <c r="AJ45" s="214">
        <f>+AJ46</f>
        <v>0</v>
      </c>
      <c r="AK45" s="1505"/>
      <c r="AL45" s="1506"/>
      <c r="AM45" s="169"/>
      <c r="AN45" s="1507"/>
      <c r="AO45" s="1530"/>
      <c r="AQ45" s="10">
        <f t="shared" ref="AQ45:AQ49" si="9">IF(Z45="RRT",Y45,0)</f>
        <v>0</v>
      </c>
      <c r="AR45" s="10">
        <f t="shared" ref="AR45:AR49" si="10">IF(Z45="JICA",Y45,0)</f>
        <v>0</v>
      </c>
      <c r="AS45" s="10">
        <f t="shared" ref="AS45:AS49" si="11">IF(Z45="Belum ada indikasi",Y45,0)</f>
        <v>0</v>
      </c>
      <c r="AT45" s="10">
        <f t="shared" ref="AT45:AT49" si="12">IF(Z45="Korea",Y45,0)</f>
        <v>0</v>
      </c>
    </row>
    <row r="46" spans="1:46" ht="60" customHeight="1">
      <c r="J46" s="1418"/>
      <c r="K46" s="54"/>
      <c r="L46" s="20"/>
      <c r="M46" s="36">
        <v>17</v>
      </c>
      <c r="N46" s="1537" t="str">
        <f>DATA!L116</f>
        <v>National Affordable Housing Project</v>
      </c>
      <c r="O46" s="1402">
        <f>DATA!U115</f>
        <v>300000000</v>
      </c>
      <c r="P46" s="187">
        <f>DATA!U116</f>
        <v>450000000</v>
      </c>
      <c r="Q46" s="187">
        <f>DATA!V116</f>
        <v>0</v>
      </c>
      <c r="R46" s="187">
        <f>DATA!W116</f>
        <v>0</v>
      </c>
      <c r="S46" s="1447">
        <f t="shared" si="8"/>
        <v>450000000</v>
      </c>
      <c r="T46" s="1448"/>
      <c r="U46" s="1449"/>
      <c r="V46" s="77">
        <v>0</v>
      </c>
      <c r="W46" s="77">
        <f>DATA!AA116</f>
        <v>450000000</v>
      </c>
      <c r="X46" s="1450" t="str">
        <f>DATA!Y116</f>
        <v>Belum Ada Indikasi</v>
      </c>
      <c r="Y46" s="109">
        <v>450000000</v>
      </c>
      <c r="Z46" s="109" t="s">
        <v>62</v>
      </c>
      <c r="AA46" s="3254" t="s">
        <v>1206</v>
      </c>
      <c r="AB46" s="1474"/>
      <c r="AC46" s="1475"/>
      <c r="AD46" s="1476"/>
      <c r="AE46" s="1476"/>
      <c r="AF46" s="1476"/>
      <c r="AG46" s="1514"/>
      <c r="AH46" s="1509">
        <f>DATA!AT116</f>
        <v>450000000</v>
      </c>
      <c r="AI46" s="1509" t="str">
        <f>DATA!AU116</f>
        <v>Bank Dunia</v>
      </c>
      <c r="AJ46" s="1544">
        <f>DATA!AW116</f>
        <v>0</v>
      </c>
      <c r="AK46" s="245" t="str">
        <f>DATA!AM116</f>
        <v>Rev. 2016</v>
      </c>
      <c r="AL46" s="1510" t="str">
        <f>DATA!AN116</f>
        <v>siap</v>
      </c>
      <c r="AM46" s="1511" t="str">
        <f>DATA!AO116</f>
        <v>belum ada keterangan</v>
      </c>
      <c r="AN46" s="1545">
        <f>DATA!AQ116</f>
        <v>0</v>
      </c>
      <c r="AO46" s="1547" t="str">
        <f>DATA!AR116</f>
        <v>-</v>
      </c>
      <c r="AQ46" s="10">
        <f t="shared" si="9"/>
        <v>0</v>
      </c>
      <c r="AR46" s="10">
        <f t="shared" si="10"/>
        <v>0</v>
      </c>
      <c r="AS46" s="10">
        <f t="shared" si="11"/>
        <v>0</v>
      </c>
      <c r="AT46" s="10">
        <f t="shared" si="12"/>
        <v>0</v>
      </c>
    </row>
    <row r="47" spans="1:46" s="4" customFormat="1" ht="24.95" customHeight="1">
      <c r="J47" s="1415"/>
      <c r="K47" s="25">
        <f>DATA!E118</f>
        <v>2</v>
      </c>
      <c r="L47" s="108" t="str">
        <f>DATA!F118</f>
        <v>PERUMNAS</v>
      </c>
      <c r="M47" s="26"/>
      <c r="N47" s="1416"/>
      <c r="O47" s="213">
        <f t="shared" ref="O47:R48" si="13">+O48</f>
        <v>200000000</v>
      </c>
      <c r="P47" s="194">
        <f t="shared" si="13"/>
        <v>200000000</v>
      </c>
      <c r="Q47" s="194">
        <f t="shared" si="13"/>
        <v>20000000</v>
      </c>
      <c r="R47" s="194">
        <f t="shared" si="13"/>
        <v>0</v>
      </c>
      <c r="S47" s="242">
        <f t="shared" si="8"/>
        <v>220000000</v>
      </c>
      <c r="T47" s="1434"/>
      <c r="U47" s="1549"/>
      <c r="V47" s="80">
        <f t="shared" ref="V47:AJ48" si="14">+V48</f>
        <v>200000000</v>
      </c>
      <c r="W47" s="80">
        <f t="shared" si="14"/>
        <v>0</v>
      </c>
      <c r="X47" s="241">
        <f t="shared" si="14"/>
        <v>0</v>
      </c>
      <c r="Y47" s="80">
        <f>Y48</f>
        <v>200000000</v>
      </c>
      <c r="Z47" s="80"/>
      <c r="AA47" s="1465"/>
      <c r="AB47" s="1466"/>
      <c r="AC47" s="1467"/>
      <c r="AD47" s="1468"/>
      <c r="AE47" s="1468"/>
      <c r="AF47" s="1468"/>
      <c r="AG47" s="1500"/>
      <c r="AH47" s="195">
        <f t="shared" si="14"/>
        <v>200000000</v>
      </c>
      <c r="AI47" s="80" t="str">
        <f t="shared" si="14"/>
        <v>-</v>
      </c>
      <c r="AJ47" s="213" t="str">
        <f t="shared" si="14"/>
        <v>-</v>
      </c>
      <c r="AK47" s="1501"/>
      <c r="AL47" s="1502"/>
      <c r="AM47" s="168"/>
      <c r="AN47" s="1503"/>
      <c r="AO47" s="1529"/>
      <c r="AQ47" s="10">
        <f t="shared" si="9"/>
        <v>0</v>
      </c>
      <c r="AR47" s="10">
        <f t="shared" si="10"/>
        <v>0</v>
      </c>
      <c r="AS47" s="10">
        <f t="shared" si="11"/>
        <v>0</v>
      </c>
      <c r="AT47" s="10">
        <f t="shared" si="12"/>
        <v>0</v>
      </c>
    </row>
    <row r="48" spans="1:46" s="5" customFormat="1" ht="33.75" customHeight="1">
      <c r="J48" s="1417"/>
      <c r="K48" s="1670"/>
      <c r="L48" s="30" t="str">
        <f>DATA!I118</f>
        <v>A</v>
      </c>
      <c r="M48" s="31" t="str">
        <f>DATA!J118</f>
        <v>Program Penyediaaan Perumahan Bagi MBR</v>
      </c>
      <c r="N48" s="1419"/>
      <c r="O48" s="214">
        <f t="shared" si="13"/>
        <v>200000000</v>
      </c>
      <c r="P48" s="197">
        <f t="shared" si="13"/>
        <v>200000000</v>
      </c>
      <c r="Q48" s="1436">
        <f t="shared" si="13"/>
        <v>20000000</v>
      </c>
      <c r="R48" s="1436">
        <f t="shared" si="13"/>
        <v>0</v>
      </c>
      <c r="S48" s="244">
        <f t="shared" si="8"/>
        <v>220000000</v>
      </c>
      <c r="T48" s="1437"/>
      <c r="U48" s="1539"/>
      <c r="V48" s="81">
        <f t="shared" si="14"/>
        <v>200000000</v>
      </c>
      <c r="W48" s="81">
        <f t="shared" si="14"/>
        <v>0</v>
      </c>
      <c r="X48" s="243"/>
      <c r="Y48" s="81">
        <f>Y49</f>
        <v>200000000</v>
      </c>
      <c r="Z48" s="81"/>
      <c r="AA48" s="1469"/>
      <c r="AB48" s="1470"/>
      <c r="AC48" s="1471"/>
      <c r="AD48" s="1472"/>
      <c r="AE48" s="1472"/>
      <c r="AF48" s="1472"/>
      <c r="AG48" s="1504"/>
      <c r="AH48" s="198">
        <f t="shared" si="14"/>
        <v>200000000</v>
      </c>
      <c r="AI48" s="81" t="s">
        <v>21</v>
      </c>
      <c r="AJ48" s="214" t="str">
        <f t="shared" si="14"/>
        <v>-</v>
      </c>
      <c r="AK48" s="1505"/>
      <c r="AL48" s="1506"/>
      <c r="AM48" s="169"/>
      <c r="AN48" s="1507"/>
      <c r="AO48" s="1530"/>
      <c r="AQ48" s="10">
        <f t="shared" si="9"/>
        <v>0</v>
      </c>
      <c r="AR48" s="10">
        <f t="shared" si="10"/>
        <v>0</v>
      </c>
      <c r="AS48" s="10">
        <f t="shared" si="11"/>
        <v>0</v>
      </c>
      <c r="AT48" s="10">
        <f t="shared" si="12"/>
        <v>0</v>
      </c>
    </row>
    <row r="49" spans="1:46" ht="53.25" customHeight="1">
      <c r="A49" s="10">
        <f>DATA!A118</f>
        <v>89</v>
      </c>
      <c r="B49" s="10">
        <f>DATA!B118</f>
        <v>0</v>
      </c>
      <c r="C49" s="10" t="str">
        <f>DATA!D118</f>
        <v>INFRASTRUKTUR</v>
      </c>
      <c r="D49" s="10">
        <f>DATA!E118</f>
        <v>2</v>
      </c>
      <c r="E49" s="10" t="str">
        <f>DATA!F118</f>
        <v>PERUMNAS</v>
      </c>
      <c r="F49" s="10" t="str">
        <f>DATA!H118</f>
        <v>Program for Provision of Housing For Low-Income Households</v>
      </c>
      <c r="G49" s="10" t="str">
        <f>DATA!I118</f>
        <v>A</v>
      </c>
      <c r="H49" s="10" t="str">
        <f>DATA!J118</f>
        <v>Program Penyediaaan Perumahan Bagi MBR</v>
      </c>
      <c r="I49" s="10">
        <f>DATA!K118</f>
        <v>1</v>
      </c>
      <c r="J49" s="1418"/>
      <c r="K49" s="54"/>
      <c r="L49" s="20"/>
      <c r="M49" s="36">
        <v>18</v>
      </c>
      <c r="N49" s="199" t="str">
        <f>DATA!L118</f>
        <v>Support for National Housing and Urban Development Cooperation</v>
      </c>
      <c r="O49" s="1402">
        <f>DATA!T118</f>
        <v>200000000</v>
      </c>
      <c r="P49" s="187">
        <f>DATA!U118</f>
        <v>200000000</v>
      </c>
      <c r="Q49" s="1446">
        <f>DATA!V118</f>
        <v>20000000</v>
      </c>
      <c r="R49" s="1446"/>
      <c r="S49" s="1447">
        <f t="shared" si="8"/>
        <v>220000000</v>
      </c>
      <c r="T49" s="1448"/>
      <c r="U49" s="1449" t="str">
        <f>DATA!Y118</f>
        <v>JICA</v>
      </c>
      <c r="V49" s="77">
        <f>DATA!AA118</f>
        <v>200000000</v>
      </c>
      <c r="W49" s="77"/>
      <c r="X49" s="1450" t="str">
        <f>DATA!Y118</f>
        <v>JICA</v>
      </c>
      <c r="Y49" s="109">
        <v>200000000</v>
      </c>
      <c r="Z49" s="109" t="s">
        <v>55</v>
      </c>
      <c r="AA49" s="1484" t="s">
        <v>879</v>
      </c>
      <c r="AB49" s="828"/>
      <c r="AC49" s="1485"/>
      <c r="AD49" s="1486"/>
      <c r="AE49" s="1486"/>
      <c r="AF49" s="1486"/>
      <c r="AG49" s="1508" t="s">
        <v>1183</v>
      </c>
      <c r="AH49" s="1509">
        <f>DATA!AT118</f>
        <v>200000000</v>
      </c>
      <c r="AI49" s="109" t="str">
        <f>DATA!AU118</f>
        <v>JICA</v>
      </c>
      <c r="AJ49" s="1544" t="str">
        <f>DATA!AW118</f>
        <v>-</v>
      </c>
      <c r="AK49" s="245">
        <f>DATA!AM118</f>
        <v>0</v>
      </c>
      <c r="AL49" s="1510" t="str">
        <f>DATA!AN118</f>
        <v>dalam proses
(memiliki FS dan DED)</v>
      </c>
      <c r="AM49" s="1511" t="str">
        <f>DATA!AO118</f>
        <v>siap</v>
      </c>
      <c r="AN49" s="1545">
        <f>DATA!AQ118</f>
        <v>0</v>
      </c>
      <c r="AO49" s="1547" t="str">
        <f>DATA!AR118</f>
        <v>belum ada dokumen R/C</v>
      </c>
      <c r="AQ49" s="10">
        <f t="shared" si="9"/>
        <v>0</v>
      </c>
      <c r="AR49" s="10">
        <f t="shared" si="10"/>
        <v>200000000</v>
      </c>
      <c r="AS49" s="10">
        <f t="shared" si="11"/>
        <v>0</v>
      </c>
      <c r="AT49" s="10">
        <f t="shared" si="12"/>
        <v>0</v>
      </c>
    </row>
    <row r="50" spans="1:46" s="3" customFormat="1" ht="30" customHeight="1">
      <c r="J50" s="3450" t="s">
        <v>477</v>
      </c>
      <c r="K50" s="3451"/>
      <c r="L50" s="3451"/>
      <c r="M50" s="3573"/>
      <c r="N50" s="3573"/>
      <c r="O50" s="282" t="e">
        <f>+O8+#REF!</f>
        <v>#REF!</v>
      </c>
      <c r="P50" s="278" t="e">
        <f>+P8+#REF!</f>
        <v>#REF!</v>
      </c>
      <c r="Q50" s="1460" t="e">
        <f>+Q8+#REF!</f>
        <v>#REF!</v>
      </c>
      <c r="R50" s="1460" t="e">
        <f>+R8+#REF!</f>
        <v>#REF!</v>
      </c>
      <c r="S50" s="288" t="e">
        <f t="shared" si="8"/>
        <v>#REF!</v>
      </c>
      <c r="T50" s="1461"/>
      <c r="U50" s="279"/>
      <c r="V50" s="280" t="e">
        <f>+V8+#REF!</f>
        <v>#REF!</v>
      </c>
      <c r="W50" s="280" t="e">
        <f>+W8+#REF!</f>
        <v>#REF!</v>
      </c>
      <c r="X50" s="287"/>
      <c r="Y50" s="280">
        <f>+Y8</f>
        <v>8331080000</v>
      </c>
      <c r="Z50" s="280"/>
      <c r="AA50" s="280"/>
      <c r="AB50" s="1490"/>
      <c r="AC50" s="1490"/>
      <c r="AD50" s="1490"/>
      <c r="AE50" s="1490"/>
      <c r="AF50" s="1490"/>
      <c r="AG50" s="285"/>
      <c r="AH50" s="279" t="e">
        <f>+AH8+#REF!</f>
        <v>#REF!</v>
      </c>
      <c r="AI50" s="280" t="s">
        <v>21</v>
      </c>
      <c r="AJ50" s="280" t="s">
        <v>21</v>
      </c>
      <c r="AK50" s="1523"/>
      <c r="AL50" s="1524"/>
      <c r="AM50" s="1525"/>
      <c r="AN50" s="1526"/>
      <c r="AO50" s="1534"/>
      <c r="AP50" s="12"/>
      <c r="AQ50" s="1535">
        <f>SUM(AQ10:AQ49)</f>
        <v>0</v>
      </c>
      <c r="AR50" s="1535">
        <f>SUM(AR10:AR49)</f>
        <v>2945100000</v>
      </c>
      <c r="AS50" s="1535">
        <f>SUM(AS10:AS49)</f>
        <v>0</v>
      </c>
      <c r="AT50" s="1535">
        <f>SUM(AT10:AT49)</f>
        <v>40000000</v>
      </c>
    </row>
    <row r="51" spans="1:46" s="12" customFormat="1">
      <c r="A51" s="10"/>
      <c r="B51" s="10"/>
      <c r="C51" s="10"/>
      <c r="D51" s="10"/>
      <c r="E51" s="10"/>
      <c r="F51" s="10"/>
      <c r="G51" s="10"/>
      <c r="H51" s="10"/>
      <c r="I51" s="10"/>
      <c r="J51" s="11"/>
      <c r="K51" s="10"/>
      <c r="L51" s="10"/>
      <c r="M51" s="1425"/>
      <c r="N51" s="1426"/>
      <c r="O51" s="13"/>
      <c r="P51" s="13"/>
      <c r="Q51" s="1395"/>
      <c r="R51" s="1395"/>
      <c r="S51" s="13"/>
      <c r="T51" s="13"/>
      <c r="U51" s="14"/>
      <c r="V51" s="13"/>
      <c r="W51" s="13"/>
      <c r="X51" s="13"/>
      <c r="Y51" s="13"/>
      <c r="Z51" s="13"/>
      <c r="AA51" s="13"/>
      <c r="AB51" s="13"/>
      <c r="AC51" s="13"/>
      <c r="AD51" s="13"/>
      <c r="AE51" s="13"/>
      <c r="AF51" s="13"/>
      <c r="AG51" s="13"/>
      <c r="AK51" s="14"/>
      <c r="AL51" s="14"/>
      <c r="AM51" s="14"/>
      <c r="AN51" s="14"/>
      <c r="AO51" s="175"/>
    </row>
    <row r="52" spans="1:46" s="12" customFormat="1">
      <c r="A52" s="10"/>
      <c r="B52" s="10"/>
      <c r="C52" s="10"/>
      <c r="D52" s="10"/>
      <c r="E52" s="10"/>
      <c r="F52" s="10"/>
      <c r="G52" s="10"/>
      <c r="H52" s="10"/>
      <c r="I52" s="10"/>
      <c r="J52" s="11"/>
      <c r="K52" s="10" t="s">
        <v>1111</v>
      </c>
      <c r="L52" s="10"/>
      <c r="M52" s="10"/>
      <c r="O52" s="13"/>
      <c r="P52" s="13"/>
      <c r="Q52" s="1395"/>
      <c r="R52" s="1395"/>
      <c r="S52" s="13"/>
      <c r="T52" s="13"/>
      <c r="U52" s="14"/>
      <c r="V52" s="13" t="e">
        <f>V50+W50</f>
        <v>#REF!</v>
      </c>
      <c r="W52" s="13"/>
      <c r="X52" s="13"/>
      <c r="Y52" s="13"/>
      <c r="Z52" s="13"/>
      <c r="AA52" s="13"/>
      <c r="AB52" s="13"/>
      <c r="AC52" s="13"/>
      <c r="AD52" s="13"/>
      <c r="AE52" s="13"/>
      <c r="AF52" s="13"/>
      <c r="AG52" s="13"/>
      <c r="AH52" s="289"/>
      <c r="AK52" s="14"/>
      <c r="AL52" s="14"/>
      <c r="AM52" s="14"/>
      <c r="AN52" s="14"/>
      <c r="AO52" s="175"/>
      <c r="AP52" s="10"/>
    </row>
    <row r="53" spans="1:46">
      <c r="V53" s="13" t="e">
        <f>V52-AH50</f>
        <v>#REF!</v>
      </c>
      <c r="Y53" s="13">
        <f>Y50+5809063500</f>
        <v>14140143500</v>
      </c>
      <c r="Z53" s="13" t="e">
        <f>Y50-#REF!</f>
        <v>#REF!</v>
      </c>
    </row>
    <row r="55" spans="1:46">
      <c r="AH55" s="289"/>
    </row>
    <row r="56" spans="1:46">
      <c r="Y56" s="13" t="e">
        <f>#REF!+#REF!+#REF!+#REF!+#REF!+#REF!+#REF!+#REF!+#REF!+#REF!+#REF!+#REF!+#REF!+#REF!+#REF!+#REF!+#REF!+#REF!+#REF!+Y46+#REF!+#REF!</f>
        <v>#REF!</v>
      </c>
      <c r="AP56" s="12"/>
    </row>
    <row r="57" spans="1:46" s="12" customFormat="1">
      <c r="A57" s="10"/>
      <c r="B57" s="10"/>
      <c r="C57" s="10"/>
      <c r="D57" s="10"/>
      <c r="E57" s="10"/>
      <c r="F57" s="10"/>
      <c r="G57" s="10"/>
      <c r="H57" s="10"/>
      <c r="I57" s="10"/>
      <c r="J57" s="11"/>
      <c r="K57" s="10"/>
      <c r="L57" s="10"/>
      <c r="M57" s="10"/>
      <c r="O57" s="13"/>
      <c r="P57" s="13"/>
      <c r="Q57" s="1395"/>
      <c r="R57" s="1395"/>
      <c r="S57" s="13"/>
      <c r="T57" s="13"/>
      <c r="U57" s="14"/>
      <c r="V57" s="13"/>
      <c r="W57" s="13"/>
      <c r="X57" s="13"/>
      <c r="Y57" s="13"/>
      <c r="Z57" s="13"/>
      <c r="AA57" s="13"/>
      <c r="AB57" s="13"/>
      <c r="AC57" s="13"/>
      <c r="AD57" s="13"/>
      <c r="AE57" s="13"/>
      <c r="AF57" s="13"/>
      <c r="AG57" s="13"/>
      <c r="AI57" s="289"/>
      <c r="AK57" s="14"/>
      <c r="AL57" s="14"/>
      <c r="AM57" s="14"/>
      <c r="AN57" s="14"/>
      <c r="AO57" s="175"/>
    </row>
    <row r="58" spans="1:46" s="12" customFormat="1">
      <c r="A58" s="10"/>
      <c r="B58" s="10"/>
      <c r="C58" s="10"/>
      <c r="D58" s="10"/>
      <c r="E58" s="10"/>
      <c r="F58" s="10"/>
      <c r="G58" s="10"/>
      <c r="H58" s="10"/>
      <c r="I58" s="10"/>
      <c r="J58" s="11"/>
      <c r="K58" s="10"/>
      <c r="L58" s="10"/>
      <c r="M58" s="10"/>
      <c r="O58" s="13"/>
      <c r="P58" s="13"/>
      <c r="Q58" s="1395"/>
      <c r="R58" s="1395"/>
      <c r="S58" s="13"/>
      <c r="T58" s="13"/>
      <c r="U58" s="14"/>
      <c r="V58" s="13"/>
      <c r="W58" s="13"/>
      <c r="X58" s="13"/>
      <c r="Y58" s="13" t="e">
        <f>#REF!+#REF!+#REF!+#REF!+#REF!+#REF!+#REF!+#REF!+#REF!+#REF!+#REF!+#REF!+#REF!+#REF!+#REF!+#REF!+#REF!+#REF!+Y46+#REF!+#REF!+#REF!+#REF!+Y43+Y40+Y11+#REF!+71100000</f>
        <v>#REF!</v>
      </c>
      <c r="Z58" s="13"/>
      <c r="AA58" s="13"/>
      <c r="AB58" s="13"/>
      <c r="AC58" s="13"/>
      <c r="AD58" s="13"/>
      <c r="AE58" s="13"/>
      <c r="AF58" s="13"/>
      <c r="AG58" s="13"/>
      <c r="AH58" s="289"/>
      <c r="AK58" s="14"/>
      <c r="AL58" s="14"/>
      <c r="AM58" s="14"/>
      <c r="AN58" s="14"/>
      <c r="AO58" s="175"/>
      <c r="AP58" s="1536"/>
    </row>
    <row r="59" spans="1:46" s="12" customFormat="1">
      <c r="A59" s="10"/>
      <c r="B59" s="10"/>
      <c r="C59" s="10"/>
      <c r="D59" s="10"/>
      <c r="E59" s="10"/>
      <c r="F59" s="10"/>
      <c r="G59" s="10"/>
      <c r="H59" s="10"/>
      <c r="I59" s="10"/>
      <c r="J59" s="11"/>
      <c r="K59" s="10"/>
      <c r="L59" s="10"/>
      <c r="M59" s="10"/>
      <c r="O59" s="13"/>
      <c r="P59" s="13"/>
      <c r="Q59" s="1395"/>
      <c r="R59" s="1395"/>
      <c r="S59" s="13"/>
      <c r="T59" s="13"/>
      <c r="U59" s="14"/>
      <c r="V59" s="13"/>
      <c r="W59" s="13"/>
      <c r="X59" s="13"/>
      <c r="Y59" s="13"/>
      <c r="Z59" s="13"/>
      <c r="AA59" s="13"/>
      <c r="AB59" s="13"/>
      <c r="AC59" s="13"/>
      <c r="AD59" s="13"/>
      <c r="AE59" s="13"/>
      <c r="AF59" s="13"/>
      <c r="AG59" s="13"/>
      <c r="AK59" s="14"/>
      <c r="AL59" s="14"/>
      <c r="AM59" s="14"/>
      <c r="AN59" s="14"/>
      <c r="AO59" s="175"/>
      <c r="AP59" s="10"/>
    </row>
  </sheetData>
  <autoFilter ref="A7:AO50"/>
  <mergeCells count="46">
    <mergeCell ref="AL24:AL25"/>
    <mergeCell ref="AL28:AL31"/>
    <mergeCell ref="AM24:AM25"/>
    <mergeCell ref="AM28:AM31"/>
    <mergeCell ref="AO28:AO31"/>
    <mergeCell ref="W28:W29"/>
    <mergeCell ref="X28:X29"/>
    <mergeCell ref="Y5:Y6"/>
    <mergeCell ref="Z5:Z6"/>
    <mergeCell ref="AA5:AA6"/>
    <mergeCell ref="S24:S25"/>
    <mergeCell ref="S28:S31"/>
    <mergeCell ref="T5:T6"/>
    <mergeCell ref="U28:U29"/>
    <mergeCell ref="V28:V29"/>
    <mergeCell ref="Q24:Q25"/>
    <mergeCell ref="Q28:Q31"/>
    <mergeCell ref="R5:R6"/>
    <mergeCell ref="R24:R25"/>
    <mergeCell ref="R28:R31"/>
    <mergeCell ref="O24:O25"/>
    <mergeCell ref="O28:O31"/>
    <mergeCell ref="P5:P6"/>
    <mergeCell ref="P24:P25"/>
    <mergeCell ref="P28:P31"/>
    <mergeCell ref="M23:N23"/>
    <mergeCell ref="M34:N34"/>
    <mergeCell ref="J50:N50"/>
    <mergeCell ref="M13:M20"/>
    <mergeCell ref="M24:M25"/>
    <mergeCell ref="M28:M31"/>
    <mergeCell ref="N24:N25"/>
    <mergeCell ref="N28:N31"/>
    <mergeCell ref="J1:AO1"/>
    <mergeCell ref="J2:AO2"/>
    <mergeCell ref="U4:AJ4"/>
    <mergeCell ref="AK4:AO4"/>
    <mergeCell ref="U5:X5"/>
    <mergeCell ref="AB5:AF5"/>
    <mergeCell ref="AH5:AJ5"/>
    <mergeCell ref="AK5:AO5"/>
    <mergeCell ref="O5:O6"/>
    <mergeCell ref="Q5:Q6"/>
    <mergeCell ref="S5:S6"/>
    <mergeCell ref="AG5:AG6"/>
    <mergeCell ref="J5:N6"/>
  </mergeCells>
  <printOptions horizontalCentered="1"/>
  <pageMargins left="0.39305555555555599" right="0.39305555555555599" top="0.39305555555555599" bottom="0.39305555555555599" header="0.31458333333333299" footer="0.196527777777778"/>
  <pageSetup paperSize="9" scale="48" fitToHeight="0" orientation="portrait"/>
  <headerFooter>
    <oddFooter>&amp;R&amp;"Cambria,Italic"&amp;9&amp;P/&amp;N</oddFooter>
  </headerFooter>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pageSetUpPr fitToPage="1"/>
  </sheetPr>
  <dimension ref="A1:AT33"/>
  <sheetViews>
    <sheetView topLeftCell="J1" zoomScale="70" zoomScaleNormal="70" workbookViewId="0">
      <pane ySplit="7" topLeftCell="A10" activePane="bottomLeft" state="frozen"/>
      <selection pane="bottomLeft" activeCell="Z15" sqref="Z15"/>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1340</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[5]DATA!B2</f>
        <v>I</v>
      </c>
      <c r="K8" s="22" t="str">
        <f>[5]DATA!D2</f>
        <v>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f>
        <v>3807800000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24.95" customHeight="1">
      <c r="J9" s="179"/>
      <c r="K9" s="25">
        <f>[5]DATA!E2</f>
        <v>1</v>
      </c>
      <c r="L9" s="26" t="str">
        <f>[5]DATA!F2</f>
        <v>Kementerian Pekerjaan Umum dan Perumahan Rakyat</v>
      </c>
      <c r="M9" s="26"/>
      <c r="N9" s="1416"/>
      <c r="O9" s="213" t="e">
        <f>#REF!+#REF!+#REF!+#REF!+O10+O21+#REF!+#REF!+#REF!+#REF!+#REF!+#REF!+#REF!+#REF!+#REF!</f>
        <v>#REF!</v>
      </c>
      <c r="P9" s="194" t="e">
        <f>+#REF!+#REF!+#REF!+#REF!+P10+P21+#REF!+#REF!+#REF!+#REF!+#REF!+#REF!+#REF!+#REF!+#REF!</f>
        <v>#REF!</v>
      </c>
      <c r="Q9" s="194" t="e">
        <f>+#REF!+#REF!+#REF!+#REF!+Q10+Q21+#REF!+#REF!+#REF!+#REF!+#REF!+#REF!+#REF!+#REF!+#REF!</f>
        <v>#REF!</v>
      </c>
      <c r="R9" s="194" t="e">
        <f>+#REF!+#REF!+#REF!+#REF!+R10+R21+#REF!+#REF!+#REF!+#REF!+#REF!+#REF!+#REF!+#REF!+#REF!</f>
        <v>#REF!</v>
      </c>
      <c r="S9" s="242" t="e">
        <f>+#REF!+#REF!+#REF!+#REF!+S10+S21+#REF!+#REF!+#REF!+#REF!+#REF!+#REF!+#REF!+#REF!+#REF!</f>
        <v>#REF!</v>
      </c>
      <c r="T9" s="1538"/>
      <c r="U9" s="195"/>
      <c r="V9" s="80" t="e">
        <f>+#REF!+#REF!+#REF!+#REF!+V10+V21+#REF!+#REF!+#REF!+#REF!+#REF!+#REF!+#REF!+#REF!+#REF!</f>
        <v>#REF!</v>
      </c>
      <c r="W9" s="80" t="e">
        <f>+#REF!+#REF!+#REF!+#REF!+W10+W21+#REF!+#REF!+#REF!+#REF!+#REF!+#REF!+#REF!+#REF!+#REF!</f>
        <v>#REF!</v>
      </c>
      <c r="X9" s="241" t="e">
        <f>+#REF!+#REF!+#REF!+#REF!+X10+X21+#REF!+#REF!+#REF!+#REF!+#REF!+#REF!+#REF!</f>
        <v>#REF!</v>
      </c>
      <c r="Y9" s="80">
        <f>Y10+Y21</f>
        <v>3807800000</v>
      </c>
      <c r="Z9" s="80"/>
      <c r="AA9" s="226"/>
      <c r="AB9" s="1465"/>
      <c r="AC9" s="1465"/>
      <c r="AD9" s="1465"/>
      <c r="AE9" s="1465"/>
      <c r="AF9" s="1465"/>
      <c r="AG9" s="1540"/>
      <c r="AH9" s="195" t="e">
        <f>+#REF!+#REF!+#REF!+#REF!+AH10+AH21+#REF!+#REF!+#REF!+#REF!+#REF!+#REF!+#REF!+#REF!+#REF!</f>
        <v>#REF!</v>
      </c>
      <c r="AI9" s="80" t="s">
        <v>21</v>
      </c>
      <c r="AJ9" s="213"/>
      <c r="AK9" s="1501"/>
      <c r="AL9" s="1541"/>
      <c r="AM9" s="1542"/>
      <c r="AN9" s="1543"/>
      <c r="AO9" s="1546"/>
    </row>
    <row r="10" spans="1:46" s="5" customFormat="1" ht="39.75" customHeight="1">
      <c r="J10" s="180"/>
      <c r="K10" s="50"/>
      <c r="L10" s="30" t="str">
        <f>[5]DATA!I41</f>
        <v>E</v>
      </c>
      <c r="M10" s="3427" t="str">
        <f>[5]DATA!J41</f>
        <v>Program Pembangunan Sistem Pengelolaan Air Limbah</v>
      </c>
      <c r="N10" s="3556"/>
      <c r="O10" s="214" t="e">
        <f>O11+O13+O14+O15+O19+O20+#REF!</f>
        <v>#REF!</v>
      </c>
      <c r="P10" s="197" t="e">
        <f>P11+P13+P14+P15+P19+P20+#REF!</f>
        <v>#NAME?</v>
      </c>
      <c r="Q10" s="1436" t="e">
        <f>SUM(Q11:Q20)</f>
        <v>#REF!</v>
      </c>
      <c r="R10" s="1436" t="e">
        <f>R11+R13+R14+R15+R19+R20+#REF!</f>
        <v>#REF!</v>
      </c>
      <c r="S10" s="244" t="e">
        <f t="shared" ref="S10:S11" si="0">P10+Q10+R10</f>
        <v>#NAME?</v>
      </c>
      <c r="T10" s="1437"/>
      <c r="U10" s="198"/>
      <c r="V10" s="81">
        <f>SUM(V11:V20)</f>
        <v>3557800000</v>
      </c>
      <c r="W10" s="81">
        <f>SUM(W11:W20)</f>
        <v>0</v>
      </c>
      <c r="X10" s="243">
        <f>SUM(X11:X20)</f>
        <v>0</v>
      </c>
      <c r="Y10" s="81">
        <f>Y11+Y12+Y13+Y14+Y15+Y16+Y17+Y18+Y19+Y20</f>
        <v>3557800000</v>
      </c>
      <c r="Z10" s="81"/>
      <c r="AA10" s="1469"/>
      <c r="AB10" s="1470"/>
      <c r="AC10" s="1471"/>
      <c r="AD10" s="1472"/>
      <c r="AE10" s="1472"/>
      <c r="AF10" s="1472"/>
      <c r="AG10" s="1504"/>
      <c r="AH10" s="198">
        <f>SUM(AH11:AH20)</f>
        <v>3557800000</v>
      </c>
      <c r="AI10" s="81" t="s">
        <v>21</v>
      </c>
      <c r="AJ10" s="214">
        <f>SUM(AJ11:AJ20)</f>
        <v>0</v>
      </c>
      <c r="AK10" s="1505"/>
      <c r="AL10" s="1506"/>
      <c r="AM10" s="169"/>
      <c r="AN10" s="1507"/>
      <c r="AO10" s="1530"/>
      <c r="AQ10" s="10">
        <f t="shared" ref="AQ10:AQ23" si="1">IF(Z10="RRT",Y10,0)</f>
        <v>0</v>
      </c>
      <c r="AR10" s="10">
        <f t="shared" ref="AR10:AR23" si="2">IF(Z10="JICA",Y10,0)</f>
        <v>0</v>
      </c>
      <c r="AS10" s="10">
        <f t="shared" ref="AS10:AS23" si="3">IF(Z10="Belum ada indikasi",Y10,0)</f>
        <v>0</v>
      </c>
      <c r="AT10" s="10">
        <f t="shared" ref="AT10:AT23" si="4">IF(Z10="Korea",Y10,0)</f>
        <v>0</v>
      </c>
    </row>
    <row r="11" spans="1:46" ht="71.099999999999994" customHeight="1">
      <c r="J11" s="181"/>
      <c r="K11" s="34"/>
      <c r="L11" s="34"/>
      <c r="M11" s="182">
        <v>1</v>
      </c>
      <c r="N11" s="1671" t="str">
        <f>[5]DATA!L42</f>
        <v>Community Based Sanitation Program (SANIMAS)</v>
      </c>
      <c r="O11" s="3592">
        <f>[5]DATA!T41</f>
        <v>250000000</v>
      </c>
      <c r="P11" s="3410" t="e">
        <f>'SEKTOR SANITASI'!Y134\</f>
        <v>#NAME?</v>
      </c>
      <c r="Q11" s="3438">
        <f>[5]DATA!V41</f>
        <v>12500000</v>
      </c>
      <c r="R11" s="3438">
        <f>[5]DATA!W41</f>
        <v>0</v>
      </c>
      <c r="S11" s="3603" t="e">
        <f t="shared" si="0"/>
        <v>#NAME?</v>
      </c>
      <c r="T11" s="1439"/>
      <c r="U11" s="1449" t="str">
        <f>[5]DATA!Y42</f>
        <v>ADB</v>
      </c>
      <c r="V11" s="77">
        <f>[5]DATA!AA42</f>
        <v>125000000</v>
      </c>
      <c r="W11" s="77">
        <v>0</v>
      </c>
      <c r="X11" s="1450" t="str">
        <f>[5]DATA!Y42</f>
        <v>ADB</v>
      </c>
      <c r="Y11" s="109">
        <v>125000000</v>
      </c>
      <c r="Z11" s="109" t="s">
        <v>117</v>
      </c>
      <c r="AA11" s="1484" t="s">
        <v>1173</v>
      </c>
      <c r="AB11" s="828"/>
      <c r="AC11" s="1485"/>
      <c r="AD11" s="1486"/>
      <c r="AE11" s="1486"/>
      <c r="AF11" s="1486"/>
      <c r="AG11" s="3253" t="s">
        <v>1171</v>
      </c>
      <c r="AH11" s="1509">
        <f>[5]DATA!AT42</f>
        <v>125000000</v>
      </c>
      <c r="AI11" s="109" t="str">
        <f>[5]DATA!AU42</f>
        <v>ADB</v>
      </c>
      <c r="AJ11" s="1544" t="str">
        <f>[5]DATA!AW42</f>
        <v>-</v>
      </c>
      <c r="AK11" s="1582" t="e">
        <f>[5]DATA!AM42</f>
        <v>#REF!</v>
      </c>
      <c r="AL11" s="3515" t="str">
        <f>[5]DATA!AN42</f>
        <v>belum ada keterangan</v>
      </c>
      <c r="AM11" s="3515" t="str">
        <f>[5]DATA!AO42</f>
        <v>tidak butuh lahan</v>
      </c>
      <c r="AN11" s="1545" t="e">
        <f>[5]DATA!AQ42</f>
        <v>#REF!</v>
      </c>
      <c r="AO11" s="1664" t="str">
        <f>[5]DATA!AR42</f>
        <v>- untuk wilayah Timur
- belum ada dokumen R/C</v>
      </c>
      <c r="AQ11" s="10">
        <f t="shared" si="1"/>
        <v>0</v>
      </c>
      <c r="AR11" s="10">
        <f t="shared" si="2"/>
        <v>0</v>
      </c>
      <c r="AS11" s="10">
        <f t="shared" si="3"/>
        <v>0</v>
      </c>
      <c r="AT11" s="10">
        <f t="shared" si="4"/>
        <v>0</v>
      </c>
    </row>
    <row r="12" spans="1:46" ht="36.75" customHeight="1">
      <c r="J12" s="181"/>
      <c r="K12" s="34"/>
      <c r="L12" s="34"/>
      <c r="M12" s="184"/>
      <c r="N12" s="1672"/>
      <c r="O12" s="3591"/>
      <c r="P12" s="3409"/>
      <c r="Q12" s="3439"/>
      <c r="R12" s="3439"/>
      <c r="S12" s="3604"/>
      <c r="T12" s="1443"/>
      <c r="U12" s="1449" t="str">
        <f>[5]DATA!Y43</f>
        <v>IDB</v>
      </c>
      <c r="V12" s="77">
        <f>[5]DATA!AA43</f>
        <v>125000000</v>
      </c>
      <c r="W12" s="77">
        <v>0</v>
      </c>
      <c r="X12" s="1450" t="str">
        <f>[5]DATA!Y43</f>
        <v>IDB</v>
      </c>
      <c r="Y12" s="109">
        <v>125000000</v>
      </c>
      <c r="Z12" s="109" t="s">
        <v>58</v>
      </c>
      <c r="AA12" s="1484" t="s">
        <v>1173</v>
      </c>
      <c r="AB12" s="828"/>
      <c r="AC12" s="1485"/>
      <c r="AD12" s="1486"/>
      <c r="AE12" s="1486"/>
      <c r="AF12" s="1486"/>
      <c r="AG12" s="1513" t="s">
        <v>1339</v>
      </c>
      <c r="AH12" s="1509">
        <f>[5]DATA!AT43</f>
        <v>125000000</v>
      </c>
      <c r="AI12" s="109" t="str">
        <f>[5]DATA!AU43</f>
        <v>IDB</v>
      </c>
      <c r="AJ12" s="1544" t="str">
        <f>[5]DATA!AW43</f>
        <v>-</v>
      </c>
      <c r="AK12" s="1582" t="e">
        <f>[5]DATA!AM43</f>
        <v>#REF!</v>
      </c>
      <c r="AL12" s="3630"/>
      <c r="AM12" s="3630"/>
      <c r="AN12" s="1545" t="e">
        <f>[5]DATA!AQ43</f>
        <v>#REF!</v>
      </c>
      <c r="AO12" s="1664" t="str">
        <f>[5]DATA!AR43</f>
        <v>- untuk wilayah Barat
- belum ada dokumen R/C</v>
      </c>
      <c r="AQ12" s="10">
        <f t="shared" si="1"/>
        <v>0</v>
      </c>
      <c r="AR12" s="10">
        <f t="shared" si="2"/>
        <v>0</v>
      </c>
      <c r="AS12" s="10">
        <f t="shared" si="3"/>
        <v>0</v>
      </c>
      <c r="AT12" s="10">
        <f t="shared" si="4"/>
        <v>0</v>
      </c>
    </row>
    <row r="13" spans="1:46" ht="36.75" customHeight="1">
      <c r="A13" s="10">
        <f>[5]DATA!A44</f>
        <v>36</v>
      </c>
      <c r="B13" s="10" t="e">
        <f>[5]DATA!B44</f>
        <v>#REF!</v>
      </c>
      <c r="C13" s="10" t="str">
        <f>[5]DATA!D44</f>
        <v>INFRASTRUKTUR</v>
      </c>
      <c r="D13" s="10">
        <f>[5]DATA!E44</f>
        <v>1</v>
      </c>
      <c r="E13" s="10" t="str">
        <f>[5]DATA!F44</f>
        <v>Kementerian Pekerjaan Umum dan Perumahan Rakyat</v>
      </c>
      <c r="F13" s="10" t="str">
        <f>[5]DATA!H44</f>
        <v>Development of Waste Water Management Program</v>
      </c>
      <c r="G13" s="10" t="str">
        <f>[5]DATA!I44</f>
        <v>E</v>
      </c>
      <c r="H13" s="10" t="str">
        <f>[5]DATA!J44</f>
        <v>Program Pembangunan Sistem Pengelolaan Air Limbah</v>
      </c>
      <c r="I13" s="10">
        <f>[5]DATA!K44</f>
        <v>2</v>
      </c>
      <c r="J13" s="181"/>
      <c r="K13" s="34"/>
      <c r="L13" s="34"/>
      <c r="M13" s="36">
        <v>2</v>
      </c>
      <c r="N13" s="199" t="str">
        <f>[5]DATA!L44</f>
        <v>Jakarta Sewerage Development Project - Zone 1 and Zone 6</v>
      </c>
      <c r="O13" s="1402">
        <f>[5]DATA!T44</f>
        <v>1950000000</v>
      </c>
      <c r="P13" s="187">
        <f>[5]DATA!U44</f>
        <v>1950000000</v>
      </c>
      <c r="Q13" s="1446">
        <f>[5]DATA!V44</f>
        <v>97500000</v>
      </c>
      <c r="R13" s="1446"/>
      <c r="S13" s="1447">
        <f>P13+Q13+R13</f>
        <v>2047500000</v>
      </c>
      <c r="T13" s="1448"/>
      <c r="U13" s="1449" t="str">
        <f>[5]DATA!Y44</f>
        <v>JICA</v>
      </c>
      <c r="V13" s="77">
        <f>[5]DATA!AA44</f>
        <v>1950000000</v>
      </c>
      <c r="W13" s="77">
        <v>0</v>
      </c>
      <c r="X13" s="1450" t="str">
        <f>[5]DATA!Y44</f>
        <v>JICA</v>
      </c>
      <c r="Y13" s="109">
        <v>1950000000</v>
      </c>
      <c r="Z13" s="109" t="s">
        <v>55</v>
      </c>
      <c r="AA13" s="1484" t="s">
        <v>1160</v>
      </c>
      <c r="AB13" s="828"/>
      <c r="AC13" s="1485"/>
      <c r="AD13" s="1486"/>
      <c r="AE13" s="1486"/>
      <c r="AF13" s="1486"/>
      <c r="AG13" s="1508" t="s">
        <v>1183</v>
      </c>
      <c r="AH13" s="1509">
        <f>[5]DATA!AT44</f>
        <v>1950000000</v>
      </c>
      <c r="AI13" s="109" t="str">
        <f>[5]DATA!AU44</f>
        <v>JICA</v>
      </c>
      <c r="AJ13" s="1544" t="str">
        <f>[5]DATA!AW44</f>
        <v>-</v>
      </c>
      <c r="AK13" s="245" t="e">
        <f>[5]DATA!AM44</f>
        <v>#REF!</v>
      </c>
      <c r="AL13" s="1510" t="str">
        <f>[5]DATA!AN44</f>
        <v>dalam proses
(memiliki FS)</v>
      </c>
      <c r="AM13" s="1511" t="str">
        <f>[5]DATA!AO44</f>
        <v>dalam proses</v>
      </c>
      <c r="AN13" s="1545" t="e">
        <f>[5]DATA!AQ44</f>
        <v>#REF!</v>
      </c>
      <c r="AO13" s="1533" t="str">
        <f>[5]DATA!AR44</f>
        <v>- Zona I: dalam pelaksanaan ES (tender konsultan)
- belum ada dokumen R/C</v>
      </c>
      <c r="AQ13" s="10">
        <f t="shared" si="1"/>
        <v>0</v>
      </c>
      <c r="AR13" s="10">
        <f t="shared" si="2"/>
        <v>1950000000</v>
      </c>
      <c r="AS13" s="10">
        <f t="shared" si="3"/>
        <v>0</v>
      </c>
      <c r="AT13" s="10">
        <f t="shared" si="4"/>
        <v>0</v>
      </c>
    </row>
    <row r="14" spans="1:46" ht="33.75" customHeight="1">
      <c r="A14" s="10">
        <f>[5]DATA!A45</f>
        <v>37</v>
      </c>
      <c r="B14" s="10" t="e">
        <f>[5]DATA!B45</f>
        <v>#REF!</v>
      </c>
      <c r="C14" s="10" t="str">
        <f>[5]DATA!D45</f>
        <v>INFRASTRUKTUR</v>
      </c>
      <c r="D14" s="10">
        <f>[5]DATA!E45</f>
        <v>1</v>
      </c>
      <c r="E14" s="10" t="str">
        <f>[5]DATA!F45</f>
        <v>Kementerian Pekerjaan Umum dan Perumahan Rakyat</v>
      </c>
      <c r="F14" s="10" t="str">
        <f>[5]DATA!H45</f>
        <v>Development of Waste Water Management Program</v>
      </c>
      <c r="G14" s="10" t="str">
        <f>[5]DATA!I45</f>
        <v>E</v>
      </c>
      <c r="H14" s="10" t="str">
        <f>[5]DATA!J45</f>
        <v>Program Pembangunan Sistem Pengelolaan Air Limbah</v>
      </c>
      <c r="I14" s="10">
        <f>[5]DATA!K45</f>
        <v>3</v>
      </c>
      <c r="J14" s="181"/>
      <c r="K14" s="34"/>
      <c r="L14" s="34"/>
      <c r="M14" s="36">
        <v>3</v>
      </c>
      <c r="N14" s="199" t="str">
        <f>[5]DATA!L45</f>
        <v>The Development of Sewage Treatment Plant Facility in Priority Area</v>
      </c>
      <c r="O14" s="1402">
        <f>[5]DATA!T45</f>
        <v>75000000</v>
      </c>
      <c r="P14" s="187">
        <f>[5]DATA!U45</f>
        <v>75000000</v>
      </c>
      <c r="Q14" s="1446">
        <f>[5]DATA!V45</f>
        <v>3750000</v>
      </c>
      <c r="R14" s="1446"/>
      <c r="S14" s="1447">
        <f>P14+Q14+R14</f>
        <v>78750000</v>
      </c>
      <c r="T14" s="1448"/>
      <c r="U14" s="1449" t="str">
        <f>[5]DATA!Y45</f>
        <v>Bank Dunia/JICA</v>
      </c>
      <c r="V14" s="77">
        <f>[5]DATA!AA45</f>
        <v>75000000</v>
      </c>
      <c r="W14" s="77">
        <v>0</v>
      </c>
      <c r="X14" s="1450" t="str">
        <f>[5]DATA!Y45</f>
        <v>Bank Dunia/JICA</v>
      </c>
      <c r="Y14" s="109">
        <v>75000000</v>
      </c>
      <c r="Z14" s="109" t="s">
        <v>62</v>
      </c>
      <c r="AA14" s="1484" t="s">
        <v>879</v>
      </c>
      <c r="AB14" s="828"/>
      <c r="AC14" s="1485"/>
      <c r="AD14" s="1486"/>
      <c r="AE14" s="1486"/>
      <c r="AF14" s="1486"/>
      <c r="AG14" s="1508" t="s">
        <v>1164</v>
      </c>
      <c r="AH14" s="1509">
        <f>[5]DATA!AT45</f>
        <v>75000000</v>
      </c>
      <c r="AI14" s="109" t="str">
        <f>[5]DATA!AU45</f>
        <v>Bank Dunia</v>
      </c>
      <c r="AJ14" s="1544" t="str">
        <f>[5]DATA!AW45</f>
        <v>- usulan K/L lender: Bank Dunia/JICA/ADB. 
- pihak Bank Dunia berminat, ADB dan JICA tidak berminat
- dalam rencana pembiayaan Bank Dunia, kegiatan ini dijadikan satu paket dengan kegiatan "Sewerage System Development in Indonesia"</v>
      </c>
      <c r="AK14" s="245" t="e">
        <f>[5]DATA!AM45</f>
        <v>#REF!</v>
      </c>
      <c r="AL14" s="1510" t="str">
        <f>[5]DATA!AN45</f>
        <v>dalam proses
(memiliki FS)</v>
      </c>
      <c r="AM14" s="1511" t="str">
        <f>[5]DATA!AO45</f>
        <v>belum ada keterangan</v>
      </c>
      <c r="AN14" s="1545" t="e">
        <f>[5]DATA!AQ45</f>
        <v>#REF!</v>
      </c>
      <c r="AO14" s="1533" t="str">
        <f>[5]DATA!AR45</f>
        <v>belum ada dokumen R/C</v>
      </c>
      <c r="AQ14" s="10">
        <f t="shared" si="1"/>
        <v>0</v>
      </c>
      <c r="AR14" s="10">
        <f t="shared" si="2"/>
        <v>0</v>
      </c>
      <c r="AS14" s="10">
        <f t="shared" si="3"/>
        <v>0</v>
      </c>
      <c r="AT14" s="10">
        <f t="shared" si="4"/>
        <v>0</v>
      </c>
    </row>
    <row r="15" spans="1:46" s="9" customFormat="1" ht="73.5" customHeight="1">
      <c r="A15" s="9">
        <f>[5]DATA!A47</f>
        <v>38</v>
      </c>
      <c r="B15" s="9" t="e">
        <f>[5]DATA!B47</f>
        <v>#REF!</v>
      </c>
      <c r="C15" s="9" t="str">
        <f>[5]DATA!D47</f>
        <v>INFRASTRUKTUR</v>
      </c>
      <c r="D15" s="9">
        <f>[5]DATA!E47</f>
        <v>1</v>
      </c>
      <c r="E15" s="9" t="str">
        <f>[5]DATA!F47</f>
        <v>Kementerian Pekerjaan Umum dan Perumahan Rakyat</v>
      </c>
      <c r="F15" s="9" t="str">
        <f>[5]DATA!H47</f>
        <v>Development of Waste Water Management Program</v>
      </c>
      <c r="G15" s="9" t="str">
        <f>[5]DATA!I47</f>
        <v>E</v>
      </c>
      <c r="H15" s="9" t="str">
        <f>[5]DATA!J47</f>
        <v>Program Pembangunan Sistem Pengelolaan Air Limbah</v>
      </c>
      <c r="I15" s="9">
        <f>[5]DATA!K47</f>
        <v>4</v>
      </c>
      <c r="J15" s="254"/>
      <c r="K15" s="63"/>
      <c r="L15" s="63"/>
      <c r="M15" s="1673">
        <v>4</v>
      </c>
      <c r="N15" s="1674" t="str">
        <f>[5]DATA!L47</f>
        <v>Sewerage System Development in Indonesia</v>
      </c>
      <c r="O15" s="3593">
        <f>[5]DATA!T46</f>
        <v>975000000</v>
      </c>
      <c r="P15" s="3431">
        <f>AH15+AH16+AH17+AH18</f>
        <v>949800000</v>
      </c>
      <c r="Q15" s="3440">
        <f>[5]DATA!V46</f>
        <v>48750000</v>
      </c>
      <c r="R15" s="3440"/>
      <c r="S15" s="3605">
        <f>P15+Q15+R15</f>
        <v>998550000</v>
      </c>
      <c r="T15" s="1679"/>
      <c r="U15" s="3486" t="str">
        <f>[5]DATA!Y47</f>
        <v>ADB</v>
      </c>
      <c r="V15" s="3491">
        <f>[5]DATA!AA47</f>
        <v>424800000</v>
      </c>
      <c r="W15" s="3491" t="s">
        <v>21</v>
      </c>
      <c r="X15" s="3616" t="str">
        <f>[5]DATA!Y47</f>
        <v>ADB</v>
      </c>
      <c r="Y15" s="273">
        <v>400000000</v>
      </c>
      <c r="Z15" s="273" t="s">
        <v>117</v>
      </c>
      <c r="AA15" s="1684" t="s">
        <v>1173</v>
      </c>
      <c r="AB15" s="1685"/>
      <c r="AC15" s="1686"/>
      <c r="AD15" s="1687"/>
      <c r="AE15" s="1687"/>
      <c r="AF15" s="1687"/>
      <c r="AG15" s="3255" t="s">
        <v>1174</v>
      </c>
      <c r="AH15" s="281">
        <f>[5]DATA!AT47</f>
        <v>400000000</v>
      </c>
      <c r="AI15" s="273" t="str">
        <f>[5]DATA!AU47</f>
        <v>ADB</v>
      </c>
      <c r="AJ15" s="1688" t="str">
        <f>[5]DATA!AW47</f>
        <v>- nilai kegiatan yang tercantum dalam COBP ADB sebesar USD 400 juta.
- nilai kegiatan berkurang sebesar USD 25,2 yang dialihkan untuk membiayai kegiatan ES</v>
      </c>
      <c r="AK15" s="245" t="e">
        <f>[5]DATA!AM47</f>
        <v>#REF!</v>
      </c>
      <c r="AL15" s="3516" t="str">
        <f>[5]DATA!AN47</f>
        <v>belum ada keterangan</v>
      </c>
      <c r="AM15" s="3516" t="str">
        <f>[5]DATA!AO47</f>
        <v>belum ada keterangan</v>
      </c>
      <c r="AN15" s="1545" t="e">
        <f>[5]DATA!AQ47</f>
        <v>#REF!</v>
      </c>
      <c r="AO15" s="3506" t="str">
        <f>[5]DATA!AR47</f>
        <v>- nilai pinjaman berkurang sebesar USD 25,20 juta untuk kegiatan ES
- belum ada dokumen R/C</v>
      </c>
      <c r="AQ15" s="10">
        <f t="shared" si="1"/>
        <v>0</v>
      </c>
      <c r="AR15" s="10">
        <f t="shared" si="2"/>
        <v>0</v>
      </c>
      <c r="AS15" s="10">
        <f t="shared" si="3"/>
        <v>0</v>
      </c>
      <c r="AT15" s="10">
        <f t="shared" si="4"/>
        <v>0</v>
      </c>
    </row>
    <row r="16" spans="1:46" s="9" customFormat="1" ht="63.75">
      <c r="J16" s="254"/>
      <c r="K16" s="63"/>
      <c r="L16" s="63"/>
      <c r="M16" s="62"/>
      <c r="N16" s="1675"/>
      <c r="O16" s="3594"/>
      <c r="P16" s="3432"/>
      <c r="Q16" s="3441"/>
      <c r="R16" s="3441"/>
      <c r="S16" s="3606"/>
      <c r="T16" s="1681"/>
      <c r="U16" s="3487"/>
      <c r="V16" s="3492"/>
      <c r="W16" s="3492"/>
      <c r="X16" s="3617"/>
      <c r="Y16" s="273">
        <v>24800000</v>
      </c>
      <c r="Z16" s="273" t="s">
        <v>1063</v>
      </c>
      <c r="AA16" s="1684" t="s">
        <v>1160</v>
      </c>
      <c r="AB16" s="1685"/>
      <c r="AC16" s="1686"/>
      <c r="AD16" s="1687"/>
      <c r="AE16" s="1687"/>
      <c r="AF16" s="1687"/>
      <c r="AG16" s="3253" t="s">
        <v>1175</v>
      </c>
      <c r="AH16" s="281">
        <f>[5]DATA!AT50</f>
        <v>24800000</v>
      </c>
      <c r="AI16" s="273" t="str">
        <f>[5]DATA!AU50</f>
        <v>Belum Ada Indikasi</v>
      </c>
      <c r="AJ16" s="1689" t="str">
        <f>[5]DATA!AW50</f>
        <v>co-financing dengan ADB (USD 400 juta), IDB (USD 325 juta) &amp; Bank Dunia (USD 200 juta)</v>
      </c>
      <c r="AK16" s="245" t="e">
        <f>[5]DATA!AM50</f>
        <v>#REF!</v>
      </c>
      <c r="AL16" s="3517"/>
      <c r="AM16" s="3517"/>
      <c r="AN16" s="1545" t="e">
        <f>[5]DATA!AQ50</f>
        <v>#REF!</v>
      </c>
      <c r="AO16" s="3507"/>
      <c r="AQ16" s="10">
        <f t="shared" si="1"/>
        <v>0</v>
      </c>
      <c r="AR16" s="10">
        <f t="shared" si="2"/>
        <v>0</v>
      </c>
      <c r="AS16" s="10">
        <f t="shared" si="3"/>
        <v>0</v>
      </c>
      <c r="AT16" s="10">
        <f t="shared" si="4"/>
        <v>0</v>
      </c>
    </row>
    <row r="17" spans="1:46" s="9" customFormat="1" ht="38.25">
      <c r="A17" s="9">
        <f>[5]DATA!A48</f>
        <v>39</v>
      </c>
      <c r="B17" s="9" t="e">
        <f>[5]DATA!B48</f>
        <v>#REF!</v>
      </c>
      <c r="C17" s="9" t="str">
        <f>[5]DATA!D48</f>
        <v>INFRASTRUKTUR</v>
      </c>
      <c r="D17" s="9">
        <f>[5]DATA!E48</f>
        <v>1</v>
      </c>
      <c r="E17" s="9" t="str">
        <f>[5]DATA!F48</f>
        <v>Kementerian Pekerjaan Umum dan Perumahan Rakyat</v>
      </c>
      <c r="F17" s="9" t="str">
        <f>[5]DATA!H48</f>
        <v>Development of Waste Water Management Program</v>
      </c>
      <c r="G17" s="9" t="str">
        <f>[5]DATA!I48</f>
        <v>E</v>
      </c>
      <c r="H17" s="9" t="str">
        <f>[5]DATA!J48</f>
        <v>Program Pembangunan Sistem Pengelolaan Air Limbah</v>
      </c>
      <c r="I17" s="9">
        <f>[5]DATA!K48</f>
        <v>4</v>
      </c>
      <c r="J17" s="254"/>
      <c r="K17" s="63"/>
      <c r="L17" s="63"/>
      <c r="M17" s="62"/>
      <c r="N17" s="1676"/>
      <c r="O17" s="3594"/>
      <c r="P17" s="3432"/>
      <c r="Q17" s="3441"/>
      <c r="R17" s="3441"/>
      <c r="S17" s="3606"/>
      <c r="T17" s="1681"/>
      <c r="U17" s="1455" t="str">
        <f>[5]DATA!Y48</f>
        <v>IDB</v>
      </c>
      <c r="V17" s="91">
        <f>[5]DATA!AA48</f>
        <v>325000000</v>
      </c>
      <c r="W17" s="91">
        <v>0</v>
      </c>
      <c r="X17" s="286" t="str">
        <f>[5]DATA!Y48</f>
        <v>IDB</v>
      </c>
      <c r="Y17" s="273">
        <v>325000000</v>
      </c>
      <c r="Z17" s="273" t="s">
        <v>58</v>
      </c>
      <c r="AA17" s="1684" t="s">
        <v>879</v>
      </c>
      <c r="AB17" s="1685"/>
      <c r="AC17" s="1686"/>
      <c r="AD17" s="1687"/>
      <c r="AE17" s="1687"/>
      <c r="AF17" s="1687"/>
      <c r="AG17" s="3255" t="s">
        <v>1176</v>
      </c>
      <c r="AH17" s="281">
        <f>[5]DATA!AT48</f>
        <v>325000000</v>
      </c>
      <c r="AI17" s="273" t="str">
        <f>[5]DATA!AU48</f>
        <v>IDB</v>
      </c>
      <c r="AJ17" s="1688" t="str">
        <f>[5]DATA!AW48</f>
        <v>-</v>
      </c>
      <c r="AK17" s="245" t="e">
        <f>[5]DATA!AM48</f>
        <v>#REF!</v>
      </c>
      <c r="AL17" s="3517"/>
      <c r="AM17" s="3517"/>
      <c r="AN17" s="1545" t="e">
        <f>[5]DATA!AQ48</f>
        <v>#REF!</v>
      </c>
      <c r="AO17" s="3507"/>
      <c r="AQ17" s="10">
        <f t="shared" si="1"/>
        <v>0</v>
      </c>
      <c r="AR17" s="10">
        <f t="shared" si="2"/>
        <v>0</v>
      </c>
      <c r="AS17" s="10">
        <f t="shared" si="3"/>
        <v>0</v>
      </c>
      <c r="AT17" s="10">
        <f t="shared" si="4"/>
        <v>0</v>
      </c>
    </row>
    <row r="18" spans="1:46" s="9" customFormat="1" ht="87" customHeight="1">
      <c r="A18" s="9">
        <f>[5]DATA!A49</f>
        <v>40</v>
      </c>
      <c r="B18" s="9" t="e">
        <f>[5]DATA!B49</f>
        <v>#REF!</v>
      </c>
      <c r="C18" s="9" t="str">
        <f>[5]DATA!D49</f>
        <v>INFRASTRUKTUR</v>
      </c>
      <c r="D18" s="9">
        <f>[5]DATA!E49</f>
        <v>1</v>
      </c>
      <c r="E18" s="9" t="str">
        <f>[5]DATA!F49</f>
        <v>Kementerian Pekerjaan Umum dan Perumahan Rakyat</v>
      </c>
      <c r="F18" s="9" t="str">
        <f>[5]DATA!H49</f>
        <v>Development of Waste Water Management Program</v>
      </c>
      <c r="G18" s="9" t="str">
        <f>[5]DATA!I49</f>
        <v>E</v>
      </c>
      <c r="H18" s="9" t="str">
        <f>[5]DATA!J49</f>
        <v>Program Pembangunan Sistem Pengelolaan Air Limbah</v>
      </c>
      <c r="I18" s="9">
        <f>[5]DATA!K49</f>
        <v>4</v>
      </c>
      <c r="J18" s="254"/>
      <c r="K18" s="63"/>
      <c r="L18" s="63"/>
      <c r="M18" s="1677"/>
      <c r="N18" s="1678"/>
      <c r="O18" s="3595"/>
      <c r="P18" s="3433"/>
      <c r="Q18" s="3442"/>
      <c r="R18" s="3442"/>
      <c r="S18" s="3607"/>
      <c r="T18" s="1683"/>
      <c r="U18" s="1455" t="str">
        <f>[5]DATA!Y49</f>
        <v>Bank Dunia</v>
      </c>
      <c r="V18" s="91">
        <f>[5]DATA!AA49</f>
        <v>200000000</v>
      </c>
      <c r="W18" s="91">
        <v>0</v>
      </c>
      <c r="X18" s="286" t="str">
        <f>[5]DATA!Y49</f>
        <v>Bank Dunia</v>
      </c>
      <c r="Y18" s="273">
        <v>200000000</v>
      </c>
      <c r="Z18" s="273" t="s">
        <v>62</v>
      </c>
      <c r="AA18" s="1684" t="s">
        <v>879</v>
      </c>
      <c r="AB18" s="1685"/>
      <c r="AC18" s="1686"/>
      <c r="AD18" s="1687"/>
      <c r="AE18" s="1687"/>
      <c r="AF18" s="1687"/>
      <c r="AG18" s="3255" t="s">
        <v>1177</v>
      </c>
      <c r="AH18" s="281">
        <f>[5]DATA!AT49</f>
        <v>200000000</v>
      </c>
      <c r="AI18" s="273" t="str">
        <f>[5]DATA!AU49</f>
        <v>Bank Dunia</v>
      </c>
      <c r="AJ18" s="1688" t="str">
        <f>[5]DATA!AW49</f>
        <v>-</v>
      </c>
      <c r="AK18" s="245" t="e">
        <f>[5]DATA!AM49</f>
        <v>#REF!</v>
      </c>
      <c r="AL18" s="3518"/>
      <c r="AM18" s="3518"/>
      <c r="AN18" s="1545" t="e">
        <f>[5]DATA!AQ49</f>
        <v>#REF!</v>
      </c>
      <c r="AO18" s="3508"/>
      <c r="AQ18" s="10">
        <f t="shared" si="1"/>
        <v>0</v>
      </c>
      <c r="AR18" s="10">
        <f t="shared" si="2"/>
        <v>0</v>
      </c>
      <c r="AS18" s="10">
        <f t="shared" si="3"/>
        <v>0</v>
      </c>
      <c r="AT18" s="10">
        <f t="shared" si="4"/>
        <v>0</v>
      </c>
    </row>
    <row r="19" spans="1:46" ht="64.5" customHeight="1">
      <c r="A19" s="10">
        <f>[5]DATA!A51</f>
        <v>41</v>
      </c>
      <c r="B19" s="10" t="e">
        <f>[5]DATA!B51</f>
        <v>#REF!</v>
      </c>
      <c r="C19" s="10" t="str">
        <f>[5]DATA!D51</f>
        <v>INFRASTRUKTUR</v>
      </c>
      <c r="D19" s="10">
        <f>[5]DATA!E51</f>
        <v>1</v>
      </c>
      <c r="E19" s="10" t="str">
        <f>[5]DATA!F51</f>
        <v>Kementerian Pekerjaan Umum dan Perumahan Rakyat</v>
      </c>
      <c r="F19" s="10" t="str">
        <f>[5]DATA!H51</f>
        <v>Development of Waste Water Management Program</v>
      </c>
      <c r="G19" s="10" t="str">
        <f>[5]DATA!I51</f>
        <v>E</v>
      </c>
      <c r="H19" s="10" t="str">
        <f>[5]DATA!J51</f>
        <v>Program Pembangunan Sistem Pengelolaan Air Limbah</v>
      </c>
      <c r="I19" s="10">
        <f>[5]DATA!K51</f>
        <v>5</v>
      </c>
      <c r="J19" s="181"/>
      <c r="K19" s="34"/>
      <c r="L19" s="34"/>
      <c r="M19" s="36">
        <v>5</v>
      </c>
      <c r="N19" s="199" t="str">
        <f>[5]DATA!L51</f>
        <v>Denpasar Sewerage Development Project - Phase III</v>
      </c>
      <c r="O19" s="1402">
        <f>[5]DATA!T51</f>
        <v>233000000</v>
      </c>
      <c r="P19" s="187">
        <f>[5]DATA!U51</f>
        <v>233000000</v>
      </c>
      <c r="Q19" s="1446" t="e">
        <f>[5]!BB[[#This Row],[PENDAMPING BB]]</f>
        <v>#REF!</v>
      </c>
      <c r="R19" s="1446"/>
      <c r="S19" s="1447" t="e">
        <f t="shared" ref="S19:S24" si="5">P19+Q19+R19</f>
        <v>#REF!</v>
      </c>
      <c r="T19" s="1448"/>
      <c r="U19" s="1449" t="str">
        <f>[5]DATA!Y51</f>
        <v>JICA</v>
      </c>
      <c r="V19" s="77">
        <f>[5]DATA!AA51</f>
        <v>233000000</v>
      </c>
      <c r="W19" s="77">
        <v>0</v>
      </c>
      <c r="X19" s="1450" t="str">
        <f>[5]DATA!Y51</f>
        <v>JICA</v>
      </c>
      <c r="Y19" s="109">
        <v>233000000</v>
      </c>
      <c r="Z19" s="109" t="s">
        <v>55</v>
      </c>
      <c r="AA19" s="1484" t="s">
        <v>1160</v>
      </c>
      <c r="AB19" s="828"/>
      <c r="AC19" s="1485"/>
      <c r="AD19" s="1486"/>
      <c r="AE19" s="1486"/>
      <c r="AF19" s="1486"/>
      <c r="AG19" s="3253" t="s">
        <v>1178</v>
      </c>
      <c r="AH19" s="1509">
        <f>[5]DATA!AT51</f>
        <v>233000000</v>
      </c>
      <c r="AI19" s="109" t="str">
        <f>[5]DATA!AU51</f>
        <v>JICA</v>
      </c>
      <c r="AJ19" s="1544" t="str">
        <f>[5]DATA!AW51</f>
        <v>-</v>
      </c>
      <c r="AK19" s="245" t="e">
        <f>[5]DATA!AM51</f>
        <v>#REF!</v>
      </c>
      <c r="AL19" s="1510" t="str">
        <f>[5]DATA!AN51</f>
        <v>dalam proses
(memiliki FS)</v>
      </c>
      <c r="AM19" s="1511" t="str">
        <f>[5]DATA!AO51</f>
        <v>belum ada keterangan</v>
      </c>
      <c r="AN19" s="1545" t="e">
        <f>[5]DATA!AQ51</f>
        <v>#REF!</v>
      </c>
      <c r="AO19" s="1533" t="str">
        <f>[5]DATA!AR51</f>
        <v>Pengajuan pre-request</v>
      </c>
      <c r="AQ19" s="10">
        <f t="shared" si="1"/>
        <v>0</v>
      </c>
      <c r="AR19" s="10">
        <f t="shared" si="2"/>
        <v>233000000</v>
      </c>
      <c r="AS19" s="10">
        <f t="shared" si="3"/>
        <v>0</v>
      </c>
      <c r="AT19" s="10">
        <f t="shared" si="4"/>
        <v>0</v>
      </c>
    </row>
    <row r="20" spans="1:46" ht="37.5" customHeight="1">
      <c r="A20" s="10">
        <f>[5]DATA!A52</f>
        <v>42</v>
      </c>
      <c r="B20" s="10" t="e">
        <f>[5]DATA!B52</f>
        <v>#REF!</v>
      </c>
      <c r="C20" s="10" t="str">
        <f>[5]DATA!D52</f>
        <v>INFRASTRUKTUR</v>
      </c>
      <c r="D20" s="10">
        <f>[5]DATA!E52</f>
        <v>1</v>
      </c>
      <c r="E20" s="10" t="str">
        <f>[5]DATA!F52</f>
        <v>Kementerian Pekerjaan Umum dan Perumahan Rakyat</v>
      </c>
      <c r="F20" s="10" t="str">
        <f>[5]DATA!H52</f>
        <v>Development of Waste Water Management Program</v>
      </c>
      <c r="G20" s="10" t="str">
        <f>[5]DATA!I52</f>
        <v>E</v>
      </c>
      <c r="H20" s="10" t="str">
        <f>[5]DATA!J52</f>
        <v>Program Pembangunan Sistem Pengelolaan Air Limbah</v>
      </c>
      <c r="I20" s="10">
        <f>[5]DATA!K52</f>
        <v>6</v>
      </c>
      <c r="J20" s="181"/>
      <c r="K20" s="34"/>
      <c r="L20" s="34"/>
      <c r="M20" s="36">
        <v>6</v>
      </c>
      <c r="N20" s="199" t="str">
        <f>[5]DATA!L52</f>
        <v>The Development and Optimization of Wastewater Treatment in Greater Bandung</v>
      </c>
      <c r="O20" s="1402">
        <f>[5]DATA!T52</f>
        <v>100000000</v>
      </c>
      <c r="P20" s="187">
        <f>[5]DATA!U52</f>
        <v>100000000</v>
      </c>
      <c r="Q20" s="1446" t="e">
        <f>[5]!BB[[#This Row],[PENDAMPING BB]]</f>
        <v>#REF!</v>
      </c>
      <c r="R20" s="1446"/>
      <c r="S20" s="1447" t="e">
        <f t="shared" si="5"/>
        <v>#REF!</v>
      </c>
      <c r="T20" s="1448"/>
      <c r="U20" s="1449" t="str">
        <f>[5]DATA!Y52</f>
        <v>Jerman (KfW)</v>
      </c>
      <c r="V20" s="77">
        <f>[5]DATA!AA52</f>
        <v>100000000</v>
      </c>
      <c r="W20" s="77">
        <v>0</v>
      </c>
      <c r="X20" s="1450" t="str">
        <f>[5]DATA!Y52</f>
        <v>Jerman (KfW)</v>
      </c>
      <c r="Y20" s="109">
        <v>100000000</v>
      </c>
      <c r="Z20" s="109" t="s">
        <v>91</v>
      </c>
      <c r="AA20" s="1484" t="s">
        <v>1163</v>
      </c>
      <c r="AB20" s="828"/>
      <c r="AC20" s="1485"/>
      <c r="AD20" s="1486"/>
      <c r="AE20" s="1486"/>
      <c r="AF20" s="1486"/>
      <c r="AG20" s="3256" t="s">
        <v>1179</v>
      </c>
      <c r="AH20" s="1509">
        <f>[5]DATA!AT52</f>
        <v>100000000</v>
      </c>
      <c r="AI20" s="109" t="str">
        <f>[5]DATA!AU52</f>
        <v>Jerman (KfW)</v>
      </c>
      <c r="AJ20" s="1544" t="str">
        <f>[5]DATA!AW52</f>
        <v>-</v>
      </c>
      <c r="AK20" s="245" t="e">
        <f>[5]DATA!AM52</f>
        <v>#REF!</v>
      </c>
      <c r="AL20" s="1510" t="str">
        <f>[5]DATA!AN52</f>
        <v>dalam proses
(penyusunan FS)</v>
      </c>
      <c r="AM20" s="1511" t="str">
        <f>[5]DATA!AO52</f>
        <v>belum ada keterangan</v>
      </c>
      <c r="AN20" s="1545" t="e">
        <f>[5]DATA!AQ52</f>
        <v>#REF!</v>
      </c>
      <c r="AO20" s="1533" t="str">
        <f>[5]DATA!AR52</f>
        <v>penyiapan dokumen R/C</v>
      </c>
      <c r="AQ20" s="10">
        <f t="shared" si="1"/>
        <v>0</v>
      </c>
      <c r="AR20" s="10">
        <f t="shared" si="2"/>
        <v>0</v>
      </c>
      <c r="AS20" s="10">
        <f t="shared" si="3"/>
        <v>0</v>
      </c>
      <c r="AT20" s="10">
        <f t="shared" si="4"/>
        <v>0</v>
      </c>
    </row>
    <row r="21" spans="1:46" s="5" customFormat="1" ht="33.75" customHeight="1">
      <c r="J21" s="180"/>
      <c r="K21" s="50"/>
      <c r="L21" s="30" t="str">
        <f>[5]DATA!I54</f>
        <v>F</v>
      </c>
      <c r="M21" s="3565" t="str">
        <f>[5]DATA!J54</f>
        <v>Program Pembangunan Sistem Pengelolaan Persampahan</v>
      </c>
      <c r="N21" s="3566"/>
      <c r="O21" s="214">
        <f>+O22+O23</f>
        <v>250000000</v>
      </c>
      <c r="P21" s="197">
        <f>+P22+P23</f>
        <v>250000000</v>
      </c>
      <c r="Q21" s="1436">
        <f>+Q22+Q23</f>
        <v>12500000</v>
      </c>
      <c r="R21" s="1436">
        <f>+R22+R23</f>
        <v>0</v>
      </c>
      <c r="S21" s="244">
        <f t="shared" si="5"/>
        <v>262500000</v>
      </c>
      <c r="T21" s="1437"/>
      <c r="U21" s="198"/>
      <c r="V21" s="81">
        <f>+V22+V23</f>
        <v>250000000</v>
      </c>
      <c r="W21" s="81">
        <f>+W22+W23</f>
        <v>0</v>
      </c>
      <c r="X21" s="243"/>
      <c r="Y21" s="81">
        <f>Y22+Y23</f>
        <v>250000000</v>
      </c>
      <c r="Z21" s="81"/>
      <c r="AA21" s="1469"/>
      <c r="AB21" s="1470"/>
      <c r="AC21" s="1471"/>
      <c r="AD21" s="1472"/>
      <c r="AE21" s="1472"/>
      <c r="AF21" s="1472"/>
      <c r="AG21" s="1504"/>
      <c r="AH21" s="198">
        <f>+AH22+AH23</f>
        <v>250000000</v>
      </c>
      <c r="AI21" s="81" t="s">
        <v>21</v>
      </c>
      <c r="AJ21" s="214"/>
      <c r="AK21" s="1505"/>
      <c r="AL21" s="1506"/>
      <c r="AM21" s="169"/>
      <c r="AN21" s="1507"/>
      <c r="AO21" s="1530"/>
      <c r="AQ21" s="10">
        <f t="shared" si="1"/>
        <v>0</v>
      </c>
      <c r="AR21" s="10">
        <f t="shared" si="2"/>
        <v>0</v>
      </c>
      <c r="AS21" s="10">
        <f t="shared" si="3"/>
        <v>0</v>
      </c>
      <c r="AT21" s="10">
        <f t="shared" si="4"/>
        <v>0</v>
      </c>
    </row>
    <row r="22" spans="1:46" ht="37.5" customHeight="1">
      <c r="A22" s="10">
        <f>[5]DATA!A54</f>
        <v>43</v>
      </c>
      <c r="B22" s="10" t="e">
        <f>[5]DATA!B54</f>
        <v>#REF!</v>
      </c>
      <c r="C22" s="10" t="str">
        <f>[5]DATA!D54</f>
        <v>INFRASTRUKTUR</v>
      </c>
      <c r="D22" s="10">
        <f>[5]DATA!E54</f>
        <v>1</v>
      </c>
      <c r="E22" s="10" t="str">
        <f>[5]DATA!F54</f>
        <v>Kementerian Pekerjaan Umum dan Perumahan Rakyat</v>
      </c>
      <c r="F22" s="10" t="str">
        <f>[5]DATA!H54</f>
        <v>Development of Solid Waste Management Program</v>
      </c>
      <c r="G22" s="10" t="str">
        <f>[5]DATA!I54</f>
        <v>F</v>
      </c>
      <c r="H22" s="10" t="str">
        <f>[5]DATA!J54</f>
        <v>Program Pembangunan Sistem Pengelolaan Persampahan</v>
      </c>
      <c r="I22" s="10">
        <f>[5]DATA!K54</f>
        <v>1</v>
      </c>
      <c r="J22" s="181"/>
      <c r="K22" s="34"/>
      <c r="L22" s="35"/>
      <c r="M22" s="36">
        <v>7</v>
      </c>
      <c r="N22" s="199" t="str">
        <f>[5]DATA!L54</f>
        <v>Advanced Solid Waste Management for Sustainable Urban Development (Advance SWM-SUD)</v>
      </c>
      <c r="O22" s="1402">
        <f>[5]DATA!T54</f>
        <v>150000000</v>
      </c>
      <c r="P22" s="187">
        <f>[5]DATA!U54</f>
        <v>150000000</v>
      </c>
      <c r="Q22" s="1446">
        <f>[5]DATA!V54</f>
        <v>7500000</v>
      </c>
      <c r="R22" s="1446">
        <f>[5]DATA!W54</f>
        <v>0</v>
      </c>
      <c r="S22" s="1447">
        <f t="shared" si="5"/>
        <v>157500000</v>
      </c>
      <c r="T22" s="1448"/>
      <c r="U22" s="1449" t="str">
        <f>[5]DATA!Y54</f>
        <v>Jerman (KfW)</v>
      </c>
      <c r="V22" s="77">
        <f>[5]DATA!AA54</f>
        <v>150000000</v>
      </c>
      <c r="W22" s="77">
        <v>0</v>
      </c>
      <c r="X22" s="1450" t="str">
        <f>[5]DATA!Y54</f>
        <v>Jerman (KfW)</v>
      </c>
      <c r="Y22" s="109">
        <v>150000000</v>
      </c>
      <c r="Z22" s="109" t="s">
        <v>91</v>
      </c>
      <c r="AA22" s="1484" t="s">
        <v>1163</v>
      </c>
      <c r="AB22" s="828"/>
      <c r="AC22" s="1485"/>
      <c r="AD22" s="1486"/>
      <c r="AE22" s="1486"/>
      <c r="AF22" s="1486"/>
      <c r="AG22" s="1514"/>
      <c r="AH22" s="1509">
        <f>[5]DATA!AT54</f>
        <v>150000000</v>
      </c>
      <c r="AI22" s="109" t="str">
        <f>[5]DATA!AU54</f>
        <v>Jerman (KfW)</v>
      </c>
      <c r="AJ22" s="1544" t="str">
        <f>[5]DATA!AW54</f>
        <v>-</v>
      </c>
      <c r="AK22" s="245" t="e">
        <f>[5]DATA!AM54</f>
        <v>#REF!</v>
      </c>
      <c r="AL22" s="1510" t="str">
        <f>[5]DATA!AN54</f>
        <v>dalam proses
(penyusunan FS)</v>
      </c>
      <c r="AM22" s="1511" t="str">
        <f>[5]DATA!AO54</f>
        <v>belum ada keterangan</v>
      </c>
      <c r="AN22" s="1545" t="e">
        <f>[5]DATA!AQ54</f>
        <v>#REF!</v>
      </c>
      <c r="AO22" s="1533" t="str">
        <f>[5]DATA!AR54</f>
        <v>belum ada dokumen R/C</v>
      </c>
      <c r="AQ22" s="10">
        <f t="shared" si="1"/>
        <v>0</v>
      </c>
      <c r="AR22" s="10">
        <f t="shared" si="2"/>
        <v>0</v>
      </c>
      <c r="AS22" s="10">
        <f t="shared" si="3"/>
        <v>0</v>
      </c>
      <c r="AT22" s="10">
        <f t="shared" si="4"/>
        <v>0</v>
      </c>
    </row>
    <row r="23" spans="1:46" ht="40.5" customHeight="1">
      <c r="A23" s="10">
        <f>[5]DATA!A55</f>
        <v>44</v>
      </c>
      <c r="B23" s="10" t="e">
        <f>[5]DATA!B55</f>
        <v>#REF!</v>
      </c>
      <c r="C23" s="10" t="str">
        <f>[5]DATA!D55</f>
        <v>INFRASTRUKTUR</v>
      </c>
      <c r="D23" s="10">
        <f>[5]DATA!E55</f>
        <v>1</v>
      </c>
      <c r="E23" s="10" t="str">
        <f>[5]DATA!F55</f>
        <v>Kementerian Pekerjaan Umum dan Perumahan Rakyat</v>
      </c>
      <c r="F23" s="10" t="str">
        <f>[5]DATA!H55</f>
        <v>Development of Solid Waste Management Program</v>
      </c>
      <c r="G23" s="10" t="str">
        <f>[5]DATA!I55</f>
        <v>F</v>
      </c>
      <c r="H23" s="10" t="str">
        <f>[5]DATA!J55</f>
        <v>Program Pembangunan Sistem Pengelolaan Persampahan</v>
      </c>
      <c r="I23" s="10">
        <f>[5]DATA!K55</f>
        <v>2</v>
      </c>
      <c r="J23" s="181"/>
      <c r="K23" s="34"/>
      <c r="L23" s="54"/>
      <c r="M23" s="36">
        <v>8</v>
      </c>
      <c r="N23" s="199" t="str">
        <f>[5]DATA!L55</f>
        <v>The Improvement of Solid Waste Management to Support Regional Area and Metropolitan Cities</v>
      </c>
      <c r="O23" s="1402">
        <f>[5]DATA!T55</f>
        <v>100000000</v>
      </c>
      <c r="P23" s="187">
        <f>[5]DATA!U55</f>
        <v>100000000</v>
      </c>
      <c r="Q23" s="1446">
        <f>[5]DATA!V55</f>
        <v>5000000</v>
      </c>
      <c r="R23" s="1446">
        <f>[5]DATA!W55</f>
        <v>0</v>
      </c>
      <c r="S23" s="1447">
        <f t="shared" si="5"/>
        <v>105000000</v>
      </c>
      <c r="T23" s="1448"/>
      <c r="U23" s="1449" t="str">
        <f>[5]DATA!Y55</f>
        <v>Bank Dunia</v>
      </c>
      <c r="V23" s="77">
        <f>[5]DATA!AA55</f>
        <v>100000000</v>
      </c>
      <c r="W23" s="77">
        <v>0</v>
      </c>
      <c r="X23" s="1450" t="str">
        <f>[5]DATA!Y55</f>
        <v>Bank Dunia</v>
      </c>
      <c r="Y23" s="109">
        <v>100000000</v>
      </c>
      <c r="Z23" s="109" t="s">
        <v>62</v>
      </c>
      <c r="AA23" s="1484" t="s">
        <v>879</v>
      </c>
      <c r="AB23" s="828"/>
      <c r="AC23" s="1485"/>
      <c r="AD23" s="1486"/>
      <c r="AE23" s="1486"/>
      <c r="AF23" s="1486"/>
      <c r="AG23" s="1514" t="s">
        <v>1164</v>
      </c>
      <c r="AH23" s="1509">
        <f>[5]DATA!AT55</f>
        <v>100000000</v>
      </c>
      <c r="AI23" s="109" t="str">
        <f>[5]DATA!AU55</f>
        <v>Bank Dunia</v>
      </c>
      <c r="AJ23" s="1544" t="str">
        <f>[5]DATA!AW55</f>
        <v>-</v>
      </c>
      <c r="AK23" s="245" t="e">
        <f>[5]DATA!AM55</f>
        <v>#REF!</v>
      </c>
      <c r="AL23" s="1510" t="str">
        <f>[5]DATA!AN55</f>
        <v>dalam proses
(memiliki FS)</v>
      </c>
      <c r="AM23" s="1511" t="str">
        <f>[5]DATA!AO55</f>
        <v>dalam proses
(persiapan)</v>
      </c>
      <c r="AN23" s="1545" t="e">
        <f>[5]DATA!AQ55</f>
        <v>#REF!</v>
      </c>
      <c r="AO23" s="1533" t="str">
        <f>[5]DATA!AR55</f>
        <v>- karena DED dalam proses finalisasi, maka diasumsikan memiliki FS.
- Dokumen penyiapan: sedang cari tambahan lokasi
- Siap hanya Balikpapan&amp;Tangerang (USD 40 juta)
- belum ada dokumen R/C</v>
      </c>
      <c r="AQ23" s="10">
        <f t="shared" si="1"/>
        <v>0</v>
      </c>
      <c r="AR23" s="10">
        <f t="shared" si="2"/>
        <v>0</v>
      </c>
      <c r="AS23" s="10">
        <f t="shared" si="3"/>
        <v>0</v>
      </c>
      <c r="AT23" s="10">
        <f t="shared" si="4"/>
        <v>0</v>
      </c>
    </row>
    <row r="24" spans="1:46" s="3" customFormat="1" ht="30" customHeight="1">
      <c r="J24" s="3450" t="s">
        <v>477</v>
      </c>
      <c r="K24" s="3451"/>
      <c r="L24" s="3451"/>
      <c r="M24" s="3573"/>
      <c r="N24" s="3573"/>
      <c r="O24" s="282" t="e">
        <f>+O8+#REF!</f>
        <v>#REF!</v>
      </c>
      <c r="P24" s="278" t="e">
        <f>+P8+#REF!</f>
        <v>#REF!</v>
      </c>
      <c r="Q24" s="1460" t="e">
        <f>+Q8+#REF!</f>
        <v>#REF!</v>
      </c>
      <c r="R24" s="1460" t="e">
        <f>+R8+#REF!</f>
        <v>#REF!</v>
      </c>
      <c r="S24" s="288" t="e">
        <f t="shared" si="5"/>
        <v>#REF!</v>
      </c>
      <c r="T24" s="1461"/>
      <c r="U24" s="279"/>
      <c r="V24" s="280" t="e">
        <f>+V8+#REF!</f>
        <v>#REF!</v>
      </c>
      <c r="W24" s="280" t="e">
        <f>+W8+#REF!</f>
        <v>#REF!</v>
      </c>
      <c r="X24" s="287"/>
      <c r="Y24" s="280">
        <f>+Y8</f>
        <v>3807800000</v>
      </c>
      <c r="Z24" s="280"/>
      <c r="AA24" s="280"/>
      <c r="AB24" s="1490"/>
      <c r="AC24" s="1490"/>
      <c r="AD24" s="1490"/>
      <c r="AE24" s="1490"/>
      <c r="AF24" s="1490"/>
      <c r="AG24" s="285"/>
      <c r="AH24" s="279" t="e">
        <f>+AH8+#REF!</f>
        <v>#REF!</v>
      </c>
      <c r="AI24" s="280" t="s">
        <v>21</v>
      </c>
      <c r="AJ24" s="280" t="s">
        <v>21</v>
      </c>
      <c r="AK24" s="1523"/>
      <c r="AL24" s="1524"/>
      <c r="AM24" s="1525"/>
      <c r="AN24" s="1526"/>
      <c r="AO24" s="1534"/>
      <c r="AP24" s="12"/>
      <c r="AQ24" s="1535">
        <f>SUM(AQ10:AQ23)</f>
        <v>0</v>
      </c>
      <c r="AR24" s="1535">
        <f>SUM(AR10:AR23)</f>
        <v>2183000000</v>
      </c>
      <c r="AS24" s="1535">
        <f>SUM(AS10:AS23)</f>
        <v>0</v>
      </c>
      <c r="AT24" s="1535">
        <f>SUM(AT10:AT23)</f>
        <v>0</v>
      </c>
    </row>
    <row r="25" spans="1:46" s="12" customFormat="1">
      <c r="A25" s="10"/>
      <c r="B25" s="10"/>
      <c r="C25" s="10"/>
      <c r="D25" s="10"/>
      <c r="E25" s="10"/>
      <c r="F25" s="10"/>
      <c r="G25" s="10"/>
      <c r="H25" s="10"/>
      <c r="I25" s="10"/>
      <c r="J25" s="11"/>
      <c r="K25" s="10"/>
      <c r="L25" s="10"/>
      <c r="M25" s="1425"/>
      <c r="N25" s="1426"/>
      <c r="O25" s="13"/>
      <c r="P25" s="13"/>
      <c r="Q25" s="1395"/>
      <c r="R25" s="1395"/>
      <c r="S25" s="13"/>
      <c r="T25" s="13"/>
      <c r="U25" s="14"/>
      <c r="V25" s="13"/>
      <c r="W25" s="13"/>
      <c r="X25" s="13"/>
      <c r="Y25" s="13"/>
      <c r="Z25" s="13"/>
      <c r="AA25" s="13"/>
      <c r="AB25" s="13"/>
      <c r="AC25" s="13"/>
      <c r="AD25" s="13"/>
      <c r="AE25" s="13"/>
      <c r="AF25" s="13"/>
      <c r="AG25" s="13"/>
      <c r="AK25" s="14"/>
      <c r="AL25" s="14"/>
      <c r="AM25" s="14"/>
      <c r="AN25" s="14"/>
      <c r="AO25" s="175"/>
    </row>
    <row r="26" spans="1:46" s="12" customFormat="1">
      <c r="A26" s="10"/>
      <c r="B26" s="10"/>
      <c r="C26" s="10"/>
      <c r="D26" s="10"/>
      <c r="E26" s="10"/>
      <c r="F26" s="10"/>
      <c r="G26" s="10"/>
      <c r="H26" s="10"/>
      <c r="I26" s="10"/>
      <c r="J26" s="11"/>
      <c r="K26" s="10" t="s">
        <v>1111</v>
      </c>
      <c r="L26" s="10"/>
      <c r="M26" s="10"/>
      <c r="O26" s="13"/>
      <c r="P26" s="13"/>
      <c r="Q26" s="1395"/>
      <c r="R26" s="1395"/>
      <c r="S26" s="13"/>
      <c r="T26" s="13"/>
      <c r="U26" s="14"/>
      <c r="V26" s="13" t="e">
        <f>V24+W24</f>
        <v>#REF!</v>
      </c>
      <c r="W26" s="13"/>
      <c r="X26" s="13"/>
      <c r="Y26" s="13"/>
      <c r="Z26" s="13"/>
      <c r="AA26" s="13"/>
      <c r="AB26" s="13"/>
      <c r="AC26" s="13"/>
      <c r="AD26" s="13"/>
      <c r="AE26" s="13"/>
      <c r="AF26" s="13"/>
      <c r="AG26" s="13"/>
      <c r="AH26" s="289"/>
      <c r="AK26" s="14"/>
      <c r="AL26" s="14"/>
      <c r="AM26" s="14"/>
      <c r="AN26" s="14"/>
      <c r="AO26" s="175"/>
      <c r="AP26" s="10"/>
    </row>
    <row r="27" spans="1:46">
      <c r="V27" s="13" t="e">
        <f>V26-AH24</f>
        <v>#REF!</v>
      </c>
      <c r="Y27" s="13">
        <f>Y24+5809063500</f>
        <v>9616863500</v>
      </c>
      <c r="Z27" s="13" t="e">
        <f>Y24-#REF!</f>
        <v>#REF!</v>
      </c>
    </row>
    <row r="29" spans="1:46">
      <c r="AH29" s="289"/>
    </row>
    <row r="30" spans="1:46">
      <c r="Y30" s="13" t="e">
        <f>#REF!+#REF!+#REF!+#REF!+#REF!+#REF!+#REF!+#REF!+#REF!+#REF!+#REF!+#REF!+#REF!+#REF!+#REF!+#REF!+#REF!+#REF!+#REF!+#REF!+#REF!+#REF!</f>
        <v>#REF!</v>
      </c>
      <c r="AP30" s="12"/>
    </row>
    <row r="31" spans="1:46" s="12" customFormat="1">
      <c r="A31" s="10"/>
      <c r="B31" s="10"/>
      <c r="C31" s="10"/>
      <c r="D31" s="10"/>
      <c r="E31" s="10"/>
      <c r="F31" s="10"/>
      <c r="G31" s="10"/>
      <c r="H31" s="10"/>
      <c r="I31" s="10"/>
      <c r="J31" s="11"/>
      <c r="K31" s="10"/>
      <c r="L31" s="10"/>
      <c r="M31" s="10"/>
      <c r="O31" s="13"/>
      <c r="P31" s="13"/>
      <c r="Q31" s="1395"/>
      <c r="R31" s="1395"/>
      <c r="S31" s="13"/>
      <c r="T31" s="13"/>
      <c r="U31" s="14"/>
      <c r="V31" s="13"/>
      <c r="W31" s="13"/>
      <c r="X31" s="13"/>
      <c r="Y31" s="13"/>
      <c r="Z31" s="13"/>
      <c r="AA31" s="13"/>
      <c r="AB31" s="13"/>
      <c r="AC31" s="13"/>
      <c r="AD31" s="13"/>
      <c r="AE31" s="13"/>
      <c r="AF31" s="13"/>
      <c r="AG31" s="13"/>
      <c r="AI31" s="289"/>
      <c r="AK31" s="14"/>
      <c r="AL31" s="14"/>
      <c r="AM31" s="14"/>
      <c r="AN31" s="14"/>
      <c r="AO31" s="175"/>
    </row>
    <row r="32" spans="1:46" s="12" customFormat="1">
      <c r="A32" s="10"/>
      <c r="B32" s="10"/>
      <c r="C32" s="10"/>
      <c r="D32" s="10"/>
      <c r="E32" s="10"/>
      <c r="F32" s="10"/>
      <c r="G32" s="10"/>
      <c r="H32" s="10"/>
      <c r="I32" s="10"/>
      <c r="J32" s="11"/>
      <c r="K32" s="10"/>
      <c r="L32" s="10"/>
      <c r="M32" s="10"/>
      <c r="O32" s="13"/>
      <c r="P32" s="13"/>
      <c r="Q32" s="1395"/>
      <c r="R32" s="1395"/>
      <c r="S32" s="13"/>
      <c r="T32" s="13"/>
      <c r="U32" s="14"/>
      <c r="V32" s="13"/>
      <c r="W32" s="13"/>
      <c r="X32" s="13"/>
      <c r="Y32" s="13" t="e">
        <f>#REF!+#REF!+#REF!+#REF!+#REF!+#REF!+#REF!+#REF!+#REF!+#REF!+#REF!+#REF!+#REF!+#REF!+#REF!+#REF!+#REF!+#REF!+#REF!+#REF!+#REF!+#REF!+#REF!+#REF!+#REF!+#REF!+#REF!+71100000</f>
        <v>#REF!</v>
      </c>
      <c r="Z32" s="13"/>
      <c r="AA32" s="13"/>
      <c r="AB32" s="13"/>
      <c r="AC32" s="13"/>
      <c r="AD32" s="13"/>
      <c r="AE32" s="13"/>
      <c r="AF32" s="13"/>
      <c r="AG32" s="13"/>
      <c r="AH32" s="289"/>
      <c r="AK32" s="14"/>
      <c r="AL32" s="14"/>
      <c r="AM32" s="14"/>
      <c r="AN32" s="14"/>
      <c r="AO32" s="175"/>
      <c r="AP32" s="1536"/>
    </row>
    <row r="33" spans="1:42" s="12" customFormat="1">
      <c r="A33" s="10"/>
      <c r="B33" s="10"/>
      <c r="C33" s="10"/>
      <c r="D33" s="10"/>
      <c r="E33" s="10"/>
      <c r="F33" s="10"/>
      <c r="G33" s="10"/>
      <c r="H33" s="10"/>
      <c r="I33" s="10"/>
      <c r="J33" s="11"/>
      <c r="K33" s="10"/>
      <c r="L33" s="10"/>
      <c r="M33" s="10"/>
      <c r="O33" s="13"/>
      <c r="P33" s="13"/>
      <c r="Q33" s="1395"/>
      <c r="R33" s="1395"/>
      <c r="S33" s="13"/>
      <c r="T33" s="13"/>
      <c r="U33" s="14"/>
      <c r="V33" s="13"/>
      <c r="W33" s="13"/>
      <c r="X33" s="13"/>
      <c r="Y33" s="13"/>
      <c r="Z33" s="13"/>
      <c r="AA33" s="13"/>
      <c r="AB33" s="13"/>
      <c r="AC33" s="13"/>
      <c r="AD33" s="13"/>
      <c r="AE33" s="13"/>
      <c r="AF33" s="13"/>
      <c r="AG33" s="13"/>
      <c r="AK33" s="14"/>
      <c r="AL33" s="14"/>
      <c r="AM33" s="14"/>
      <c r="AN33" s="14"/>
      <c r="AO33" s="175"/>
      <c r="AP33" s="10"/>
    </row>
  </sheetData>
  <autoFilter ref="A7:AO24"/>
  <mergeCells count="41">
    <mergeCell ref="AL11:AL12"/>
    <mergeCell ref="AL15:AL18"/>
    <mergeCell ref="AM11:AM12"/>
    <mergeCell ref="AM15:AM18"/>
    <mergeCell ref="AO15:AO18"/>
    <mergeCell ref="U15:U16"/>
    <mergeCell ref="V15:V16"/>
    <mergeCell ref="W15:W16"/>
    <mergeCell ref="X15:X16"/>
    <mergeCell ref="Y5:Y6"/>
    <mergeCell ref="R11:R12"/>
    <mergeCell ref="R15:R18"/>
    <mergeCell ref="S5:S6"/>
    <mergeCell ref="S11:S12"/>
    <mergeCell ref="S15:S18"/>
    <mergeCell ref="P11:P12"/>
    <mergeCell ref="P15:P18"/>
    <mergeCell ref="Q5:Q6"/>
    <mergeCell ref="Q11:Q12"/>
    <mergeCell ref="Q15:Q18"/>
    <mergeCell ref="M10:N10"/>
    <mergeCell ref="M21:N21"/>
    <mergeCell ref="J24:N24"/>
    <mergeCell ref="O5:O6"/>
    <mergeCell ref="O11:O12"/>
    <mergeCell ref="O15:O18"/>
    <mergeCell ref="J5:N6"/>
    <mergeCell ref="J1:AO1"/>
    <mergeCell ref="J2:AO2"/>
    <mergeCell ref="U4:AJ4"/>
    <mergeCell ref="AK4:AO4"/>
    <mergeCell ref="U5:X5"/>
    <mergeCell ref="AB5:AF5"/>
    <mergeCell ref="AH5:AJ5"/>
    <mergeCell ref="AK5:AO5"/>
    <mergeCell ref="P5:P6"/>
    <mergeCell ref="R5:R6"/>
    <mergeCell ref="T5:T6"/>
    <mergeCell ref="Z5:Z6"/>
    <mergeCell ref="AA5:AA6"/>
    <mergeCell ref="AG5:AG6"/>
  </mergeCells>
  <printOptions horizontalCentered="1"/>
  <pageMargins left="0.39305555555555599" right="0.39305555555555599" top="0.39305555555555599" bottom="0.39305555555555599" header="0.31458333333333299" footer="0.196527777777778"/>
  <pageSetup paperSize="9" scale="48" fitToHeight="0" orientation="portrait"/>
  <headerFooter>
    <oddFooter>&amp;R&amp;"Cambria,Italic"&amp;9&amp;P/&amp;N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pageSetUpPr fitToPage="1"/>
  </sheetPr>
  <dimension ref="A1:AT32"/>
  <sheetViews>
    <sheetView topLeftCell="J1" zoomScale="70" zoomScaleNormal="70" workbookViewId="0">
      <pane ySplit="7" topLeftCell="A8" activePane="bottomLeft" state="frozen"/>
      <selection pane="bottomLeft" activeCell="Y11" sqref="Y11:Y22"/>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[5]DATA!B2</f>
        <v>I</v>
      </c>
      <c r="K8" s="22" t="str">
        <f>[5]DATA!D2</f>
        <v>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f>
        <v>796300000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24.95" customHeight="1">
      <c r="J9" s="179"/>
      <c r="K9" s="25">
        <f>[5]DATA!E2</f>
        <v>1</v>
      </c>
      <c r="L9" s="26" t="str">
        <f>[5]DATA!F2</f>
        <v>Kementerian Pekerjaan Umum dan Perumahan Rakyat</v>
      </c>
      <c r="M9" s="26"/>
      <c r="N9" s="1416"/>
      <c r="O9" s="213" t="e">
        <f>#REF!+#REF!+#REF!+O10+#REF!+#REF!+#REF!+#REF!+#REF!+#REF!+#REF!+#REF!+#REF!+#REF!+#REF!</f>
        <v>#REF!</v>
      </c>
      <c r="P9" s="194" t="e">
        <f>+#REF!+#REF!+#REF!+P10+#REF!+#REF!+#REF!+#REF!+#REF!+#REF!+#REF!+#REF!+#REF!+#REF!+#REF!</f>
        <v>#REF!</v>
      </c>
      <c r="Q9" s="194" t="e">
        <f>+#REF!+#REF!+#REF!+Q10+#REF!+#REF!+#REF!+#REF!+#REF!+#REF!+#REF!+#REF!+#REF!+#REF!+#REF!</f>
        <v>#REF!</v>
      </c>
      <c r="R9" s="194" t="e">
        <f>+#REF!+#REF!+#REF!+R10+#REF!+#REF!+#REF!+#REF!+#REF!+#REF!+#REF!+#REF!+#REF!+#REF!+#REF!</f>
        <v>#REF!</v>
      </c>
      <c r="S9" s="242" t="e">
        <f>+#REF!+#REF!+#REF!+S10+#REF!+#REF!+#REF!+#REF!+#REF!+#REF!+#REF!+#REF!+#REF!+#REF!+#REF!</f>
        <v>#REF!</v>
      </c>
      <c r="T9" s="1538"/>
      <c r="U9" s="195"/>
      <c r="V9" s="80" t="e">
        <f>+#REF!+#REF!+#REF!+V10+#REF!+#REF!+#REF!+#REF!+#REF!+#REF!+#REF!+#REF!+#REF!+#REF!+#REF!</f>
        <v>#REF!</v>
      </c>
      <c r="W9" s="80" t="e">
        <f>+#REF!+#REF!+#REF!+W10+#REF!+#REF!+#REF!+#REF!+#REF!+#REF!+#REF!+#REF!+#REF!+#REF!+#REF!</f>
        <v>#REF!</v>
      </c>
      <c r="X9" s="241" t="e">
        <f>+#REF!+#REF!+#REF!+X10+#REF!+#REF!+#REF!+#REF!+#REF!+#REF!+#REF!+#REF!+#REF!</f>
        <v>#REF!</v>
      </c>
      <c r="Y9" s="80">
        <f>+Y10</f>
        <v>796300000</v>
      </c>
      <c r="Z9" s="80"/>
      <c r="AA9" s="226"/>
      <c r="AB9" s="1465"/>
      <c r="AC9" s="1465"/>
      <c r="AD9" s="1465"/>
      <c r="AE9" s="1465"/>
      <c r="AF9" s="1465"/>
      <c r="AG9" s="1540"/>
      <c r="AH9" s="195" t="e">
        <f>+#REF!+#REF!+#REF!+AH10+#REF!+#REF!+#REF!+#REF!+#REF!+#REF!+#REF!+#REF!+#REF!+#REF!+#REF!</f>
        <v>#REF!</v>
      </c>
      <c r="AI9" s="80" t="s">
        <v>21</v>
      </c>
      <c r="AJ9" s="213"/>
      <c r="AK9" s="1501"/>
      <c r="AL9" s="1541"/>
      <c r="AM9" s="1542"/>
      <c r="AN9" s="1543"/>
      <c r="AO9" s="1546"/>
    </row>
    <row r="10" spans="1:46" s="5" customFormat="1" ht="33.75" customHeight="1">
      <c r="J10" s="180"/>
      <c r="K10" s="50"/>
      <c r="L10" s="30" t="str">
        <f>[5]DATA!I24</f>
        <v>D</v>
      </c>
      <c r="M10" s="31" t="str">
        <f>[5]DATA!J24</f>
        <v>Program Pembangunan Air Minum</v>
      </c>
      <c r="N10" s="1419"/>
      <c r="O10" s="214" t="e">
        <f>O11+O13+O14+O15+O17+O18+O19+O20+#REF!+O22+O16+#REF!</f>
        <v>#REF!</v>
      </c>
      <c r="P10" s="197" t="e">
        <f>P11+P13+P14+P15+P17+P18+P19+P20+#REF!+P22+P16+#REF!</f>
        <v>#REF!</v>
      </c>
      <c r="Q10" s="1436">
        <f>SUM(Q11:Q22)</f>
        <v>43634000</v>
      </c>
      <c r="R10" s="1436" t="e">
        <f>R11+R13+R14+R15+R17+R18+R19+R20+#REF!+R22+R16+#REF!</f>
        <v>#REF!</v>
      </c>
      <c r="S10" s="244" t="e">
        <f t="shared" ref="S10:S11" si="0">P10+Q10+R10</f>
        <v>#REF!</v>
      </c>
      <c r="T10" s="1437"/>
      <c r="U10" s="198"/>
      <c r="V10" s="81" t="e">
        <f>V11+V13+V14+V15+V16+V17+V18+V19+V20+#REF!+V22+#REF!</f>
        <v>#REF!</v>
      </c>
      <c r="W10" s="81" t="e">
        <f>W11+W13+W14+W15+W16+W17+W18+W19+W20+#REF!+W22+#REF!</f>
        <v>#REF!</v>
      </c>
      <c r="X10" s="243"/>
      <c r="Y10" s="81">
        <f>Y11+Y13+Y14+Y15+Y16+Y17+Y18+Y19+Y20+Y22</f>
        <v>796300000</v>
      </c>
      <c r="Z10" s="81"/>
      <c r="AA10" s="1469"/>
      <c r="AB10" s="1470"/>
      <c r="AC10" s="1471"/>
      <c r="AD10" s="1472"/>
      <c r="AE10" s="1472"/>
      <c r="AF10" s="1472"/>
      <c r="AG10" s="1504"/>
      <c r="AH10" s="198" t="e">
        <f>AH11+AH13+AH14+AH15+AH16+AH17+AH18+AH19+AH20+#REF!+AH22+#REF!</f>
        <v>#REF!</v>
      </c>
      <c r="AI10" s="81" t="s">
        <v>21</v>
      </c>
      <c r="AJ10" s="214"/>
      <c r="AK10" s="1505"/>
      <c r="AL10" s="1506"/>
      <c r="AM10" s="169"/>
      <c r="AN10" s="1507"/>
      <c r="AO10" s="1530"/>
      <c r="AQ10" s="10">
        <f t="shared" ref="AQ10:AQ22" si="1">IF(Z10="RRT",Y10,0)</f>
        <v>0</v>
      </c>
      <c r="AR10" s="10">
        <f t="shared" ref="AR10:AR22" si="2">IF(Z10="JICA",Y10,0)</f>
        <v>0</v>
      </c>
      <c r="AS10" s="10">
        <f t="shared" ref="AS10:AS22" si="3">IF(Z10="Belum ada indikasi",Y10,0)</f>
        <v>0</v>
      </c>
      <c r="AT10" s="10">
        <f t="shared" ref="AT10:AT22" si="4">IF(Z10="Korea",Y10,0)</f>
        <v>0</v>
      </c>
    </row>
    <row r="11" spans="1:46" ht="39.75" customHeight="1">
      <c r="A11" s="10">
        <f>[5]DATA!A25</f>
        <v>22</v>
      </c>
      <c r="B11" s="10" t="e">
        <f>[5]DATA!B25</f>
        <v>#REF!</v>
      </c>
      <c r="C11" s="10" t="str">
        <f>[5]DATA!D25</f>
        <v>INFRASTRUKTUR</v>
      </c>
      <c r="D11" s="10">
        <f>[5]DATA!E25</f>
        <v>1</v>
      </c>
      <c r="E11" s="10" t="str">
        <f>[5]DATA!F25</f>
        <v>Kementerian Pekerjaan Umum dan Perumahan Rakyat</v>
      </c>
      <c r="F11" s="10" t="str">
        <f>[5]DATA!H25</f>
        <v>Drinking Water Development Program</v>
      </c>
      <c r="G11" s="10" t="str">
        <f>[5]DATA!I25</f>
        <v>D</v>
      </c>
      <c r="H11" s="10" t="str">
        <f>[5]DATA!J25</f>
        <v>Program Pembangunan Air Minum</v>
      </c>
      <c r="I11" s="10">
        <f>[5]DATA!K25</f>
        <v>2</v>
      </c>
      <c r="J11" s="181"/>
      <c r="K11" s="34"/>
      <c r="L11" s="34"/>
      <c r="M11" s="36">
        <v>1</v>
      </c>
      <c r="N11" s="199" t="str">
        <f>[5]DATA!L25</f>
        <v>National Urban Water Supply</v>
      </c>
      <c r="O11" s="1402">
        <f>[5]DATA!T25</f>
        <v>100000000</v>
      </c>
      <c r="P11" s="187">
        <f>[5]DATA!U25</f>
        <v>100000000</v>
      </c>
      <c r="Q11" s="1446">
        <f>[5]DATA!V25</f>
        <v>5000000</v>
      </c>
      <c r="R11" s="1446">
        <f>[5]DATA!W25</f>
        <v>0</v>
      </c>
      <c r="S11" s="1447">
        <f t="shared" si="0"/>
        <v>105000000</v>
      </c>
      <c r="T11" s="1448"/>
      <c r="U11" s="1449" t="str">
        <f>[5]DATA!Y25</f>
        <v>Bank Dunia</v>
      </c>
      <c r="V11" s="77">
        <f>[5]DATA!AA25</f>
        <v>100000000</v>
      </c>
      <c r="W11" s="77">
        <v>0</v>
      </c>
      <c r="X11" s="1450" t="str">
        <f>[5]DATA!Y25</f>
        <v>Bank Dunia</v>
      </c>
      <c r="Y11" s="109">
        <v>100000000</v>
      </c>
      <c r="Z11" s="109" t="s">
        <v>62</v>
      </c>
      <c r="AA11" s="3254" t="s">
        <v>1157</v>
      </c>
      <c r="AB11" s="1474"/>
      <c r="AC11" s="1475"/>
      <c r="AD11" s="1476"/>
      <c r="AE11" s="1476"/>
      <c r="AF11" s="1476"/>
      <c r="AG11" s="1508" t="s">
        <v>1158</v>
      </c>
      <c r="AH11" s="1509">
        <f>[5]DATA!AT25</f>
        <v>100000000</v>
      </c>
      <c r="AI11" s="109" t="str">
        <f>[5]DATA!AU25</f>
        <v>Bank Dunia</v>
      </c>
      <c r="AJ11" s="1544" t="str">
        <f>[5]DATA!AW25</f>
        <v>-</v>
      </c>
      <c r="AK11" s="245" t="e">
        <f>[5]DATA!AM25</f>
        <v>#REF!</v>
      </c>
      <c r="AL11" s="1510" t="str">
        <f>[5]DATA!AN25</f>
        <v>belum ada keterangan</v>
      </c>
      <c r="AM11" s="1511" t="str">
        <f>[5]DATA!AO25</f>
        <v>belum ada keterangan</v>
      </c>
      <c r="AN11" s="1510" t="e">
        <f>[5]DATA!AQ25</f>
        <v>#REF!</v>
      </c>
      <c r="AO11" s="1533" t="str">
        <f>[5]DATA!AR25</f>
        <v>belum ada dokumen R/C</v>
      </c>
      <c r="AQ11" s="10">
        <f t="shared" si="1"/>
        <v>0</v>
      </c>
      <c r="AR11" s="10">
        <f t="shared" si="2"/>
        <v>0</v>
      </c>
      <c r="AS11" s="10">
        <f t="shared" si="3"/>
        <v>0</v>
      </c>
      <c r="AT11" s="10">
        <f t="shared" si="4"/>
        <v>0</v>
      </c>
    </row>
    <row r="12" spans="1:46" ht="27.75" customHeight="1">
      <c r="J12" s="181"/>
      <c r="K12" s="34"/>
      <c r="L12" s="34"/>
      <c r="M12" s="172">
        <v>2</v>
      </c>
      <c r="N12" s="199" t="s">
        <v>1159</v>
      </c>
      <c r="O12" s="1402"/>
      <c r="P12" s="187"/>
      <c r="Q12" s="1446"/>
      <c r="R12" s="1446"/>
      <c r="S12" s="1447"/>
      <c r="T12" s="1448"/>
      <c r="U12" s="1449"/>
      <c r="V12" s="77"/>
      <c r="W12" s="77"/>
      <c r="X12" s="1450"/>
      <c r="Y12" s="109"/>
      <c r="Z12" s="109"/>
      <c r="AA12" s="1484"/>
      <c r="AB12" s="828"/>
      <c r="AC12" s="1485"/>
      <c r="AD12" s="1486"/>
      <c r="AE12" s="1486"/>
      <c r="AF12" s="1486"/>
      <c r="AG12" s="1514"/>
      <c r="AH12" s="1509"/>
      <c r="AI12" s="109"/>
      <c r="AJ12" s="1544"/>
      <c r="AK12" s="245"/>
      <c r="AL12" s="1510"/>
      <c r="AM12" s="1511"/>
      <c r="AN12" s="1510"/>
      <c r="AO12" s="1533"/>
      <c r="AQ12" s="10">
        <f t="shared" si="1"/>
        <v>0</v>
      </c>
      <c r="AR12" s="10">
        <f t="shared" si="2"/>
        <v>0</v>
      </c>
      <c r="AS12" s="10">
        <f t="shared" si="3"/>
        <v>0</v>
      </c>
      <c r="AT12" s="10">
        <f t="shared" si="4"/>
        <v>0</v>
      </c>
    </row>
    <row r="13" spans="1:46" ht="29.25" customHeight="1">
      <c r="A13" s="10">
        <f>[5]DATA!A27</f>
        <v>24</v>
      </c>
      <c r="B13" s="10" t="e">
        <f>[5]DATA!B27</f>
        <v>#REF!</v>
      </c>
      <c r="C13" s="10" t="str">
        <f>[5]DATA!D27</f>
        <v>INFRASTRUKTUR</v>
      </c>
      <c r="D13" s="10">
        <f>[5]DATA!E27</f>
        <v>1</v>
      </c>
      <c r="E13" s="10" t="str">
        <f>[5]DATA!F27</f>
        <v>Kementerian Pekerjaan Umum dan Perumahan Rakyat</v>
      </c>
      <c r="F13" s="10" t="str">
        <f>[5]DATA!H27</f>
        <v>Drinking Water Development Program</v>
      </c>
      <c r="G13" s="10" t="str">
        <f>[5]DATA!I27</f>
        <v>D</v>
      </c>
      <c r="H13" s="10" t="str">
        <f>[5]DATA!J27</f>
        <v>Program Pembangunan Air Minum</v>
      </c>
      <c r="I13" s="10">
        <f>[5]DATA!K27</f>
        <v>3</v>
      </c>
      <c r="J13" s="181"/>
      <c r="K13" s="34"/>
      <c r="L13" s="34"/>
      <c r="M13" s="172"/>
      <c r="N13" s="199" t="str">
        <f>[5]DATA!L27</f>
        <v>Mamminasata Water Supply Development Project</v>
      </c>
      <c r="O13" s="1402">
        <f>[5]DATA!T27</f>
        <v>100000000</v>
      </c>
      <c r="P13" s="187">
        <f>[5]DATA!U27</f>
        <v>100000000</v>
      </c>
      <c r="Q13" s="1446">
        <f>[5]DATA!V27</f>
        <v>5000000</v>
      </c>
      <c r="R13" s="1446">
        <f>[5]DATA!W27</f>
        <v>0</v>
      </c>
      <c r="S13" s="1447">
        <f>P13+Q13+R13</f>
        <v>105000000</v>
      </c>
      <c r="T13" s="1448"/>
      <c r="U13" s="1449" t="str">
        <f>[5]DATA!Y27</f>
        <v>JICA</v>
      </c>
      <c r="V13" s="77">
        <f>[5]DATA!AA27</f>
        <v>100000000</v>
      </c>
      <c r="W13" s="77">
        <v>0</v>
      </c>
      <c r="X13" s="1450" t="str">
        <f>[5]DATA!Y27</f>
        <v>JICA</v>
      </c>
      <c r="Y13" s="109">
        <v>100000000</v>
      </c>
      <c r="Z13" s="109" t="s">
        <v>55</v>
      </c>
      <c r="AA13" s="1484" t="s">
        <v>1160</v>
      </c>
      <c r="AB13" s="828"/>
      <c r="AC13" s="1485"/>
      <c r="AD13" s="1486"/>
      <c r="AE13" s="1486"/>
      <c r="AF13" s="1486"/>
      <c r="AG13" s="3253" t="s">
        <v>1161</v>
      </c>
      <c r="AH13" s="1509">
        <f>[5]DATA!AT27</f>
        <v>100000000</v>
      </c>
      <c r="AI13" s="109" t="str">
        <f>[5]DATA!AU27</f>
        <v>JICA</v>
      </c>
      <c r="AJ13" s="1544" t="str">
        <f>[5]DATA!AW27</f>
        <v>-</v>
      </c>
      <c r="AK13" s="245" t="e">
        <f>[5]DATA!AM26</f>
        <v>#REF!</v>
      </c>
      <c r="AL13" s="1510" t="str">
        <f>[5]DATA!AN27</f>
        <v>siap</v>
      </c>
      <c r="AM13" s="1511" t="str">
        <f>[5]DATA!AO27</f>
        <v>dalam proses
(persiapan)</v>
      </c>
      <c r="AN13" s="1510" t="e">
        <f>[5]DATA!AQ26</f>
        <v>#REF!</v>
      </c>
      <c r="AO13" s="1533" t="str">
        <f>[5]DATA!AR27</f>
        <v>belum ada dokumen R/C</v>
      </c>
      <c r="AQ13" s="10">
        <f t="shared" si="1"/>
        <v>0</v>
      </c>
      <c r="AR13" s="10">
        <f t="shared" si="2"/>
        <v>100000000</v>
      </c>
      <c r="AS13" s="10">
        <f t="shared" si="3"/>
        <v>0</v>
      </c>
      <c r="AT13" s="10">
        <f t="shared" si="4"/>
        <v>0</v>
      </c>
    </row>
    <row r="14" spans="1:46" ht="35.25" customHeight="1">
      <c r="A14" s="10">
        <f>[5]DATA!A28</f>
        <v>25</v>
      </c>
      <c r="B14" s="10" t="e">
        <f>[5]DATA!B28</f>
        <v>#REF!</v>
      </c>
      <c r="C14" s="10" t="str">
        <f>[5]DATA!D28</f>
        <v>INFRASTRUKTUR</v>
      </c>
      <c r="D14" s="10">
        <f>[5]DATA!E28</f>
        <v>1</v>
      </c>
      <c r="E14" s="10" t="str">
        <f>[5]DATA!F28</f>
        <v>Kementerian Pekerjaan Umum dan Perumahan Rakyat</v>
      </c>
      <c r="F14" s="10" t="str">
        <f>[5]DATA!H28</f>
        <v>Drinking Water Development Program</v>
      </c>
      <c r="G14" s="10" t="str">
        <f>[5]DATA!I28</f>
        <v>D</v>
      </c>
      <c r="H14" s="10" t="str">
        <f>[5]DATA!J28</f>
        <v>Program Pembangunan Air Minum</v>
      </c>
      <c r="I14" s="10">
        <f>[5]DATA!K28</f>
        <v>3</v>
      </c>
      <c r="J14" s="181"/>
      <c r="K14" s="34"/>
      <c r="L14" s="34"/>
      <c r="M14" s="33"/>
      <c r="N14" s="199" t="str">
        <f>[5]DATA!L28</f>
        <v>The Development of Regional Water Supply System in Benteng Kobema</v>
      </c>
      <c r="O14" s="1402">
        <f>[5]DATA!T28</f>
        <v>74300000</v>
      </c>
      <c r="P14" s="187">
        <f>[5]DATA!U28</f>
        <v>74300000</v>
      </c>
      <c r="Q14" s="1446">
        <f>[5]DATA!V28</f>
        <v>3715000</v>
      </c>
      <c r="R14" s="1446">
        <f>[5]DATA!W28</f>
        <v>0</v>
      </c>
      <c r="S14" s="1447">
        <f>P14+Q14+R14</f>
        <v>78015000</v>
      </c>
      <c r="T14" s="1448"/>
      <c r="U14" s="1449" t="str">
        <f>[5]DATA!Y28</f>
        <v>Bank Dunia/JICA/ADB</v>
      </c>
      <c r="V14" s="77">
        <f>[5]DATA!AA28</f>
        <v>74300000</v>
      </c>
      <c r="W14" s="77">
        <v>0</v>
      </c>
      <c r="X14" s="1450" t="str">
        <f>[5]DATA!Y28</f>
        <v>Bank Dunia/JICA/ADB</v>
      </c>
      <c r="Y14" s="109">
        <v>74300000</v>
      </c>
      <c r="Z14" s="109" t="s">
        <v>1162</v>
      </c>
      <c r="AA14" s="1484" t="s">
        <v>1163</v>
      </c>
      <c r="AB14" s="828"/>
      <c r="AC14" s="1485"/>
      <c r="AD14" s="1486"/>
      <c r="AE14" s="1486"/>
      <c r="AF14" s="1486"/>
      <c r="AG14" s="3253" t="s">
        <v>1164</v>
      </c>
      <c r="AH14" s="1509">
        <f>[5]DATA!AT28</f>
        <v>74300000</v>
      </c>
      <c r="AI14" s="109" t="str">
        <f>[5]DATA!AU28</f>
        <v>Bank Dunia</v>
      </c>
      <c r="AJ14" s="1544" t="str">
        <f>[5]DATA!AW28</f>
        <v>- usulan K/L lender: Bank Dunia/JICA/ADB. 
- Pihak Bank Dunia berminat, ADB dan JICA tidak minat.</v>
      </c>
      <c r="AK14" s="245" t="e">
        <f>[5]DATA!AM27</f>
        <v>#REF!</v>
      </c>
      <c r="AL14" s="1510" t="str">
        <f>[5]DATA!AN28</f>
        <v>dalam proses
(penyusunan FS)</v>
      </c>
      <c r="AM14" s="1511" t="str">
        <f>[5]DATA!AO28</f>
        <v>dalam proses
(persiapan)</v>
      </c>
      <c r="AN14" s="1510" t="e">
        <f>[5]DATA!AQ27</f>
        <v>#REF!</v>
      </c>
      <c r="AO14" s="1533" t="str">
        <f>[5]DATA!AR28</f>
        <v>belum ada dokumen R/C</v>
      </c>
      <c r="AQ14" s="10">
        <f t="shared" si="1"/>
        <v>0</v>
      </c>
      <c r="AR14" s="10">
        <f t="shared" si="2"/>
        <v>0</v>
      </c>
      <c r="AS14" s="10">
        <f t="shared" si="3"/>
        <v>0</v>
      </c>
      <c r="AT14" s="10">
        <f t="shared" si="4"/>
        <v>0</v>
      </c>
    </row>
    <row r="15" spans="1:46" ht="40.5" customHeight="1">
      <c r="A15" s="10">
        <f>[5]DATA!A29</f>
        <v>26</v>
      </c>
      <c r="B15" s="10" t="e">
        <f>[5]DATA!B29</f>
        <v>#REF!</v>
      </c>
      <c r="C15" s="10" t="str">
        <f>[5]DATA!D29</f>
        <v>INFRASTRUKTUR</v>
      </c>
      <c r="D15" s="10">
        <f>[5]DATA!E29</f>
        <v>1</v>
      </c>
      <c r="E15" s="10" t="str">
        <f>[5]DATA!F29</f>
        <v>Kementerian Pekerjaan Umum dan Perumahan Rakyat</v>
      </c>
      <c r="F15" s="10" t="str">
        <f>[5]DATA!H29</f>
        <v>Drinking Water Development Program</v>
      </c>
      <c r="G15" s="10" t="str">
        <f>[5]DATA!I29</f>
        <v>D</v>
      </c>
      <c r="H15" s="10" t="str">
        <f>[5]DATA!J29</f>
        <v>Program Pembangunan Air Minum</v>
      </c>
      <c r="I15" s="10">
        <f>[5]DATA!K29</f>
        <v>3</v>
      </c>
      <c r="J15" s="181"/>
      <c r="K15" s="34"/>
      <c r="L15" s="34"/>
      <c r="M15" s="33"/>
      <c r="N15" s="199" t="str">
        <f>[5]DATA!L29</f>
        <v>The Development of Regional Water Supply System in Wosusokas</v>
      </c>
      <c r="O15" s="1402">
        <f>[5]DATA!T29</f>
        <v>106200000</v>
      </c>
      <c r="P15" s="187">
        <f>[5]DATA!U29</f>
        <v>106200000</v>
      </c>
      <c r="Q15" s="1446">
        <f>[5]DATA!V29</f>
        <v>5310000</v>
      </c>
      <c r="R15" s="1446">
        <f>[5]DATA!W29</f>
        <v>0</v>
      </c>
      <c r="S15" s="1447">
        <f t="shared" ref="S15:S23" si="5">P15+Q15+R15</f>
        <v>111510000</v>
      </c>
      <c r="T15" s="1448"/>
      <c r="U15" s="1449" t="str">
        <f>[5]DATA!Y29</f>
        <v>Jerman (KfW)</v>
      </c>
      <c r="V15" s="77">
        <f>[5]DATA!AA29</f>
        <v>106200000</v>
      </c>
      <c r="W15" s="77">
        <v>0</v>
      </c>
      <c r="X15" s="1450" t="str">
        <f>[5]DATA!Y29</f>
        <v>Jerman (KfW)</v>
      </c>
      <c r="Y15" s="109">
        <v>106200000</v>
      </c>
      <c r="Z15" s="109" t="s">
        <v>91</v>
      </c>
      <c r="AA15" s="1484" t="s">
        <v>879</v>
      </c>
      <c r="AB15" s="828"/>
      <c r="AC15" s="1485"/>
      <c r="AD15" s="1486"/>
      <c r="AE15" s="1486"/>
      <c r="AF15" s="1486"/>
      <c r="AG15" s="1513" t="s">
        <v>1165</v>
      </c>
      <c r="AH15" s="1509">
        <f>[5]DATA!AT29</f>
        <v>106200000</v>
      </c>
      <c r="AI15" s="109" t="str">
        <f>[5]DATA!AU29</f>
        <v>Jerman (KfW)</v>
      </c>
      <c r="AJ15" s="1544" t="str">
        <f>[5]DATA!AW29</f>
        <v>-</v>
      </c>
      <c r="AK15" s="245" t="e">
        <f>[5]DATA!AM28</f>
        <v>#REF!</v>
      </c>
      <c r="AL15" s="1510" t="str">
        <f>[5]DATA!AN29</f>
        <v>dalam proses
(penyusunan FS)</v>
      </c>
      <c r="AM15" s="1511" t="str">
        <f>[5]DATA!AO29</f>
        <v>dalam proses
(persiapan)</v>
      </c>
      <c r="AN15" s="1510" t="e">
        <f>[5]DATA!AQ28</f>
        <v>#REF!</v>
      </c>
      <c r="AO15" s="1533" t="str">
        <f>[5]DATA!AR29</f>
        <v>belum ada dokumen R/C</v>
      </c>
      <c r="AQ15" s="10">
        <f t="shared" si="1"/>
        <v>0</v>
      </c>
      <c r="AR15" s="10">
        <f t="shared" si="2"/>
        <v>0</v>
      </c>
      <c r="AS15" s="10">
        <f t="shared" si="3"/>
        <v>0</v>
      </c>
      <c r="AT15" s="10">
        <f t="shared" si="4"/>
        <v>0</v>
      </c>
    </row>
    <row r="16" spans="1:46" ht="34.5" customHeight="1">
      <c r="A16" s="10">
        <f>[5]DATA!A30</f>
        <v>27</v>
      </c>
      <c r="B16" s="10" t="e">
        <f>[5]DATA!B30</f>
        <v>#REF!</v>
      </c>
      <c r="C16" s="10" t="str">
        <f>[5]DATA!D30</f>
        <v>INFRASTRUKTUR</v>
      </c>
      <c r="D16" s="10">
        <f>[5]DATA!E30</f>
        <v>1</v>
      </c>
      <c r="E16" s="10" t="str">
        <f>[5]DATA!F30</f>
        <v>Kementerian Pekerjaan Umum dan Perumahan Rakyat</v>
      </c>
      <c r="F16" s="10" t="str">
        <f>[5]DATA!H30</f>
        <v>Drinking Water Development Program</v>
      </c>
      <c r="G16" s="10" t="str">
        <f>[5]DATA!I30</f>
        <v>D</v>
      </c>
      <c r="H16" s="10" t="str">
        <f>[5]DATA!J30</f>
        <v>Program Pembangunan Air Minum</v>
      </c>
      <c r="I16" s="10">
        <f>[5]DATA!K30</f>
        <v>3</v>
      </c>
      <c r="J16" s="181"/>
      <c r="K16" s="34"/>
      <c r="L16" s="34"/>
      <c r="M16" s="33"/>
      <c r="N16" s="199" t="str">
        <f>[5]DATA!L30</f>
        <v>The Development of Regional Water Supply System of Jatigede</v>
      </c>
      <c r="O16" s="1402">
        <f>[5]DATA!T30</f>
        <v>167000000</v>
      </c>
      <c r="P16" s="187">
        <f>[5]DATA!U30</f>
        <v>140620000</v>
      </c>
      <c r="Q16" s="1446">
        <f>[5]DATA!V30</f>
        <v>8350000</v>
      </c>
      <c r="R16" s="1446">
        <f>[5]DATA!W30</f>
        <v>0</v>
      </c>
      <c r="S16" s="1447">
        <f t="shared" si="5"/>
        <v>148970000</v>
      </c>
      <c r="T16" s="1448"/>
      <c r="U16" s="1449" t="str">
        <f>[5]DATA!Y30</f>
        <v>Bank Dunia/JICA/ADB</v>
      </c>
      <c r="V16" s="77">
        <f>[5]DATA!AA30</f>
        <v>140620000</v>
      </c>
      <c r="W16" s="77">
        <v>0</v>
      </c>
      <c r="X16" s="1450" t="str">
        <f>[5]DATA!Y30</f>
        <v>Bank Dunia/JICA/ADB</v>
      </c>
      <c r="Y16" s="109">
        <v>140620000</v>
      </c>
      <c r="Z16" s="109" t="s">
        <v>636</v>
      </c>
      <c r="AA16" s="1484" t="s">
        <v>879</v>
      </c>
      <c r="AB16" s="828"/>
      <c r="AC16" s="1485"/>
      <c r="AD16" s="1486"/>
      <c r="AE16" s="1486"/>
      <c r="AF16" s="1486"/>
      <c r="AG16" s="1514"/>
      <c r="AH16" s="1509">
        <f>[5]DATA!AT30</f>
        <v>140620000</v>
      </c>
      <c r="AI16" s="109" t="str">
        <f>[5]DATA!AU30</f>
        <v>Belum Ada Indikasi</v>
      </c>
      <c r="AJ16" s="1544" t="str">
        <f>[5]DATA!AW30</f>
        <v>- terdapat pengurangan nilai pinjaman sebesar USD 26,38 juta yang dialihkan untuk membiayai kegiatan ES.
- usulan K/L lender: Bank Dunia/JICA/ADB. 
- Pihak Bank Dunia, ADB, dan JICA tidak berminat.</v>
      </c>
      <c r="AK16" s="245" t="e">
        <f>[5]DATA!AM29</f>
        <v>#REF!</v>
      </c>
      <c r="AL16" s="1510" t="str">
        <f>[5]DATA!AN30</f>
        <v>belum ada keterangan</v>
      </c>
      <c r="AM16" s="1511" t="str">
        <f>[5]DATA!AO30</f>
        <v>belum ada keterangan</v>
      </c>
      <c r="AN16" s="1510" t="e">
        <f>[5]DATA!AQ29</f>
        <v>#REF!</v>
      </c>
      <c r="AO16" s="1533" t="str">
        <f>[5]DATA!AR30</f>
        <v>- nilai pinjaman berkurang sebesar USD 26,38 juta untuk kegiatan ES
- belum ada dokumen R/C</v>
      </c>
      <c r="AQ16" s="10">
        <f t="shared" si="1"/>
        <v>0</v>
      </c>
      <c r="AR16" s="10">
        <f t="shared" si="2"/>
        <v>0</v>
      </c>
      <c r="AS16" s="10">
        <f t="shared" si="3"/>
        <v>0</v>
      </c>
      <c r="AT16" s="10">
        <f t="shared" si="4"/>
        <v>0</v>
      </c>
    </row>
    <row r="17" spans="1:46" ht="41.25" customHeight="1">
      <c r="A17" s="10">
        <f>[5]DATA!A31</f>
        <v>28</v>
      </c>
      <c r="B17" s="10" t="e">
        <f>[5]DATA!B31</f>
        <v>#REF!</v>
      </c>
      <c r="C17" s="10" t="str">
        <f>[5]DATA!D31</f>
        <v>INFRASTRUKTUR</v>
      </c>
      <c r="D17" s="10">
        <f>[5]DATA!E31</f>
        <v>1</v>
      </c>
      <c r="E17" s="10" t="str">
        <f>[5]DATA!F31</f>
        <v>Kementerian Pekerjaan Umum dan Perumahan Rakyat</v>
      </c>
      <c r="F17" s="10" t="str">
        <f>[5]DATA!H31</f>
        <v>Drinking Water Development Program</v>
      </c>
      <c r="G17" s="10" t="str">
        <f>[5]DATA!I31</f>
        <v>D</v>
      </c>
      <c r="H17" s="10" t="str">
        <f>[5]DATA!J31</f>
        <v>Program Pembangunan Air Minum</v>
      </c>
      <c r="I17" s="10">
        <f>[5]DATA!K31</f>
        <v>3</v>
      </c>
      <c r="J17" s="181"/>
      <c r="K17" s="34"/>
      <c r="L17" s="34"/>
      <c r="M17" s="33"/>
      <c r="N17" s="199" t="str">
        <f>[5]DATA!L31</f>
        <v>The Development of Regional Water Supply System of Petanglong</v>
      </c>
      <c r="O17" s="1402">
        <f>[5]DATA!T31</f>
        <v>95380000</v>
      </c>
      <c r="P17" s="187">
        <f>[5]DATA!U31</f>
        <v>95380000</v>
      </c>
      <c r="Q17" s="1446">
        <f>[5]DATA!V31</f>
        <v>4769000</v>
      </c>
      <c r="R17" s="1446">
        <f>[5]DATA!W31</f>
        <v>0</v>
      </c>
      <c r="S17" s="1447">
        <f t="shared" si="5"/>
        <v>100149000</v>
      </c>
      <c r="T17" s="1448"/>
      <c r="U17" s="1449" t="str">
        <f>[5]DATA!Y31</f>
        <v>Bank Dunia/JICA/ADB</v>
      </c>
      <c r="V17" s="77">
        <f>[5]DATA!AA31</f>
        <v>95380000</v>
      </c>
      <c r="W17" s="77">
        <v>0</v>
      </c>
      <c r="X17" s="1450" t="str">
        <f>[5]DATA!Y31</f>
        <v>Bank Dunia/JICA/ADB</v>
      </c>
      <c r="Y17" s="109">
        <v>95380000</v>
      </c>
      <c r="Z17" s="109" t="s">
        <v>1166</v>
      </c>
      <c r="AA17" s="1484" t="s">
        <v>879</v>
      </c>
      <c r="AB17" s="828"/>
      <c r="AC17" s="1485"/>
      <c r="AD17" s="1486"/>
      <c r="AE17" s="1486"/>
      <c r="AF17" s="1486"/>
      <c r="AG17" s="1514"/>
      <c r="AH17" s="1509">
        <f>[5]DATA!AT31</f>
        <v>95380000</v>
      </c>
      <c r="AI17" s="109" t="str">
        <f>[5]DATA!AU31</f>
        <v>Belum Ada Indikasi</v>
      </c>
      <c r="AJ17" s="1544" t="str">
        <f>[5]DATA!AW31</f>
        <v>- usulan K/L lender: Bank Dunia/JICA/ADB. 
- Pihak Bank Dunia, ADB, dan JICA tidak berminat.</v>
      </c>
      <c r="AK17" s="245" t="e">
        <f>[5]DATA!AM30</f>
        <v>#REF!</v>
      </c>
      <c r="AL17" s="1510" t="str">
        <f>[5]DATA!AN31</f>
        <v>belum ada keterangan</v>
      </c>
      <c r="AM17" s="1511" t="str">
        <f>[5]DATA!AO31</f>
        <v>belum ada keterangan</v>
      </c>
      <c r="AN17" s="1510" t="e">
        <f>[5]DATA!AQ30</f>
        <v>#REF!</v>
      </c>
      <c r="AO17" s="1533" t="str">
        <f>[5]DATA!AR31</f>
        <v>belum ada dokumen R/C</v>
      </c>
      <c r="AQ17" s="10">
        <f t="shared" si="1"/>
        <v>0</v>
      </c>
      <c r="AR17" s="10">
        <f t="shared" si="2"/>
        <v>0</v>
      </c>
      <c r="AS17" s="10">
        <f t="shared" si="3"/>
        <v>0</v>
      </c>
      <c r="AT17" s="10">
        <f t="shared" si="4"/>
        <v>0</v>
      </c>
    </row>
    <row r="18" spans="1:46" ht="41.25" customHeight="1">
      <c r="A18" s="10">
        <f>[5]DATA!A32</f>
        <v>29</v>
      </c>
      <c r="B18" s="10" t="e">
        <f>[5]DATA!B32</f>
        <v>#REF!</v>
      </c>
      <c r="C18" s="10" t="str">
        <f>[5]DATA!D32</f>
        <v>INFRASTRUKTUR</v>
      </c>
      <c r="D18" s="10">
        <f>[5]DATA!E32</f>
        <v>1</v>
      </c>
      <c r="E18" s="10" t="str">
        <f>[5]DATA!F32</f>
        <v>Kementerian Pekerjaan Umum dan Perumahan Rakyat</v>
      </c>
      <c r="F18" s="10" t="str">
        <f>[5]DATA!H32</f>
        <v>Drinking Water Development Program</v>
      </c>
      <c r="G18" s="10" t="str">
        <f>[5]DATA!I32</f>
        <v>D</v>
      </c>
      <c r="H18" s="10" t="str">
        <f>[5]DATA!J32</f>
        <v>Program Pembangunan Air Minum</v>
      </c>
      <c r="I18" s="10">
        <f>[5]DATA!K32</f>
        <v>3</v>
      </c>
      <c r="J18" s="181"/>
      <c r="K18" s="34"/>
      <c r="L18" s="34"/>
      <c r="M18" s="33"/>
      <c r="N18" s="199" t="str">
        <f>[5]DATA!L32</f>
        <v>The Development of Regional Water Supply System of Durolis</v>
      </c>
      <c r="O18" s="1402">
        <f>[5]DATA!T32</f>
        <v>33400000</v>
      </c>
      <c r="P18" s="187">
        <f>[5]DATA!U32</f>
        <v>33400000</v>
      </c>
      <c r="Q18" s="1446">
        <f>[5]DATA!V32</f>
        <v>1670000</v>
      </c>
      <c r="R18" s="1446">
        <f>[5]DATA!W32</f>
        <v>0</v>
      </c>
      <c r="S18" s="1447">
        <f t="shared" si="5"/>
        <v>35070000</v>
      </c>
      <c r="T18" s="1448"/>
      <c r="U18" s="1449" t="str">
        <f>[5]DATA!Y32</f>
        <v>Bank Dunia/JICA/ADB</v>
      </c>
      <c r="V18" s="77">
        <f>[5]DATA!AA32</f>
        <v>33400000</v>
      </c>
      <c r="W18" s="77">
        <v>0</v>
      </c>
      <c r="X18" s="1450" t="str">
        <f>[5]DATA!Y32</f>
        <v>Bank Dunia/JICA/ADB</v>
      </c>
      <c r="Y18" s="109">
        <v>33400000</v>
      </c>
      <c r="Z18" s="109" t="s">
        <v>1167</v>
      </c>
      <c r="AA18" s="1484" t="s">
        <v>879</v>
      </c>
      <c r="AB18" s="828"/>
      <c r="AC18" s="1485"/>
      <c r="AD18" s="1486"/>
      <c r="AE18" s="1486"/>
      <c r="AF18" s="1486"/>
      <c r="AG18" s="1514"/>
      <c r="AH18" s="1509">
        <f>[5]DATA!AT32</f>
        <v>33400000</v>
      </c>
      <c r="AI18" s="109" t="str">
        <f>[5]DATA!AU32</f>
        <v>Belum Ada Indikasi</v>
      </c>
      <c r="AJ18" s="1544" t="str">
        <f>[5]DATA!AW32</f>
        <v>- usulan K/L lender: Bank Dunia/JICA/ADB.
- Pihak Bank Dunia, ADB, dan JICA tidak berminat.</v>
      </c>
      <c r="AK18" s="245" t="e">
        <f>[5]DATA!AM31</f>
        <v>#REF!</v>
      </c>
      <c r="AL18" s="1510" t="str">
        <f>[5]DATA!AN32</f>
        <v>siap</v>
      </c>
      <c r="AM18" s="1511" t="str">
        <f>[5]DATA!AO32</f>
        <v>siap</v>
      </c>
      <c r="AN18" s="1510" t="e">
        <f>[5]DATA!AQ31</f>
        <v>#REF!</v>
      </c>
      <c r="AO18" s="1533" t="str">
        <f>[5]DATA!AR32</f>
        <v>belum ada dokumen R/C</v>
      </c>
      <c r="AQ18" s="10">
        <f t="shared" si="1"/>
        <v>0</v>
      </c>
      <c r="AR18" s="10">
        <f t="shared" si="2"/>
        <v>0</v>
      </c>
      <c r="AS18" s="10">
        <f t="shared" si="3"/>
        <v>0</v>
      </c>
      <c r="AT18" s="10">
        <f t="shared" si="4"/>
        <v>0</v>
      </c>
    </row>
    <row r="19" spans="1:46" ht="86.25" customHeight="1">
      <c r="A19" s="10">
        <f>[5]DATA!A33</f>
        <v>30</v>
      </c>
      <c r="B19" s="10" t="e">
        <f>[5]DATA!B33</f>
        <v>#REF!</v>
      </c>
      <c r="C19" s="10" t="str">
        <f>[5]DATA!D33</f>
        <v>INFRASTRUKTUR</v>
      </c>
      <c r="D19" s="10">
        <f>[5]DATA!E33</f>
        <v>1</v>
      </c>
      <c r="E19" s="10" t="str">
        <f>[5]DATA!F33</f>
        <v>Kementerian Pekerjaan Umum dan Perumahan Rakyat</v>
      </c>
      <c r="F19" s="10" t="str">
        <f>[5]DATA!H33</f>
        <v>Drinking Water Development Program</v>
      </c>
      <c r="G19" s="10" t="str">
        <f>[5]DATA!I33</f>
        <v>D</v>
      </c>
      <c r="H19" s="10" t="str">
        <f>[5]DATA!J33</f>
        <v>Program Pembangunan Air Minum</v>
      </c>
      <c r="I19" s="10">
        <f>[5]DATA!K33</f>
        <v>3</v>
      </c>
      <c r="J19" s="181"/>
      <c r="K19" s="34"/>
      <c r="L19" s="34"/>
      <c r="M19" s="33"/>
      <c r="N19" s="199" t="str">
        <f>[5]DATA!L33</f>
        <v>The Development of Regional Water Supply System of  Banten - Jakarta from Karian Dam</v>
      </c>
      <c r="O19" s="1402">
        <f>[5]DATA!T33</f>
        <v>40000000</v>
      </c>
      <c r="P19" s="187">
        <f>[5]DATA!U33</f>
        <v>40000000</v>
      </c>
      <c r="Q19" s="1446">
        <f>[5]DATA!V33</f>
        <v>2000000</v>
      </c>
      <c r="R19" s="1446">
        <f>[5]DATA!W33</f>
        <v>0</v>
      </c>
      <c r="S19" s="1447">
        <f t="shared" si="5"/>
        <v>42000000</v>
      </c>
      <c r="T19" s="1448"/>
      <c r="U19" s="1449" t="str">
        <f>[5]DATA!Y33</f>
        <v>Korea</v>
      </c>
      <c r="V19" s="77">
        <f>[5]DATA!AA33</f>
        <v>40000000</v>
      </c>
      <c r="W19" s="77">
        <v>0</v>
      </c>
      <c r="X19" s="1450" t="str">
        <f>[5]DATA!Y33</f>
        <v>Korea</v>
      </c>
      <c r="Y19" s="109">
        <v>40000000</v>
      </c>
      <c r="Z19" s="109" t="s">
        <v>28</v>
      </c>
      <c r="AA19" s="1484" t="s">
        <v>879</v>
      </c>
      <c r="AB19" s="828"/>
      <c r="AC19" s="1485"/>
      <c r="AD19" s="1486"/>
      <c r="AE19" s="1486"/>
      <c r="AF19" s="1486"/>
      <c r="AG19" s="3255" t="s">
        <v>1168</v>
      </c>
      <c r="AH19" s="1509">
        <f>[5]DATA!AT33</f>
        <v>40000000</v>
      </c>
      <c r="AI19" s="109" t="str">
        <f>[5]DATA!AU33</f>
        <v>Korea</v>
      </c>
      <c r="AJ19" s="1544" t="str">
        <f>[5]DATA!AW33</f>
        <v>belum masuk rolling plan EDCF (Korea)</v>
      </c>
      <c r="AK19" s="245" t="e">
        <f>[5]DATA!AM32</f>
        <v>#REF!</v>
      </c>
      <c r="AL19" s="1510" t="str">
        <f>[5]DATA!AN33</f>
        <v>dalam proses
(memiliki FS)</v>
      </c>
      <c r="AM19" s="1511" t="str">
        <f>[5]DATA!AO33</f>
        <v>dalam proses
(persiapan)</v>
      </c>
      <c r="AN19" s="1510" t="e">
        <f>[5]DATA!AQ32</f>
        <v>#REF!</v>
      </c>
      <c r="AO19" s="1533" t="str">
        <f>[5]DATA!AR33</f>
        <v>belum ada dokumen R/C</v>
      </c>
      <c r="AQ19" s="10">
        <f t="shared" si="1"/>
        <v>0</v>
      </c>
      <c r="AR19" s="10">
        <f t="shared" si="2"/>
        <v>0</v>
      </c>
      <c r="AS19" s="10">
        <f t="shared" si="3"/>
        <v>0</v>
      </c>
      <c r="AT19" s="10">
        <f t="shared" si="4"/>
        <v>40000000</v>
      </c>
    </row>
    <row r="20" spans="1:46" ht="41.25" customHeight="1">
      <c r="A20" s="10">
        <f>[5]DATA!A34</f>
        <v>31</v>
      </c>
      <c r="B20" s="10" t="e">
        <f>[5]DATA!B34</f>
        <v>#REF!</v>
      </c>
      <c r="C20" s="10" t="str">
        <f>[5]DATA!D34</f>
        <v>INFRASTRUKTUR</v>
      </c>
      <c r="D20" s="10">
        <f>[5]DATA!E34</f>
        <v>1</v>
      </c>
      <c r="E20" s="10" t="str">
        <f>[5]DATA!F34</f>
        <v>Kementerian Pekerjaan Umum dan Perumahan Rakyat</v>
      </c>
      <c r="F20" s="10" t="str">
        <f>[5]DATA!H34</f>
        <v>Drinking Water Development Program</v>
      </c>
      <c r="G20" s="10" t="str">
        <f>[5]DATA!I34</f>
        <v>D</v>
      </c>
      <c r="H20" s="10" t="str">
        <f>[5]DATA!J34</f>
        <v>Program Pembangunan Air Minum</v>
      </c>
      <c r="I20" s="10">
        <f>[5]DATA!K34</f>
        <v>3</v>
      </c>
      <c r="J20" s="181"/>
      <c r="K20" s="34"/>
      <c r="L20" s="34"/>
      <c r="M20" s="52"/>
      <c r="N20" s="199" t="str">
        <f>[5]DATA!L34</f>
        <v>The Development of Regional Water Supply System of Mebidang</v>
      </c>
      <c r="O20" s="1402">
        <f>[5]DATA!T34</f>
        <v>56400000</v>
      </c>
      <c r="P20" s="187">
        <f>[5]DATA!U34</f>
        <v>56400000</v>
      </c>
      <c r="Q20" s="1446">
        <f>[5]DATA!V34</f>
        <v>2820000</v>
      </c>
      <c r="R20" s="1446">
        <f>[5]DATA!W34</f>
        <v>0</v>
      </c>
      <c r="S20" s="1447">
        <f t="shared" si="5"/>
        <v>59220000</v>
      </c>
      <c r="T20" s="1448"/>
      <c r="U20" s="1449" t="str">
        <f>[5]DATA!Y34</f>
        <v>Jerman (KfW)</v>
      </c>
      <c r="V20" s="77">
        <f>[5]DATA!AA34</f>
        <v>56400000</v>
      </c>
      <c r="W20" s="77">
        <v>0</v>
      </c>
      <c r="X20" s="1450" t="str">
        <f>[5]DATA!Y34</f>
        <v>Jerman (KfW)</v>
      </c>
      <c r="Y20" s="109">
        <v>56400000</v>
      </c>
      <c r="Z20" s="109" t="s">
        <v>91</v>
      </c>
      <c r="AA20" s="1484" t="s">
        <v>1169</v>
      </c>
      <c r="AB20" s="828"/>
      <c r="AC20" s="1485"/>
      <c r="AD20" s="1486"/>
      <c r="AE20" s="1486"/>
      <c r="AF20" s="1486"/>
      <c r="AG20" s="3255" t="s">
        <v>1170</v>
      </c>
      <c r="AH20" s="1509">
        <f>[5]DATA!AT34</f>
        <v>56400000</v>
      </c>
      <c r="AI20" s="109" t="str">
        <f>[5]DATA!AU34</f>
        <v>Jerman (KfW)</v>
      </c>
      <c r="AJ20" s="1544" t="str">
        <f>[5]DATA!AW34</f>
        <v>-</v>
      </c>
      <c r="AK20" s="245" t="e">
        <f>[5]DATA!AM33</f>
        <v>#REF!</v>
      </c>
      <c r="AL20" s="1510" t="str">
        <f>[5]DATA!AN34</f>
        <v>dalam proses
(memiliki FS dan DED)</v>
      </c>
      <c r="AM20" s="1511" t="str">
        <f>[5]DATA!AO34</f>
        <v>dalam proses
(persiapan)</v>
      </c>
      <c r="AN20" s="1510" t="e">
        <f>[5]DATA!AQ33</f>
        <v>#REF!</v>
      </c>
      <c r="AO20" s="1533" t="str">
        <f>[5]DATA!AR34</f>
        <v>belum ada dokumen R/C</v>
      </c>
      <c r="AQ20" s="10">
        <f t="shared" si="1"/>
        <v>0</v>
      </c>
      <c r="AR20" s="10">
        <f t="shared" si="2"/>
        <v>0</v>
      </c>
      <c r="AS20" s="10">
        <f t="shared" si="3"/>
        <v>0</v>
      </c>
      <c r="AT20" s="10">
        <f t="shared" si="4"/>
        <v>0</v>
      </c>
    </row>
    <row r="21" spans="1:46" ht="30" customHeight="1">
      <c r="J21" s="181"/>
      <c r="K21" s="34"/>
      <c r="L21" s="34"/>
      <c r="M21" s="36">
        <v>3</v>
      </c>
      <c r="N21" s="1412" t="s">
        <v>102</v>
      </c>
      <c r="O21" s="1413"/>
      <c r="P21" s="1414"/>
      <c r="Q21" s="1446"/>
      <c r="R21" s="1446"/>
      <c r="S21" s="1447"/>
      <c r="T21" s="1457"/>
      <c r="U21" s="1449"/>
      <c r="V21" s="77"/>
      <c r="W21" s="77"/>
      <c r="X21" s="1450"/>
      <c r="Y21" s="109"/>
      <c r="Z21" s="109"/>
      <c r="AA21" s="1484"/>
      <c r="AB21" s="828"/>
      <c r="AC21" s="1485"/>
      <c r="AD21" s="1486"/>
      <c r="AE21" s="1486"/>
      <c r="AF21" s="1486"/>
      <c r="AG21" s="1514"/>
      <c r="AH21" s="1509"/>
      <c r="AI21" s="109"/>
      <c r="AJ21" s="1544"/>
      <c r="AK21" s="245"/>
      <c r="AL21" s="1510"/>
      <c r="AM21" s="1511"/>
      <c r="AN21" s="1510"/>
      <c r="AO21" s="1533"/>
      <c r="AQ21" s="10">
        <f t="shared" si="1"/>
        <v>0</v>
      </c>
      <c r="AR21" s="10">
        <f t="shared" si="2"/>
        <v>0</v>
      </c>
      <c r="AS21" s="10">
        <f t="shared" si="3"/>
        <v>0</v>
      </c>
      <c r="AT21" s="10">
        <f t="shared" si="4"/>
        <v>0</v>
      </c>
    </row>
    <row r="22" spans="1:46" ht="53.25" customHeight="1">
      <c r="J22" s="181"/>
      <c r="K22" s="34"/>
      <c r="L22" s="34"/>
      <c r="N22" s="1597" t="str">
        <f>[5]DATA!L39</f>
        <v>IKK Water Supply Program and Small Water Treatment Plant for Water Scarcity Area</v>
      </c>
      <c r="O22" s="1413">
        <v>50000000</v>
      </c>
      <c r="P22" s="1414">
        <v>50000000</v>
      </c>
      <c r="Q22" s="1446">
        <f>[5]DATA!V37</f>
        <v>5000000</v>
      </c>
      <c r="R22" s="1446">
        <f>[5]DATA!W37</f>
        <v>0</v>
      </c>
      <c r="S22" s="1447">
        <f t="shared" si="5"/>
        <v>55000000</v>
      </c>
      <c r="T22" s="1457"/>
      <c r="U22" s="1449" t="str">
        <f>[5]DATA!Y39</f>
        <v>IDB</v>
      </c>
      <c r="V22" s="77">
        <f>[5]DATA!AA39</f>
        <v>50000000</v>
      </c>
      <c r="W22" s="77">
        <v>0</v>
      </c>
      <c r="X22" s="1450" t="str">
        <f>[5]DATA!Y39</f>
        <v>IDB</v>
      </c>
      <c r="Y22" s="109">
        <v>50000000</v>
      </c>
      <c r="Z22" s="109" t="s">
        <v>636</v>
      </c>
      <c r="AA22" s="1484" t="s">
        <v>879</v>
      </c>
      <c r="AB22" s="828"/>
      <c r="AC22" s="1485"/>
      <c r="AD22" s="1486"/>
      <c r="AE22" s="1486"/>
      <c r="AF22" s="1486"/>
      <c r="AG22" s="1514"/>
      <c r="AH22" s="1509">
        <f>P22</f>
        <v>50000000</v>
      </c>
      <c r="AI22" s="109" t="s">
        <v>633</v>
      </c>
      <c r="AJ22" s="1544" t="str">
        <f>[5]DATA!AW39</f>
        <v>- usulan K/L lender:IDB.
- pihak IDB tidak berminat mendanai kegiatan ini, diusulkan kepada AIIB.
- Indikasi Lender AIIB menjadi belum ada indikasi (konfirmasi tgl 29 Jan'16)</v>
      </c>
      <c r="AK22" s="245" t="e">
        <f>[5]DATA!AM39</f>
        <v>#REF!</v>
      </c>
      <c r="AL22" s="1510" t="str">
        <f>[5]DATA!AN39</f>
        <v>siap</v>
      </c>
      <c r="AM22" s="1511" t="str">
        <f>[5]DATA!AO39</f>
        <v>dalam proses
(pelaksanaan &lt;50%)</v>
      </c>
      <c r="AN22" s="1510" t="e">
        <f>[5]DATA!AQ39</f>
        <v>#REF!</v>
      </c>
      <c r="AO22" s="1533" t="str">
        <f>[5]DATA!AR39</f>
        <v>belum ada dokumen R/C</v>
      </c>
      <c r="AQ22" s="10">
        <f t="shared" si="1"/>
        <v>0</v>
      </c>
      <c r="AR22" s="10">
        <f t="shared" si="2"/>
        <v>0</v>
      </c>
      <c r="AS22" s="10">
        <f t="shared" si="3"/>
        <v>0</v>
      </c>
      <c r="AT22" s="10">
        <f t="shared" si="4"/>
        <v>0</v>
      </c>
    </row>
    <row r="23" spans="1:46" s="3" customFormat="1" ht="30" customHeight="1">
      <c r="J23" s="3450" t="s">
        <v>477</v>
      </c>
      <c r="K23" s="3451"/>
      <c r="L23" s="3451"/>
      <c r="M23" s="3573"/>
      <c r="N23" s="3573"/>
      <c r="O23" s="282" t="e">
        <f>+O8+#REF!</f>
        <v>#REF!</v>
      </c>
      <c r="P23" s="278" t="e">
        <f>+P8+#REF!</f>
        <v>#REF!</v>
      </c>
      <c r="Q23" s="1460" t="e">
        <f>+Q8+#REF!</f>
        <v>#REF!</v>
      </c>
      <c r="R23" s="1460" t="e">
        <f>+R8+#REF!</f>
        <v>#REF!</v>
      </c>
      <c r="S23" s="288" t="e">
        <f t="shared" si="5"/>
        <v>#REF!</v>
      </c>
      <c r="T23" s="1461"/>
      <c r="U23" s="279"/>
      <c r="V23" s="280" t="e">
        <f>+V8+#REF!</f>
        <v>#REF!</v>
      </c>
      <c r="W23" s="280" t="e">
        <f>+W8+#REF!</f>
        <v>#REF!</v>
      </c>
      <c r="X23" s="287"/>
      <c r="Y23" s="280">
        <f>+Y8</f>
        <v>796300000</v>
      </c>
      <c r="Z23" s="280"/>
      <c r="AA23" s="280"/>
      <c r="AB23" s="1490"/>
      <c r="AC23" s="1490"/>
      <c r="AD23" s="1490"/>
      <c r="AE23" s="1490"/>
      <c r="AF23" s="1490"/>
      <c r="AG23" s="285"/>
      <c r="AH23" s="279" t="e">
        <f>+AH8+#REF!</f>
        <v>#REF!</v>
      </c>
      <c r="AI23" s="280" t="s">
        <v>21</v>
      </c>
      <c r="AJ23" s="280" t="s">
        <v>21</v>
      </c>
      <c r="AK23" s="1523"/>
      <c r="AL23" s="1524"/>
      <c r="AM23" s="1525"/>
      <c r="AN23" s="1526"/>
      <c r="AO23" s="1534"/>
      <c r="AP23" s="12"/>
      <c r="AQ23" s="1535">
        <f>SUM(AQ10:AQ22)</f>
        <v>0</v>
      </c>
      <c r="AR23" s="1535">
        <f>SUM(AR10:AR22)</f>
        <v>100000000</v>
      </c>
      <c r="AS23" s="1535">
        <f>SUM(AS10:AS22)</f>
        <v>0</v>
      </c>
      <c r="AT23" s="1535">
        <f>SUM(AT10:AT22)</f>
        <v>40000000</v>
      </c>
    </row>
    <row r="24" spans="1:46" s="12" customFormat="1">
      <c r="A24" s="10"/>
      <c r="B24" s="10"/>
      <c r="C24" s="10"/>
      <c r="D24" s="10"/>
      <c r="E24" s="10"/>
      <c r="F24" s="10"/>
      <c r="G24" s="10"/>
      <c r="H24" s="10"/>
      <c r="I24" s="10"/>
      <c r="J24" s="11"/>
      <c r="K24" s="10"/>
      <c r="L24" s="10"/>
      <c r="M24" s="1425"/>
      <c r="N24" s="1426"/>
      <c r="O24" s="13"/>
      <c r="P24" s="13"/>
      <c r="Q24" s="1395"/>
      <c r="R24" s="1395"/>
      <c r="S24" s="13"/>
      <c r="T24" s="13"/>
      <c r="U24" s="14"/>
      <c r="V24" s="13"/>
      <c r="W24" s="13"/>
      <c r="X24" s="13"/>
      <c r="Y24" s="13"/>
      <c r="Z24" s="13"/>
      <c r="AA24" s="13"/>
      <c r="AB24" s="13"/>
      <c r="AC24" s="13"/>
      <c r="AD24" s="13"/>
      <c r="AE24" s="13"/>
      <c r="AF24" s="13"/>
      <c r="AG24" s="13"/>
      <c r="AK24" s="14"/>
      <c r="AL24" s="14"/>
      <c r="AM24" s="14"/>
      <c r="AN24" s="14"/>
      <c r="AO24" s="175"/>
    </row>
    <row r="25" spans="1:46" s="12" customFormat="1">
      <c r="A25" s="10"/>
      <c r="B25" s="10"/>
      <c r="C25" s="10"/>
      <c r="D25" s="10"/>
      <c r="E25" s="10"/>
      <c r="F25" s="10"/>
      <c r="G25" s="10"/>
      <c r="H25" s="10"/>
      <c r="I25" s="10"/>
      <c r="J25" s="11"/>
      <c r="K25" s="10" t="s">
        <v>1111</v>
      </c>
      <c r="L25" s="10"/>
      <c r="M25" s="10"/>
      <c r="O25" s="13"/>
      <c r="P25" s="13"/>
      <c r="Q25" s="1395"/>
      <c r="R25" s="1395"/>
      <c r="S25" s="13"/>
      <c r="T25" s="13"/>
      <c r="U25" s="14"/>
      <c r="V25" s="13" t="e">
        <f>V23+W23</f>
        <v>#REF!</v>
      </c>
      <c r="W25" s="13"/>
      <c r="X25" s="13"/>
      <c r="Y25" s="13"/>
      <c r="Z25" s="13"/>
      <c r="AA25" s="13"/>
      <c r="AB25" s="13"/>
      <c r="AC25" s="13"/>
      <c r="AD25" s="13"/>
      <c r="AE25" s="13"/>
      <c r="AF25" s="13"/>
      <c r="AG25" s="13"/>
      <c r="AH25" s="289"/>
      <c r="AK25" s="14"/>
      <c r="AL25" s="14"/>
      <c r="AM25" s="14"/>
      <c r="AN25" s="14"/>
      <c r="AO25" s="175"/>
      <c r="AP25" s="10"/>
    </row>
    <row r="26" spans="1:46">
      <c r="V26" s="13" t="e">
        <f>V25-AH23</f>
        <v>#REF!</v>
      </c>
      <c r="Y26" s="13">
        <f>Y23+5809063500</f>
        <v>6605363500</v>
      </c>
      <c r="Z26" s="13" t="e">
        <f>Y23-#REF!</f>
        <v>#REF!</v>
      </c>
    </row>
    <row r="28" spans="1:46">
      <c r="AH28" s="289"/>
    </row>
    <row r="29" spans="1:46">
      <c r="Y29" s="13" t="e">
        <f>#REF!+#REF!+#REF!+#REF!+#REF!+#REF!+#REF!+#REF!+#REF!+#REF!+#REF!+#REF!+#REF!+#REF!+#REF!+#REF!+#REF!+#REF!+#REF!+#REF!+#REF!+#REF!</f>
        <v>#REF!</v>
      </c>
      <c r="AP29" s="12"/>
    </row>
    <row r="30" spans="1:46" s="12" customFormat="1">
      <c r="A30" s="10"/>
      <c r="B30" s="10"/>
      <c r="C30" s="10"/>
      <c r="D30" s="10"/>
      <c r="E30" s="10"/>
      <c r="F30" s="10"/>
      <c r="G30" s="10"/>
      <c r="H30" s="10"/>
      <c r="I30" s="10"/>
      <c r="J30" s="11"/>
      <c r="K30" s="10"/>
      <c r="L30" s="10"/>
      <c r="M30" s="10"/>
      <c r="O30" s="13"/>
      <c r="P30" s="13"/>
      <c r="Q30" s="1395"/>
      <c r="R30" s="1395"/>
      <c r="S30" s="13"/>
      <c r="T30" s="13"/>
      <c r="U30" s="14"/>
      <c r="V30" s="13"/>
      <c r="W30" s="13"/>
      <c r="X30" s="13"/>
      <c r="Y30" s="13"/>
      <c r="Z30" s="13"/>
      <c r="AA30" s="13"/>
      <c r="AB30" s="13"/>
      <c r="AC30" s="13"/>
      <c r="AD30" s="13"/>
      <c r="AE30" s="13"/>
      <c r="AF30" s="13"/>
      <c r="AG30" s="13"/>
      <c r="AI30" s="289"/>
      <c r="AK30" s="14"/>
      <c r="AL30" s="14"/>
      <c r="AM30" s="14"/>
      <c r="AN30" s="14"/>
      <c r="AO30" s="175"/>
    </row>
    <row r="31" spans="1:46" s="12" customFormat="1">
      <c r="A31" s="10"/>
      <c r="B31" s="10"/>
      <c r="C31" s="10"/>
      <c r="D31" s="10"/>
      <c r="E31" s="10"/>
      <c r="F31" s="10"/>
      <c r="G31" s="10"/>
      <c r="H31" s="10"/>
      <c r="I31" s="10"/>
      <c r="J31" s="11"/>
      <c r="K31" s="10"/>
      <c r="L31" s="10"/>
      <c r="M31" s="10"/>
      <c r="O31" s="13"/>
      <c r="P31" s="13"/>
      <c r="Q31" s="1395"/>
      <c r="R31" s="1395"/>
      <c r="S31" s="13"/>
      <c r="T31" s="13"/>
      <c r="U31" s="14"/>
      <c r="V31" s="13"/>
      <c r="W31" s="13"/>
      <c r="X31" s="13"/>
      <c r="Y31" s="13" t="e">
        <f>#REF!+#REF!+#REF!+#REF!+#REF!+#REF!+#REF!+#REF!+#REF!+#REF!+#REF!+#REF!+#REF!+#REF!+#REF!+#REF!+#REF!+#REF!+#REF!+#REF!+#REF!+#REF!+#REF!+#REF!+#REF!+Y11+#REF!+71100000</f>
        <v>#REF!</v>
      </c>
      <c r="Z31" s="13"/>
      <c r="AA31" s="13"/>
      <c r="AB31" s="13"/>
      <c r="AC31" s="13"/>
      <c r="AD31" s="13"/>
      <c r="AE31" s="13"/>
      <c r="AF31" s="13"/>
      <c r="AG31" s="13"/>
      <c r="AH31" s="289"/>
      <c r="AK31" s="14"/>
      <c r="AL31" s="14"/>
      <c r="AM31" s="14"/>
      <c r="AN31" s="14"/>
      <c r="AO31" s="175"/>
      <c r="AP31" s="1536"/>
    </row>
    <row r="32" spans="1:46" s="12" customFormat="1">
      <c r="A32" s="10"/>
      <c r="B32" s="10"/>
      <c r="C32" s="10"/>
      <c r="D32" s="10"/>
      <c r="E32" s="10"/>
      <c r="F32" s="10"/>
      <c r="G32" s="10"/>
      <c r="H32" s="10"/>
      <c r="I32" s="10"/>
      <c r="J32" s="11"/>
      <c r="K32" s="10"/>
      <c r="L32" s="10"/>
      <c r="M32" s="10"/>
      <c r="O32" s="13"/>
      <c r="P32" s="13"/>
      <c r="Q32" s="1395"/>
      <c r="R32" s="1395"/>
      <c r="S32" s="13"/>
      <c r="T32" s="13"/>
      <c r="U32" s="14"/>
      <c r="V32" s="13"/>
      <c r="W32" s="13"/>
      <c r="X32" s="13"/>
      <c r="Y32" s="13"/>
      <c r="Z32" s="13"/>
      <c r="AA32" s="13"/>
      <c r="AB32" s="13"/>
      <c r="AC32" s="13"/>
      <c r="AD32" s="13"/>
      <c r="AE32" s="13"/>
      <c r="AF32" s="13"/>
      <c r="AG32" s="13"/>
      <c r="AK32" s="14"/>
      <c r="AL32" s="14"/>
      <c r="AM32" s="14"/>
      <c r="AN32" s="14"/>
      <c r="AO32" s="175"/>
      <c r="AP32" s="10"/>
    </row>
  </sheetData>
  <autoFilter ref="A7:AO23"/>
  <mergeCells count="20">
    <mergeCell ref="J23:N23"/>
    <mergeCell ref="O5:O6"/>
    <mergeCell ref="P5:P6"/>
    <mergeCell ref="Q5:Q6"/>
    <mergeCell ref="R5:R6"/>
    <mergeCell ref="J5:N6"/>
    <mergeCell ref="J1:AO1"/>
    <mergeCell ref="J2:AO2"/>
    <mergeCell ref="U4:AJ4"/>
    <mergeCell ref="AK4:AO4"/>
    <mergeCell ref="U5:X5"/>
    <mergeCell ref="AB5:AF5"/>
    <mergeCell ref="AH5:AJ5"/>
    <mergeCell ref="AK5:AO5"/>
    <mergeCell ref="S5:S6"/>
    <mergeCell ref="T5:T6"/>
    <mergeCell ref="Y5:Y6"/>
    <mergeCell ref="Z5:Z6"/>
    <mergeCell ref="AA5:AA6"/>
    <mergeCell ref="AG5:AG6"/>
  </mergeCells>
  <printOptions horizontalCentered="1"/>
  <pageMargins left="0.39305555555555599" right="0.39305555555555599" top="0.39305555555555599" bottom="0.39305555555555599" header="0.31458333333333299" footer="0.196527777777778"/>
  <pageSetup paperSize="9" scale="48" fitToHeight="0" orientation="portrait"/>
  <headerFooter>
    <oddFooter>&amp;R&amp;"Cambria,Italic"&amp;9&amp;P/&amp;N</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pageSetUpPr fitToPage="1"/>
  </sheetPr>
  <dimension ref="A1:AT24"/>
  <sheetViews>
    <sheetView topLeftCell="J1" zoomScale="70" zoomScaleNormal="70" workbookViewId="0">
      <pane ySplit="7" topLeftCell="A8" activePane="bottomLeft" state="frozen"/>
      <selection pane="bottomLeft" activeCell="N14" sqref="N14:Y14"/>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1342</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DATA!B2</f>
        <v>I</v>
      </c>
      <c r="K8" s="22" t="str">
        <f>DATA!D2</f>
        <v>INFRASTRUKTUR</v>
      </c>
      <c r="L8" s="22"/>
      <c r="M8" s="22"/>
      <c r="N8" s="1404"/>
      <c r="O8" s="212" t="e">
        <f>O9+O12+#REF!+#REF!+#REF!+#REF!+#REF!+#REF!+#REF!+#REF!</f>
        <v>#REF!</v>
      </c>
      <c r="P8" s="191" t="e">
        <f>P9+P12+#REF!+#REF!+#REF!+#REF!+#REF!+#REF!+#REF!+#REF!</f>
        <v>#REF!</v>
      </c>
      <c r="Q8" s="191" t="e">
        <f>+Q9+Q12+#REF!+#REF!+#REF!+#REF!+#REF!+#REF!+#REF!</f>
        <v>#REF!</v>
      </c>
      <c r="R8" s="191" t="e">
        <f>+R9+R12+#REF!+#REF!+#REF!+#REF!+#REF!+#REF!+#REF!</f>
        <v>#REF!</v>
      </c>
      <c r="S8" s="240" t="e">
        <f>+S9+S12+#REF!+#REF!+#REF!+#REF!+#REF!+#REF!+#REF!</f>
        <v>#REF!</v>
      </c>
      <c r="T8" s="1433"/>
      <c r="U8" s="192"/>
      <c r="V8" s="79" t="e">
        <f>+V9+V12+#REF!+#REF!+#REF!+#REF!+#REF!+#REF!+#REF!</f>
        <v>#REF!</v>
      </c>
      <c r="W8" s="79" t="e">
        <f>+W9+W12+#REF!+#REF!+#REF!+#REF!+#REF!+#REF!+#REF!</f>
        <v>#REF!</v>
      </c>
      <c r="X8" s="239" t="e">
        <f>+X9+X12+#REF!+#REF!+#REF!+#REF!</f>
        <v>#REF!</v>
      </c>
      <c r="Y8" s="79">
        <f>+Y9+Y12</f>
        <v>650000000</v>
      </c>
      <c r="Z8" s="79"/>
      <c r="AA8" s="224"/>
      <c r="AB8" s="1464"/>
      <c r="AC8" s="1464"/>
      <c r="AD8" s="1464"/>
      <c r="AE8" s="1464"/>
      <c r="AF8" s="1464"/>
      <c r="AG8" s="1495"/>
      <c r="AH8" s="192" t="e">
        <f>+AH9+AH12+#REF!+#REF!+#REF!+#REF!+#REF!+#REF!+#REF!</f>
        <v>#REF!</v>
      </c>
      <c r="AI8" s="79" t="s">
        <v>21</v>
      </c>
      <c r="AJ8" s="212" t="e">
        <f>P8-AH8</f>
        <v>#REF!</v>
      </c>
      <c r="AK8" s="1496"/>
      <c r="AL8" s="1497"/>
      <c r="AM8" s="1498"/>
      <c r="AN8" s="1499"/>
      <c r="AO8" s="1528"/>
    </row>
    <row r="9" spans="1:46" s="4" customFormat="1" ht="24.95" customHeight="1">
      <c r="J9" s="179"/>
      <c r="K9" s="25">
        <f>DATA!E2</f>
        <v>1</v>
      </c>
      <c r="L9" s="26" t="str">
        <f>DATA!F2</f>
        <v>Kementerian Pekerjaan Umum dan Perumahan Rakyat</v>
      </c>
      <c r="M9" s="26"/>
      <c r="N9" s="1416"/>
      <c r="O9" s="213" t="e">
        <f>#REF!+#REF!+#REF!+#REF!+#REF!+#REF!+#REF!+#REF!+#REF!+#REF!+#REF!+#REF!+#REF!+#REF!+O10</f>
        <v>#REF!</v>
      </c>
      <c r="P9" s="194" t="e">
        <f>+#REF!+#REF!+#REF!+#REF!+#REF!+#REF!+#REF!+#REF!+#REF!+#REF!+#REF!+#REF!+#REF!+P10+#REF!</f>
        <v>#REF!</v>
      </c>
      <c r="Q9" s="194" t="e">
        <f>+#REF!+#REF!+#REF!+#REF!+#REF!+#REF!+#REF!+#REF!+#REF!+#REF!+#REF!+#REF!+#REF!+Q10+#REF!</f>
        <v>#REF!</v>
      </c>
      <c r="R9" s="194" t="e">
        <f>+#REF!+#REF!+#REF!+#REF!+#REF!+#REF!+#REF!+#REF!+#REF!+#REF!+#REF!+#REF!+#REF!+R10+#REF!</f>
        <v>#REF!</v>
      </c>
      <c r="S9" s="242" t="e">
        <f>+#REF!+#REF!+#REF!+#REF!+#REF!+#REF!+#REF!+#REF!+#REF!+#REF!+#REF!+#REF!+#REF!+S10+#REF!</f>
        <v>#REF!</v>
      </c>
      <c r="T9" s="1538"/>
      <c r="U9" s="195"/>
      <c r="V9" s="80" t="e">
        <f>+#REF!+#REF!+#REF!+#REF!+#REF!+#REF!+#REF!+#REF!+#REF!+#REF!+#REF!+#REF!+#REF!+#REF!+V10</f>
        <v>#REF!</v>
      </c>
      <c r="W9" s="80" t="e">
        <f>+#REF!+#REF!+#REF!+#REF!+#REF!+#REF!+#REF!+#REF!+#REF!+#REF!+#REF!+#REF!+#REF!+#REF!+W10</f>
        <v>#REF!</v>
      </c>
      <c r="X9" s="241" t="e">
        <f>+#REF!+#REF!+#REF!+#REF!+#REF!+#REF!+#REF!+#REF!+#REF!+#REF!+#REF!+#REF!+X10</f>
        <v>#REF!</v>
      </c>
      <c r="Y9" s="80">
        <f>Y10</f>
        <v>450000000</v>
      </c>
      <c r="Z9" s="80"/>
      <c r="AA9" s="226"/>
      <c r="AB9" s="1465"/>
      <c r="AC9" s="1465"/>
      <c r="AD9" s="1465"/>
      <c r="AE9" s="1465"/>
      <c r="AF9" s="1465"/>
      <c r="AG9" s="1540"/>
      <c r="AH9" s="195" t="e">
        <f>+#REF!+#REF!+#REF!+#REF!+#REF!+#REF!+#REF!+#REF!+#REF!+#REF!+#REF!+#REF!+#REF!+#REF!+AH10</f>
        <v>#REF!</v>
      </c>
      <c r="AI9" s="80" t="s">
        <v>21</v>
      </c>
      <c r="AJ9" s="213"/>
      <c r="AK9" s="1501"/>
      <c r="AL9" s="1541"/>
      <c r="AM9" s="1542"/>
      <c r="AN9" s="1543"/>
      <c r="AO9" s="1546"/>
    </row>
    <row r="10" spans="1:46" ht="32.25" customHeight="1">
      <c r="J10" s="181"/>
      <c r="K10" s="58"/>
      <c r="L10" s="30" t="s">
        <v>1094</v>
      </c>
      <c r="M10" s="31" t="str">
        <f>DATA!J117</f>
        <v>Program Penyediaaan Perumahan Bagi MBR</v>
      </c>
      <c r="N10" s="1419"/>
      <c r="O10" s="214">
        <f>+O11</f>
        <v>300000000</v>
      </c>
      <c r="P10" s="197">
        <f>+P11</f>
        <v>450000000</v>
      </c>
      <c r="Q10" s="1436">
        <f>Q11</f>
        <v>0</v>
      </c>
      <c r="R10" s="1436">
        <f>+R11</f>
        <v>0</v>
      </c>
      <c r="S10" s="244">
        <f t="shared" ref="S10:S15" si="0">P10+Q10+R10</f>
        <v>450000000</v>
      </c>
      <c r="T10" s="1437"/>
      <c r="U10" s="1539"/>
      <c r="V10" s="81">
        <f>+V11</f>
        <v>0</v>
      </c>
      <c r="W10" s="81">
        <f>+W11</f>
        <v>450000000</v>
      </c>
      <c r="X10" s="243"/>
      <c r="Y10" s="81">
        <f>Y11</f>
        <v>450000000</v>
      </c>
      <c r="Z10" s="81"/>
      <c r="AA10" s="1469"/>
      <c r="AB10" s="1470"/>
      <c r="AC10" s="1471"/>
      <c r="AD10" s="1472"/>
      <c r="AE10" s="1472"/>
      <c r="AF10" s="1472"/>
      <c r="AG10" s="1504"/>
      <c r="AH10" s="198">
        <f>+AH11</f>
        <v>450000000</v>
      </c>
      <c r="AI10" s="81" t="s">
        <v>21</v>
      </c>
      <c r="AJ10" s="214">
        <f>+AJ11</f>
        <v>0</v>
      </c>
      <c r="AK10" s="1505"/>
      <c r="AL10" s="1506"/>
      <c r="AM10" s="169"/>
      <c r="AN10" s="1507"/>
      <c r="AO10" s="1530"/>
      <c r="AQ10" s="10">
        <f t="shared" ref="AQ10:AQ14" si="1">IF(Z10="RRT",Y10,0)</f>
        <v>0</v>
      </c>
      <c r="AR10" s="10">
        <f t="shared" ref="AR10:AR14" si="2">IF(Z10="JICA",Y10,0)</f>
        <v>0</v>
      </c>
      <c r="AS10" s="10">
        <f t="shared" ref="AS10:AS14" si="3">IF(Z10="Belum ada indikasi",Y10,0)</f>
        <v>0</v>
      </c>
      <c r="AT10" s="10">
        <f t="shared" ref="AT10:AT14" si="4">IF(Z10="Korea",Y10,0)</f>
        <v>0</v>
      </c>
    </row>
    <row r="11" spans="1:46" ht="60" customHeight="1">
      <c r="J11" s="181"/>
      <c r="K11" s="54"/>
      <c r="L11" s="20"/>
      <c r="M11" s="36">
        <v>1</v>
      </c>
      <c r="N11" s="1537" t="str">
        <f>DATA!L116</f>
        <v>National Affordable Housing Project</v>
      </c>
      <c r="O11" s="1402">
        <f>DATA!U115</f>
        <v>300000000</v>
      </c>
      <c r="P11" s="187">
        <f>DATA!U116</f>
        <v>450000000</v>
      </c>
      <c r="Q11" s="187">
        <f>DATA!V116</f>
        <v>0</v>
      </c>
      <c r="R11" s="187">
        <f>DATA!W116</f>
        <v>0</v>
      </c>
      <c r="S11" s="1447">
        <f t="shared" si="0"/>
        <v>450000000</v>
      </c>
      <c r="T11" s="1448"/>
      <c r="U11" s="1449"/>
      <c r="V11" s="77">
        <v>0</v>
      </c>
      <c r="W11" s="77">
        <f>DATA!AA116</f>
        <v>450000000</v>
      </c>
      <c r="X11" s="1450" t="str">
        <f>DATA!Y116</f>
        <v>Belum Ada Indikasi</v>
      </c>
      <c r="Y11" s="109">
        <v>450000000</v>
      </c>
      <c r="Z11" s="109" t="s">
        <v>62</v>
      </c>
      <c r="AA11" s="3254" t="s">
        <v>1206</v>
      </c>
      <c r="AB11" s="1474"/>
      <c r="AC11" s="1475"/>
      <c r="AD11" s="1476"/>
      <c r="AE11" s="1476"/>
      <c r="AF11" s="1476"/>
      <c r="AG11" s="1514"/>
      <c r="AH11" s="1509">
        <f>DATA!AT116</f>
        <v>450000000</v>
      </c>
      <c r="AI11" s="1509" t="str">
        <f>DATA!AU116</f>
        <v>Bank Dunia</v>
      </c>
      <c r="AJ11" s="1544">
        <f>DATA!AW116</f>
        <v>0</v>
      </c>
      <c r="AK11" s="245" t="str">
        <f>DATA!AM116</f>
        <v>Rev. 2016</v>
      </c>
      <c r="AL11" s="1510" t="str">
        <f>DATA!AN116</f>
        <v>siap</v>
      </c>
      <c r="AM11" s="1511" t="str">
        <f>DATA!AO116</f>
        <v>belum ada keterangan</v>
      </c>
      <c r="AN11" s="1545">
        <f>DATA!AQ116</f>
        <v>0</v>
      </c>
      <c r="AO11" s="1547" t="str">
        <f>DATA!AR116</f>
        <v>-</v>
      </c>
      <c r="AQ11" s="10">
        <f t="shared" si="1"/>
        <v>0</v>
      </c>
      <c r="AR11" s="10">
        <f t="shared" si="2"/>
        <v>0</v>
      </c>
      <c r="AS11" s="10">
        <f t="shared" si="3"/>
        <v>0</v>
      </c>
      <c r="AT11" s="10">
        <f t="shared" si="4"/>
        <v>0</v>
      </c>
    </row>
    <row r="12" spans="1:46" s="4" customFormat="1" ht="24.95" customHeight="1">
      <c r="J12" s="250"/>
      <c r="K12" s="25">
        <f>DATA!E118</f>
        <v>2</v>
      </c>
      <c r="L12" s="108" t="str">
        <f>DATA!F118</f>
        <v>PERUMNAS</v>
      </c>
      <c r="M12" s="26"/>
      <c r="N12" s="1416"/>
      <c r="O12" s="213">
        <f t="shared" ref="O12:R13" si="5">+O13</f>
        <v>200000000</v>
      </c>
      <c r="P12" s="194">
        <f t="shared" si="5"/>
        <v>200000000</v>
      </c>
      <c r="Q12" s="194">
        <f t="shared" si="5"/>
        <v>20000000</v>
      </c>
      <c r="R12" s="194">
        <f t="shared" si="5"/>
        <v>0</v>
      </c>
      <c r="S12" s="242">
        <f t="shared" si="0"/>
        <v>220000000</v>
      </c>
      <c r="T12" s="1434"/>
      <c r="U12" s="1549"/>
      <c r="V12" s="80">
        <f t="shared" ref="V12:AJ13" si="6">+V13</f>
        <v>200000000</v>
      </c>
      <c r="W12" s="80">
        <f t="shared" si="6"/>
        <v>0</v>
      </c>
      <c r="X12" s="241">
        <f t="shared" si="6"/>
        <v>0</v>
      </c>
      <c r="Y12" s="80">
        <f>Y13</f>
        <v>200000000</v>
      </c>
      <c r="Z12" s="80"/>
      <c r="AA12" s="1465"/>
      <c r="AB12" s="1466"/>
      <c r="AC12" s="1467"/>
      <c r="AD12" s="1468"/>
      <c r="AE12" s="1468"/>
      <c r="AF12" s="1468"/>
      <c r="AG12" s="1500"/>
      <c r="AH12" s="195">
        <f t="shared" si="6"/>
        <v>200000000</v>
      </c>
      <c r="AI12" s="80" t="str">
        <f t="shared" si="6"/>
        <v>-</v>
      </c>
      <c r="AJ12" s="213" t="str">
        <f t="shared" si="6"/>
        <v>-</v>
      </c>
      <c r="AK12" s="1501"/>
      <c r="AL12" s="1502"/>
      <c r="AM12" s="168"/>
      <c r="AN12" s="1503"/>
      <c r="AO12" s="1529"/>
      <c r="AQ12" s="10">
        <f t="shared" si="1"/>
        <v>0</v>
      </c>
      <c r="AR12" s="10">
        <f t="shared" si="2"/>
        <v>0</v>
      </c>
      <c r="AS12" s="10">
        <f t="shared" si="3"/>
        <v>0</v>
      </c>
      <c r="AT12" s="10">
        <f t="shared" si="4"/>
        <v>0</v>
      </c>
    </row>
    <row r="13" spans="1:46" s="5" customFormat="1" ht="33.75" customHeight="1">
      <c r="J13" s="180"/>
      <c r="K13" s="1670"/>
      <c r="L13" s="30" t="str">
        <f>DATA!I118</f>
        <v>A</v>
      </c>
      <c r="M13" s="31" t="str">
        <f>DATA!J118</f>
        <v>Program Penyediaaan Perumahan Bagi MBR</v>
      </c>
      <c r="N13" s="1419"/>
      <c r="O13" s="214">
        <f t="shared" si="5"/>
        <v>200000000</v>
      </c>
      <c r="P13" s="197">
        <f t="shared" si="5"/>
        <v>200000000</v>
      </c>
      <c r="Q13" s="1436">
        <f t="shared" si="5"/>
        <v>20000000</v>
      </c>
      <c r="R13" s="1436">
        <f t="shared" si="5"/>
        <v>0</v>
      </c>
      <c r="S13" s="244">
        <f t="shared" si="0"/>
        <v>220000000</v>
      </c>
      <c r="T13" s="1437"/>
      <c r="U13" s="1539"/>
      <c r="V13" s="81">
        <f t="shared" si="6"/>
        <v>200000000</v>
      </c>
      <c r="W13" s="81">
        <f t="shared" si="6"/>
        <v>0</v>
      </c>
      <c r="X13" s="243"/>
      <c r="Y13" s="81">
        <f>Y14</f>
        <v>200000000</v>
      </c>
      <c r="Z13" s="81"/>
      <c r="AA13" s="1469"/>
      <c r="AB13" s="1470"/>
      <c r="AC13" s="1471"/>
      <c r="AD13" s="1472"/>
      <c r="AE13" s="1472"/>
      <c r="AF13" s="1472"/>
      <c r="AG13" s="1504"/>
      <c r="AH13" s="198">
        <f t="shared" si="6"/>
        <v>200000000</v>
      </c>
      <c r="AI13" s="81" t="s">
        <v>21</v>
      </c>
      <c r="AJ13" s="214" t="str">
        <f t="shared" si="6"/>
        <v>-</v>
      </c>
      <c r="AK13" s="1505"/>
      <c r="AL13" s="1506"/>
      <c r="AM13" s="169"/>
      <c r="AN13" s="1507"/>
      <c r="AO13" s="1530"/>
      <c r="AQ13" s="10">
        <f t="shared" si="1"/>
        <v>0</v>
      </c>
      <c r="AR13" s="10">
        <f t="shared" si="2"/>
        <v>0</v>
      </c>
      <c r="AS13" s="10">
        <f t="shared" si="3"/>
        <v>0</v>
      </c>
      <c r="AT13" s="10">
        <f t="shared" si="4"/>
        <v>0</v>
      </c>
    </row>
    <row r="14" spans="1:46" ht="53.25" customHeight="1">
      <c r="A14" s="10">
        <f>DATA!A118</f>
        <v>89</v>
      </c>
      <c r="B14" s="10">
        <f>DATA!B118</f>
        <v>0</v>
      </c>
      <c r="C14" s="10" t="str">
        <f>DATA!D118</f>
        <v>INFRASTRUKTUR</v>
      </c>
      <c r="D14" s="10">
        <f>DATA!E118</f>
        <v>2</v>
      </c>
      <c r="E14" s="10" t="str">
        <f>DATA!F118</f>
        <v>PERUMNAS</v>
      </c>
      <c r="F14" s="10" t="str">
        <f>DATA!H118</f>
        <v>Program for Provision of Housing For Low-Income Households</v>
      </c>
      <c r="G14" s="10" t="str">
        <f>DATA!I118</f>
        <v>A</v>
      </c>
      <c r="H14" s="10" t="str">
        <f>DATA!J118</f>
        <v>Program Penyediaaan Perumahan Bagi MBR</v>
      </c>
      <c r="I14" s="10">
        <f>DATA!K118</f>
        <v>1</v>
      </c>
      <c r="J14" s="181"/>
      <c r="K14" s="54"/>
      <c r="L14" s="20"/>
      <c r="M14" s="36">
        <v>2</v>
      </c>
      <c r="N14" s="199" t="str">
        <f>DATA!L118</f>
        <v>Support for National Housing and Urban Development Cooperation</v>
      </c>
      <c r="O14" s="1402">
        <f>DATA!T118</f>
        <v>200000000</v>
      </c>
      <c r="P14" s="187">
        <f>DATA!U118</f>
        <v>200000000</v>
      </c>
      <c r="Q14" s="1446">
        <f>DATA!V118</f>
        <v>20000000</v>
      </c>
      <c r="R14" s="1446"/>
      <c r="S14" s="1447">
        <f t="shared" si="0"/>
        <v>220000000</v>
      </c>
      <c r="T14" s="1448"/>
      <c r="U14" s="1449" t="str">
        <f>DATA!Y118</f>
        <v>JICA</v>
      </c>
      <c r="V14" s="77">
        <f>DATA!AA118</f>
        <v>200000000</v>
      </c>
      <c r="W14" s="77"/>
      <c r="X14" s="1450" t="str">
        <f>DATA!Y118</f>
        <v>JICA</v>
      </c>
      <c r="Y14" s="109">
        <v>200000000</v>
      </c>
      <c r="Z14" s="109" t="s">
        <v>55</v>
      </c>
      <c r="AA14" s="1484" t="s">
        <v>879</v>
      </c>
      <c r="AB14" s="828"/>
      <c r="AC14" s="1485"/>
      <c r="AD14" s="1486"/>
      <c r="AE14" s="1486"/>
      <c r="AF14" s="1486"/>
      <c r="AG14" s="1508" t="s">
        <v>1183</v>
      </c>
      <c r="AH14" s="1509">
        <f>DATA!AT118</f>
        <v>200000000</v>
      </c>
      <c r="AI14" s="109" t="str">
        <f>DATA!AU118</f>
        <v>JICA</v>
      </c>
      <c r="AJ14" s="1544" t="str">
        <f>DATA!AW118</f>
        <v>-</v>
      </c>
      <c r="AK14" s="245">
        <f>DATA!AM118</f>
        <v>0</v>
      </c>
      <c r="AL14" s="1510" t="str">
        <f>DATA!AN118</f>
        <v>dalam proses
(memiliki FS dan DED)</v>
      </c>
      <c r="AM14" s="1511" t="str">
        <f>DATA!AO118</f>
        <v>siap</v>
      </c>
      <c r="AN14" s="1545">
        <f>DATA!AQ118</f>
        <v>0</v>
      </c>
      <c r="AO14" s="1547" t="str">
        <f>DATA!AR118</f>
        <v>belum ada dokumen R/C</v>
      </c>
      <c r="AQ14" s="10">
        <f t="shared" si="1"/>
        <v>0</v>
      </c>
      <c r="AR14" s="10">
        <f t="shared" si="2"/>
        <v>200000000</v>
      </c>
      <c r="AS14" s="10">
        <f t="shared" si="3"/>
        <v>0</v>
      </c>
      <c r="AT14" s="10">
        <f t="shared" si="4"/>
        <v>0</v>
      </c>
    </row>
    <row r="15" spans="1:46" s="3" customFormat="1" ht="30" customHeight="1">
      <c r="J15" s="3450" t="s">
        <v>477</v>
      </c>
      <c r="K15" s="3451"/>
      <c r="L15" s="3451"/>
      <c r="M15" s="3573"/>
      <c r="N15" s="3573"/>
      <c r="O15" s="282" t="e">
        <f>+O8+#REF!</f>
        <v>#REF!</v>
      </c>
      <c r="P15" s="278" t="e">
        <f>+P8+#REF!</f>
        <v>#REF!</v>
      </c>
      <c r="Q15" s="1460" t="e">
        <f>+Q8+#REF!</f>
        <v>#REF!</v>
      </c>
      <c r="R15" s="1460" t="e">
        <f>+R8+#REF!</f>
        <v>#REF!</v>
      </c>
      <c r="S15" s="288" t="e">
        <f t="shared" si="0"/>
        <v>#REF!</v>
      </c>
      <c r="T15" s="1461"/>
      <c r="U15" s="279"/>
      <c r="V15" s="280" t="e">
        <f>+V8+#REF!</f>
        <v>#REF!</v>
      </c>
      <c r="W15" s="280" t="e">
        <f>+W8+#REF!</f>
        <v>#REF!</v>
      </c>
      <c r="X15" s="287"/>
      <c r="Y15" s="280">
        <f>+Y8</f>
        <v>650000000</v>
      </c>
      <c r="Z15" s="280"/>
      <c r="AA15" s="280"/>
      <c r="AB15" s="1490"/>
      <c r="AC15" s="1490"/>
      <c r="AD15" s="1490"/>
      <c r="AE15" s="1490"/>
      <c r="AF15" s="1490"/>
      <c r="AG15" s="285"/>
      <c r="AH15" s="279" t="e">
        <f>+AH8+#REF!</f>
        <v>#REF!</v>
      </c>
      <c r="AI15" s="280" t="s">
        <v>21</v>
      </c>
      <c r="AJ15" s="280" t="s">
        <v>21</v>
      </c>
      <c r="AK15" s="1523"/>
      <c r="AL15" s="1524"/>
      <c r="AM15" s="1525"/>
      <c r="AN15" s="1526"/>
      <c r="AO15" s="1534"/>
      <c r="AP15" s="12"/>
      <c r="AQ15" s="1535">
        <f>SUM(AQ10:AQ14)</f>
        <v>0</v>
      </c>
      <c r="AR15" s="1535">
        <f>SUM(AR10:AR14)</f>
        <v>200000000</v>
      </c>
      <c r="AS15" s="1535">
        <f>SUM(AS10:AS14)</f>
        <v>0</v>
      </c>
      <c r="AT15" s="1535">
        <f>SUM(AT10:AT14)</f>
        <v>0</v>
      </c>
    </row>
    <row r="16" spans="1:46" s="12" customFormat="1">
      <c r="A16" s="10"/>
      <c r="B16" s="10"/>
      <c r="C16" s="10"/>
      <c r="D16" s="10"/>
      <c r="E16" s="10"/>
      <c r="F16" s="10"/>
      <c r="G16" s="10"/>
      <c r="H16" s="10"/>
      <c r="I16" s="10"/>
      <c r="J16" s="11"/>
      <c r="K16" s="10"/>
      <c r="L16" s="10"/>
      <c r="M16" s="1425"/>
      <c r="N16" s="1426"/>
      <c r="O16" s="13"/>
      <c r="P16" s="13"/>
      <c r="Q16" s="1395"/>
      <c r="R16" s="1395"/>
      <c r="S16" s="13"/>
      <c r="T16" s="13"/>
      <c r="U16" s="14"/>
      <c r="V16" s="13"/>
      <c r="W16" s="13"/>
      <c r="X16" s="13"/>
      <c r="Y16" s="13"/>
      <c r="Z16" s="13"/>
      <c r="AA16" s="13"/>
      <c r="AB16" s="13"/>
      <c r="AC16" s="13"/>
      <c r="AD16" s="13"/>
      <c r="AE16" s="13"/>
      <c r="AF16" s="13"/>
      <c r="AG16" s="13"/>
      <c r="AK16" s="14"/>
      <c r="AL16" s="14"/>
      <c r="AM16" s="14"/>
      <c r="AN16" s="14"/>
      <c r="AO16" s="175"/>
    </row>
    <row r="17" spans="1:42" s="12" customFormat="1">
      <c r="A17" s="10"/>
      <c r="B17" s="10"/>
      <c r="C17" s="10"/>
      <c r="D17" s="10"/>
      <c r="E17" s="10"/>
      <c r="F17" s="10"/>
      <c r="G17" s="10"/>
      <c r="H17" s="10"/>
      <c r="I17" s="10"/>
      <c r="J17" s="11"/>
      <c r="K17" s="10" t="s">
        <v>1111</v>
      </c>
      <c r="L17" s="10"/>
      <c r="M17" s="10"/>
      <c r="O17" s="13"/>
      <c r="P17" s="13"/>
      <c r="Q17" s="1395"/>
      <c r="R17" s="1395"/>
      <c r="S17" s="13"/>
      <c r="T17" s="13"/>
      <c r="U17" s="14"/>
      <c r="V17" s="13" t="e">
        <f>V15+W15</f>
        <v>#REF!</v>
      </c>
      <c r="W17" s="13"/>
      <c r="X17" s="13"/>
      <c r="Y17" s="13"/>
      <c r="Z17" s="13"/>
      <c r="AA17" s="13"/>
      <c r="AB17" s="13"/>
      <c r="AC17" s="13"/>
      <c r="AD17" s="13"/>
      <c r="AE17" s="13"/>
      <c r="AF17" s="13"/>
      <c r="AG17" s="13"/>
      <c r="AH17" s="289"/>
      <c r="AK17" s="14"/>
      <c r="AL17" s="14"/>
      <c r="AM17" s="14"/>
      <c r="AN17" s="14"/>
      <c r="AO17" s="175"/>
      <c r="AP17" s="10"/>
    </row>
    <row r="18" spans="1:42">
      <c r="V18" s="13" t="e">
        <f>V17-AH15</f>
        <v>#REF!</v>
      </c>
      <c r="Y18" s="13">
        <f>Y15+5809063500</f>
        <v>6459063500</v>
      </c>
      <c r="Z18" s="13" t="e">
        <f>Y15-#REF!</f>
        <v>#REF!</v>
      </c>
    </row>
    <row r="20" spans="1:42">
      <c r="AH20" s="289"/>
    </row>
    <row r="21" spans="1:42">
      <c r="Y21" s="13" t="e">
        <f>#REF!+#REF!+#REF!+#REF!+#REF!+#REF!+#REF!+#REF!+#REF!+#REF!+#REF!+#REF!+#REF!+#REF!+#REF!+#REF!+#REF!+#REF!+#REF!+Y11+#REF!+#REF!</f>
        <v>#REF!</v>
      </c>
      <c r="AP21" s="12"/>
    </row>
    <row r="22" spans="1:42" s="12" customFormat="1">
      <c r="A22" s="10"/>
      <c r="B22" s="10"/>
      <c r="C22" s="10"/>
      <c r="D22" s="10"/>
      <c r="E22" s="10"/>
      <c r="F22" s="10"/>
      <c r="G22" s="10"/>
      <c r="H22" s="10"/>
      <c r="I22" s="10"/>
      <c r="J22" s="11"/>
      <c r="K22" s="10"/>
      <c r="L22" s="10"/>
      <c r="M22" s="10"/>
      <c r="O22" s="13"/>
      <c r="P22" s="13"/>
      <c r="Q22" s="1395"/>
      <c r="R22" s="1395"/>
      <c r="S22" s="13"/>
      <c r="T22" s="13"/>
      <c r="U22" s="14"/>
      <c r="V22" s="13"/>
      <c r="W22" s="13"/>
      <c r="X22" s="13"/>
      <c r="Y22" s="13"/>
      <c r="Z22" s="13"/>
      <c r="AA22" s="13"/>
      <c r="AB22" s="13"/>
      <c r="AC22" s="13"/>
      <c r="AD22" s="13"/>
      <c r="AE22" s="13"/>
      <c r="AF22" s="13"/>
      <c r="AG22" s="13"/>
      <c r="AI22" s="289"/>
      <c r="AK22" s="14"/>
      <c r="AL22" s="14"/>
      <c r="AM22" s="14"/>
      <c r="AN22" s="14"/>
      <c r="AO22" s="175"/>
    </row>
    <row r="23" spans="1:42" s="12" customFormat="1">
      <c r="A23" s="10"/>
      <c r="B23" s="10"/>
      <c r="C23" s="10"/>
      <c r="D23" s="10"/>
      <c r="E23" s="10"/>
      <c r="F23" s="10"/>
      <c r="G23" s="10"/>
      <c r="H23" s="10"/>
      <c r="I23" s="10"/>
      <c r="J23" s="11"/>
      <c r="K23" s="10"/>
      <c r="L23" s="10"/>
      <c r="M23" s="10"/>
      <c r="O23" s="13"/>
      <c r="P23" s="13"/>
      <c r="Q23" s="1395"/>
      <c r="R23" s="1395"/>
      <c r="S23" s="13"/>
      <c r="T23" s="13"/>
      <c r="U23" s="14"/>
      <c r="V23" s="13"/>
      <c r="W23" s="13"/>
      <c r="X23" s="13"/>
      <c r="Y23" s="13" t="e">
        <f>#REF!+#REF!+#REF!+#REF!+#REF!+#REF!+#REF!+#REF!+#REF!+#REF!+#REF!+#REF!+#REF!+#REF!+#REF!+#REF!+#REF!+#REF!+Y11+#REF!+#REF!+#REF!+#REF!+#REF!+#REF!+#REF!+#REF!+71100000</f>
        <v>#REF!</v>
      </c>
      <c r="Z23" s="13"/>
      <c r="AA23" s="13"/>
      <c r="AB23" s="13"/>
      <c r="AC23" s="13"/>
      <c r="AD23" s="13"/>
      <c r="AE23" s="13"/>
      <c r="AF23" s="13"/>
      <c r="AG23" s="13"/>
      <c r="AH23" s="289"/>
      <c r="AK23" s="14"/>
      <c r="AL23" s="14"/>
      <c r="AM23" s="14"/>
      <c r="AN23" s="14"/>
      <c r="AO23" s="175"/>
      <c r="AP23" s="1536"/>
    </row>
    <row r="24" spans="1:42" s="12" customFormat="1">
      <c r="A24" s="10"/>
      <c r="B24" s="10"/>
      <c r="C24" s="10"/>
      <c r="D24" s="10"/>
      <c r="E24" s="10"/>
      <c r="F24" s="10"/>
      <c r="G24" s="10"/>
      <c r="H24" s="10"/>
      <c r="I24" s="10"/>
      <c r="J24" s="11"/>
      <c r="K24" s="10"/>
      <c r="L24" s="10"/>
      <c r="M24" s="10"/>
      <c r="O24" s="13"/>
      <c r="P24" s="13"/>
      <c r="Q24" s="1395"/>
      <c r="R24" s="1395"/>
      <c r="S24" s="13"/>
      <c r="T24" s="13"/>
      <c r="U24" s="14"/>
      <c r="V24" s="13"/>
      <c r="W24" s="13"/>
      <c r="X24" s="13"/>
      <c r="Y24" s="13"/>
      <c r="Z24" s="13"/>
      <c r="AA24" s="13"/>
      <c r="AB24" s="13"/>
      <c r="AC24" s="13"/>
      <c r="AD24" s="13"/>
      <c r="AE24" s="13"/>
      <c r="AF24" s="13"/>
      <c r="AG24" s="13"/>
      <c r="AK24" s="14"/>
      <c r="AL24" s="14"/>
      <c r="AM24" s="14"/>
      <c r="AN24" s="14"/>
      <c r="AO24" s="175"/>
      <c r="AP24" s="10"/>
    </row>
  </sheetData>
  <autoFilter ref="A7:AO15"/>
  <mergeCells count="20">
    <mergeCell ref="J15:N15"/>
    <mergeCell ref="O5:O6"/>
    <mergeCell ref="P5:P6"/>
    <mergeCell ref="Q5:Q6"/>
    <mergeCell ref="R5:R6"/>
    <mergeCell ref="J5:N6"/>
    <mergeCell ref="J1:AO1"/>
    <mergeCell ref="J2:AO2"/>
    <mergeCell ref="U4:AJ4"/>
    <mergeCell ref="AK4:AO4"/>
    <mergeCell ref="U5:X5"/>
    <mergeCell ref="AB5:AF5"/>
    <mergeCell ref="AH5:AJ5"/>
    <mergeCell ref="AK5:AO5"/>
    <mergeCell ref="S5:S6"/>
    <mergeCell ref="T5:T6"/>
    <mergeCell ref="Y5:Y6"/>
    <mergeCell ref="Z5:Z6"/>
    <mergeCell ref="AA5:AA6"/>
    <mergeCell ref="AG5:AG6"/>
  </mergeCells>
  <printOptions horizontalCentered="1"/>
  <pageMargins left="0.39305555555555599" right="0.39305555555555599" top="0.39305555555555599" bottom="0.39305555555555599" header="0.31458333333333299" footer="0.196527777777778"/>
  <pageSetup paperSize="9" scale="37" fitToHeight="0" orientation="portrait"/>
  <headerFooter>
    <oddFooter>&amp;R&amp;"Cambria,Italic"&amp;9&amp;P/&amp;N</oddFooter>
  </headerFooter>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249977111117893"/>
    <pageSetUpPr fitToPage="1"/>
  </sheetPr>
  <dimension ref="A1:AT27"/>
  <sheetViews>
    <sheetView topLeftCell="J1" zoomScale="70" zoomScaleNormal="70" workbookViewId="0">
      <pane ySplit="7" topLeftCell="A8" activePane="bottomLeft" state="frozen"/>
      <selection pane="bottomLeft" activeCell="Z11" sqref="Z11"/>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1343</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[5]DATA!B2</f>
        <v>I</v>
      </c>
      <c r="K8" s="22" t="str">
        <f>[5]DATA!D2</f>
        <v>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f>
        <v>3076980000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24.95" customHeight="1">
      <c r="J9" s="179"/>
      <c r="K9" s="25">
        <f>[5]DATA!E2</f>
        <v>1</v>
      </c>
      <c r="L9" s="26" t="str">
        <f>[5]DATA!F2</f>
        <v>Kementerian Pekerjaan Umum dan Perumahan Rakyat</v>
      </c>
      <c r="M9" s="26"/>
      <c r="N9" s="1416"/>
      <c r="O9" s="213" t="e">
        <f>#REF!+#REF!+#REF!+#REF!+#REF!+#REF!+O10+O15+#REF!+#REF!+#REF!+#REF!+#REF!+#REF!+#REF!</f>
        <v>#REF!</v>
      </c>
      <c r="P9" s="194" t="e">
        <f>+#REF!+#REF!+#REF!+#REF!+#REF!+#REF!+P10+P15+#REF!+#REF!+#REF!+#REF!+#REF!+#REF!+#REF!</f>
        <v>#REF!</v>
      </c>
      <c r="Q9" s="194" t="e">
        <f>+#REF!+#REF!+#REF!+#REF!+#REF!+#REF!+Q10+Q15+#REF!+#REF!+#REF!+#REF!+#REF!+#REF!+#REF!</f>
        <v>#REF!</v>
      </c>
      <c r="R9" s="194" t="e">
        <f>+#REF!+#REF!+#REF!+#REF!+#REF!+#REF!+R10+R15+#REF!+#REF!+#REF!+#REF!+#REF!+#REF!+#REF!</f>
        <v>#REF!</v>
      </c>
      <c r="S9" s="242" t="e">
        <f>+#REF!+#REF!+#REF!+#REF!+#REF!+#REF!+S10+S15+#REF!+#REF!+#REF!+#REF!+#REF!+#REF!+#REF!</f>
        <v>#REF!</v>
      </c>
      <c r="T9" s="1538"/>
      <c r="U9" s="195"/>
      <c r="V9" s="80" t="e">
        <f>+#REF!+#REF!+#REF!+#REF!+#REF!+#REF!+V10+V15+#REF!+#REF!+#REF!+#REF!+#REF!+#REF!+#REF!</f>
        <v>#REF!</v>
      </c>
      <c r="W9" s="80" t="e">
        <f>+#REF!+#REF!+#REF!+#REF!+#REF!+#REF!+W10+W15+#REF!+#REF!+#REF!+#REF!+#REF!+#REF!+#REF!</f>
        <v>#REF!</v>
      </c>
      <c r="X9" s="241" t="e">
        <f>+#REF!+#REF!+#REF!+#REF!+#REF!+#REF!+X10+#REF!+#REF!+#REF!+#REF!+#REF!+#REF!</f>
        <v>#REF!</v>
      </c>
      <c r="Y9" s="80">
        <f>+Y10+Y15</f>
        <v>3076980000</v>
      </c>
      <c r="Z9" s="80"/>
      <c r="AA9" s="226"/>
      <c r="AB9" s="1465"/>
      <c r="AC9" s="1465"/>
      <c r="AD9" s="1465"/>
      <c r="AE9" s="1465"/>
      <c r="AF9" s="1465"/>
      <c r="AG9" s="1540"/>
      <c r="AH9" s="195" t="e">
        <f>+#REF!+#REF!+#REF!+#REF!+#REF!+#REF!+AH10+AH15+#REF!+#REF!+#REF!+#REF!+#REF!+#REF!+#REF!</f>
        <v>#REF!</v>
      </c>
      <c r="AI9" s="80" t="s">
        <v>21</v>
      </c>
      <c r="AJ9" s="213"/>
      <c r="AK9" s="1501"/>
      <c r="AL9" s="1541"/>
      <c r="AM9" s="1542"/>
      <c r="AN9" s="1543"/>
      <c r="AO9" s="1546"/>
    </row>
    <row r="10" spans="1:46" s="5" customFormat="1" ht="33.75" customHeight="1">
      <c r="J10" s="180"/>
      <c r="K10" s="50"/>
      <c r="L10" s="30" t="str">
        <f>[5]DATA!I56</f>
        <v>G</v>
      </c>
      <c r="M10" s="31" t="str">
        <f>[5]DATA!J56</f>
        <v>Program Penanganan Kumuh</v>
      </c>
      <c r="N10" s="1419"/>
      <c r="O10" s="214" t="e">
        <f>O11+#REF!+O13+O14</f>
        <v>#REF!</v>
      </c>
      <c r="P10" s="197" t="e">
        <f>P11+#REF!+P13+P14</f>
        <v>#REF!</v>
      </c>
      <c r="Q10" s="1567">
        <f>SUM(Q11:Q14)</f>
        <v>128105000</v>
      </c>
      <c r="R10" s="1567" t="e">
        <f>R11+#REF!+R13+R14</f>
        <v>#REF!</v>
      </c>
      <c r="S10" s="244" t="e">
        <f t="shared" ref="S10:S11" si="0">P10+Q10+R10</f>
        <v>#REF!</v>
      </c>
      <c r="T10" s="1437"/>
      <c r="U10" s="198"/>
      <c r="V10" s="81" t="e">
        <f>V11+V12+#REF!+V13+V14</f>
        <v>#REF!</v>
      </c>
      <c r="W10" s="81" t="e">
        <f>W11+W12+#REF!+W13+W14</f>
        <v>#REF!</v>
      </c>
      <c r="X10" s="243"/>
      <c r="Y10" s="81">
        <f>Y11+Y12+Y13+Y14</f>
        <v>2851980000</v>
      </c>
      <c r="Z10" s="81"/>
      <c r="AA10" s="1469"/>
      <c r="AB10" s="1470"/>
      <c r="AC10" s="1471"/>
      <c r="AD10" s="1472"/>
      <c r="AE10" s="1472"/>
      <c r="AF10" s="1472"/>
      <c r="AG10" s="1504"/>
      <c r="AH10" s="198" t="e">
        <f>AH11+#REF!+#REF!+AH12+AH13+AH14</f>
        <v>#REF!</v>
      </c>
      <c r="AI10" s="81" t="s">
        <v>21</v>
      </c>
      <c r="AJ10" s="214"/>
      <c r="AK10" s="1505"/>
      <c r="AL10" s="1506"/>
      <c r="AM10" s="169"/>
      <c r="AN10" s="1507"/>
      <c r="AO10" s="1530"/>
      <c r="AQ10" s="10">
        <f t="shared" ref="AQ10:AQ17" si="1">IF(Z10="RRT",Y10,0)</f>
        <v>0</v>
      </c>
      <c r="AR10" s="10">
        <f t="shared" ref="AR10:AR17" si="2">IF(Z10="JICA",Y10,0)</f>
        <v>0</v>
      </c>
      <c r="AS10" s="10">
        <f t="shared" ref="AS10:AS17" si="3">IF(Z10="Belum ada indikasi",Y10,0)</f>
        <v>0</v>
      </c>
      <c r="AT10" s="10">
        <f t="shared" ref="AT10:AT17" si="4">IF(Z10="Korea",Y10,0)</f>
        <v>0</v>
      </c>
    </row>
    <row r="11" spans="1:46" ht="115.5" customHeight="1">
      <c r="A11" s="10">
        <f>[5]DATA!A56</f>
        <v>45</v>
      </c>
      <c r="B11" s="10" t="e">
        <f>[5]DATA!B56</f>
        <v>#REF!</v>
      </c>
      <c r="C11" s="10" t="str">
        <f>[5]DATA!D56</f>
        <v>INFRASTRUKTUR</v>
      </c>
      <c r="D11" s="10">
        <f>[5]DATA!E56</f>
        <v>1</v>
      </c>
      <c r="E11" s="10" t="str">
        <f>[5]DATA!F56</f>
        <v>Kementerian Pekerjaan Umum dan Perumahan Rakyat</v>
      </c>
      <c r="F11" s="10" t="str">
        <f>[5]DATA!H56</f>
        <v>Slum Alleviation Program</v>
      </c>
      <c r="G11" s="10" t="str">
        <f>[5]DATA!I56</f>
        <v>G</v>
      </c>
      <c r="H11" s="10" t="str">
        <f>[5]DATA!J56</f>
        <v>Program Penanganan Kumuh</v>
      </c>
      <c r="I11" s="10">
        <f>[5]DATA!K56</f>
        <v>1</v>
      </c>
      <c r="J11" s="181"/>
      <c r="K11" s="34"/>
      <c r="L11" s="35"/>
      <c r="M11" s="36">
        <v>1</v>
      </c>
      <c r="N11" s="199" t="str">
        <f>[5]DATA!L56</f>
        <v>Slum Improvement in Strategic Human Settlements Area (SISHA)</v>
      </c>
      <c r="O11" s="1402">
        <f>[5]DATA!T56</f>
        <v>2100000000</v>
      </c>
      <c r="P11" s="187">
        <f>[5]DATA!U56</f>
        <v>2100000000</v>
      </c>
      <c r="Q11" s="1446">
        <f>[5]DATA!V56</f>
        <v>105000000</v>
      </c>
      <c r="R11" s="1446">
        <f>[5]DATA!W56</f>
        <v>0</v>
      </c>
      <c r="S11" s="1447">
        <f t="shared" si="0"/>
        <v>2205000000</v>
      </c>
      <c r="T11" s="1448"/>
      <c r="U11" s="1509" t="str">
        <f>[5]DATA!Y56</f>
        <v>Bank Dunia/JICA/ADB</v>
      </c>
      <c r="V11" s="77">
        <f>[5]DATA!AA56</f>
        <v>2100000000</v>
      </c>
      <c r="W11" s="77">
        <v>0</v>
      </c>
      <c r="X11" s="1450" t="str">
        <f>[5]DATA!Y56</f>
        <v>Bank Dunia/JICA/ADB</v>
      </c>
      <c r="Y11" s="109">
        <v>2100000000</v>
      </c>
      <c r="Z11" s="109" t="s">
        <v>1063</v>
      </c>
      <c r="AA11" s="1484" t="s">
        <v>1160</v>
      </c>
      <c r="AB11" s="828"/>
      <c r="AC11" s="1485"/>
      <c r="AD11" s="1486"/>
      <c r="AE11" s="1486"/>
      <c r="AF11" s="1486"/>
      <c r="AG11" s="3253" t="s">
        <v>1180</v>
      </c>
      <c r="AH11" s="1509">
        <f>[5]DATA!AT56</f>
        <v>2100000000</v>
      </c>
      <c r="AI11" s="109" t="str">
        <f>[5]DATA!AU56</f>
        <v>Belum Ada Indikasi</v>
      </c>
      <c r="AJ11" s="1544" t="str">
        <f>[5]DATA!AW56</f>
        <v>- usulan K/L lender: Bank Dunia/JICA/ADB.
- Pihak Bank Dunia, ADB dan JICA tidak berminat.</v>
      </c>
      <c r="AK11" s="245" t="e">
        <f>[5]DATA!AM56</f>
        <v>#REF!</v>
      </c>
      <c r="AL11" s="1510" t="str">
        <f>[5]DATA!AN56</f>
        <v>dalam proses
(penyusunan FS)</v>
      </c>
      <c r="AM11" s="1511" t="str">
        <f>[5]DATA!AO56</f>
        <v>dalam proses
(perencanaan)</v>
      </c>
      <c r="AN11" s="1545" t="e">
        <f>[5]DATA!AQ56</f>
        <v>#REF!</v>
      </c>
      <c r="AO11" s="1533" t="str">
        <f>[5]DATA!AP56</f>
        <v>belum ada proses tender/lelang</v>
      </c>
      <c r="AQ11" s="10">
        <f t="shared" si="1"/>
        <v>0</v>
      </c>
      <c r="AR11" s="10">
        <f t="shared" si="2"/>
        <v>0</v>
      </c>
      <c r="AS11" s="10">
        <f t="shared" si="3"/>
        <v>0</v>
      </c>
      <c r="AT11" s="10">
        <f t="shared" si="4"/>
        <v>0</v>
      </c>
    </row>
    <row r="12" spans="1:46" ht="23.25" customHeight="1">
      <c r="J12" s="181"/>
      <c r="K12" s="34"/>
      <c r="L12" s="34"/>
      <c r="M12" s="189">
        <v>2</v>
      </c>
      <c r="N12" s="1556" t="str">
        <f>[5]DATA!L59</f>
        <v>National Slum Upgrading</v>
      </c>
      <c r="O12" s="1665">
        <v>289880000</v>
      </c>
      <c r="P12" s="1666">
        <v>289880000</v>
      </c>
      <c r="Q12" s="1599"/>
      <c r="R12" s="1599"/>
      <c r="S12" s="1442"/>
      <c r="T12" s="1443"/>
      <c r="U12" s="1432"/>
      <c r="V12" s="1458">
        <f>[5]DATA!AA61</f>
        <v>289880000</v>
      </c>
      <c r="W12" s="1458">
        <v>0</v>
      </c>
      <c r="X12" s="1441" t="str">
        <f>[5]DATA!Y61</f>
        <v>Belum Ada Indikasi</v>
      </c>
      <c r="Y12" s="109">
        <v>289880000</v>
      </c>
      <c r="Z12" s="109" t="s">
        <v>1154</v>
      </c>
      <c r="AA12" s="1484" t="s">
        <v>879</v>
      </c>
      <c r="AB12" s="828"/>
      <c r="AC12" s="1485"/>
      <c r="AD12" s="1486"/>
      <c r="AE12" s="1486"/>
      <c r="AF12" s="1486"/>
      <c r="AG12" s="1514"/>
      <c r="AH12" s="1509">
        <f>[5]DATA!AT61</f>
        <v>289880000</v>
      </c>
      <c r="AI12" s="109" t="str">
        <f>[5]DATA!AU61</f>
        <v>Belum Ada Indikasi</v>
      </c>
      <c r="AJ12" s="1520" t="str">
        <f>[5]DATA!AW61</f>
        <v>co-financing dengan IDB (USD 329,7 juta), Bank Dunia (USD 216,5 juta) &amp; AIIB (USD 216,5 juta)</v>
      </c>
      <c r="AK12" s="245" t="str">
        <f>[5]DATA!AM61</f>
        <v>-</v>
      </c>
      <c r="AL12" s="1510" t="str">
        <f>[5]DATA!AN61</f>
        <v>belum ada keterangan</v>
      </c>
      <c r="AM12" s="1511" t="str">
        <f>[5]DATA!AO61</f>
        <v>belum ada keterangan</v>
      </c>
      <c r="AN12" s="1545" t="e">
        <f>[5]DATA!AQ61</f>
        <v>#REF!</v>
      </c>
      <c r="AO12" s="1533" t="str">
        <f>[5]DATA!AP61</f>
        <v>belum ada proses tender/lelang</v>
      </c>
      <c r="AQ12" s="10">
        <f t="shared" si="1"/>
        <v>0</v>
      </c>
      <c r="AR12" s="10">
        <f t="shared" si="2"/>
        <v>0</v>
      </c>
      <c r="AS12" s="10">
        <f t="shared" si="3"/>
        <v>0</v>
      </c>
      <c r="AT12" s="10">
        <f t="shared" si="4"/>
        <v>0</v>
      </c>
    </row>
    <row r="13" spans="1:46" ht="27" customHeight="1">
      <c r="A13" s="10">
        <f>[5]DATA!A62</f>
        <v>48</v>
      </c>
      <c r="B13" s="10" t="e">
        <f>[5]DATA!B62</f>
        <v>#REF!</v>
      </c>
      <c r="C13" s="10" t="str">
        <f>[5]DATA!D62</f>
        <v>INFRASTRUKTUR</v>
      </c>
      <c r="D13" s="10">
        <f>[5]DATA!E62</f>
        <v>1</v>
      </c>
      <c r="E13" s="10" t="str">
        <f>[5]DATA!F62</f>
        <v>Kementerian Pekerjaan Umum dan Perumahan Rakyat</v>
      </c>
      <c r="F13" s="10" t="str">
        <f>[5]DATA!H62</f>
        <v>Slum Alleviation Program</v>
      </c>
      <c r="G13" s="10" t="str">
        <f>[5]DATA!I62</f>
        <v>G</v>
      </c>
      <c r="H13" s="10" t="str">
        <f>[5]DATA!J62</f>
        <v>Program Penanganan Kumuh</v>
      </c>
      <c r="I13" s="10">
        <f>[5]DATA!K62</f>
        <v>3</v>
      </c>
      <c r="J13" s="181"/>
      <c r="K13" s="34"/>
      <c r="L13" s="34"/>
      <c r="M13" s="36">
        <v>3</v>
      </c>
      <c r="N13" s="199" t="str">
        <f>[5]DATA!L62</f>
        <v>Rural Settlement Infrastructure Development (RSID)</v>
      </c>
      <c r="O13" s="1402">
        <f>[5]DATA!T62</f>
        <v>201000000</v>
      </c>
      <c r="P13" s="187">
        <f>[5]DATA!U62</f>
        <v>201000000</v>
      </c>
      <c r="Q13" s="1453">
        <f>[5]DATA!V62</f>
        <v>10050000</v>
      </c>
      <c r="R13" s="1453">
        <f>[5]DATA!W62</f>
        <v>0</v>
      </c>
      <c r="S13" s="1447">
        <f t="shared" ref="S13:S16" si="5">P13+Q13+R13</f>
        <v>211050000</v>
      </c>
      <c r="T13" s="1448"/>
      <c r="U13" s="1449" t="str">
        <f>[5]DATA!Y62</f>
        <v>JICA</v>
      </c>
      <c r="V13" s="77">
        <f>[5]DATA!AA62</f>
        <v>201000000</v>
      </c>
      <c r="W13" s="77">
        <v>0</v>
      </c>
      <c r="X13" s="1450" t="str">
        <f>[5]DATA!Y62</f>
        <v>JICA</v>
      </c>
      <c r="Y13" s="109">
        <v>201000000</v>
      </c>
      <c r="Z13" s="109" t="s">
        <v>55</v>
      </c>
      <c r="AA13" s="1473" t="s">
        <v>1181</v>
      </c>
      <c r="AB13" s="1474"/>
      <c r="AC13" s="1475"/>
      <c r="AD13" s="1476"/>
      <c r="AE13" s="1476"/>
      <c r="AF13" s="1476"/>
      <c r="AG13" s="1508" t="s">
        <v>1182</v>
      </c>
      <c r="AH13" s="1509">
        <f>[5]DATA!AT62</f>
        <v>201000000</v>
      </c>
      <c r="AI13" s="109" t="str">
        <f>[5]DATA!AU62</f>
        <v>JICA</v>
      </c>
      <c r="AJ13" s="1544" t="str">
        <f>[5]DATA!AW62</f>
        <v>-</v>
      </c>
      <c r="AK13" s="245" t="e">
        <f>[5]DATA!AM62</f>
        <v>#REF!</v>
      </c>
      <c r="AL13" s="1510" t="str">
        <f>[5]DATA!AN62</f>
        <v>dalam proses
(penyusunan FS)</v>
      </c>
      <c r="AM13" s="1511" t="str">
        <f>[5]DATA!AO62</f>
        <v>dalam proses
(perencanaan)</v>
      </c>
      <c r="AN13" s="1545" t="e">
        <f>[5]DATA!AQ62</f>
        <v>#REF!</v>
      </c>
      <c r="AO13" s="1533" t="str">
        <f>[5]DATA!AR62</f>
        <v>belum ada dokumen R/C</v>
      </c>
      <c r="AQ13" s="10">
        <f t="shared" si="1"/>
        <v>0</v>
      </c>
      <c r="AR13" s="10">
        <f t="shared" si="2"/>
        <v>201000000</v>
      </c>
      <c r="AS13" s="10">
        <f t="shared" si="3"/>
        <v>0</v>
      </c>
      <c r="AT13" s="10">
        <f t="shared" si="4"/>
        <v>0</v>
      </c>
    </row>
    <row r="14" spans="1:46" ht="51" customHeight="1">
      <c r="A14" s="10">
        <f>[5]DATA!A63</f>
        <v>49</v>
      </c>
      <c r="B14" s="10" t="e">
        <f>[5]DATA!B63</f>
        <v>#REF!</v>
      </c>
      <c r="C14" s="10" t="str">
        <f>[5]DATA!D63</f>
        <v>INFRASTRUKTUR</v>
      </c>
      <c r="D14" s="10">
        <f>[5]DATA!E63</f>
        <v>1</v>
      </c>
      <c r="E14" s="10" t="str">
        <f>[5]DATA!F63</f>
        <v>Kementerian Pekerjaan Umum dan Perumahan Rakyat</v>
      </c>
      <c r="F14" s="10" t="str">
        <f>[5]DATA!H63</f>
        <v>Slum Alleviation Program</v>
      </c>
      <c r="G14" s="10" t="str">
        <f>[5]DATA!I63</f>
        <v>G</v>
      </c>
      <c r="H14" s="10" t="str">
        <f>[5]DATA!J63</f>
        <v>Program Penanganan Kumuh</v>
      </c>
      <c r="I14" s="10">
        <f>[5]DATA!K63</f>
        <v>4</v>
      </c>
      <c r="J14" s="181"/>
      <c r="K14" s="34"/>
      <c r="L14" s="54"/>
      <c r="M14" s="36">
        <v>4</v>
      </c>
      <c r="N14" s="199" t="str">
        <f>[5]DATA!L63</f>
        <v>Building Administration and Capacity Enforcement Development for Seismic Resilience</v>
      </c>
      <c r="O14" s="1402">
        <f>[5]DATA!T63</f>
        <v>261100000</v>
      </c>
      <c r="P14" s="187">
        <f>[5]DATA!U63</f>
        <v>261100000</v>
      </c>
      <c r="Q14" s="1453">
        <f>[5]DATA!V63</f>
        <v>13055000</v>
      </c>
      <c r="R14" s="1453">
        <f>[5]DATA!W63</f>
        <v>0</v>
      </c>
      <c r="S14" s="1447">
        <f t="shared" si="5"/>
        <v>274155000</v>
      </c>
      <c r="T14" s="1448"/>
      <c r="U14" s="1449" t="str">
        <f>[5]DATA!Y63</f>
        <v>JICA</v>
      </c>
      <c r="V14" s="77">
        <f>[5]DATA!AA63</f>
        <v>261100000</v>
      </c>
      <c r="W14" s="77">
        <v>0</v>
      </c>
      <c r="X14" s="1450" t="str">
        <f>[5]DATA!Y63</f>
        <v>JICA</v>
      </c>
      <c r="Y14" s="109">
        <v>261100000</v>
      </c>
      <c r="Z14" s="109" t="s">
        <v>55</v>
      </c>
      <c r="AA14" s="1484" t="s">
        <v>879</v>
      </c>
      <c r="AB14" s="828"/>
      <c r="AC14" s="1485"/>
      <c r="AD14" s="1486"/>
      <c r="AE14" s="1486"/>
      <c r="AF14" s="1486"/>
      <c r="AG14" s="1508" t="s">
        <v>1183</v>
      </c>
      <c r="AH14" s="1509">
        <f>[5]DATA!AT63</f>
        <v>261100000</v>
      </c>
      <c r="AI14" s="109" t="str">
        <f>[5]DATA!AU63</f>
        <v>JICA</v>
      </c>
      <c r="AJ14" s="1544" t="str">
        <f>[5]DATA!AW63</f>
        <v>-</v>
      </c>
      <c r="AK14" s="245" t="e">
        <f>[5]DATA!AM63</f>
        <v>#REF!</v>
      </c>
      <c r="AL14" s="1510" t="str">
        <f>[5]DATA!AN63</f>
        <v>dalam proses
(penyusunan FS)</v>
      </c>
      <c r="AM14" s="1511" t="str">
        <f>[5]DATA!AO63</f>
        <v>tidak butuh lahan</v>
      </c>
      <c r="AN14" s="1545" t="e">
        <f>[5]DATA!AQ63</f>
        <v>#REF!</v>
      </c>
      <c r="AO14" s="1533" t="str">
        <f>[5]DATA!AR63</f>
        <v>belum ada dokumen R/C</v>
      </c>
      <c r="AQ14" s="10">
        <f t="shared" si="1"/>
        <v>0</v>
      </c>
      <c r="AR14" s="10">
        <f t="shared" si="2"/>
        <v>261100000</v>
      </c>
      <c r="AS14" s="10">
        <f t="shared" si="3"/>
        <v>0</v>
      </c>
      <c r="AT14" s="10">
        <f t="shared" si="4"/>
        <v>0</v>
      </c>
    </row>
    <row r="15" spans="1:46" ht="33.75" customHeight="1">
      <c r="J15" s="181"/>
      <c r="K15" s="34"/>
      <c r="L15" s="30" t="s">
        <v>161</v>
      </c>
      <c r="M15" s="31" t="s">
        <v>750</v>
      </c>
      <c r="N15" s="1419"/>
      <c r="O15" s="1667">
        <f>O16</f>
        <v>0</v>
      </c>
      <c r="P15" s="197">
        <f>P16</f>
        <v>225000000</v>
      </c>
      <c r="Q15" s="1436">
        <f>Q16</f>
        <v>25000000</v>
      </c>
      <c r="R15" s="1436">
        <f>R16</f>
        <v>0</v>
      </c>
      <c r="S15" s="244">
        <f t="shared" si="5"/>
        <v>250000000</v>
      </c>
      <c r="T15" s="1437"/>
      <c r="U15" s="198"/>
      <c r="V15" s="81">
        <f>V16</f>
        <v>0</v>
      </c>
      <c r="W15" s="81">
        <f>W16</f>
        <v>225000000</v>
      </c>
      <c r="X15" s="243"/>
      <c r="Y15" s="81">
        <f>SUM(Y16:Y17)</f>
        <v>225000000</v>
      </c>
      <c r="Z15" s="81"/>
      <c r="AA15" s="1469"/>
      <c r="AB15" s="1470"/>
      <c r="AC15" s="1471"/>
      <c r="AD15" s="1472"/>
      <c r="AE15" s="1472"/>
      <c r="AF15" s="1472"/>
      <c r="AG15" s="1504"/>
      <c r="AH15" s="198">
        <f>AH16</f>
        <v>225000000</v>
      </c>
      <c r="AI15" s="81" t="s">
        <v>21</v>
      </c>
      <c r="AJ15" s="214"/>
      <c r="AK15" s="1505"/>
      <c r="AL15" s="1506"/>
      <c r="AM15" s="169"/>
      <c r="AN15" s="1507"/>
      <c r="AO15" s="1530"/>
      <c r="AQ15" s="10">
        <f t="shared" si="1"/>
        <v>0</v>
      </c>
      <c r="AR15" s="10">
        <f t="shared" si="2"/>
        <v>0</v>
      </c>
      <c r="AS15" s="10">
        <f t="shared" si="3"/>
        <v>0</v>
      </c>
      <c r="AT15" s="10">
        <f t="shared" si="4"/>
        <v>0</v>
      </c>
    </row>
    <row r="16" spans="1:46" ht="49.5" customHeight="1">
      <c r="J16" s="181"/>
      <c r="K16" s="34"/>
      <c r="L16" s="54"/>
      <c r="M16" s="36">
        <v>5</v>
      </c>
      <c r="N16" s="199" t="str">
        <f>[5]DATA!L64</f>
        <v>National Urban Development Project</v>
      </c>
      <c r="O16" s="1668">
        <f>[5]DATA!T64</f>
        <v>0</v>
      </c>
      <c r="P16" s="1669">
        <f>[5]DATA!U64</f>
        <v>225000000</v>
      </c>
      <c r="Q16" s="1669">
        <f>[5]DATA!V64</f>
        <v>25000000</v>
      </c>
      <c r="R16" s="1669">
        <f>[5]DATA!W64</f>
        <v>0</v>
      </c>
      <c r="S16" s="1447">
        <f t="shared" si="5"/>
        <v>250000000</v>
      </c>
      <c r="T16" s="1448"/>
      <c r="U16" s="1449"/>
      <c r="V16" s="77">
        <v>0</v>
      </c>
      <c r="W16" s="77">
        <f>[5]DATA!AA64</f>
        <v>225000000</v>
      </c>
      <c r="X16" s="1450" t="str">
        <f>[5]DATA!Y64</f>
        <v>Belum Ada Indikasi</v>
      </c>
      <c r="Y16" s="618">
        <v>49610000</v>
      </c>
      <c r="Z16" s="109" t="s">
        <v>62</v>
      </c>
      <c r="AA16" s="3254" t="s">
        <v>1184</v>
      </c>
      <c r="AB16" s="1474"/>
      <c r="AC16" s="1475"/>
      <c r="AD16" s="1476"/>
      <c r="AE16" s="1476"/>
      <c r="AF16" s="1476"/>
      <c r="AG16" s="1514"/>
      <c r="AH16" s="1509">
        <f>[5]DATA!AT64</f>
        <v>225000000</v>
      </c>
      <c r="AI16" s="1509" t="str">
        <f>[5]DATA!AU64</f>
        <v>Belum Ada Indikasi</v>
      </c>
      <c r="AJ16" s="1544" t="e">
        <f>[5]DATA!AW64</f>
        <v>#REF!</v>
      </c>
      <c r="AK16" s="245" t="e">
        <f>[5]DATA!AM64</f>
        <v>#REF!</v>
      </c>
      <c r="AL16" s="1510" t="str">
        <f>[5]DATA!AN64</f>
        <v>belum ada keterangan</v>
      </c>
      <c r="AM16" s="1511" t="str">
        <f>[5]DATA!AO64</f>
        <v>belum ada keterangan</v>
      </c>
      <c r="AN16" s="1545" t="e">
        <f>[5]DATA!AQ64</f>
        <v>#REF!</v>
      </c>
      <c r="AO16" s="1533" t="str">
        <f>[5]DATA!AR64</f>
        <v>belum ada dokumen R/C</v>
      </c>
      <c r="AQ16" s="10">
        <f t="shared" si="1"/>
        <v>0</v>
      </c>
      <c r="AR16" s="10">
        <f t="shared" si="2"/>
        <v>0</v>
      </c>
      <c r="AS16" s="10">
        <f t="shared" si="3"/>
        <v>0</v>
      </c>
      <c r="AT16" s="10">
        <f t="shared" si="4"/>
        <v>0</v>
      </c>
    </row>
    <row r="17" spans="1:46" ht="19.5" customHeight="1">
      <c r="J17" s="181"/>
      <c r="K17" s="34"/>
      <c r="L17" s="54"/>
      <c r="M17" s="36"/>
      <c r="N17" s="199"/>
      <c r="O17" s="1668"/>
      <c r="P17" s="1669"/>
      <c r="Q17" s="1669"/>
      <c r="R17" s="1669"/>
      <c r="S17" s="1447"/>
      <c r="T17" s="1448"/>
      <c r="U17" s="1449"/>
      <c r="V17" s="77"/>
      <c r="W17" s="77"/>
      <c r="X17" s="1450"/>
      <c r="Y17" s="618">
        <f>225000000-49610000</f>
        <v>175390000</v>
      </c>
      <c r="Z17" s="109" t="s">
        <v>62</v>
      </c>
      <c r="AA17" s="1484" t="s">
        <v>879</v>
      </c>
      <c r="AB17" s="828"/>
      <c r="AC17" s="1485"/>
      <c r="AD17" s="1486"/>
      <c r="AE17" s="1486"/>
      <c r="AF17" s="1486"/>
      <c r="AG17" s="1514"/>
      <c r="AH17" s="1509"/>
      <c r="AI17" s="1509"/>
      <c r="AJ17" s="1544"/>
      <c r="AK17" s="245"/>
      <c r="AL17" s="1510"/>
      <c r="AM17" s="1511"/>
      <c r="AN17" s="1545"/>
      <c r="AO17" s="1533"/>
      <c r="AQ17" s="10">
        <f t="shared" si="1"/>
        <v>0</v>
      </c>
      <c r="AR17" s="10">
        <f t="shared" si="2"/>
        <v>0</v>
      </c>
      <c r="AS17" s="10">
        <f t="shared" si="3"/>
        <v>0</v>
      </c>
      <c r="AT17" s="10">
        <f t="shared" si="4"/>
        <v>0</v>
      </c>
    </row>
    <row r="18" spans="1:46" s="3" customFormat="1" ht="30" customHeight="1">
      <c r="J18" s="3450" t="s">
        <v>477</v>
      </c>
      <c r="K18" s="3451"/>
      <c r="L18" s="3451"/>
      <c r="M18" s="3573"/>
      <c r="N18" s="3573"/>
      <c r="O18" s="282" t="e">
        <f>+O8+#REF!</f>
        <v>#REF!</v>
      </c>
      <c r="P18" s="278" t="e">
        <f>+P8+#REF!</f>
        <v>#REF!</v>
      </c>
      <c r="Q18" s="1460" t="e">
        <f>+Q8+#REF!</f>
        <v>#REF!</v>
      </c>
      <c r="R18" s="1460" t="e">
        <f>+R8+#REF!</f>
        <v>#REF!</v>
      </c>
      <c r="S18" s="288" t="e">
        <f>P18+Q18+R18</f>
        <v>#REF!</v>
      </c>
      <c r="T18" s="1461"/>
      <c r="U18" s="279"/>
      <c r="V18" s="280" t="e">
        <f>+V8+#REF!</f>
        <v>#REF!</v>
      </c>
      <c r="W18" s="280" t="e">
        <f>+W8+#REF!</f>
        <v>#REF!</v>
      </c>
      <c r="X18" s="287"/>
      <c r="Y18" s="280">
        <f>+Y8</f>
        <v>3076980000</v>
      </c>
      <c r="Z18" s="280"/>
      <c r="AA18" s="280"/>
      <c r="AB18" s="1490"/>
      <c r="AC18" s="1490"/>
      <c r="AD18" s="1490"/>
      <c r="AE18" s="1490"/>
      <c r="AF18" s="1490"/>
      <c r="AG18" s="285"/>
      <c r="AH18" s="279" t="e">
        <f>+AH8+#REF!</f>
        <v>#REF!</v>
      </c>
      <c r="AI18" s="280" t="s">
        <v>21</v>
      </c>
      <c r="AJ18" s="280" t="s">
        <v>21</v>
      </c>
      <c r="AK18" s="1523"/>
      <c r="AL18" s="1524"/>
      <c r="AM18" s="1525"/>
      <c r="AN18" s="1526"/>
      <c r="AO18" s="1534"/>
      <c r="AP18" s="12"/>
      <c r="AQ18" s="1535">
        <f>SUM(AQ10:AQ17)</f>
        <v>0</v>
      </c>
      <c r="AR18" s="1535">
        <f>SUM(AR10:AR17)</f>
        <v>462100000</v>
      </c>
      <c r="AS18" s="1535">
        <f>SUM(AS10:AS17)</f>
        <v>0</v>
      </c>
      <c r="AT18" s="1535">
        <f>SUM(AT10:AT17)</f>
        <v>0</v>
      </c>
    </row>
    <row r="19" spans="1:46" s="12" customFormat="1">
      <c r="A19" s="10"/>
      <c r="B19" s="10"/>
      <c r="C19" s="10"/>
      <c r="D19" s="10"/>
      <c r="E19" s="10"/>
      <c r="F19" s="10"/>
      <c r="G19" s="10"/>
      <c r="H19" s="10"/>
      <c r="I19" s="10"/>
      <c r="J19" s="11"/>
      <c r="K19" s="10"/>
      <c r="L19" s="10"/>
      <c r="M19" s="1425"/>
      <c r="N19" s="1426"/>
      <c r="O19" s="13"/>
      <c r="P19" s="13"/>
      <c r="Q19" s="1395"/>
      <c r="R19" s="1395"/>
      <c r="S19" s="13"/>
      <c r="T19" s="13"/>
      <c r="U19" s="14"/>
      <c r="V19" s="13"/>
      <c r="W19" s="13"/>
      <c r="X19" s="13"/>
      <c r="Y19" s="13"/>
      <c r="Z19" s="13"/>
      <c r="AA19" s="13"/>
      <c r="AB19" s="13"/>
      <c r="AC19" s="13"/>
      <c r="AD19" s="13"/>
      <c r="AE19" s="13"/>
      <c r="AF19" s="13"/>
      <c r="AG19" s="13"/>
      <c r="AK19" s="14"/>
      <c r="AL19" s="14"/>
      <c r="AM19" s="14"/>
      <c r="AN19" s="14"/>
      <c r="AO19" s="175"/>
    </row>
    <row r="20" spans="1:46" s="12" customFormat="1">
      <c r="A20" s="10"/>
      <c r="B20" s="10"/>
      <c r="C20" s="10"/>
      <c r="D20" s="10"/>
      <c r="E20" s="10"/>
      <c r="F20" s="10"/>
      <c r="G20" s="10"/>
      <c r="H20" s="10"/>
      <c r="I20" s="10"/>
      <c r="J20" s="11"/>
      <c r="K20" s="10" t="s">
        <v>1111</v>
      </c>
      <c r="L20" s="10"/>
      <c r="M20" s="10"/>
      <c r="O20" s="13"/>
      <c r="P20" s="13"/>
      <c r="Q20" s="1395"/>
      <c r="R20" s="1395"/>
      <c r="S20" s="13"/>
      <c r="T20" s="13"/>
      <c r="U20" s="14"/>
      <c r="V20" s="13" t="e">
        <f>V18+W18</f>
        <v>#REF!</v>
      </c>
      <c r="W20" s="13"/>
      <c r="X20" s="13"/>
      <c r="Y20" s="13"/>
      <c r="Z20" s="13"/>
      <c r="AA20" s="13"/>
      <c r="AB20" s="13"/>
      <c r="AC20" s="13"/>
      <c r="AD20" s="13"/>
      <c r="AE20" s="13"/>
      <c r="AF20" s="13"/>
      <c r="AG20" s="13"/>
      <c r="AH20" s="289"/>
      <c r="AK20" s="14"/>
      <c r="AL20" s="14"/>
      <c r="AM20" s="14"/>
      <c r="AN20" s="14"/>
      <c r="AO20" s="175"/>
      <c r="AP20" s="10"/>
    </row>
    <row r="21" spans="1:46">
      <c r="V21" s="13" t="e">
        <f>V20-AH18</f>
        <v>#REF!</v>
      </c>
      <c r="Y21" s="13">
        <f>Y18+5809063500</f>
        <v>8886043500</v>
      </c>
      <c r="Z21" s="13" t="e">
        <f>Y18-#REF!</f>
        <v>#REF!</v>
      </c>
    </row>
    <row r="23" spans="1:46">
      <c r="AH23" s="289"/>
    </row>
    <row r="24" spans="1:46">
      <c r="Y24" s="13" t="e">
        <f>#REF!+#REF!+#REF!+#REF!+#REF!+#REF!+#REF!+#REF!+#REF!+#REF!+#REF!+#REF!+#REF!+#REF!+#REF!+#REF!+#REF!+#REF!+#REF!+#REF!+#REF!+#REF!</f>
        <v>#REF!</v>
      </c>
      <c r="AP24" s="12"/>
    </row>
    <row r="25" spans="1:46" s="12" customFormat="1">
      <c r="A25" s="10"/>
      <c r="B25" s="10"/>
      <c r="C25" s="10"/>
      <c r="D25" s="10"/>
      <c r="E25" s="10"/>
      <c r="F25" s="10"/>
      <c r="G25" s="10"/>
      <c r="H25" s="10"/>
      <c r="I25" s="10"/>
      <c r="J25" s="11"/>
      <c r="K25" s="10"/>
      <c r="L25" s="10"/>
      <c r="M25" s="10"/>
      <c r="O25" s="13"/>
      <c r="P25" s="13"/>
      <c r="Q25" s="1395"/>
      <c r="R25" s="1395"/>
      <c r="S25" s="13"/>
      <c r="T25" s="13"/>
      <c r="U25" s="14"/>
      <c r="V25" s="13"/>
      <c r="W25" s="13"/>
      <c r="X25" s="13"/>
      <c r="Y25" s="13"/>
      <c r="Z25" s="13"/>
      <c r="AA25" s="13"/>
      <c r="AB25" s="13"/>
      <c r="AC25" s="13"/>
      <c r="AD25" s="13"/>
      <c r="AE25" s="13"/>
      <c r="AF25" s="13"/>
      <c r="AG25" s="13"/>
      <c r="AI25" s="289"/>
      <c r="AK25" s="14"/>
      <c r="AL25" s="14"/>
      <c r="AM25" s="14"/>
      <c r="AN25" s="14"/>
      <c r="AO25" s="175"/>
    </row>
    <row r="26" spans="1:46" s="12" customFormat="1">
      <c r="A26" s="10"/>
      <c r="B26" s="10"/>
      <c r="C26" s="10"/>
      <c r="D26" s="10"/>
      <c r="E26" s="10"/>
      <c r="F26" s="10"/>
      <c r="G26" s="10"/>
      <c r="H26" s="10"/>
      <c r="I26" s="10"/>
      <c r="J26" s="11"/>
      <c r="K26" s="10"/>
      <c r="L26" s="10"/>
      <c r="M26" s="10"/>
      <c r="O26" s="13"/>
      <c r="P26" s="13"/>
      <c r="Q26" s="1395"/>
      <c r="R26" s="1395"/>
      <c r="S26" s="13"/>
      <c r="T26" s="13"/>
      <c r="U26" s="14"/>
      <c r="V26" s="13"/>
      <c r="W26" s="13"/>
      <c r="X26" s="13"/>
      <c r="Y26" s="13" t="e">
        <f>#REF!+#REF!+#REF!+#REF!+#REF!+#REF!+#REF!+#REF!+#REF!+#REF!+#REF!+#REF!+#REF!+#REF!+#REF!+#REF!+#REF!+#REF!+#REF!+#REF!+#REF!+#REF!+#REF!+Y16+Y13+#REF!+#REF!+71100000</f>
        <v>#REF!</v>
      </c>
      <c r="Z26" s="13"/>
      <c r="AA26" s="13"/>
      <c r="AB26" s="13"/>
      <c r="AC26" s="13"/>
      <c r="AD26" s="13"/>
      <c r="AE26" s="13"/>
      <c r="AF26" s="13"/>
      <c r="AG26" s="13"/>
      <c r="AH26" s="289"/>
      <c r="AK26" s="14"/>
      <c r="AL26" s="14"/>
      <c r="AM26" s="14"/>
      <c r="AN26" s="14"/>
      <c r="AO26" s="175"/>
      <c r="AP26" s="1536"/>
    </row>
    <row r="27" spans="1:46" s="12" customFormat="1">
      <c r="A27" s="10"/>
      <c r="B27" s="10"/>
      <c r="C27" s="10"/>
      <c r="D27" s="10"/>
      <c r="E27" s="10"/>
      <c r="F27" s="10"/>
      <c r="G27" s="10"/>
      <c r="H27" s="10"/>
      <c r="I27" s="10"/>
      <c r="J27" s="11"/>
      <c r="K27" s="10"/>
      <c r="L27" s="10"/>
      <c r="M27" s="10"/>
      <c r="O27" s="13"/>
      <c r="P27" s="13"/>
      <c r="Q27" s="1395"/>
      <c r="R27" s="1395"/>
      <c r="S27" s="13"/>
      <c r="T27" s="13"/>
      <c r="U27" s="14"/>
      <c r="V27" s="13"/>
      <c r="W27" s="13"/>
      <c r="X27" s="13"/>
      <c r="Y27" s="13"/>
      <c r="Z27" s="13"/>
      <c r="AA27" s="13"/>
      <c r="AB27" s="13"/>
      <c r="AC27" s="13"/>
      <c r="AD27" s="13"/>
      <c r="AE27" s="13"/>
      <c r="AF27" s="13"/>
      <c r="AG27" s="13"/>
      <c r="AK27" s="14"/>
      <c r="AL27" s="14"/>
      <c r="AM27" s="14"/>
      <c r="AN27" s="14"/>
      <c r="AO27" s="175"/>
      <c r="AP27" s="10"/>
    </row>
  </sheetData>
  <autoFilter ref="A7:AO18"/>
  <mergeCells count="20">
    <mergeCell ref="J18:N18"/>
    <mergeCell ref="O5:O6"/>
    <mergeCell ref="P5:P6"/>
    <mergeCell ref="Q5:Q6"/>
    <mergeCell ref="R5:R6"/>
    <mergeCell ref="J5:N6"/>
    <mergeCell ref="J1:AO1"/>
    <mergeCell ref="J2:AO2"/>
    <mergeCell ref="U4:AJ4"/>
    <mergeCell ref="AK4:AO4"/>
    <mergeCell ref="U5:X5"/>
    <mergeCell ref="AB5:AF5"/>
    <mergeCell ref="AH5:AJ5"/>
    <mergeCell ref="AK5:AO5"/>
    <mergeCell ref="S5:S6"/>
    <mergeCell ref="T5:T6"/>
    <mergeCell ref="Y5:Y6"/>
    <mergeCell ref="Z5:Z6"/>
    <mergeCell ref="AA5:AA6"/>
    <mergeCell ref="AG5:AG6"/>
  </mergeCells>
  <printOptions horizontalCentered="1"/>
  <pageMargins left="0.39305555555555599" right="0.39305555555555599" top="0.39305555555555599" bottom="0.39305555555555599" header="0.31458333333333299" footer="0.196527777777778"/>
  <pageSetup paperSize="9" scale="48" fitToHeight="0" orientation="portrait"/>
  <headerFooter>
    <oddFooter>&amp;R&amp;"Cambria,Italic"&amp;9&amp;P/&amp;N</oddFooter>
  </headerFooter>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pageSetUpPr fitToPage="1"/>
  </sheetPr>
  <dimension ref="A1:AT28"/>
  <sheetViews>
    <sheetView topLeftCell="J1" zoomScale="70" zoomScaleNormal="70" workbookViewId="0">
      <pane ySplit="7" topLeftCell="A8" activePane="bottomLeft" state="frozen"/>
      <selection pane="bottomLeft" activeCell="J1" sqref="J1:AO1"/>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1344</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[5]DATA!B2</f>
        <v>I</v>
      </c>
      <c r="K8" s="22" t="str">
        <f>[5]DATA!D2</f>
        <v>INFRASTRUKTUR</v>
      </c>
      <c r="L8" s="22"/>
      <c r="M8" s="22"/>
      <c r="N8" s="1404"/>
      <c r="O8" s="212" t="e">
        <f>#REF!+#REF!+O9+#REF!+#REF!+#REF!+#REF!+#REF!+#REF!+#REF!</f>
        <v>#REF!</v>
      </c>
      <c r="P8" s="191" t="e">
        <f>#REF!+#REF!+P9+#REF!+#REF!+#REF!+#REF!+#REF!+#REF!+#REF!</f>
        <v>#REF!</v>
      </c>
      <c r="Q8" s="191" t="e">
        <f>+#REF!+#REF!+Q9+#REF!+#REF!+#REF!+#REF!+#REF!+#REF!</f>
        <v>#REF!</v>
      </c>
      <c r="R8" s="191" t="e">
        <f>+#REF!+#REF!+R9+#REF!+#REF!+#REF!+#REF!+#REF!+#REF!</f>
        <v>#REF!</v>
      </c>
      <c r="S8" s="240" t="e">
        <f>+#REF!+#REF!+S9+#REF!+#REF!+#REF!+#REF!+#REF!+#REF!</f>
        <v>#REF!</v>
      </c>
      <c r="T8" s="1433"/>
      <c r="U8" s="192"/>
      <c r="V8" s="79" t="e">
        <f>+#REF!+#REF!+V9+#REF!+#REF!+#REF!+#REF!+#REF!+#REF!</f>
        <v>#REF!</v>
      </c>
      <c r="W8" s="79" t="e">
        <f>+#REF!+#REF!+W9+#REF!+#REF!+#REF!+#REF!+#REF!+#REF!</f>
        <v>#REF!</v>
      </c>
      <c r="X8" s="239" t="e">
        <f>+#REF!+#REF!+X9+#REF!+#REF!+#REF!</f>
        <v>#REF!</v>
      </c>
      <c r="Y8" s="79">
        <f>Y9</f>
        <v>7326239900</v>
      </c>
      <c r="Z8" s="79"/>
      <c r="AA8" s="224"/>
      <c r="AB8" s="1464"/>
      <c r="AC8" s="1464"/>
      <c r="AD8" s="1464"/>
      <c r="AE8" s="1464"/>
      <c r="AF8" s="1464"/>
      <c r="AG8" s="1495"/>
      <c r="AH8" s="192" t="e">
        <f>+#REF!+#REF!+AH9+#REF!+#REF!+#REF!+#REF!+#REF!+#REF!</f>
        <v>#REF!</v>
      </c>
      <c r="AI8" s="79" t="s">
        <v>21</v>
      </c>
      <c r="AJ8" s="212" t="e">
        <f>P8-AH8</f>
        <v>#REF!</v>
      </c>
      <c r="AK8" s="1496"/>
      <c r="AL8" s="1497"/>
      <c r="AM8" s="1498"/>
      <c r="AN8" s="1499"/>
      <c r="AO8" s="1528"/>
    </row>
    <row r="9" spans="1:46" s="4" customFormat="1" ht="24.95" customHeight="1">
      <c r="J9" s="250"/>
      <c r="K9" s="25">
        <f>[5]DATA!E119</f>
        <v>3</v>
      </c>
      <c r="L9" s="108" t="str">
        <f>[5]DATA!F119</f>
        <v>Kementerian Perhubungan</v>
      </c>
      <c r="M9" s="25"/>
      <c r="N9" s="1416"/>
      <c r="O9" s="213" t="e">
        <f>O10+#REF!</f>
        <v>#REF!</v>
      </c>
      <c r="P9" s="194" t="e">
        <f>P10+#REF!</f>
        <v>#REF!</v>
      </c>
      <c r="Q9" s="194" t="e">
        <f>Q10+#REF!</f>
        <v>#REF!</v>
      </c>
      <c r="R9" s="194" t="e">
        <f>R10+#REF!</f>
        <v>#REF!</v>
      </c>
      <c r="S9" s="242" t="e">
        <f>P9+Q9+R9</f>
        <v>#REF!</v>
      </c>
      <c r="T9" s="1434"/>
      <c r="U9" s="1549"/>
      <c r="V9" s="80" t="e">
        <f>+V10+#REF!</f>
        <v>#REF!</v>
      </c>
      <c r="W9" s="80" t="e">
        <f>+W10+#REF!</f>
        <v>#REF!</v>
      </c>
      <c r="X9" s="241"/>
      <c r="Y9" s="80">
        <f>Y10</f>
        <v>7326239900</v>
      </c>
      <c r="Z9" s="80"/>
      <c r="AA9" s="1465"/>
      <c r="AB9" s="1466"/>
      <c r="AC9" s="1467"/>
      <c r="AD9" s="1468"/>
      <c r="AE9" s="1468"/>
      <c r="AF9" s="1468"/>
      <c r="AG9" s="1500"/>
      <c r="AH9" s="195" t="e">
        <f>+AH10+#REF!</f>
        <v>#REF!</v>
      </c>
      <c r="AI9" s="80" t="s">
        <v>21</v>
      </c>
      <c r="AJ9" s="213"/>
      <c r="AK9" s="1501"/>
      <c r="AL9" s="1502"/>
      <c r="AM9" s="168"/>
      <c r="AN9" s="1503"/>
      <c r="AO9" s="1529"/>
      <c r="AQ9" s="10">
        <f t="shared" ref="AQ9:AQ18" si="0">IF(Z9="RRT",Y9,0)</f>
        <v>0</v>
      </c>
      <c r="AR9" s="10">
        <f t="shared" ref="AR9:AR18" si="1">IF(Z9="JICA",Y9,0)</f>
        <v>0</v>
      </c>
      <c r="AS9" s="10">
        <f t="shared" ref="AS9:AS18" si="2">IF(Z9="Belum ada indikasi",Y9,0)</f>
        <v>0</v>
      </c>
      <c r="AT9" s="10">
        <f t="shared" ref="AT9:AT18" si="3">IF(Z9="Korea",Y9,0)</f>
        <v>0</v>
      </c>
    </row>
    <row r="10" spans="1:46" s="5" customFormat="1" ht="33.75" customHeight="1">
      <c r="J10" s="180"/>
      <c r="K10" s="29"/>
      <c r="L10" s="30" t="str">
        <f>[5]DATA!I119</f>
        <v>A</v>
      </c>
      <c r="M10" s="31" t="str">
        <f>[5]DATA!J119</f>
        <v>Program Pengembangan Perkeretaapian</v>
      </c>
      <c r="N10" s="1419"/>
      <c r="O10" s="214">
        <f>O11+O12+O13+O14+O17+O18+O15+O16</f>
        <v>5542336700</v>
      </c>
      <c r="P10" s="1436">
        <f>P11+P12+P13+P14+P17+P18+P15+P16</f>
        <v>7135239900</v>
      </c>
      <c r="Q10" s="197">
        <f>SUM(Q11:Q18)</f>
        <v>876537700</v>
      </c>
      <c r="R10" s="197" t="e">
        <f>#REF!+R11+R12+R13+R14+R17+R18+R15+R16</f>
        <v>#REF!</v>
      </c>
      <c r="S10" s="244" t="e">
        <f>P10+Q10+R10</f>
        <v>#REF!</v>
      </c>
      <c r="T10" s="1437"/>
      <c r="U10" s="1539"/>
      <c r="V10" s="81" t="e">
        <f>#REF!+V11+V12+V13+V14+V17+V18+V15+V16</f>
        <v>#REF!</v>
      </c>
      <c r="W10" s="81" t="e">
        <f>#REF!+W11+W12+W13+W14+W17+W18+W15+W16</f>
        <v>#REF!</v>
      </c>
      <c r="X10" s="243"/>
      <c r="Y10" s="81">
        <f>Y11+Y12+Y13+Y14+Y17+Y18+Y15+Y16</f>
        <v>7326239900</v>
      </c>
      <c r="Z10" s="81"/>
      <c r="AA10" s="1469"/>
      <c r="AB10" s="1470"/>
      <c r="AC10" s="1471"/>
      <c r="AD10" s="1472"/>
      <c r="AE10" s="1472"/>
      <c r="AF10" s="1472"/>
      <c r="AG10" s="1504"/>
      <c r="AH10" s="198">
        <f>AH11+AH12+AH13+AH14+AH17+AH18+AH15+AH16</f>
        <v>7135239900</v>
      </c>
      <c r="AI10" s="81" t="s">
        <v>21</v>
      </c>
      <c r="AJ10" s="214"/>
      <c r="AK10" s="1505"/>
      <c r="AL10" s="1506"/>
      <c r="AM10" s="169"/>
      <c r="AN10" s="1507"/>
      <c r="AO10" s="1530"/>
      <c r="AQ10" s="10">
        <f t="shared" si="0"/>
        <v>0</v>
      </c>
      <c r="AR10" s="10">
        <f t="shared" si="1"/>
        <v>0</v>
      </c>
      <c r="AS10" s="10">
        <f t="shared" si="2"/>
        <v>0</v>
      </c>
      <c r="AT10" s="10">
        <f t="shared" si="3"/>
        <v>0</v>
      </c>
    </row>
    <row r="11" spans="1:46" ht="55.5" customHeight="1">
      <c r="A11" s="10">
        <f>[5]DATA!A121</f>
        <v>92</v>
      </c>
      <c r="B11" s="10" t="e">
        <f>[5]DATA!B121</f>
        <v>#REF!</v>
      </c>
      <c r="C11" s="10" t="str">
        <f>[5]DATA!D121</f>
        <v>INFRASTRUKTUR</v>
      </c>
      <c r="D11" s="10">
        <f>[5]DATA!E121</f>
        <v>3</v>
      </c>
      <c r="E11" s="10" t="str">
        <f>[5]DATA!F121</f>
        <v>Kementerian Perhubungan</v>
      </c>
      <c r="F11" s="10" t="str">
        <f>[5]DATA!H121</f>
        <v>Railway Development Program</v>
      </c>
      <c r="G11" s="10" t="str">
        <f>[5]DATA!I121</f>
        <v>A</v>
      </c>
      <c r="H11" s="10" t="str">
        <f>[5]DATA!J121</f>
        <v>Program Pengembangan Perkeretaapian</v>
      </c>
      <c r="I11" s="10">
        <f>[5]DATA!K121</f>
        <v>1</v>
      </c>
      <c r="J11" s="181"/>
      <c r="K11" s="34"/>
      <c r="L11" s="34"/>
      <c r="M11" s="3390">
        <v>1</v>
      </c>
      <c r="N11" s="199" t="str">
        <f>[5]DATA!L121</f>
        <v>Procurement of Track Material and Turn Out - Phase III</v>
      </c>
      <c r="O11" s="1402">
        <f>[5]DATA!T121</f>
        <v>292336700</v>
      </c>
      <c r="P11" s="187">
        <f>[5]DATA!U121</f>
        <v>292336700</v>
      </c>
      <c r="Q11" s="1446">
        <f>[5]DATA!V121</f>
        <v>73084200</v>
      </c>
      <c r="R11" s="1446">
        <f>[5]DATA!W121</f>
        <v>0</v>
      </c>
      <c r="S11" s="1447">
        <f t="shared" ref="S11:S19" si="4">P11+Q11+R11</f>
        <v>365420900</v>
      </c>
      <c r="T11" s="1448"/>
      <c r="U11" s="1449" t="str">
        <f>[5]DATA!Y121</f>
        <v>Belum Ada Indikasi</v>
      </c>
      <c r="V11" s="77">
        <v>0</v>
      </c>
      <c r="W11" s="77">
        <f>[5]DATA!AA121</f>
        <v>292336700</v>
      </c>
      <c r="X11" s="1450" t="str">
        <f>[5]DATA!Y121</f>
        <v>Belum Ada Indikasi</v>
      </c>
      <c r="Y11" s="109">
        <v>292336700</v>
      </c>
      <c r="Z11" s="109" t="s">
        <v>27</v>
      </c>
      <c r="AA11" s="1484" t="s">
        <v>1160</v>
      </c>
      <c r="AB11" s="828"/>
      <c r="AC11" s="1485"/>
      <c r="AD11" s="1486"/>
      <c r="AE11" s="1486"/>
      <c r="AF11" s="1486"/>
      <c r="AG11" s="3257" t="s">
        <v>1207</v>
      </c>
      <c r="AH11" s="1509">
        <f>[5]DATA!AT121</f>
        <v>292336700</v>
      </c>
      <c r="AI11" s="109" t="str">
        <f>[5]DATA!AU121</f>
        <v>AIIB</v>
      </c>
      <c r="AJ11" s="1544" t="str">
        <f>[5]DATA!AW121</f>
        <v>- usulan K/L semula lender: Belum Ada Indikasi
- usulan Dit.Multilateral, diusulkan kepada AIIB.</v>
      </c>
      <c r="AK11" s="245" t="e">
        <f>[5]DATA!AM121</f>
        <v>#REF!</v>
      </c>
      <c r="AL11" s="1512" t="str">
        <f>[5]DATA!AN121</f>
        <v>belum ada keterangan</v>
      </c>
      <c r="AM11" s="1522" t="str">
        <f>[5]DATA!AO121</f>
        <v>tidak butuh lahan</v>
      </c>
      <c r="AN11" s="1545" t="e">
        <f>[5]DATA!AQ121</f>
        <v>#REF!</v>
      </c>
      <c r="AO11" s="1547" t="str">
        <f>[5]DATA!AR121</f>
        <v>belum ada dokumen R/C</v>
      </c>
      <c r="AQ11" s="10">
        <f t="shared" si="0"/>
        <v>292336700</v>
      </c>
      <c r="AR11" s="10">
        <f t="shared" si="1"/>
        <v>0</v>
      </c>
      <c r="AS11" s="10">
        <f t="shared" si="2"/>
        <v>0</v>
      </c>
      <c r="AT11" s="10">
        <f t="shared" si="3"/>
        <v>0</v>
      </c>
    </row>
    <row r="12" spans="1:46" ht="44.25" customHeight="1">
      <c r="J12" s="181"/>
      <c r="K12" s="34"/>
      <c r="L12" s="34"/>
      <c r="M12" s="3391"/>
      <c r="N12" s="199" t="str">
        <f>[5]DATA!L122</f>
        <v>Procurement of Track Material and Turn Out - Phase IV</v>
      </c>
      <c r="O12" s="1402">
        <f>[5]DATA!T122</f>
        <v>0</v>
      </c>
      <c r="P12" s="187">
        <f>[5]DATA!U122</f>
        <v>126830200</v>
      </c>
      <c r="Q12" s="187">
        <f>[5]DATA!V122</f>
        <v>22381800</v>
      </c>
      <c r="R12" s="187">
        <f>[5]DATA!W122</f>
        <v>0</v>
      </c>
      <c r="S12" s="1447">
        <f t="shared" si="4"/>
        <v>149212000</v>
      </c>
      <c r="T12" s="1448"/>
      <c r="U12" s="1449"/>
      <c r="V12" s="77">
        <v>0</v>
      </c>
      <c r="W12" s="77">
        <f>[5]DATA!AA122</f>
        <v>126830200</v>
      </c>
      <c r="X12" s="1607" t="str">
        <f>[5]DATA!Y122</f>
        <v>Belum Ada Indikasi</v>
      </c>
      <c r="Y12" s="109">
        <v>126830200</v>
      </c>
      <c r="Z12" s="109" t="s">
        <v>27</v>
      </c>
      <c r="AA12" s="1484" t="s">
        <v>879</v>
      </c>
      <c r="AB12" s="828"/>
      <c r="AC12" s="1485"/>
      <c r="AD12" s="1486"/>
      <c r="AE12" s="1486"/>
      <c r="AF12" s="1486"/>
      <c r="AG12" s="3257" t="s">
        <v>1208</v>
      </c>
      <c r="AH12" s="1509">
        <f>[5]DATA!AT122</f>
        <v>126830200</v>
      </c>
      <c r="AI12" s="109" t="str">
        <f>[5]DATA!AU122</f>
        <v>RRT</v>
      </c>
      <c r="AJ12" s="1544" t="e">
        <f>[5]DATA!AW122</f>
        <v>#REF!</v>
      </c>
      <c r="AK12" s="245" t="e">
        <f>[5]DATA!AM122</f>
        <v>#REF!</v>
      </c>
      <c r="AL12" s="1512"/>
      <c r="AM12" s="1522"/>
      <c r="AN12" s="1545" t="e">
        <f>[5]DATA!AQ122</f>
        <v>#REF!</v>
      </c>
      <c r="AO12" s="1547" t="str">
        <f>[5]DATA!AR122</f>
        <v>belum ada dokumen R/C</v>
      </c>
      <c r="AQ12" s="10">
        <f t="shared" si="0"/>
        <v>126830200</v>
      </c>
      <c r="AR12" s="10">
        <f t="shared" si="1"/>
        <v>0</v>
      </c>
      <c r="AS12" s="10">
        <f t="shared" si="2"/>
        <v>0</v>
      </c>
      <c r="AT12" s="10">
        <f t="shared" si="3"/>
        <v>0</v>
      </c>
    </row>
    <row r="13" spans="1:46" ht="78" customHeight="1">
      <c r="A13" s="10">
        <f>[5]DATA!A123</f>
        <v>93</v>
      </c>
      <c r="B13" s="10" t="e">
        <f>[5]DATA!B123</f>
        <v>#REF!</v>
      </c>
      <c r="C13" s="10" t="str">
        <f>[5]DATA!D123</f>
        <v>INFRASTRUKTUR</v>
      </c>
      <c r="D13" s="10">
        <f>[5]DATA!E123</f>
        <v>3</v>
      </c>
      <c r="E13" s="10" t="str">
        <f>[5]DATA!F123</f>
        <v>Kementerian Perhubungan</v>
      </c>
      <c r="F13" s="10" t="str">
        <f>[5]DATA!H123</f>
        <v>Railway Development Program</v>
      </c>
      <c r="G13" s="10" t="str">
        <f>[5]DATA!I123</f>
        <v>A</v>
      </c>
      <c r="H13" s="10" t="str">
        <f>[5]DATA!J123</f>
        <v>Program Pengembangan Perkeretaapian</v>
      </c>
      <c r="I13" s="10">
        <f>[5]DATA!K123</f>
        <v>2</v>
      </c>
      <c r="J13" s="181"/>
      <c r="K13" s="34"/>
      <c r="L13" s="34"/>
      <c r="M13" s="172">
        <v>2</v>
      </c>
      <c r="N13" s="271" t="s">
        <v>1209</v>
      </c>
      <c r="O13" s="1402">
        <f>[5]DATA!T123</f>
        <v>1678000000</v>
      </c>
      <c r="P13" s="187">
        <f>[5]DATA!U123</f>
        <v>1678000000</v>
      </c>
      <c r="Q13" s="1446">
        <f>[5]DATA!V123</f>
        <v>167800000</v>
      </c>
      <c r="R13" s="1446">
        <f>[5]DATA!W123</f>
        <v>0</v>
      </c>
      <c r="S13" s="1447">
        <f t="shared" si="4"/>
        <v>1845800000</v>
      </c>
      <c r="T13" s="1448"/>
      <c r="U13" s="1449" t="str">
        <f>[5]DATA!Y123</f>
        <v>JICA</v>
      </c>
      <c r="V13" s="77">
        <f>[5]DATA!AA123</f>
        <v>1678000000</v>
      </c>
      <c r="W13" s="77">
        <v>0</v>
      </c>
      <c r="X13" s="1450" t="str">
        <f>[5]DATA!Y123</f>
        <v>JICA</v>
      </c>
      <c r="Y13" s="77">
        <v>1869000000</v>
      </c>
      <c r="Z13" s="88" t="s">
        <v>55</v>
      </c>
      <c r="AA13" s="1484" t="s">
        <v>1189</v>
      </c>
      <c r="AB13" s="828"/>
      <c r="AC13" s="1485"/>
      <c r="AD13" s="1486"/>
      <c r="AE13" s="1486"/>
      <c r="AF13" s="1486"/>
      <c r="AG13" s="1663" t="s">
        <v>1210</v>
      </c>
      <c r="AH13" s="1509">
        <f>[5]DATA!AT123</f>
        <v>1678000000</v>
      </c>
      <c r="AI13" s="109" t="str">
        <f>[5]DATA!AU123</f>
        <v>JICA</v>
      </c>
      <c r="AJ13" s="1544" t="str">
        <f>[5]DATA!AW123</f>
        <v>Belum proses</v>
      </c>
      <c r="AK13" s="245" t="e">
        <f>[5]DATA!AM123</f>
        <v>#REF!</v>
      </c>
      <c r="AL13" s="1512" t="str">
        <f>[5]DATA!AN123</f>
        <v>dalam proses
(memiliki FS)</v>
      </c>
      <c r="AM13" s="1522" t="str">
        <f>[5]DATA!AO123</f>
        <v>dalam proses
(perencanaan)</v>
      </c>
      <c r="AN13" s="1545" t="e">
        <f>[5]DATA!AQ123</f>
        <v>#REF!</v>
      </c>
      <c r="AO13" s="1547" t="str">
        <f>[5]DATA!AR123</f>
        <v>belum ada dokumen R/C</v>
      </c>
      <c r="AQ13" s="10">
        <f t="shared" si="0"/>
        <v>0</v>
      </c>
      <c r="AR13" s="10">
        <f t="shared" si="1"/>
        <v>1869000000</v>
      </c>
      <c r="AS13" s="10">
        <f t="shared" si="2"/>
        <v>0</v>
      </c>
      <c r="AT13" s="10">
        <f t="shared" si="3"/>
        <v>0</v>
      </c>
    </row>
    <row r="14" spans="1:46" ht="78.75" customHeight="1">
      <c r="A14" s="10">
        <f>[5]DATA!A124</f>
        <v>94</v>
      </c>
      <c r="B14" s="10" t="e">
        <f>[5]DATA!B124</f>
        <v>#REF!</v>
      </c>
      <c r="C14" s="10" t="str">
        <f>[5]DATA!D124</f>
        <v>INFRASTRUKTUR</v>
      </c>
      <c r="D14" s="10">
        <f>[5]DATA!E124</f>
        <v>3</v>
      </c>
      <c r="E14" s="10" t="str">
        <f>[5]DATA!F124</f>
        <v>Kementerian Perhubungan</v>
      </c>
      <c r="F14" s="10" t="str">
        <f>[5]DATA!H124</f>
        <v>Railway Development Program</v>
      </c>
      <c r="G14" s="10" t="str">
        <f>[5]DATA!I124</f>
        <v>A</v>
      </c>
      <c r="H14" s="10" t="str">
        <f>[5]DATA!J124</f>
        <v>Program Pengembangan Perkeretaapian</v>
      </c>
      <c r="I14" s="10">
        <f>[5]DATA!K124</f>
        <v>3</v>
      </c>
      <c r="J14" s="181"/>
      <c r="K14" s="34"/>
      <c r="L14" s="34"/>
      <c r="M14" s="172">
        <v>3</v>
      </c>
      <c r="N14" s="199" t="str">
        <f>[5]DATA!L124</f>
        <v>Construction of Jakarta Mass Rapid Transit East-West Line Project - Phase I</v>
      </c>
      <c r="O14" s="1402">
        <f>[5]DATA!T124</f>
        <v>3572000000</v>
      </c>
      <c r="P14" s="187">
        <f>[5]DATA!U124</f>
        <v>3572000000</v>
      </c>
      <c r="Q14" s="1446">
        <f>[5]DATA!V124</f>
        <v>357200000</v>
      </c>
      <c r="R14" s="1446">
        <f>[5]DATA!W124</f>
        <v>0</v>
      </c>
      <c r="S14" s="1447">
        <f t="shared" si="4"/>
        <v>3929200000</v>
      </c>
      <c r="T14" s="1448"/>
      <c r="U14" s="1449" t="str">
        <f>[5]DATA!Y124</f>
        <v>JICA</v>
      </c>
      <c r="V14" s="77">
        <f>[5]DATA!AA124</f>
        <v>3572000000</v>
      </c>
      <c r="W14" s="77">
        <v>0</v>
      </c>
      <c r="X14" s="1450" t="str">
        <f>[5]DATA!Y124</f>
        <v>JICA</v>
      </c>
      <c r="Y14" s="109">
        <v>3572000000</v>
      </c>
      <c r="Z14" s="109" t="s">
        <v>55</v>
      </c>
      <c r="AA14" s="1484" t="s">
        <v>879</v>
      </c>
      <c r="AB14" s="828"/>
      <c r="AC14" s="1485"/>
      <c r="AD14" s="1486"/>
      <c r="AE14" s="1486"/>
      <c r="AF14" s="1486"/>
      <c r="AG14" s="1662" t="s">
        <v>1211</v>
      </c>
      <c r="AH14" s="1509">
        <f>[5]DATA!AT124</f>
        <v>3572000000</v>
      </c>
      <c r="AI14" s="109" t="str">
        <f>[5]DATA!AU124</f>
        <v>JICA</v>
      </c>
      <c r="AJ14" s="1544" t="str">
        <f>[5]DATA!AW124</f>
        <v>Sebagian akan diteruspinjamkan kepada Pemprov. DKI Jakarta</v>
      </c>
      <c r="AK14" s="245" t="e">
        <f>[5]DATA!AM124</f>
        <v>#REF!</v>
      </c>
      <c r="AL14" s="1512" t="str">
        <f>[5]DATA!AN124</f>
        <v>dalam proses
(memiliki FS)</v>
      </c>
      <c r="AM14" s="1522" t="str">
        <f>[5]DATA!AO124</f>
        <v>dalam proses
(perencanaan)</v>
      </c>
      <c r="AN14" s="1545" t="e">
        <f>[5]DATA!AQ124</f>
        <v>#REF!</v>
      </c>
      <c r="AO14" s="1547" t="str">
        <f>[5]DATA!AR124</f>
        <v>belum ada dokumen R/C</v>
      </c>
      <c r="AQ14" s="10">
        <f t="shared" si="0"/>
        <v>0</v>
      </c>
      <c r="AR14" s="10">
        <f t="shared" si="1"/>
        <v>3572000000</v>
      </c>
      <c r="AS14" s="10">
        <f t="shared" si="2"/>
        <v>0</v>
      </c>
      <c r="AT14" s="10">
        <f t="shared" si="3"/>
        <v>0</v>
      </c>
    </row>
    <row r="15" spans="1:46" ht="65.25" customHeight="1">
      <c r="J15" s="181"/>
      <c r="K15" s="34"/>
      <c r="L15" s="34"/>
      <c r="M15" s="172">
        <v>4</v>
      </c>
      <c r="N15" s="199" t="str">
        <f>[5]DATA!L126</f>
        <v>Surabaya Regional Railway Line - Phase I</v>
      </c>
      <c r="O15" s="1402">
        <f>[5]DATA!T126</f>
        <v>0</v>
      </c>
      <c r="P15" s="187">
        <f>[5]DATA!U126</f>
        <v>100000000</v>
      </c>
      <c r="Q15" s="187">
        <f>[5]DATA!V126</f>
        <v>15000000</v>
      </c>
      <c r="R15" s="187">
        <f>[5]DATA!W126</f>
        <v>0</v>
      </c>
      <c r="S15" s="1447">
        <f t="shared" si="4"/>
        <v>115000000</v>
      </c>
      <c r="T15" s="1448"/>
      <c r="U15" s="1449"/>
      <c r="V15" s="77">
        <v>0</v>
      </c>
      <c r="W15" s="77">
        <f>[5]DATA!AA126</f>
        <v>100000000</v>
      </c>
      <c r="X15" s="1450" t="str">
        <f>[5]DATA!Y126</f>
        <v>Belum Ada Indikasi</v>
      </c>
      <c r="Y15" s="109">
        <v>100000000</v>
      </c>
      <c r="Z15" s="109" t="s">
        <v>91</v>
      </c>
      <c r="AA15" s="1484" t="s">
        <v>879</v>
      </c>
      <c r="AB15" s="828"/>
      <c r="AC15" s="1485"/>
      <c r="AD15" s="1486"/>
      <c r="AE15" s="1486"/>
      <c r="AF15" s="1486"/>
      <c r="AG15" s="3258" t="s">
        <v>1212</v>
      </c>
      <c r="AH15" s="1509">
        <f>[5]DATA!AT126</f>
        <v>100000000</v>
      </c>
      <c r="AI15" s="109" t="str">
        <f>[5]DATA!AU126</f>
        <v>Belum Ada Indikasi</v>
      </c>
      <c r="AJ15" s="1544">
        <f>P10+763263600</f>
        <v>7898503500</v>
      </c>
      <c r="AK15" s="245" t="e">
        <f>[5]DATA!AM126</f>
        <v>#REF!</v>
      </c>
      <c r="AL15" s="1512" t="str">
        <f>[5]DATA!AN126</f>
        <v>belum ada keterangan</v>
      </c>
      <c r="AM15" s="1512" t="str">
        <f>[5]DATA!AO126</f>
        <v>belum ada keterangan</v>
      </c>
      <c r="AN15" s="1545" t="e">
        <f>[5]DATA!AQ126</f>
        <v>#REF!</v>
      </c>
      <c r="AO15" s="1664" t="str">
        <f>[5]DATA!AR126</f>
        <v>belum ada dokumen R/C</v>
      </c>
      <c r="AQ15" s="10">
        <f t="shared" si="0"/>
        <v>0</v>
      </c>
      <c r="AR15" s="10">
        <f t="shared" si="1"/>
        <v>0</v>
      </c>
      <c r="AS15" s="10">
        <f t="shared" si="2"/>
        <v>0</v>
      </c>
      <c r="AT15" s="10">
        <f t="shared" si="3"/>
        <v>0</v>
      </c>
    </row>
    <row r="16" spans="1:46" ht="33.75" customHeight="1">
      <c r="J16" s="181"/>
      <c r="K16" s="34"/>
      <c r="L16" s="34"/>
      <c r="M16" s="172">
        <v>5</v>
      </c>
      <c r="N16" s="199" t="str">
        <f>[5]DATA!L127</f>
        <v>Development of Railway Quality Assurance Facility</v>
      </c>
      <c r="O16" s="1402">
        <f>[5]DATA!T127</f>
        <v>0</v>
      </c>
      <c r="P16" s="187">
        <f>[5]DATA!U127</f>
        <v>461428600</v>
      </c>
      <c r="Q16" s="187">
        <f>[5]DATA!V127</f>
        <v>81428600</v>
      </c>
      <c r="R16" s="187">
        <f>[5]DATA!W127</f>
        <v>0</v>
      </c>
      <c r="S16" s="1447">
        <f t="shared" si="4"/>
        <v>542857200</v>
      </c>
      <c r="T16" s="1550" t="s">
        <v>1095</v>
      </c>
      <c r="U16" s="1449"/>
      <c r="V16" s="77">
        <v>0</v>
      </c>
      <c r="W16" s="77">
        <f>[5]DATA!AA127</f>
        <v>461428600</v>
      </c>
      <c r="X16" s="1450" t="str">
        <f>[5]DATA!Y127</f>
        <v>Belum Ada Indikasi</v>
      </c>
      <c r="Y16" s="109">
        <v>461428600</v>
      </c>
      <c r="Z16" s="109" t="s">
        <v>633</v>
      </c>
      <c r="AA16" s="1484" t="s">
        <v>879</v>
      </c>
      <c r="AB16" s="828"/>
      <c r="AC16" s="1485"/>
      <c r="AD16" s="1486"/>
      <c r="AE16" s="1486"/>
      <c r="AF16" s="1486"/>
      <c r="AG16" s="1514"/>
      <c r="AH16" s="1509">
        <f>[5]DATA!AT127</f>
        <v>461428600</v>
      </c>
      <c r="AI16" s="109" t="str">
        <f>[5]DATA!AU127</f>
        <v>Belum Ada Indikasi</v>
      </c>
      <c r="AJ16" s="1544" t="e">
        <f>[5]DATA!AW127</f>
        <v>#REF!</v>
      </c>
      <c r="AK16" s="245" t="e">
        <f>[5]DATA!AM127</f>
        <v>#REF!</v>
      </c>
      <c r="AL16" s="1512" t="str">
        <f>[5]DATA!AN127</f>
        <v>belum ada keterangan</v>
      </c>
      <c r="AM16" s="1512" t="str">
        <f>[5]DATA!AO127</f>
        <v>belum ada keterangan</v>
      </c>
      <c r="AN16" s="1545" t="e">
        <f>[5]DATA!AQ127</f>
        <v>#REF!</v>
      </c>
      <c r="AO16" s="1664" t="str">
        <f>[5]DATA!AR127</f>
        <v>belum ada dokumen R/C</v>
      </c>
      <c r="AQ16" s="10">
        <f t="shared" si="0"/>
        <v>0</v>
      </c>
      <c r="AR16" s="10">
        <f t="shared" si="1"/>
        <v>0</v>
      </c>
      <c r="AS16" s="10">
        <f t="shared" si="2"/>
        <v>461428600</v>
      </c>
      <c r="AT16" s="10">
        <f t="shared" si="3"/>
        <v>0</v>
      </c>
    </row>
    <row r="17" spans="1:46" ht="34.5" customHeight="1">
      <c r="J17" s="181"/>
      <c r="K17" s="34"/>
      <c r="L17" s="34"/>
      <c r="M17" s="172">
        <v>6</v>
      </c>
      <c r="N17" s="199" t="str">
        <f>[5]DATA!L128</f>
        <v>Construction of Railway line for Bitung - Gorontalo - Isimu</v>
      </c>
      <c r="O17" s="1402">
        <f>[5]DATA!T128</f>
        <v>0</v>
      </c>
      <c r="P17" s="187">
        <f>[5]DATA!U128</f>
        <v>505476800</v>
      </c>
      <c r="Q17" s="187">
        <f>[5]DATA!V128</f>
        <v>89201771</v>
      </c>
      <c r="R17" s="187">
        <f>[5]DATA!W128</f>
        <v>0</v>
      </c>
      <c r="S17" s="1447">
        <f t="shared" si="4"/>
        <v>594678571</v>
      </c>
      <c r="T17" s="1448"/>
      <c r="U17" s="1449"/>
      <c r="V17" s="77">
        <v>0</v>
      </c>
      <c r="W17" s="77">
        <f>[5]DATA!AA128</f>
        <v>505476800</v>
      </c>
      <c r="X17" s="1450" t="str">
        <f>[5]DATA!Y128</f>
        <v>Belum Ada Indikasi</v>
      </c>
      <c r="Y17" s="109">
        <v>505476800</v>
      </c>
      <c r="Z17" s="109" t="s">
        <v>636</v>
      </c>
      <c r="AA17" s="1484" t="s">
        <v>879</v>
      </c>
      <c r="AB17" s="828"/>
      <c r="AC17" s="1485"/>
      <c r="AD17" s="1486"/>
      <c r="AE17" s="1486"/>
      <c r="AF17" s="1486"/>
      <c r="AG17" s="1514"/>
      <c r="AH17" s="1509">
        <f>[5]DATA!AT128</f>
        <v>505476800</v>
      </c>
      <c r="AI17" s="109" t="str">
        <f>[5]DATA!AU128</f>
        <v>Belum Ada Indikasi</v>
      </c>
      <c r="AJ17" s="1544" t="e">
        <f>[5]DATA!AW128</f>
        <v>#REF!</v>
      </c>
      <c r="AK17" s="245" t="e">
        <f>[5]DATA!AM128</f>
        <v>#REF!</v>
      </c>
      <c r="AL17" s="1512" t="str">
        <f>[5]DATA!AN128</f>
        <v>belum ada keterangan</v>
      </c>
      <c r="AM17" s="1512" t="str">
        <f>[5]DATA!AO128</f>
        <v>belum ada keterangan</v>
      </c>
      <c r="AN17" s="1545" t="e">
        <f>[5]DATA!AQ128</f>
        <v>#REF!</v>
      </c>
      <c r="AO17" s="1664" t="str">
        <f>[5]DATA!AR128</f>
        <v>belum ada dokumen R/C</v>
      </c>
      <c r="AQ17" s="10">
        <f t="shared" si="0"/>
        <v>0</v>
      </c>
      <c r="AR17" s="10">
        <f t="shared" si="1"/>
        <v>0</v>
      </c>
      <c r="AS17" s="10">
        <f t="shared" si="2"/>
        <v>0</v>
      </c>
      <c r="AT17" s="10">
        <f t="shared" si="3"/>
        <v>0</v>
      </c>
    </row>
    <row r="18" spans="1:46" ht="33" customHeight="1">
      <c r="J18" s="181"/>
      <c r="K18" s="34"/>
      <c r="L18" s="34"/>
      <c r="M18" s="172">
        <v>7</v>
      </c>
      <c r="N18" s="199" t="str">
        <f>[5]DATA!L129</f>
        <v>Construction of Railway line for Pare-pare - Mamuju</v>
      </c>
      <c r="O18" s="1402">
        <f>[5]DATA!T129</f>
        <v>0</v>
      </c>
      <c r="P18" s="187">
        <f>[5]DATA!U129</f>
        <v>399167600</v>
      </c>
      <c r="Q18" s="187">
        <f>[5]DATA!V129</f>
        <v>70441329</v>
      </c>
      <c r="R18" s="187">
        <f>[5]DATA!W129</f>
        <v>0</v>
      </c>
      <c r="S18" s="1447">
        <f t="shared" si="4"/>
        <v>469608929</v>
      </c>
      <c r="T18" s="1448"/>
      <c r="U18" s="1449"/>
      <c r="V18" s="77">
        <v>0</v>
      </c>
      <c r="W18" s="77">
        <f>[5]DATA!AA129</f>
        <v>399167600</v>
      </c>
      <c r="X18" s="1450" t="str">
        <f>[5]DATA!Y129</f>
        <v>Belum Ada Indikasi</v>
      </c>
      <c r="Y18" s="109">
        <v>399167600</v>
      </c>
      <c r="Z18" s="109" t="s">
        <v>636</v>
      </c>
      <c r="AA18" s="1484" t="s">
        <v>879</v>
      </c>
      <c r="AB18" s="828"/>
      <c r="AC18" s="1485"/>
      <c r="AD18" s="1486"/>
      <c r="AE18" s="1486"/>
      <c r="AF18" s="1486"/>
      <c r="AG18" s="1514"/>
      <c r="AH18" s="1509">
        <f>[5]DATA!AT129</f>
        <v>399167600</v>
      </c>
      <c r="AI18" s="109" t="str">
        <f>[5]DATA!AU129</f>
        <v>Belum Ada Indikasi</v>
      </c>
      <c r="AJ18" s="1544" t="e">
        <f>[5]DATA!AW129</f>
        <v>#REF!</v>
      </c>
      <c r="AK18" s="245" t="e">
        <f>[5]DATA!AM129</f>
        <v>#REF!</v>
      </c>
      <c r="AL18" s="1512" t="str">
        <f>[5]DATA!AN129</f>
        <v>belum ada keterangan</v>
      </c>
      <c r="AM18" s="1512" t="str">
        <f>[5]DATA!AO129</f>
        <v>belum ada keterangan</v>
      </c>
      <c r="AN18" s="1545" t="e">
        <f>[5]DATA!AQ129</f>
        <v>#REF!</v>
      </c>
      <c r="AO18" s="1555" t="str">
        <f>[5]DATA!AR129</f>
        <v>belum ada dokumen R/C</v>
      </c>
      <c r="AQ18" s="10">
        <f t="shared" si="0"/>
        <v>0</v>
      </c>
      <c r="AR18" s="10">
        <f t="shared" si="1"/>
        <v>0</v>
      </c>
      <c r="AS18" s="10">
        <f t="shared" si="2"/>
        <v>0</v>
      </c>
      <c r="AT18" s="10">
        <f t="shared" si="3"/>
        <v>0</v>
      </c>
    </row>
    <row r="19" spans="1:46" s="3" customFormat="1" ht="30" customHeight="1">
      <c r="J19" s="3450" t="s">
        <v>477</v>
      </c>
      <c r="K19" s="3451"/>
      <c r="L19" s="3451"/>
      <c r="M19" s="3573"/>
      <c r="N19" s="3573"/>
      <c r="O19" s="282" t="e">
        <f>+O8+#REF!</f>
        <v>#REF!</v>
      </c>
      <c r="P19" s="278" t="e">
        <f>+P8+#REF!</f>
        <v>#REF!</v>
      </c>
      <c r="Q19" s="1460" t="e">
        <f>+Q8+#REF!</f>
        <v>#REF!</v>
      </c>
      <c r="R19" s="1460" t="e">
        <f>+R8+#REF!</f>
        <v>#REF!</v>
      </c>
      <c r="S19" s="288" t="e">
        <f t="shared" si="4"/>
        <v>#REF!</v>
      </c>
      <c r="T19" s="1461"/>
      <c r="U19" s="279"/>
      <c r="V19" s="280" t="e">
        <f>+V8+#REF!</f>
        <v>#REF!</v>
      </c>
      <c r="W19" s="280" t="e">
        <f>+W8+#REF!</f>
        <v>#REF!</v>
      </c>
      <c r="X19" s="287"/>
      <c r="Y19" s="280">
        <f>Y8</f>
        <v>7326239900</v>
      </c>
      <c r="Z19" s="280"/>
      <c r="AA19" s="280"/>
      <c r="AB19" s="1490"/>
      <c r="AC19" s="1490"/>
      <c r="AD19" s="1490"/>
      <c r="AE19" s="1490"/>
      <c r="AF19" s="1490"/>
      <c r="AG19" s="285"/>
      <c r="AH19" s="279" t="e">
        <f>+AH8+#REF!</f>
        <v>#REF!</v>
      </c>
      <c r="AI19" s="280" t="s">
        <v>21</v>
      </c>
      <c r="AJ19" s="280" t="s">
        <v>21</v>
      </c>
      <c r="AK19" s="1523"/>
      <c r="AL19" s="1524"/>
      <c r="AM19" s="1525"/>
      <c r="AN19" s="1526"/>
      <c r="AO19" s="1534"/>
      <c r="AP19" s="12"/>
      <c r="AQ19" s="1535">
        <f>SUM(AQ9:AQ18)</f>
        <v>419166900</v>
      </c>
      <c r="AR19" s="1535">
        <f>SUM(AR9:AR18)</f>
        <v>5441000000</v>
      </c>
      <c r="AS19" s="1535">
        <f>SUM(AS9:AS18)</f>
        <v>461428600</v>
      </c>
      <c r="AT19" s="1535">
        <f>SUM(AT9:AT18)</f>
        <v>0</v>
      </c>
    </row>
    <row r="20" spans="1:46" s="12" customFormat="1">
      <c r="A20" s="10"/>
      <c r="B20" s="10"/>
      <c r="C20" s="10"/>
      <c r="D20" s="10"/>
      <c r="E20" s="10"/>
      <c r="F20" s="10"/>
      <c r="G20" s="10"/>
      <c r="H20" s="10"/>
      <c r="I20" s="10"/>
      <c r="J20" s="11"/>
      <c r="K20" s="10"/>
      <c r="L20" s="10"/>
      <c r="M20" s="1425"/>
      <c r="N20" s="1426"/>
      <c r="O20" s="13"/>
      <c r="P20" s="13"/>
      <c r="Q20" s="1395"/>
      <c r="R20" s="1395"/>
      <c r="S20" s="13"/>
      <c r="T20" s="13"/>
      <c r="U20" s="14"/>
      <c r="V20" s="13"/>
      <c r="W20" s="13"/>
      <c r="X20" s="13"/>
      <c r="Y20" s="13"/>
      <c r="Z20" s="13"/>
      <c r="AA20" s="13"/>
      <c r="AB20" s="13"/>
      <c r="AC20" s="13"/>
      <c r="AD20" s="13"/>
      <c r="AE20" s="13"/>
      <c r="AF20" s="13"/>
      <c r="AG20" s="13"/>
      <c r="AK20" s="14"/>
      <c r="AL20" s="14"/>
      <c r="AM20" s="14"/>
      <c r="AN20" s="14"/>
      <c r="AO20" s="175"/>
    </row>
    <row r="21" spans="1:46" s="12" customFormat="1">
      <c r="A21" s="10"/>
      <c r="B21" s="10"/>
      <c r="C21" s="10"/>
      <c r="D21" s="10"/>
      <c r="E21" s="10"/>
      <c r="F21" s="10"/>
      <c r="G21" s="10"/>
      <c r="H21" s="10"/>
      <c r="I21" s="10"/>
      <c r="J21" s="11"/>
      <c r="K21" s="10" t="s">
        <v>1111</v>
      </c>
      <c r="L21" s="10"/>
      <c r="M21" s="10"/>
      <c r="O21" s="13"/>
      <c r="P21" s="13"/>
      <c r="Q21" s="1395"/>
      <c r="R21" s="1395"/>
      <c r="S21" s="13"/>
      <c r="T21" s="13"/>
      <c r="U21" s="14"/>
      <c r="V21" s="13" t="e">
        <f>V19+W19</f>
        <v>#REF!</v>
      </c>
      <c r="W21" s="13"/>
      <c r="X21" s="13"/>
      <c r="Y21" s="13"/>
      <c r="Z21" s="13"/>
      <c r="AA21" s="13"/>
      <c r="AB21" s="13"/>
      <c r="AC21" s="13"/>
      <c r="AD21" s="13"/>
      <c r="AE21" s="13"/>
      <c r="AF21" s="13"/>
      <c r="AG21" s="13"/>
      <c r="AH21" s="289"/>
      <c r="AK21" s="14"/>
      <c r="AL21" s="14"/>
      <c r="AM21" s="14"/>
      <c r="AN21" s="14"/>
      <c r="AO21" s="175"/>
      <c r="AP21" s="10"/>
    </row>
    <row r="22" spans="1:46">
      <c r="V22" s="13" t="e">
        <f>V21-AH19</f>
        <v>#REF!</v>
      </c>
      <c r="Y22" s="13">
        <f>Y19+5809063500</f>
        <v>13135303400</v>
      </c>
      <c r="Z22" s="13" t="e">
        <f>Y19-#REF!</f>
        <v>#REF!</v>
      </c>
    </row>
    <row r="24" spans="1:46">
      <c r="AH24" s="289"/>
    </row>
    <row r="25" spans="1:46">
      <c r="Y25" s="13" t="e">
        <f>#REF!+#REF!+#REF!+#REF!+#REF!+#REF!+#REF!+#REF!+#REF!+#REF!+#REF!+#REF!+#REF!+#REF!+#REF!+#REF!+#REF!+#REF!+Y13+#REF!+#REF!+#REF!</f>
        <v>#REF!</v>
      </c>
      <c r="AP25" s="12"/>
    </row>
    <row r="26" spans="1:46" s="12" customFormat="1">
      <c r="A26" s="10"/>
      <c r="B26" s="10"/>
      <c r="C26" s="10"/>
      <c r="D26" s="10"/>
      <c r="E26" s="10"/>
      <c r="F26" s="10"/>
      <c r="G26" s="10"/>
      <c r="H26" s="10"/>
      <c r="I26" s="10"/>
      <c r="J26" s="11"/>
      <c r="K26" s="10"/>
      <c r="L26" s="10"/>
      <c r="M26" s="10"/>
      <c r="O26" s="13"/>
      <c r="P26" s="13"/>
      <c r="Q26" s="1395"/>
      <c r="R26" s="1395"/>
      <c r="S26" s="13"/>
      <c r="T26" s="13"/>
      <c r="U26" s="14"/>
      <c r="V26" s="13"/>
      <c r="W26" s="13"/>
      <c r="X26" s="13"/>
      <c r="Y26" s="13"/>
      <c r="Z26" s="13"/>
      <c r="AA26" s="13"/>
      <c r="AB26" s="13"/>
      <c r="AC26" s="13"/>
      <c r="AD26" s="13"/>
      <c r="AE26" s="13"/>
      <c r="AF26" s="13"/>
      <c r="AG26" s="13"/>
      <c r="AI26" s="289"/>
      <c r="AK26" s="14"/>
      <c r="AL26" s="14"/>
      <c r="AM26" s="14"/>
      <c r="AN26" s="14"/>
      <c r="AO26" s="175"/>
    </row>
    <row r="27" spans="1:46" s="12" customFormat="1">
      <c r="A27" s="10"/>
      <c r="B27" s="10"/>
      <c r="C27" s="10"/>
      <c r="D27" s="10"/>
      <c r="E27" s="10"/>
      <c r="F27" s="10"/>
      <c r="G27" s="10"/>
      <c r="H27" s="10"/>
      <c r="I27" s="10"/>
      <c r="J27" s="11"/>
      <c r="K27" s="10"/>
      <c r="L27" s="10"/>
      <c r="M27" s="10"/>
      <c r="O27" s="13"/>
      <c r="P27" s="13"/>
      <c r="Q27" s="1395"/>
      <c r="R27" s="1395"/>
      <c r="S27" s="13"/>
      <c r="T27" s="13"/>
      <c r="U27" s="14"/>
      <c r="V27" s="13"/>
      <c r="W27" s="13"/>
      <c r="X27" s="13"/>
      <c r="Y27" s="13" t="e">
        <f>#REF!+#REF!+#REF!+#REF!+#REF!+#REF!+#REF!+#REF!+#REF!+#REF!+#REF!+#REF!+#REF!+#REF!+#REF!+#REF!+#REF!+Y13+#REF!+#REF!+#REF!+#REF!+#REF!+#REF!+#REF!+#REF!+#REF!+71100000</f>
        <v>#REF!</v>
      </c>
      <c r="Z27" s="13"/>
      <c r="AA27" s="13"/>
      <c r="AB27" s="13"/>
      <c r="AC27" s="13"/>
      <c r="AD27" s="13"/>
      <c r="AE27" s="13"/>
      <c r="AF27" s="13"/>
      <c r="AG27" s="13"/>
      <c r="AH27" s="289"/>
      <c r="AK27" s="14"/>
      <c r="AL27" s="14"/>
      <c r="AM27" s="14"/>
      <c r="AN27" s="14"/>
      <c r="AO27" s="175"/>
      <c r="AP27" s="1536"/>
    </row>
    <row r="28" spans="1:46" s="12" customFormat="1">
      <c r="A28" s="10"/>
      <c r="B28" s="10"/>
      <c r="C28" s="10"/>
      <c r="D28" s="10"/>
      <c r="E28" s="10"/>
      <c r="F28" s="10"/>
      <c r="G28" s="10"/>
      <c r="H28" s="10"/>
      <c r="I28" s="10"/>
      <c r="J28" s="11"/>
      <c r="K28" s="10"/>
      <c r="L28" s="10"/>
      <c r="M28" s="10"/>
      <c r="O28" s="13"/>
      <c r="P28" s="13"/>
      <c r="Q28" s="1395"/>
      <c r="R28" s="1395"/>
      <c r="S28" s="13"/>
      <c r="T28" s="13"/>
      <c r="U28" s="14"/>
      <c r="V28" s="13"/>
      <c r="W28" s="13"/>
      <c r="X28" s="13"/>
      <c r="Y28" s="13"/>
      <c r="Z28" s="13"/>
      <c r="AA28" s="13"/>
      <c r="AB28" s="13"/>
      <c r="AC28" s="13"/>
      <c r="AD28" s="13"/>
      <c r="AE28" s="13"/>
      <c r="AF28" s="13"/>
      <c r="AG28" s="13"/>
      <c r="AK28" s="14"/>
      <c r="AL28" s="14"/>
      <c r="AM28" s="14"/>
      <c r="AN28" s="14"/>
      <c r="AO28" s="175"/>
      <c r="AP28" s="10"/>
    </row>
  </sheetData>
  <autoFilter ref="A7:AO19"/>
  <mergeCells count="21">
    <mergeCell ref="J19:N19"/>
    <mergeCell ref="M11:M12"/>
    <mergeCell ref="O5:O6"/>
    <mergeCell ref="P5:P6"/>
    <mergeCell ref="Q5:Q6"/>
    <mergeCell ref="J5:N6"/>
    <mergeCell ref="J1:AO1"/>
    <mergeCell ref="J2:AO2"/>
    <mergeCell ref="U4:AJ4"/>
    <mergeCell ref="AK4:AO4"/>
    <mergeCell ref="U5:X5"/>
    <mergeCell ref="AB5:AF5"/>
    <mergeCell ref="AH5:AJ5"/>
    <mergeCell ref="AK5:AO5"/>
    <mergeCell ref="R5:R6"/>
    <mergeCell ref="S5:S6"/>
    <mergeCell ref="T5:T6"/>
    <mergeCell ref="Y5:Y6"/>
    <mergeCell ref="Z5:Z6"/>
    <mergeCell ref="AA5:AA6"/>
    <mergeCell ref="AG5:AG6"/>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4506668294322"/>
    <pageSetUpPr fitToPage="1"/>
  </sheetPr>
  <dimension ref="A1:AT43"/>
  <sheetViews>
    <sheetView topLeftCell="J1" zoomScale="70" zoomScaleNormal="70" workbookViewId="0">
      <pane ySplit="7" topLeftCell="A23" activePane="bottomLeft" state="frozen"/>
      <selection pane="bottomLeft" activeCell="J34" sqref="J34:N34"/>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1345</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[6]DATA!B2</f>
        <v>I</v>
      </c>
      <c r="K8" s="22" t="str">
        <f>'[6]ALL-USD40.1M'!K155</f>
        <v>NON-INFRASTRUKTUR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Y9+Y23</f>
        <v>1114936100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55.5" customHeight="1">
      <c r="J9" s="179"/>
      <c r="K9" s="25">
        <v>1</v>
      </c>
      <c r="L9" s="3684" t="str">
        <f>'[6]ALL-USD40.1M'!L167</f>
        <v>Kementerian Agama</v>
      </c>
      <c r="M9" s="3685"/>
      <c r="N9" s="3686"/>
      <c r="O9" s="213" t="e">
        <f>#REF!+#REF!+#REF!+#REF!+#REF!+#REF!+#REF!+#REF!+O10+#REF!+#REF!+#REF!+#REF!+#REF!+#REF!</f>
        <v>#REF!</v>
      </c>
      <c r="P9" s="194" t="e">
        <f>+#REF!+#REF!+#REF!+#REF!+#REF!+#REF!+#REF!+#REF!+P10+#REF!+#REF!+#REF!+#REF!+#REF!+#REF!</f>
        <v>#REF!</v>
      </c>
      <c r="Q9" s="194" t="e">
        <f>+#REF!+#REF!+#REF!+#REF!+#REF!+#REF!+#REF!+#REF!+Q10+#REF!+#REF!+#REF!+#REF!+#REF!+#REF!</f>
        <v>#REF!</v>
      </c>
      <c r="R9" s="194" t="e">
        <f>+#REF!+#REF!+#REF!+#REF!+#REF!+#REF!+#REF!+#REF!+R10+#REF!+#REF!+#REF!+#REF!+#REF!+#REF!</f>
        <v>#REF!</v>
      </c>
      <c r="S9" s="242" t="e">
        <f>+#REF!+#REF!+#REF!+#REF!+#REF!+#REF!+#REF!+#REF!+S10+#REF!+#REF!+#REF!+#REF!+#REF!+#REF!</f>
        <v>#REF!</v>
      </c>
      <c r="T9" s="1538"/>
      <c r="U9" s="195"/>
      <c r="V9" s="80" t="e">
        <f>+#REF!+#REF!+#REF!+#REF!+#REF!+#REF!+#REF!+#REF!+V10+#REF!+#REF!+#REF!+#REF!+#REF!+#REF!</f>
        <v>#REF!</v>
      </c>
      <c r="W9" s="80" t="e">
        <f>+#REF!+#REF!+#REF!+#REF!+#REF!+#REF!+#REF!+#REF!+W10+#REF!+#REF!+#REF!+#REF!+#REF!+#REF!</f>
        <v>#REF!</v>
      </c>
      <c r="X9" s="241" t="e">
        <f>+#REF!+#REF!+#REF!+#REF!+#REF!+#REF!+#REF!+X10+#REF!+#REF!+#REF!+#REF!+#REF!</f>
        <v>#REF!</v>
      </c>
      <c r="Y9" s="80">
        <f>Y10+Y23</f>
        <v>764538500</v>
      </c>
      <c r="Z9" s="80"/>
      <c r="AA9" s="226"/>
      <c r="AB9" s="1465"/>
      <c r="AC9" s="1465"/>
      <c r="AD9" s="1465"/>
      <c r="AE9" s="1465"/>
      <c r="AF9" s="1465"/>
      <c r="AG9" s="1540"/>
      <c r="AH9" s="195" t="e">
        <f>+#REF!+#REF!+#REF!+#REF!+#REF!+#REF!+#REF!+#REF!+AH10+#REF!+#REF!+#REF!+#REF!+#REF!+#REF!</f>
        <v>#REF!</v>
      </c>
      <c r="AI9" s="80" t="s">
        <v>21</v>
      </c>
      <c r="AJ9" s="213"/>
      <c r="AK9" s="1501"/>
      <c r="AL9" s="1541"/>
      <c r="AM9" s="1542"/>
      <c r="AN9" s="1543"/>
      <c r="AO9" s="1546"/>
    </row>
    <row r="10" spans="1:46" s="5" customFormat="1" ht="33.75" customHeight="1">
      <c r="J10" s="180"/>
      <c r="K10" s="50"/>
      <c r="L10" s="30" t="str">
        <f>'[6]ALL-USD40.1M'!L168</f>
        <v>A</v>
      </c>
      <c r="M10" s="3427" t="str">
        <f>'[6]ALL-USD40.1M'!M168:N168</f>
        <v>Program Peningkatan Akses, Kualitas, Relevansi, dan Daya Saing Pendidikan Tinggi Islam</v>
      </c>
      <c r="N10" s="3446"/>
      <c r="O10" s="214" t="e">
        <f>O11+#REF!+#REF!+#REF!+#REF!+#REF!+#REF!+#REF!+#REF!+#REF!+#REF!</f>
        <v>#REF!</v>
      </c>
      <c r="P10" s="197" t="e">
        <f>P11+#REF!+#REF!+#REF!+#REF!+#REF!+#REF!+#REF!+#REF!+#REF!+#REF!</f>
        <v>#REF!</v>
      </c>
      <c r="Q10" s="1436" t="e">
        <f>SUM(Q11:Q25)</f>
        <v>#REF!</v>
      </c>
      <c r="R10" s="1436" t="e">
        <f>R11+#REF!+#REF!+#REF!+#REF!+#REF!+#REF!+#REF!+#REF!+#REF!+#REF!</f>
        <v>#REF!</v>
      </c>
      <c r="S10" s="244" t="e">
        <f t="shared" ref="S10:S11" si="0">P10+Q10+R10</f>
        <v>#REF!</v>
      </c>
      <c r="T10" s="1437"/>
      <c r="U10" s="198"/>
      <c r="V10" s="81" t="e">
        <f>SUM(V11:V25)</f>
        <v>#REF!</v>
      </c>
      <c r="W10" s="81" t="e">
        <f>SUM(W11:W25)</f>
        <v>#REF!</v>
      </c>
      <c r="X10" s="243" t="e">
        <f>SUM(X11:X25)</f>
        <v>#REF!</v>
      </c>
      <c r="Y10" s="81">
        <f>SUM(Y11:Y22)</f>
        <v>414140900</v>
      </c>
      <c r="Z10" s="81"/>
      <c r="AA10" s="1469"/>
      <c r="AB10" s="1470"/>
      <c r="AC10" s="1470"/>
      <c r="AD10" s="1470"/>
      <c r="AE10" s="1573"/>
      <c r="AF10" s="1469"/>
      <c r="AG10" s="1577"/>
      <c r="AH10" s="198" t="e">
        <f>SUM(AH11:AH25)</f>
        <v>#REF!</v>
      </c>
      <c r="AI10" s="81">
        <f>SUM(AI11:AI25)</f>
        <v>0</v>
      </c>
      <c r="AJ10" s="214">
        <f>SUM(AJ11:AJ25)</f>
        <v>0</v>
      </c>
      <c r="AK10" s="1505"/>
      <c r="AL10" s="1506"/>
      <c r="AM10" s="169"/>
      <c r="AN10" s="1507"/>
      <c r="AO10" s="1530"/>
      <c r="AQ10" s="10">
        <f t="shared" ref="AQ10:AQ11" si="1">IF(Z10="RRT",Y10,0)</f>
        <v>0</v>
      </c>
      <c r="AR10" s="10">
        <f t="shared" ref="AR10:AR11" si="2">IF(Z10="JICA",Y10,0)</f>
        <v>0</v>
      </c>
      <c r="AS10" s="10">
        <f t="shared" ref="AS10:AS11" si="3">IF(Z10="Belum ada indikasi",Y10,0)</f>
        <v>0</v>
      </c>
      <c r="AT10" s="10">
        <f t="shared" ref="AT10:AT11" si="4">IF(Z10="Korea",Y10,0)</f>
        <v>0</v>
      </c>
    </row>
    <row r="11" spans="1:46" ht="54.75" customHeight="1">
      <c r="A11" s="10">
        <f>[6]DATA!A67</f>
        <v>51</v>
      </c>
      <c r="B11" s="10" t="e">
        <f>[6]DATA!B67</f>
        <v>#REF!</v>
      </c>
      <c r="C11" s="10" t="str">
        <f>[6]DATA!D67</f>
        <v>INFRASTRUKTUR</v>
      </c>
      <c r="D11" s="10">
        <f>[6]DATA!E67</f>
        <v>1</v>
      </c>
      <c r="E11" s="10" t="str">
        <f>[6]DATA!F67</f>
        <v>Kementerian Pekerjaan Umum dan Perumahan Rakyat</v>
      </c>
      <c r="F11" s="10" t="str">
        <f>[6]DATA!H67</f>
        <v>Development and Management of Irrigation Program</v>
      </c>
      <c r="G11" s="10" t="str">
        <f>[6]DATA!I67</f>
        <v>I</v>
      </c>
      <c r="H11" s="10" t="str">
        <f>[6]DATA!J67</f>
        <v>Program Pengembangan dan Pengelolaan Irigasi</v>
      </c>
      <c r="I11" s="10">
        <f>[6]DATA!K67</f>
        <v>1</v>
      </c>
      <c r="J11" s="181"/>
      <c r="K11" s="34"/>
      <c r="L11" s="34"/>
      <c r="M11" s="3390">
        <v>1</v>
      </c>
      <c r="N11" s="1412" t="str">
        <f>'[6]ALL-USD40.1M'!N169</f>
        <v>Improvement and Optimalization of Sunan Ampel Surabaya State Islamic University</v>
      </c>
      <c r="O11" s="1413">
        <f>[6]DATA!T66</f>
        <v>700000000</v>
      </c>
      <c r="P11" s="1414">
        <f>[6]DATA!U66</f>
        <v>700000000</v>
      </c>
      <c r="Q11" s="1598">
        <f>[6]DATA!V66</f>
        <v>70000000</v>
      </c>
      <c r="R11" s="1598">
        <f>[6]DATA!W66</f>
        <v>0</v>
      </c>
      <c r="S11" s="1438">
        <f t="shared" si="0"/>
        <v>770000000</v>
      </c>
      <c r="T11" s="1439"/>
      <c r="U11" s="1449" t="str">
        <f>[6]DATA!Y67</f>
        <v>ADB</v>
      </c>
      <c r="V11" s="77">
        <f>[6]DATA!AA67</f>
        <v>600000000</v>
      </c>
      <c r="W11" s="77">
        <v>0</v>
      </c>
      <c r="X11" s="1450" t="str">
        <f>[6]DATA!Y67</f>
        <v>ADB</v>
      </c>
      <c r="Y11" s="109">
        <f>'[6]ALL-USD40.1M'!Y169</f>
        <v>40000000</v>
      </c>
      <c r="Z11" s="109" t="str">
        <f>'[6]ALL-USD40.1M'!Z169</f>
        <v>IDB</v>
      </c>
      <c r="AA11" s="3259" t="str">
        <f>'[6]ALL-USD40.1M'!AA169</f>
        <v>GB 2017</v>
      </c>
      <c r="AB11" s="1474"/>
      <c r="AC11" s="1474"/>
      <c r="AD11" s="1474"/>
      <c r="AE11" s="1609"/>
      <c r="AF11" s="1610"/>
      <c r="AG11" s="3276" t="s">
        <v>1186</v>
      </c>
      <c r="AH11" s="1509">
        <f>[6]DATA!AT67</f>
        <v>600000000</v>
      </c>
      <c r="AI11" s="109" t="str">
        <f>[6]DATA!AU67</f>
        <v>ADB</v>
      </c>
      <c r="AJ11" s="1544" t="str">
        <f>[6]DATA!AW67</f>
        <v>-</v>
      </c>
      <c r="AK11" s="245" t="str">
        <f>[6]DATA!AM67</f>
        <v>2016; 2015</v>
      </c>
      <c r="AL11" s="1624" t="str">
        <f>[6]DATA!AN67</f>
        <v>siap</v>
      </c>
      <c r="AM11" s="1583" t="str">
        <f>[6]DATA!AO67</f>
        <v>belum ada keterangan</v>
      </c>
      <c r="AN11" s="1545" t="e">
        <f>[6]DATA!AQ67</f>
        <v>#REF!</v>
      </c>
      <c r="AO11" s="1547" t="str">
        <f>[6]DATA!AR67</f>
        <v>-</v>
      </c>
      <c r="AQ11" s="10">
        <f t="shared" si="1"/>
        <v>0</v>
      </c>
      <c r="AR11" s="10">
        <f t="shared" si="2"/>
        <v>0</v>
      </c>
      <c r="AS11" s="10">
        <f t="shared" si="3"/>
        <v>0</v>
      </c>
      <c r="AT11" s="10">
        <f t="shared" si="4"/>
        <v>0</v>
      </c>
    </row>
    <row r="12" spans="1:46" ht="54.75" customHeight="1">
      <c r="J12" s="181"/>
      <c r="K12" s="34"/>
      <c r="L12" s="34"/>
      <c r="M12" s="3392"/>
      <c r="N12" s="1412" t="str">
        <f>'[6]ALL-USD40.1M'!N170</f>
        <v>Improvement Access and Quality of State Islamic Institute  Suthan Maulana Hasanuddin Banten</v>
      </c>
      <c r="O12" s="1413"/>
      <c r="P12" s="1414"/>
      <c r="Q12" s="1598"/>
      <c r="R12" s="1598"/>
      <c r="S12" s="1438"/>
      <c r="T12" s="1439"/>
      <c r="U12" s="1449"/>
      <c r="V12" s="77"/>
      <c r="W12" s="77"/>
      <c r="X12" s="1450"/>
      <c r="Y12" s="109">
        <f>'[6]ALL-USD40.1M'!Y170</f>
        <v>40000000</v>
      </c>
      <c r="Z12" s="109" t="str">
        <f>'[6]ALL-USD40.1M'!Z170</f>
        <v>IDB</v>
      </c>
      <c r="AA12" s="270" t="str">
        <f>'[6]ALL-USD40.1M'!AA170</f>
        <v>GB 2017</v>
      </c>
      <c r="AB12" s="1474"/>
      <c r="AC12" s="1474"/>
      <c r="AD12" s="1475"/>
      <c r="AE12" s="1476"/>
      <c r="AF12" s="1476"/>
      <c r="AG12" s="1661"/>
      <c r="AH12" s="1509"/>
      <c r="AI12" s="109"/>
      <c r="AJ12" s="1544"/>
      <c r="AK12" s="245"/>
      <c r="AL12" s="1624"/>
      <c r="AM12" s="1583"/>
      <c r="AN12" s="1545"/>
      <c r="AO12" s="1547"/>
    </row>
    <row r="13" spans="1:46" ht="54.75" customHeight="1">
      <c r="J13" s="181"/>
      <c r="K13" s="34"/>
      <c r="L13" s="34"/>
      <c r="M13" s="3392"/>
      <c r="N13" s="3393" t="str">
        <f>'[6]ALL-USD40.1M'!N171</f>
        <v>Development and Quality Improvement  of Antasari State Islamic Institute</v>
      </c>
      <c r="O13" s="1413"/>
      <c r="P13" s="1414"/>
      <c r="Q13" s="1598"/>
      <c r="R13" s="1598"/>
      <c r="S13" s="1438"/>
      <c r="T13" s="1439"/>
      <c r="U13" s="1449"/>
      <c r="V13" s="77"/>
      <c r="W13" s="77"/>
      <c r="X13" s="1450"/>
      <c r="Y13" s="109">
        <f>'[6]ALL-USD40.1M'!Y171</f>
        <v>39800000</v>
      </c>
      <c r="Z13" s="109" t="str">
        <f>'[6]ALL-USD40.1M'!Z171</f>
        <v>IDB</v>
      </c>
      <c r="AA13" s="270" t="str">
        <f>'[6]ALL-USD40.1M'!AA171</f>
        <v>GB 2017 (USD 39.800.000)</v>
      </c>
      <c r="AB13" s="1474"/>
      <c r="AC13" s="1474"/>
      <c r="AD13" s="1475"/>
      <c r="AE13" s="1476"/>
      <c r="AF13" s="1476"/>
      <c r="AG13" s="1661"/>
      <c r="AH13" s="1509"/>
      <c r="AI13" s="109"/>
      <c r="AJ13" s="1544"/>
      <c r="AK13" s="245"/>
      <c r="AL13" s="1624"/>
      <c r="AM13" s="1583"/>
      <c r="AN13" s="1545"/>
      <c r="AO13" s="1547"/>
    </row>
    <row r="14" spans="1:46" ht="54.75" customHeight="1">
      <c r="J14" s="181"/>
      <c r="K14" s="34"/>
      <c r="L14" s="34"/>
      <c r="M14" s="3392"/>
      <c r="N14" s="3394"/>
      <c r="O14" s="1413"/>
      <c r="P14" s="1414"/>
      <c r="Q14" s="1598"/>
      <c r="R14" s="1598"/>
      <c r="S14" s="1438"/>
      <c r="T14" s="1439"/>
      <c r="U14" s="1449"/>
      <c r="V14" s="77"/>
      <c r="W14" s="77"/>
      <c r="X14" s="1450"/>
      <c r="Y14" s="109">
        <f>'[6]ALL-USD40.1M'!Y172</f>
        <v>100000</v>
      </c>
      <c r="Z14" s="109" t="str">
        <f>'[6]ALL-USD40.1M'!Z172</f>
        <v>Belum Ada Indikasi</v>
      </c>
      <c r="AA14" s="270" t="str">
        <f>'[6]ALL-USD40.1M'!AA172</f>
        <v>Belum proses</v>
      </c>
      <c r="AB14" s="1474"/>
      <c r="AC14" s="1474"/>
      <c r="AD14" s="1475"/>
      <c r="AE14" s="1476"/>
      <c r="AF14" s="1476"/>
      <c r="AG14" s="1661"/>
      <c r="AH14" s="1509"/>
      <c r="AI14" s="109"/>
      <c r="AJ14" s="1544"/>
      <c r="AK14" s="245"/>
      <c r="AL14" s="1624"/>
      <c r="AM14" s="1583"/>
      <c r="AN14" s="1545"/>
      <c r="AO14" s="1547"/>
    </row>
    <row r="15" spans="1:46" ht="54.75" customHeight="1">
      <c r="J15" s="181"/>
      <c r="K15" s="34"/>
      <c r="L15" s="34"/>
      <c r="M15" s="3392"/>
      <c r="N15" s="1412" t="str">
        <f>'[6]ALL-USD40.1M'!N173</f>
        <v>Tranformation of State Islamic Institute  Sulthan Thaha Saifuddin to State Islamic University</v>
      </c>
      <c r="O15" s="1413"/>
      <c r="P15" s="1414"/>
      <c r="Q15" s="1598"/>
      <c r="R15" s="1598"/>
      <c r="S15" s="1438"/>
      <c r="T15" s="1439"/>
      <c r="U15" s="1449"/>
      <c r="V15" s="77"/>
      <c r="W15" s="77"/>
      <c r="X15" s="1450"/>
      <c r="Y15" s="109">
        <f>'[6]ALL-USD40.1M'!Y173</f>
        <v>40000000</v>
      </c>
      <c r="Z15" s="109" t="str">
        <f>'[6]ALL-USD40.1M'!Z173</f>
        <v>IDB</v>
      </c>
      <c r="AA15" s="270" t="str">
        <f>'[6]ALL-USD40.1M'!AA173</f>
        <v>GB 2017</v>
      </c>
      <c r="AB15" s="1474"/>
      <c r="AC15" s="1474"/>
      <c r="AD15" s="1475"/>
      <c r="AE15" s="1476"/>
      <c r="AF15" s="1476"/>
      <c r="AG15" s="1661"/>
      <c r="AH15" s="1509"/>
      <c r="AI15" s="109"/>
      <c r="AJ15" s="1544"/>
      <c r="AK15" s="245"/>
      <c r="AL15" s="1624"/>
      <c r="AM15" s="1583"/>
      <c r="AN15" s="1545"/>
      <c r="AO15" s="1547"/>
    </row>
    <row r="16" spans="1:46" ht="54.75" customHeight="1">
      <c r="J16" s="181"/>
      <c r="K16" s="34"/>
      <c r="L16" s="34"/>
      <c r="M16" s="3392"/>
      <c r="N16" s="1412" t="str">
        <f>'[6]ALL-USD40.1M'!N174</f>
        <v>Development and Institutional Transformation of State Islamic Institute  Raden Intan Lampung</v>
      </c>
      <c r="O16" s="1413"/>
      <c r="P16" s="1414"/>
      <c r="Q16" s="1598"/>
      <c r="R16" s="1598"/>
      <c r="S16" s="1438"/>
      <c r="T16" s="1439"/>
      <c r="U16" s="1449"/>
      <c r="V16" s="77"/>
      <c r="W16" s="77"/>
      <c r="X16" s="1450"/>
      <c r="Y16" s="109">
        <f>'[6]ALL-USD40.1M'!Y174</f>
        <v>40000000</v>
      </c>
      <c r="Z16" s="109" t="str">
        <f>'[6]ALL-USD40.1M'!Z174</f>
        <v>IDB</v>
      </c>
      <c r="AA16" s="270" t="str">
        <f>'[6]ALL-USD40.1M'!AA174</f>
        <v>GB 2017</v>
      </c>
      <c r="AB16" s="1474"/>
      <c r="AC16" s="1474"/>
      <c r="AD16" s="1475"/>
      <c r="AE16" s="1476"/>
      <c r="AF16" s="1476"/>
      <c r="AG16" s="1661"/>
      <c r="AH16" s="1509"/>
      <c r="AI16" s="109"/>
      <c r="AJ16" s="1544"/>
      <c r="AK16" s="245"/>
      <c r="AL16" s="1624"/>
      <c r="AM16" s="1583"/>
      <c r="AN16" s="1545"/>
      <c r="AO16" s="1547"/>
    </row>
    <row r="17" spans="10:41" ht="54.75" customHeight="1">
      <c r="J17" s="181"/>
      <c r="K17" s="34"/>
      <c r="L17" s="34"/>
      <c r="M17" s="3392"/>
      <c r="N17" s="3393" t="str">
        <f>'[6]ALL-USD40.1M'!N175</f>
        <v>Development of Imam Bonjol State Islamic Institute Project</v>
      </c>
      <c r="O17" s="1413"/>
      <c r="P17" s="1414"/>
      <c r="Q17" s="1598"/>
      <c r="R17" s="1598"/>
      <c r="S17" s="1438"/>
      <c r="T17" s="1439"/>
      <c r="U17" s="1449"/>
      <c r="V17" s="77"/>
      <c r="W17" s="77"/>
      <c r="X17" s="1450"/>
      <c r="Y17" s="109">
        <f>'[6]ALL-USD40.1M'!Y175</f>
        <v>38200000</v>
      </c>
      <c r="Z17" s="109" t="str">
        <f>'[6]ALL-USD40.1M'!Z175</f>
        <v>IDB</v>
      </c>
      <c r="AA17" s="270" t="str">
        <f>'[6]ALL-USD40.1M'!AA175</f>
        <v>GB 2017 (USD 38.200.000)</v>
      </c>
      <c r="AB17" s="1474"/>
      <c r="AC17" s="1474"/>
      <c r="AD17" s="1475"/>
      <c r="AE17" s="1476"/>
      <c r="AF17" s="1476"/>
      <c r="AG17" s="1661"/>
      <c r="AH17" s="1509"/>
      <c r="AI17" s="109"/>
      <c r="AJ17" s="1544"/>
      <c r="AK17" s="245"/>
      <c r="AL17" s="1624"/>
      <c r="AM17" s="1583"/>
      <c r="AN17" s="1545"/>
      <c r="AO17" s="1547"/>
    </row>
    <row r="18" spans="10:41" ht="54.75" customHeight="1">
      <c r="J18" s="181"/>
      <c r="K18" s="34"/>
      <c r="L18" s="34"/>
      <c r="M18" s="3392"/>
      <c r="N18" s="3394"/>
      <c r="O18" s="1413"/>
      <c r="P18" s="1414"/>
      <c r="Q18" s="1598"/>
      <c r="R18" s="1598"/>
      <c r="S18" s="1438"/>
      <c r="T18" s="1439"/>
      <c r="U18" s="1449"/>
      <c r="V18" s="77"/>
      <c r="W18" s="77"/>
      <c r="X18" s="1450"/>
      <c r="Y18" s="109">
        <f>'[6]ALL-USD40.1M'!Y176</f>
        <v>110000</v>
      </c>
      <c r="Z18" s="109" t="str">
        <f>'[6]ALL-USD40.1M'!Z176</f>
        <v>Belum Ada Indikasi</v>
      </c>
      <c r="AA18" s="270" t="str">
        <f>'[6]ALL-USD40.1M'!AA176</f>
        <v>Belum proses</v>
      </c>
      <c r="AB18" s="1474"/>
      <c r="AC18" s="1474"/>
      <c r="AD18" s="1475"/>
      <c r="AE18" s="1476"/>
      <c r="AF18" s="1476"/>
      <c r="AG18" s="1661"/>
      <c r="AH18" s="1509"/>
      <c r="AI18" s="109"/>
      <c r="AJ18" s="1544"/>
      <c r="AK18" s="245"/>
      <c r="AL18" s="1624"/>
      <c r="AM18" s="1583"/>
      <c r="AN18" s="1545"/>
      <c r="AO18" s="1547"/>
    </row>
    <row r="19" spans="10:41" ht="54.75" customHeight="1">
      <c r="J19" s="181"/>
      <c r="K19" s="34"/>
      <c r="L19" s="34"/>
      <c r="M19" s="3392"/>
      <c r="N19" s="1412" t="str">
        <f>'[6]ALL-USD40.1M'!N177</f>
        <v>The Development of UIN Maulana Malik Ibrahim Malang - Phase II</v>
      </c>
      <c r="O19" s="1413"/>
      <c r="P19" s="1414"/>
      <c r="Q19" s="1598"/>
      <c r="R19" s="1598"/>
      <c r="S19" s="1438"/>
      <c r="T19" s="1439"/>
      <c r="U19" s="1449"/>
      <c r="V19" s="77"/>
      <c r="W19" s="77"/>
      <c r="X19" s="1450"/>
      <c r="Y19" s="109">
        <f>'[6]ALL-USD40.1M'!Y177</f>
        <v>59935500</v>
      </c>
      <c r="Z19" s="109" t="str">
        <f>'[6]ALL-USD40.1M'!Z177</f>
        <v>SFD</v>
      </c>
      <c r="AA19" s="270" t="str">
        <f>'[6]ALL-USD40.1M'!AA177</f>
        <v>Belum proses</v>
      </c>
      <c r="AB19" s="1474"/>
      <c r="AC19" s="1474"/>
      <c r="AD19" s="1475"/>
      <c r="AE19" s="1476"/>
      <c r="AF19" s="1476"/>
      <c r="AG19" s="1661"/>
      <c r="AH19" s="1509"/>
      <c r="AI19" s="109"/>
      <c r="AJ19" s="1544"/>
      <c r="AK19" s="245"/>
      <c r="AL19" s="1624"/>
      <c r="AM19" s="1583"/>
      <c r="AN19" s="1545"/>
      <c r="AO19" s="1547"/>
    </row>
    <row r="20" spans="10:41" ht="54.75" customHeight="1">
      <c r="J20" s="181"/>
      <c r="K20" s="34"/>
      <c r="L20" s="34"/>
      <c r="M20" s="3392"/>
      <c r="N20" s="1412" t="str">
        <f>'[6]ALL-USD40.1M'!N178</f>
        <v>The Development of Ar-Raniry State Islamic University (UIN Ar-Raniry) Phase II Project in Aceh</v>
      </c>
      <c r="O20" s="1413"/>
      <c r="P20" s="1414"/>
      <c r="Q20" s="1598"/>
      <c r="R20" s="1598"/>
      <c r="S20" s="1438"/>
      <c r="T20" s="1439"/>
      <c r="U20" s="1449"/>
      <c r="V20" s="77"/>
      <c r="W20" s="77"/>
      <c r="X20" s="1450"/>
      <c r="Y20" s="109">
        <f>'[6]ALL-USD40.1M'!Y178</f>
        <v>41328200</v>
      </c>
      <c r="Z20" s="109" t="str">
        <f>'[6]ALL-USD40.1M'!Z178</f>
        <v>Belum Ada Indikasi</v>
      </c>
      <c r="AA20" s="270" t="str">
        <f>'[6]ALL-USD40.1M'!AA177</f>
        <v>Belum proses</v>
      </c>
      <c r="AB20" s="1474"/>
      <c r="AC20" s="1474"/>
      <c r="AD20" s="1475"/>
      <c r="AE20" s="1476"/>
      <c r="AF20" s="1476"/>
      <c r="AG20" s="1661"/>
      <c r="AH20" s="1509"/>
      <c r="AI20" s="109"/>
      <c r="AJ20" s="1544"/>
      <c r="AK20" s="245"/>
      <c r="AL20" s="1624"/>
      <c r="AM20" s="1583"/>
      <c r="AN20" s="1545"/>
      <c r="AO20" s="1547"/>
    </row>
    <row r="21" spans="10:41" ht="54.75" customHeight="1">
      <c r="J21" s="181"/>
      <c r="K21" s="34"/>
      <c r="L21" s="34"/>
      <c r="M21" s="3392"/>
      <c r="N21" s="1412" t="str">
        <f>'[6]ALL-USD40.1M'!N179</f>
        <v>The Development and Upgrading of State Islamic University Sunan Gunung Djati, Bandung, Phase 2 Project</v>
      </c>
      <c r="O21" s="1413"/>
      <c r="P21" s="1414"/>
      <c r="Q21" s="1598"/>
      <c r="R21" s="1598"/>
      <c r="S21" s="1438"/>
      <c r="T21" s="1439"/>
      <c r="U21" s="1449"/>
      <c r="V21" s="77"/>
      <c r="W21" s="77"/>
      <c r="X21" s="1450"/>
      <c r="Y21" s="109">
        <f>'[6]ALL-USD40.1M'!Y179</f>
        <v>33442700</v>
      </c>
      <c r="Z21" s="109" t="str">
        <f>'[6]ALL-USD40.1M'!Z179</f>
        <v>Belum Ada Indikasi</v>
      </c>
      <c r="AA21" s="270" t="str">
        <f>'[6]ALL-USD40.1M'!AA179</f>
        <v>Belum proses</v>
      </c>
      <c r="AB21" s="1474"/>
      <c r="AC21" s="1474"/>
      <c r="AD21" s="1475"/>
      <c r="AE21" s="1476"/>
      <c r="AF21" s="1476"/>
      <c r="AG21" s="1661"/>
      <c r="AH21" s="1509"/>
      <c r="AI21" s="109"/>
      <c r="AJ21" s="1544"/>
      <c r="AK21" s="245"/>
      <c r="AL21" s="1624"/>
      <c r="AM21" s="1583"/>
      <c r="AN21" s="1545"/>
      <c r="AO21" s="1547"/>
    </row>
    <row r="22" spans="10:41" ht="54.75" customHeight="1">
      <c r="J22" s="181"/>
      <c r="K22" s="34"/>
      <c r="L22" s="34"/>
      <c r="M22" s="3391"/>
      <c r="N22" s="1412" t="str">
        <f>'[6]ALL-USD40.1M'!N180</f>
        <v>The Development of Faculty of Medicine - Health Sciences and Post Graduates of The Islamic State University of Alaudin, Makassar Project</v>
      </c>
      <c r="O22" s="1413"/>
      <c r="P22" s="1414"/>
      <c r="Q22" s="1598"/>
      <c r="R22" s="1598"/>
      <c r="S22" s="1438"/>
      <c r="T22" s="1439"/>
      <c r="U22" s="1449"/>
      <c r="V22" s="77"/>
      <c r="W22" s="77"/>
      <c r="X22" s="1450"/>
      <c r="Y22" s="109">
        <f>'[6]ALL-USD40.1M'!Y180</f>
        <v>41224500</v>
      </c>
      <c r="Z22" s="109" t="str">
        <f>'[6]ALL-USD40.1M'!Z180</f>
        <v>Belum Ada Indikasi</v>
      </c>
      <c r="AA22" s="270" t="str">
        <f>'[6]ALL-USD40.1M'!AA180</f>
        <v>Belum proses</v>
      </c>
      <c r="AB22" s="1474"/>
      <c r="AC22" s="1474"/>
      <c r="AD22" s="1475"/>
      <c r="AE22" s="1476"/>
      <c r="AF22" s="1476"/>
      <c r="AG22" s="1661"/>
      <c r="AH22" s="1509"/>
      <c r="AI22" s="109"/>
      <c r="AJ22" s="1544"/>
      <c r="AK22" s="245"/>
      <c r="AL22" s="1624"/>
      <c r="AM22" s="1583"/>
      <c r="AN22" s="1545"/>
      <c r="AO22" s="1547"/>
    </row>
    <row r="23" spans="10:41" s="4" customFormat="1" ht="24.95" customHeight="1">
      <c r="J23" s="179"/>
      <c r="K23" s="25">
        <v>2</v>
      </c>
      <c r="L23" s="26" t="str">
        <f>'[6]ALL-USD40.1M'!L156</f>
        <v>Kementerian Riset, Teknologi, dan Pendidikan Tinggi</v>
      </c>
      <c r="M23" s="26"/>
      <c r="N23" s="1416"/>
      <c r="O23" s="213" t="e">
        <v>#REF!</v>
      </c>
      <c r="P23" s="194" t="e">
        <v>#REF!</v>
      </c>
      <c r="Q23" s="194" t="e">
        <v>#REF!</v>
      </c>
      <c r="R23" s="194" t="e">
        <v>#REF!</v>
      </c>
      <c r="S23" s="242" t="e">
        <v>#REF!</v>
      </c>
      <c r="T23" s="1538"/>
      <c r="U23" s="195"/>
      <c r="V23" s="80" t="e">
        <v>#REF!</v>
      </c>
      <c r="W23" s="80" t="e">
        <v>#REF!</v>
      </c>
      <c r="X23" s="241" t="e">
        <v>#REF!</v>
      </c>
      <c r="Y23" s="80">
        <f>Y24</f>
        <v>350397600</v>
      </c>
      <c r="Z23" s="80"/>
      <c r="AA23" s="226"/>
      <c r="AB23" s="1465"/>
      <c r="AC23" s="1465"/>
      <c r="AD23" s="1465"/>
      <c r="AE23" s="1655"/>
      <c r="AF23" s="1655"/>
      <c r="AG23" s="1642"/>
      <c r="AH23" s="195" t="e">
        <v>#REF!</v>
      </c>
      <c r="AI23" s="80" t="s">
        <v>21</v>
      </c>
      <c r="AJ23" s="213"/>
      <c r="AK23" s="1501"/>
      <c r="AL23" s="1541"/>
      <c r="AM23" s="1542"/>
      <c r="AN23" s="1543"/>
      <c r="AO23" s="1546"/>
    </row>
    <row r="24" spans="10:41" ht="37.5" customHeight="1">
      <c r="J24" s="3620"/>
      <c r="K24" s="3620"/>
      <c r="L24" s="30" t="str">
        <f>'[6]ALL-USD40.1M'!L157</f>
        <v>A</v>
      </c>
      <c r="M24" s="3427" t="str">
        <f>'[6]ALL-USD40.1M'!M157:N157</f>
        <v>Program Peningkatan Akses, Kualitas, Relevansi, dan Daya Saing Pendidikan Tinggi</v>
      </c>
      <c r="N24" s="3446"/>
      <c r="O24" s="214" t="e">
        <v>#REF!</v>
      </c>
      <c r="P24" s="197" t="e">
        <v>#REF!</v>
      </c>
      <c r="Q24" s="1436">
        <v>991074000</v>
      </c>
      <c r="R24" s="1436" t="e">
        <v>#REF!</v>
      </c>
      <c r="S24" s="244" t="e">
        <v>#REF!</v>
      </c>
      <c r="T24" s="1437"/>
      <c r="U24" s="198"/>
      <c r="V24" s="81">
        <v>4938924000</v>
      </c>
      <c r="W24" s="81">
        <v>0</v>
      </c>
      <c r="X24" s="243">
        <v>0</v>
      </c>
      <c r="Y24" s="81">
        <f>SUM(Y25:Y33)</f>
        <v>350397600</v>
      </c>
      <c r="Z24" s="81"/>
      <c r="AA24" s="1469"/>
      <c r="AB24" s="1470"/>
      <c r="AC24" s="1470"/>
      <c r="AD24" s="1470"/>
      <c r="AE24" s="1573"/>
      <c r="AF24" s="1469"/>
      <c r="AG24" s="1577"/>
      <c r="AH24" s="1643"/>
      <c r="AI24" s="109"/>
      <c r="AJ24" s="1644"/>
      <c r="AK24" s="1645"/>
      <c r="AL24" s="1646"/>
      <c r="AM24" s="1646"/>
      <c r="AN24" s="1647"/>
      <c r="AO24" s="1648"/>
    </row>
    <row r="25" spans="10:41" ht="39.75" customHeight="1">
      <c r="J25" s="3683"/>
      <c r="K25" s="3683"/>
      <c r="L25" s="3620"/>
      <c r="M25" s="3678">
        <v>2</v>
      </c>
      <c r="N25" s="3681" t="str">
        <f>'[6]ALL-USD40.1M'!N158</f>
        <v>The Plan of Hasanuddin University Hospital Development</v>
      </c>
      <c r="O25" s="1402"/>
      <c r="P25" s="187"/>
      <c r="Q25" s="1446"/>
      <c r="R25" s="1446"/>
      <c r="S25" s="1447"/>
      <c r="T25" s="1448"/>
      <c r="U25" s="1449"/>
      <c r="V25" s="77"/>
      <c r="W25" s="77"/>
      <c r="X25" s="1450"/>
      <c r="Y25" s="109">
        <f>'[6]ALL-USD40.1M'!Y158</f>
        <v>31520000</v>
      </c>
      <c r="Z25" s="1611" t="str">
        <f>'[6]ALL-USD40.1M'!Z158</f>
        <v>Jerman (KfW)</v>
      </c>
      <c r="AA25" s="1488" t="str">
        <f>'[6]ALL-USD40.1M'!AA158</f>
        <v>- GB 2017 (USD 31,52 juta)
- DK tanggal 31 Juli 2017</v>
      </c>
      <c r="AB25" s="1611"/>
      <c r="AC25" s="1611"/>
      <c r="AD25" s="1611"/>
      <c r="AE25" s="1611"/>
      <c r="AF25" s="1611"/>
      <c r="AG25" s="1611"/>
      <c r="AH25" s="1509"/>
      <c r="AI25" s="109"/>
      <c r="AJ25" s="1544"/>
      <c r="AK25" s="245"/>
      <c r="AL25" s="1510"/>
      <c r="AM25" s="1511"/>
      <c r="AN25" s="1545"/>
      <c r="AO25" s="1547"/>
    </row>
    <row r="26" spans="10:41" ht="39.75" customHeight="1">
      <c r="J26" s="3683"/>
      <c r="K26" s="3683"/>
      <c r="L26" s="3683"/>
      <c r="M26" s="3679"/>
      <c r="N26" s="3682"/>
      <c r="O26" s="1413"/>
      <c r="P26" s="1414"/>
      <c r="Q26" s="1459"/>
      <c r="R26" s="1459"/>
      <c r="S26" s="1652"/>
      <c r="T26" s="1457"/>
      <c r="U26" s="1440"/>
      <c r="V26" s="1458"/>
      <c r="W26" s="1458"/>
      <c r="X26" s="1441"/>
      <c r="Y26" s="1611">
        <f>'[6]ALL-USD40.1M'!Y159</f>
        <v>45800</v>
      </c>
      <c r="Z26" s="1611" t="str">
        <f>'[6]ALL-USD40.1M'!Z159</f>
        <v>Belum Ada Indikasi</v>
      </c>
      <c r="AA26" s="1488" t="str">
        <f>'[6]ALL-USD40.1M'!AA159</f>
        <v>Belum proses</v>
      </c>
      <c r="AB26" s="1611"/>
      <c r="AC26" s="1611"/>
      <c r="AD26" s="1611"/>
      <c r="AE26" s="1611"/>
      <c r="AF26" s="1611"/>
      <c r="AG26" s="1611"/>
      <c r="AH26" s="1658"/>
      <c r="AI26" s="1611"/>
      <c r="AJ26" s="1659"/>
      <c r="AK26" s="1582"/>
      <c r="AL26" s="1624"/>
      <c r="AM26" s="1583"/>
      <c r="AN26" s="1545"/>
      <c r="AO26" s="1547"/>
    </row>
    <row r="27" spans="10:41" ht="39.75" customHeight="1">
      <c r="J27" s="3621"/>
      <c r="K27" s="3621"/>
      <c r="L27" s="3683"/>
      <c r="M27" s="3679"/>
      <c r="N27" s="270" t="str">
        <f>'[6]ALL-USD40.1M'!N160</f>
        <v>Establishment of University of Bengkulu’s Hospital</v>
      </c>
      <c r="O27" s="1413"/>
      <c r="P27" s="1414"/>
      <c r="Q27" s="1459"/>
      <c r="R27" s="1459"/>
      <c r="S27" s="1652"/>
      <c r="T27" s="1457"/>
      <c r="U27" s="1440"/>
      <c r="V27" s="1458"/>
      <c r="W27" s="1458"/>
      <c r="X27" s="1441"/>
      <c r="Y27" s="1611">
        <f>'[6]ALL-USD40.1M'!Y160</f>
        <v>10278200</v>
      </c>
      <c r="Z27" s="1611" t="str">
        <f>'[6]ALL-USD40.1M'!Z160</f>
        <v>SFD</v>
      </c>
      <c r="AA27" s="1488" t="str">
        <f>'[6]ALL-USD40.1M'!AA160</f>
        <v>Belum proses</v>
      </c>
      <c r="AB27" s="1611" t="e">
        <f>'[6]ALL-USD40.1M'!AB196</f>
        <v>#REF!</v>
      </c>
      <c r="AC27" s="1611"/>
      <c r="AD27" s="1611"/>
      <c r="AE27" s="1611"/>
      <c r="AF27" s="1611"/>
      <c r="AG27" s="1611"/>
      <c r="AH27" s="1658"/>
      <c r="AI27" s="1611"/>
      <c r="AJ27" s="1659"/>
      <c r="AK27" s="1582"/>
      <c r="AL27" s="1624"/>
      <c r="AM27" s="1583"/>
      <c r="AN27" s="1545"/>
      <c r="AO27" s="1547"/>
    </row>
    <row r="28" spans="10:41" ht="39.75" customHeight="1">
      <c r="J28" s="1636"/>
      <c r="K28" s="1636"/>
      <c r="L28" s="3683"/>
      <c r="M28" s="3679"/>
      <c r="N28" s="270" t="str">
        <f>'[6]ALL-USD40.1M'!N161</f>
        <v>University of Gadjah Mada Achieving World Class University with Socio-Entrepreneurial Spirit</v>
      </c>
      <c r="O28" s="1413"/>
      <c r="P28" s="1414"/>
      <c r="Q28" s="1459"/>
      <c r="R28" s="1459"/>
      <c r="S28" s="1652"/>
      <c r="T28" s="1457"/>
      <c r="U28" s="1440"/>
      <c r="V28" s="1458"/>
      <c r="W28" s="1458"/>
      <c r="X28" s="1441"/>
      <c r="Y28" s="1611">
        <f>'[6]ALL-USD40.1M'!Y161</f>
        <v>71694000</v>
      </c>
      <c r="Z28" s="1611" t="str">
        <f>'[6]ALL-USD40.1M'!Z161</f>
        <v>JICA</v>
      </c>
      <c r="AA28" s="1488" t="str">
        <f>'[6]ALL-USD40.1M'!AA161</f>
        <v>- GB 2017
- DK tanggal 31 Juli 2017
- Sudah LA November 2017</v>
      </c>
      <c r="AB28" s="1611"/>
      <c r="AC28" s="1611"/>
      <c r="AD28" s="1611"/>
      <c r="AE28" s="1611"/>
      <c r="AF28" s="1611"/>
      <c r="AG28" s="1611"/>
      <c r="AH28" s="1658"/>
      <c r="AI28" s="1611"/>
      <c r="AJ28" s="1659"/>
      <c r="AK28" s="1582"/>
      <c r="AL28" s="1624"/>
      <c r="AM28" s="1583"/>
      <c r="AN28" s="1545"/>
      <c r="AO28" s="1547"/>
    </row>
    <row r="29" spans="10:41" ht="39.75" customHeight="1">
      <c r="J29" s="1636"/>
      <c r="K29" s="1636"/>
      <c r="L29" s="3683"/>
      <c r="M29" s="3679"/>
      <c r="N29" s="270" t="str">
        <f>'[6]ALL-USD40.1M'!N162</f>
        <v>Capacity Building Programmes for Infrastructure in Malikussaleh University</v>
      </c>
      <c r="O29" s="1413"/>
      <c r="P29" s="1414"/>
      <c r="Q29" s="1459"/>
      <c r="R29" s="1459"/>
      <c r="S29" s="1652"/>
      <c r="T29" s="1457"/>
      <c r="U29" s="1440"/>
      <c r="V29" s="1458"/>
      <c r="W29" s="1458"/>
      <c r="X29" s="1441"/>
      <c r="Y29" s="1611">
        <f>'[6]ALL-USD40.1M'!Y162</f>
        <v>48543100</v>
      </c>
      <c r="Z29" s="1611" t="str">
        <f>'[6]ALL-USD40.1M'!Z162</f>
        <v>ADB</v>
      </c>
      <c r="AA29" s="1488" t="str">
        <f>'[6]ALL-USD40.1M'!AA162</f>
        <v>Sudah terdapat RC</v>
      </c>
      <c r="AB29" s="1611"/>
      <c r="AC29" s="1611"/>
      <c r="AD29" s="1611"/>
      <c r="AE29" s="1611"/>
      <c r="AF29" s="1611"/>
      <c r="AG29" s="1611"/>
      <c r="AH29" s="1658"/>
      <c r="AI29" s="1611"/>
      <c r="AJ29" s="1659"/>
      <c r="AK29" s="1582"/>
      <c r="AL29" s="1624"/>
      <c r="AM29" s="1583"/>
      <c r="AN29" s="1545"/>
      <c r="AO29" s="1547"/>
    </row>
    <row r="30" spans="10:41" ht="39.75" customHeight="1">
      <c r="J30" s="1636"/>
      <c r="K30" s="1636"/>
      <c r="L30" s="3683"/>
      <c r="M30" s="3679"/>
      <c r="N30" s="270" t="str">
        <f>'[6]ALL-USD40.1M'!N163</f>
        <v>Development and Upgrading of University of Jambi</v>
      </c>
      <c r="O30" s="1413"/>
      <c r="P30" s="1414"/>
      <c r="Q30" s="1459"/>
      <c r="R30" s="1459"/>
      <c r="S30" s="1652"/>
      <c r="T30" s="1457"/>
      <c r="U30" s="1440"/>
      <c r="V30" s="1458"/>
      <c r="W30" s="1458"/>
      <c r="X30" s="1441"/>
      <c r="Y30" s="1611">
        <f>'[6]ALL-USD40.1M'!Y163</f>
        <v>53879300</v>
      </c>
      <c r="Z30" s="1611" t="str">
        <f>'[6]ALL-USD40.1M'!Z163</f>
        <v>ADB</v>
      </c>
      <c r="AA30" s="1488" t="str">
        <f>'[6]ALL-USD40.1M'!AA163</f>
        <v>Sudah terdapat RC</v>
      </c>
      <c r="AB30" s="1611"/>
      <c r="AC30" s="1611"/>
      <c r="AD30" s="1611"/>
      <c r="AE30" s="1611"/>
      <c r="AF30" s="1611"/>
      <c r="AG30" s="1611"/>
      <c r="AH30" s="1658"/>
      <c r="AI30" s="1611"/>
      <c r="AJ30" s="1659"/>
      <c r="AK30" s="1582"/>
      <c r="AL30" s="1624"/>
      <c r="AM30" s="1583"/>
      <c r="AN30" s="1545"/>
      <c r="AO30" s="1547"/>
    </row>
    <row r="31" spans="10:41" ht="39.75" customHeight="1">
      <c r="J31" s="1636"/>
      <c r="K31" s="1636"/>
      <c r="L31" s="3683"/>
      <c r="M31" s="3679"/>
      <c r="N31" s="270" t="str">
        <f>'[6]ALL-USD40.1M'!N164</f>
        <v>Development and Upgrading of the State University of Jakarta - Phase 2</v>
      </c>
      <c r="O31" s="1413"/>
      <c r="P31" s="1414"/>
      <c r="Q31" s="1459"/>
      <c r="R31" s="1459"/>
      <c r="S31" s="1652"/>
      <c r="T31" s="1457"/>
      <c r="U31" s="1440"/>
      <c r="V31" s="1458"/>
      <c r="W31" s="1458"/>
      <c r="X31" s="1441"/>
      <c r="Y31" s="1611">
        <f>'[6]ALL-USD40.1M'!Y164</f>
        <v>32709400</v>
      </c>
      <c r="Z31" s="1611" t="str">
        <f>'[6]ALL-USD40.1M'!Z164</f>
        <v>SFD</v>
      </c>
      <c r="AA31" s="1488" t="str">
        <f>'[6]ALL-USD40.1M'!AA164</f>
        <v>Belum proses</v>
      </c>
      <c r="AB31" s="1611"/>
      <c r="AC31" s="1611"/>
      <c r="AD31" s="1611"/>
      <c r="AE31" s="1611"/>
      <c r="AF31" s="1611"/>
      <c r="AG31" s="1611"/>
      <c r="AH31" s="1658"/>
      <c r="AI31" s="1611"/>
      <c r="AJ31" s="1659"/>
      <c r="AK31" s="1582"/>
      <c r="AL31" s="1624"/>
      <c r="AM31" s="1583"/>
      <c r="AN31" s="1545"/>
      <c r="AO31" s="1547"/>
    </row>
    <row r="32" spans="10:41" ht="39.75" customHeight="1">
      <c r="J32" s="1636"/>
      <c r="K32" s="1636"/>
      <c r="L32" s="3683"/>
      <c r="M32" s="3679"/>
      <c r="N32" s="270" t="str">
        <f>'[6]ALL-USD40.1M'!N165</f>
        <v>Integrated Multi Campus-University for Tomorrow’s Education in Indonesia University of Education</v>
      </c>
      <c r="O32" s="1413"/>
      <c r="P32" s="1414"/>
      <c r="Q32" s="1459"/>
      <c r="R32" s="1459"/>
      <c r="S32" s="1652"/>
      <c r="T32" s="1457"/>
      <c r="U32" s="1440"/>
      <c r="V32" s="1458"/>
      <c r="W32" s="1458"/>
      <c r="X32" s="1441"/>
      <c r="Y32" s="1611">
        <f>'[6]ALL-USD40.1M'!Y165</f>
        <v>51777700</v>
      </c>
      <c r="Z32" s="1611" t="str">
        <f>'[6]ALL-USD40.1M'!Z165</f>
        <v>ADB</v>
      </c>
      <c r="AA32" s="1488" t="str">
        <f>'[6]ALL-USD40.1M'!AA165</f>
        <v>Sudah terdapat RC</v>
      </c>
      <c r="AB32" s="1611"/>
      <c r="AC32" s="1611"/>
      <c r="AD32" s="1611"/>
      <c r="AE32" s="1611"/>
      <c r="AF32" s="1611"/>
      <c r="AG32" s="1611"/>
      <c r="AH32" s="1658"/>
      <c r="AI32" s="1611"/>
      <c r="AJ32" s="1659"/>
      <c r="AK32" s="1582"/>
      <c r="AL32" s="1624"/>
      <c r="AM32" s="1583"/>
      <c r="AN32" s="1545"/>
      <c r="AO32" s="1547"/>
    </row>
    <row r="33" spans="1:46" ht="39.75" customHeight="1">
      <c r="J33" s="1611"/>
      <c r="K33" s="1611"/>
      <c r="L33" s="3621"/>
      <c r="M33" s="3680"/>
      <c r="N33" s="270" t="str">
        <f>'[6]ALL-USD40.1M'!N166</f>
        <v>Higher Education Quality Improvement of the University of Riau</v>
      </c>
      <c r="O33" s="1413"/>
      <c r="P33" s="1414"/>
      <c r="Q33" s="1459"/>
      <c r="R33" s="1459"/>
      <c r="S33" s="1652"/>
      <c r="T33" s="1457"/>
      <c r="U33" s="1440"/>
      <c r="V33" s="1458"/>
      <c r="W33" s="1458"/>
      <c r="X33" s="1441"/>
      <c r="Y33" s="1611">
        <f>'[6]ALL-USD40.1M'!Y166</f>
        <v>49950100</v>
      </c>
      <c r="Z33" s="1611" t="str">
        <f>'[6]ALL-USD40.1M'!Z166</f>
        <v>ADB</v>
      </c>
      <c r="AA33" s="1488" t="str">
        <f>'[6]ALL-USD40.1M'!AA166</f>
        <v>Sudah terdapat RC</v>
      </c>
      <c r="AB33" s="1656"/>
      <c r="AC33" s="1656"/>
      <c r="AD33" s="1656"/>
      <c r="AE33" s="1658"/>
      <c r="AF33" s="1611"/>
      <c r="AG33" s="1611"/>
      <c r="AH33" s="1658"/>
      <c r="AI33" s="1611"/>
      <c r="AJ33" s="1659"/>
      <c r="AK33" s="1582"/>
      <c r="AL33" s="1624"/>
      <c r="AM33" s="1583"/>
      <c r="AN33" s="1545"/>
      <c r="AO33" s="1547"/>
    </row>
    <row r="34" spans="1:46" s="3" customFormat="1" ht="30" customHeight="1">
      <c r="J34" s="3450" t="s">
        <v>477</v>
      </c>
      <c r="K34" s="3451"/>
      <c r="L34" s="3451"/>
      <c r="M34" s="3573"/>
      <c r="N34" s="3573"/>
      <c r="O34" s="282" t="e">
        <f>+O8+#REF!</f>
        <v>#REF!</v>
      </c>
      <c r="P34" s="278" t="e">
        <f>+P8+#REF!</f>
        <v>#REF!</v>
      </c>
      <c r="Q34" s="1460" t="e">
        <f>+Q8+#REF!</f>
        <v>#REF!</v>
      </c>
      <c r="R34" s="1460" t="e">
        <f>+R8+#REF!</f>
        <v>#REF!</v>
      </c>
      <c r="S34" s="288" t="e">
        <f>P34+Q34+R34</f>
        <v>#REF!</v>
      </c>
      <c r="T34" s="1461"/>
      <c r="U34" s="279"/>
      <c r="V34" s="280" t="e">
        <f>+V8+#REF!</f>
        <v>#REF!</v>
      </c>
      <c r="W34" s="280" t="e">
        <f>+W8+#REF!</f>
        <v>#REF!</v>
      </c>
      <c r="X34" s="287"/>
      <c r="Y34" s="280">
        <f>+Y8</f>
        <v>1114936100</v>
      </c>
      <c r="Z34" s="280"/>
      <c r="AA34" s="287"/>
      <c r="AB34" s="1640"/>
      <c r="AC34" s="1640"/>
      <c r="AD34" s="1640"/>
      <c r="AE34" s="1641"/>
      <c r="AF34" s="287"/>
      <c r="AG34" s="285"/>
      <c r="AH34" s="279" t="e">
        <f>+AH8+#REF!</f>
        <v>#REF!</v>
      </c>
      <c r="AI34" s="280" t="s">
        <v>21</v>
      </c>
      <c r="AJ34" s="280" t="s">
        <v>21</v>
      </c>
      <c r="AK34" s="1523"/>
      <c r="AL34" s="1524"/>
      <c r="AM34" s="1525"/>
      <c r="AN34" s="1526"/>
      <c r="AO34" s="1534"/>
      <c r="AP34" s="12"/>
      <c r="AQ34" s="1535">
        <f>SUM(AQ10:AQ25)</f>
        <v>0</v>
      </c>
      <c r="AR34" s="1535">
        <f>SUM(AR10:AR25)</f>
        <v>0</v>
      </c>
      <c r="AS34" s="1535">
        <f>SUM(AS10:AS25)</f>
        <v>0</v>
      </c>
      <c r="AT34" s="1535">
        <f>SUM(AT10:AT25)</f>
        <v>0</v>
      </c>
    </row>
    <row r="35" spans="1:46" s="12" customFormat="1">
      <c r="A35" s="10"/>
      <c r="B35" s="10"/>
      <c r="C35" s="10"/>
      <c r="D35" s="10"/>
      <c r="E35" s="10"/>
      <c r="F35" s="10"/>
      <c r="G35" s="10"/>
      <c r="H35" s="10"/>
      <c r="I35" s="10"/>
      <c r="J35" s="11"/>
      <c r="K35" s="10"/>
      <c r="L35" s="10"/>
      <c r="M35" s="1425"/>
      <c r="N35" s="1426"/>
      <c r="O35" s="13"/>
      <c r="P35" s="13"/>
      <c r="Q35" s="1395"/>
      <c r="R35" s="1395"/>
      <c r="S35" s="13"/>
      <c r="T35" s="13"/>
      <c r="U35" s="14"/>
      <c r="V35" s="13"/>
      <c r="W35" s="13"/>
      <c r="X35" s="13"/>
      <c r="Y35" s="13"/>
      <c r="Z35" s="13"/>
      <c r="AA35" s="13"/>
      <c r="AB35" s="13"/>
      <c r="AC35" s="13"/>
      <c r="AD35" s="13"/>
      <c r="AE35" s="13"/>
      <c r="AF35" s="13"/>
      <c r="AG35" s="13"/>
      <c r="AK35" s="14"/>
      <c r="AL35" s="14"/>
      <c r="AM35" s="14"/>
      <c r="AN35" s="14"/>
      <c r="AO35" s="175"/>
    </row>
    <row r="36" spans="1:46" s="12" customFormat="1">
      <c r="A36" s="10"/>
      <c r="B36" s="10"/>
      <c r="C36" s="10"/>
      <c r="D36" s="10"/>
      <c r="E36" s="10"/>
      <c r="F36" s="10"/>
      <c r="G36" s="10"/>
      <c r="H36" s="10"/>
      <c r="I36" s="10"/>
      <c r="J36" s="11"/>
      <c r="K36" s="10" t="s">
        <v>1111</v>
      </c>
      <c r="L36" s="10"/>
      <c r="M36" s="10"/>
      <c r="O36" s="13"/>
      <c r="P36" s="13"/>
      <c r="Q36" s="1395"/>
      <c r="R36" s="1395"/>
      <c r="S36" s="13"/>
      <c r="T36" s="13"/>
      <c r="U36" s="14"/>
      <c r="V36" s="13" t="e">
        <f>V34+W34</f>
        <v>#REF!</v>
      </c>
      <c r="W36" s="13"/>
      <c r="X36" s="13"/>
      <c r="Y36" s="13"/>
      <c r="Z36" s="13"/>
      <c r="AA36" s="13"/>
      <c r="AB36" s="13"/>
      <c r="AC36" s="13"/>
      <c r="AD36" s="13"/>
      <c r="AE36" s="13"/>
      <c r="AF36" s="13"/>
      <c r="AG36" s="13"/>
      <c r="AH36" s="289"/>
      <c r="AK36" s="14"/>
      <c r="AL36" s="14"/>
      <c r="AM36" s="14"/>
      <c r="AN36" s="14"/>
      <c r="AO36" s="175"/>
      <c r="AP36" s="10"/>
    </row>
    <row r="37" spans="1:46">
      <c r="V37" s="13" t="e">
        <f>V36-AH34</f>
        <v>#REF!</v>
      </c>
      <c r="Y37" s="13">
        <f>Y34+5809063500</f>
        <v>6923999600</v>
      </c>
      <c r="Z37" s="13" t="e">
        <f>Y34-#REF!</f>
        <v>#REF!</v>
      </c>
    </row>
    <row r="39" spans="1:46">
      <c r="AH39" s="289"/>
    </row>
    <row r="40" spans="1:46">
      <c r="Y40" s="13" t="e">
        <f>#REF!+#REF!+#REF!+#REF!+#REF!+#REF!+#REF!+#REF!+#REF!+#REF!+#REF!+#REF!+#REF!+#REF!+#REF!+#REF!+#REF!+#REF!+#REF!+#REF!+#REF!+#REF!</f>
        <v>#REF!</v>
      </c>
      <c r="AP40" s="12"/>
    </row>
    <row r="41" spans="1:46" s="12" customFormat="1">
      <c r="A41" s="10"/>
      <c r="B41" s="10"/>
      <c r="C41" s="10"/>
      <c r="D41" s="10"/>
      <c r="E41" s="10"/>
      <c r="F41" s="10"/>
      <c r="G41" s="10"/>
      <c r="H41" s="10"/>
      <c r="I41" s="10"/>
      <c r="J41" s="11"/>
      <c r="K41" s="10"/>
      <c r="L41" s="10"/>
      <c r="M41" s="10"/>
      <c r="O41" s="13"/>
      <c r="P41" s="13"/>
      <c r="Q41" s="1395"/>
      <c r="R41" s="1395"/>
      <c r="S41" s="13"/>
      <c r="T41" s="13"/>
      <c r="U41" s="14"/>
      <c r="V41" s="13"/>
      <c r="W41" s="13"/>
      <c r="X41" s="13"/>
      <c r="Y41" s="13"/>
      <c r="Z41" s="13"/>
      <c r="AA41" s="13"/>
      <c r="AB41" s="13"/>
      <c r="AC41" s="13"/>
      <c r="AD41" s="13"/>
      <c r="AE41" s="13"/>
      <c r="AF41" s="13"/>
      <c r="AG41" s="13"/>
      <c r="AI41" s="289"/>
      <c r="AK41" s="14"/>
      <c r="AL41" s="14"/>
      <c r="AM41" s="14"/>
      <c r="AN41" s="14"/>
      <c r="AO41" s="175"/>
    </row>
    <row r="42" spans="1:46" s="12" customFormat="1">
      <c r="A42" s="10"/>
      <c r="B42" s="10"/>
      <c r="C42" s="10"/>
      <c r="D42" s="10"/>
      <c r="E42" s="10"/>
      <c r="F42" s="10"/>
      <c r="G42" s="10"/>
      <c r="H42" s="10"/>
      <c r="I42" s="10"/>
      <c r="J42" s="11"/>
      <c r="K42" s="10"/>
      <c r="L42" s="10"/>
      <c r="M42" s="10"/>
      <c r="O42" s="13"/>
      <c r="P42" s="13"/>
      <c r="Q42" s="1395"/>
      <c r="R42" s="1395"/>
      <c r="S42" s="13"/>
      <c r="T42" s="13"/>
      <c r="U42" s="14"/>
      <c r="V42" s="13"/>
      <c r="W42" s="13"/>
      <c r="X42" s="13"/>
      <c r="Y42" s="13" t="e">
        <f>#REF!+#REF!+#REF!+#REF!+#REF!+#REF!+#REF!+#REF!+#REF!+#REF!+#REF!+#REF!+#REF!+#REF!+#REF!+#REF!+#REF!+#REF!+#REF!+#REF!+#REF!+#REF!+Y11+#REF!+#REF!+#REF!+#REF!+71100000</f>
        <v>#REF!</v>
      </c>
      <c r="Z42" s="13"/>
      <c r="AA42" s="13"/>
      <c r="AB42" s="13"/>
      <c r="AC42" s="13"/>
      <c r="AD42" s="13"/>
      <c r="AE42" s="13"/>
      <c r="AF42" s="13"/>
      <c r="AG42" s="13"/>
      <c r="AH42" s="289"/>
      <c r="AK42" s="14"/>
      <c r="AL42" s="14"/>
      <c r="AM42" s="14"/>
      <c r="AN42" s="14"/>
      <c r="AO42" s="175"/>
      <c r="AP42" s="1536"/>
    </row>
    <row r="43" spans="1:46" s="12" customFormat="1">
      <c r="A43" s="10"/>
      <c r="B43" s="10"/>
      <c r="C43" s="10"/>
      <c r="D43" s="10"/>
      <c r="E43" s="10"/>
      <c r="F43" s="10"/>
      <c r="G43" s="10"/>
      <c r="H43" s="10"/>
      <c r="I43" s="10"/>
      <c r="J43" s="11"/>
      <c r="K43" s="10"/>
      <c r="L43" s="10"/>
      <c r="M43" s="10"/>
      <c r="O43" s="13"/>
      <c r="P43" s="13"/>
      <c r="Q43" s="1395"/>
      <c r="R43" s="1395"/>
      <c r="S43" s="13"/>
      <c r="T43" s="13"/>
      <c r="U43" s="14"/>
      <c r="V43" s="13"/>
      <c r="W43" s="13"/>
      <c r="X43" s="13"/>
      <c r="Y43" s="13"/>
      <c r="Z43" s="13"/>
      <c r="AA43" s="13"/>
      <c r="AB43" s="13"/>
      <c r="AC43" s="13"/>
      <c r="AD43" s="13"/>
      <c r="AE43" s="13"/>
      <c r="AF43" s="13"/>
      <c r="AG43" s="13"/>
      <c r="AK43" s="14"/>
      <c r="AL43" s="14"/>
      <c r="AM43" s="14"/>
      <c r="AN43" s="14"/>
      <c r="AO43" s="175"/>
      <c r="AP43" s="10"/>
    </row>
  </sheetData>
  <autoFilter ref="A7:AO34"/>
  <mergeCells count="31">
    <mergeCell ref="AG5:AG6"/>
    <mergeCell ref="J5:N6"/>
    <mergeCell ref="L9:N9"/>
    <mergeCell ref="M10:N10"/>
    <mergeCell ref="J34:N34"/>
    <mergeCell ref="J24:J27"/>
    <mergeCell ref="K24:K27"/>
    <mergeCell ref="L25:L33"/>
    <mergeCell ref="AA5:AA6"/>
    <mergeCell ref="M11:M22"/>
    <mergeCell ref="M25:M33"/>
    <mergeCell ref="N13:N14"/>
    <mergeCell ref="N17:N18"/>
    <mergeCell ref="N25:N26"/>
    <mergeCell ref="M24:N24"/>
    <mergeCell ref="J1:AO1"/>
    <mergeCell ref="J2:AO2"/>
    <mergeCell ref="U4:AJ4"/>
    <mergeCell ref="AK4:AO4"/>
    <mergeCell ref="U5:X5"/>
    <mergeCell ref="AB5:AF5"/>
    <mergeCell ref="AH5:AJ5"/>
    <mergeCell ref="AK5:AO5"/>
    <mergeCell ref="O5:O6"/>
    <mergeCell ref="P5:P6"/>
    <mergeCell ref="Q5:Q6"/>
    <mergeCell ref="R5:R6"/>
    <mergeCell ref="S5:S6"/>
    <mergeCell ref="T5:T6"/>
    <mergeCell ref="Y5:Y6"/>
    <mergeCell ref="Z5:Z6"/>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pageSetUpPr fitToPage="1"/>
  </sheetPr>
  <dimension ref="A1:AT34"/>
  <sheetViews>
    <sheetView topLeftCell="J1" zoomScale="70" zoomScaleNormal="70" workbookViewId="0">
      <pane ySplit="7" topLeftCell="A8" activePane="bottomLeft" state="frozen"/>
      <selection pane="bottomLeft" activeCell="J1" sqref="J1:AO1"/>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1346</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[6]DATA!B2</f>
        <v>I</v>
      </c>
      <c r="K8" s="22" t="str">
        <f>'[6]ALL-USD40.1M'!K155</f>
        <v>NON-INFRASTRUKTUR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Y9+Y20</f>
        <v>1852800000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24.95" customHeight="1">
      <c r="J9" s="179"/>
      <c r="K9" s="25">
        <f>[6]DATA!E2</f>
        <v>1</v>
      </c>
      <c r="L9" s="26" t="str">
        <f>'[6]ALL-USD40.1M'!L187</f>
        <v>Kementerian Kesehatan</v>
      </c>
      <c r="M9" s="26"/>
      <c r="N9" s="1416"/>
      <c r="O9" s="213" t="e">
        <f>#REF!+#REF!+#REF!+#REF!+#REF!+#REF!+#REF!+#REF!+O10+#REF!+#REF!+#REF!+#REF!+#REF!+#REF!</f>
        <v>#REF!</v>
      </c>
      <c r="P9" s="194" t="e">
        <f>+#REF!+#REF!+#REF!+#REF!+#REF!+#REF!+#REF!+#REF!+P10+#REF!+#REF!+#REF!+#REF!+#REF!+#REF!</f>
        <v>#REF!</v>
      </c>
      <c r="Q9" s="194" t="e">
        <f>+#REF!+#REF!+#REF!+#REF!+#REF!+#REF!+#REF!+#REF!+Q10+#REF!+#REF!+#REF!+#REF!+#REF!+#REF!</f>
        <v>#REF!</v>
      </c>
      <c r="R9" s="194" t="e">
        <f>+#REF!+#REF!+#REF!+#REF!+#REF!+#REF!+#REF!+#REF!+R10+#REF!+#REF!+#REF!+#REF!+#REF!+#REF!</f>
        <v>#REF!</v>
      </c>
      <c r="S9" s="242" t="e">
        <f>+#REF!+#REF!+#REF!+#REF!+#REF!+#REF!+#REF!+#REF!+S10+#REF!+#REF!+#REF!+#REF!+#REF!+#REF!</f>
        <v>#REF!</v>
      </c>
      <c r="T9" s="1538"/>
      <c r="U9" s="195"/>
      <c r="V9" s="80" t="e">
        <f>+#REF!+#REF!+#REF!+#REF!+#REF!+#REF!+#REF!+#REF!+V10+#REF!+#REF!+#REF!+#REF!+#REF!+#REF!</f>
        <v>#REF!</v>
      </c>
      <c r="W9" s="80" t="e">
        <f>+#REF!+#REF!+#REF!+#REF!+#REF!+#REF!+#REF!+#REF!+W10+#REF!+#REF!+#REF!+#REF!+#REF!+#REF!</f>
        <v>#REF!</v>
      </c>
      <c r="X9" s="241" t="e">
        <f>+#REF!+#REF!+#REF!+#REF!+#REF!+#REF!+#REF!+X10+#REF!+#REF!+#REF!+#REF!+#REF!</f>
        <v>#REF!</v>
      </c>
      <c r="Y9" s="80">
        <f>Y10+Y12+Y14+Y16</f>
        <v>1746000000</v>
      </c>
      <c r="Z9" s="80"/>
      <c r="AA9" s="226"/>
      <c r="AB9" s="1465"/>
      <c r="AC9" s="1465"/>
      <c r="AD9" s="1465"/>
      <c r="AE9" s="1465"/>
      <c r="AF9" s="1465"/>
      <c r="AG9" s="1540"/>
      <c r="AH9" s="195" t="e">
        <f>+#REF!+#REF!+#REF!+#REF!+#REF!+#REF!+#REF!+#REF!+AH10+#REF!+#REF!+#REF!+#REF!+#REF!+#REF!</f>
        <v>#REF!</v>
      </c>
      <c r="AI9" s="80" t="s">
        <v>21</v>
      </c>
      <c r="AJ9" s="213"/>
      <c r="AK9" s="1501"/>
      <c r="AL9" s="1541"/>
      <c r="AM9" s="1542"/>
      <c r="AN9" s="1543"/>
      <c r="AO9" s="1546"/>
    </row>
    <row r="10" spans="1:46" s="5" customFormat="1" ht="33.75" customHeight="1">
      <c r="J10" s="180"/>
      <c r="K10" s="50"/>
      <c r="L10" s="30" t="str">
        <f>'[6]ALL-USD40.1M'!L188</f>
        <v>A</v>
      </c>
      <c r="M10" s="31" t="str">
        <f>'[6]ALL-USD40.1M'!M188</f>
        <v>Program Pelayanan Kesehatan Dasar</v>
      </c>
      <c r="N10" s="1419"/>
      <c r="O10" s="214" t="e">
        <f>O11+O13+#REF!+#REF!+#REF!+O15+O17+#REF!+#REF!+#REF!+#REF!</f>
        <v>#REF!</v>
      </c>
      <c r="P10" s="197" t="e">
        <f>P11+P13+#REF!+#REF!+#REF!+P15+#REF!+#REF!+#REF!+#REF!+P17</f>
        <v>#REF!</v>
      </c>
      <c r="Q10" s="1436" t="e">
        <f>SUM(Q11:Q22)</f>
        <v>#REF!</v>
      </c>
      <c r="R10" s="1436" t="e">
        <f>R11+R13+#REF!+#REF!+#REF!+R15+#REF!+#REF!+#REF!+#REF!+R17</f>
        <v>#REF!</v>
      </c>
      <c r="S10" s="244" t="e">
        <f t="shared" ref="S10:S11" si="0">P10+Q10+R10</f>
        <v>#REF!</v>
      </c>
      <c r="T10" s="1437"/>
      <c r="U10" s="198"/>
      <c r="V10" s="81" t="e">
        <f>SUM(V11:V22)</f>
        <v>#REF!</v>
      </c>
      <c r="W10" s="81" t="e">
        <f>SUM(W11:W22)</f>
        <v>#REF!</v>
      </c>
      <c r="X10" s="243" t="e">
        <f>SUM(X11:X22)</f>
        <v>#REF!</v>
      </c>
      <c r="Y10" s="81">
        <f>Y11</f>
        <v>150000000</v>
      </c>
      <c r="Z10" s="81"/>
      <c r="AA10" s="1469"/>
      <c r="AB10" s="1470"/>
      <c r="AC10" s="1470"/>
      <c r="AD10" s="1470"/>
      <c r="AE10" s="1573"/>
      <c r="AF10" s="1469"/>
      <c r="AG10" s="1577"/>
      <c r="AH10" s="198" t="e">
        <f>SUM(AH11:AH22)</f>
        <v>#REF!</v>
      </c>
      <c r="AI10" s="81">
        <f>SUM(AI11:AI22)</f>
        <v>0</v>
      </c>
      <c r="AJ10" s="214">
        <f>SUM(AJ11:AJ22)</f>
        <v>0</v>
      </c>
      <c r="AK10" s="1505"/>
      <c r="AL10" s="1506"/>
      <c r="AM10" s="169"/>
      <c r="AN10" s="1507"/>
      <c r="AO10" s="1530"/>
      <c r="AQ10" s="10">
        <f t="shared" ref="AQ10:AQ17" si="1">IF(Z10="RRT",Y10,0)</f>
        <v>0</v>
      </c>
      <c r="AR10" s="10">
        <f t="shared" ref="AR10:AR17" si="2">IF(Z10="JICA",Y10,0)</f>
        <v>0</v>
      </c>
      <c r="AS10" s="10">
        <f t="shared" ref="AS10:AS17" si="3">IF(Z10="Belum ada indikasi",Y10,0)</f>
        <v>0</v>
      </c>
      <c r="AT10" s="10">
        <f t="shared" ref="AT10:AT17" si="4">IF(Z10="Korea",Y10,0)</f>
        <v>0</v>
      </c>
    </row>
    <row r="11" spans="1:46" ht="54.75" customHeight="1">
      <c r="A11" s="10">
        <f>[6]DATA!A67</f>
        <v>51</v>
      </c>
      <c r="B11" s="10" t="e">
        <f>[6]DATA!B67</f>
        <v>#REF!</v>
      </c>
      <c r="C11" s="10" t="str">
        <f>[6]DATA!D67</f>
        <v>INFRASTRUKTUR</v>
      </c>
      <c r="D11" s="10">
        <f>[6]DATA!E67</f>
        <v>1</v>
      </c>
      <c r="E11" s="10" t="str">
        <f>[6]DATA!F67</f>
        <v>Kementerian Pekerjaan Umum dan Perumahan Rakyat</v>
      </c>
      <c r="F11" s="10" t="str">
        <f>[6]DATA!H67</f>
        <v>Development and Management of Irrigation Program</v>
      </c>
      <c r="G11" s="10" t="str">
        <f>[6]DATA!I67</f>
        <v>I</v>
      </c>
      <c r="H11" s="10" t="str">
        <f>[6]DATA!J67</f>
        <v>Program Pengembangan dan Pengelolaan Irigasi</v>
      </c>
      <c r="I11" s="10">
        <f>[6]DATA!K67</f>
        <v>1</v>
      </c>
      <c r="J11" s="181"/>
      <c r="K11" s="34"/>
      <c r="L11" s="34"/>
      <c r="M11" s="35">
        <v>1</v>
      </c>
      <c r="N11" s="1412" t="str">
        <f>'[6]ALL-USD40.1M'!N189</f>
        <v>Improvement of Primary Health Care</v>
      </c>
      <c r="O11" s="1413">
        <f>[6]DATA!T66</f>
        <v>700000000</v>
      </c>
      <c r="P11" s="1414">
        <f>[6]DATA!U66</f>
        <v>700000000</v>
      </c>
      <c r="Q11" s="1598">
        <f>[6]DATA!V66</f>
        <v>70000000</v>
      </c>
      <c r="R11" s="1598">
        <f>[6]DATA!W66</f>
        <v>0</v>
      </c>
      <c r="S11" s="1438">
        <f t="shared" si="0"/>
        <v>770000000</v>
      </c>
      <c r="T11" s="1439"/>
      <c r="U11" s="1449" t="str">
        <f>[6]DATA!Y67</f>
        <v>ADB</v>
      </c>
      <c r="V11" s="77">
        <f>[6]DATA!AA67</f>
        <v>600000000</v>
      </c>
      <c r="W11" s="77">
        <v>0</v>
      </c>
      <c r="X11" s="1450" t="str">
        <f>[6]DATA!Y67</f>
        <v>ADB</v>
      </c>
      <c r="Y11" s="109">
        <f>'[6]ALL-USD40.1M'!Y189</f>
        <v>150000000</v>
      </c>
      <c r="Z11" s="109" t="str">
        <f>'[6]ALL-USD40.1M'!Z189</f>
        <v>Bank Dunia</v>
      </c>
      <c r="AA11" s="3259" t="str">
        <f>'[6]ALL-USD40.1M'!AA189</f>
        <v>GB 2017 (USD 150 juta)</v>
      </c>
      <c r="AB11" s="1474"/>
      <c r="AC11" s="1474"/>
      <c r="AD11" s="1474"/>
      <c r="AE11" s="1621"/>
      <c r="AF11" s="1473"/>
      <c r="AG11" s="3277" t="s">
        <v>1186</v>
      </c>
      <c r="AH11" s="1509">
        <f>[6]DATA!AT67</f>
        <v>600000000</v>
      </c>
      <c r="AI11" s="109" t="str">
        <f>[6]DATA!AU67</f>
        <v>ADB</v>
      </c>
      <c r="AJ11" s="1544" t="str">
        <f>[6]DATA!AW67</f>
        <v>-</v>
      </c>
      <c r="AK11" s="245" t="str">
        <f>[6]DATA!AM67</f>
        <v>2016; 2015</v>
      </c>
      <c r="AL11" s="1624" t="str">
        <f>[6]DATA!AN67</f>
        <v>siap</v>
      </c>
      <c r="AM11" s="1583" t="str">
        <f>[6]DATA!AO67</f>
        <v>belum ada keterangan</v>
      </c>
      <c r="AN11" s="1545" t="e">
        <f>[6]DATA!AQ67</f>
        <v>#REF!</v>
      </c>
      <c r="AO11" s="1547" t="str">
        <f>[6]DATA!AR67</f>
        <v>-</v>
      </c>
      <c r="AQ11" s="10">
        <f t="shared" si="1"/>
        <v>0</v>
      </c>
      <c r="AR11" s="10">
        <f t="shared" si="2"/>
        <v>0</v>
      </c>
      <c r="AS11" s="10">
        <f t="shared" si="3"/>
        <v>0</v>
      </c>
      <c r="AT11" s="10">
        <f t="shared" si="4"/>
        <v>0</v>
      </c>
    </row>
    <row r="12" spans="1:46" s="5" customFormat="1" ht="33.75" customHeight="1">
      <c r="J12" s="180"/>
      <c r="K12" s="50"/>
      <c r="L12" s="30" t="s">
        <v>40</v>
      </c>
      <c r="M12" s="31" t="str">
        <f>'[6]ALL-USD40.1M'!M190:N190</f>
        <v>Program Pengembangan Sumber Daya Manusia Kesehatan</v>
      </c>
      <c r="N12" s="1419"/>
      <c r="O12" s="214" t="e">
        <v>#REF!</v>
      </c>
      <c r="P12" s="197" t="e">
        <v>#REF!</v>
      </c>
      <c r="Q12" s="1436">
        <v>991074000</v>
      </c>
      <c r="R12" s="1436" t="e">
        <v>#REF!</v>
      </c>
      <c r="S12" s="244" t="e">
        <v>#REF!</v>
      </c>
      <c r="T12" s="1437"/>
      <c r="U12" s="198"/>
      <c r="V12" s="81">
        <v>4938924000</v>
      </c>
      <c r="W12" s="81">
        <v>0</v>
      </c>
      <c r="X12" s="243">
        <v>0</v>
      </c>
      <c r="Y12" s="81">
        <f>Y13</f>
        <v>240000000</v>
      </c>
      <c r="Z12" s="81"/>
      <c r="AA12" s="1469"/>
      <c r="AB12" s="1470"/>
      <c r="AC12" s="1470"/>
      <c r="AD12" s="1470"/>
      <c r="AE12" s="1573"/>
      <c r="AF12" s="1469"/>
      <c r="AG12" s="1577"/>
      <c r="AH12" s="198">
        <v>5260724000</v>
      </c>
      <c r="AI12" s="81">
        <v>0</v>
      </c>
      <c r="AJ12" s="214">
        <v>0</v>
      </c>
      <c r="AK12" s="1505"/>
      <c r="AL12" s="1506"/>
      <c r="AM12" s="169"/>
      <c r="AN12" s="1507"/>
      <c r="AO12" s="1530"/>
      <c r="AQ12" s="10">
        <v>0</v>
      </c>
      <c r="AR12" s="10">
        <v>0</v>
      </c>
      <c r="AS12" s="10">
        <v>0</v>
      </c>
      <c r="AT12" s="10">
        <v>0</v>
      </c>
    </row>
    <row r="13" spans="1:46" ht="110.25" customHeight="1">
      <c r="A13" s="10">
        <f>[6]DATA!A70</f>
        <v>53</v>
      </c>
      <c r="B13" s="10" t="e">
        <f>[6]DATA!B70</f>
        <v>#REF!</v>
      </c>
      <c r="C13" s="10" t="str">
        <f>[6]DATA!D70</f>
        <v>INFRASTRUKTUR</v>
      </c>
      <c r="D13" s="10">
        <f>[6]DATA!E70</f>
        <v>1</v>
      </c>
      <c r="E13" s="10" t="str">
        <f>[6]DATA!F70</f>
        <v>Kementerian Pekerjaan Umum dan Perumahan Rakyat</v>
      </c>
      <c r="F13" s="10" t="str">
        <f>[6]DATA!H70</f>
        <v>Development and Management of Irrigation Program</v>
      </c>
      <c r="G13" s="10" t="str">
        <f>[6]DATA!I70</f>
        <v>I</v>
      </c>
      <c r="H13" s="10" t="str">
        <f>[6]DATA!J70</f>
        <v>Program Pengembangan dan Pengelolaan Irigasi</v>
      </c>
      <c r="I13" s="10">
        <f>[6]DATA!K70</f>
        <v>1</v>
      </c>
      <c r="J13" s="181"/>
      <c r="K13" s="34"/>
      <c r="L13" s="34"/>
      <c r="M13" s="34">
        <v>2</v>
      </c>
      <c r="N13" s="1649" t="str">
        <f>'[6]ALL-USD40.1M'!N191</f>
        <v>Improvement of Facilities and Infrastructure for Teaching and Learning Activities in Health Sector</v>
      </c>
      <c r="O13" s="1589">
        <f>[6]DATA!T70</f>
        <v>500000000</v>
      </c>
      <c r="P13" s="204">
        <f>[6]DATA!U70</f>
        <v>500000000</v>
      </c>
      <c r="Q13" s="1598">
        <f>[6]DATA!V69</f>
        <v>50000000</v>
      </c>
      <c r="R13" s="1598">
        <f>[6]DATA!W69</f>
        <v>0</v>
      </c>
      <c r="S13" s="1438">
        <f>P13+Q13+R13</f>
        <v>550000000</v>
      </c>
      <c r="T13" s="1439"/>
      <c r="U13" s="1651" t="str">
        <f>[6]DATA!Y70</f>
        <v>ADB</v>
      </c>
      <c r="V13" s="215">
        <f>[6]DATA!AA70</f>
        <v>500000000</v>
      </c>
      <c r="W13" s="215">
        <v>0</v>
      </c>
      <c r="X13" s="1611" t="str">
        <f>[6]DATA!Y70</f>
        <v>ADB</v>
      </c>
      <c r="Y13" s="109">
        <f>'[6]ALL-USD40.1M'!Y191</f>
        <v>240000000</v>
      </c>
      <c r="Z13" s="109" t="str">
        <f>'[6]ALL-USD40.1M'!Z191</f>
        <v>IDB</v>
      </c>
      <c r="AA13" s="1484" t="str">
        <f>'[6]ALL-USD40.1M'!AA191</f>
        <v>Proses penyusunan FS</v>
      </c>
      <c r="AB13" s="828"/>
      <c r="AC13" s="828"/>
      <c r="AD13" s="828"/>
      <c r="AE13" s="828"/>
      <c r="AF13" s="828"/>
      <c r="AG13" s="3278" t="str">
        <f>'[6]ALL-USD40.1M'!AG191</f>
        <v>Terdapat perubahan institusi pelaksana menjadi Biro Perencanaan Kemenkes. (Sebelumnya BPPSDMK, untuk mempercepat proses sehingga diubah.)</v>
      </c>
      <c r="AH13" s="1509">
        <f>[6]DATA!AT70</f>
        <v>400000000</v>
      </c>
      <c r="AI13" s="109" t="str">
        <f>[6]DATA!AU70</f>
        <v>ADB</v>
      </c>
      <c r="AJ13" s="1544" t="str">
        <f>[6]DATA!AW70</f>
        <v>nilai kegiatan yang tercantum dalam COBP ADB sebesar USD 400 juta.</v>
      </c>
      <c r="AK13" s="245" t="e">
        <f>[6]DATA!AM70</f>
        <v>#REF!</v>
      </c>
      <c r="AL13" s="1583" t="str">
        <f>[6]DATA!AN70</f>
        <v>belum ada keterangan</v>
      </c>
      <c r="AM13" s="1583" t="str">
        <f>[6]DATA!AO70</f>
        <v>belum ada keterangan</v>
      </c>
      <c r="AN13" s="1545" t="e">
        <f>[6]DATA!AQ70</f>
        <v>#REF!</v>
      </c>
      <c r="AO13" s="1547" t="str">
        <f>[6]DATA!AR70</f>
        <v>- untuk yang Phase II: belum ada penyiapan
- belum ada dokumen R/C</v>
      </c>
      <c r="AQ13" s="10">
        <f t="shared" si="1"/>
        <v>0</v>
      </c>
      <c r="AR13" s="10">
        <f t="shared" si="2"/>
        <v>0</v>
      </c>
      <c r="AS13" s="10">
        <f t="shared" si="3"/>
        <v>0</v>
      </c>
      <c r="AT13" s="10">
        <f t="shared" si="4"/>
        <v>0</v>
      </c>
    </row>
    <row r="14" spans="1:46" ht="37.5" customHeight="1">
      <c r="J14" s="1650"/>
      <c r="K14" s="34"/>
      <c r="L14" s="30" t="s">
        <v>51</v>
      </c>
      <c r="M14" s="3427" t="str">
        <f>'[6]ALL-USD40.1M'!M192:N192</f>
        <v>Program Pengendalian Penyakit, Penyehatan Lingkungan, dan Penguatan Litbang Kesehatan</v>
      </c>
      <c r="N14" s="3446"/>
      <c r="O14" s="214" t="e">
        <v>#REF!</v>
      </c>
      <c r="P14" s="197" t="e">
        <v>#REF!</v>
      </c>
      <c r="Q14" s="1436">
        <v>991074000</v>
      </c>
      <c r="R14" s="1436" t="e">
        <v>#REF!</v>
      </c>
      <c r="S14" s="244" t="e">
        <v>#REF!</v>
      </c>
      <c r="T14" s="1437"/>
      <c r="U14" s="198"/>
      <c r="V14" s="81">
        <v>4938924000</v>
      </c>
      <c r="W14" s="81">
        <v>0</v>
      </c>
      <c r="X14" s="243">
        <v>0</v>
      </c>
      <c r="Y14" s="81">
        <f>Y15</f>
        <v>100400000</v>
      </c>
      <c r="Z14" s="81"/>
      <c r="AA14" s="1469"/>
      <c r="AB14" s="1470"/>
      <c r="AC14" s="1470"/>
      <c r="AD14" s="1470"/>
      <c r="AE14" s="1573"/>
      <c r="AF14" s="1469"/>
      <c r="AG14" s="1577"/>
      <c r="AH14" s="1643"/>
      <c r="AI14" s="109"/>
      <c r="AJ14" s="1644"/>
      <c r="AK14" s="1645"/>
      <c r="AL14" s="1646"/>
      <c r="AM14" s="1646"/>
      <c r="AN14" s="1647"/>
      <c r="AO14" s="1648"/>
    </row>
    <row r="15" spans="1:46" ht="50.25" customHeight="1">
      <c r="A15" s="10">
        <f>[6]DATA!A75</f>
        <v>57</v>
      </c>
      <c r="B15" s="10" t="e">
        <f>[6]DATA!B75</f>
        <v>#REF!</v>
      </c>
      <c r="C15" s="10" t="str">
        <f>[6]DATA!D75</f>
        <v>INFRASTRUKTUR</v>
      </c>
      <c r="D15" s="10">
        <f>[6]DATA!E75</f>
        <v>1</v>
      </c>
      <c r="E15" s="10" t="str">
        <f>[6]DATA!F75</f>
        <v>Kementerian Pekerjaan Umum dan Perumahan Rakyat</v>
      </c>
      <c r="F15" s="10" t="str">
        <f>[6]DATA!H75</f>
        <v>Development and Management of Irrigation Program</v>
      </c>
      <c r="G15" s="10" t="str">
        <f>[6]DATA!I75</f>
        <v>I</v>
      </c>
      <c r="H15" s="10" t="str">
        <f>[6]DATA!J75</f>
        <v>Program Pengembangan dan Pengelolaan Irigasi</v>
      </c>
      <c r="I15" s="10">
        <f>[6]DATA!K75</f>
        <v>5</v>
      </c>
      <c r="J15" s="181"/>
      <c r="K15" s="34"/>
      <c r="L15" s="34"/>
      <c r="M15" s="36">
        <v>3</v>
      </c>
      <c r="N15" s="199" t="str">
        <f>'[6]ALL-USD40.1M'!N193</f>
        <v>Improvement of Capacity on Disease Control, Environmental Health, and Strengthening Health’s Research and Development</v>
      </c>
      <c r="O15" s="1402">
        <f>[6]DATA!T75</f>
        <v>350000000</v>
      </c>
      <c r="P15" s="187">
        <f>[6]DATA!U75</f>
        <v>350000000</v>
      </c>
      <c r="Q15" s="1446" t="e">
        <f>[6]!BB[[#This Row],[PENDAMPING BB]]</f>
        <v>#REF!</v>
      </c>
      <c r="R15" s="1446" t="e">
        <f>[6]!BB[[#This Row],[HIBAH BB]]</f>
        <v>#REF!</v>
      </c>
      <c r="S15" s="1447" t="e">
        <f t="shared" ref="S15:S17" si="5">P15+Q15+R15</f>
        <v>#REF!</v>
      </c>
      <c r="T15" s="1448"/>
      <c r="U15" s="1449" t="str">
        <f>[6]DATA!Y75</f>
        <v>ADB</v>
      </c>
      <c r="V15" s="77">
        <f>[6]DATA!AA75</f>
        <v>350000000</v>
      </c>
      <c r="W15" s="77">
        <v>0</v>
      </c>
      <c r="X15" s="1450" t="str">
        <f>[6]DATA!Y75</f>
        <v>ADB</v>
      </c>
      <c r="Y15" s="109">
        <f>'[6]ALL-USD40.1M'!Y193</f>
        <v>100400000</v>
      </c>
      <c r="Z15" s="109" t="str">
        <f>'[6]ALL-USD40.1M'!Z193</f>
        <v>Belum Ada Indikasi</v>
      </c>
      <c r="AA15" s="1484" t="str">
        <f>'[6]ALL-USD40.1M'!AA193</f>
        <v>Belum proses</v>
      </c>
      <c r="AB15" s="828"/>
      <c r="AC15" s="828"/>
      <c r="AD15" s="828"/>
      <c r="AE15" s="1575"/>
      <c r="AF15" s="1484"/>
      <c r="AG15" s="252"/>
      <c r="AH15" s="1509">
        <f>[6]DATA!AT75</f>
        <v>350000000</v>
      </c>
      <c r="AI15" s="109" t="str">
        <f>[6]DATA!AU75</f>
        <v>Belum Ada Indikasi</v>
      </c>
      <c r="AJ15" s="1544" t="str">
        <f>[6]DATA!AW75</f>
        <v>- usulan K/L lender: ADB
- tidak masuk COBP ADB</v>
      </c>
      <c r="AK15" s="245" t="e">
        <f>[6]DATA!AM75</f>
        <v>#REF!</v>
      </c>
      <c r="AL15" s="1510" t="str">
        <f>[6]DATA!AN75</f>
        <v>dalam proses
(memiliki FS dan DED)</v>
      </c>
      <c r="AM15" s="1511" t="str">
        <f>[6]DATA!AO75</f>
        <v>belum ada keterangan</v>
      </c>
      <c r="AN15" s="1545" t="e">
        <f>[6]DATA!AQ75</f>
        <v>#REF!</v>
      </c>
      <c r="AO15" s="1547" t="str">
        <f>[6]DATA!AR75</f>
        <v>belum ada dokumen R/C</v>
      </c>
      <c r="AQ15" s="10">
        <f t="shared" si="1"/>
        <v>0</v>
      </c>
      <c r="AR15" s="10">
        <f t="shared" si="2"/>
        <v>0</v>
      </c>
      <c r="AS15" s="10">
        <f t="shared" si="3"/>
        <v>100400000</v>
      </c>
      <c r="AT15" s="10">
        <f t="shared" si="4"/>
        <v>0</v>
      </c>
    </row>
    <row r="16" spans="1:46" ht="37.5" customHeight="1">
      <c r="J16" s="1650"/>
      <c r="K16" s="34"/>
      <c r="L16" s="30" t="s">
        <v>72</v>
      </c>
      <c r="M16" s="3427" t="str">
        <f>'[6]ALL-USD40.1M'!M194</f>
        <v>Program Pelayanan Kesehatan Rujukan</v>
      </c>
      <c r="N16" s="3446"/>
      <c r="O16" s="214" t="e">
        <v>#REF!</v>
      </c>
      <c r="P16" s="197" t="e">
        <v>#REF!</v>
      </c>
      <c r="Q16" s="1436">
        <v>991074000</v>
      </c>
      <c r="R16" s="1436" t="e">
        <v>#REF!</v>
      </c>
      <c r="S16" s="244" t="e">
        <v>#REF!</v>
      </c>
      <c r="T16" s="1437"/>
      <c r="U16" s="198"/>
      <c r="V16" s="81">
        <v>4938924000</v>
      </c>
      <c r="W16" s="81">
        <v>0</v>
      </c>
      <c r="X16" s="243">
        <v>0</v>
      </c>
      <c r="Y16" s="81">
        <f>Y17+Y18+Y19</f>
        <v>1255600000</v>
      </c>
      <c r="Z16" s="81"/>
      <c r="AA16" s="1469"/>
      <c r="AB16" s="1470"/>
      <c r="AC16" s="1470"/>
      <c r="AD16" s="1470"/>
      <c r="AE16" s="1573"/>
      <c r="AF16" s="1469"/>
      <c r="AG16" s="1577"/>
      <c r="AH16" s="1643"/>
      <c r="AI16" s="109"/>
      <c r="AJ16" s="1644"/>
      <c r="AK16" s="1645"/>
      <c r="AL16" s="1646"/>
      <c r="AM16" s="1646"/>
      <c r="AN16" s="1647"/>
      <c r="AO16" s="1648"/>
    </row>
    <row r="17" spans="1:46" ht="39.75" customHeight="1">
      <c r="A17" s="10">
        <f>[6]DATA!A76</f>
        <v>58</v>
      </c>
      <c r="B17" s="10" t="e">
        <f>[6]DATA!B76</f>
        <v>#REF!</v>
      </c>
      <c r="C17" s="10" t="str">
        <f>[6]DATA!D76</f>
        <v>INFRASTRUKTUR</v>
      </c>
      <c r="D17" s="10">
        <f>[6]DATA!E76</f>
        <v>1</v>
      </c>
      <c r="E17" s="10" t="str">
        <f>[6]DATA!F76</f>
        <v>Kementerian Pekerjaan Umum dan Perumahan Rakyat</v>
      </c>
      <c r="F17" s="10" t="str">
        <f>[6]DATA!H76</f>
        <v>Development and Management of Irrigation Program</v>
      </c>
      <c r="G17" s="10" t="str">
        <f>[6]DATA!I76</f>
        <v>I</v>
      </c>
      <c r="H17" s="10" t="str">
        <f>[6]DATA!J76</f>
        <v>Program Pengembangan dan Pengelolaan Irigasi</v>
      </c>
      <c r="I17" s="10">
        <f>[6]DATA!K76</f>
        <v>6</v>
      </c>
      <c r="J17" s="181"/>
      <c r="K17" s="34"/>
      <c r="L17" s="34"/>
      <c r="M17" s="3390">
        <v>4</v>
      </c>
      <c r="N17" s="3393" t="str">
        <f>'[6]ALL-USD40.1M'!N195</f>
        <v>Strengthening of National Referral Hospitals, Province Referral Hospital and Vertical Technical Units</v>
      </c>
      <c r="O17" s="1402">
        <f>[6]DATA!T76</f>
        <v>161298000</v>
      </c>
      <c r="P17" s="187">
        <f>[6]DATA!U76</f>
        <v>161298000</v>
      </c>
      <c r="Q17" s="1446" t="e">
        <f>[6]!BB[[#This Row],[PENDAMPING BB]]</f>
        <v>#REF!</v>
      </c>
      <c r="R17" s="1446" t="e">
        <f>[6]!BB[[#This Row],[HIBAH BB]]</f>
        <v>#REF!</v>
      </c>
      <c r="S17" s="1447" t="e">
        <f t="shared" si="5"/>
        <v>#REF!</v>
      </c>
      <c r="T17" s="1448"/>
      <c r="U17" s="1449" t="str">
        <f>[6]DATA!Y76</f>
        <v>ADB</v>
      </c>
      <c r="V17" s="77">
        <f>[6]DATA!AA76</f>
        <v>161298000</v>
      </c>
      <c r="W17" s="77">
        <v>0</v>
      </c>
      <c r="X17" s="1450" t="str">
        <f>[6]DATA!Y76</f>
        <v>ADB</v>
      </c>
      <c r="Y17" s="109">
        <f>'[6]ALL-USD40.1M'!Y195</f>
        <v>250000000</v>
      </c>
      <c r="Z17" s="109" t="str">
        <f>'[6]ALL-USD40.1M'!Z195</f>
        <v>IDB</v>
      </c>
      <c r="AA17" s="1484" t="str">
        <f>'[6]ALL-USD40.1M'!AA200</f>
        <v>Belum proses</v>
      </c>
      <c r="AB17" s="828"/>
      <c r="AC17" s="828"/>
      <c r="AD17" s="828"/>
      <c r="AE17" s="1575"/>
      <c r="AF17" s="1484"/>
      <c r="AG17" s="3688" t="str">
        <f>'[6]ALL-USD40.1M'!AG197</f>
        <v>- Kem. Kesehatan mengusulkan kegiatan I-SPHERE yang merupakan penggabungan ruang lingkup dari 2 program (USD 150 juta) yaitu
1. Basic Health Care Program
2. Health Services Referral Program
-Menggunakan skema pembiayaan PforR (Program for Result)</v>
      </c>
      <c r="AH17" s="1509">
        <f>[6]DATA!AT76</f>
        <v>161298000</v>
      </c>
      <c r="AI17" s="109" t="str">
        <f>[6]DATA!AU76</f>
        <v>Belum Ada Indikasi</v>
      </c>
      <c r="AJ17" s="1544" t="str">
        <f>[6]DATA!AW76</f>
        <v>- usulan K/L lender: ADB
- tidak masuk COBP ADB</v>
      </c>
      <c r="AK17" s="245" t="e">
        <f>[6]DATA!AM76</f>
        <v>#REF!</v>
      </c>
      <c r="AL17" s="1510" t="str">
        <f>[6]DATA!AN76</f>
        <v>dalam proses
(memiliki FS dan DED)</v>
      </c>
      <c r="AM17" s="1511" t="str">
        <f>[6]DATA!AO76</f>
        <v>belum ada keterangan</v>
      </c>
      <c r="AN17" s="1545" t="e">
        <f>[6]DATA!AQ76</f>
        <v>#REF!</v>
      </c>
      <c r="AO17" s="1547" t="str">
        <f>[6]DATA!AR76</f>
        <v>belum ada dokumen R/C</v>
      </c>
      <c r="AQ17" s="10">
        <f t="shared" si="1"/>
        <v>0</v>
      </c>
      <c r="AR17" s="10">
        <f t="shared" si="2"/>
        <v>0</v>
      </c>
      <c r="AS17" s="10">
        <f t="shared" si="3"/>
        <v>0</v>
      </c>
      <c r="AT17" s="10">
        <f t="shared" si="4"/>
        <v>0</v>
      </c>
    </row>
    <row r="18" spans="1:46" ht="39.75" customHeight="1">
      <c r="J18" s="181"/>
      <c r="K18" s="34"/>
      <c r="L18" s="34"/>
      <c r="M18" s="3392"/>
      <c r="N18" s="3397"/>
      <c r="O18" s="1402"/>
      <c r="P18" s="187"/>
      <c r="Q18" s="1446"/>
      <c r="R18" s="1446"/>
      <c r="S18" s="1447"/>
      <c r="T18" s="1448"/>
      <c r="U18" s="1449"/>
      <c r="V18" s="77"/>
      <c r="W18" s="77"/>
      <c r="X18" s="1450"/>
      <c r="Y18" s="109">
        <f>'[6]ALL-USD40.1M'!Y196</f>
        <v>250000000</v>
      </c>
      <c r="Z18" s="109" t="str">
        <f>'[6]ALL-USD40.1M'!Z196</f>
        <v>Belum Ada Indikasi</v>
      </c>
      <c r="AA18" s="1484" t="str">
        <f>'[6]ALL-USD40.1M'!AA196</f>
        <v>Belum proses</v>
      </c>
      <c r="AB18" s="1142"/>
      <c r="AC18" s="1142"/>
      <c r="AD18" s="1142"/>
      <c r="AE18" s="1575"/>
      <c r="AF18" s="1484"/>
      <c r="AG18" s="3689"/>
      <c r="AH18" s="1509"/>
      <c r="AI18" s="109"/>
      <c r="AJ18" s="1544"/>
      <c r="AK18" s="245"/>
      <c r="AL18" s="1510"/>
      <c r="AM18" s="1511"/>
      <c r="AN18" s="1545"/>
      <c r="AO18" s="1547"/>
    </row>
    <row r="19" spans="1:46" ht="39.75" customHeight="1">
      <c r="J19" s="181"/>
      <c r="K19" s="34"/>
      <c r="L19" s="34"/>
      <c r="M19" s="3391"/>
      <c r="N19" s="3394"/>
      <c r="O19" s="1402"/>
      <c r="P19" s="187"/>
      <c r="Q19" s="1446"/>
      <c r="R19" s="1446"/>
      <c r="S19" s="1447"/>
      <c r="T19" s="1448"/>
      <c r="U19" s="1449"/>
      <c r="V19" s="77"/>
      <c r="W19" s="77"/>
      <c r="X19" s="1450"/>
      <c r="Y19" s="109">
        <f>'[6]ALL-USD40.1M'!Y197</f>
        <v>755600000</v>
      </c>
      <c r="Z19" s="109" t="str">
        <f>'[6]ALL-USD40.1M'!Z197</f>
        <v>Bank Dunia</v>
      </c>
      <c r="AA19" s="1484" t="str">
        <f>'[6]ALL-USD40.1M'!AA197</f>
        <v>Belum proses</v>
      </c>
      <c r="AB19" s="1142"/>
      <c r="AC19" s="1142"/>
      <c r="AD19" s="1142"/>
      <c r="AE19" s="1575"/>
      <c r="AF19" s="1484"/>
      <c r="AG19" s="3690"/>
      <c r="AH19" s="1509"/>
      <c r="AI19" s="109"/>
      <c r="AJ19" s="1544"/>
      <c r="AK19" s="245"/>
      <c r="AL19" s="1510"/>
      <c r="AM19" s="1511"/>
      <c r="AN19" s="1545"/>
      <c r="AO19" s="1547"/>
    </row>
    <row r="20" spans="1:46" s="4" customFormat="1" ht="24.95" customHeight="1">
      <c r="J20" s="179"/>
      <c r="K20" s="25">
        <v>2</v>
      </c>
      <c r="L20" s="26" t="str">
        <f>'[6]ALL-USD40.1M'!L198</f>
        <v>Pemprov. Aceh</v>
      </c>
      <c r="M20" s="26"/>
      <c r="N20" s="1416"/>
      <c r="O20" s="213" t="e">
        <v>#REF!</v>
      </c>
      <c r="P20" s="194" t="e">
        <v>#REF!</v>
      </c>
      <c r="Q20" s="194" t="e">
        <v>#REF!</v>
      </c>
      <c r="R20" s="194" t="e">
        <v>#REF!</v>
      </c>
      <c r="S20" s="242" t="e">
        <v>#REF!</v>
      </c>
      <c r="T20" s="1538"/>
      <c r="U20" s="195"/>
      <c r="V20" s="80" t="e">
        <v>#REF!</v>
      </c>
      <c r="W20" s="80" t="e">
        <v>#REF!</v>
      </c>
      <c r="X20" s="241" t="e">
        <v>#REF!</v>
      </c>
      <c r="Y20" s="80">
        <f>Y21</f>
        <v>106800000</v>
      </c>
      <c r="Z20" s="80"/>
      <c r="AA20" s="226"/>
      <c r="AB20" s="1465"/>
      <c r="AC20" s="1465"/>
      <c r="AD20" s="1465"/>
      <c r="AE20" s="1465"/>
      <c r="AF20" s="1465"/>
      <c r="AG20" s="1660"/>
      <c r="AH20" s="195" t="e">
        <v>#REF!</v>
      </c>
      <c r="AI20" s="80" t="s">
        <v>21</v>
      </c>
      <c r="AJ20" s="213"/>
      <c r="AK20" s="1501"/>
      <c r="AL20" s="1541"/>
      <c r="AM20" s="1542"/>
      <c r="AN20" s="1543"/>
      <c r="AO20" s="1546"/>
    </row>
    <row r="21" spans="1:46" ht="37.5" customHeight="1">
      <c r="J21" s="3620"/>
      <c r="K21" s="3620"/>
      <c r="L21" s="30" t="str">
        <f>'[6]ALL-USD40.1M'!L199</f>
        <v>A</v>
      </c>
      <c r="M21" s="3427" t="str">
        <f>'[6]ALL-USD40.1M'!M199</f>
        <v>Program Pelayanan Kesehatan Rujukan</v>
      </c>
      <c r="N21" s="3446"/>
      <c r="O21" s="214" t="e">
        <v>#REF!</v>
      </c>
      <c r="P21" s="197" t="e">
        <v>#REF!</v>
      </c>
      <c r="Q21" s="1436">
        <v>991074000</v>
      </c>
      <c r="R21" s="1436" t="e">
        <v>#REF!</v>
      </c>
      <c r="S21" s="244" t="e">
        <v>#REF!</v>
      </c>
      <c r="T21" s="1437"/>
      <c r="U21" s="198"/>
      <c r="V21" s="81">
        <v>4938924000</v>
      </c>
      <c r="W21" s="81">
        <v>0</v>
      </c>
      <c r="X21" s="243">
        <v>0</v>
      </c>
      <c r="Y21" s="81">
        <f>Y22</f>
        <v>106800000</v>
      </c>
      <c r="Z21" s="81"/>
      <c r="AA21" s="1469"/>
      <c r="AB21" s="1470"/>
      <c r="AC21" s="1470"/>
      <c r="AD21" s="1470"/>
      <c r="AE21" s="1573"/>
      <c r="AF21" s="1469"/>
      <c r="AG21" s="1577"/>
      <c r="AH21" s="1643"/>
      <c r="AI21" s="109"/>
      <c r="AJ21" s="1644"/>
      <c r="AK21" s="1645"/>
      <c r="AL21" s="1646"/>
      <c r="AM21" s="1646"/>
      <c r="AN21" s="1647"/>
      <c r="AO21" s="1648"/>
    </row>
    <row r="22" spans="1:46" ht="39.75" customHeight="1">
      <c r="J22" s="3683"/>
      <c r="K22" s="3683"/>
      <c r="L22" s="3620"/>
      <c r="M22" s="3620">
        <v>5</v>
      </c>
      <c r="N22" s="3681" t="str">
        <f>'[6]ALL-USD40.1M'!N200</f>
        <v>Reengineering and Improving The Hospital and Referral System in Selected Aceh Districts</v>
      </c>
      <c r="O22" s="1402"/>
      <c r="P22" s="187"/>
      <c r="Q22" s="1446"/>
      <c r="R22" s="1446"/>
      <c r="S22" s="1447"/>
      <c r="T22" s="1448"/>
      <c r="U22" s="1449"/>
      <c r="V22" s="77"/>
      <c r="W22" s="77"/>
      <c r="X22" s="1450"/>
      <c r="Y22" s="109">
        <f>'[6]ALL-USD40.1M'!Y200</f>
        <v>106800000</v>
      </c>
      <c r="Z22" s="1611" t="str">
        <f>'[6]ALL-USD40.1M'!Z195</f>
        <v>IDB</v>
      </c>
      <c r="AA22" s="1488" t="str">
        <f>'[6]ALL-USD40.1M'!AA195</f>
        <v>Belum proses</v>
      </c>
      <c r="AB22" s="1611"/>
      <c r="AC22" s="1611"/>
      <c r="AD22" s="1611"/>
      <c r="AE22" s="1611"/>
      <c r="AF22" s="1611"/>
      <c r="AG22" s="1611"/>
      <c r="AH22" s="1509"/>
      <c r="AI22" s="109"/>
      <c r="AJ22" s="1544"/>
      <c r="AK22" s="245"/>
      <c r="AL22" s="1510"/>
      <c r="AM22" s="1511"/>
      <c r="AN22" s="1545"/>
      <c r="AO22" s="1547"/>
    </row>
    <row r="23" spans="1:46" ht="39.75" customHeight="1">
      <c r="J23" s="3621"/>
      <c r="K23" s="3621"/>
      <c r="L23" s="3683"/>
      <c r="M23" s="3683"/>
      <c r="N23" s="3687"/>
      <c r="O23" s="1413"/>
      <c r="P23" s="1414"/>
      <c r="Q23" s="1459"/>
      <c r="R23" s="1459"/>
      <c r="S23" s="1652"/>
      <c r="T23" s="1457"/>
      <c r="U23" s="1440"/>
      <c r="V23" s="1458"/>
      <c r="W23" s="1458"/>
      <c r="X23" s="1441"/>
      <c r="Y23" s="1611">
        <f>'[6]ALL-USD40.1M'!Y196</f>
        <v>250000000</v>
      </c>
      <c r="Z23" s="1611" t="str">
        <f>'[6]ALL-USD40.1M'!Z196</f>
        <v>Belum Ada Indikasi</v>
      </c>
      <c r="AA23" s="1488" t="str">
        <f>'[6]ALL-USD40.1M'!AA196</f>
        <v>Belum proses</v>
      </c>
      <c r="AB23" s="1611" t="e">
        <f>'[6]ALL-USD40.1M'!AB196</f>
        <v>#REF!</v>
      </c>
      <c r="AC23" s="1611"/>
      <c r="AD23" s="1611"/>
      <c r="AE23" s="1611"/>
      <c r="AF23" s="1611"/>
      <c r="AG23" s="1611"/>
      <c r="AH23" s="1658"/>
      <c r="AI23" s="1611"/>
      <c r="AJ23" s="1659"/>
      <c r="AK23" s="1582"/>
      <c r="AL23" s="1624"/>
      <c r="AM23" s="1583"/>
      <c r="AN23" s="1545"/>
      <c r="AO23" s="1547"/>
    </row>
    <row r="24" spans="1:46" ht="39.75" customHeight="1">
      <c r="J24" s="1611"/>
      <c r="K24" s="1611"/>
      <c r="L24" s="3621"/>
      <c r="M24" s="3621"/>
      <c r="N24" s="3682"/>
      <c r="O24" s="1413"/>
      <c r="P24" s="1414"/>
      <c r="Q24" s="1459"/>
      <c r="R24" s="1459"/>
      <c r="S24" s="1652"/>
      <c r="T24" s="1457"/>
      <c r="U24" s="1440"/>
      <c r="V24" s="1458"/>
      <c r="W24" s="1458"/>
      <c r="X24" s="1441"/>
      <c r="Y24" s="1611">
        <f>'[6]ALL-USD40.1M'!Y197</f>
        <v>755600000</v>
      </c>
      <c r="Z24" s="1611" t="str">
        <f>'[6]ALL-USD40.1M'!Z197</f>
        <v>Bank Dunia</v>
      </c>
      <c r="AA24" s="1488" t="str">
        <f>'[6]ALL-USD40.1M'!AA197</f>
        <v>Belum proses</v>
      </c>
      <c r="AB24" s="1656"/>
      <c r="AC24" s="1656"/>
      <c r="AD24" s="1656"/>
      <c r="AE24" s="1658"/>
      <c r="AF24" s="1611"/>
      <c r="AG24" s="1611"/>
      <c r="AH24" s="1658"/>
      <c r="AI24" s="1611"/>
      <c r="AJ24" s="1659"/>
      <c r="AK24" s="1582"/>
      <c r="AL24" s="1624"/>
      <c r="AM24" s="1583"/>
      <c r="AN24" s="1545"/>
      <c r="AO24" s="1547"/>
    </row>
    <row r="25" spans="1:46" s="3" customFormat="1" ht="30" customHeight="1">
      <c r="J25" s="3450" t="s">
        <v>477</v>
      </c>
      <c r="K25" s="3451"/>
      <c r="L25" s="3451"/>
      <c r="M25" s="3573"/>
      <c r="N25" s="3573"/>
      <c r="O25" s="282" t="e">
        <f>+O8+#REF!</f>
        <v>#REF!</v>
      </c>
      <c r="P25" s="278" t="e">
        <f>+P8+#REF!</f>
        <v>#REF!</v>
      </c>
      <c r="Q25" s="1460" t="e">
        <f>+Q8+#REF!</f>
        <v>#REF!</v>
      </c>
      <c r="R25" s="1460" t="e">
        <f>+R8+#REF!</f>
        <v>#REF!</v>
      </c>
      <c r="S25" s="288" t="e">
        <f>P25+Q25+R25</f>
        <v>#REF!</v>
      </c>
      <c r="T25" s="1461"/>
      <c r="U25" s="279"/>
      <c r="V25" s="280" t="e">
        <f>+V8+#REF!</f>
        <v>#REF!</v>
      </c>
      <c r="W25" s="280" t="e">
        <f>+W8+#REF!</f>
        <v>#REF!</v>
      </c>
      <c r="X25" s="287"/>
      <c r="Y25" s="280">
        <f>+Y8</f>
        <v>1852800000</v>
      </c>
      <c r="Z25" s="280"/>
      <c r="AA25" s="287"/>
      <c r="AB25" s="1640"/>
      <c r="AC25" s="1640"/>
      <c r="AD25" s="1640"/>
      <c r="AE25" s="1641"/>
      <c r="AF25" s="287"/>
      <c r="AG25" s="285"/>
      <c r="AH25" s="279" t="e">
        <f>+AH8+#REF!</f>
        <v>#REF!</v>
      </c>
      <c r="AI25" s="280" t="s">
        <v>21</v>
      </c>
      <c r="AJ25" s="280" t="s">
        <v>21</v>
      </c>
      <c r="AK25" s="1523"/>
      <c r="AL25" s="1524"/>
      <c r="AM25" s="1525"/>
      <c r="AN25" s="1526"/>
      <c r="AO25" s="1534"/>
      <c r="AP25" s="12"/>
      <c r="AQ25" s="1535">
        <f>SUM(AQ10:AQ22)</f>
        <v>0</v>
      </c>
      <c r="AR25" s="1535">
        <f>SUM(AR10:AR22)</f>
        <v>0</v>
      </c>
      <c r="AS25" s="1535">
        <f>SUM(AS10:AS22)</f>
        <v>100400000</v>
      </c>
      <c r="AT25" s="1535">
        <f>SUM(AT10:AT22)</f>
        <v>0</v>
      </c>
    </row>
    <row r="26" spans="1:46" s="12" customFormat="1">
      <c r="A26" s="10"/>
      <c r="B26" s="10"/>
      <c r="C26" s="10"/>
      <c r="D26" s="10"/>
      <c r="E26" s="10"/>
      <c r="F26" s="10"/>
      <c r="G26" s="10"/>
      <c r="H26" s="10"/>
      <c r="I26" s="10"/>
      <c r="J26" s="11"/>
      <c r="K26" s="10"/>
      <c r="L26" s="10"/>
      <c r="M26" s="1425"/>
      <c r="N26" s="1426"/>
      <c r="O26" s="13"/>
      <c r="P26" s="13"/>
      <c r="Q26" s="1395"/>
      <c r="R26" s="1395"/>
      <c r="S26" s="13"/>
      <c r="T26" s="13"/>
      <c r="U26" s="14"/>
      <c r="V26" s="13"/>
      <c r="W26" s="13"/>
      <c r="X26" s="13"/>
      <c r="Y26" s="13"/>
      <c r="Z26" s="13"/>
      <c r="AA26" s="13"/>
      <c r="AB26" s="13"/>
      <c r="AC26" s="13"/>
      <c r="AD26" s="13"/>
      <c r="AE26" s="13"/>
      <c r="AF26" s="13"/>
      <c r="AG26" s="13"/>
      <c r="AK26" s="14"/>
      <c r="AL26" s="14"/>
      <c r="AM26" s="14"/>
      <c r="AN26" s="14"/>
      <c r="AO26" s="175"/>
    </row>
    <row r="27" spans="1:46" s="12" customFormat="1">
      <c r="A27" s="10"/>
      <c r="B27" s="10"/>
      <c r="C27" s="10"/>
      <c r="D27" s="10"/>
      <c r="E27" s="10"/>
      <c r="F27" s="10"/>
      <c r="G27" s="10"/>
      <c r="H27" s="10"/>
      <c r="I27" s="10"/>
      <c r="J27" s="11"/>
      <c r="K27" s="10" t="s">
        <v>1111</v>
      </c>
      <c r="L27" s="10"/>
      <c r="M27" s="10"/>
      <c r="O27" s="13"/>
      <c r="P27" s="13"/>
      <c r="Q27" s="1395"/>
      <c r="R27" s="1395"/>
      <c r="S27" s="13"/>
      <c r="T27" s="13"/>
      <c r="U27" s="14"/>
      <c r="V27" s="13" t="e">
        <f>V25+W25</f>
        <v>#REF!</v>
      </c>
      <c r="W27" s="13"/>
      <c r="X27" s="13"/>
      <c r="Y27" s="13"/>
      <c r="Z27" s="13"/>
      <c r="AA27" s="13"/>
      <c r="AB27" s="13"/>
      <c r="AC27" s="13"/>
      <c r="AD27" s="13"/>
      <c r="AE27" s="13"/>
      <c r="AF27" s="13"/>
      <c r="AG27" s="13"/>
      <c r="AH27" s="289"/>
      <c r="AK27" s="14"/>
      <c r="AL27" s="14"/>
      <c r="AM27" s="14"/>
      <c r="AN27" s="14"/>
      <c r="AO27" s="175"/>
      <c r="AP27" s="10"/>
    </row>
    <row r="28" spans="1:46">
      <c r="V28" s="13" t="e">
        <f>V27-AH25</f>
        <v>#REF!</v>
      </c>
      <c r="Y28" s="13">
        <f>Y25+5809063500</f>
        <v>7661863500</v>
      </c>
      <c r="Z28" s="13" t="e">
        <f>Y25-#REF!</f>
        <v>#REF!</v>
      </c>
    </row>
    <row r="30" spans="1:46">
      <c r="AH30" s="289"/>
    </row>
    <row r="31" spans="1:46">
      <c r="Y31" s="13" t="e">
        <f>#REF!+#REF!+#REF!+#REF!+#REF!+#REF!+#REF!+#REF!+#REF!+#REF!+#REF!+#REF!+#REF!+#REF!+#REF!+#REF!+#REF!+#REF!+#REF!+#REF!+#REF!+#REF!</f>
        <v>#REF!</v>
      </c>
      <c r="AP31" s="12"/>
    </row>
    <row r="32" spans="1:46" s="12" customFormat="1">
      <c r="A32" s="10"/>
      <c r="B32" s="10"/>
      <c r="C32" s="10"/>
      <c r="D32" s="10"/>
      <c r="E32" s="10"/>
      <c r="F32" s="10"/>
      <c r="G32" s="10"/>
      <c r="H32" s="10"/>
      <c r="I32" s="10"/>
      <c r="J32" s="11"/>
      <c r="K32" s="10"/>
      <c r="L32" s="10"/>
      <c r="M32" s="10"/>
      <c r="O32" s="13"/>
      <c r="P32" s="13"/>
      <c r="Q32" s="1395"/>
      <c r="R32" s="1395"/>
      <c r="S32" s="13"/>
      <c r="T32" s="13"/>
      <c r="U32" s="14"/>
      <c r="V32" s="13"/>
      <c r="W32" s="13"/>
      <c r="X32" s="13"/>
      <c r="Y32" s="13"/>
      <c r="Z32" s="13"/>
      <c r="AA32" s="13"/>
      <c r="AB32" s="13"/>
      <c r="AC32" s="13"/>
      <c r="AD32" s="13"/>
      <c r="AE32" s="13"/>
      <c r="AF32" s="13"/>
      <c r="AG32" s="13"/>
      <c r="AI32" s="289"/>
      <c r="AK32" s="14"/>
      <c r="AL32" s="14"/>
      <c r="AM32" s="14"/>
      <c r="AN32" s="14"/>
      <c r="AO32" s="175"/>
    </row>
    <row r="33" spans="1:42" s="12" customFormat="1">
      <c r="A33" s="10"/>
      <c r="B33" s="10"/>
      <c r="C33" s="10"/>
      <c r="D33" s="10"/>
      <c r="E33" s="10"/>
      <c r="F33" s="10"/>
      <c r="G33" s="10"/>
      <c r="H33" s="10"/>
      <c r="I33" s="10"/>
      <c r="J33" s="11"/>
      <c r="K33" s="10"/>
      <c r="L33" s="10"/>
      <c r="M33" s="10"/>
      <c r="O33" s="13"/>
      <c r="P33" s="13"/>
      <c r="Q33" s="1395"/>
      <c r="R33" s="1395"/>
      <c r="S33" s="13"/>
      <c r="T33" s="13"/>
      <c r="U33" s="14"/>
      <c r="V33" s="13"/>
      <c r="W33" s="13"/>
      <c r="X33" s="13"/>
      <c r="Y33" s="13" t="e">
        <f>#REF!+#REF!+#REF!+#REF!+#REF!+#REF!+#REF!+#REF!+#REF!+#REF!+#REF!+#REF!+#REF!+#REF!+#REF!+#REF!+#REF!+#REF!+#REF!+#REF!+#REF!+#REF!+Y11+#REF!+#REF!+#REF!+#REF!+71100000</f>
        <v>#REF!</v>
      </c>
      <c r="Z33" s="13"/>
      <c r="AA33" s="13"/>
      <c r="AB33" s="13"/>
      <c r="AC33" s="13"/>
      <c r="AD33" s="13"/>
      <c r="AE33" s="13"/>
      <c r="AF33" s="13"/>
      <c r="AG33" s="13"/>
      <c r="AH33" s="289"/>
      <c r="AK33" s="14"/>
      <c r="AL33" s="14"/>
      <c r="AM33" s="14"/>
      <c r="AN33" s="14"/>
      <c r="AO33" s="175"/>
      <c r="AP33" s="1536"/>
    </row>
    <row r="34" spans="1:42" s="12" customFormat="1">
      <c r="A34" s="10"/>
      <c r="B34" s="10"/>
      <c r="C34" s="10"/>
      <c r="D34" s="10"/>
      <c r="E34" s="10"/>
      <c r="F34" s="10"/>
      <c r="G34" s="10"/>
      <c r="H34" s="10"/>
      <c r="I34" s="10"/>
      <c r="J34" s="11"/>
      <c r="K34" s="10"/>
      <c r="L34" s="10"/>
      <c r="M34" s="10"/>
      <c r="O34" s="13"/>
      <c r="P34" s="13"/>
      <c r="Q34" s="1395"/>
      <c r="R34" s="1395"/>
      <c r="S34" s="13"/>
      <c r="T34" s="13"/>
      <c r="U34" s="14"/>
      <c r="V34" s="13"/>
      <c r="W34" s="13"/>
      <c r="X34" s="13"/>
      <c r="Y34" s="13"/>
      <c r="Z34" s="13"/>
      <c r="AA34" s="13"/>
      <c r="AB34" s="13"/>
      <c r="AC34" s="13"/>
      <c r="AD34" s="13"/>
      <c r="AE34" s="13"/>
      <c r="AF34" s="13"/>
      <c r="AG34" s="13"/>
      <c r="AK34" s="14"/>
      <c r="AL34" s="14"/>
      <c r="AM34" s="14"/>
      <c r="AN34" s="14"/>
      <c r="AO34" s="175"/>
      <c r="AP34" s="10"/>
    </row>
  </sheetData>
  <autoFilter ref="A7:AO25"/>
  <mergeCells count="31">
    <mergeCell ref="AA5:AA6"/>
    <mergeCell ref="AG5:AG6"/>
    <mergeCell ref="AG17:AG19"/>
    <mergeCell ref="J5:N6"/>
    <mergeCell ref="M14:N14"/>
    <mergeCell ref="M16:N16"/>
    <mergeCell ref="M17:M19"/>
    <mergeCell ref="N17:N19"/>
    <mergeCell ref="M21:N21"/>
    <mergeCell ref="J25:N25"/>
    <mergeCell ref="J21:J23"/>
    <mergeCell ref="K21:K23"/>
    <mergeCell ref="L22:L24"/>
    <mergeCell ref="M22:M24"/>
    <mergeCell ref="N22:N24"/>
    <mergeCell ref="J1:AO1"/>
    <mergeCell ref="J2:AO2"/>
    <mergeCell ref="U4:AJ4"/>
    <mergeCell ref="AK4:AO4"/>
    <mergeCell ref="U5:X5"/>
    <mergeCell ref="AB5:AF5"/>
    <mergeCell ref="AH5:AJ5"/>
    <mergeCell ref="AK5:AO5"/>
    <mergeCell ref="O5:O6"/>
    <mergeCell ref="P5:P6"/>
    <mergeCell ref="Q5:Q6"/>
    <mergeCell ref="R5:R6"/>
    <mergeCell ref="S5:S6"/>
    <mergeCell ref="T5:T6"/>
    <mergeCell ref="Y5:Y6"/>
    <mergeCell ref="Z5:Z6"/>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2" tint="-0.499984740745262"/>
    <pageSetUpPr fitToPage="1"/>
  </sheetPr>
  <dimension ref="A1:AT34"/>
  <sheetViews>
    <sheetView topLeftCell="J1" zoomScale="70" zoomScaleNormal="70" workbookViewId="0">
      <pane ySplit="7" topLeftCell="A13" activePane="bottomLeft" state="frozen"/>
      <selection pane="bottomLeft" activeCell="N17" sqref="N17:N19"/>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1347</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[6]DATA!B2</f>
        <v>I</v>
      </c>
      <c r="K8" s="22" t="str">
        <f>'[6]ALL-USD40.1M'!K155</f>
        <v>NON-INFRASTRUKTUR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Y9+Y20</f>
        <v>1852800000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24.95" customHeight="1">
      <c r="J9" s="179"/>
      <c r="K9" s="25">
        <f>[6]DATA!E2</f>
        <v>1</v>
      </c>
      <c r="L9" s="26" t="str">
        <f>'[6]ALL-USD40.1M'!L187</f>
        <v>Kementerian Kesehatan</v>
      </c>
      <c r="M9" s="26"/>
      <c r="N9" s="1416"/>
      <c r="O9" s="213" t="e">
        <f>#REF!+#REF!+#REF!+#REF!+#REF!+#REF!+#REF!+#REF!+O10+#REF!+#REF!+#REF!+#REF!+#REF!+#REF!</f>
        <v>#REF!</v>
      </c>
      <c r="P9" s="194" t="e">
        <f>+#REF!+#REF!+#REF!+#REF!+#REF!+#REF!+#REF!+#REF!+P10+#REF!+#REF!+#REF!+#REF!+#REF!+#REF!</f>
        <v>#REF!</v>
      </c>
      <c r="Q9" s="194" t="e">
        <f>+#REF!+#REF!+#REF!+#REF!+#REF!+#REF!+#REF!+#REF!+Q10+#REF!+#REF!+#REF!+#REF!+#REF!+#REF!</f>
        <v>#REF!</v>
      </c>
      <c r="R9" s="194" t="e">
        <f>+#REF!+#REF!+#REF!+#REF!+#REF!+#REF!+#REF!+#REF!+R10+#REF!+#REF!+#REF!+#REF!+#REF!+#REF!</f>
        <v>#REF!</v>
      </c>
      <c r="S9" s="242" t="e">
        <f>+#REF!+#REF!+#REF!+#REF!+#REF!+#REF!+#REF!+#REF!+S10+#REF!+#REF!+#REF!+#REF!+#REF!+#REF!</f>
        <v>#REF!</v>
      </c>
      <c r="T9" s="1538"/>
      <c r="U9" s="195"/>
      <c r="V9" s="80" t="e">
        <f>+#REF!+#REF!+#REF!+#REF!+#REF!+#REF!+#REF!+#REF!+V10+#REF!+#REF!+#REF!+#REF!+#REF!+#REF!</f>
        <v>#REF!</v>
      </c>
      <c r="W9" s="80" t="e">
        <f>+#REF!+#REF!+#REF!+#REF!+#REF!+#REF!+#REF!+#REF!+W10+#REF!+#REF!+#REF!+#REF!+#REF!+#REF!</f>
        <v>#REF!</v>
      </c>
      <c r="X9" s="241" t="e">
        <f>+#REF!+#REF!+#REF!+#REF!+#REF!+#REF!+#REF!+X10+#REF!+#REF!+#REF!+#REF!+#REF!</f>
        <v>#REF!</v>
      </c>
      <c r="Y9" s="80">
        <f>Y10+Y12+Y14+Y16</f>
        <v>1746000000</v>
      </c>
      <c r="Z9" s="80"/>
      <c r="AA9" s="226"/>
      <c r="AB9" s="1465"/>
      <c r="AC9" s="1465"/>
      <c r="AD9" s="1465"/>
      <c r="AE9" s="1465"/>
      <c r="AF9" s="1465"/>
      <c r="AG9" s="1540"/>
      <c r="AH9" s="195" t="e">
        <f>+#REF!+#REF!+#REF!+#REF!+#REF!+#REF!+#REF!+#REF!+AH10+#REF!+#REF!+#REF!+#REF!+#REF!+#REF!</f>
        <v>#REF!</v>
      </c>
      <c r="AI9" s="80" t="s">
        <v>21</v>
      </c>
      <c r="AJ9" s="213"/>
      <c r="AK9" s="1501"/>
      <c r="AL9" s="1541"/>
      <c r="AM9" s="1542"/>
      <c r="AN9" s="1543"/>
      <c r="AO9" s="1546"/>
    </row>
    <row r="10" spans="1:46" s="5" customFormat="1" ht="33.75" customHeight="1">
      <c r="J10" s="180"/>
      <c r="K10" s="50"/>
      <c r="L10" s="30" t="str">
        <f>'[6]ALL-USD40.1M'!L188</f>
        <v>A</v>
      </c>
      <c r="M10" s="31" t="str">
        <f>'[6]ALL-USD40.1M'!M188</f>
        <v>Program Pelayanan Kesehatan Dasar</v>
      </c>
      <c r="N10" s="1419"/>
      <c r="O10" s="214" t="e">
        <f>O11+O13+#REF!+#REF!+#REF!+O15+O17+#REF!+#REF!+#REF!+#REF!</f>
        <v>#REF!</v>
      </c>
      <c r="P10" s="197" t="e">
        <f>P11+P13+#REF!+#REF!+#REF!+P15+#REF!+#REF!+#REF!+#REF!+P17</f>
        <v>#REF!</v>
      </c>
      <c r="Q10" s="1436" t="e">
        <f>SUM(Q11:Q22)</f>
        <v>#REF!</v>
      </c>
      <c r="R10" s="1436" t="e">
        <f>R11+R13+#REF!+#REF!+#REF!+R15+#REF!+#REF!+#REF!+#REF!+R17</f>
        <v>#REF!</v>
      </c>
      <c r="S10" s="244" t="e">
        <f t="shared" ref="S10:S11" si="0">P10+Q10+R10</f>
        <v>#REF!</v>
      </c>
      <c r="T10" s="1437"/>
      <c r="U10" s="198"/>
      <c r="V10" s="81" t="e">
        <f>SUM(V11:V22)</f>
        <v>#REF!</v>
      </c>
      <c r="W10" s="81" t="e">
        <f>SUM(W11:W22)</f>
        <v>#REF!</v>
      </c>
      <c r="X10" s="243" t="e">
        <f>SUM(X11:X22)</f>
        <v>#REF!</v>
      </c>
      <c r="Y10" s="81">
        <f>Y11</f>
        <v>150000000</v>
      </c>
      <c r="Z10" s="81"/>
      <c r="AA10" s="1469"/>
      <c r="AB10" s="1470"/>
      <c r="AC10" s="1470"/>
      <c r="AD10" s="1470"/>
      <c r="AE10" s="1573"/>
      <c r="AF10" s="1469"/>
      <c r="AG10" s="1577"/>
      <c r="AH10" s="198" t="e">
        <f>SUM(AH11:AH22)</f>
        <v>#REF!</v>
      </c>
      <c r="AI10" s="81">
        <f>SUM(AI11:AI22)</f>
        <v>0</v>
      </c>
      <c r="AJ10" s="214">
        <f>SUM(AJ11:AJ22)</f>
        <v>0</v>
      </c>
      <c r="AK10" s="1505"/>
      <c r="AL10" s="1506"/>
      <c r="AM10" s="169"/>
      <c r="AN10" s="1507"/>
      <c r="AO10" s="1530"/>
      <c r="AQ10" s="10">
        <f t="shared" ref="AQ10:AQ17" si="1">IF(Z10="RRT",Y10,0)</f>
        <v>0</v>
      </c>
      <c r="AR10" s="10">
        <f t="shared" ref="AR10:AR17" si="2">IF(Z10="JICA",Y10,0)</f>
        <v>0</v>
      </c>
      <c r="AS10" s="10">
        <f t="shared" ref="AS10:AS17" si="3">IF(Z10="Belum ada indikasi",Y10,0)</f>
        <v>0</v>
      </c>
      <c r="AT10" s="10">
        <f t="shared" ref="AT10:AT17" si="4">IF(Z10="Korea",Y10,0)</f>
        <v>0</v>
      </c>
    </row>
    <row r="11" spans="1:46" ht="54.75" customHeight="1">
      <c r="A11" s="10">
        <f>[6]DATA!A67</f>
        <v>51</v>
      </c>
      <c r="B11" s="10" t="e">
        <f>[6]DATA!B67</f>
        <v>#REF!</v>
      </c>
      <c r="C11" s="10" t="str">
        <f>[6]DATA!D67</f>
        <v>INFRASTRUKTUR</v>
      </c>
      <c r="D11" s="10">
        <f>[6]DATA!E67</f>
        <v>1</v>
      </c>
      <c r="E11" s="10" t="str">
        <f>[6]DATA!F67</f>
        <v>Kementerian Pekerjaan Umum dan Perumahan Rakyat</v>
      </c>
      <c r="F11" s="10" t="str">
        <f>[6]DATA!H67</f>
        <v>Development and Management of Irrigation Program</v>
      </c>
      <c r="G11" s="10" t="str">
        <f>[6]DATA!I67</f>
        <v>I</v>
      </c>
      <c r="H11" s="10" t="str">
        <f>[6]DATA!J67</f>
        <v>Program Pengembangan dan Pengelolaan Irigasi</v>
      </c>
      <c r="I11" s="10">
        <f>[6]DATA!K67</f>
        <v>1</v>
      </c>
      <c r="J11" s="181"/>
      <c r="K11" s="34"/>
      <c r="L11" s="34"/>
      <c r="M11" s="35">
        <v>1</v>
      </c>
      <c r="N11" s="1412" t="str">
        <f>'[6]ALL-USD40.1M'!N189</f>
        <v>Improvement of Primary Health Care</v>
      </c>
      <c r="O11" s="1413">
        <f>[6]DATA!T66</f>
        <v>700000000</v>
      </c>
      <c r="P11" s="1414">
        <f>[6]DATA!U66</f>
        <v>700000000</v>
      </c>
      <c r="Q11" s="1598">
        <f>[6]DATA!V66</f>
        <v>70000000</v>
      </c>
      <c r="R11" s="1598">
        <f>[6]DATA!W66</f>
        <v>0</v>
      </c>
      <c r="S11" s="1438">
        <f t="shared" si="0"/>
        <v>770000000</v>
      </c>
      <c r="T11" s="1439"/>
      <c r="U11" s="1449" t="str">
        <f>[6]DATA!Y67</f>
        <v>ADB</v>
      </c>
      <c r="V11" s="77">
        <f>[6]DATA!AA67</f>
        <v>600000000</v>
      </c>
      <c r="W11" s="77">
        <v>0</v>
      </c>
      <c r="X11" s="1450" t="str">
        <f>[6]DATA!Y67</f>
        <v>ADB</v>
      </c>
      <c r="Y11" s="109">
        <f>'[6]ALL-USD40.1M'!Y189</f>
        <v>150000000</v>
      </c>
      <c r="Z11" s="109" t="str">
        <f>'[6]ALL-USD40.1M'!Z189</f>
        <v>Bank Dunia</v>
      </c>
      <c r="AA11" s="3259" t="str">
        <f>'[6]ALL-USD40.1M'!AA189</f>
        <v>GB 2017 (USD 150 juta)</v>
      </c>
      <c r="AB11" s="1474"/>
      <c r="AC11" s="1474"/>
      <c r="AD11" s="1474"/>
      <c r="AE11" s="1621"/>
      <c r="AF11" s="1473"/>
      <c r="AG11" s="3277" t="s">
        <v>1186</v>
      </c>
      <c r="AH11" s="1509">
        <f>[6]DATA!AT67</f>
        <v>600000000</v>
      </c>
      <c r="AI11" s="109" t="str">
        <f>[6]DATA!AU67</f>
        <v>ADB</v>
      </c>
      <c r="AJ11" s="1544" t="str">
        <f>[6]DATA!AW67</f>
        <v>-</v>
      </c>
      <c r="AK11" s="245" t="str">
        <f>[6]DATA!AM67</f>
        <v>2016; 2015</v>
      </c>
      <c r="AL11" s="1624" t="str">
        <f>[6]DATA!AN67</f>
        <v>siap</v>
      </c>
      <c r="AM11" s="1583" t="str">
        <f>[6]DATA!AO67</f>
        <v>belum ada keterangan</v>
      </c>
      <c r="AN11" s="1545" t="e">
        <f>[6]DATA!AQ67</f>
        <v>#REF!</v>
      </c>
      <c r="AO11" s="1547" t="str">
        <f>[6]DATA!AR67</f>
        <v>-</v>
      </c>
      <c r="AQ11" s="10">
        <f t="shared" si="1"/>
        <v>0</v>
      </c>
      <c r="AR11" s="10">
        <f t="shared" si="2"/>
        <v>0</v>
      </c>
      <c r="AS11" s="10">
        <f t="shared" si="3"/>
        <v>0</v>
      </c>
      <c r="AT11" s="10">
        <f t="shared" si="4"/>
        <v>0</v>
      </c>
    </row>
    <row r="12" spans="1:46" s="5" customFormat="1" ht="33.75" customHeight="1">
      <c r="J12" s="180"/>
      <c r="K12" s="50"/>
      <c r="L12" s="30" t="s">
        <v>40</v>
      </c>
      <c r="M12" s="31" t="str">
        <f>'[6]ALL-USD40.1M'!M190:N190</f>
        <v>Program Pengembangan Sumber Daya Manusia Kesehatan</v>
      </c>
      <c r="N12" s="1419"/>
      <c r="O12" s="214" t="e">
        <v>#REF!</v>
      </c>
      <c r="P12" s="197" t="e">
        <v>#REF!</v>
      </c>
      <c r="Q12" s="1436">
        <v>991074000</v>
      </c>
      <c r="R12" s="1436" t="e">
        <v>#REF!</v>
      </c>
      <c r="S12" s="244" t="e">
        <v>#REF!</v>
      </c>
      <c r="T12" s="1437"/>
      <c r="U12" s="198"/>
      <c r="V12" s="81">
        <v>4938924000</v>
      </c>
      <c r="W12" s="81">
        <v>0</v>
      </c>
      <c r="X12" s="243">
        <v>0</v>
      </c>
      <c r="Y12" s="81">
        <f>Y13</f>
        <v>240000000</v>
      </c>
      <c r="Z12" s="81"/>
      <c r="AA12" s="1469"/>
      <c r="AB12" s="1470"/>
      <c r="AC12" s="1569"/>
      <c r="AD12" s="1569"/>
      <c r="AE12" s="1653"/>
      <c r="AF12" s="1568"/>
      <c r="AG12" s="1577"/>
      <c r="AH12" s="198">
        <v>5260724000</v>
      </c>
      <c r="AI12" s="81">
        <v>0</v>
      </c>
      <c r="AJ12" s="214">
        <v>0</v>
      </c>
      <c r="AK12" s="1505"/>
      <c r="AL12" s="1506"/>
      <c r="AM12" s="169"/>
      <c r="AN12" s="1507"/>
      <c r="AO12" s="1530"/>
      <c r="AQ12" s="10">
        <v>0</v>
      </c>
      <c r="AR12" s="10">
        <v>0</v>
      </c>
      <c r="AS12" s="10">
        <v>0</v>
      </c>
      <c r="AT12" s="10">
        <v>0</v>
      </c>
    </row>
    <row r="13" spans="1:46" ht="110.25" customHeight="1">
      <c r="A13" s="10">
        <f>[6]DATA!A70</f>
        <v>53</v>
      </c>
      <c r="B13" s="10" t="e">
        <f>[6]DATA!B70</f>
        <v>#REF!</v>
      </c>
      <c r="C13" s="10" t="str">
        <f>[6]DATA!D70</f>
        <v>INFRASTRUKTUR</v>
      </c>
      <c r="D13" s="10">
        <f>[6]DATA!E70</f>
        <v>1</v>
      </c>
      <c r="E13" s="10" t="str">
        <f>[6]DATA!F70</f>
        <v>Kementerian Pekerjaan Umum dan Perumahan Rakyat</v>
      </c>
      <c r="F13" s="10" t="str">
        <f>[6]DATA!H70</f>
        <v>Development and Management of Irrigation Program</v>
      </c>
      <c r="G13" s="10" t="str">
        <f>[6]DATA!I70</f>
        <v>I</v>
      </c>
      <c r="H13" s="10" t="str">
        <f>[6]DATA!J70</f>
        <v>Program Pengembangan dan Pengelolaan Irigasi</v>
      </c>
      <c r="I13" s="10">
        <f>[6]DATA!K70</f>
        <v>1</v>
      </c>
      <c r="J13" s="181"/>
      <c r="K13" s="34"/>
      <c r="L13" s="34"/>
      <c r="M13" s="34">
        <v>2</v>
      </c>
      <c r="N13" s="1649" t="str">
        <f>'[6]ALL-USD40.1M'!N191</f>
        <v>Improvement of Facilities and Infrastructure for Teaching and Learning Activities in Health Sector</v>
      </c>
      <c r="O13" s="1589">
        <f>[6]DATA!T70</f>
        <v>500000000</v>
      </c>
      <c r="P13" s="204">
        <f>[6]DATA!U70</f>
        <v>500000000</v>
      </c>
      <c r="Q13" s="1598">
        <f>[6]DATA!V69</f>
        <v>50000000</v>
      </c>
      <c r="R13" s="1598">
        <f>[6]DATA!W69</f>
        <v>0</v>
      </c>
      <c r="S13" s="1438">
        <f>P13+Q13+R13</f>
        <v>550000000</v>
      </c>
      <c r="T13" s="1439"/>
      <c r="U13" s="1651" t="str">
        <f>[6]DATA!Y70</f>
        <v>ADB</v>
      </c>
      <c r="V13" s="215">
        <f>[6]DATA!AA70</f>
        <v>500000000</v>
      </c>
      <c r="W13" s="215">
        <v>0</v>
      </c>
      <c r="X13" s="1611" t="str">
        <f>[6]DATA!Y70</f>
        <v>ADB</v>
      </c>
      <c r="Y13" s="109">
        <f>'[6]ALL-USD40.1M'!Y191</f>
        <v>240000000</v>
      </c>
      <c r="Z13" s="109" t="str">
        <f>'[6]ALL-USD40.1M'!Z191</f>
        <v>IDB</v>
      </c>
      <c r="AA13" s="1484" t="str">
        <f>'[6]ALL-USD40.1M'!AA191</f>
        <v>Proses penyusunan FS</v>
      </c>
      <c r="AB13" s="1485"/>
      <c r="AC13" s="1486"/>
      <c r="AD13" s="1486"/>
      <c r="AE13" s="1486"/>
      <c r="AF13" s="1486"/>
      <c r="AG13" s="3253" t="str">
        <f>'[6]ALL-USD40.1M'!AG191</f>
        <v>Terdapat perubahan institusi pelaksana menjadi Biro Perencanaan Kemenkes. (Sebelumnya BPPSDMK, untuk mempercepat proses sehingga diubah.)</v>
      </c>
      <c r="AH13" s="1509">
        <f>[6]DATA!AT70</f>
        <v>400000000</v>
      </c>
      <c r="AI13" s="109" t="str">
        <f>[6]DATA!AU70</f>
        <v>ADB</v>
      </c>
      <c r="AJ13" s="1544" t="str">
        <f>[6]DATA!AW70</f>
        <v>nilai kegiatan yang tercantum dalam COBP ADB sebesar USD 400 juta.</v>
      </c>
      <c r="AK13" s="245" t="e">
        <f>[6]DATA!AM70</f>
        <v>#REF!</v>
      </c>
      <c r="AL13" s="1583" t="str">
        <f>[6]DATA!AN70</f>
        <v>belum ada keterangan</v>
      </c>
      <c r="AM13" s="1583" t="str">
        <f>[6]DATA!AO70</f>
        <v>belum ada keterangan</v>
      </c>
      <c r="AN13" s="1545" t="e">
        <f>[6]DATA!AQ70</f>
        <v>#REF!</v>
      </c>
      <c r="AO13" s="1547" t="str">
        <f>[6]DATA!AR70</f>
        <v>- untuk yang Phase II: belum ada penyiapan
- belum ada dokumen R/C</v>
      </c>
      <c r="AQ13" s="10">
        <f t="shared" si="1"/>
        <v>0</v>
      </c>
      <c r="AR13" s="10">
        <f t="shared" si="2"/>
        <v>0</v>
      </c>
      <c r="AS13" s="10">
        <f t="shared" si="3"/>
        <v>0</v>
      </c>
      <c r="AT13" s="10">
        <f t="shared" si="4"/>
        <v>0</v>
      </c>
    </row>
    <row r="14" spans="1:46" ht="37.5" customHeight="1">
      <c r="J14" s="1650"/>
      <c r="K14" s="34"/>
      <c r="L14" s="30" t="s">
        <v>51</v>
      </c>
      <c r="M14" s="3427" t="str">
        <f>'[6]ALL-USD40.1M'!M192:N192</f>
        <v>Program Pengendalian Penyakit, Penyehatan Lingkungan, dan Penguatan Litbang Kesehatan</v>
      </c>
      <c r="N14" s="3446"/>
      <c r="O14" s="214" t="e">
        <v>#REF!</v>
      </c>
      <c r="P14" s="197" t="e">
        <v>#REF!</v>
      </c>
      <c r="Q14" s="1436">
        <v>991074000</v>
      </c>
      <c r="R14" s="1436" t="e">
        <v>#REF!</v>
      </c>
      <c r="S14" s="244" t="e">
        <v>#REF!</v>
      </c>
      <c r="T14" s="1437"/>
      <c r="U14" s="198"/>
      <c r="V14" s="81">
        <v>4938924000</v>
      </c>
      <c r="W14" s="81">
        <v>0</v>
      </c>
      <c r="X14" s="243">
        <v>0</v>
      </c>
      <c r="Y14" s="81">
        <f>Y15</f>
        <v>100400000</v>
      </c>
      <c r="Z14" s="81"/>
      <c r="AA14" s="1469"/>
      <c r="AB14" s="1471"/>
      <c r="AC14" s="1472"/>
      <c r="AD14" s="1472"/>
      <c r="AE14" s="1472"/>
      <c r="AF14" s="1472"/>
      <c r="AG14" s="1504"/>
      <c r="AH14" s="1643"/>
      <c r="AI14" s="109"/>
      <c r="AJ14" s="1644"/>
      <c r="AK14" s="1645"/>
      <c r="AL14" s="1646"/>
      <c r="AM14" s="1646"/>
      <c r="AN14" s="1647"/>
      <c r="AO14" s="1648"/>
    </row>
    <row r="15" spans="1:46" ht="50.25" customHeight="1">
      <c r="A15" s="10">
        <f>[6]DATA!A75</f>
        <v>57</v>
      </c>
      <c r="B15" s="10" t="e">
        <f>[6]DATA!B75</f>
        <v>#REF!</v>
      </c>
      <c r="C15" s="10" t="str">
        <f>[6]DATA!D75</f>
        <v>INFRASTRUKTUR</v>
      </c>
      <c r="D15" s="10">
        <f>[6]DATA!E75</f>
        <v>1</v>
      </c>
      <c r="E15" s="10" t="str">
        <f>[6]DATA!F75</f>
        <v>Kementerian Pekerjaan Umum dan Perumahan Rakyat</v>
      </c>
      <c r="F15" s="10" t="str">
        <f>[6]DATA!H75</f>
        <v>Development and Management of Irrigation Program</v>
      </c>
      <c r="G15" s="10" t="str">
        <f>[6]DATA!I75</f>
        <v>I</v>
      </c>
      <c r="H15" s="10" t="str">
        <f>[6]DATA!J75</f>
        <v>Program Pengembangan dan Pengelolaan Irigasi</v>
      </c>
      <c r="I15" s="10">
        <f>[6]DATA!K75</f>
        <v>5</v>
      </c>
      <c r="J15" s="181"/>
      <c r="K15" s="34"/>
      <c r="L15" s="34"/>
      <c r="M15" s="36">
        <v>3</v>
      </c>
      <c r="N15" s="199" t="str">
        <f>'[6]ALL-USD40.1M'!N193</f>
        <v>Improvement of Capacity on Disease Control, Environmental Health, and Strengthening Health’s Research and Development</v>
      </c>
      <c r="O15" s="1402">
        <f>[6]DATA!T75</f>
        <v>350000000</v>
      </c>
      <c r="P15" s="187">
        <f>[6]DATA!U75</f>
        <v>350000000</v>
      </c>
      <c r="Q15" s="1446" t="e">
        <f>[6]!BB[[#This Row],[PENDAMPING BB]]</f>
        <v>#REF!</v>
      </c>
      <c r="R15" s="1446" t="e">
        <f>[6]!BB[[#This Row],[HIBAH BB]]</f>
        <v>#REF!</v>
      </c>
      <c r="S15" s="1447" t="e">
        <f t="shared" ref="S15:S17" si="5">P15+Q15+R15</f>
        <v>#REF!</v>
      </c>
      <c r="T15" s="1448"/>
      <c r="U15" s="1449" t="str">
        <f>[6]DATA!Y75</f>
        <v>ADB</v>
      </c>
      <c r="V15" s="77">
        <f>[6]DATA!AA75</f>
        <v>350000000</v>
      </c>
      <c r="W15" s="77">
        <v>0</v>
      </c>
      <c r="X15" s="1450" t="str">
        <f>[6]DATA!Y75</f>
        <v>ADB</v>
      </c>
      <c r="Y15" s="109">
        <f>'[6]ALL-USD40.1M'!Y193</f>
        <v>100400000</v>
      </c>
      <c r="Z15" s="109" t="str">
        <f>'[6]ALL-USD40.1M'!Z193</f>
        <v>Belum Ada Indikasi</v>
      </c>
      <c r="AA15" s="1484" t="str">
        <f>'[6]ALL-USD40.1M'!AA193</f>
        <v>Belum proses</v>
      </c>
      <c r="AB15" s="1485"/>
      <c r="AC15" s="1486"/>
      <c r="AD15" s="1486"/>
      <c r="AE15" s="1486"/>
      <c r="AF15" s="1486"/>
      <c r="AG15" s="1514"/>
      <c r="AH15" s="1509">
        <f>[6]DATA!AT75</f>
        <v>350000000</v>
      </c>
      <c r="AI15" s="109" t="str">
        <f>[6]DATA!AU75</f>
        <v>Belum Ada Indikasi</v>
      </c>
      <c r="AJ15" s="1544" t="str">
        <f>[6]DATA!AW75</f>
        <v>- usulan K/L lender: ADB
- tidak masuk COBP ADB</v>
      </c>
      <c r="AK15" s="245" t="e">
        <f>[6]DATA!AM75</f>
        <v>#REF!</v>
      </c>
      <c r="AL15" s="1510" t="str">
        <f>[6]DATA!AN75</f>
        <v>dalam proses
(memiliki FS dan DED)</v>
      </c>
      <c r="AM15" s="1511" t="str">
        <f>[6]DATA!AO75</f>
        <v>belum ada keterangan</v>
      </c>
      <c r="AN15" s="1545" t="e">
        <f>[6]DATA!AQ75</f>
        <v>#REF!</v>
      </c>
      <c r="AO15" s="1547" t="str">
        <f>[6]DATA!AR75</f>
        <v>belum ada dokumen R/C</v>
      </c>
      <c r="AQ15" s="10">
        <f t="shared" si="1"/>
        <v>0</v>
      </c>
      <c r="AR15" s="10">
        <f t="shared" si="2"/>
        <v>0</v>
      </c>
      <c r="AS15" s="10">
        <f t="shared" si="3"/>
        <v>100400000</v>
      </c>
      <c r="AT15" s="10">
        <f t="shared" si="4"/>
        <v>0</v>
      </c>
    </row>
    <row r="16" spans="1:46" ht="37.5" customHeight="1">
      <c r="J16" s="1650"/>
      <c r="K16" s="34"/>
      <c r="L16" s="30" t="s">
        <v>72</v>
      </c>
      <c r="M16" s="3427" t="str">
        <f>'[6]ALL-USD40.1M'!M194</f>
        <v>Program Pelayanan Kesehatan Rujukan</v>
      </c>
      <c r="N16" s="3446"/>
      <c r="O16" s="214" t="e">
        <v>#REF!</v>
      </c>
      <c r="P16" s="197" t="e">
        <v>#REF!</v>
      </c>
      <c r="Q16" s="1436">
        <v>991074000</v>
      </c>
      <c r="R16" s="1436" t="e">
        <v>#REF!</v>
      </c>
      <c r="S16" s="244" t="e">
        <v>#REF!</v>
      </c>
      <c r="T16" s="1437"/>
      <c r="U16" s="198"/>
      <c r="V16" s="81">
        <v>4938924000</v>
      </c>
      <c r="W16" s="81">
        <v>0</v>
      </c>
      <c r="X16" s="243">
        <v>0</v>
      </c>
      <c r="Y16" s="81">
        <f>Y17+Y18+Y19</f>
        <v>1255600000</v>
      </c>
      <c r="Z16" s="81"/>
      <c r="AA16" s="1469"/>
      <c r="AB16" s="1654"/>
      <c r="AC16" s="1472"/>
      <c r="AD16" s="1472"/>
      <c r="AE16" s="1472"/>
      <c r="AF16" s="1472"/>
      <c r="AG16" s="1504"/>
      <c r="AH16" s="1643"/>
      <c r="AI16" s="109"/>
      <c r="AJ16" s="1644"/>
      <c r="AK16" s="1645"/>
      <c r="AL16" s="1646"/>
      <c r="AM16" s="1646"/>
      <c r="AN16" s="1647"/>
      <c r="AO16" s="1648"/>
    </row>
    <row r="17" spans="1:46" ht="39.75" customHeight="1">
      <c r="A17" s="10">
        <f>[6]DATA!A76</f>
        <v>58</v>
      </c>
      <c r="B17" s="10" t="e">
        <f>[6]DATA!B76</f>
        <v>#REF!</v>
      </c>
      <c r="C17" s="10" t="str">
        <f>[6]DATA!D76</f>
        <v>INFRASTRUKTUR</v>
      </c>
      <c r="D17" s="10">
        <f>[6]DATA!E76</f>
        <v>1</v>
      </c>
      <c r="E17" s="10" t="str">
        <f>[6]DATA!F76</f>
        <v>Kementerian Pekerjaan Umum dan Perumahan Rakyat</v>
      </c>
      <c r="F17" s="10" t="str">
        <f>[6]DATA!H76</f>
        <v>Development and Management of Irrigation Program</v>
      </c>
      <c r="G17" s="10" t="str">
        <f>[6]DATA!I76</f>
        <v>I</v>
      </c>
      <c r="H17" s="10" t="str">
        <f>[6]DATA!J76</f>
        <v>Program Pengembangan dan Pengelolaan Irigasi</v>
      </c>
      <c r="I17" s="10">
        <f>[6]DATA!K76</f>
        <v>6</v>
      </c>
      <c r="J17" s="181"/>
      <c r="K17" s="34"/>
      <c r="L17" s="34"/>
      <c r="M17" s="3390">
        <v>4</v>
      </c>
      <c r="N17" s="3393" t="str">
        <f>'[6]ALL-USD40.1M'!N195</f>
        <v>Strengthening of National Referral Hospitals, Province Referral Hospital and Vertical Technical Units</v>
      </c>
      <c r="O17" s="1402">
        <f>[6]DATA!T76</f>
        <v>161298000</v>
      </c>
      <c r="P17" s="187">
        <f>[6]DATA!U76</f>
        <v>161298000</v>
      </c>
      <c r="Q17" s="1446" t="e">
        <f>[6]!BB[[#This Row],[PENDAMPING BB]]</f>
        <v>#REF!</v>
      </c>
      <c r="R17" s="1446" t="e">
        <f>[6]!BB[[#This Row],[HIBAH BB]]</f>
        <v>#REF!</v>
      </c>
      <c r="S17" s="1447" t="e">
        <f t="shared" si="5"/>
        <v>#REF!</v>
      </c>
      <c r="T17" s="1448"/>
      <c r="U17" s="1449" t="str">
        <f>[6]DATA!Y76</f>
        <v>ADB</v>
      </c>
      <c r="V17" s="77">
        <f>[6]DATA!AA76</f>
        <v>161298000</v>
      </c>
      <c r="W17" s="77">
        <v>0</v>
      </c>
      <c r="X17" s="1450" t="str">
        <f>[6]DATA!Y76</f>
        <v>ADB</v>
      </c>
      <c r="Y17" s="109">
        <f>'[6]ALL-USD40.1M'!Y195</f>
        <v>250000000</v>
      </c>
      <c r="Z17" s="109" t="str">
        <f>'[6]ALL-USD40.1M'!Z195</f>
        <v>IDB</v>
      </c>
      <c r="AA17" s="1484" t="str">
        <f>'[6]ALL-USD40.1M'!AA200</f>
        <v>Belum proses</v>
      </c>
      <c r="AB17" s="1486"/>
      <c r="AC17" s="1486"/>
      <c r="AD17" s="1486"/>
      <c r="AE17" s="1486"/>
      <c r="AF17" s="1486"/>
      <c r="AG17" s="3691" t="str">
        <f>'[6]ALL-USD40.1M'!AG197</f>
        <v>- Kem. Kesehatan mengusulkan kegiatan I-SPHERE yang merupakan penggabungan ruang lingkup dari 2 program (USD 150 juta) yaitu
1. Basic Health Care Program
2. Health Services Referral Program
-Menggunakan skema pembiayaan PforR (Program for Result)</v>
      </c>
      <c r="AH17" s="1509">
        <f>[6]DATA!AT76</f>
        <v>161298000</v>
      </c>
      <c r="AI17" s="109" t="str">
        <f>[6]DATA!AU76</f>
        <v>Belum Ada Indikasi</v>
      </c>
      <c r="AJ17" s="1544" t="str">
        <f>[6]DATA!AW76</f>
        <v>- usulan K/L lender: ADB
- tidak masuk COBP ADB</v>
      </c>
      <c r="AK17" s="245" t="e">
        <f>[6]DATA!AM76</f>
        <v>#REF!</v>
      </c>
      <c r="AL17" s="1510" t="str">
        <f>[6]DATA!AN76</f>
        <v>dalam proses
(memiliki FS dan DED)</v>
      </c>
      <c r="AM17" s="1511" t="str">
        <f>[6]DATA!AO76</f>
        <v>belum ada keterangan</v>
      </c>
      <c r="AN17" s="1545" t="e">
        <f>[6]DATA!AQ76</f>
        <v>#REF!</v>
      </c>
      <c r="AO17" s="1547" t="str">
        <f>[6]DATA!AR76</f>
        <v>belum ada dokumen R/C</v>
      </c>
      <c r="AQ17" s="10">
        <f t="shared" si="1"/>
        <v>0</v>
      </c>
      <c r="AR17" s="10">
        <f t="shared" si="2"/>
        <v>0</v>
      </c>
      <c r="AS17" s="10">
        <f t="shared" si="3"/>
        <v>0</v>
      </c>
      <c r="AT17" s="10">
        <f t="shared" si="4"/>
        <v>0</v>
      </c>
    </row>
    <row r="18" spans="1:46" ht="39.75" customHeight="1">
      <c r="J18" s="181"/>
      <c r="K18" s="34"/>
      <c r="L18" s="34"/>
      <c r="M18" s="3392"/>
      <c r="N18" s="3397"/>
      <c r="O18" s="1402"/>
      <c r="P18" s="187"/>
      <c r="Q18" s="1446"/>
      <c r="R18" s="1446"/>
      <c r="S18" s="1447"/>
      <c r="T18" s="1448"/>
      <c r="U18" s="1449"/>
      <c r="V18" s="77"/>
      <c r="W18" s="77"/>
      <c r="X18" s="1450"/>
      <c r="Y18" s="109">
        <f>'[6]ALL-USD40.1M'!Y196</f>
        <v>250000000</v>
      </c>
      <c r="Z18" s="109" t="str">
        <f>'[6]ALL-USD40.1M'!Z196</f>
        <v>Belum Ada Indikasi</v>
      </c>
      <c r="AA18" s="1484" t="str">
        <f>'[6]ALL-USD40.1M'!AA196</f>
        <v>Belum proses</v>
      </c>
      <c r="AB18" s="1486"/>
      <c r="AC18" s="1486"/>
      <c r="AD18" s="1486"/>
      <c r="AE18" s="1486"/>
      <c r="AF18" s="1486"/>
      <c r="AG18" s="3692"/>
      <c r="AH18" s="1509"/>
      <c r="AI18" s="109"/>
      <c r="AJ18" s="1544"/>
      <c r="AK18" s="245"/>
      <c r="AL18" s="1510"/>
      <c r="AM18" s="1511"/>
      <c r="AN18" s="1545"/>
      <c r="AO18" s="1547"/>
    </row>
    <row r="19" spans="1:46" ht="39.75" customHeight="1">
      <c r="J19" s="181"/>
      <c r="K19" s="34"/>
      <c r="L19" s="34"/>
      <c r="M19" s="3391"/>
      <c r="N19" s="3394"/>
      <c r="O19" s="1402"/>
      <c r="P19" s="187"/>
      <c r="Q19" s="1446"/>
      <c r="R19" s="1446"/>
      <c r="S19" s="1447"/>
      <c r="T19" s="1448"/>
      <c r="U19" s="1449"/>
      <c r="V19" s="77"/>
      <c r="W19" s="77"/>
      <c r="X19" s="1450"/>
      <c r="Y19" s="109">
        <f>'[6]ALL-USD40.1M'!Y197</f>
        <v>755600000</v>
      </c>
      <c r="Z19" s="109" t="str">
        <f>'[6]ALL-USD40.1M'!Z197</f>
        <v>Bank Dunia</v>
      </c>
      <c r="AA19" s="1484" t="str">
        <f>'[6]ALL-USD40.1M'!AA197</f>
        <v>Belum proses</v>
      </c>
      <c r="AB19" s="1486"/>
      <c r="AC19" s="1486"/>
      <c r="AD19" s="1486"/>
      <c r="AE19" s="1486"/>
      <c r="AF19" s="1486"/>
      <c r="AG19" s="3693"/>
      <c r="AH19" s="1509"/>
      <c r="AI19" s="109"/>
      <c r="AJ19" s="1544"/>
      <c r="AK19" s="245"/>
      <c r="AL19" s="1510"/>
      <c r="AM19" s="1511"/>
      <c r="AN19" s="1545"/>
      <c r="AO19" s="1547"/>
    </row>
    <row r="20" spans="1:46" s="4" customFormat="1" ht="24.95" customHeight="1">
      <c r="J20" s="179"/>
      <c r="K20" s="25">
        <v>2</v>
      </c>
      <c r="L20" s="26" t="str">
        <f>'[6]ALL-USD40.1M'!L198</f>
        <v>Pemprov. Aceh</v>
      </c>
      <c r="M20" s="26"/>
      <c r="N20" s="1416"/>
      <c r="O20" s="213" t="e">
        <v>#REF!</v>
      </c>
      <c r="P20" s="194" t="e">
        <v>#REF!</v>
      </c>
      <c r="Q20" s="194" t="e">
        <v>#REF!</v>
      </c>
      <c r="R20" s="194" t="e">
        <v>#REF!</v>
      </c>
      <c r="S20" s="242" t="e">
        <v>#REF!</v>
      </c>
      <c r="T20" s="1538"/>
      <c r="U20" s="195"/>
      <c r="V20" s="80" t="e">
        <v>#REF!</v>
      </c>
      <c r="W20" s="80" t="e">
        <v>#REF!</v>
      </c>
      <c r="X20" s="241" t="e">
        <v>#REF!</v>
      </c>
      <c r="Y20" s="80">
        <f>Y21</f>
        <v>106800000</v>
      </c>
      <c r="Z20" s="80"/>
      <c r="AA20" s="226"/>
      <c r="AB20" s="1655"/>
      <c r="AC20" s="1468"/>
      <c r="AD20" s="1468"/>
      <c r="AE20" s="1468"/>
      <c r="AF20" s="1468"/>
      <c r="AG20" s="1657"/>
      <c r="AH20" s="195" t="e">
        <v>#REF!</v>
      </c>
      <c r="AI20" s="80" t="s">
        <v>21</v>
      </c>
      <c r="AJ20" s="213"/>
      <c r="AK20" s="1501"/>
      <c r="AL20" s="1541"/>
      <c r="AM20" s="1542"/>
      <c r="AN20" s="1543"/>
      <c r="AO20" s="1546"/>
    </row>
    <row r="21" spans="1:46" ht="37.5" customHeight="1">
      <c r="J21" s="3620"/>
      <c r="K21" s="3620"/>
      <c r="L21" s="30" t="str">
        <f>'[6]ALL-USD40.1M'!L199</f>
        <v>A</v>
      </c>
      <c r="M21" s="3427" t="str">
        <f>'[6]ALL-USD40.1M'!M199</f>
        <v>Program Pelayanan Kesehatan Rujukan</v>
      </c>
      <c r="N21" s="3446"/>
      <c r="O21" s="214" t="e">
        <v>#REF!</v>
      </c>
      <c r="P21" s="197" t="e">
        <v>#REF!</v>
      </c>
      <c r="Q21" s="1436">
        <v>991074000</v>
      </c>
      <c r="R21" s="1436" t="e">
        <v>#REF!</v>
      </c>
      <c r="S21" s="244" t="e">
        <v>#REF!</v>
      </c>
      <c r="T21" s="1437"/>
      <c r="U21" s="198"/>
      <c r="V21" s="81">
        <v>4938924000</v>
      </c>
      <c r="W21" s="81">
        <v>0</v>
      </c>
      <c r="X21" s="243">
        <v>0</v>
      </c>
      <c r="Y21" s="81">
        <f>Y22</f>
        <v>106800000</v>
      </c>
      <c r="Z21" s="81"/>
      <c r="AA21" s="1469"/>
      <c r="AB21" s="1471"/>
      <c r="AC21" s="1472"/>
      <c r="AD21" s="1472"/>
      <c r="AE21" s="1472"/>
      <c r="AF21" s="1472"/>
      <c r="AG21" s="1504"/>
      <c r="AH21" s="1643"/>
      <c r="AI21" s="109"/>
      <c r="AJ21" s="1644"/>
      <c r="AK21" s="1645"/>
      <c r="AL21" s="1646"/>
      <c r="AM21" s="1646"/>
      <c r="AN21" s="1647"/>
      <c r="AO21" s="1648"/>
    </row>
    <row r="22" spans="1:46" ht="39.75" customHeight="1">
      <c r="J22" s="3683"/>
      <c r="K22" s="3683"/>
      <c r="L22" s="3620"/>
      <c r="M22" s="3620">
        <v>5</v>
      </c>
      <c r="N22" s="3681" t="str">
        <f>'[6]ALL-USD40.1M'!N200</f>
        <v>Reengineering and Improving The Hospital and Referral System in Selected Aceh Districts</v>
      </c>
      <c r="O22" s="1402"/>
      <c r="P22" s="187"/>
      <c r="Q22" s="1446"/>
      <c r="R22" s="1446"/>
      <c r="S22" s="1447"/>
      <c r="T22" s="1448"/>
      <c r="U22" s="1449"/>
      <c r="V22" s="77"/>
      <c r="W22" s="77"/>
      <c r="X22" s="1450"/>
      <c r="Y22" s="109">
        <f>'[6]ALL-USD40.1M'!Y200</f>
        <v>106800000</v>
      </c>
      <c r="Z22" s="1611" t="str">
        <f>'[6]ALL-USD40.1M'!Z195</f>
        <v>IDB</v>
      </c>
      <c r="AA22" s="1488" t="str">
        <f>'[6]ALL-USD40.1M'!AA195</f>
        <v>Belum proses</v>
      </c>
      <c r="AB22" s="1441"/>
      <c r="AC22" s="1656"/>
      <c r="AD22" s="1656"/>
      <c r="AE22" s="1656"/>
      <c r="AF22" s="1656"/>
      <c r="AG22" s="1658"/>
      <c r="AH22" s="1509"/>
      <c r="AI22" s="109"/>
      <c r="AJ22" s="1544"/>
      <c r="AK22" s="245"/>
      <c r="AL22" s="1510"/>
      <c r="AM22" s="1511"/>
      <c r="AN22" s="1545"/>
      <c r="AO22" s="1547"/>
    </row>
    <row r="23" spans="1:46" ht="39.75" customHeight="1">
      <c r="J23" s="3621"/>
      <c r="K23" s="3621"/>
      <c r="L23" s="3683"/>
      <c r="M23" s="3683"/>
      <c r="N23" s="3687"/>
      <c r="O23" s="1413"/>
      <c r="P23" s="1414"/>
      <c r="Q23" s="1459"/>
      <c r="R23" s="1459"/>
      <c r="S23" s="1652"/>
      <c r="T23" s="1457"/>
      <c r="U23" s="1440"/>
      <c r="V23" s="1458"/>
      <c r="W23" s="1458"/>
      <c r="X23" s="1441"/>
      <c r="Y23" s="1611">
        <f>'[6]ALL-USD40.1M'!Y196</f>
        <v>250000000</v>
      </c>
      <c r="Z23" s="1611" t="str">
        <f>'[6]ALL-USD40.1M'!Z196</f>
        <v>Belum Ada Indikasi</v>
      </c>
      <c r="AA23" s="1488" t="str">
        <f>'[6]ALL-USD40.1M'!AA196</f>
        <v>Belum proses</v>
      </c>
      <c r="AB23" s="1441" t="e">
        <f>'[6]ALL-USD40.1M'!AB196</f>
        <v>#REF!</v>
      </c>
      <c r="AC23" s="1656"/>
      <c r="AD23" s="1656"/>
      <c r="AE23" s="1656"/>
      <c r="AF23" s="1656"/>
      <c r="AG23" s="1658"/>
      <c r="AH23" s="1658"/>
      <c r="AI23" s="1611"/>
      <c r="AJ23" s="1659"/>
      <c r="AK23" s="1582"/>
      <c r="AL23" s="1624"/>
      <c r="AM23" s="1583"/>
      <c r="AN23" s="1545"/>
      <c r="AO23" s="1547"/>
    </row>
    <row r="24" spans="1:46" ht="39.75" customHeight="1">
      <c r="J24" s="1611"/>
      <c r="K24" s="1611"/>
      <c r="L24" s="3621"/>
      <c r="M24" s="3621"/>
      <c r="N24" s="3682"/>
      <c r="O24" s="1413"/>
      <c r="P24" s="1414"/>
      <c r="Q24" s="1459"/>
      <c r="R24" s="1459"/>
      <c r="S24" s="1652"/>
      <c r="T24" s="1457"/>
      <c r="U24" s="1440"/>
      <c r="V24" s="1458"/>
      <c r="W24" s="1458"/>
      <c r="X24" s="1441"/>
      <c r="Y24" s="1611">
        <f>'[6]ALL-USD40.1M'!Y197</f>
        <v>755600000</v>
      </c>
      <c r="Z24" s="1611" t="str">
        <f>'[6]ALL-USD40.1M'!Z197</f>
        <v>Bank Dunia</v>
      </c>
      <c r="AA24" s="1488" t="str">
        <f>'[6]ALL-USD40.1M'!AA197</f>
        <v>Belum proses</v>
      </c>
      <c r="AB24" s="1611"/>
      <c r="AC24" s="1636"/>
      <c r="AD24" s="1636"/>
      <c r="AE24" s="1636"/>
      <c r="AF24" s="1636"/>
      <c r="AG24" s="1611"/>
      <c r="AH24" s="1658"/>
      <c r="AI24" s="1611"/>
      <c r="AJ24" s="1659"/>
      <c r="AK24" s="1582"/>
      <c r="AL24" s="1624"/>
      <c r="AM24" s="1583"/>
      <c r="AN24" s="1545"/>
      <c r="AO24" s="1547"/>
    </row>
    <row r="25" spans="1:46" s="3" customFormat="1" ht="30" customHeight="1">
      <c r="J25" s="3450" t="s">
        <v>477</v>
      </c>
      <c r="K25" s="3451"/>
      <c r="L25" s="3451"/>
      <c r="M25" s="3573"/>
      <c r="N25" s="3573"/>
      <c r="O25" s="282" t="e">
        <f>+O8+#REF!</f>
        <v>#REF!</v>
      </c>
      <c r="P25" s="278" t="e">
        <f>+P8+#REF!</f>
        <v>#REF!</v>
      </c>
      <c r="Q25" s="1460" t="e">
        <f>+Q8+#REF!</f>
        <v>#REF!</v>
      </c>
      <c r="R25" s="1460" t="e">
        <f>+R8+#REF!</f>
        <v>#REF!</v>
      </c>
      <c r="S25" s="288" t="e">
        <f>P25+Q25+R25</f>
        <v>#REF!</v>
      </c>
      <c r="T25" s="1461"/>
      <c r="U25" s="279"/>
      <c r="V25" s="280" t="e">
        <f>+V8+#REF!</f>
        <v>#REF!</v>
      </c>
      <c r="W25" s="280" t="e">
        <f>+W8+#REF!</f>
        <v>#REF!</v>
      </c>
      <c r="X25" s="287"/>
      <c r="Y25" s="280">
        <f>+Y8</f>
        <v>1852800000</v>
      </c>
      <c r="Z25" s="280"/>
      <c r="AA25" s="280"/>
      <c r="AB25" s="1490"/>
      <c r="AC25" s="1490"/>
      <c r="AD25" s="1490"/>
      <c r="AE25" s="287"/>
      <c r="AF25" s="287"/>
      <c r="AG25" s="285"/>
      <c r="AH25" s="279" t="e">
        <f>+AH8+#REF!</f>
        <v>#REF!</v>
      </c>
      <c r="AI25" s="280" t="s">
        <v>21</v>
      </c>
      <c r="AJ25" s="280" t="s">
        <v>21</v>
      </c>
      <c r="AK25" s="1523"/>
      <c r="AL25" s="1524"/>
      <c r="AM25" s="1525"/>
      <c r="AN25" s="1526"/>
      <c r="AO25" s="1534"/>
      <c r="AP25" s="12"/>
      <c r="AQ25" s="1535">
        <f>SUM(AQ10:AQ22)</f>
        <v>0</v>
      </c>
      <c r="AR25" s="1535">
        <f>SUM(AR10:AR22)</f>
        <v>0</v>
      </c>
      <c r="AS25" s="1535">
        <f>SUM(AS10:AS22)</f>
        <v>100400000</v>
      </c>
      <c r="AT25" s="1535">
        <f>SUM(AT10:AT22)</f>
        <v>0</v>
      </c>
    </row>
    <row r="26" spans="1:46" s="12" customFormat="1">
      <c r="A26" s="10"/>
      <c r="B26" s="10"/>
      <c r="C26" s="10"/>
      <c r="D26" s="10"/>
      <c r="E26" s="10"/>
      <c r="F26" s="10"/>
      <c r="G26" s="10"/>
      <c r="H26" s="10"/>
      <c r="I26" s="10"/>
      <c r="J26" s="11"/>
      <c r="K26" s="10"/>
      <c r="L26" s="10"/>
      <c r="M26" s="1425"/>
      <c r="N26" s="1426"/>
      <c r="O26" s="13"/>
      <c r="P26" s="13"/>
      <c r="Q26" s="1395"/>
      <c r="R26" s="1395"/>
      <c r="S26" s="13"/>
      <c r="T26" s="13"/>
      <c r="U26" s="14"/>
      <c r="V26" s="13"/>
      <c r="W26" s="13"/>
      <c r="X26" s="13"/>
      <c r="Y26" s="13"/>
      <c r="Z26" s="13"/>
      <c r="AA26" s="13"/>
      <c r="AB26" s="13"/>
      <c r="AC26" s="13"/>
      <c r="AD26" s="13"/>
      <c r="AE26" s="13"/>
      <c r="AF26" s="13"/>
      <c r="AG26" s="13"/>
      <c r="AK26" s="14"/>
      <c r="AL26" s="14"/>
      <c r="AM26" s="14"/>
      <c r="AN26" s="14"/>
      <c r="AO26" s="175"/>
    </row>
    <row r="27" spans="1:46" s="12" customFormat="1">
      <c r="A27" s="10"/>
      <c r="B27" s="10"/>
      <c r="C27" s="10"/>
      <c r="D27" s="10"/>
      <c r="E27" s="10"/>
      <c r="F27" s="10"/>
      <c r="G27" s="10"/>
      <c r="H27" s="10"/>
      <c r="I27" s="10"/>
      <c r="J27" s="11"/>
      <c r="K27" s="10" t="s">
        <v>1111</v>
      </c>
      <c r="L27" s="10"/>
      <c r="M27" s="10"/>
      <c r="O27" s="13"/>
      <c r="P27" s="13"/>
      <c r="Q27" s="1395"/>
      <c r="R27" s="1395"/>
      <c r="S27" s="13"/>
      <c r="T27" s="13"/>
      <c r="U27" s="14"/>
      <c r="V27" s="13" t="e">
        <f>V25+W25</f>
        <v>#REF!</v>
      </c>
      <c r="W27" s="13"/>
      <c r="X27" s="13"/>
      <c r="Y27" s="13"/>
      <c r="Z27" s="13"/>
      <c r="AA27" s="13"/>
      <c r="AB27" s="13"/>
      <c r="AC27" s="13"/>
      <c r="AD27" s="13"/>
      <c r="AE27" s="13"/>
      <c r="AF27" s="13"/>
      <c r="AG27" s="13"/>
      <c r="AH27" s="289"/>
      <c r="AK27" s="14"/>
      <c r="AL27" s="14"/>
      <c r="AM27" s="14"/>
      <c r="AN27" s="14"/>
      <c r="AO27" s="175"/>
      <c r="AP27" s="10"/>
    </row>
    <row r="28" spans="1:46">
      <c r="V28" s="13" t="e">
        <f>V27-AH25</f>
        <v>#REF!</v>
      </c>
      <c r="Y28" s="13">
        <f>Y25+5809063500</f>
        <v>7661863500</v>
      </c>
      <c r="Z28" s="13" t="e">
        <f>Y25-#REF!</f>
        <v>#REF!</v>
      </c>
    </row>
    <row r="30" spans="1:46">
      <c r="AH30" s="289"/>
    </row>
    <row r="31" spans="1:46">
      <c r="Y31" s="13" t="e">
        <f>#REF!+#REF!+#REF!+#REF!+#REF!+#REF!+#REF!+#REF!+#REF!+#REF!+#REF!+#REF!+#REF!+#REF!+#REF!+#REF!+#REF!+#REF!+#REF!+#REF!+#REF!+#REF!</f>
        <v>#REF!</v>
      </c>
      <c r="AP31" s="12"/>
    </row>
    <row r="32" spans="1:46" s="12" customFormat="1">
      <c r="A32" s="10"/>
      <c r="B32" s="10"/>
      <c r="C32" s="10"/>
      <c r="D32" s="10"/>
      <c r="E32" s="10"/>
      <c r="F32" s="10"/>
      <c r="G32" s="10"/>
      <c r="H32" s="10"/>
      <c r="I32" s="10"/>
      <c r="J32" s="11"/>
      <c r="K32" s="10"/>
      <c r="L32" s="10"/>
      <c r="M32" s="10"/>
      <c r="O32" s="13"/>
      <c r="P32" s="13"/>
      <c r="Q32" s="1395"/>
      <c r="R32" s="1395"/>
      <c r="S32" s="13"/>
      <c r="T32" s="13"/>
      <c r="U32" s="14"/>
      <c r="V32" s="13"/>
      <c r="W32" s="13"/>
      <c r="X32" s="13"/>
      <c r="Y32" s="13"/>
      <c r="Z32" s="13"/>
      <c r="AA32" s="13"/>
      <c r="AB32" s="13"/>
      <c r="AC32" s="13"/>
      <c r="AD32" s="13"/>
      <c r="AE32" s="13"/>
      <c r="AF32" s="13"/>
      <c r="AG32" s="13"/>
      <c r="AI32" s="289"/>
      <c r="AK32" s="14"/>
      <c r="AL32" s="14"/>
      <c r="AM32" s="14"/>
      <c r="AN32" s="14"/>
      <c r="AO32" s="175"/>
    </row>
    <row r="33" spans="1:42" s="12" customFormat="1">
      <c r="A33" s="10"/>
      <c r="B33" s="10"/>
      <c r="C33" s="10"/>
      <c r="D33" s="10"/>
      <c r="E33" s="10"/>
      <c r="F33" s="10"/>
      <c r="G33" s="10"/>
      <c r="H33" s="10"/>
      <c r="I33" s="10"/>
      <c r="J33" s="11"/>
      <c r="K33" s="10"/>
      <c r="L33" s="10"/>
      <c r="M33" s="10"/>
      <c r="O33" s="13"/>
      <c r="P33" s="13"/>
      <c r="Q33" s="1395"/>
      <c r="R33" s="1395"/>
      <c r="S33" s="13"/>
      <c r="T33" s="13"/>
      <c r="U33" s="14"/>
      <c r="V33" s="13"/>
      <c r="W33" s="13"/>
      <c r="X33" s="13"/>
      <c r="Y33" s="13" t="e">
        <f>#REF!+#REF!+#REF!+#REF!+#REF!+#REF!+#REF!+#REF!+#REF!+#REF!+#REF!+#REF!+#REF!+#REF!+#REF!+#REF!+#REF!+#REF!+#REF!+#REF!+#REF!+#REF!+Y11+#REF!+#REF!+#REF!+#REF!+71100000</f>
        <v>#REF!</v>
      </c>
      <c r="Z33" s="13"/>
      <c r="AA33" s="13"/>
      <c r="AB33" s="13"/>
      <c r="AC33" s="13"/>
      <c r="AD33" s="13"/>
      <c r="AE33" s="13"/>
      <c r="AF33" s="13"/>
      <c r="AG33" s="13"/>
      <c r="AH33" s="289"/>
      <c r="AK33" s="14"/>
      <c r="AL33" s="14"/>
      <c r="AM33" s="14"/>
      <c r="AN33" s="14"/>
      <c r="AO33" s="175"/>
      <c r="AP33" s="1536"/>
    </row>
    <row r="34" spans="1:42" s="12" customFormat="1">
      <c r="A34" s="10"/>
      <c r="B34" s="10"/>
      <c r="C34" s="10"/>
      <c r="D34" s="10"/>
      <c r="E34" s="10"/>
      <c r="F34" s="10"/>
      <c r="G34" s="10"/>
      <c r="H34" s="10"/>
      <c r="I34" s="10"/>
      <c r="J34" s="11"/>
      <c r="K34" s="10"/>
      <c r="L34" s="10"/>
      <c r="M34" s="10"/>
      <c r="O34" s="13"/>
      <c r="P34" s="13"/>
      <c r="Q34" s="1395"/>
      <c r="R34" s="1395"/>
      <c r="S34" s="13"/>
      <c r="T34" s="13"/>
      <c r="U34" s="14"/>
      <c r="V34" s="13"/>
      <c r="W34" s="13"/>
      <c r="X34" s="13"/>
      <c r="Y34" s="13"/>
      <c r="Z34" s="13"/>
      <c r="AA34" s="13"/>
      <c r="AB34" s="13"/>
      <c r="AC34" s="13"/>
      <c r="AD34" s="13"/>
      <c r="AE34" s="13"/>
      <c r="AF34" s="13"/>
      <c r="AG34" s="13"/>
      <c r="AK34" s="14"/>
      <c r="AL34" s="14"/>
      <c r="AM34" s="14"/>
      <c r="AN34" s="14"/>
      <c r="AO34" s="175"/>
      <c r="AP34" s="10"/>
    </row>
  </sheetData>
  <autoFilter ref="A7:AO25"/>
  <mergeCells count="31">
    <mergeCell ref="AA5:AA6"/>
    <mergeCell ref="AG5:AG6"/>
    <mergeCell ref="AG17:AG19"/>
    <mergeCell ref="J5:N6"/>
    <mergeCell ref="M14:N14"/>
    <mergeCell ref="M16:N16"/>
    <mergeCell ref="M17:M19"/>
    <mergeCell ref="N17:N19"/>
    <mergeCell ref="M21:N21"/>
    <mergeCell ref="J25:N25"/>
    <mergeCell ref="J21:J23"/>
    <mergeCell ref="K21:K23"/>
    <mergeCell ref="L22:L24"/>
    <mergeCell ref="M22:M24"/>
    <mergeCell ref="N22:N24"/>
    <mergeCell ref="J1:AO1"/>
    <mergeCell ref="J2:AO2"/>
    <mergeCell ref="U4:AJ4"/>
    <mergeCell ref="AK4:AO4"/>
    <mergeCell ref="U5:X5"/>
    <mergeCell ref="AB5:AF5"/>
    <mergeCell ref="AH5:AJ5"/>
    <mergeCell ref="AK5:AO5"/>
    <mergeCell ref="O5:O6"/>
    <mergeCell ref="P5:P6"/>
    <mergeCell ref="Q5:Q6"/>
    <mergeCell ref="R5:R6"/>
    <mergeCell ref="S5:S6"/>
    <mergeCell ref="T5:T6"/>
    <mergeCell ref="Y5:Y6"/>
    <mergeCell ref="Z5:Z6"/>
  </mergeCells>
  <printOptions horizontalCentered="1"/>
  <pageMargins left="0.39305555555555599" right="0.39305555555555599" top="0.39305555555555599" bottom="0.39305555555555599" header="0.31458333333333299" footer="0.196527777777778"/>
  <pageSetup paperSize="9" scale="48" fitToHeight="0" orientation="portrait"/>
  <headerFooter>
    <oddFooter>&amp;R&amp;"Cambria,Italic"&amp;9&amp;P/&amp;N</oddFooter>
  </headerFooter>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pageSetUpPr fitToPage="1"/>
  </sheetPr>
  <dimension ref="A1:AT25"/>
  <sheetViews>
    <sheetView topLeftCell="J1" zoomScale="70" zoomScaleNormal="70" workbookViewId="0">
      <pane ySplit="7" topLeftCell="A8" activePane="bottomLeft" state="frozen"/>
      <selection pane="bottomLeft" activeCell="J16" sqref="J16:N16"/>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1348</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[6]DATA!B2</f>
        <v>I</v>
      </c>
      <c r="K8" s="22" t="str">
        <f>'[6]ALL-USD40.1M'!K155</f>
        <v>NON-INFRASTRUKTUR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Y9+Y13</f>
        <v>596000000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55.5" customHeight="1">
      <c r="J9" s="179"/>
      <c r="K9" s="25">
        <v>1</v>
      </c>
      <c r="L9" s="3684" t="str">
        <f>'[6]ALL-USD40.1M'!L126</f>
        <v>Kementerian Komunikasi dan Informatika</v>
      </c>
      <c r="M9" s="3685"/>
      <c r="N9" s="3686"/>
      <c r="O9" s="213" t="e">
        <f>#REF!+#REF!+#REF!+#REF!+#REF!+#REF!+#REF!+#REF!+O10+#REF!+#REF!+#REF!+#REF!+#REF!+#REF!</f>
        <v>#REF!</v>
      </c>
      <c r="P9" s="194" t="e">
        <f>+#REF!+#REF!+#REF!+#REF!+#REF!+#REF!+#REF!+#REF!+P10+#REF!+#REF!+#REF!+#REF!+#REF!+#REF!</f>
        <v>#REF!</v>
      </c>
      <c r="Q9" s="194" t="e">
        <f>+#REF!+#REF!+#REF!+#REF!+#REF!+#REF!+#REF!+#REF!+Q10+#REF!+#REF!+#REF!+#REF!+#REF!+#REF!</f>
        <v>#REF!</v>
      </c>
      <c r="R9" s="194" t="e">
        <f>+#REF!+#REF!+#REF!+#REF!+#REF!+#REF!+#REF!+#REF!+R10+#REF!+#REF!+#REF!+#REF!+#REF!+#REF!</f>
        <v>#REF!</v>
      </c>
      <c r="S9" s="242" t="e">
        <f>+#REF!+#REF!+#REF!+#REF!+#REF!+#REF!+#REF!+#REF!+S10+#REF!+#REF!+#REF!+#REF!+#REF!+#REF!</f>
        <v>#REF!</v>
      </c>
      <c r="T9" s="1538"/>
      <c r="U9" s="195"/>
      <c r="V9" s="80" t="e">
        <f>+#REF!+#REF!+#REF!+#REF!+#REF!+#REF!+#REF!+#REF!+V10+#REF!+#REF!+#REF!+#REF!+#REF!+#REF!</f>
        <v>#REF!</v>
      </c>
      <c r="W9" s="80" t="e">
        <f>+#REF!+#REF!+#REF!+#REF!+#REF!+#REF!+#REF!+#REF!+W10+#REF!+#REF!+#REF!+#REF!+#REF!+#REF!</f>
        <v>#REF!</v>
      </c>
      <c r="X9" s="241" t="e">
        <f>+#REF!+#REF!+#REF!+#REF!+#REF!+#REF!+#REF!+X10+#REF!+#REF!+#REF!+#REF!+#REF!</f>
        <v>#REF!</v>
      </c>
      <c r="Y9" s="80">
        <f>Y10+Y13</f>
        <v>576000000</v>
      </c>
      <c r="Z9" s="80"/>
      <c r="AA9" s="226"/>
      <c r="AB9" s="1465"/>
      <c r="AC9" s="1465"/>
      <c r="AD9" s="1465"/>
      <c r="AE9" s="1465"/>
      <c r="AF9" s="1465"/>
      <c r="AG9" s="1540"/>
      <c r="AH9" s="195" t="e">
        <f>+#REF!+#REF!+#REF!+#REF!+#REF!+#REF!+#REF!+#REF!+AH10+#REF!+#REF!+#REF!+#REF!+#REF!+#REF!</f>
        <v>#REF!</v>
      </c>
      <c r="AI9" s="80" t="s">
        <v>21</v>
      </c>
      <c r="AJ9" s="213"/>
      <c r="AK9" s="1501"/>
      <c r="AL9" s="1541"/>
      <c r="AM9" s="1542"/>
      <c r="AN9" s="1543"/>
      <c r="AO9" s="1546"/>
    </row>
    <row r="10" spans="1:46" s="5" customFormat="1" ht="33.75" customHeight="1">
      <c r="J10" s="180"/>
      <c r="K10" s="50"/>
      <c r="L10" s="30" t="str">
        <f>'[6]ALL-USD40.1M'!L168</f>
        <v>A</v>
      </c>
      <c r="M10" s="3427" t="str">
        <f>'[6]ALL-USD40.1M'!M127</f>
        <v>Program Pengembangan Infrastruktur TIK dan Penyiaran</v>
      </c>
      <c r="N10" s="3446"/>
      <c r="O10" s="214" t="e">
        <f>O11+#REF!+#REF!+#REF!+#REF!+#REF!+#REF!+#REF!+#REF!+#REF!+#REF!</f>
        <v>#REF!</v>
      </c>
      <c r="P10" s="197" t="e">
        <f>P11+#REF!+#REF!+#REF!+#REF!+#REF!+#REF!+#REF!+#REF!+#REF!+#REF!</f>
        <v>#REF!</v>
      </c>
      <c r="Q10" s="1436" t="e">
        <f>SUM(Q11:Q15)</f>
        <v>#REF!</v>
      </c>
      <c r="R10" s="1436" t="e">
        <f>R11+#REF!+#REF!+#REF!+#REF!+#REF!+#REF!+#REF!+#REF!+#REF!+#REF!</f>
        <v>#REF!</v>
      </c>
      <c r="S10" s="244" t="e">
        <f t="shared" ref="S10:S11" si="0">P10+Q10+R10</f>
        <v>#REF!</v>
      </c>
      <c r="T10" s="1437"/>
      <c r="U10" s="198"/>
      <c r="V10" s="81" t="e">
        <f>SUM(V11:V15)</f>
        <v>#REF!</v>
      </c>
      <c r="W10" s="81" t="e">
        <f>SUM(W11:W15)</f>
        <v>#REF!</v>
      </c>
      <c r="X10" s="243" t="e">
        <f>SUM(X11:X15)</f>
        <v>#REF!</v>
      </c>
      <c r="Y10" s="81">
        <f>SUM(Y11:Y12)</f>
        <v>556000000</v>
      </c>
      <c r="Z10" s="81"/>
      <c r="AA10" s="1469"/>
      <c r="AB10" s="1470"/>
      <c r="AC10" s="1470"/>
      <c r="AD10" s="1470"/>
      <c r="AE10" s="1573"/>
      <c r="AF10" s="1469"/>
      <c r="AG10" s="1577"/>
      <c r="AH10" s="198" t="e">
        <f>SUM(AH11:AH15)</f>
        <v>#REF!</v>
      </c>
      <c r="AI10" s="81">
        <f>SUM(AI11:AI15)</f>
        <v>0</v>
      </c>
      <c r="AJ10" s="214">
        <f>SUM(AJ11:AJ15)</f>
        <v>0</v>
      </c>
      <c r="AK10" s="1505"/>
      <c r="AL10" s="1506"/>
      <c r="AM10" s="169"/>
      <c r="AN10" s="1507"/>
      <c r="AO10" s="1530"/>
      <c r="AQ10" s="10">
        <f t="shared" ref="AQ10:AQ11" si="1">IF(Z10="RRT",Y10,0)</f>
        <v>0</v>
      </c>
      <c r="AR10" s="10">
        <f t="shared" ref="AR10:AR11" si="2">IF(Z10="JICA",Y10,0)</f>
        <v>0</v>
      </c>
      <c r="AS10" s="10">
        <f t="shared" ref="AS10:AS11" si="3">IF(Z10="Belum ada indikasi",Y10,0)</f>
        <v>0</v>
      </c>
      <c r="AT10" s="10">
        <f t="shared" ref="AT10:AT11" si="4">IF(Z10="Korea",Y10,0)</f>
        <v>0</v>
      </c>
    </row>
    <row r="11" spans="1:46" ht="42" customHeight="1">
      <c r="A11" s="10">
        <f>[6]DATA!A67</f>
        <v>51</v>
      </c>
      <c r="B11" s="10" t="e">
        <f>[6]DATA!B67</f>
        <v>#REF!</v>
      </c>
      <c r="C11" s="10" t="str">
        <f>[6]DATA!D67</f>
        <v>INFRASTRUKTUR</v>
      </c>
      <c r="D11" s="10">
        <f>[6]DATA!E67</f>
        <v>1</v>
      </c>
      <c r="E11" s="10" t="str">
        <f>[6]DATA!F67</f>
        <v>Kementerian Pekerjaan Umum dan Perumahan Rakyat</v>
      </c>
      <c r="F11" s="10" t="str">
        <f>[6]DATA!H67</f>
        <v>Development and Management of Irrigation Program</v>
      </c>
      <c r="G11" s="10" t="str">
        <f>[6]DATA!I67</f>
        <v>I</v>
      </c>
      <c r="H11" s="10" t="str">
        <f>[6]DATA!J67</f>
        <v>Program Pengembangan dan Pengelolaan Irigasi</v>
      </c>
      <c r="I11" s="10">
        <f>[6]DATA!K67</f>
        <v>1</v>
      </c>
      <c r="J11" s="181"/>
      <c r="K11" s="34"/>
      <c r="L11" s="34"/>
      <c r="M11" s="3390">
        <v>1</v>
      </c>
      <c r="N11" s="1412" t="str">
        <f>'[6]ALL-USD40.1M'!N128</f>
        <v>Improvement on TV Transmitting Stations (Digitalization of TVRI) - Phase III</v>
      </c>
      <c r="O11" s="1413">
        <f>[6]DATA!T66</f>
        <v>700000000</v>
      </c>
      <c r="P11" s="1414">
        <f>[6]DATA!U66</f>
        <v>700000000</v>
      </c>
      <c r="Q11" s="1598">
        <f>[6]DATA!V66</f>
        <v>70000000</v>
      </c>
      <c r="R11" s="1598">
        <f>[6]DATA!W66</f>
        <v>0</v>
      </c>
      <c r="S11" s="1438">
        <f t="shared" si="0"/>
        <v>770000000</v>
      </c>
      <c r="T11" s="1439"/>
      <c r="U11" s="1449" t="str">
        <f>[6]DATA!Y67</f>
        <v>ADB</v>
      </c>
      <c r="V11" s="77">
        <f>[6]DATA!AA67</f>
        <v>600000000</v>
      </c>
      <c r="W11" s="77">
        <v>0</v>
      </c>
      <c r="X11" s="1450" t="str">
        <f>[6]DATA!Y67</f>
        <v>ADB</v>
      </c>
      <c r="Y11" s="109">
        <f>'[6]ALL-USD40.1M'!Y128</f>
        <v>411000000</v>
      </c>
      <c r="Z11" s="109" t="str">
        <f>'[6]ALL-USD40.1M'!Z128</f>
        <v>US EXIM/Perancis</v>
      </c>
      <c r="AA11" s="3259" t="str">
        <f>'[6]ALL-USD40.1M'!AA128</f>
        <v>Belum proses</v>
      </c>
      <c r="AB11" s="1474"/>
      <c r="AC11" s="1474"/>
      <c r="AD11" s="1474"/>
      <c r="AE11" s="1621"/>
      <c r="AF11" s="1473"/>
      <c r="AG11" s="3279" t="str">
        <f>'[6]ALL-USD40.1M'!AG128</f>
        <v>Belum ada kepastian lender dari sisi K/L</v>
      </c>
      <c r="AH11" s="1509">
        <f>[6]DATA!AT67</f>
        <v>600000000</v>
      </c>
      <c r="AI11" s="109" t="str">
        <f>[6]DATA!AU67</f>
        <v>ADB</v>
      </c>
      <c r="AJ11" s="1544" t="str">
        <f>[6]DATA!AW67</f>
        <v>-</v>
      </c>
      <c r="AK11" s="245" t="str">
        <f>[6]DATA!AM67</f>
        <v>2016; 2015</v>
      </c>
      <c r="AL11" s="1624" t="str">
        <f>[6]DATA!AN67</f>
        <v>siap</v>
      </c>
      <c r="AM11" s="1583" t="str">
        <f>[6]DATA!AO67</f>
        <v>belum ada keterangan</v>
      </c>
      <c r="AN11" s="1545" t="e">
        <f>[6]DATA!AQ67</f>
        <v>#REF!</v>
      </c>
      <c r="AO11" s="1547" t="str">
        <f>[6]DATA!AR67</f>
        <v>-</v>
      </c>
      <c r="AQ11" s="10">
        <f t="shared" si="1"/>
        <v>0</v>
      </c>
      <c r="AR11" s="10">
        <f t="shared" si="2"/>
        <v>0</v>
      </c>
      <c r="AS11" s="10">
        <f t="shared" si="3"/>
        <v>0</v>
      </c>
      <c r="AT11" s="10">
        <f t="shared" si="4"/>
        <v>0</v>
      </c>
    </row>
    <row r="12" spans="1:46" ht="37.5" customHeight="1">
      <c r="J12" s="181"/>
      <c r="K12" s="34"/>
      <c r="L12" s="34"/>
      <c r="M12" s="3392"/>
      <c r="N12" s="1412" t="str">
        <f>'[6]ALL-USD40.1M'!N129</f>
        <v>Strengthening of e-Government Infrastructure</v>
      </c>
      <c r="O12" s="1413"/>
      <c r="P12" s="1414"/>
      <c r="Q12" s="1598"/>
      <c r="R12" s="1598"/>
      <c r="S12" s="1438"/>
      <c r="T12" s="1439"/>
      <c r="U12" s="1449"/>
      <c r="V12" s="77"/>
      <c r="W12" s="77"/>
      <c r="X12" s="1450"/>
      <c r="Y12" s="109">
        <f>'[6]ALL-USD40.1M'!Y129</f>
        <v>145000000</v>
      </c>
      <c r="Z12" s="109" t="str">
        <f>'[6]ALL-USD40.1M'!Z129</f>
        <v>Korea</v>
      </c>
      <c r="AA12" s="270" t="str">
        <f>'[6]ALL-USD40.1M'!AA129</f>
        <v>Belum proses</v>
      </c>
      <c r="AB12" s="1474"/>
      <c r="AC12" s="1474"/>
      <c r="AD12" s="1474"/>
      <c r="AE12" s="1474"/>
      <c r="AF12" s="1475"/>
      <c r="AG12" s="3280" t="str">
        <f>'[6]ALL-USD40.1M'!AG129</f>
        <v>Masuk dalam dokumen CPS</v>
      </c>
      <c r="AH12" s="1509"/>
      <c r="AI12" s="109"/>
      <c r="AJ12" s="1544"/>
      <c r="AK12" s="245"/>
      <c r="AL12" s="1624"/>
      <c r="AM12" s="1583"/>
      <c r="AN12" s="1545"/>
      <c r="AO12" s="1547"/>
    </row>
    <row r="13" spans="1:46" s="4" customFormat="1" ht="24.95" customHeight="1">
      <c r="J13" s="179"/>
      <c r="K13" s="25">
        <v>2</v>
      </c>
      <c r="L13" s="26" t="str">
        <f>'[6]ALL-USD40.1M'!L130</f>
        <v>Kepolisian RI</v>
      </c>
      <c r="M13" s="26"/>
      <c r="N13" s="1416"/>
      <c r="O13" s="213" t="e">
        <v>#REF!</v>
      </c>
      <c r="P13" s="194" t="e">
        <v>#REF!</v>
      </c>
      <c r="Q13" s="194" t="e">
        <v>#REF!</v>
      </c>
      <c r="R13" s="194" t="e">
        <v>#REF!</v>
      </c>
      <c r="S13" s="242" t="e">
        <v>#REF!</v>
      </c>
      <c r="T13" s="1538"/>
      <c r="U13" s="195"/>
      <c r="V13" s="80" t="e">
        <v>#REF!</v>
      </c>
      <c r="W13" s="80" t="e">
        <v>#REF!</v>
      </c>
      <c r="X13" s="241" t="e">
        <v>#REF!</v>
      </c>
      <c r="Y13" s="80">
        <f>Y14</f>
        <v>20000000</v>
      </c>
      <c r="Z13" s="80"/>
      <c r="AA13" s="226"/>
      <c r="AB13" s="1465"/>
      <c r="AC13" s="1465"/>
      <c r="AD13" s="1465"/>
      <c r="AE13" s="1465"/>
      <c r="AF13" s="1465"/>
      <c r="AG13" s="1642"/>
      <c r="AH13" s="195" t="e">
        <v>#REF!</v>
      </c>
      <c r="AI13" s="80" t="s">
        <v>21</v>
      </c>
      <c r="AJ13" s="213"/>
      <c r="AK13" s="1501"/>
      <c r="AL13" s="1541"/>
      <c r="AM13" s="1542"/>
      <c r="AN13" s="1543"/>
      <c r="AO13" s="1546"/>
    </row>
    <row r="14" spans="1:46" ht="37.5" customHeight="1">
      <c r="J14" s="3620"/>
      <c r="K14" s="3620"/>
      <c r="L14" s="30" t="str">
        <f>'[6]ALL-USD40.1M'!L157</f>
        <v>A</v>
      </c>
      <c r="M14" s="3427" t="str">
        <f>'[6]ALL-USD40.1M'!M131:N131</f>
        <v>Program Pengembangan Infrastruktur TIK dan Penyiaran</v>
      </c>
      <c r="N14" s="3446"/>
      <c r="O14" s="214" t="e">
        <v>#REF!</v>
      </c>
      <c r="P14" s="197" t="e">
        <v>#REF!</v>
      </c>
      <c r="Q14" s="1436">
        <v>991074000</v>
      </c>
      <c r="R14" s="1436" t="e">
        <v>#REF!</v>
      </c>
      <c r="S14" s="244" t="e">
        <v>#REF!</v>
      </c>
      <c r="T14" s="1437"/>
      <c r="U14" s="198"/>
      <c r="V14" s="81">
        <v>4938924000</v>
      </c>
      <c r="W14" s="81">
        <v>0</v>
      </c>
      <c r="X14" s="243">
        <v>0</v>
      </c>
      <c r="Y14" s="81">
        <f>SUM(Y15:Y15)</f>
        <v>20000000</v>
      </c>
      <c r="Z14" s="81"/>
      <c r="AA14" s="1469"/>
      <c r="AB14" s="1569"/>
      <c r="AC14" s="1569"/>
      <c r="AD14" s="1569"/>
      <c r="AE14" s="1573"/>
      <c r="AF14" s="1469"/>
      <c r="AG14" s="1577"/>
      <c r="AH14" s="1643"/>
      <c r="AI14" s="109"/>
      <c r="AJ14" s="1644"/>
      <c r="AK14" s="1645"/>
      <c r="AL14" s="1646"/>
      <c r="AM14" s="1646"/>
      <c r="AN14" s="1647"/>
      <c r="AO14" s="1648"/>
    </row>
    <row r="15" spans="1:46" ht="39.75" customHeight="1">
      <c r="J15" s="3683"/>
      <c r="K15" s="3683"/>
      <c r="L15" s="1611"/>
      <c r="M15" s="1637">
        <v>2</v>
      </c>
      <c r="N15" s="1638" t="str">
        <f>'[6]ALL-USD40.1M'!N132</f>
        <v>National Criminal Information Center for Indonesian National Police - Phase II</v>
      </c>
      <c r="O15" s="1402"/>
      <c r="P15" s="187"/>
      <c r="Q15" s="1446"/>
      <c r="R15" s="1446"/>
      <c r="S15" s="1447"/>
      <c r="T15" s="1448"/>
      <c r="U15" s="1449"/>
      <c r="V15" s="77"/>
      <c r="W15" s="77"/>
      <c r="X15" s="1450"/>
      <c r="Y15" s="109">
        <f>'[6]ALL-USD40.1M'!Y132</f>
        <v>20000000</v>
      </c>
      <c r="Z15" s="1611" t="str">
        <f>'[6]ALL-USD40.1M'!Z132</f>
        <v>Korea</v>
      </c>
      <c r="AA15" s="1488" t="str">
        <f>'[6]ALL-USD40.1M'!AA132</f>
        <v>Belum proses</v>
      </c>
      <c r="AB15" s="1486"/>
      <c r="AC15" s="1486"/>
      <c r="AD15" s="1486"/>
      <c r="AE15" s="1639"/>
      <c r="AF15" s="1488"/>
      <c r="AG15" s="1638" t="str">
        <f>'[6]ALL-USD40.1M'!AG132</f>
        <v>- Potensial ditunda
- Diperlukan konfirmasi karena masuk ke dalam GB sebanyak 5 kali</v>
      </c>
      <c r="AH15" s="1509"/>
      <c r="AI15" s="109"/>
      <c r="AJ15" s="1544"/>
      <c r="AK15" s="245"/>
      <c r="AL15" s="1510"/>
      <c r="AM15" s="1511"/>
      <c r="AN15" s="1545"/>
      <c r="AO15" s="1547"/>
    </row>
    <row r="16" spans="1:46" s="3" customFormat="1" ht="30" customHeight="1">
      <c r="J16" s="3450" t="s">
        <v>477</v>
      </c>
      <c r="K16" s="3451"/>
      <c r="L16" s="3451"/>
      <c r="M16" s="3573"/>
      <c r="N16" s="3573"/>
      <c r="O16" s="282" t="e">
        <f>+O8+#REF!</f>
        <v>#REF!</v>
      </c>
      <c r="P16" s="278" t="e">
        <f>+P8+#REF!</f>
        <v>#REF!</v>
      </c>
      <c r="Q16" s="1460" t="e">
        <f>+Q8+#REF!</f>
        <v>#REF!</v>
      </c>
      <c r="R16" s="1460" t="e">
        <f>+R8+#REF!</f>
        <v>#REF!</v>
      </c>
      <c r="S16" s="288" t="e">
        <f>P16+Q16+R16</f>
        <v>#REF!</v>
      </c>
      <c r="T16" s="1461"/>
      <c r="U16" s="279"/>
      <c r="V16" s="280" t="e">
        <f>+V8+#REF!</f>
        <v>#REF!</v>
      </c>
      <c r="W16" s="280" t="e">
        <f>+W8+#REF!</f>
        <v>#REF!</v>
      </c>
      <c r="X16" s="287"/>
      <c r="Y16" s="280">
        <f>+Y8</f>
        <v>596000000</v>
      </c>
      <c r="Z16" s="280"/>
      <c r="AA16" s="287"/>
      <c r="AB16" s="1640"/>
      <c r="AC16" s="1640"/>
      <c r="AD16" s="1640"/>
      <c r="AE16" s="1641"/>
      <c r="AF16" s="287"/>
      <c r="AG16" s="285"/>
      <c r="AH16" s="279" t="e">
        <f>+AH8+#REF!</f>
        <v>#REF!</v>
      </c>
      <c r="AI16" s="280" t="s">
        <v>21</v>
      </c>
      <c r="AJ16" s="280" t="s">
        <v>21</v>
      </c>
      <c r="AK16" s="1523"/>
      <c r="AL16" s="1524"/>
      <c r="AM16" s="1525"/>
      <c r="AN16" s="1526"/>
      <c r="AO16" s="1534"/>
      <c r="AP16" s="12"/>
      <c r="AQ16" s="1535">
        <f>SUM(AQ10:AQ15)</f>
        <v>0</v>
      </c>
      <c r="AR16" s="1535">
        <f>SUM(AR10:AR15)</f>
        <v>0</v>
      </c>
      <c r="AS16" s="1535">
        <f>SUM(AS10:AS15)</f>
        <v>0</v>
      </c>
      <c r="AT16" s="1535">
        <f>SUM(AT10:AT15)</f>
        <v>0</v>
      </c>
    </row>
    <row r="17" spans="1:42" s="12" customFormat="1">
      <c r="A17" s="10"/>
      <c r="B17" s="10"/>
      <c r="C17" s="10"/>
      <c r="D17" s="10"/>
      <c r="E17" s="10"/>
      <c r="F17" s="10"/>
      <c r="G17" s="10"/>
      <c r="H17" s="10"/>
      <c r="I17" s="10"/>
      <c r="J17" s="11"/>
      <c r="K17" s="10"/>
      <c r="L17" s="10"/>
      <c r="M17" s="1425"/>
      <c r="N17" s="1426"/>
      <c r="O17" s="13"/>
      <c r="P17" s="13"/>
      <c r="Q17" s="1395"/>
      <c r="R17" s="1395"/>
      <c r="S17" s="13"/>
      <c r="T17" s="13"/>
      <c r="U17" s="14"/>
      <c r="V17" s="13"/>
      <c r="W17" s="13"/>
      <c r="X17" s="13"/>
      <c r="Y17" s="13"/>
      <c r="Z17" s="13"/>
      <c r="AA17" s="13"/>
      <c r="AB17" s="13"/>
      <c r="AC17" s="13"/>
      <c r="AD17" s="13"/>
      <c r="AE17" s="13"/>
      <c r="AF17" s="13"/>
      <c r="AG17" s="13"/>
      <c r="AK17" s="14"/>
      <c r="AL17" s="14"/>
      <c r="AM17" s="14"/>
      <c r="AN17" s="14"/>
      <c r="AO17" s="175"/>
    </row>
    <row r="18" spans="1:42" s="12" customFormat="1">
      <c r="A18" s="10"/>
      <c r="B18" s="10"/>
      <c r="C18" s="10"/>
      <c r="D18" s="10"/>
      <c r="E18" s="10"/>
      <c r="F18" s="10"/>
      <c r="G18" s="10"/>
      <c r="H18" s="10"/>
      <c r="I18" s="10"/>
      <c r="J18" s="11"/>
      <c r="K18" s="10" t="s">
        <v>1111</v>
      </c>
      <c r="L18" s="10"/>
      <c r="M18" s="10"/>
      <c r="O18" s="13"/>
      <c r="P18" s="13"/>
      <c r="Q18" s="1395"/>
      <c r="R18" s="1395"/>
      <c r="S18" s="13"/>
      <c r="T18" s="13"/>
      <c r="U18" s="14"/>
      <c r="V18" s="13" t="e">
        <f>V16+W16</f>
        <v>#REF!</v>
      </c>
      <c r="W18" s="13"/>
      <c r="X18" s="13"/>
      <c r="Y18" s="13"/>
      <c r="Z18" s="13"/>
      <c r="AA18" s="13"/>
      <c r="AB18" s="13"/>
      <c r="AC18" s="13"/>
      <c r="AD18" s="13"/>
      <c r="AE18" s="13"/>
      <c r="AF18" s="13"/>
      <c r="AG18" s="13"/>
      <c r="AH18" s="289"/>
      <c r="AK18" s="14"/>
      <c r="AL18" s="14"/>
      <c r="AM18" s="14"/>
      <c r="AN18" s="14"/>
      <c r="AO18" s="175"/>
      <c r="AP18" s="10"/>
    </row>
    <row r="19" spans="1:42">
      <c r="V19" s="13" t="e">
        <f>V18-AH16</f>
        <v>#REF!</v>
      </c>
      <c r="Y19" s="13">
        <f>Y16+5809063500</f>
        <v>6405063500</v>
      </c>
      <c r="Z19" s="13" t="e">
        <f>Y16-#REF!</f>
        <v>#REF!</v>
      </c>
    </row>
    <row r="21" spans="1:42">
      <c r="AH21" s="289"/>
    </row>
    <row r="22" spans="1:42">
      <c r="Y22" s="13" t="e">
        <f>#REF!+#REF!+#REF!+#REF!+#REF!+#REF!+#REF!+#REF!+#REF!+#REF!+#REF!+#REF!+#REF!+#REF!+#REF!+#REF!+#REF!+#REF!+#REF!+#REF!+#REF!+#REF!</f>
        <v>#REF!</v>
      </c>
      <c r="AP22" s="12"/>
    </row>
    <row r="23" spans="1:42" s="12" customFormat="1">
      <c r="A23" s="10"/>
      <c r="B23" s="10"/>
      <c r="C23" s="10"/>
      <c r="D23" s="10"/>
      <c r="E23" s="10"/>
      <c r="F23" s="10"/>
      <c r="G23" s="10"/>
      <c r="H23" s="10"/>
      <c r="I23" s="10"/>
      <c r="J23" s="11"/>
      <c r="K23" s="10"/>
      <c r="L23" s="10"/>
      <c r="M23" s="10"/>
      <c r="O23" s="13"/>
      <c r="P23" s="13"/>
      <c r="Q23" s="1395"/>
      <c r="R23" s="1395"/>
      <c r="S23" s="13"/>
      <c r="T23" s="13"/>
      <c r="U23" s="14"/>
      <c r="V23" s="13"/>
      <c r="W23" s="13"/>
      <c r="X23" s="13"/>
      <c r="Y23" s="13"/>
      <c r="Z23" s="13"/>
      <c r="AA23" s="13"/>
      <c r="AB23" s="13"/>
      <c r="AC23" s="13"/>
      <c r="AD23" s="13"/>
      <c r="AE23" s="13"/>
      <c r="AF23" s="13"/>
      <c r="AG23" s="13"/>
      <c r="AI23" s="289"/>
      <c r="AK23" s="14"/>
      <c r="AL23" s="14"/>
      <c r="AM23" s="14"/>
      <c r="AN23" s="14"/>
      <c r="AO23" s="175"/>
    </row>
    <row r="24" spans="1:42" s="12" customFormat="1">
      <c r="A24" s="10"/>
      <c r="B24" s="10"/>
      <c r="C24" s="10"/>
      <c r="D24" s="10"/>
      <c r="E24" s="10"/>
      <c r="F24" s="10"/>
      <c r="G24" s="10"/>
      <c r="H24" s="10"/>
      <c r="I24" s="10"/>
      <c r="J24" s="11"/>
      <c r="K24" s="10"/>
      <c r="L24" s="10"/>
      <c r="M24" s="10"/>
      <c r="O24" s="13"/>
      <c r="P24" s="13"/>
      <c r="Q24" s="1395"/>
      <c r="R24" s="1395"/>
      <c r="S24" s="13"/>
      <c r="T24" s="13"/>
      <c r="U24" s="14"/>
      <c r="V24" s="13"/>
      <c r="W24" s="13"/>
      <c r="X24" s="13"/>
      <c r="Y24" s="13" t="e">
        <f>#REF!+#REF!+#REF!+#REF!+#REF!+#REF!+#REF!+#REF!+#REF!+#REF!+#REF!+#REF!+#REF!+#REF!+#REF!+#REF!+#REF!+#REF!+#REF!+#REF!+#REF!+#REF!+Y11+#REF!+#REF!+#REF!+#REF!+71100000</f>
        <v>#REF!</v>
      </c>
      <c r="Z24" s="13"/>
      <c r="AA24" s="13"/>
      <c r="AB24" s="13"/>
      <c r="AC24" s="13"/>
      <c r="AD24" s="13"/>
      <c r="AE24" s="13"/>
      <c r="AF24" s="13"/>
      <c r="AG24" s="13"/>
      <c r="AH24" s="289"/>
      <c r="AK24" s="14"/>
      <c r="AL24" s="14"/>
      <c r="AM24" s="14"/>
      <c r="AN24" s="14"/>
      <c r="AO24" s="175"/>
      <c r="AP24" s="1536"/>
    </row>
    <row r="25" spans="1:42" s="12" customFormat="1">
      <c r="A25" s="10"/>
      <c r="B25" s="10"/>
      <c r="C25" s="10"/>
      <c r="D25" s="10"/>
      <c r="E25" s="10"/>
      <c r="F25" s="10"/>
      <c r="G25" s="10"/>
      <c r="H25" s="10"/>
      <c r="I25" s="10"/>
      <c r="J25" s="11"/>
      <c r="K25" s="10"/>
      <c r="L25" s="10"/>
      <c r="M25" s="10"/>
      <c r="O25" s="13"/>
      <c r="P25" s="13"/>
      <c r="Q25" s="1395"/>
      <c r="R25" s="1395"/>
      <c r="S25" s="13"/>
      <c r="T25" s="13"/>
      <c r="U25" s="14"/>
      <c r="V25" s="13"/>
      <c r="W25" s="13"/>
      <c r="X25" s="13"/>
      <c r="Y25" s="13"/>
      <c r="Z25" s="13"/>
      <c r="AA25" s="13"/>
      <c r="AB25" s="13"/>
      <c r="AC25" s="13"/>
      <c r="AD25" s="13"/>
      <c r="AE25" s="13"/>
      <c r="AF25" s="13"/>
      <c r="AG25" s="13"/>
      <c r="AK25" s="14"/>
      <c r="AL25" s="14"/>
      <c r="AM25" s="14"/>
      <c r="AN25" s="14"/>
      <c r="AO25" s="175"/>
      <c r="AP25" s="10"/>
    </row>
  </sheetData>
  <autoFilter ref="A7:AO16"/>
  <mergeCells count="26">
    <mergeCell ref="AA5:AA6"/>
    <mergeCell ref="AG5:AG6"/>
    <mergeCell ref="J5:N6"/>
    <mergeCell ref="L9:N9"/>
    <mergeCell ref="M10:N10"/>
    <mergeCell ref="M14:N14"/>
    <mergeCell ref="J16:N16"/>
    <mergeCell ref="J14:J15"/>
    <mergeCell ref="K14:K15"/>
    <mergeCell ref="M11:M12"/>
    <mergeCell ref="J1:AO1"/>
    <mergeCell ref="J2:AO2"/>
    <mergeCell ref="U4:AJ4"/>
    <mergeCell ref="AK4:AO4"/>
    <mergeCell ref="U5:X5"/>
    <mergeCell ref="AB5:AF5"/>
    <mergeCell ref="AH5:AJ5"/>
    <mergeCell ref="AK5:AO5"/>
    <mergeCell ref="O5:O6"/>
    <mergeCell ref="P5:P6"/>
    <mergeCell ref="Q5:Q6"/>
    <mergeCell ref="R5:R6"/>
    <mergeCell ref="S5:S6"/>
    <mergeCell ref="T5:T6"/>
    <mergeCell ref="Y5:Y6"/>
    <mergeCell ref="Z5:Z6"/>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249977111117893"/>
    <pageSetUpPr fitToPage="1"/>
  </sheetPr>
  <dimension ref="A1:AT52"/>
  <sheetViews>
    <sheetView topLeftCell="J1" zoomScale="70" zoomScaleNormal="70" workbookViewId="0">
      <pane ySplit="7" topLeftCell="A8" activePane="bottomLeft" state="frozen"/>
      <selection pane="bottomLeft" activeCell="Y23" sqref="Y23"/>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5.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31.5703125" style="175"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1349</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f>Y36-21610980</f>
        <v>0</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[7]DATA!B2</f>
        <v>I</v>
      </c>
      <c r="K8" s="22" t="str">
        <f>[7]DATA!D2</f>
        <v>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f>
        <v>6557429000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24.95" customHeight="1">
      <c r="J9" s="179"/>
      <c r="K9" s="25">
        <f>[7]DATA!E2</f>
        <v>1</v>
      </c>
      <c r="L9" s="26" t="str">
        <f>[7]DATA!F2</f>
        <v>Kementerian Pekerjaan Umum dan Perumahan Rakyat</v>
      </c>
      <c r="M9" s="26"/>
      <c r="N9" s="1416"/>
      <c r="O9" s="213" t="e">
        <f>#REF!+#REF!+#REF!+#REF!+#REF!+#REF!+#REF!+#REF!+O10+O21+O25+O38+O46+#REF!+#REF!</f>
        <v>#REF!</v>
      </c>
      <c r="P9" s="194" t="e">
        <f>+#REF!+#REF!+#REF!+#REF!+#REF!+#REF!+#REF!+#REF!+P10+P21+P25+P38+P46+#REF!+#REF!</f>
        <v>#REF!</v>
      </c>
      <c r="Q9" s="194" t="e">
        <f>+#REF!+#REF!+#REF!+#REF!+#REF!+#REF!+#REF!+#REF!+Q10+Q21+Q25+Q38+Q46+#REF!+#REF!</f>
        <v>#REF!</v>
      </c>
      <c r="R9" s="194" t="e">
        <f>+#REF!+#REF!+#REF!+#REF!+#REF!+#REF!+#REF!+#REF!+R10+R21+R25+R38+R46+#REF!+#REF!</f>
        <v>#REF!</v>
      </c>
      <c r="S9" s="242" t="e">
        <f>+#REF!+#REF!+#REF!+#REF!+#REF!+#REF!+#REF!+#REF!+S10+S21+S25+S38+S46+#REF!+#REF!</f>
        <v>#REF!</v>
      </c>
      <c r="T9" s="1538"/>
      <c r="U9" s="195"/>
      <c r="V9" s="80" t="e">
        <f>+#REF!+#REF!+#REF!+#REF!+#REF!+#REF!+#REF!+#REF!+V10+V21+V25+V38+V46+#REF!+#REF!</f>
        <v>#REF!</v>
      </c>
      <c r="W9" s="80" t="e">
        <f>+#REF!+#REF!+#REF!+#REF!+#REF!+#REF!+#REF!+#REF!+W10+W21+W25+W38+W46+#REF!+#REF!</f>
        <v>#REF!</v>
      </c>
      <c r="X9" s="241" t="e">
        <f>+#REF!+#REF!+#REF!+#REF!+#REF!+#REF!+#REF!+X10+X21+X25+X38+X46+#REF!</f>
        <v>#REF!</v>
      </c>
      <c r="Y9" s="80">
        <f>Y10+Y21+Y25+Y38+Y46</f>
        <v>6557429000</v>
      </c>
      <c r="Z9" s="80"/>
      <c r="AA9" s="226"/>
      <c r="AB9" s="1465"/>
      <c r="AC9" s="1465"/>
      <c r="AD9" s="1465"/>
      <c r="AE9" s="1465"/>
      <c r="AF9" s="1465"/>
      <c r="AG9" s="1540"/>
      <c r="AH9" s="195" t="e">
        <f>+#REF!+#REF!+#REF!+#REF!+#REF!+#REF!+#REF!+#REF!+AH10+AH21+AH25+AH38+AH46+#REF!+#REF!</f>
        <v>#REF!</v>
      </c>
      <c r="AI9" s="80" t="s">
        <v>21</v>
      </c>
      <c r="AJ9" s="213"/>
      <c r="AK9" s="1501"/>
      <c r="AL9" s="1541"/>
      <c r="AM9" s="1542"/>
      <c r="AN9" s="1543"/>
      <c r="AO9" s="1546"/>
    </row>
    <row r="10" spans="1:46" s="5" customFormat="1" ht="33.75" customHeight="1">
      <c r="J10" s="180"/>
      <c r="K10" s="50"/>
      <c r="L10" s="30" t="s">
        <v>185</v>
      </c>
      <c r="M10" s="31" t="str">
        <f>[7]DATA!J67</f>
        <v>Program Pengembangan dan Pengelolaan Irigasi</v>
      </c>
      <c r="N10" s="1419"/>
      <c r="O10" s="214" t="e">
        <f>O11+O12+O14+#REF!+#REF!+O15+O16+O17+O18+O19+#REF!</f>
        <v>#REF!</v>
      </c>
      <c r="P10" s="197" t="e">
        <f>P11+P12+P14+#REF!+#REF!+P15+P17+P18+P19+#REF!+P16</f>
        <v>#REF!</v>
      </c>
      <c r="Q10" s="1436" t="e">
        <f>SUM(Q11:Q20)</f>
        <v>#REF!</v>
      </c>
      <c r="R10" s="1436" t="e">
        <f>R11+R12+R14+#REF!+#REF!+R15+R17+R18+R19+#REF!+R16</f>
        <v>#REF!</v>
      </c>
      <c r="S10" s="244" t="e">
        <f t="shared" ref="S10:S12" si="0">P10+Q10+R10</f>
        <v>#REF!</v>
      </c>
      <c r="T10" s="1437"/>
      <c r="U10" s="198"/>
      <c r="V10" s="81">
        <f>SUM(V11:V19)</f>
        <v>2457531000</v>
      </c>
      <c r="W10" s="81">
        <f>SUM(W11:W19)</f>
        <v>0</v>
      </c>
      <c r="X10" s="243">
        <f>SUM(X11:X19)</f>
        <v>0</v>
      </c>
      <c r="Y10" s="81">
        <f>Y11+Y12+Y13+Y14+Y15+Y16+Y17+Y18+Y19+Y20</f>
        <v>2519431000</v>
      </c>
      <c r="Z10" s="81"/>
      <c r="AA10" s="1469"/>
      <c r="AB10" s="1470"/>
      <c r="AC10" s="1470"/>
      <c r="AD10" s="1470"/>
      <c r="AE10" s="1573"/>
      <c r="AF10" s="1469"/>
      <c r="AG10" s="1577"/>
      <c r="AH10" s="198">
        <f>SUM(AH11:AH20)</f>
        <v>2519431000</v>
      </c>
      <c r="AI10" s="81">
        <f>SUM(AI11:AI19)</f>
        <v>0</v>
      </c>
      <c r="AJ10" s="214">
        <f>SUM(AJ11:AJ19)</f>
        <v>0</v>
      </c>
      <c r="AK10" s="1505"/>
      <c r="AL10" s="1506"/>
      <c r="AM10" s="169"/>
      <c r="AN10" s="1507"/>
      <c r="AO10" s="1530"/>
      <c r="AQ10" s="10">
        <f t="shared" ref="AQ10:AQ48" si="1">IF(Z10="RRT",Y10,0)</f>
        <v>0</v>
      </c>
      <c r="AR10" s="10">
        <f t="shared" ref="AR10:AR48" si="2">IF(Z10="JICA",Y10,0)</f>
        <v>0</v>
      </c>
      <c r="AS10" s="10">
        <f t="shared" ref="AS10:AS48" si="3">IF(Z10="Belum ada indikasi",Y10,0)</f>
        <v>0</v>
      </c>
      <c r="AT10" s="10">
        <f t="shared" ref="AT10:AT48" si="4">IF(Z10="Korea",Y10,0)</f>
        <v>0</v>
      </c>
    </row>
    <row r="11" spans="1:46" ht="95.25" customHeight="1">
      <c r="A11" s="10">
        <f>[7]DATA!A67</f>
        <v>51</v>
      </c>
      <c r="B11" s="10">
        <f>[7]DATA!B67</f>
        <v>0</v>
      </c>
      <c r="C11" s="10" t="str">
        <f>[7]DATA!D67</f>
        <v>INFRASTRUKTUR</v>
      </c>
      <c r="D11" s="10">
        <f>[7]DATA!E67</f>
        <v>1</v>
      </c>
      <c r="E11" s="10" t="str">
        <f>[7]DATA!F67</f>
        <v>Kementerian Pekerjaan Umum dan Perumahan Rakyat</v>
      </c>
      <c r="F11" s="10" t="str">
        <f>[7]DATA!H67</f>
        <v>Development and Management of Irrigation Program</v>
      </c>
      <c r="G11" s="10" t="str">
        <f>[7]DATA!I67</f>
        <v>I</v>
      </c>
      <c r="H11" s="10" t="str">
        <f>[7]DATA!J67</f>
        <v>Program Pengembangan dan Pengelolaan Irigasi</v>
      </c>
      <c r="I11" s="10">
        <f>[7]DATA!K67</f>
        <v>1</v>
      </c>
      <c r="J11" s="181"/>
      <c r="K11" s="34"/>
      <c r="L11" s="34"/>
      <c r="M11" s="3390">
        <v>1</v>
      </c>
      <c r="N11" s="1412" t="str">
        <f>[7]DATA!L67</f>
        <v>Integrated Participatory Development and Management of Irrigation Project - Phase I</v>
      </c>
      <c r="O11" s="1413">
        <f>[7]DATA!T66</f>
        <v>700000000</v>
      </c>
      <c r="P11" s="1414">
        <f>[7]DATA!U66</f>
        <v>700000000</v>
      </c>
      <c r="Q11" s="1598">
        <f>[7]DATA!V66</f>
        <v>70000000</v>
      </c>
      <c r="R11" s="1598">
        <f>[7]DATA!W66</f>
        <v>0</v>
      </c>
      <c r="S11" s="1438">
        <f t="shared" si="0"/>
        <v>770000000</v>
      </c>
      <c r="T11" s="1439"/>
      <c r="U11" s="1449" t="str">
        <f>[7]DATA!Y67</f>
        <v>ADB</v>
      </c>
      <c r="V11" s="77">
        <f>[7]DATA!AA67</f>
        <v>600000000</v>
      </c>
      <c r="W11" s="77">
        <v>0</v>
      </c>
      <c r="X11" s="1450" t="str">
        <f>[7]DATA!Y67</f>
        <v>ADB</v>
      </c>
      <c r="Y11" s="109">
        <v>600000000</v>
      </c>
      <c r="Z11" s="109" t="s">
        <v>117</v>
      </c>
      <c r="AA11" s="3254" t="s">
        <v>1185</v>
      </c>
      <c r="AB11" s="1474"/>
      <c r="AC11" s="1474"/>
      <c r="AD11" s="1474"/>
      <c r="AE11" s="1609"/>
      <c r="AF11" s="1610"/>
      <c r="AG11" s="3277" t="s">
        <v>1186</v>
      </c>
      <c r="AH11" s="1509">
        <f>[7]DATA!AT67</f>
        <v>600000000</v>
      </c>
      <c r="AI11" s="109" t="str">
        <f>[7]DATA!AU67</f>
        <v>ADB</v>
      </c>
      <c r="AJ11" s="1544" t="str">
        <f>[7]DATA!AW67</f>
        <v>-</v>
      </c>
      <c r="AK11" s="245" t="str">
        <f>[7]DATA!AM67</f>
        <v>2016; 2015</v>
      </c>
      <c r="AL11" s="1624" t="str">
        <f>[7]DATA!AN67</f>
        <v>siap</v>
      </c>
      <c r="AM11" s="1583" t="str">
        <f>[7]DATA!AO67</f>
        <v>belum ada keterangan</v>
      </c>
      <c r="AN11" s="1545">
        <f>[7]DATA!AQ67</f>
        <v>0</v>
      </c>
      <c r="AO11" s="1547" t="str">
        <f>[7]DATA!AR67</f>
        <v>-</v>
      </c>
      <c r="AQ11" s="10">
        <f t="shared" si="1"/>
        <v>0</v>
      </c>
      <c r="AR11" s="10">
        <f t="shared" si="2"/>
        <v>0</v>
      </c>
      <c r="AS11" s="10">
        <f t="shared" si="3"/>
        <v>0</v>
      </c>
      <c r="AT11" s="10">
        <f t="shared" si="4"/>
        <v>0</v>
      </c>
    </row>
    <row r="12" spans="1:46" ht="110.25" customHeight="1">
      <c r="A12" s="10">
        <f>[7]DATA!A70</f>
        <v>53</v>
      </c>
      <c r="B12" s="10">
        <f>[7]DATA!B70</f>
        <v>0</v>
      </c>
      <c r="C12" s="10" t="str">
        <f>[7]DATA!D70</f>
        <v>INFRASTRUKTUR</v>
      </c>
      <c r="D12" s="10">
        <f>[7]DATA!E70</f>
        <v>1</v>
      </c>
      <c r="E12" s="10" t="str">
        <f>[7]DATA!F70</f>
        <v>Kementerian Pekerjaan Umum dan Perumahan Rakyat</v>
      </c>
      <c r="F12" s="10" t="str">
        <f>[7]DATA!H70</f>
        <v>Development and Management of Irrigation Program</v>
      </c>
      <c r="G12" s="10" t="str">
        <f>[7]DATA!I70</f>
        <v>I</v>
      </c>
      <c r="H12" s="10" t="str">
        <f>[7]DATA!J70</f>
        <v>Program Pengembangan dan Pengelolaan Irigasi</v>
      </c>
      <c r="I12" s="10">
        <f>[7]DATA!K70</f>
        <v>1</v>
      </c>
      <c r="J12" s="181"/>
      <c r="K12" s="34"/>
      <c r="L12" s="34"/>
      <c r="M12" s="3392"/>
      <c r="N12" s="3578" t="str">
        <f>[7]DATA!L70</f>
        <v>Integrated Participatory Development and Management of Irrigation Project - Phase II</v>
      </c>
      <c r="O12" s="3596">
        <f>[7]DATA!T70</f>
        <v>500000000</v>
      </c>
      <c r="P12" s="3403">
        <f>[7]DATA!U70</f>
        <v>500000000</v>
      </c>
      <c r="Q12" s="3443">
        <f>[7]DATA!V69</f>
        <v>50000000</v>
      </c>
      <c r="R12" s="3443">
        <f>[7]DATA!W69</f>
        <v>0</v>
      </c>
      <c r="S12" s="3603">
        <f t="shared" si="0"/>
        <v>550000000</v>
      </c>
      <c r="T12" s="1439"/>
      <c r="U12" s="3488" t="str">
        <f>[7]DATA!Y70</f>
        <v>ADB</v>
      </c>
      <c r="V12" s="3414">
        <f>[7]DATA!AA70</f>
        <v>500000000</v>
      </c>
      <c r="W12" s="3414">
        <v>0</v>
      </c>
      <c r="X12" s="3618" t="str">
        <f>[7]DATA!Y70</f>
        <v>ADB</v>
      </c>
      <c r="Y12" s="109">
        <v>400000000</v>
      </c>
      <c r="Z12" s="109" t="s">
        <v>117</v>
      </c>
      <c r="AA12" s="1484" t="s">
        <v>879</v>
      </c>
      <c r="AB12" s="828"/>
      <c r="AC12" s="828"/>
      <c r="AD12" s="1485"/>
      <c r="AE12" s="1486"/>
      <c r="AF12" s="1486"/>
      <c r="AG12" s="3255" t="s">
        <v>1187</v>
      </c>
      <c r="AH12" s="1509">
        <f>[7]DATA!AT70</f>
        <v>400000000</v>
      </c>
      <c r="AI12" s="109" t="str">
        <f>[7]DATA!AU70</f>
        <v>ADB</v>
      </c>
      <c r="AJ12" s="1544" t="str">
        <f>[7]DATA!AW70</f>
        <v>nilai kegiatan yang tercantum dalam COBP ADB sebesar USD 400 juta.</v>
      </c>
      <c r="AK12" s="245">
        <f>[7]DATA!AM70</f>
        <v>0</v>
      </c>
      <c r="AL12" s="3502" t="str">
        <f>[7]DATA!AN70</f>
        <v>belum ada keterangan</v>
      </c>
      <c r="AM12" s="3502" t="str">
        <f>[7]DATA!AO70</f>
        <v>belum ada keterangan</v>
      </c>
      <c r="AN12" s="1545">
        <f>[7]DATA!AQ70</f>
        <v>0</v>
      </c>
      <c r="AO12" s="1547" t="str">
        <f>[7]DATA!AR70</f>
        <v>- untuk yang Phase II: belum ada penyiapan
- belum ada dokumen R/C</v>
      </c>
      <c r="AQ12" s="10">
        <f t="shared" si="1"/>
        <v>0</v>
      </c>
      <c r="AR12" s="10">
        <f t="shared" si="2"/>
        <v>0</v>
      </c>
      <c r="AS12" s="10">
        <f t="shared" si="3"/>
        <v>0</v>
      </c>
      <c r="AT12" s="10">
        <f t="shared" si="4"/>
        <v>0</v>
      </c>
    </row>
    <row r="13" spans="1:46" ht="83.25" customHeight="1">
      <c r="J13" s="181"/>
      <c r="K13" s="34"/>
      <c r="L13" s="34"/>
      <c r="M13" s="3391"/>
      <c r="N13" s="3572"/>
      <c r="O13" s="3597"/>
      <c r="P13" s="3404"/>
      <c r="Q13" s="3445"/>
      <c r="R13" s="3445"/>
      <c r="S13" s="3604"/>
      <c r="T13" s="1443"/>
      <c r="U13" s="3490"/>
      <c r="V13" s="3415"/>
      <c r="W13" s="3415"/>
      <c r="X13" s="3619"/>
      <c r="Y13" s="109">
        <v>100000000</v>
      </c>
      <c r="Z13" s="109" t="s">
        <v>170</v>
      </c>
      <c r="AA13" s="1484" t="s">
        <v>879</v>
      </c>
      <c r="AB13" s="828"/>
      <c r="AC13" s="828"/>
      <c r="AD13" s="1485"/>
      <c r="AE13" s="1486"/>
      <c r="AF13" s="1486"/>
      <c r="AG13" s="1508" t="s">
        <v>1188</v>
      </c>
      <c r="AH13" s="1509">
        <f>[7]DATA!AT71</f>
        <v>100000000</v>
      </c>
      <c r="AI13" s="109" t="str">
        <f>[7]DATA!AU71</f>
        <v>Belum Ada Indikasi</v>
      </c>
      <c r="AJ13" s="1520" t="str">
        <f>[7]DATA!AW71</f>
        <v>-</v>
      </c>
      <c r="AK13" s="245">
        <f>[7]DATA!AM71</f>
        <v>0</v>
      </c>
      <c r="AL13" s="3503"/>
      <c r="AM13" s="3503"/>
      <c r="AN13" s="1545">
        <f>[7]DATA!AQ71</f>
        <v>0</v>
      </c>
      <c r="AO13" s="1547" t="str">
        <f>[7]DATA!AR71</f>
        <v>- untuk yang Phase II: belum ada penyiapan
- belum ada dokumen R/C</v>
      </c>
      <c r="AQ13" s="10">
        <f t="shared" si="1"/>
        <v>0</v>
      </c>
      <c r="AR13" s="10">
        <f t="shared" si="2"/>
        <v>0</v>
      </c>
      <c r="AS13" s="10">
        <f t="shared" si="3"/>
        <v>0</v>
      </c>
      <c r="AT13" s="10">
        <f t="shared" si="4"/>
        <v>0</v>
      </c>
    </row>
    <row r="14" spans="1:46" ht="93.75" customHeight="1">
      <c r="A14" s="10">
        <f>[7]DATA!A72</f>
        <v>54</v>
      </c>
      <c r="B14" s="10">
        <f>[7]DATA!B72</f>
        <v>0</v>
      </c>
      <c r="C14" s="10" t="str">
        <f>[7]DATA!D72</f>
        <v>INFRASTRUKTUR</v>
      </c>
      <c r="D14" s="10">
        <f>[7]DATA!E72</f>
        <v>1</v>
      </c>
      <c r="E14" s="10" t="str">
        <f>[7]DATA!F72</f>
        <v>Kementerian Pekerjaan Umum dan Perumahan Rakyat</v>
      </c>
      <c r="F14" s="10" t="str">
        <f>[7]DATA!H72</f>
        <v>Development and Management of Irrigation Program</v>
      </c>
      <c r="G14" s="10" t="str">
        <f>[7]DATA!I72</f>
        <v>I</v>
      </c>
      <c r="H14" s="10" t="str">
        <f>[7]DATA!J72</f>
        <v>Program Pengembangan dan Pengelolaan Irigasi</v>
      </c>
      <c r="I14" s="10">
        <f>[7]DATA!K72</f>
        <v>2</v>
      </c>
      <c r="J14" s="181"/>
      <c r="K14" s="34"/>
      <c r="L14" s="34"/>
      <c r="M14" s="36">
        <v>2</v>
      </c>
      <c r="N14" s="199" t="str">
        <f>[7]DATA!L72</f>
        <v>The Urgent Rehabilitation of Strategic Irrigation for Western Region of Indonesia</v>
      </c>
      <c r="O14" s="1402">
        <f>[7]DATA!T72</f>
        <v>195778000</v>
      </c>
      <c r="P14" s="187">
        <f>[7]DATA!U72</f>
        <v>195778000</v>
      </c>
      <c r="Q14" s="1446" t="e">
        <f>[7]!BB[[#This Row],[PENDAMPING BB]]</f>
        <v>#REF!</v>
      </c>
      <c r="R14" s="1446" t="e">
        <f>[7]!BB[[#This Row],[HIBAH BB]]</f>
        <v>#REF!</v>
      </c>
      <c r="S14" s="1447" t="e">
        <f t="shared" ref="S14:S35" si="5">P14+Q14+R14</f>
        <v>#REF!</v>
      </c>
      <c r="T14" s="1448"/>
      <c r="U14" s="1449" t="str">
        <f>[7]DATA!Y72</f>
        <v>Korea</v>
      </c>
      <c r="V14" s="77">
        <f>[7]DATA!AA72</f>
        <v>195778000</v>
      </c>
      <c r="W14" s="77">
        <v>0</v>
      </c>
      <c r="X14" s="1450" t="str">
        <f>[7]DATA!Y72</f>
        <v>Korea</v>
      </c>
      <c r="Y14" s="109">
        <v>195778000</v>
      </c>
      <c r="Z14" s="109" t="s">
        <v>28</v>
      </c>
      <c r="AA14" s="1484" t="s">
        <v>1189</v>
      </c>
      <c r="AB14" s="828"/>
      <c r="AC14" s="828"/>
      <c r="AD14" s="1485"/>
      <c r="AE14" s="1486"/>
      <c r="AF14" s="1486"/>
      <c r="AG14" s="3253" t="s">
        <v>1190</v>
      </c>
      <c r="AH14" s="1509">
        <f>[7]DATA!AT72</f>
        <v>195778000</v>
      </c>
      <c r="AI14" s="109" t="str">
        <f>[7]DATA!AU72</f>
        <v>Korea</v>
      </c>
      <c r="AJ14" s="1544" t="str">
        <f>[7]DATA!AW72</f>
        <v>masuk rolling plan EDCF (Korea)</v>
      </c>
      <c r="AK14" s="1625" t="str">
        <f>[7]DATA!AM72</f>
        <v>2016; 2015</v>
      </c>
      <c r="AL14" s="1510" t="str">
        <f>[7]DATA!AN72</f>
        <v>belum ada keterangan</v>
      </c>
      <c r="AM14" s="1511" t="str">
        <f>[7]DATA!AO72</f>
        <v>belum ada keterangan</v>
      </c>
      <c r="AN14" s="1545">
        <f>[7]DATA!AQ72</f>
        <v>0</v>
      </c>
      <c r="AO14" s="1547" t="str">
        <f>[7]DATA!AR72</f>
        <v>-</v>
      </c>
      <c r="AQ14" s="10">
        <f t="shared" si="1"/>
        <v>0</v>
      </c>
      <c r="AR14" s="10">
        <f t="shared" si="2"/>
        <v>0</v>
      </c>
      <c r="AS14" s="10">
        <f t="shared" si="3"/>
        <v>0</v>
      </c>
      <c r="AT14" s="10">
        <f t="shared" si="4"/>
        <v>195778000</v>
      </c>
    </row>
    <row r="15" spans="1:46" ht="24.75" customHeight="1">
      <c r="A15" s="10">
        <f>[7]DATA!A75</f>
        <v>57</v>
      </c>
      <c r="B15" s="10">
        <f>[7]DATA!B75</f>
        <v>0</v>
      </c>
      <c r="C15" s="10" t="str">
        <f>[7]DATA!D75</f>
        <v>INFRASTRUKTUR</v>
      </c>
      <c r="D15" s="10">
        <f>[7]DATA!E75</f>
        <v>1</v>
      </c>
      <c r="E15" s="10" t="str">
        <f>[7]DATA!F75</f>
        <v>Kementerian Pekerjaan Umum dan Perumahan Rakyat</v>
      </c>
      <c r="F15" s="10" t="str">
        <f>[7]DATA!H75</f>
        <v>Development and Management of Irrigation Program</v>
      </c>
      <c r="G15" s="10" t="str">
        <f>[7]DATA!I75</f>
        <v>I</v>
      </c>
      <c r="H15" s="10" t="str">
        <f>[7]DATA!J75</f>
        <v>Program Pengembangan dan Pengelolaan Irigasi</v>
      </c>
      <c r="I15" s="10">
        <f>[7]DATA!K75</f>
        <v>5</v>
      </c>
      <c r="J15" s="181"/>
      <c r="K15" s="34"/>
      <c r="L15" s="34"/>
      <c r="M15" s="36">
        <v>3</v>
      </c>
      <c r="N15" s="199" t="str">
        <f>[7]DATA!L75</f>
        <v>Irrigation Development in North Sumatera</v>
      </c>
      <c r="O15" s="1402">
        <f>[7]DATA!T75</f>
        <v>350000000</v>
      </c>
      <c r="P15" s="187">
        <f>[7]DATA!U75</f>
        <v>350000000</v>
      </c>
      <c r="Q15" s="1446" t="e">
        <f>[7]!BB[[#This Row],[PENDAMPING BB]]</f>
        <v>#REF!</v>
      </c>
      <c r="R15" s="1446" t="e">
        <f>[7]!BB[[#This Row],[HIBAH BB]]</f>
        <v>#REF!</v>
      </c>
      <c r="S15" s="1447" t="e">
        <f t="shared" si="5"/>
        <v>#REF!</v>
      </c>
      <c r="T15" s="1448"/>
      <c r="U15" s="1449" t="str">
        <f>[7]DATA!Y75</f>
        <v>ADB</v>
      </c>
      <c r="V15" s="77">
        <f>[7]DATA!AA75</f>
        <v>350000000</v>
      </c>
      <c r="W15" s="77">
        <v>0</v>
      </c>
      <c r="X15" s="1450" t="str">
        <f>[7]DATA!Y75</f>
        <v>ADB</v>
      </c>
      <c r="Y15" s="109">
        <v>350000000</v>
      </c>
      <c r="Z15" s="109" t="s">
        <v>633</v>
      </c>
      <c r="AA15" s="1484" t="s">
        <v>879</v>
      </c>
      <c r="AB15" s="828"/>
      <c r="AC15" s="828"/>
      <c r="AD15" s="828"/>
      <c r="AE15" s="1572"/>
      <c r="AF15" s="1489"/>
      <c r="AG15" s="252"/>
      <c r="AH15" s="1509">
        <f>[7]DATA!AT75</f>
        <v>350000000</v>
      </c>
      <c r="AI15" s="109" t="str">
        <f>[7]DATA!AU75</f>
        <v>Belum Ada Indikasi</v>
      </c>
      <c r="AJ15" s="1544" t="str">
        <f>[7]DATA!AW75</f>
        <v>- usulan K/L lender: ADB
- tidak masuk COBP ADB</v>
      </c>
      <c r="AK15" s="245">
        <f>[7]DATA!AM75</f>
        <v>0</v>
      </c>
      <c r="AL15" s="1510" t="str">
        <f>[7]DATA!AN75</f>
        <v>dalam proses
(memiliki FS dan DED)</v>
      </c>
      <c r="AM15" s="1511" t="str">
        <f>[7]DATA!AO75</f>
        <v>belum ada keterangan</v>
      </c>
      <c r="AN15" s="1545">
        <f>[7]DATA!AQ75</f>
        <v>0</v>
      </c>
      <c r="AO15" s="1547" t="str">
        <f>[7]DATA!AR75</f>
        <v>belum ada dokumen R/C</v>
      </c>
      <c r="AQ15" s="10">
        <f t="shared" si="1"/>
        <v>0</v>
      </c>
      <c r="AR15" s="10">
        <f t="shared" si="2"/>
        <v>0</v>
      </c>
      <c r="AS15" s="10">
        <f t="shared" si="3"/>
        <v>350000000</v>
      </c>
      <c r="AT15" s="10">
        <f t="shared" si="4"/>
        <v>0</v>
      </c>
    </row>
    <row r="16" spans="1:46" ht="39.75" customHeight="1">
      <c r="A16" s="10">
        <f>[7]DATA!A76</f>
        <v>58</v>
      </c>
      <c r="B16" s="10">
        <f>[7]DATA!B76</f>
        <v>0</v>
      </c>
      <c r="C16" s="10" t="str">
        <f>[7]DATA!D76</f>
        <v>INFRASTRUKTUR</v>
      </c>
      <c r="D16" s="10">
        <f>[7]DATA!E76</f>
        <v>1</v>
      </c>
      <c r="E16" s="10" t="str">
        <f>[7]DATA!F76</f>
        <v>Kementerian Pekerjaan Umum dan Perumahan Rakyat</v>
      </c>
      <c r="F16" s="10" t="str">
        <f>[7]DATA!H76</f>
        <v>Development and Management of Irrigation Program</v>
      </c>
      <c r="G16" s="10" t="str">
        <f>[7]DATA!I76</f>
        <v>I</v>
      </c>
      <c r="H16" s="10" t="str">
        <f>[7]DATA!J76</f>
        <v>Program Pengembangan dan Pengelolaan Irigasi</v>
      </c>
      <c r="I16" s="10">
        <f>[7]DATA!K76</f>
        <v>6</v>
      </c>
      <c r="J16" s="181"/>
      <c r="K16" s="34"/>
      <c r="L16" s="34"/>
      <c r="M16" s="36">
        <v>4</v>
      </c>
      <c r="N16" s="199" t="str">
        <f>[7]DATA!L76</f>
        <v>Integrated Participatory Development and Management of Lhok Guci and Peureulak Irrigation Project</v>
      </c>
      <c r="O16" s="1402">
        <f>[7]DATA!T76</f>
        <v>161298000</v>
      </c>
      <c r="P16" s="187">
        <f>[7]DATA!U76</f>
        <v>161298000</v>
      </c>
      <c r="Q16" s="1446" t="e">
        <f>[7]!BB[[#This Row],[PENDAMPING BB]]</f>
        <v>#REF!</v>
      </c>
      <c r="R16" s="1446" t="e">
        <f>[7]!BB[[#This Row],[HIBAH BB]]</f>
        <v>#REF!</v>
      </c>
      <c r="S16" s="1447" t="e">
        <f t="shared" si="5"/>
        <v>#REF!</v>
      </c>
      <c r="T16" s="1448"/>
      <c r="U16" s="1449" t="str">
        <f>[7]DATA!Y76</f>
        <v>ADB</v>
      </c>
      <c r="V16" s="77">
        <f>[7]DATA!AA76</f>
        <v>161298000</v>
      </c>
      <c r="W16" s="77">
        <v>0</v>
      </c>
      <c r="X16" s="1450" t="str">
        <f>[7]DATA!Y76</f>
        <v>ADB</v>
      </c>
      <c r="Y16" s="109">
        <v>161298000</v>
      </c>
      <c r="Z16" s="109" t="s">
        <v>633</v>
      </c>
      <c r="AA16" s="1484" t="s">
        <v>879</v>
      </c>
      <c r="AB16" s="828"/>
      <c r="AC16" s="828"/>
      <c r="AD16" s="828"/>
      <c r="AE16" s="1575"/>
      <c r="AF16" s="1484"/>
      <c r="AG16" s="252"/>
      <c r="AH16" s="1509">
        <f>[7]DATA!AT76</f>
        <v>161298000</v>
      </c>
      <c r="AI16" s="109" t="str">
        <f>[7]DATA!AU76</f>
        <v>Belum Ada Indikasi</v>
      </c>
      <c r="AJ16" s="1544" t="str">
        <f>[7]DATA!AW76</f>
        <v>- usulan K/L lender: ADB
- tidak masuk COBP ADB</v>
      </c>
      <c r="AK16" s="245">
        <f>[7]DATA!AM76</f>
        <v>0</v>
      </c>
      <c r="AL16" s="1510" t="str">
        <f>[7]DATA!AN76</f>
        <v>dalam proses
(memiliki FS dan DED)</v>
      </c>
      <c r="AM16" s="1511" t="str">
        <f>[7]DATA!AO76</f>
        <v>belum ada keterangan</v>
      </c>
      <c r="AN16" s="1545">
        <f>[7]DATA!AQ76</f>
        <v>0</v>
      </c>
      <c r="AO16" s="1547" t="str">
        <f>[7]DATA!AR76</f>
        <v>belum ada dokumen R/C</v>
      </c>
      <c r="AQ16" s="10">
        <f t="shared" si="1"/>
        <v>0</v>
      </c>
      <c r="AR16" s="10">
        <f t="shared" si="2"/>
        <v>0</v>
      </c>
      <c r="AS16" s="10">
        <f t="shared" si="3"/>
        <v>161298000</v>
      </c>
      <c r="AT16" s="10">
        <f t="shared" si="4"/>
        <v>0</v>
      </c>
    </row>
    <row r="17" spans="1:46" ht="24" customHeight="1">
      <c r="A17" s="10">
        <f>[7]DATA!A77</f>
        <v>59</v>
      </c>
      <c r="B17" s="10">
        <f>[7]DATA!B77</f>
        <v>0</v>
      </c>
      <c r="C17" s="10" t="str">
        <f>[7]DATA!D77</f>
        <v>INFRASTRUKTUR</v>
      </c>
      <c r="D17" s="10">
        <f>[7]DATA!E77</f>
        <v>1</v>
      </c>
      <c r="E17" s="10" t="str">
        <f>[7]DATA!F77</f>
        <v>Kementerian Pekerjaan Umum dan Perumahan Rakyat</v>
      </c>
      <c r="F17" s="10" t="str">
        <f>[7]DATA!H77</f>
        <v>Development and Management of Irrigation Program</v>
      </c>
      <c r="G17" s="10" t="str">
        <f>[7]DATA!I77</f>
        <v>I</v>
      </c>
      <c r="H17" s="10" t="str">
        <f>[7]DATA!J77</f>
        <v>Program Pengembangan dan Pengelolaan Irigasi</v>
      </c>
      <c r="I17" s="10">
        <f>[7]DATA!K77</f>
        <v>7</v>
      </c>
      <c r="J17" s="181"/>
      <c r="K17" s="34"/>
      <c r="L17" s="34"/>
      <c r="M17" s="36">
        <v>5</v>
      </c>
      <c r="N17" s="199" t="str">
        <f>[7]DATA!L77</f>
        <v>Modernization Strategic Irrigation Project (MSIP)</v>
      </c>
      <c r="O17" s="1402">
        <f>[7]DATA!T77</f>
        <v>278355000</v>
      </c>
      <c r="P17" s="187">
        <f>[7]DATA!U77</f>
        <v>278355000</v>
      </c>
      <c r="Q17" s="1446" t="e">
        <f>[7]!BB[[#This Row],[PENDAMPING BB]]</f>
        <v>#REF!</v>
      </c>
      <c r="R17" s="1446" t="e">
        <f>[7]!BB[[#This Row],[HIBAH BB]]</f>
        <v>#REF!</v>
      </c>
      <c r="S17" s="1447" t="e">
        <f t="shared" si="5"/>
        <v>#REF!</v>
      </c>
      <c r="T17" s="1448"/>
      <c r="U17" s="1449" t="str">
        <f>[7]DATA!Y77</f>
        <v>JICA</v>
      </c>
      <c r="V17" s="77">
        <f>[7]DATA!AA77</f>
        <v>278355000</v>
      </c>
      <c r="W17" s="77">
        <v>0</v>
      </c>
      <c r="X17" s="1450" t="str">
        <f>[7]DATA!Y77</f>
        <v>JICA</v>
      </c>
      <c r="Y17" s="109">
        <v>278355000</v>
      </c>
      <c r="Z17" s="3620" t="s">
        <v>62</v>
      </c>
      <c r="AA17" s="3622" t="s">
        <v>1160</v>
      </c>
      <c r="AB17" s="828"/>
      <c r="AC17" s="828"/>
      <c r="AD17" s="828"/>
      <c r="AE17" s="1142"/>
      <c r="AF17" s="1142"/>
      <c r="AG17" s="3694" t="s">
        <v>1191</v>
      </c>
      <c r="AH17" s="1509">
        <f>[7]DATA!AT77</f>
        <v>278355000</v>
      </c>
      <c r="AI17" s="109" t="str">
        <f>[7]DATA!AU77</f>
        <v>JICA</v>
      </c>
      <c r="AJ17" s="1544" t="str">
        <f>[7]DATA!AW77</f>
        <v>-</v>
      </c>
      <c r="AK17" s="245">
        <f>[7]DATA!AM77</f>
        <v>0</v>
      </c>
      <c r="AL17" s="1510" t="str">
        <f>[7]DATA!AN77</f>
        <v>belum ada keterangan</v>
      </c>
      <c r="AM17" s="1511" t="str">
        <f>[7]DATA!AO77</f>
        <v>belum ada keterangan</v>
      </c>
      <c r="AN17" s="1545">
        <f>[7]DATA!AQ77</f>
        <v>0</v>
      </c>
      <c r="AO17" s="1547" t="str">
        <f>[7]DATA!AR77</f>
        <v>belum ada dokumen R/C</v>
      </c>
      <c r="AQ17" s="10">
        <f t="shared" si="1"/>
        <v>0</v>
      </c>
      <c r="AR17" s="10">
        <f t="shared" si="2"/>
        <v>0</v>
      </c>
      <c r="AS17" s="10">
        <f t="shared" si="3"/>
        <v>0</v>
      </c>
      <c r="AT17" s="10">
        <f t="shared" si="4"/>
        <v>0</v>
      </c>
    </row>
    <row r="18" spans="1:46" ht="99" customHeight="1">
      <c r="A18" s="10">
        <f>[7]DATA!A78</f>
        <v>60</v>
      </c>
      <c r="B18" s="10">
        <f>[7]DATA!B78</f>
        <v>0</v>
      </c>
      <c r="C18" s="10" t="str">
        <f>[7]DATA!D78</f>
        <v>INFRASTRUKTUR</v>
      </c>
      <c r="D18" s="10">
        <f>[7]DATA!E78</f>
        <v>1</v>
      </c>
      <c r="E18" s="10" t="str">
        <f>[7]DATA!F78</f>
        <v>Kementerian Pekerjaan Umum dan Perumahan Rakyat</v>
      </c>
      <c r="F18" s="10" t="str">
        <f>[7]DATA!H78</f>
        <v>Development and Management of Irrigation Program</v>
      </c>
      <c r="G18" s="10" t="str">
        <f>[7]DATA!I78</f>
        <v>I</v>
      </c>
      <c r="H18" s="10" t="str">
        <f>[7]DATA!J78</f>
        <v>Program Pengembangan dan Pengelolaan Irigasi</v>
      </c>
      <c r="I18" s="10">
        <f>[7]DATA!K78</f>
        <v>8</v>
      </c>
      <c r="J18" s="181"/>
      <c r="K18" s="34"/>
      <c r="L18" s="34"/>
      <c r="M18" s="36">
        <v>6</v>
      </c>
      <c r="N18" s="199" t="str">
        <f>[7]DATA!L78</f>
        <v>Urgent Rehabilitation of  Irrigation Project in Indonesia (URIP)</v>
      </c>
      <c r="O18" s="1402">
        <f>[7]DATA!T78</f>
        <v>272100000</v>
      </c>
      <c r="P18" s="187">
        <f>[7]DATA!U78</f>
        <v>272100000</v>
      </c>
      <c r="Q18" s="1446" t="e">
        <f>[7]!BB[[#This Row],[PENDAMPING BB]]</f>
        <v>#REF!</v>
      </c>
      <c r="R18" s="1446" t="e">
        <f>[7]!BB[[#This Row],[HIBAH BB]]</f>
        <v>#REF!</v>
      </c>
      <c r="S18" s="1447" t="e">
        <f t="shared" si="5"/>
        <v>#REF!</v>
      </c>
      <c r="T18" s="1448"/>
      <c r="U18" s="1449" t="str">
        <f>[7]DATA!Y78</f>
        <v>Bank Dunia</v>
      </c>
      <c r="V18" s="77">
        <f>[7]DATA!AA78</f>
        <v>272100000</v>
      </c>
      <c r="W18" s="77">
        <v>0</v>
      </c>
      <c r="X18" s="1450" t="str">
        <f>[7]DATA!Y78</f>
        <v>Bank Dunia</v>
      </c>
      <c r="Y18" s="109">
        <v>272100000</v>
      </c>
      <c r="Z18" s="3621"/>
      <c r="AA18" s="3623"/>
      <c r="AB18" s="828"/>
      <c r="AC18" s="828"/>
      <c r="AD18" s="828"/>
      <c r="AE18" s="1142"/>
      <c r="AF18" s="1142"/>
      <c r="AG18" s="3695"/>
      <c r="AH18" s="1509">
        <f>[7]DATA!AT78</f>
        <v>272100000</v>
      </c>
      <c r="AI18" s="109" t="str">
        <f>[7]DATA!AU78</f>
        <v>Bank Dunia</v>
      </c>
      <c r="AJ18" s="1544" t="str">
        <f>[7]DATA!AW78</f>
        <v>-</v>
      </c>
      <c r="AK18" s="245">
        <f>[7]DATA!AM78</f>
        <v>0</v>
      </c>
      <c r="AL18" s="1510" t="str">
        <f>[7]DATA!AN78</f>
        <v>belum ada keterangan</v>
      </c>
      <c r="AM18" s="1511" t="str">
        <f>[7]DATA!AO78</f>
        <v>belum ada keterangan</v>
      </c>
      <c r="AN18" s="1545">
        <f>[7]DATA!AQ78</f>
        <v>0</v>
      </c>
      <c r="AO18" s="1547" t="str">
        <f>[7]DATA!AR78</f>
        <v>belum ada dokumen R/C</v>
      </c>
      <c r="AQ18" s="10">
        <f t="shared" si="1"/>
        <v>0</v>
      </c>
      <c r="AR18" s="10">
        <f t="shared" si="2"/>
        <v>0</v>
      </c>
      <c r="AS18" s="10">
        <f t="shared" si="3"/>
        <v>0</v>
      </c>
      <c r="AT18" s="10">
        <f t="shared" si="4"/>
        <v>0</v>
      </c>
    </row>
    <row r="19" spans="1:46" ht="27" customHeight="1">
      <c r="A19" s="10">
        <f>[7]DATA!A79</f>
        <v>61</v>
      </c>
      <c r="B19" s="10">
        <f>[7]DATA!B79</f>
        <v>0</v>
      </c>
      <c r="C19" s="10" t="str">
        <f>[7]DATA!D79</f>
        <v>INFRASTRUKTUR</v>
      </c>
      <c r="D19" s="10">
        <f>[7]DATA!E79</f>
        <v>1</v>
      </c>
      <c r="E19" s="10" t="str">
        <f>[7]DATA!F79</f>
        <v>Kementerian Pekerjaan Umum dan Perumahan Rakyat</v>
      </c>
      <c r="F19" s="10" t="str">
        <f>[7]DATA!H79</f>
        <v>Development and Management of Irrigation Program</v>
      </c>
      <c r="G19" s="10" t="str">
        <f>[7]DATA!I79</f>
        <v>I</v>
      </c>
      <c r="H19" s="10" t="str">
        <f>[7]DATA!J79</f>
        <v>Program Pengembangan dan Pengelolaan Irigasi</v>
      </c>
      <c r="I19" s="10">
        <f>[7]DATA!K79</f>
        <v>9</v>
      </c>
      <c r="J19" s="181"/>
      <c r="K19" s="34"/>
      <c r="L19" s="34"/>
      <c r="M19" s="36">
        <v>7</v>
      </c>
      <c r="N19" s="199" t="str">
        <f>[7]DATA!L79</f>
        <v>Revitalization Groundwater Irrigation in Indonesia</v>
      </c>
      <c r="O19" s="1402">
        <f>[7]DATA!T79</f>
        <v>100000000</v>
      </c>
      <c r="P19" s="187">
        <f>[7]DATA!U79</f>
        <v>100000000</v>
      </c>
      <c r="Q19" s="1446" t="e">
        <f>[7]!BB[[#This Row],[PENDAMPING BB]]</f>
        <v>#REF!</v>
      </c>
      <c r="R19" s="1446" t="e">
        <f>[7]!BB[[#This Row],[HIBAH BB]]</f>
        <v>#REF!</v>
      </c>
      <c r="S19" s="1447" t="e">
        <f t="shared" si="5"/>
        <v>#REF!</v>
      </c>
      <c r="T19" s="1448"/>
      <c r="U19" s="1449" t="str">
        <f>[7]DATA!Y79</f>
        <v>JICA</v>
      </c>
      <c r="V19" s="77">
        <f>[7]DATA!AA79</f>
        <v>100000000</v>
      </c>
      <c r="W19" s="77">
        <v>0</v>
      </c>
      <c r="X19" s="1450" t="str">
        <f>[7]DATA!Y79</f>
        <v>JICA</v>
      </c>
      <c r="Y19" s="109">
        <v>100000000</v>
      </c>
      <c r="Z19" s="109" t="s">
        <v>28</v>
      </c>
      <c r="AA19" s="1484" t="s">
        <v>879</v>
      </c>
      <c r="AB19" s="828"/>
      <c r="AC19" s="828"/>
      <c r="AD19" s="828"/>
      <c r="AE19" s="1575"/>
      <c r="AF19" s="1484"/>
      <c r="AG19" s="252" t="s">
        <v>1152</v>
      </c>
      <c r="AH19" s="1509">
        <f>[7]DATA!AT79</f>
        <v>100000000</v>
      </c>
      <c r="AI19" s="109" t="str">
        <f>[7]DATA!AU79</f>
        <v>JICA</v>
      </c>
      <c r="AJ19" s="1544" t="str">
        <f>[7]DATA!AW79</f>
        <v>-</v>
      </c>
      <c r="AK19" s="245">
        <f>[7]DATA!AM79</f>
        <v>0</v>
      </c>
      <c r="AL19" s="1510" t="str">
        <f>[7]DATA!AN79</f>
        <v>belum ada keterangan</v>
      </c>
      <c r="AM19" s="1511" t="str">
        <f>[7]DATA!AO79</f>
        <v>belum ada keterangan</v>
      </c>
      <c r="AN19" s="1545">
        <f>[7]DATA!AQ79</f>
        <v>0</v>
      </c>
      <c r="AO19" s="1547" t="str">
        <f>[7]DATA!AR79</f>
        <v>belum ada dokumen R/C</v>
      </c>
      <c r="AQ19" s="10">
        <f t="shared" si="1"/>
        <v>0</v>
      </c>
      <c r="AR19" s="10">
        <f t="shared" si="2"/>
        <v>0</v>
      </c>
      <c r="AS19" s="10">
        <f t="shared" si="3"/>
        <v>0</v>
      </c>
      <c r="AT19" s="10">
        <f t="shared" si="4"/>
        <v>100000000</v>
      </c>
    </row>
    <row r="20" spans="1:46" s="1587" customFormat="1" ht="38.25" customHeight="1">
      <c r="J20" s="1590"/>
      <c r="K20" s="1591"/>
      <c r="L20" s="1592"/>
      <c r="M20" s="36">
        <v>8</v>
      </c>
      <c r="N20" s="1537" t="s">
        <v>182</v>
      </c>
      <c r="O20" s="1593">
        <v>100000000</v>
      </c>
      <c r="P20" s="1453">
        <v>100000000</v>
      </c>
      <c r="Q20" s="1446"/>
      <c r="R20" s="1446"/>
      <c r="S20" s="1600"/>
      <c r="T20" s="1601"/>
      <c r="U20" s="1602"/>
      <c r="V20" s="1603"/>
      <c r="W20" s="1603"/>
      <c r="X20" s="1604"/>
      <c r="Y20" s="1613">
        <v>61900000</v>
      </c>
      <c r="Z20" s="1613" t="s">
        <v>633</v>
      </c>
      <c r="AA20" s="1614" t="s">
        <v>879</v>
      </c>
      <c r="AB20" s="1615"/>
      <c r="AC20" s="1615"/>
      <c r="AD20" s="1615"/>
      <c r="AE20" s="1616"/>
      <c r="AF20" s="1614"/>
      <c r="AG20" s="1626"/>
      <c r="AH20" s="1627">
        <f>100000000-38100000</f>
        <v>61900000</v>
      </c>
      <c r="AI20" s="1613" t="s">
        <v>633</v>
      </c>
      <c r="AJ20" s="1628"/>
      <c r="AK20" s="1629"/>
      <c r="AL20" s="1630"/>
      <c r="AM20" s="1631"/>
      <c r="AN20" s="1632"/>
      <c r="AO20" s="1635"/>
      <c r="AQ20" s="10">
        <f t="shared" si="1"/>
        <v>0</v>
      </c>
      <c r="AR20" s="10">
        <f t="shared" si="2"/>
        <v>0</v>
      </c>
      <c r="AS20" s="10">
        <f t="shared" si="3"/>
        <v>61900000</v>
      </c>
      <c r="AT20" s="10">
        <f t="shared" si="4"/>
        <v>0</v>
      </c>
    </row>
    <row r="21" spans="1:46" s="5" customFormat="1" ht="33.75" customHeight="1">
      <c r="J21" s="180"/>
      <c r="K21" s="50"/>
      <c r="L21" s="30" t="s">
        <v>194</v>
      </c>
      <c r="M21" s="31" t="str">
        <f>[7]DATA!J81</f>
        <v>Program Penyediaan dan Pengelolaan Air Baku</v>
      </c>
      <c r="N21" s="1419"/>
      <c r="O21" s="214">
        <f>SUM(O22:O24)</f>
        <v>623862000</v>
      </c>
      <c r="P21" s="197">
        <f>SUM(P22:P24)</f>
        <v>623862000</v>
      </c>
      <c r="Q21" s="1436">
        <f>SUM(Q22:Q24)</f>
        <v>201074000</v>
      </c>
      <c r="R21" s="1436">
        <f>SUM(R22:R24)</f>
        <v>0</v>
      </c>
      <c r="S21" s="244">
        <f t="shared" si="5"/>
        <v>824936000</v>
      </c>
      <c r="T21" s="1437"/>
      <c r="U21" s="198"/>
      <c r="V21" s="81">
        <f>SUM(V22:V24)</f>
        <v>623862000</v>
      </c>
      <c r="W21" s="81">
        <f>SUM(W22:W24)</f>
        <v>0</v>
      </c>
      <c r="X21" s="243">
        <f>SUM(X22:X24)</f>
        <v>0</v>
      </c>
      <c r="Y21" s="81">
        <f>Y22+Y23+Y24</f>
        <v>621862000</v>
      </c>
      <c r="Z21" s="81"/>
      <c r="AA21" s="1469"/>
      <c r="AB21" s="1470"/>
      <c r="AC21" s="1470"/>
      <c r="AD21" s="1470"/>
      <c r="AE21" s="1573"/>
      <c r="AF21" s="1469"/>
      <c r="AG21" s="1577"/>
      <c r="AH21" s="198">
        <f>SUM(AH22:AH24)</f>
        <v>621862000</v>
      </c>
      <c r="AI21" s="81">
        <f>SUM(AI22:AI24)</f>
        <v>0</v>
      </c>
      <c r="AJ21" s="214"/>
      <c r="AK21" s="1505"/>
      <c r="AL21" s="1506"/>
      <c r="AM21" s="169"/>
      <c r="AN21" s="1507"/>
      <c r="AO21" s="1530"/>
      <c r="AQ21" s="10">
        <f t="shared" si="1"/>
        <v>0</v>
      </c>
      <c r="AR21" s="10">
        <f t="shared" si="2"/>
        <v>0</v>
      </c>
      <c r="AS21" s="10">
        <f t="shared" si="3"/>
        <v>0</v>
      </c>
      <c r="AT21" s="10">
        <f t="shared" si="4"/>
        <v>0</v>
      </c>
    </row>
    <row r="22" spans="1:46" ht="84" customHeight="1">
      <c r="A22" s="10">
        <f>[7]DATA!A81</f>
        <v>63</v>
      </c>
      <c r="B22" s="10">
        <f>[7]DATA!B81</f>
        <v>0</v>
      </c>
      <c r="C22" s="10" t="str">
        <f>[7]DATA!D81</f>
        <v>INFRASTRUKTUR</v>
      </c>
      <c r="D22" s="10">
        <f>[7]DATA!E81</f>
        <v>1</v>
      </c>
      <c r="E22" s="10" t="str">
        <f>[7]DATA!F81</f>
        <v>Kementerian Pekerjaan Umum dan Perumahan Rakyat</v>
      </c>
      <c r="F22" s="10" t="str">
        <f>[7]DATA!H81</f>
        <v>Provision and Management of Bulk Water Supply Program</v>
      </c>
      <c r="G22" s="10" t="str">
        <f>[7]DATA!I81</f>
        <v>J</v>
      </c>
      <c r="H22" s="10" t="str">
        <f>[7]DATA!J81</f>
        <v>Program Penyediaan dan Pengelolaan Air Baku</v>
      </c>
      <c r="I22" s="10">
        <f>[7]DATA!K81</f>
        <v>1</v>
      </c>
      <c r="J22" s="181"/>
      <c r="K22" s="34"/>
      <c r="L22" s="35"/>
      <c r="M22" s="36">
        <v>9</v>
      </c>
      <c r="N22" s="199" t="str">
        <f>[7]DATA!L81</f>
        <v>Integrated Citarum Water Resources Management Investment Program II</v>
      </c>
      <c r="O22" s="1402">
        <f>[7]DATA!T81</f>
        <v>200000000</v>
      </c>
      <c r="P22" s="187">
        <f>[7]DATA!U81</f>
        <v>200000000</v>
      </c>
      <c r="Q22" s="1446">
        <f>[7]DATA!V81</f>
        <v>20000000</v>
      </c>
      <c r="R22" s="1446">
        <f>[7]DATA!W81</f>
        <v>0</v>
      </c>
      <c r="S22" s="1447">
        <f t="shared" si="5"/>
        <v>220000000</v>
      </c>
      <c r="T22" s="1448"/>
      <c r="U22" s="1449" t="str">
        <f>[7]DATA!Y81</f>
        <v>ADB</v>
      </c>
      <c r="V22" s="77">
        <f>[7]DATA!AA81</f>
        <v>200000000</v>
      </c>
      <c r="W22" s="77">
        <v>0</v>
      </c>
      <c r="X22" s="1450" t="str">
        <f>[7]DATA!Y81</f>
        <v>ADB</v>
      </c>
      <c r="Y22" s="109">
        <v>200000000</v>
      </c>
      <c r="Z22" s="109" t="s">
        <v>633</v>
      </c>
      <c r="AA22" s="1484" t="s">
        <v>879</v>
      </c>
      <c r="AB22" s="828"/>
      <c r="AC22" s="828"/>
      <c r="AD22" s="828"/>
      <c r="AE22" s="1142"/>
      <c r="AF22" s="1142"/>
      <c r="AG22" s="1623" t="s">
        <v>1192</v>
      </c>
      <c r="AH22" s="1509">
        <f>[7]DATA!AT81</f>
        <v>200000000</v>
      </c>
      <c r="AI22" s="109" t="str">
        <f>[7]DATA!AU81</f>
        <v>ADB</v>
      </c>
      <c r="AJ22" s="1544" t="str">
        <f>[7]DATA!AW81</f>
        <v>-</v>
      </c>
      <c r="AK22" s="245">
        <f>[7]DATA!AM81</f>
        <v>0</v>
      </c>
      <c r="AL22" s="1510" t="str">
        <f>[7]DATA!AN81</f>
        <v>dalam proses
(memiliki FS dan DED)</v>
      </c>
      <c r="AM22" s="1511" t="str">
        <f>[7]DATA!AO81</f>
        <v>dalam proses
(perencanaan)</v>
      </c>
      <c r="AN22" s="1545">
        <f>[7]DATA!AQ81</f>
        <v>0</v>
      </c>
      <c r="AO22" s="1547" t="str">
        <f>[7]DATA!AR81</f>
        <v>belum ada dokumen R/C</v>
      </c>
      <c r="AQ22" s="10">
        <f t="shared" si="1"/>
        <v>0</v>
      </c>
      <c r="AR22" s="10">
        <f t="shared" si="2"/>
        <v>0</v>
      </c>
      <c r="AS22" s="10">
        <f t="shared" si="3"/>
        <v>200000000</v>
      </c>
      <c r="AT22" s="10">
        <f t="shared" si="4"/>
        <v>0</v>
      </c>
    </row>
    <row r="23" spans="1:46" ht="66" customHeight="1">
      <c r="A23" s="10">
        <f>[7]DATA!A82</f>
        <v>64</v>
      </c>
      <c r="B23" s="10">
        <f>[7]DATA!B82</f>
        <v>0</v>
      </c>
      <c r="C23" s="10" t="str">
        <f>[7]DATA!D82</f>
        <v>INFRASTRUKTUR</v>
      </c>
      <c r="D23" s="10">
        <f>[7]DATA!E82</f>
        <v>1</v>
      </c>
      <c r="E23" s="10" t="str">
        <f>[7]DATA!F82</f>
        <v>Kementerian Pekerjaan Umum dan Perumahan Rakyat</v>
      </c>
      <c r="F23" s="10" t="str">
        <f>[7]DATA!H82</f>
        <v>Provision and Management of Bulk Water Supply Program</v>
      </c>
      <c r="G23" s="10" t="str">
        <f>[7]DATA!I82</f>
        <v>I</v>
      </c>
      <c r="H23" s="10" t="str">
        <f>[7]DATA!J82</f>
        <v>Program Penyediaan dan Pengelolaan Air Baku</v>
      </c>
      <c r="I23" s="10">
        <f>[7]DATA!K82</f>
        <v>2</v>
      </c>
      <c r="J23" s="181"/>
      <c r="K23" s="34"/>
      <c r="L23" s="34"/>
      <c r="M23" s="36">
        <v>10</v>
      </c>
      <c r="N23" s="199" t="str">
        <f>[7]DATA!L82</f>
        <v>Karian Dam-Serpong Water Conveyance and Supply System Project</v>
      </c>
      <c r="O23" s="1402">
        <f>[7]DATA!T82</f>
        <v>373862000</v>
      </c>
      <c r="P23" s="187">
        <f>[7]DATA!U82</f>
        <v>373862000</v>
      </c>
      <c r="Q23" s="1446">
        <f>[7]DATA!V82</f>
        <v>181074000</v>
      </c>
      <c r="R23" s="1446">
        <f>[7]DATA!W82</f>
        <v>0</v>
      </c>
      <c r="S23" s="1447">
        <f t="shared" si="5"/>
        <v>554936000</v>
      </c>
      <c r="T23" s="1448"/>
      <c r="U23" s="1449" t="str">
        <f>[7]DATA!Y82</f>
        <v>Korea</v>
      </c>
      <c r="V23" s="77">
        <f>[7]DATA!AA82</f>
        <v>373862000</v>
      </c>
      <c r="W23" s="77">
        <v>0</v>
      </c>
      <c r="X23" s="1450" t="str">
        <f>[7]DATA!Y82</f>
        <v>Korea</v>
      </c>
      <c r="Y23" s="109">
        <v>373862000</v>
      </c>
      <c r="Z23" s="109" t="s">
        <v>28</v>
      </c>
      <c r="AA23" s="1484" t="s">
        <v>879</v>
      </c>
      <c r="AB23" s="828"/>
      <c r="AC23" s="828"/>
      <c r="AD23" s="828"/>
      <c r="AE23" s="1142"/>
      <c r="AF23" s="1142"/>
      <c r="AG23" s="1623" t="s">
        <v>1193</v>
      </c>
      <c r="AH23" s="1509">
        <f>[7]DATA!AT82</f>
        <v>373862000</v>
      </c>
      <c r="AI23" s="109" t="str">
        <f>[7]DATA!AU82</f>
        <v>Korea</v>
      </c>
      <c r="AJ23" s="1544" t="str">
        <f>[7]DATA!AW82</f>
        <v>masuk rolling plan EDCF (Korea)</v>
      </c>
      <c r="AK23" s="245">
        <f>[7]DATA!AM82</f>
        <v>0</v>
      </c>
      <c r="AL23" s="1510" t="str">
        <f>[7]DATA!AN82</f>
        <v>dalam proses
(memiliki FS)</v>
      </c>
      <c r="AM23" s="1511" t="str">
        <f>[7]DATA!AO82</f>
        <v>dalam proses
(perencanaan)</v>
      </c>
      <c r="AN23" s="1545">
        <f>[7]DATA!AQ82</f>
        <v>0</v>
      </c>
      <c r="AO23" s="1547" t="str">
        <f>[7]DATA!AR82</f>
        <v>belum ada dokumen R/C</v>
      </c>
      <c r="AQ23" s="10">
        <f t="shared" si="1"/>
        <v>0</v>
      </c>
      <c r="AR23" s="10">
        <f t="shared" si="2"/>
        <v>0</v>
      </c>
      <c r="AS23" s="10">
        <f t="shared" si="3"/>
        <v>0</v>
      </c>
      <c r="AT23" s="10">
        <f t="shared" si="4"/>
        <v>373862000</v>
      </c>
    </row>
    <row r="24" spans="1:46" ht="36" customHeight="1">
      <c r="A24" s="10">
        <f>[7]DATA!A83</f>
        <v>65</v>
      </c>
      <c r="B24" s="10">
        <f>[7]DATA!B83</f>
        <v>0</v>
      </c>
      <c r="C24" s="10" t="str">
        <f>[7]DATA!D83</f>
        <v>INFRASTRUKTUR</v>
      </c>
      <c r="D24" s="10">
        <f>[7]DATA!E83</f>
        <v>1</v>
      </c>
      <c r="E24" s="10" t="str">
        <f>[7]DATA!F83</f>
        <v>Kementerian Pekerjaan Umum dan Perumahan Rakyat</v>
      </c>
      <c r="F24" s="10" t="str">
        <f>[7]DATA!H83</f>
        <v>Provision and Management of Bulk Water Supply Program</v>
      </c>
      <c r="G24" s="10" t="str">
        <f>[7]DATA!I83</f>
        <v>I</v>
      </c>
      <c r="H24" s="10" t="str">
        <f>[7]DATA!J83</f>
        <v>Program Penyediaan dan Pengelolaan Air Baku</v>
      </c>
      <c r="I24" s="10">
        <f>[7]DATA!K83</f>
        <v>3</v>
      </c>
      <c r="J24" s="181"/>
      <c r="K24" s="34"/>
      <c r="L24" s="54"/>
      <c r="M24" s="36">
        <v>11</v>
      </c>
      <c r="N24" s="1537" t="str">
        <f>[7]DATA!L83</f>
        <v>Engineering Service for Bulk Water and Water Supply Development Project</v>
      </c>
      <c r="O24" s="1402">
        <f>[7]DATA!T83</f>
        <v>50000000</v>
      </c>
      <c r="P24" s="187">
        <f>[7]DATA!U83</f>
        <v>50000000</v>
      </c>
      <c r="Q24" s="1446">
        <f>[7]DATA!V83</f>
        <v>0</v>
      </c>
      <c r="R24" s="1446">
        <f>[7]DATA!W83</f>
        <v>0</v>
      </c>
      <c r="S24" s="1447">
        <f t="shared" si="5"/>
        <v>50000000</v>
      </c>
      <c r="T24" s="1448"/>
      <c r="U24" s="1449" t="str">
        <f>[7]DATA!Y83</f>
        <v>ADB</v>
      </c>
      <c r="V24" s="77">
        <f>[7]DATA!AA83</f>
        <v>50000000</v>
      </c>
      <c r="W24" s="77">
        <v>0</v>
      </c>
      <c r="X24" s="1450" t="str">
        <f>[7]DATA!Y83</f>
        <v>ADB</v>
      </c>
      <c r="Y24" s="109">
        <v>48000000</v>
      </c>
      <c r="Z24" s="109" t="s">
        <v>633</v>
      </c>
      <c r="AA24" s="1484" t="s">
        <v>879</v>
      </c>
      <c r="AB24" s="828"/>
      <c r="AC24" s="828"/>
      <c r="AD24" s="828"/>
      <c r="AE24" s="1575"/>
      <c r="AF24" s="1484"/>
      <c r="AG24" s="252"/>
      <c r="AH24" s="1509">
        <v>48000000</v>
      </c>
      <c r="AI24" s="109" t="s">
        <v>633</v>
      </c>
      <c r="AJ24" s="1544" t="str">
        <f>[7]DATA!AW83</f>
        <v>-</v>
      </c>
      <c r="AK24" s="1625" t="str">
        <f>[7]DATA!AM83</f>
        <v>2016; 2015</v>
      </c>
      <c r="AL24" s="1510" t="str">
        <f>[7]DATA!AN83</f>
        <v>siap</v>
      </c>
      <c r="AM24" s="1511" t="str">
        <f>[7]DATA!AO83</f>
        <v>tidak butuh lahan</v>
      </c>
      <c r="AN24" s="1545">
        <f>[7]DATA!AQ83</f>
        <v>0</v>
      </c>
      <c r="AO24" s="1547" t="str">
        <f>[7]DATA!AR83</f>
        <v>- sudah GB 2016  
- Nilai pinjaman di GB USD 2.000 ribu</v>
      </c>
      <c r="AQ24" s="10">
        <f t="shared" si="1"/>
        <v>0</v>
      </c>
      <c r="AR24" s="10">
        <f t="shared" si="2"/>
        <v>0</v>
      </c>
      <c r="AS24" s="10">
        <f t="shared" si="3"/>
        <v>48000000</v>
      </c>
      <c r="AT24" s="10">
        <f t="shared" si="4"/>
        <v>0</v>
      </c>
    </row>
    <row r="25" spans="1:46" s="5" customFormat="1" ht="33.75" customHeight="1">
      <c r="J25" s="180"/>
      <c r="K25" s="50"/>
      <c r="L25" s="30" t="s">
        <v>219</v>
      </c>
      <c r="M25" s="31" t="str">
        <f>[7]DATA!J84</f>
        <v>Program Pembangunan Waduk</v>
      </c>
      <c r="N25" s="1419"/>
      <c r="O25" s="214" t="e">
        <f>O26+O27+O33+O28+O29+O30+O31+O32+O34+O35+#REF!</f>
        <v>#REF!</v>
      </c>
      <c r="P25" s="197" t="e">
        <f>P26+P27+P33+P28+P29+P30+P31+P32+P34+P35+#REF!</f>
        <v>#REF!</v>
      </c>
      <c r="Q25" s="197">
        <f>SUM(Q26:Q37)</f>
        <v>963200000</v>
      </c>
      <c r="R25" s="197" t="e">
        <f>R26+R27+R33+R28+R29+R30+R31+R32+R34+R35+#REF!</f>
        <v>#REF!</v>
      </c>
      <c r="S25" s="244" t="e">
        <f>S26+S27+S33+S28+S29+S30+S31+S32+S34+S35+#REF!</f>
        <v>#REF!</v>
      </c>
      <c r="T25" s="1437"/>
      <c r="U25" s="198"/>
      <c r="V25" s="81" t="e">
        <f>V26+V27+V28+V29+V30+V31+V32+V33+V34+V35+#REF!+V36+V37</f>
        <v>#REF!</v>
      </c>
      <c r="W25" s="81" t="e">
        <f>W26+W27+W28+W29+W30+W31+W32+W33+W34+W35+#REF!+W36+W37</f>
        <v>#REF!</v>
      </c>
      <c r="X25" s="243">
        <f>SUM(X28:X35)</f>
        <v>0</v>
      </c>
      <c r="Y25" s="81">
        <f>Y26+Y27+Y28+Y29+Y30+Y31+Y32+Y33+Y34+Y35+Y36+Y37</f>
        <v>2131820000</v>
      </c>
      <c r="Z25" s="81"/>
      <c r="AA25" s="1469"/>
      <c r="AB25" s="1470"/>
      <c r="AC25" s="1470"/>
      <c r="AD25" s="1470"/>
      <c r="AE25" s="1573"/>
      <c r="AF25" s="1469"/>
      <c r="AG25" s="1577"/>
      <c r="AH25" s="198" t="e">
        <f>AH26+AH27+AH28+AH29+AH30+AH31+AH32+AH33+AH34+AH35+#REF!+AH36+AH37</f>
        <v>#REF!</v>
      </c>
      <c r="AI25" s="81">
        <f>SUM(AI28:AI35)</f>
        <v>0</v>
      </c>
      <c r="AJ25" s="214"/>
      <c r="AK25" s="1505"/>
      <c r="AL25" s="1506"/>
      <c r="AM25" s="169"/>
      <c r="AN25" s="1507"/>
      <c r="AO25" s="1530"/>
      <c r="AQ25" s="10">
        <f t="shared" si="1"/>
        <v>0</v>
      </c>
      <c r="AR25" s="10">
        <f t="shared" si="2"/>
        <v>0</v>
      </c>
      <c r="AS25" s="10">
        <f t="shared" si="3"/>
        <v>0</v>
      </c>
      <c r="AT25" s="10">
        <f t="shared" si="4"/>
        <v>0</v>
      </c>
    </row>
    <row r="26" spans="1:46" s="1588" customFormat="1" ht="26.25" customHeight="1">
      <c r="J26" s="1594"/>
      <c r="K26" s="1595"/>
      <c r="L26" s="1596"/>
      <c r="M26" s="64">
        <v>12</v>
      </c>
      <c r="N26" s="271" t="str">
        <f>[7]DATA!L84</f>
        <v>Jambo Aye Multipurpose Dam Project</v>
      </c>
      <c r="O26" s="1402">
        <f>[7]DATA!T84</f>
        <v>662200000</v>
      </c>
      <c r="P26" s="187">
        <f>[7]DATA!U84</f>
        <v>662200000</v>
      </c>
      <c r="Q26" s="1446">
        <f>[7]DATA!V84</f>
        <v>460700000</v>
      </c>
      <c r="R26" s="1446">
        <f>[7]DATA!W84</f>
        <v>0</v>
      </c>
      <c r="S26" s="1447">
        <f t="shared" si="5"/>
        <v>1122900000</v>
      </c>
      <c r="T26" s="1605"/>
      <c r="U26" s="1606"/>
      <c r="V26" s="77">
        <f>[7]DATA!AA84</f>
        <v>662200000</v>
      </c>
      <c r="W26" s="77">
        <f>[7]DATA!AB84</f>
        <v>0</v>
      </c>
      <c r="X26" s="1607" t="str">
        <f>[7]DATA!Y84</f>
        <v>Rupiah Murni</v>
      </c>
      <c r="Y26" s="88">
        <v>662200000</v>
      </c>
      <c r="Z26" s="88" t="s">
        <v>633</v>
      </c>
      <c r="AA26" s="1617" t="s">
        <v>879</v>
      </c>
      <c r="AB26" s="1618"/>
      <c r="AC26" s="1618"/>
      <c r="AD26" s="1618"/>
      <c r="AE26" s="1619"/>
      <c r="AF26" s="1617"/>
      <c r="AG26" s="1633"/>
      <c r="AH26" s="260">
        <f>[7]DATA!AT84</f>
        <v>662200000</v>
      </c>
      <c r="AI26" s="260" t="str">
        <f>[7]DATA!AU84</f>
        <v>Belum Ada Indikasi</v>
      </c>
      <c r="AJ26" s="1544" t="str">
        <f>[7]DATA!AW84</f>
        <v>-</v>
      </c>
      <c r="AK26" s="245">
        <f>[7]DATA!AM84</f>
        <v>0</v>
      </c>
      <c r="AL26" s="1510" t="str">
        <f>[7]DATA!AN84</f>
        <v>belum ada keterangan</v>
      </c>
      <c r="AM26" s="1510" t="str">
        <f>[7]DATA!AO84</f>
        <v>dalam proses
(perencanaan)</v>
      </c>
      <c r="AN26" s="1545">
        <f>[7]DATA!AQ84</f>
        <v>0</v>
      </c>
      <c r="AO26" s="1547" t="str">
        <f>[7]DATA!AR84</f>
        <v>belum ada dokumen R/C</v>
      </c>
      <c r="AQ26" s="10">
        <f t="shared" si="1"/>
        <v>0</v>
      </c>
      <c r="AR26" s="10">
        <f t="shared" si="2"/>
        <v>0</v>
      </c>
      <c r="AS26" s="10">
        <f t="shared" si="3"/>
        <v>662200000</v>
      </c>
      <c r="AT26" s="10">
        <f t="shared" si="4"/>
        <v>0</v>
      </c>
    </row>
    <row r="27" spans="1:46" s="1588" customFormat="1" ht="51.75" customHeight="1">
      <c r="J27" s="1594"/>
      <c r="K27" s="1595"/>
      <c r="L27" s="1596"/>
      <c r="M27" s="64">
        <v>13</v>
      </c>
      <c r="N27" s="271" t="str">
        <f>[7]DATA!L85</f>
        <v>Komering Multipurpose Dam Project - Phase II</v>
      </c>
      <c r="O27" s="1402">
        <f>[7]DATA!T85</f>
        <v>200000000</v>
      </c>
      <c r="P27" s="187">
        <f>[7]DATA!U85</f>
        <v>200000000</v>
      </c>
      <c r="Q27" s="1446">
        <f>[7]DATA!V85</f>
        <v>20000000</v>
      </c>
      <c r="R27" s="1446">
        <f>[7]DATA!W85</f>
        <v>0</v>
      </c>
      <c r="S27" s="1447">
        <f t="shared" si="5"/>
        <v>220000000</v>
      </c>
      <c r="T27" s="1605"/>
      <c r="U27" s="1606"/>
      <c r="V27" s="77">
        <f>[7]DATA!AA85</f>
        <v>200000000</v>
      </c>
      <c r="W27" s="1608">
        <v>0</v>
      </c>
      <c r="X27" s="1607" t="str">
        <f>[7]DATA!Y85</f>
        <v>Rupiah Murni</v>
      </c>
      <c r="Y27" s="88">
        <v>200000000</v>
      </c>
      <c r="Z27" s="88" t="s">
        <v>55</v>
      </c>
      <c r="AA27" s="1617" t="s">
        <v>879</v>
      </c>
      <c r="AB27" s="1618"/>
      <c r="AC27" s="1618"/>
      <c r="AD27" s="1618"/>
      <c r="AE27" s="1620"/>
      <c r="AF27" s="1620"/>
      <c r="AG27" s="1585" t="s">
        <v>1183</v>
      </c>
      <c r="AH27" s="260">
        <f>[7]DATA!AT85</f>
        <v>200000000</v>
      </c>
      <c r="AI27" s="260" t="str">
        <f>[7]DATA!AU85</f>
        <v>Belum Ada Indikasi</v>
      </c>
      <c r="AJ27" s="1544" t="str">
        <f>[7]DATA!AW85</f>
        <v>-</v>
      </c>
      <c r="AK27" s="245">
        <f>[7]DATA!AM85</f>
        <v>0</v>
      </c>
      <c r="AL27" s="1510" t="str">
        <f>[7]DATA!AN85</f>
        <v>dalam proses
(penyusunan FS)</v>
      </c>
      <c r="AM27" s="1510" t="str">
        <f>[7]DATA!AO85</f>
        <v>dalam proses
(perencanaan)</v>
      </c>
      <c r="AN27" s="1545">
        <f>[7]DATA!AQ85</f>
        <v>0</v>
      </c>
      <c r="AO27" s="1547" t="str">
        <f>[7]DATA!AR85</f>
        <v>belum ada dokumen R/C</v>
      </c>
      <c r="AQ27" s="10">
        <f t="shared" si="1"/>
        <v>0</v>
      </c>
      <c r="AR27" s="10">
        <f t="shared" si="2"/>
        <v>200000000</v>
      </c>
      <c r="AS27" s="10">
        <f t="shared" si="3"/>
        <v>0</v>
      </c>
      <c r="AT27" s="10">
        <f t="shared" si="4"/>
        <v>0</v>
      </c>
    </row>
    <row r="28" spans="1:46" ht="135.75" customHeight="1">
      <c r="A28" s="10">
        <f>[7]DATA!A86</f>
        <v>68</v>
      </c>
      <c r="B28" s="10">
        <f>[7]DATA!B86</f>
        <v>0</v>
      </c>
      <c r="C28" s="10" t="str">
        <f>[7]DATA!D86</f>
        <v>INFRASTRUKTUR</v>
      </c>
      <c r="D28" s="10">
        <f>[7]DATA!E86</f>
        <v>1</v>
      </c>
      <c r="E28" s="10" t="str">
        <f>[7]DATA!F86</f>
        <v>Kementerian Pekerjaan Umum dan Perumahan Rakyat</v>
      </c>
      <c r="F28" s="10" t="str">
        <f>[7]DATA!H86</f>
        <v>Dam Development Program</v>
      </c>
      <c r="G28" s="10" t="str">
        <f>[7]DATA!I86</f>
        <v>J</v>
      </c>
      <c r="H28" s="10" t="str">
        <f>[7]DATA!J86</f>
        <v>Program Pembangunan Waduk</v>
      </c>
      <c r="I28" s="10">
        <f>[7]DATA!K86</f>
        <v>3</v>
      </c>
      <c r="J28" s="181"/>
      <c r="K28" s="34"/>
      <c r="L28" s="34"/>
      <c r="M28" s="64">
        <v>14</v>
      </c>
      <c r="N28" s="199" t="str">
        <f>[7]DATA!L86</f>
        <v>Pelosika Multipurpose Dam Construction Project</v>
      </c>
      <c r="O28" s="1402">
        <f>[7]DATA!T86</f>
        <v>200000000</v>
      </c>
      <c r="P28" s="187">
        <f>[7]DATA!U86</f>
        <v>200000000</v>
      </c>
      <c r="Q28" s="187">
        <f>[7]DATA!V86</f>
        <v>170000000</v>
      </c>
      <c r="R28" s="1446" t="e">
        <f>[7]!BB[[#This Row],[HIBAH BB]]</f>
        <v>#REF!</v>
      </c>
      <c r="S28" s="1447" t="e">
        <f t="shared" si="5"/>
        <v>#REF!</v>
      </c>
      <c r="T28" s="1448"/>
      <c r="U28" s="1449" t="str">
        <f>[7]DATA!Y86</f>
        <v>Rupiah Murni</v>
      </c>
      <c r="V28" s="77">
        <f>[7]DATA!AA86</f>
        <v>200000000</v>
      </c>
      <c r="W28" s="77">
        <v>0</v>
      </c>
      <c r="X28" s="1450" t="str">
        <f>[7]DATA!Y86</f>
        <v>Rupiah Murni</v>
      </c>
      <c r="Y28" s="88">
        <v>200000000</v>
      </c>
      <c r="Z28" s="88" t="s">
        <v>27</v>
      </c>
      <c r="AA28" s="1617" t="s">
        <v>879</v>
      </c>
      <c r="AB28" s="1618"/>
      <c r="AC28" s="1618"/>
      <c r="AD28" s="1618"/>
      <c r="AE28" s="1620"/>
      <c r="AF28" s="1620"/>
      <c r="AG28" s="3281" t="s">
        <v>1194</v>
      </c>
      <c r="AH28" s="1509">
        <f>[7]DATA!AT86</f>
        <v>200000000</v>
      </c>
      <c r="AI28" s="109" t="str">
        <f>[7]DATA!AU86</f>
        <v>RRT</v>
      </c>
      <c r="AJ28" s="1544" t="str">
        <f>[7]DATA!AW86</f>
        <v>-</v>
      </c>
      <c r="AK28" s="245">
        <f>[7]DATA!AM86</f>
        <v>0</v>
      </c>
      <c r="AL28" s="1510" t="str">
        <f>[7]DATA!AN86</f>
        <v>dalam proses
(penyusunan FS)</v>
      </c>
      <c r="AM28" s="1511" t="str">
        <f>[7]DATA!AO86</f>
        <v>dalam proses
(perencanaan)</v>
      </c>
      <c r="AN28" s="1545">
        <f>[7]DATA!AQ86</f>
        <v>0</v>
      </c>
      <c r="AO28" s="1547" t="str">
        <f>[7]DATA!AR86</f>
        <v>belum ada dokumen R/C</v>
      </c>
      <c r="AQ28" s="10">
        <f t="shared" si="1"/>
        <v>200000000</v>
      </c>
      <c r="AR28" s="10">
        <f t="shared" si="2"/>
        <v>0</v>
      </c>
      <c r="AS28" s="10">
        <f t="shared" si="3"/>
        <v>0</v>
      </c>
      <c r="AT28" s="10">
        <f t="shared" si="4"/>
        <v>0</v>
      </c>
    </row>
    <row r="29" spans="1:46" ht="25.5">
      <c r="A29" s="10">
        <f>[7]DATA!A87</f>
        <v>69</v>
      </c>
      <c r="B29" s="10">
        <f>[7]DATA!B87</f>
        <v>0</v>
      </c>
      <c r="C29" s="10" t="str">
        <f>[7]DATA!D87</f>
        <v>INFRASTRUKTUR</v>
      </c>
      <c r="D29" s="10">
        <f>[7]DATA!E87</f>
        <v>1</v>
      </c>
      <c r="E29" s="10" t="str">
        <f>[7]DATA!F87</f>
        <v>Kementerian Pekerjaan Umum dan Perumahan Rakyat</v>
      </c>
      <c r="F29" s="10" t="str">
        <f>[7]DATA!H87</f>
        <v>Dam Development Program</v>
      </c>
      <c r="G29" s="10" t="str">
        <f>[7]DATA!I87</f>
        <v>J</v>
      </c>
      <c r="H29" s="10" t="str">
        <f>[7]DATA!J87</f>
        <v>Program Pembangunan Waduk</v>
      </c>
      <c r="I29" s="10">
        <f>[7]DATA!K87</f>
        <v>4</v>
      </c>
      <c r="J29" s="181"/>
      <c r="K29" s="34"/>
      <c r="L29" s="34"/>
      <c r="M29" s="64">
        <v>15</v>
      </c>
      <c r="N29" s="199" t="str">
        <f>[7]DATA!L87</f>
        <v>Lambakan  Dam Project</v>
      </c>
      <c r="O29" s="1402">
        <f>[7]DATA!T87</f>
        <v>258000000</v>
      </c>
      <c r="P29" s="187">
        <f>[7]DATA!U87</f>
        <v>258000000</v>
      </c>
      <c r="Q29" s="187">
        <f>[7]DATA!V87</f>
        <v>227000000</v>
      </c>
      <c r="R29" s="1446" t="e">
        <f>[7]!BB[[#This Row],[HIBAH BB]]</f>
        <v>#REF!</v>
      </c>
      <c r="S29" s="1447" t="e">
        <f t="shared" si="5"/>
        <v>#REF!</v>
      </c>
      <c r="T29" s="1448"/>
      <c r="U29" s="1449" t="str">
        <f>[7]DATA!Y87</f>
        <v>IDB</v>
      </c>
      <c r="V29" s="77">
        <f>[7]DATA!AA87</f>
        <v>258000000</v>
      </c>
      <c r="W29" s="77">
        <v>0</v>
      </c>
      <c r="X29" s="1450" t="str">
        <f>[7]DATA!Y87</f>
        <v>IDB</v>
      </c>
      <c r="Y29" s="88">
        <v>258000000</v>
      </c>
      <c r="Z29" s="88" t="s">
        <v>58</v>
      </c>
      <c r="AA29" s="1617" t="s">
        <v>879</v>
      </c>
      <c r="AB29" s="1618"/>
      <c r="AC29" s="1618"/>
      <c r="AD29" s="1618"/>
      <c r="AE29" s="1620"/>
      <c r="AF29" s="1620"/>
      <c r="AG29" s="1585" t="s">
        <v>1156</v>
      </c>
      <c r="AH29" s="1509">
        <f>[7]DATA!AT87</f>
        <v>258000000</v>
      </c>
      <c r="AI29" s="109" t="str">
        <f>[7]DATA!AU87</f>
        <v>IDB</v>
      </c>
      <c r="AJ29" s="1544" t="str">
        <f>[7]DATA!AW87</f>
        <v>-</v>
      </c>
      <c r="AK29" s="245">
        <f>[7]DATA!AM87</f>
        <v>0</v>
      </c>
      <c r="AL29" s="1510" t="str">
        <f>[7]DATA!AN87</f>
        <v>dalam proses
(penyusunan FS)</v>
      </c>
      <c r="AM29" s="1511" t="str">
        <f>[7]DATA!AO87</f>
        <v>dalam proses
(perencanaan)</v>
      </c>
      <c r="AN29" s="1545">
        <f>[7]DATA!AQ87</f>
        <v>0</v>
      </c>
      <c r="AO29" s="1547" t="str">
        <f>[7]DATA!AR87</f>
        <v>belum ada dokumen R/C</v>
      </c>
      <c r="AQ29" s="10">
        <f t="shared" si="1"/>
        <v>0</v>
      </c>
      <c r="AR29" s="10">
        <f t="shared" si="2"/>
        <v>0</v>
      </c>
      <c r="AS29" s="10">
        <f t="shared" si="3"/>
        <v>0</v>
      </c>
      <c r="AT29" s="10">
        <f t="shared" si="4"/>
        <v>0</v>
      </c>
    </row>
    <row r="30" spans="1:46" ht="101.25" customHeight="1">
      <c r="A30" s="10">
        <f>[7]DATA!A88</f>
        <v>70</v>
      </c>
      <c r="B30" s="10">
        <f>[7]DATA!B88</f>
        <v>0</v>
      </c>
      <c r="C30" s="10" t="str">
        <f>[7]DATA!D88</f>
        <v>INFRASTRUKTUR</v>
      </c>
      <c r="D30" s="10">
        <f>[7]DATA!E88</f>
        <v>1</v>
      </c>
      <c r="E30" s="10" t="str">
        <f>[7]DATA!F88</f>
        <v>Kementerian Pekerjaan Umum dan Perumahan Rakyat</v>
      </c>
      <c r="F30" s="10" t="str">
        <f>[7]DATA!H88</f>
        <v>Dam Development Program</v>
      </c>
      <c r="G30" s="10" t="str">
        <f>[7]DATA!I88</f>
        <v>J</v>
      </c>
      <c r="H30" s="10" t="str">
        <f>[7]DATA!J88</f>
        <v>Program Pembangunan Waduk</v>
      </c>
      <c r="I30" s="10">
        <f>[7]DATA!K88</f>
        <v>5</v>
      </c>
      <c r="J30" s="181"/>
      <c r="K30" s="34"/>
      <c r="L30" s="34"/>
      <c r="M30" s="64">
        <v>16</v>
      </c>
      <c r="N30" s="199" t="str">
        <f>[7]DATA!L88</f>
        <v>Jenelata Dam Construction Project</v>
      </c>
      <c r="O30" s="1402">
        <f>[7]DATA!T88</f>
        <v>200000000</v>
      </c>
      <c r="P30" s="187">
        <f>[7]DATA!U88</f>
        <v>200000000</v>
      </c>
      <c r="Q30" s="187">
        <f>[7]DATA!V88</f>
        <v>20000000</v>
      </c>
      <c r="R30" s="1446" t="e">
        <f>[7]!BB[[#This Row],[HIBAH BB]]</f>
        <v>#REF!</v>
      </c>
      <c r="S30" s="1447" t="e">
        <f t="shared" si="5"/>
        <v>#REF!</v>
      </c>
      <c r="T30" s="1448"/>
      <c r="U30" s="1449" t="str">
        <f>[7]DATA!Y88</f>
        <v>RRT</v>
      </c>
      <c r="V30" s="77">
        <f>[7]DATA!AA88</f>
        <v>200000000</v>
      </c>
      <c r="W30" s="77">
        <v>0</v>
      </c>
      <c r="X30" s="1450" t="str">
        <f>[7]DATA!Y88</f>
        <v>RRT</v>
      </c>
      <c r="Y30" s="88">
        <v>200000000</v>
      </c>
      <c r="Z30" s="88" t="s">
        <v>27</v>
      </c>
      <c r="AA30" s="1617" t="s">
        <v>879</v>
      </c>
      <c r="AB30" s="1618"/>
      <c r="AC30" s="1618"/>
      <c r="AD30" s="1618"/>
      <c r="AE30" s="1620"/>
      <c r="AF30" s="1620"/>
      <c r="AG30" s="3281" t="s">
        <v>1195</v>
      </c>
      <c r="AH30" s="1509">
        <f>[7]DATA!AT88</f>
        <v>200000000</v>
      </c>
      <c r="AI30" s="109" t="str">
        <f>[7]DATA!AU88</f>
        <v>RRT</v>
      </c>
      <c r="AJ30" s="1544" t="str">
        <f>[7]DATA!AW88</f>
        <v>-</v>
      </c>
      <c r="AK30" s="245">
        <f>[7]DATA!AM88</f>
        <v>0</v>
      </c>
      <c r="AL30" s="1510" t="str">
        <f>[7]DATA!AN88</f>
        <v>siap</v>
      </c>
      <c r="AM30" s="1511" t="str">
        <f>[7]DATA!AO88</f>
        <v>dalam proses
(perencanaan)</v>
      </c>
      <c r="AN30" s="1545">
        <f>[7]DATA!AQ88</f>
        <v>0</v>
      </c>
      <c r="AO30" s="1547" t="str">
        <f>[7]DATA!AR88</f>
        <v>belum ada dokumen R/C</v>
      </c>
      <c r="AQ30" s="10">
        <f t="shared" si="1"/>
        <v>200000000</v>
      </c>
      <c r="AR30" s="10">
        <f t="shared" si="2"/>
        <v>0</v>
      </c>
      <c r="AS30" s="10">
        <f t="shared" si="3"/>
        <v>0</v>
      </c>
      <c r="AT30" s="10">
        <f t="shared" si="4"/>
        <v>0</v>
      </c>
    </row>
    <row r="31" spans="1:46" ht="25.5">
      <c r="A31" s="10">
        <f>[7]DATA!A89</f>
        <v>71</v>
      </c>
      <c r="B31" s="10">
        <f>[7]DATA!B89</f>
        <v>0</v>
      </c>
      <c r="C31" s="10" t="str">
        <f>[7]DATA!D89</f>
        <v>INFRASTRUKTUR</v>
      </c>
      <c r="D31" s="10">
        <f>[7]DATA!E89</f>
        <v>1</v>
      </c>
      <c r="E31" s="10" t="str">
        <f>[7]DATA!F89</f>
        <v>Kementerian Pekerjaan Umum dan Perumahan Rakyat</v>
      </c>
      <c r="F31" s="10" t="str">
        <f>[7]DATA!H89</f>
        <v>Dam Development Program</v>
      </c>
      <c r="G31" s="10" t="str">
        <f>[7]DATA!I89</f>
        <v>J</v>
      </c>
      <c r="H31" s="10" t="str">
        <f>[7]DATA!J89</f>
        <v>Program Pembangunan Waduk</v>
      </c>
      <c r="I31" s="10">
        <f>[7]DATA!K89</f>
        <v>6</v>
      </c>
      <c r="J31" s="181"/>
      <c r="K31" s="34"/>
      <c r="L31" s="34"/>
      <c r="M31" s="64">
        <v>17</v>
      </c>
      <c r="N31" s="199" t="str">
        <f>[7]DATA!L89</f>
        <v>Bonehulu Dam Construction Project</v>
      </c>
      <c r="O31" s="1402">
        <f>[7]DATA!T89</f>
        <v>128250000</v>
      </c>
      <c r="P31" s="187">
        <f>[7]DATA!U89</f>
        <v>128250000</v>
      </c>
      <c r="Q31" s="187">
        <f>[7]DATA!V89</f>
        <v>21000000</v>
      </c>
      <c r="R31" s="1446" t="e">
        <f>[7]!BB[[#This Row],[HIBAH BB]]</f>
        <v>#REF!</v>
      </c>
      <c r="S31" s="1447" t="e">
        <f t="shared" si="5"/>
        <v>#REF!</v>
      </c>
      <c r="T31" s="1448"/>
      <c r="U31" s="1449" t="str">
        <f>[7]DATA!Y89</f>
        <v>RRT</v>
      </c>
      <c r="V31" s="77">
        <f>[7]DATA!AA89</f>
        <v>128250000</v>
      </c>
      <c r="W31" s="77">
        <v>0</v>
      </c>
      <c r="X31" s="1450" t="str">
        <f>[7]DATA!Y89</f>
        <v>RRT</v>
      </c>
      <c r="Y31" s="88">
        <v>128250000</v>
      </c>
      <c r="Z31" s="88" t="s">
        <v>633</v>
      </c>
      <c r="AA31" s="1617" t="s">
        <v>879</v>
      </c>
      <c r="AB31" s="1618"/>
      <c r="AC31" s="1618"/>
      <c r="AD31" s="1618"/>
      <c r="AE31" s="1619"/>
      <c r="AF31" s="1617"/>
      <c r="AG31" s="1633"/>
      <c r="AH31" s="1509">
        <f>[7]DATA!AT89</f>
        <v>128250000</v>
      </c>
      <c r="AI31" s="109" t="str">
        <f>[7]DATA!AU89</f>
        <v>RRT</v>
      </c>
      <c r="AJ31" s="1544" t="str">
        <f>[7]DATA!AW89</f>
        <v>-</v>
      </c>
      <c r="AK31" s="245">
        <f>[7]DATA!AM89</f>
        <v>0</v>
      </c>
      <c r="AL31" s="1510" t="str">
        <f>[7]DATA!AN89</f>
        <v>dalam proses
(penyusunan FS)</v>
      </c>
      <c r="AM31" s="1511" t="str">
        <f>[7]DATA!AO89</f>
        <v>dalam proses
(perencanaan)</v>
      </c>
      <c r="AN31" s="1545">
        <f>[7]DATA!AQ89</f>
        <v>0</v>
      </c>
      <c r="AO31" s="1547" t="str">
        <f>[7]DATA!AR89</f>
        <v>belum ada dokumen R/C</v>
      </c>
      <c r="AQ31" s="10">
        <f t="shared" si="1"/>
        <v>0</v>
      </c>
      <c r="AR31" s="10">
        <f t="shared" si="2"/>
        <v>0</v>
      </c>
      <c r="AS31" s="10">
        <f t="shared" si="3"/>
        <v>128250000</v>
      </c>
      <c r="AT31" s="10">
        <f t="shared" si="4"/>
        <v>0</v>
      </c>
    </row>
    <row r="32" spans="1:46" ht="25.5">
      <c r="A32" s="10">
        <f>[7]DATA!A90</f>
        <v>72</v>
      </c>
      <c r="B32" s="10">
        <f>[7]DATA!B90</f>
        <v>0</v>
      </c>
      <c r="C32" s="10" t="str">
        <f>[7]DATA!D90</f>
        <v>INFRASTRUKTUR</v>
      </c>
      <c r="D32" s="10">
        <f>[7]DATA!E90</f>
        <v>1</v>
      </c>
      <c r="E32" s="10" t="str">
        <f>[7]DATA!F90</f>
        <v>Kementerian Pekerjaan Umum dan Perumahan Rakyat</v>
      </c>
      <c r="F32" s="10" t="str">
        <f>[7]DATA!H90</f>
        <v>Dam Development Program</v>
      </c>
      <c r="G32" s="10" t="str">
        <f>[7]DATA!I90</f>
        <v>J</v>
      </c>
      <c r="H32" s="10" t="str">
        <f>[7]DATA!J90</f>
        <v>Program Pembangunan Waduk</v>
      </c>
      <c r="I32" s="10">
        <f>[7]DATA!K90</f>
        <v>7</v>
      </c>
      <c r="J32" s="181"/>
      <c r="K32" s="34"/>
      <c r="L32" s="34"/>
      <c r="M32" s="64">
        <v>18</v>
      </c>
      <c r="N32" s="199" t="str">
        <f>[7]DATA!L90</f>
        <v>Ladongi Dam Construction Project</v>
      </c>
      <c r="O32" s="1402">
        <f>[7]DATA!T90</f>
        <v>70000000</v>
      </c>
      <c r="P32" s="187">
        <f>[7]DATA!U90</f>
        <v>70000000</v>
      </c>
      <c r="Q32" s="187">
        <f>[7]DATA!V90</f>
        <v>7000000</v>
      </c>
      <c r="R32" s="1446" t="e">
        <f>[7]!BB[[#This Row],[HIBAH BB]]</f>
        <v>#REF!</v>
      </c>
      <c r="S32" s="1447" t="e">
        <f t="shared" si="5"/>
        <v>#REF!</v>
      </c>
      <c r="T32" s="1448"/>
      <c r="U32" s="1449" t="str">
        <f>[7]DATA!Y90</f>
        <v>RRT</v>
      </c>
      <c r="V32" s="77">
        <f>[7]DATA!AA90</f>
        <v>70000000</v>
      </c>
      <c r="W32" s="77">
        <v>0</v>
      </c>
      <c r="X32" s="1450" t="str">
        <f>[7]DATA!Y90</f>
        <v>RRT</v>
      </c>
      <c r="Y32" s="88">
        <v>70000000</v>
      </c>
      <c r="Z32" s="88" t="s">
        <v>633</v>
      </c>
      <c r="AA32" s="1617" t="s">
        <v>879</v>
      </c>
      <c r="AB32" s="1618"/>
      <c r="AC32" s="1618"/>
      <c r="AD32" s="1618"/>
      <c r="AE32" s="1619"/>
      <c r="AF32" s="1617"/>
      <c r="AG32" s="1633"/>
      <c r="AH32" s="1509">
        <f>[7]DATA!AT90</f>
        <v>70000000</v>
      </c>
      <c r="AI32" s="109" t="str">
        <f>[7]DATA!AU90</f>
        <v>RRT</v>
      </c>
      <c r="AJ32" s="1544" t="str">
        <f>[7]DATA!AW90</f>
        <v>-</v>
      </c>
      <c r="AK32" s="245">
        <f>[7]DATA!AM90</f>
        <v>0</v>
      </c>
      <c r="AL32" s="1510" t="str">
        <f>[7]DATA!AN90</f>
        <v>siap</v>
      </c>
      <c r="AM32" s="1511" t="str">
        <f>[7]DATA!AO90</f>
        <v>dalam proses
(perencanaan)</v>
      </c>
      <c r="AN32" s="1545">
        <f>[7]DATA!AQ90</f>
        <v>0</v>
      </c>
      <c r="AO32" s="1547" t="str">
        <f>[7]DATA!AR90</f>
        <v>belum ada dokumen R/C</v>
      </c>
      <c r="AQ32" s="10">
        <f t="shared" si="1"/>
        <v>0</v>
      </c>
      <c r="AR32" s="10">
        <f t="shared" si="2"/>
        <v>0</v>
      </c>
      <c r="AS32" s="10">
        <f t="shared" si="3"/>
        <v>70000000</v>
      </c>
      <c r="AT32" s="10">
        <f t="shared" si="4"/>
        <v>0</v>
      </c>
    </row>
    <row r="33" spans="1:46" ht="33" customHeight="1">
      <c r="J33" s="181"/>
      <c r="K33" s="34"/>
      <c r="L33" s="34"/>
      <c r="M33" s="64">
        <v>19</v>
      </c>
      <c r="N33" s="199" t="str">
        <f>[7]DATA!L91</f>
        <v>Kuwil Kawangkoan Dam Construction Project</v>
      </c>
      <c r="O33" s="1402">
        <f>[7]DATA!T91</f>
        <v>110000000</v>
      </c>
      <c r="P33" s="187">
        <f>[7]DATA!U91</f>
        <v>110000000</v>
      </c>
      <c r="Q33" s="187">
        <f>[7]DATA!V91</f>
        <v>11000000</v>
      </c>
      <c r="R33" s="187">
        <f>[7]DATA!W91</f>
        <v>0</v>
      </c>
      <c r="S33" s="1447">
        <f t="shared" si="5"/>
        <v>121000000</v>
      </c>
      <c r="T33" s="1448"/>
      <c r="U33" s="1449"/>
      <c r="V33" s="77">
        <f>[7]DATA!AA91</f>
        <v>110000000</v>
      </c>
      <c r="W33" s="77"/>
      <c r="X33" s="1450" t="str">
        <f>[7]DATA!Y91</f>
        <v>Rupiah Murni</v>
      </c>
      <c r="Y33" s="88">
        <v>110000000</v>
      </c>
      <c r="Z33" s="88" t="s">
        <v>633</v>
      </c>
      <c r="AA33" s="1617" t="s">
        <v>879</v>
      </c>
      <c r="AB33" s="1618"/>
      <c r="AC33" s="1618"/>
      <c r="AD33" s="1618"/>
      <c r="AE33" s="1620"/>
      <c r="AF33" s="1620"/>
      <c r="AG33" s="1585" t="s">
        <v>1196</v>
      </c>
      <c r="AH33" s="1509">
        <f>[7]DATA!AT91</f>
        <v>110000000</v>
      </c>
      <c r="AI33" s="109" t="str">
        <f>[7]DATA!AU91</f>
        <v>Belum Ada Indikasi</v>
      </c>
      <c r="AJ33" s="1544" t="str">
        <f>[7]DATA!AW91</f>
        <v>-</v>
      </c>
      <c r="AK33" s="245">
        <f>[7]DATA!AM91</f>
        <v>0</v>
      </c>
      <c r="AL33" s="1510"/>
      <c r="AM33" s="1511"/>
      <c r="AN33" s="1545">
        <f>[7]DATA!AQ91</f>
        <v>0</v>
      </c>
      <c r="AO33" s="1547" t="str">
        <f>[7]DATA!AR91</f>
        <v>belum ada dokumen R/C</v>
      </c>
      <c r="AQ33" s="10">
        <f t="shared" si="1"/>
        <v>0</v>
      </c>
      <c r="AR33" s="10">
        <f t="shared" si="2"/>
        <v>0</v>
      </c>
      <c r="AS33" s="10">
        <f t="shared" si="3"/>
        <v>110000000</v>
      </c>
      <c r="AT33" s="10">
        <f t="shared" si="4"/>
        <v>0</v>
      </c>
    </row>
    <row r="34" spans="1:46" ht="99.75" customHeight="1">
      <c r="A34" s="10">
        <f>[7]DATA!A92</f>
        <v>74</v>
      </c>
      <c r="B34" s="10">
        <f>[7]DATA!B92</f>
        <v>0</v>
      </c>
      <c r="C34" s="10" t="str">
        <f>[7]DATA!D92</f>
        <v>INFRASTRUKTUR</v>
      </c>
      <c r="D34" s="10">
        <f>[7]DATA!E92</f>
        <v>1</v>
      </c>
      <c r="E34" s="10" t="str">
        <f>[7]DATA!F92</f>
        <v>Kementerian Pekerjaan Umum dan Perumahan Rakyat</v>
      </c>
      <c r="F34" s="10" t="str">
        <f>[7]DATA!H92</f>
        <v>Dam Development Program</v>
      </c>
      <c r="G34" s="10" t="str">
        <f>[7]DATA!I92</f>
        <v>J</v>
      </c>
      <c r="H34" s="10" t="str">
        <f>[7]DATA!J92</f>
        <v>Program Pembangunan Waduk</v>
      </c>
      <c r="I34" s="10">
        <f>[7]DATA!K92</f>
        <v>9</v>
      </c>
      <c r="J34" s="181"/>
      <c r="K34" s="34"/>
      <c r="L34" s="34"/>
      <c r="M34" s="64">
        <v>20</v>
      </c>
      <c r="N34" s="199" t="str">
        <f>[7]DATA!L92</f>
        <v>Lompatan Harimau Dam Construction Project (Rokan Kiri Dam Construction Project)</v>
      </c>
      <c r="O34" s="1402">
        <f>[7]DATA!T92</f>
        <v>152100000</v>
      </c>
      <c r="P34" s="187">
        <f>[7]DATA!U92</f>
        <v>152100000</v>
      </c>
      <c r="Q34" s="187">
        <f>[7]DATA!V92</f>
        <v>26500000</v>
      </c>
      <c r="R34" s="1446">
        <f>[7]DATA!W92</f>
        <v>0</v>
      </c>
      <c r="S34" s="1447">
        <f t="shared" si="5"/>
        <v>178600000</v>
      </c>
      <c r="T34" s="1448"/>
      <c r="U34" s="1449" t="str">
        <f>[7]DATA!Y92</f>
        <v>RRT</v>
      </c>
      <c r="V34" s="77">
        <f>[7]DATA!AA92</f>
        <v>152100000</v>
      </c>
      <c r="W34" s="77">
        <v>0</v>
      </c>
      <c r="X34" s="1450" t="str">
        <f>[7]DATA!Y92</f>
        <v>RRT</v>
      </c>
      <c r="Y34" s="88">
        <v>152100000</v>
      </c>
      <c r="Z34" s="88" t="s">
        <v>27</v>
      </c>
      <c r="AA34" s="1617" t="s">
        <v>879</v>
      </c>
      <c r="AB34" s="1618"/>
      <c r="AC34" s="1618"/>
      <c r="AD34" s="1618"/>
      <c r="AE34" s="1620"/>
      <c r="AF34" s="1620"/>
      <c r="AG34" s="3281" t="s">
        <v>1197</v>
      </c>
      <c r="AH34" s="1509">
        <f>[7]DATA!AT92</f>
        <v>152100000</v>
      </c>
      <c r="AI34" s="109" t="str">
        <f>[7]DATA!AU92</f>
        <v>RRT</v>
      </c>
      <c r="AJ34" s="1544" t="str">
        <f>[7]DATA!AW92</f>
        <v>-</v>
      </c>
      <c r="AK34" s="245">
        <f>[7]DATA!AM92</f>
        <v>0</v>
      </c>
      <c r="AL34" s="1510" t="str">
        <f>[7]DATA!AN92</f>
        <v>dalam proses
(memiliki FS)</v>
      </c>
      <c r="AM34" s="1511" t="str">
        <f>[7]DATA!AO92</f>
        <v>dalam proses
(perencanaan)</v>
      </c>
      <c r="AN34" s="1545">
        <f>[7]DATA!AQ92</f>
        <v>0</v>
      </c>
      <c r="AO34" s="1547" t="str">
        <f>[7]DATA!AR92</f>
        <v>belum ada dokumen R/C</v>
      </c>
      <c r="AQ34" s="10">
        <f t="shared" si="1"/>
        <v>152100000</v>
      </c>
      <c r="AR34" s="10">
        <f t="shared" si="2"/>
        <v>0</v>
      </c>
      <c r="AS34" s="10">
        <f t="shared" si="3"/>
        <v>0</v>
      </c>
      <c r="AT34" s="10">
        <f t="shared" si="4"/>
        <v>0</v>
      </c>
    </row>
    <row r="35" spans="1:46" ht="23.25" customHeight="1">
      <c r="A35" s="10">
        <f>[7]DATA!A97</f>
        <v>76</v>
      </c>
      <c r="B35" s="10">
        <f>[7]DATA!B97</f>
        <v>0</v>
      </c>
      <c r="C35" s="10" t="str">
        <f>[7]DATA!D97</f>
        <v>INFRASTRUKTUR</v>
      </c>
      <c r="D35" s="10">
        <f>[7]DATA!E97</f>
        <v>1</v>
      </c>
      <c r="E35" s="10" t="str">
        <f>[7]DATA!F97</f>
        <v>Kementerian Pekerjaan Umum dan Perumahan Rakyat</v>
      </c>
      <c r="F35" s="10" t="str">
        <f>[7]DATA!H97</f>
        <v>Dam Development Program</v>
      </c>
      <c r="G35" s="10" t="str">
        <f>[7]DATA!I97</f>
        <v>J</v>
      </c>
      <c r="H35" s="10" t="str">
        <f>[7]DATA!J97</f>
        <v>Program Pembangunan Waduk</v>
      </c>
      <c r="I35" s="10">
        <f>[7]DATA!K97</f>
        <v>11</v>
      </c>
      <c r="J35" s="181"/>
      <c r="K35" s="34"/>
      <c r="L35" s="34"/>
      <c r="M35" s="64">
        <v>21</v>
      </c>
      <c r="N35" s="199" t="str">
        <f>[7]DATA!L97</f>
        <v>Additional Loan for Jatigede Dam Project 2</v>
      </c>
      <c r="O35" s="1402">
        <f>[7]DATA!T97</f>
        <v>53200000</v>
      </c>
      <c r="P35" s="187">
        <f>[7]DATA!U97</f>
        <v>53200000</v>
      </c>
      <c r="Q35" s="1446">
        <f>[7]DATA!V97</f>
        <v>0</v>
      </c>
      <c r="R35" s="1446">
        <f>[7]DATA!W97</f>
        <v>0</v>
      </c>
      <c r="S35" s="1447">
        <f t="shared" si="5"/>
        <v>53200000</v>
      </c>
      <c r="T35" s="1448"/>
      <c r="U35" s="1449" t="str">
        <f>[7]DATA!Y97</f>
        <v>RRT</v>
      </c>
      <c r="V35" s="77">
        <f>[7]DATA!AA97</f>
        <v>53200000</v>
      </c>
      <c r="W35" s="77">
        <v>0</v>
      </c>
      <c r="X35" s="1450" t="str">
        <f>[7]DATA!Y97</f>
        <v>RRT</v>
      </c>
      <c r="Y35" s="88">
        <v>53200000</v>
      </c>
      <c r="Z35" s="88" t="s">
        <v>633</v>
      </c>
      <c r="AA35" s="1617" t="s">
        <v>879</v>
      </c>
      <c r="AB35" s="1618"/>
      <c r="AC35" s="1618"/>
      <c r="AD35" s="1618"/>
      <c r="AE35" s="1619"/>
      <c r="AF35" s="1617"/>
      <c r="AG35" s="1633"/>
      <c r="AH35" s="1509">
        <f>[7]DATA!AT97</f>
        <v>53200000</v>
      </c>
      <c r="AI35" s="109" t="str">
        <f>[7]DATA!AU97</f>
        <v>RRT</v>
      </c>
      <c r="AJ35" s="1544" t="str">
        <f>[7]DATA!AW97</f>
        <v>-</v>
      </c>
      <c r="AK35" s="1625">
        <f>[7]DATA!AM97</f>
        <v>2015</v>
      </c>
      <c r="AL35" s="1510" t="str">
        <f>[7]DATA!AN97</f>
        <v>dalam proses
(memiliki FS dan DED)</v>
      </c>
      <c r="AM35" s="1511" t="str">
        <f>[7]DATA!AO97</f>
        <v>dalam proses
(persiapan)</v>
      </c>
      <c r="AN35" s="1545">
        <f>[7]DATA!AQ97</f>
        <v>0</v>
      </c>
      <c r="AO35" s="1547" t="str">
        <f>[7]DATA!AR97</f>
        <v>-</v>
      </c>
      <c r="AQ35" s="10">
        <f t="shared" si="1"/>
        <v>0</v>
      </c>
      <c r="AR35" s="10">
        <f t="shared" si="2"/>
        <v>0</v>
      </c>
      <c r="AS35" s="10">
        <f t="shared" si="3"/>
        <v>53200000</v>
      </c>
      <c r="AT35" s="10">
        <f t="shared" si="4"/>
        <v>0</v>
      </c>
    </row>
    <row r="36" spans="1:46" ht="56.25" customHeight="1">
      <c r="J36" s="181"/>
      <c r="K36" s="34"/>
      <c r="L36" s="34"/>
      <c r="M36" s="3399">
        <v>22</v>
      </c>
      <c r="N36" s="3569" t="s">
        <v>214</v>
      </c>
      <c r="O36" s="3598">
        <v>100000000</v>
      </c>
      <c r="P36" s="3411">
        <v>100000000</v>
      </c>
      <c r="Q36" s="3443"/>
      <c r="R36" s="3443"/>
      <c r="S36" s="3603"/>
      <c r="T36" s="3611"/>
      <c r="U36" s="1509" t="str">
        <f>[7]DATA!Y95</f>
        <v>Korea</v>
      </c>
      <c r="V36" s="77">
        <f>[7]DATA!AA95</f>
        <v>21678596</v>
      </c>
      <c r="W36" s="77">
        <v>0</v>
      </c>
      <c r="X36" s="1450" t="str">
        <f>[7]DATA!Y95</f>
        <v>Korea</v>
      </c>
      <c r="Y36" s="618">
        <v>21610980</v>
      </c>
      <c r="Z36" s="109" t="s">
        <v>28</v>
      </c>
      <c r="AA36" s="3254" t="s">
        <v>1198</v>
      </c>
      <c r="AB36" s="1474"/>
      <c r="AC36" s="1474"/>
      <c r="AD36" s="1474"/>
      <c r="AE36" s="1621"/>
      <c r="AF36" s="1473"/>
      <c r="AG36" s="1634" t="s">
        <v>1199</v>
      </c>
      <c r="AH36" s="1509">
        <f>[7]DATA!AT95</f>
        <v>21678596</v>
      </c>
      <c r="AI36" s="109" t="str">
        <f>[7]DATA!AU95</f>
        <v>Korea</v>
      </c>
      <c r="AJ36" s="1544" t="str">
        <f>[7]DATA!AW95</f>
        <v>- co-financing dengan ADB (USD 1,9 juta) dan belum ada indikasi (USD 76,4 juta)
- masuk rolling plan EDCF (Korea)</v>
      </c>
      <c r="AK36" s="1625">
        <f>[7]DATA!AM95</f>
        <v>2016</v>
      </c>
      <c r="AL36" s="3502"/>
      <c r="AM36" s="3502"/>
      <c r="AN36" s="1545">
        <f>[7]DATA!AQ95</f>
        <v>0</v>
      </c>
      <c r="AO36" s="1547" t="str">
        <f>[7]DATA!AR95</f>
        <v>-</v>
      </c>
      <c r="AQ36" s="10">
        <f t="shared" si="1"/>
        <v>0</v>
      </c>
      <c r="AR36" s="10">
        <f t="shared" si="2"/>
        <v>0</v>
      </c>
      <c r="AS36" s="10">
        <f t="shared" si="3"/>
        <v>0</v>
      </c>
      <c r="AT36" s="10">
        <f t="shared" si="4"/>
        <v>21610980</v>
      </c>
    </row>
    <row r="37" spans="1:46" ht="30.75" customHeight="1">
      <c r="J37" s="181"/>
      <c r="K37" s="34"/>
      <c r="L37" s="34"/>
      <c r="M37" s="3574"/>
      <c r="N37" s="3570"/>
      <c r="O37" s="3500"/>
      <c r="P37" s="3602"/>
      <c r="Q37" s="3445"/>
      <c r="R37" s="3445"/>
      <c r="S37" s="3604"/>
      <c r="T37" s="3612"/>
      <c r="U37" s="1509" t="str">
        <f>[7]DATA!Y96</f>
        <v>Belum Ada Indikasi</v>
      </c>
      <c r="V37" s="77">
        <v>0</v>
      </c>
      <c r="W37" s="77">
        <f>[7]DATA!AA96</f>
        <v>76391404</v>
      </c>
      <c r="X37" s="1450" t="str">
        <f>[7]DATA!Y96</f>
        <v>Belum Ada Indikasi</v>
      </c>
      <c r="Y37" s="618">
        <f>98070000-Y36</f>
        <v>76459020</v>
      </c>
      <c r="Z37" s="109" t="s">
        <v>633</v>
      </c>
      <c r="AA37" s="1484" t="s">
        <v>879</v>
      </c>
      <c r="AB37" s="828"/>
      <c r="AC37" s="828"/>
      <c r="AD37" s="828"/>
      <c r="AE37" s="1575"/>
      <c r="AF37" s="1484"/>
      <c r="AG37" s="252"/>
      <c r="AH37" s="1509">
        <f>[7]DATA!AT96</f>
        <v>76391404</v>
      </c>
      <c r="AI37" s="109" t="str">
        <f>[7]DATA!AU96</f>
        <v>Belum Ada Indikasi</v>
      </c>
      <c r="AJ37" s="1544" t="str">
        <f>[7]DATA!AW96</f>
        <v>co-financing dengan Korea (USD 21,7 juta) dan ADB (USD 1,9 juta)</v>
      </c>
      <c r="AK37" s="245">
        <f>[7]DATA!AM96</f>
        <v>0</v>
      </c>
      <c r="AL37" s="3503"/>
      <c r="AM37" s="3503"/>
      <c r="AN37" s="1545">
        <f>[7]DATA!AQ96</f>
        <v>0</v>
      </c>
      <c r="AO37" s="1547" t="str">
        <f>[7]DATA!AR96</f>
        <v>belum ada dokumen R/C</v>
      </c>
      <c r="AQ37" s="10">
        <f t="shared" si="1"/>
        <v>0</v>
      </c>
      <c r="AR37" s="10">
        <f t="shared" si="2"/>
        <v>0</v>
      </c>
      <c r="AS37" s="10">
        <f t="shared" si="3"/>
        <v>76459020</v>
      </c>
      <c r="AT37" s="10">
        <f t="shared" si="4"/>
        <v>0</v>
      </c>
    </row>
    <row r="38" spans="1:46" s="5" customFormat="1" ht="33.75" customHeight="1">
      <c r="J38" s="180"/>
      <c r="K38" s="50"/>
      <c r="L38" s="30" t="s">
        <v>238</v>
      </c>
      <c r="M38" s="31" t="str">
        <f>[7]DATA!J98</f>
        <v>Program Mitigasi Terhadap Daya Rusak Air</v>
      </c>
      <c r="N38" s="1419"/>
      <c r="O38" s="214" t="e">
        <f>+O39+O40+#REF!+O41+O42+#REF!+O43+#REF!</f>
        <v>#REF!</v>
      </c>
      <c r="P38" s="197" t="e">
        <f>+P39+P40+#REF!+P41+P42+#REF!+P43+#REF!</f>
        <v>#REF!</v>
      </c>
      <c r="Q38" s="197">
        <f>SUM(Q39:Q45)</f>
        <v>84400000</v>
      </c>
      <c r="R38" s="197" t="e">
        <f>+R39+R40+#REF!+R41+R42+#REF!+R43+#REF!</f>
        <v>#REF!</v>
      </c>
      <c r="S38" s="244" t="e">
        <f t="shared" ref="S38:S43" si="6">P38+Q38+R38</f>
        <v>#REF!</v>
      </c>
      <c r="T38" s="1437"/>
      <c r="U38" s="198"/>
      <c r="V38" s="81" t="e">
        <f>+V39+V40+#REF!+V41+V42+#REF!+V43+#REF!+V44+V45</f>
        <v>#REF!</v>
      </c>
      <c r="W38" s="81" t="e">
        <f>+W39+W40+#REF!+W41+W42+#REF!+W43+#REF!+W44+W45</f>
        <v>#REF!</v>
      </c>
      <c r="X38" s="243"/>
      <c r="Y38" s="81">
        <f>Y39+Y40+Y41+Y42+Y43+Y44+Y45</f>
        <v>884316000</v>
      </c>
      <c r="Z38" s="81"/>
      <c r="AA38" s="1469"/>
      <c r="AB38" s="1470"/>
      <c r="AC38" s="1470"/>
      <c r="AD38" s="1470"/>
      <c r="AE38" s="1573"/>
      <c r="AF38" s="1469"/>
      <c r="AG38" s="1577"/>
      <c r="AH38" s="198" t="e">
        <f>+AH39+AH40+#REF!+AH41+AH42+#REF!+AH43+#REF!+AH44+AH45</f>
        <v>#REF!</v>
      </c>
      <c r="AI38" s="81" t="s">
        <v>21</v>
      </c>
      <c r="AJ38" s="214"/>
      <c r="AK38" s="1505"/>
      <c r="AL38" s="1506"/>
      <c r="AM38" s="169"/>
      <c r="AN38" s="1507"/>
      <c r="AO38" s="1530"/>
      <c r="AQ38" s="10">
        <f t="shared" si="1"/>
        <v>0</v>
      </c>
      <c r="AR38" s="10">
        <f t="shared" si="2"/>
        <v>0</v>
      </c>
      <c r="AS38" s="10">
        <f t="shared" si="3"/>
        <v>0</v>
      </c>
      <c r="AT38" s="10">
        <f t="shared" si="4"/>
        <v>0</v>
      </c>
    </row>
    <row r="39" spans="1:46" ht="45" customHeight="1">
      <c r="A39" s="10">
        <f>[7]DATA!A98</f>
        <v>77</v>
      </c>
      <c r="B39" s="10">
        <f>[7]DATA!B98</f>
        <v>0</v>
      </c>
      <c r="C39" s="10" t="str">
        <f>[7]DATA!D98</f>
        <v>INFRASTRUKTUR</v>
      </c>
      <c r="D39" s="10">
        <f>[7]DATA!E98</f>
        <v>1</v>
      </c>
      <c r="E39" s="10" t="str">
        <f>[7]DATA!F98</f>
        <v>Kementerian Pekerjaan Umum dan Perumahan Rakyat</v>
      </c>
      <c r="F39" s="10" t="str">
        <f>[7]DATA!H98</f>
        <v>Mitigation of Water Hazards Program</v>
      </c>
      <c r="G39" s="10" t="str">
        <f>[7]DATA!I98</f>
        <v>K</v>
      </c>
      <c r="H39" s="10" t="str">
        <f>[7]DATA!J98</f>
        <v>Program Mitigasi Terhadap Daya Rusak Air</v>
      </c>
      <c r="I39" s="10">
        <f>[7]DATA!K98</f>
        <v>1</v>
      </c>
      <c r="J39" s="181"/>
      <c r="K39" s="34"/>
      <c r="L39" s="35"/>
      <c r="M39" s="36">
        <v>23</v>
      </c>
      <c r="N39" s="199" t="str">
        <f>[7]DATA!L98</f>
        <v>Lower Solo River Improvement Project - Phase II</v>
      </c>
      <c r="O39" s="1402">
        <f>[7]DATA!T98</f>
        <v>155836000</v>
      </c>
      <c r="P39" s="187">
        <f>[7]DATA!U98</f>
        <v>155836000</v>
      </c>
      <c r="Q39" s="1446">
        <f>[7]DATA!V98</f>
        <v>22500000</v>
      </c>
      <c r="R39" s="1446">
        <f>[7]DATA!W98</f>
        <v>0</v>
      </c>
      <c r="S39" s="1447">
        <f t="shared" si="6"/>
        <v>178336000</v>
      </c>
      <c r="T39" s="1448"/>
      <c r="U39" s="1449" t="str">
        <f>[7]DATA!Y98</f>
        <v>JICA</v>
      </c>
      <c r="V39" s="77">
        <f>[7]DATA!AA98</f>
        <v>155836000</v>
      </c>
      <c r="W39" s="77">
        <v>0</v>
      </c>
      <c r="X39" s="1450" t="str">
        <f>[7]DATA!Y98</f>
        <v>JICA</v>
      </c>
      <c r="Y39" s="109">
        <v>155836000</v>
      </c>
      <c r="Z39" s="109" t="s">
        <v>55</v>
      </c>
      <c r="AA39" s="1484" t="s">
        <v>879</v>
      </c>
      <c r="AB39" s="828"/>
      <c r="AC39" s="828"/>
      <c r="AD39" s="828"/>
      <c r="AE39" s="1142"/>
      <c r="AF39" s="1142"/>
      <c r="AG39" s="1585" t="s">
        <v>1183</v>
      </c>
      <c r="AH39" s="1509">
        <f>[7]DATA!AT98</f>
        <v>155836000</v>
      </c>
      <c r="AI39" s="109" t="str">
        <f>[7]DATA!AU98</f>
        <v>JICA</v>
      </c>
      <c r="AJ39" s="1544" t="str">
        <f>[7]DATA!AW98</f>
        <v>-</v>
      </c>
      <c r="AK39" s="245">
        <f>[7]DATA!AM98</f>
        <v>0</v>
      </c>
      <c r="AL39" s="1510" t="str">
        <f>[7]DATA!AN98</f>
        <v>siap</v>
      </c>
      <c r="AM39" s="1511" t="str">
        <f>[7]DATA!AO98</f>
        <v>dalam proses
(perencanaan)</v>
      </c>
      <c r="AN39" s="1545">
        <f>[7]DATA!AQ98</f>
        <v>0</v>
      </c>
      <c r="AO39" s="1547" t="str">
        <f>[7]DATA!AR98</f>
        <v>belum ada dokumen R/C</v>
      </c>
      <c r="AQ39" s="10">
        <f t="shared" si="1"/>
        <v>0</v>
      </c>
      <c r="AR39" s="10">
        <f t="shared" si="2"/>
        <v>155836000</v>
      </c>
      <c r="AS39" s="10">
        <f t="shared" si="3"/>
        <v>0</v>
      </c>
      <c r="AT39" s="10">
        <f t="shared" si="4"/>
        <v>0</v>
      </c>
    </row>
    <row r="40" spans="1:46" ht="52.5" customHeight="1">
      <c r="A40" s="10">
        <f>[7]DATA!A99</f>
        <v>78</v>
      </c>
      <c r="B40" s="10">
        <f>[7]DATA!B99</f>
        <v>0</v>
      </c>
      <c r="C40" s="10" t="str">
        <f>[7]DATA!D99</f>
        <v>INFRASTRUKTUR</v>
      </c>
      <c r="D40" s="10">
        <f>[7]DATA!E99</f>
        <v>1</v>
      </c>
      <c r="E40" s="10" t="str">
        <f>[7]DATA!F99</f>
        <v>Kementerian Pekerjaan Umum dan Perumahan Rakyat</v>
      </c>
      <c r="F40" s="10" t="str">
        <f>[7]DATA!H99</f>
        <v>Mitigation of Water Hazards Program</v>
      </c>
      <c r="G40" s="10" t="str">
        <f>[7]DATA!I99</f>
        <v>K</v>
      </c>
      <c r="H40" s="10" t="str">
        <f>[7]DATA!J99</f>
        <v>Program Mitigasi Terhadap Daya Rusak Air</v>
      </c>
      <c r="I40" s="10">
        <f>[7]DATA!K99</f>
        <v>2</v>
      </c>
      <c r="J40" s="181"/>
      <c r="K40" s="34"/>
      <c r="L40" s="34"/>
      <c r="M40" s="36">
        <v>24</v>
      </c>
      <c r="N40" s="199" t="str">
        <f>[7]DATA!L99</f>
        <v>Comprehensive Countermeasure for Sediment &amp; Flood Problems in South Sulawesi Province</v>
      </c>
      <c r="O40" s="1402">
        <f>[7]DATA!T99</f>
        <v>108100000</v>
      </c>
      <c r="P40" s="187">
        <f>[7]DATA!U99</f>
        <v>108100000</v>
      </c>
      <c r="Q40" s="1446">
        <f>[7]DATA!V99</f>
        <v>3900000</v>
      </c>
      <c r="R40" s="1446">
        <f>[7]DATA!W99</f>
        <v>0</v>
      </c>
      <c r="S40" s="1447">
        <f t="shared" si="6"/>
        <v>112000000</v>
      </c>
      <c r="T40" s="1448"/>
      <c r="U40" s="1449" t="str">
        <f>[7]DATA!Y99</f>
        <v>JICA</v>
      </c>
      <c r="V40" s="77">
        <f>[7]DATA!AA99</f>
        <v>108100000</v>
      </c>
      <c r="W40" s="77">
        <v>0</v>
      </c>
      <c r="X40" s="1450" t="str">
        <f>[7]DATA!Y99</f>
        <v>JICA</v>
      </c>
      <c r="Y40" s="109">
        <v>108100000</v>
      </c>
      <c r="Z40" s="109" t="s">
        <v>55</v>
      </c>
      <c r="AA40" s="1484" t="s">
        <v>879</v>
      </c>
      <c r="AB40" s="828"/>
      <c r="AC40" s="828"/>
      <c r="AD40" s="828"/>
      <c r="AE40" s="1142"/>
      <c r="AF40" s="1142"/>
      <c r="AG40" s="1585" t="s">
        <v>1183</v>
      </c>
      <c r="AH40" s="1509">
        <f>[7]DATA!AT99</f>
        <v>108100000</v>
      </c>
      <c r="AI40" s="109" t="str">
        <f>[7]DATA!AU99</f>
        <v>JICA</v>
      </c>
      <c r="AJ40" s="1544" t="str">
        <f>[7]DATA!AW99</f>
        <v>-</v>
      </c>
      <c r="AK40" s="245">
        <f>[7]DATA!AM99</f>
        <v>0</v>
      </c>
      <c r="AL40" s="1510" t="str">
        <f>[7]DATA!AN99</f>
        <v>dalam proses
(memiliki FS dan DED)</v>
      </c>
      <c r="AM40" s="1511" t="str">
        <f>[7]DATA!AO99</f>
        <v>belum ada keterangan</v>
      </c>
      <c r="AN40" s="1545">
        <f>[7]DATA!AQ99</f>
        <v>0</v>
      </c>
      <c r="AO40" s="1547" t="str">
        <f>[7]DATA!AR99</f>
        <v>belum ada dokumen R/C</v>
      </c>
      <c r="AQ40" s="10">
        <f t="shared" si="1"/>
        <v>0</v>
      </c>
      <c r="AR40" s="10">
        <f t="shared" si="2"/>
        <v>108100000</v>
      </c>
      <c r="AS40" s="10">
        <f t="shared" si="3"/>
        <v>0</v>
      </c>
      <c r="AT40" s="10">
        <f t="shared" si="4"/>
        <v>0</v>
      </c>
    </row>
    <row r="41" spans="1:46" ht="54.75" customHeight="1">
      <c r="A41" s="10">
        <f>[7]DATA!A101</f>
        <v>80</v>
      </c>
      <c r="B41" s="10">
        <f>[7]DATA!B101</f>
        <v>0</v>
      </c>
      <c r="C41" s="10" t="str">
        <f>[7]DATA!D101</f>
        <v>INFRASTRUKTUR</v>
      </c>
      <c r="D41" s="10">
        <f>[7]DATA!E101</f>
        <v>1</v>
      </c>
      <c r="E41" s="10" t="str">
        <f>[7]DATA!F101</f>
        <v>Kementerian Pekerjaan Umum dan Perumahan Rakyat</v>
      </c>
      <c r="F41" s="10" t="str">
        <f>[7]DATA!H101</f>
        <v>Mitigation of Water Hazards Program</v>
      </c>
      <c r="G41" s="10" t="str">
        <f>[7]DATA!I101</f>
        <v>K</v>
      </c>
      <c r="H41" s="10" t="str">
        <f>[7]DATA!J101</f>
        <v>Program Mitigasi Terhadap Daya Rusak Air</v>
      </c>
      <c r="I41" s="10">
        <f>[7]DATA!K101</f>
        <v>4</v>
      </c>
      <c r="J41" s="181"/>
      <c r="K41" s="34"/>
      <c r="L41" s="34"/>
      <c r="M41" s="36">
        <v>25</v>
      </c>
      <c r="N41" s="199" t="str">
        <f>[7]DATA!L101</f>
        <v>Urgent Disaster Reduction of Mt. Sinabung, Mt. Semeru, Mt. Kelud Mt. Lokon, and Mt. Gamalama</v>
      </c>
      <c r="O41" s="1402">
        <f>[7]DATA!T101</f>
        <v>260000000</v>
      </c>
      <c r="P41" s="187">
        <f>[7]DATA!U101</f>
        <v>260000000</v>
      </c>
      <c r="Q41" s="1446">
        <f>[7]DATA!V101</f>
        <v>26000000</v>
      </c>
      <c r="R41" s="1446">
        <f>[7]DATA!W101</f>
        <v>0</v>
      </c>
      <c r="S41" s="1447">
        <f t="shared" si="6"/>
        <v>286000000</v>
      </c>
      <c r="T41" s="1448"/>
      <c r="U41" s="1449" t="str">
        <f>[7]DATA!Y101</f>
        <v>JICA</v>
      </c>
      <c r="V41" s="77">
        <f>[7]DATA!AA101</f>
        <v>260000000</v>
      </c>
      <c r="W41" s="77">
        <v>0</v>
      </c>
      <c r="X41" s="1450" t="str">
        <f>[7]DATA!Y101</f>
        <v>JICA</v>
      </c>
      <c r="Y41" s="109">
        <v>260000000</v>
      </c>
      <c r="Z41" s="109" t="s">
        <v>55</v>
      </c>
      <c r="AA41" s="1484" t="s">
        <v>879</v>
      </c>
      <c r="AB41" s="828"/>
      <c r="AC41" s="828"/>
      <c r="AD41" s="828"/>
      <c r="AE41" s="1142"/>
      <c r="AF41" s="1142"/>
      <c r="AG41" s="1585" t="s">
        <v>1183</v>
      </c>
      <c r="AH41" s="1509">
        <f>[7]DATA!AT101</f>
        <v>260000000</v>
      </c>
      <c r="AI41" s="109" t="str">
        <f>[7]DATA!AU101</f>
        <v>JICA</v>
      </c>
      <c r="AJ41" s="1544" t="str">
        <f>[7]DATA!AW101</f>
        <v>-</v>
      </c>
      <c r="AK41" s="245">
        <f>[7]DATA!AM101</f>
        <v>0</v>
      </c>
      <c r="AL41" s="1510" t="str">
        <f>[7]DATA!AN101</f>
        <v>siap</v>
      </c>
      <c r="AM41" s="1511" t="str">
        <f>[7]DATA!AO101</f>
        <v>dalam proses
(persiapan)</v>
      </c>
      <c r="AN41" s="1545">
        <f>[7]DATA!AQ101</f>
        <v>0</v>
      </c>
      <c r="AO41" s="1547" t="str">
        <f>[7]DATA!AR101</f>
        <v>belum ada dokumen R/C</v>
      </c>
      <c r="AQ41" s="10">
        <f t="shared" si="1"/>
        <v>0</v>
      </c>
      <c r="AR41" s="10">
        <f t="shared" si="2"/>
        <v>260000000</v>
      </c>
      <c r="AS41" s="10">
        <f t="shared" si="3"/>
        <v>0</v>
      </c>
      <c r="AT41" s="10">
        <f t="shared" si="4"/>
        <v>0</v>
      </c>
    </row>
    <row r="42" spans="1:46" ht="42.75" customHeight="1">
      <c r="A42" s="10">
        <f>[7]DATA!A102</f>
        <v>81</v>
      </c>
      <c r="B42" s="10">
        <f>[7]DATA!B102</f>
        <v>0</v>
      </c>
      <c r="C42" s="10" t="str">
        <f>[7]DATA!D102</f>
        <v>INFRASTRUKTUR</v>
      </c>
      <c r="D42" s="10">
        <f>[7]DATA!E102</f>
        <v>1</v>
      </c>
      <c r="E42" s="10" t="str">
        <f>[7]DATA!F102</f>
        <v>Kementerian Pekerjaan Umum dan Perumahan Rakyat</v>
      </c>
      <c r="F42" s="10" t="str">
        <f>[7]DATA!H102</f>
        <v>Mitigation of Water Hazards Program</v>
      </c>
      <c r="G42" s="10" t="str">
        <f>[7]DATA!I102</f>
        <v>K</v>
      </c>
      <c r="H42" s="10" t="str">
        <f>[7]DATA!J102</f>
        <v>Program Mitigasi Terhadap Daya Rusak Air</v>
      </c>
      <c r="I42" s="10">
        <f>[7]DATA!K102</f>
        <v>5</v>
      </c>
      <c r="J42" s="181"/>
      <c r="K42" s="34"/>
      <c r="L42" s="34"/>
      <c r="M42" s="36">
        <v>26</v>
      </c>
      <c r="N42" s="199" t="str">
        <f>[7]DATA!L102</f>
        <v>Urban Flood Control System Improvement in Selected Cities -Phase II</v>
      </c>
      <c r="O42" s="1402">
        <f>[7]DATA!T102</f>
        <v>120000000</v>
      </c>
      <c r="P42" s="187">
        <f>[7]DATA!U102</f>
        <v>120000000</v>
      </c>
      <c r="Q42" s="1446">
        <f>[7]DATA!V102</f>
        <v>12000000</v>
      </c>
      <c r="R42" s="1446">
        <f>[7]DATA!W102</f>
        <v>0</v>
      </c>
      <c r="S42" s="1447">
        <f t="shared" si="6"/>
        <v>132000000</v>
      </c>
      <c r="T42" s="1448"/>
      <c r="U42" s="1449" t="str">
        <f>[7]DATA!Y102</f>
        <v>JICA</v>
      </c>
      <c r="V42" s="77">
        <f>[7]DATA!AA102</f>
        <v>120000000</v>
      </c>
      <c r="W42" s="77">
        <v>0</v>
      </c>
      <c r="X42" s="1450" t="str">
        <f>[7]DATA!Y102</f>
        <v>JICA</v>
      </c>
      <c r="Y42" s="109">
        <v>120000000</v>
      </c>
      <c r="Z42" s="109" t="s">
        <v>55</v>
      </c>
      <c r="AA42" s="1484" t="s">
        <v>879</v>
      </c>
      <c r="AB42" s="828"/>
      <c r="AC42" s="828"/>
      <c r="AD42" s="828"/>
      <c r="AE42" s="1142"/>
      <c r="AF42" s="1142"/>
      <c r="AG42" s="3278" t="s">
        <v>1200</v>
      </c>
      <c r="AH42" s="1509">
        <f>[7]DATA!AT102</f>
        <v>120000000</v>
      </c>
      <c r="AI42" s="109" t="str">
        <f>[7]DATA!AU102</f>
        <v>JICA</v>
      </c>
      <c r="AJ42" s="1544" t="str">
        <f>[7]DATA!AW102</f>
        <v>-</v>
      </c>
      <c r="AK42" s="245">
        <f>[7]DATA!AM102</f>
        <v>0</v>
      </c>
      <c r="AL42" s="1510" t="str">
        <f>[7]DATA!AN102</f>
        <v>siap</v>
      </c>
      <c r="AM42" s="1511" t="str">
        <f>[7]DATA!AO102</f>
        <v>dalam proses
(perencanaan)</v>
      </c>
      <c r="AN42" s="1545">
        <f>[7]DATA!AQ102</f>
        <v>0</v>
      </c>
      <c r="AO42" s="1547" t="str">
        <f>[7]DATA!AR102</f>
        <v>belum ada dokumen R/C</v>
      </c>
      <c r="AQ42" s="10">
        <f t="shared" si="1"/>
        <v>0</v>
      </c>
      <c r="AR42" s="10">
        <f t="shared" si="2"/>
        <v>120000000</v>
      </c>
      <c r="AS42" s="10">
        <f t="shared" si="3"/>
        <v>0</v>
      </c>
      <c r="AT42" s="10">
        <f t="shared" si="4"/>
        <v>0</v>
      </c>
    </row>
    <row r="43" spans="1:46" ht="42" customHeight="1">
      <c r="A43" s="10">
        <f>[7]DATA!A104</f>
        <v>0</v>
      </c>
      <c r="B43" s="10">
        <f>[7]DATA!B104</f>
        <v>0</v>
      </c>
      <c r="C43" s="10" t="str">
        <f>[7]DATA!D104</f>
        <v>INFRASTRUKTUR</v>
      </c>
      <c r="D43" s="10">
        <f>[7]DATA!E104</f>
        <v>1</v>
      </c>
      <c r="E43" s="10" t="str">
        <f>[7]DATA!F104</f>
        <v>Kementerian Pekerjaan Umum dan Perumahan Rakyat</v>
      </c>
      <c r="F43" s="10" t="str">
        <f>[7]DATA!H104</f>
        <v>Mitigation of Water Hazards Program</v>
      </c>
      <c r="G43" s="10" t="str">
        <f>[7]DATA!I104</f>
        <v>K</v>
      </c>
      <c r="H43" s="10" t="str">
        <f>[7]DATA!J104</f>
        <v>Program Mitigasi Terhadap Daya Rusak Air</v>
      </c>
      <c r="I43" s="10">
        <f>[7]DATA!K104</f>
        <v>6</v>
      </c>
      <c r="J43" s="181"/>
      <c r="K43" s="34"/>
      <c r="L43" s="34"/>
      <c r="M43" s="36">
        <v>27</v>
      </c>
      <c r="N43" s="199" t="str">
        <f>[7]DATA!L108</f>
        <v>Flood Management in Selected River Basins Sector Project (Additional Financing)</v>
      </c>
      <c r="O43" s="1402">
        <f>[7]DATA!T108</f>
        <v>200000000</v>
      </c>
      <c r="P43" s="187">
        <f>[7]DATA!U108</f>
        <v>200000000</v>
      </c>
      <c r="Q43" s="1453">
        <f>[7]DATA!V108</f>
        <v>20000000</v>
      </c>
      <c r="R43" s="1453">
        <f>[7]DATA!W108</f>
        <v>0</v>
      </c>
      <c r="S43" s="1447">
        <f t="shared" si="6"/>
        <v>220000000</v>
      </c>
      <c r="T43" s="1448"/>
      <c r="U43" s="1509" t="str">
        <f>[7]DATA!Y108</f>
        <v>Belum Ada Indikasi</v>
      </c>
      <c r="V43" s="77">
        <v>0</v>
      </c>
      <c r="W43" s="77">
        <f>[7]DATA!AA108</f>
        <v>200000000</v>
      </c>
      <c r="X43" s="1450" t="str">
        <f>[7]DATA!Y108</f>
        <v>Belum Ada Indikasi</v>
      </c>
      <c r="Y43" s="109">
        <v>200000000</v>
      </c>
      <c r="Z43" s="109" t="s">
        <v>117</v>
      </c>
      <c r="AA43" s="1484" t="s">
        <v>879</v>
      </c>
      <c r="AB43" s="828"/>
      <c r="AC43" s="828"/>
      <c r="AD43" s="828"/>
      <c r="AE43" s="1142"/>
      <c r="AF43" s="1142"/>
      <c r="AG43" s="1634" t="s">
        <v>1201</v>
      </c>
      <c r="AH43" s="1509">
        <f>[7]DATA!AT108</f>
        <v>200000000</v>
      </c>
      <c r="AI43" s="109" t="str">
        <f>[7]DATA!AU108</f>
        <v>ADB</v>
      </c>
      <c r="AJ43" s="1544" t="str">
        <f>[7]DATA!AW108</f>
        <v>sudah masuk COBP ADB</v>
      </c>
      <c r="AK43" s="245">
        <f>[7]DATA!AM108</f>
        <v>0</v>
      </c>
      <c r="AL43" s="1510" t="str">
        <f>[7]DATA!AN108</f>
        <v>belum ada keterangan</v>
      </c>
      <c r="AM43" s="1511" t="str">
        <f>[7]DATA!AO108</f>
        <v>belum ada keterangan</v>
      </c>
      <c r="AN43" s="1545">
        <f>[7]DATA!AQ108</f>
        <v>0</v>
      </c>
      <c r="AO43" s="1547" t="str">
        <f>[7]DATA!AR108</f>
        <v>belum ada dokumen R/C</v>
      </c>
      <c r="AQ43" s="10">
        <f t="shared" si="1"/>
        <v>0</v>
      </c>
      <c r="AR43" s="10">
        <f t="shared" si="2"/>
        <v>0</v>
      </c>
      <c r="AS43" s="10">
        <f t="shared" si="3"/>
        <v>0</v>
      </c>
      <c r="AT43" s="10">
        <f t="shared" si="4"/>
        <v>0</v>
      </c>
    </row>
    <row r="44" spans="1:46" ht="69" customHeight="1">
      <c r="J44" s="181"/>
      <c r="K44" s="34"/>
      <c r="L44" s="34"/>
      <c r="M44" s="3390">
        <v>28</v>
      </c>
      <c r="N44" s="3569" t="str">
        <f>[7]DATA!L105</f>
        <v>Engineering Service for Coastal and River Development Project</v>
      </c>
      <c r="O44" s="3596">
        <f>[7]DATA!T105</f>
        <v>50000000</v>
      </c>
      <c r="P44" s="3403">
        <f>[7]DATA!U105</f>
        <v>50000000</v>
      </c>
      <c r="Q44" s="3443"/>
      <c r="R44" s="3443"/>
      <c r="S44" s="3603"/>
      <c r="T44" s="188"/>
      <c r="U44" s="1449" t="str">
        <f>[7]DATA!Y105</f>
        <v>Korea</v>
      </c>
      <c r="V44" s="1458">
        <f>[7]DATA!AA105</f>
        <v>10500000</v>
      </c>
      <c r="W44" s="77"/>
      <c r="X44" s="1441" t="str">
        <f>[7]DATA!Y105</f>
        <v>Korea</v>
      </c>
      <c r="Y44" s="1622">
        <v>10094400</v>
      </c>
      <c r="Z44" s="109" t="s">
        <v>28</v>
      </c>
      <c r="AA44" s="3254" t="s">
        <v>1198</v>
      </c>
      <c r="AB44" s="1474"/>
      <c r="AC44" s="1474"/>
      <c r="AD44" s="1474"/>
      <c r="AE44" s="1621"/>
      <c r="AF44" s="1473"/>
      <c r="AG44" s="3281" t="s">
        <v>1202</v>
      </c>
      <c r="AH44" s="1509">
        <f>[7]DATA!AT105</f>
        <v>10500000</v>
      </c>
      <c r="AI44" s="109" t="str">
        <f>[7]DATA!AU105</f>
        <v>Korea</v>
      </c>
      <c r="AJ44" s="1544" t="str">
        <f>[7]DATA!AW105</f>
        <v>- co-financing dengan ADB (USD 9,6 juta) dan belum ada indikasi (USD 29,9 juta)
- masuk rolling plan EDCF (Korea)</v>
      </c>
      <c r="AK44" s="1625">
        <f>[7]DATA!AM105</f>
        <v>2016</v>
      </c>
      <c r="AL44" s="1510" t="str">
        <f>[7]DATA!AN105</f>
        <v>siap</v>
      </c>
      <c r="AM44" s="1511" t="str">
        <f>[7]DATA!AO105</f>
        <v>tidak butuh lahan</v>
      </c>
      <c r="AN44" s="1545">
        <f>[7]DATA!AQ105</f>
        <v>0</v>
      </c>
      <c r="AO44" s="1547" t="str">
        <f>[7]DATA!AR105</f>
        <v>-</v>
      </c>
      <c r="AQ44" s="10">
        <f t="shared" si="1"/>
        <v>0</v>
      </c>
      <c r="AR44" s="10">
        <f t="shared" si="2"/>
        <v>0</v>
      </c>
      <c r="AS44" s="10">
        <f t="shared" si="3"/>
        <v>0</v>
      </c>
      <c r="AT44" s="10">
        <f t="shared" si="4"/>
        <v>10094400</v>
      </c>
    </row>
    <row r="45" spans="1:46" ht="66" customHeight="1">
      <c r="J45" s="181"/>
      <c r="K45" s="34"/>
      <c r="L45" s="34"/>
      <c r="M45" s="3391"/>
      <c r="N45" s="3570"/>
      <c r="O45" s="3597"/>
      <c r="P45" s="3404"/>
      <c r="Q45" s="3445"/>
      <c r="R45" s="3445"/>
      <c r="S45" s="3604"/>
      <c r="T45" s="1439"/>
      <c r="U45" s="1449" t="str">
        <f>[7]DATA!Y106</f>
        <v>Belum Ada Indikasi</v>
      </c>
      <c r="V45" s="1458">
        <v>0</v>
      </c>
      <c r="W45" s="1458">
        <f>[7]DATA!AA106</f>
        <v>29880000</v>
      </c>
      <c r="X45" s="1441" t="str">
        <f>[7]DATA!Y106</f>
        <v>Belum Ada Indikasi</v>
      </c>
      <c r="Y45" s="1622">
        <f>40380000-Y44</f>
        <v>30285600</v>
      </c>
      <c r="Z45" s="109" t="s">
        <v>633</v>
      </c>
      <c r="AA45" s="1484" t="s">
        <v>879</v>
      </c>
      <c r="AB45" s="828"/>
      <c r="AC45" s="828"/>
      <c r="AD45" s="828"/>
      <c r="AE45" s="1142"/>
      <c r="AF45" s="1142"/>
      <c r="AG45" s="1623" t="s">
        <v>1203</v>
      </c>
      <c r="AH45" s="1509">
        <f>[7]DATA!AT106</f>
        <v>29880000</v>
      </c>
      <c r="AI45" s="109" t="str">
        <f>[7]DATA!AU106</f>
        <v>Belum Ada Indikasi</v>
      </c>
      <c r="AJ45" s="1544" t="str">
        <f>[7]DATA!AW106</f>
        <v>co-financing dengan Korea (USD 10,5 juta) dan ADB (USD 29,8 juta)</v>
      </c>
      <c r="AK45" s="245" t="str">
        <f>[7]DATA!AM106</f>
        <v>-</v>
      </c>
      <c r="AL45" s="1510" t="str">
        <f>[7]DATA!AN106</f>
        <v>belum ada keterangan</v>
      </c>
      <c r="AM45" s="1511" t="str">
        <f>[7]DATA!AO106</f>
        <v>belum ada keterangan</v>
      </c>
      <c r="AN45" s="1545">
        <f>[7]DATA!AQ106</f>
        <v>0</v>
      </c>
      <c r="AO45" s="1547" t="str">
        <f>[7]DATA!AR106</f>
        <v>-</v>
      </c>
      <c r="AQ45" s="10">
        <f t="shared" si="1"/>
        <v>0</v>
      </c>
      <c r="AR45" s="10">
        <f t="shared" si="2"/>
        <v>0</v>
      </c>
      <c r="AS45" s="10">
        <f t="shared" si="3"/>
        <v>30285600</v>
      </c>
      <c r="AT45" s="10">
        <f t="shared" si="4"/>
        <v>0</v>
      </c>
    </row>
    <row r="46" spans="1:46" s="5" customFormat="1" ht="33.75" customHeight="1">
      <c r="J46" s="180"/>
      <c r="K46" s="50"/>
      <c r="L46" s="30" t="s">
        <v>244</v>
      </c>
      <c r="M46" s="3427" t="str">
        <f>[7]DATA!J110</f>
        <v>Program Pengelolaan Infrastruktur Sumber Daya Air</v>
      </c>
      <c r="N46" s="3556"/>
      <c r="O46" s="214" t="e">
        <f>+#REF!+O47+O48</f>
        <v>#REF!</v>
      </c>
      <c r="P46" s="197" t="e">
        <f>+#REF!+P47+P48</f>
        <v>#REF!</v>
      </c>
      <c r="Q46" s="1436">
        <f>SUM(Q47:Q48)</f>
        <v>80000000</v>
      </c>
      <c r="R46" s="1436" t="e">
        <f>+#REF!+R47+R48</f>
        <v>#REF!</v>
      </c>
      <c r="S46" s="244" t="e">
        <f t="shared" ref="S46:S49" si="7">P46+Q46+R46</f>
        <v>#REF!</v>
      </c>
      <c r="T46" s="1437"/>
      <c r="U46" s="1539"/>
      <c r="V46" s="81" t="e">
        <f>+#REF!+V47+V48</f>
        <v>#REF!</v>
      </c>
      <c r="W46" s="81" t="e">
        <f>+#REF!+W47+W48</f>
        <v>#REF!</v>
      </c>
      <c r="X46" s="243"/>
      <c r="Y46" s="81">
        <f>Y47+Y48</f>
        <v>400000000</v>
      </c>
      <c r="Z46" s="81"/>
      <c r="AA46" s="1469"/>
      <c r="AB46" s="1470"/>
      <c r="AC46" s="1470"/>
      <c r="AD46" s="1470"/>
      <c r="AE46" s="1573"/>
      <c r="AF46" s="1469"/>
      <c r="AG46" s="1577"/>
      <c r="AH46" s="198" t="e">
        <f>+#REF!+#REF!+AH47+AH48</f>
        <v>#REF!</v>
      </c>
      <c r="AI46" s="81" t="s">
        <v>21</v>
      </c>
      <c r="AJ46" s="214"/>
      <c r="AK46" s="1505"/>
      <c r="AL46" s="1506"/>
      <c r="AM46" s="169"/>
      <c r="AN46" s="1507"/>
      <c r="AO46" s="1530"/>
      <c r="AQ46" s="10">
        <f t="shared" si="1"/>
        <v>0</v>
      </c>
      <c r="AR46" s="10">
        <f t="shared" si="2"/>
        <v>0</v>
      </c>
      <c r="AS46" s="10">
        <f t="shared" si="3"/>
        <v>0</v>
      </c>
      <c r="AT46" s="10">
        <f t="shared" si="4"/>
        <v>0</v>
      </c>
    </row>
    <row r="47" spans="1:46" ht="27" customHeight="1">
      <c r="A47" s="10">
        <f>[7]DATA!A113</f>
        <v>86</v>
      </c>
      <c r="B47" s="10">
        <f>[7]DATA!B113</f>
        <v>0</v>
      </c>
      <c r="C47" s="10" t="str">
        <f>[7]DATA!D113</f>
        <v>INFRASTRUKTUR</v>
      </c>
      <c r="D47" s="10">
        <f>[7]DATA!E113</f>
        <v>1</v>
      </c>
      <c r="E47" s="10" t="str">
        <f>[7]DATA!F113</f>
        <v>Kementerian Pekerjaan Umum dan Perumahan Rakyat</v>
      </c>
      <c r="F47" s="10" t="str">
        <f>[7]DATA!H113</f>
        <v>Management of Water Resources Infrastructure Program</v>
      </c>
      <c r="G47" s="10" t="str">
        <f>[7]DATA!I113</f>
        <v>L</v>
      </c>
      <c r="H47" s="10" t="str">
        <f>[7]DATA!J113</f>
        <v>Program Pengelolaan Infrastruktur Sumber Daya Air</v>
      </c>
      <c r="I47" s="10">
        <f>[7]DATA!K113</f>
        <v>2</v>
      </c>
      <c r="J47" s="181"/>
      <c r="K47" s="34"/>
      <c r="L47" s="34"/>
      <c r="M47" s="36">
        <v>29</v>
      </c>
      <c r="N47" s="199" t="str">
        <f>[7]DATA!L113</f>
        <v>Enhanced Water Security Investment Program</v>
      </c>
      <c r="O47" s="1402">
        <f>[7]DATA!T113</f>
        <v>350000000</v>
      </c>
      <c r="P47" s="187">
        <f>[7]DATA!U113</f>
        <v>350000000</v>
      </c>
      <c r="Q47" s="1446">
        <f>[7]DATA!V113</f>
        <v>70000000</v>
      </c>
      <c r="R47" s="1446">
        <f>[7]DATA!W113</f>
        <v>0</v>
      </c>
      <c r="S47" s="1447">
        <f t="shared" si="7"/>
        <v>420000000</v>
      </c>
      <c r="T47" s="1448"/>
      <c r="U47" s="1449" t="str">
        <f>[7]DATA!Y113</f>
        <v>ADB</v>
      </c>
      <c r="V47" s="77">
        <f>[7]DATA!AA113</f>
        <v>350000000</v>
      </c>
      <c r="W47" s="77">
        <v>0</v>
      </c>
      <c r="X47" s="1450" t="str">
        <f>[7]DATA!Y113</f>
        <v>ADB</v>
      </c>
      <c r="Y47" s="109">
        <v>350000000</v>
      </c>
      <c r="Z47" s="109" t="s">
        <v>117</v>
      </c>
      <c r="AA47" s="1484" t="s">
        <v>879</v>
      </c>
      <c r="AB47" s="828"/>
      <c r="AC47" s="828"/>
      <c r="AD47" s="828"/>
      <c r="AE47" s="1142"/>
      <c r="AF47" s="1142"/>
      <c r="AG47" s="1634" t="s">
        <v>1201</v>
      </c>
      <c r="AH47" s="1509">
        <f>[7]DATA!AT113</f>
        <v>350000000</v>
      </c>
      <c r="AI47" s="109" t="str">
        <f>[7]DATA!AU113</f>
        <v>ADB</v>
      </c>
      <c r="AJ47" s="1544" t="str">
        <f>[7]DATA!AW113</f>
        <v>-</v>
      </c>
      <c r="AK47" s="245">
        <f>[7]DATA!AM113</f>
        <v>0</v>
      </c>
      <c r="AL47" s="1510" t="str">
        <f>[7]DATA!AN113</f>
        <v>belum ada keterangan</v>
      </c>
      <c r="AM47" s="1511" t="str">
        <f>[7]DATA!AO113</f>
        <v>belum ada keterangan</v>
      </c>
      <c r="AN47" s="1545">
        <f>[7]DATA!AQ113</f>
        <v>0</v>
      </c>
      <c r="AO47" s="1547" t="str">
        <f>[7]DATA!AR113</f>
        <v>belum ada dokumen R/C</v>
      </c>
      <c r="AQ47" s="10">
        <f t="shared" si="1"/>
        <v>0</v>
      </c>
      <c r="AR47" s="10">
        <f t="shared" si="2"/>
        <v>0</v>
      </c>
      <c r="AS47" s="10">
        <f t="shared" si="3"/>
        <v>0</v>
      </c>
      <c r="AT47" s="10">
        <f t="shared" si="4"/>
        <v>0</v>
      </c>
    </row>
    <row r="48" spans="1:46" ht="38.25" customHeight="1">
      <c r="A48" s="10">
        <f>[7]DATA!A114</f>
        <v>87</v>
      </c>
      <c r="B48" s="10">
        <f>[7]DATA!B114</f>
        <v>0</v>
      </c>
      <c r="C48" s="10" t="str">
        <f>[7]DATA!D114</f>
        <v>INFRASTRUKTUR</v>
      </c>
      <c r="D48" s="10">
        <f>[7]DATA!E114</f>
        <v>1</v>
      </c>
      <c r="E48" s="10" t="str">
        <f>[7]DATA!F114</f>
        <v>Kementerian Pekerjaan Umum dan Perumahan Rakyat</v>
      </c>
      <c r="F48" s="10" t="str">
        <f>[7]DATA!H114</f>
        <v>Management of Water Resources Infrastructure Program</v>
      </c>
      <c r="G48" s="10" t="str">
        <f>[7]DATA!I114</f>
        <v>L</v>
      </c>
      <c r="H48" s="10" t="str">
        <f>[7]DATA!J114</f>
        <v>Program Pengelolaan Infrastruktur Sumber Daya Air</v>
      </c>
      <c r="I48" s="10">
        <f>[7]DATA!K114</f>
        <v>3</v>
      </c>
      <c r="J48" s="181"/>
      <c r="K48" s="34"/>
      <c r="L48" s="54"/>
      <c r="M48" s="36">
        <v>30</v>
      </c>
      <c r="N48" s="199" t="str">
        <f>[7]DATA!L114</f>
        <v>Engineering Service for Water Resources Infrastructure Management</v>
      </c>
      <c r="O48" s="1402">
        <f>[7]DATA!T114</f>
        <v>50000000</v>
      </c>
      <c r="P48" s="187">
        <f>[7]DATA!U114</f>
        <v>50000000</v>
      </c>
      <c r="Q48" s="1446">
        <f>[7]DATA!V114</f>
        <v>10000000</v>
      </c>
      <c r="R48" s="1446">
        <f>[7]DATA!W114</f>
        <v>0</v>
      </c>
      <c r="S48" s="1447">
        <f t="shared" si="7"/>
        <v>60000000</v>
      </c>
      <c r="T48" s="1448"/>
      <c r="U48" s="1449" t="str">
        <f>[7]DATA!Y114</f>
        <v>Belum Ada Indikasi</v>
      </c>
      <c r="V48" s="77">
        <v>0</v>
      </c>
      <c r="W48" s="77">
        <f>[7]DATA!AA114</f>
        <v>50000000</v>
      </c>
      <c r="X48" s="1450" t="str">
        <f>[7]DATA!Y114</f>
        <v>Belum Ada Indikasi</v>
      </c>
      <c r="Y48" s="109">
        <v>50000000</v>
      </c>
      <c r="Z48" s="109" t="s">
        <v>633</v>
      </c>
      <c r="AA48" s="1484" t="s">
        <v>879</v>
      </c>
      <c r="AB48" s="828"/>
      <c r="AC48" s="828"/>
      <c r="AD48" s="828"/>
      <c r="AE48" s="1142"/>
      <c r="AF48" s="1142"/>
      <c r="AG48" s="1623" t="s">
        <v>1203</v>
      </c>
      <c r="AH48" s="1509">
        <f>[7]DATA!AT114</f>
        <v>50000000</v>
      </c>
      <c r="AI48" s="109" t="str">
        <f>[7]DATA!AU114</f>
        <v>ADB</v>
      </c>
      <c r="AJ48" s="1544" t="str">
        <f>[7]DATA!AW114</f>
        <v>sudah masuk COBP ADB</v>
      </c>
      <c r="AK48" s="245">
        <f>[7]DATA!AM114</f>
        <v>0</v>
      </c>
      <c r="AL48" s="1510" t="str">
        <f>[7]DATA!AN114</f>
        <v>siap</v>
      </c>
      <c r="AM48" s="1511" t="str">
        <f>[7]DATA!AO114</f>
        <v>tidak butuh lahan</v>
      </c>
      <c r="AN48" s="1545">
        <f>[7]DATA!AQ114</f>
        <v>0</v>
      </c>
      <c r="AO48" s="1547" t="str">
        <f>[7]DATA!AR114</f>
        <v>belum ada dokumen R/C</v>
      </c>
      <c r="AQ48" s="10">
        <f t="shared" si="1"/>
        <v>0</v>
      </c>
      <c r="AR48" s="10">
        <f t="shared" si="2"/>
        <v>0</v>
      </c>
      <c r="AS48" s="10">
        <f t="shared" si="3"/>
        <v>50000000</v>
      </c>
      <c r="AT48" s="10">
        <f t="shared" si="4"/>
        <v>0</v>
      </c>
    </row>
    <row r="49" spans="1:46" s="3" customFormat="1" ht="30" customHeight="1">
      <c r="J49" s="3450" t="s">
        <v>477</v>
      </c>
      <c r="K49" s="3451"/>
      <c r="L49" s="3451"/>
      <c r="M49" s="3573"/>
      <c r="N49" s="3573"/>
      <c r="O49" s="282" t="e">
        <f>+O8+#REF!</f>
        <v>#REF!</v>
      </c>
      <c r="P49" s="278" t="e">
        <f>+P8+#REF!</f>
        <v>#REF!</v>
      </c>
      <c r="Q49" s="1460" t="e">
        <f>+Q8+#REF!</f>
        <v>#REF!</v>
      </c>
      <c r="R49" s="1460" t="e">
        <f>+R8+#REF!</f>
        <v>#REF!</v>
      </c>
      <c r="S49" s="288" t="e">
        <f t="shared" si="7"/>
        <v>#REF!</v>
      </c>
      <c r="T49" s="1461"/>
      <c r="U49" s="279"/>
      <c r="V49" s="280" t="e">
        <f>+V8+#REF!</f>
        <v>#REF!</v>
      </c>
      <c r="W49" s="280" t="e">
        <f>+W8+#REF!</f>
        <v>#REF!</v>
      </c>
      <c r="X49" s="287"/>
      <c r="Y49" s="280">
        <f>+Y8</f>
        <v>6557429000</v>
      </c>
      <c r="Z49" s="280"/>
      <c r="AA49" s="280"/>
      <c r="AB49" s="1490"/>
      <c r="AC49" s="1490"/>
      <c r="AD49" s="1490"/>
      <c r="AE49" s="287"/>
      <c r="AF49" s="287"/>
      <c r="AG49" s="285"/>
      <c r="AH49" s="279" t="e">
        <f>+AH8+#REF!</f>
        <v>#REF!</v>
      </c>
      <c r="AI49" s="280" t="s">
        <v>21</v>
      </c>
      <c r="AJ49" s="280" t="s">
        <v>21</v>
      </c>
      <c r="AK49" s="1523"/>
      <c r="AL49" s="1524"/>
      <c r="AM49" s="1525"/>
      <c r="AN49" s="1526"/>
      <c r="AO49" s="1534"/>
      <c r="AP49" s="12"/>
      <c r="AQ49" s="1535">
        <f>SUM(AQ10:AQ48)</f>
        <v>552100000</v>
      </c>
      <c r="AR49" s="1535">
        <f>SUM(AR10:AR48)</f>
        <v>843936000</v>
      </c>
      <c r="AS49" s="1535">
        <f>SUM(AS10:AS48)</f>
        <v>2001592620</v>
      </c>
      <c r="AT49" s="1535">
        <f>SUM(AT10:AT48)</f>
        <v>701345380</v>
      </c>
    </row>
    <row r="50" spans="1:46" s="12" customFormat="1">
      <c r="A50" s="10"/>
      <c r="B50" s="10"/>
      <c r="C50" s="10"/>
      <c r="D50" s="10"/>
      <c r="E50" s="10"/>
      <c r="F50" s="10"/>
      <c r="G50" s="10"/>
      <c r="H50" s="10"/>
      <c r="I50" s="10"/>
      <c r="J50" s="11"/>
      <c r="K50" s="10"/>
      <c r="L50" s="10"/>
      <c r="M50" s="1425"/>
      <c r="N50" s="1426"/>
      <c r="O50" s="13"/>
      <c r="P50" s="13"/>
      <c r="Q50" s="1395"/>
      <c r="R50" s="1395"/>
      <c r="S50" s="13"/>
      <c r="T50" s="13"/>
      <c r="U50" s="14"/>
      <c r="V50" s="13"/>
      <c r="W50" s="13"/>
      <c r="X50" s="13"/>
      <c r="Y50" s="13"/>
      <c r="Z50" s="13"/>
      <c r="AA50" s="13"/>
      <c r="AB50" s="13"/>
      <c r="AC50" s="13"/>
      <c r="AD50" s="13"/>
      <c r="AE50" s="13"/>
      <c r="AF50" s="13"/>
      <c r="AG50" s="13"/>
      <c r="AK50" s="14"/>
      <c r="AL50" s="14"/>
      <c r="AM50" s="14"/>
      <c r="AN50" s="14"/>
      <c r="AO50" s="175"/>
    </row>
    <row r="51" spans="1:46" s="12" customFormat="1">
      <c r="A51" s="10"/>
      <c r="B51" s="10"/>
      <c r="C51" s="10"/>
      <c r="D51" s="10"/>
      <c r="E51" s="10"/>
      <c r="F51" s="10"/>
      <c r="G51" s="10"/>
      <c r="H51" s="10"/>
      <c r="I51" s="10"/>
      <c r="J51" s="11"/>
      <c r="K51" s="10" t="s">
        <v>1111</v>
      </c>
      <c r="L51" s="10"/>
      <c r="M51" s="10"/>
      <c r="O51" s="13"/>
      <c r="P51" s="13"/>
      <c r="Q51" s="1395"/>
      <c r="R51" s="1395"/>
      <c r="S51" s="13"/>
      <c r="T51" s="13"/>
      <c r="U51" s="14"/>
      <c r="V51" s="13" t="e">
        <f>V49+W49</f>
        <v>#REF!</v>
      </c>
      <c r="W51" s="13"/>
      <c r="X51" s="13"/>
      <c r="Y51" s="13"/>
      <c r="Z51" s="13"/>
      <c r="AA51" s="13"/>
      <c r="AB51" s="13"/>
      <c r="AC51" s="13"/>
      <c r="AD51" s="13"/>
      <c r="AE51" s="13"/>
      <c r="AF51" s="13"/>
      <c r="AG51" s="13"/>
      <c r="AH51" s="289"/>
      <c r="AK51" s="14"/>
      <c r="AL51" s="14"/>
      <c r="AM51" s="14"/>
      <c r="AN51" s="14"/>
      <c r="AO51" s="175"/>
      <c r="AP51" s="10"/>
    </row>
    <row r="52" spans="1:46">
      <c r="V52" s="13" t="e">
        <f>V51-AH49</f>
        <v>#REF!</v>
      </c>
      <c r="Y52" s="13">
        <f>Y49+5809063500</f>
        <v>12366492500</v>
      </c>
      <c r="Z52" s="13" t="e">
        <f>Y49-#REF!</f>
        <v>#REF!</v>
      </c>
    </row>
  </sheetData>
  <autoFilter ref="A7:AO49"/>
  <mergeCells count="54">
    <mergeCell ref="AL12:AL13"/>
    <mergeCell ref="AL36:AL37"/>
    <mergeCell ref="AM12:AM13"/>
    <mergeCell ref="AM36:AM37"/>
    <mergeCell ref="J5:N6"/>
    <mergeCell ref="Z17:Z18"/>
    <mergeCell ref="AA5:AA6"/>
    <mergeCell ref="AA17:AA18"/>
    <mergeCell ref="AG5:AG6"/>
    <mergeCell ref="AG17:AG18"/>
    <mergeCell ref="U12:U13"/>
    <mergeCell ref="V12:V13"/>
    <mergeCell ref="W12:W13"/>
    <mergeCell ref="X12:X13"/>
    <mergeCell ref="Y5:Y6"/>
    <mergeCell ref="S12:S13"/>
    <mergeCell ref="S36:S37"/>
    <mergeCell ref="S44:S45"/>
    <mergeCell ref="T5:T6"/>
    <mergeCell ref="T36:T37"/>
    <mergeCell ref="Q12:Q13"/>
    <mergeCell ref="Q36:Q37"/>
    <mergeCell ref="Q44:Q45"/>
    <mergeCell ref="R5:R6"/>
    <mergeCell ref="R12:R13"/>
    <mergeCell ref="R36:R37"/>
    <mergeCell ref="R44:R45"/>
    <mergeCell ref="O12:O13"/>
    <mergeCell ref="O36:O37"/>
    <mergeCell ref="O44:O45"/>
    <mergeCell ref="P5:P6"/>
    <mergeCell ref="P12:P13"/>
    <mergeCell ref="P36:P37"/>
    <mergeCell ref="P44:P45"/>
    <mergeCell ref="M46:N46"/>
    <mergeCell ref="J49:N49"/>
    <mergeCell ref="M11:M13"/>
    <mergeCell ref="M36:M37"/>
    <mergeCell ref="M44:M45"/>
    <mergeCell ref="N12:N13"/>
    <mergeCell ref="N36:N37"/>
    <mergeCell ref="N44:N45"/>
    <mergeCell ref="J1:AO1"/>
    <mergeCell ref="J2:AO2"/>
    <mergeCell ref="U4:AJ4"/>
    <mergeCell ref="AK4:AO4"/>
    <mergeCell ref="U5:X5"/>
    <mergeCell ref="AB5:AF5"/>
    <mergeCell ref="AH5:AJ5"/>
    <mergeCell ref="AK5:AO5"/>
    <mergeCell ref="O5:O6"/>
    <mergeCell ref="Q5:Q6"/>
    <mergeCell ref="S5:S6"/>
    <mergeCell ref="Z5:Z6"/>
  </mergeCells>
  <printOptions horizontalCentered="1"/>
  <pageMargins left="0.39305555555555599" right="0.39305555555555599" top="0.39305555555555599" bottom="0.39305555555555599" header="0.31458333333333299" footer="0.196527777777778"/>
  <pageSetup paperSize="9" scale="41" fitToHeight="0" orientation="portrait"/>
  <headerFooter>
    <oddFooter>&amp;R&amp;"Cambria,Italic"&amp;9&amp;P/&amp;N</oddFooter>
  </headerFooter>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AT41"/>
  <sheetViews>
    <sheetView topLeftCell="J1" zoomScale="70" zoomScaleNormal="70" workbookViewId="0">
      <pane ySplit="7" topLeftCell="A8" activePane="bottomLeft" state="frozen"/>
      <selection pane="bottomLeft" activeCell="Y18" sqref="Y18"/>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1350</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1351</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[8]DATA!B2</f>
        <v>I</v>
      </c>
      <c r="K8" s="22" t="str">
        <f>[8]DATA!D2</f>
        <v>INFRASTRUKTUR</v>
      </c>
      <c r="L8" s="22"/>
      <c r="M8" s="22"/>
      <c r="N8" s="1404"/>
      <c r="O8" s="212" t="e">
        <f>O9+#REF!+#REF!+#REF!+#REF!+#REF!+#REF!+#REF!+O29+#REF!</f>
        <v>#REF!</v>
      </c>
      <c r="P8" s="191" t="e">
        <f>P9+#REF!+#REF!+#REF!+#REF!+#REF!+#REF!+#REF!+P29+#REF!</f>
        <v>#NAME?</v>
      </c>
      <c r="Q8" s="191" t="e">
        <f>+Q9+#REF!+#REF!+#REF!+#REF!+#REF!+#REF!+Q29+#REF!</f>
        <v>#REF!</v>
      </c>
      <c r="R8" s="191" t="e">
        <f>+R9+#REF!+#REF!+#REF!+#REF!+#REF!+#REF!+R29+#REF!</f>
        <v>#REF!</v>
      </c>
      <c r="S8" s="240" t="e">
        <f>+S9+#REF!+#REF!+#REF!+#REF!+#REF!+#REF!+S29+#REF!</f>
        <v>#NAME?</v>
      </c>
      <c r="T8" s="1433"/>
      <c r="U8" s="192"/>
      <c r="V8" s="79" t="e">
        <f>+V9+#REF!+#REF!+#REF!+#REF!+#REF!+#REF!+V29+#REF!</f>
        <v>#REF!</v>
      </c>
      <c r="W8" s="79" t="e">
        <f>+W9+#REF!+#REF!+#REF!+#REF!+#REF!+#REF!+W29+#REF!</f>
        <v>#REF!</v>
      </c>
      <c r="X8" s="239" t="e">
        <f>+X9+#REF!+#REF!+#REF!+#REF!+#REF!</f>
        <v>#REF!</v>
      </c>
      <c r="Y8" s="79">
        <f>Y9+Y29</f>
        <v>4680000000</v>
      </c>
      <c r="Z8" s="79"/>
      <c r="AA8" s="224"/>
      <c r="AB8" s="1464"/>
      <c r="AC8" s="1464"/>
      <c r="AD8" s="1464"/>
      <c r="AE8" s="1464"/>
      <c r="AF8" s="1464"/>
      <c r="AG8" s="1495"/>
      <c r="AH8" s="192" t="e">
        <f>+AH9+#REF!+#REF!+#REF!+#REF!+#REF!+#REF!+AH29+#REF!</f>
        <v>#REF!</v>
      </c>
      <c r="AI8" s="79" t="s">
        <v>21</v>
      </c>
      <c r="AJ8" s="212" t="e">
        <f>P8-AH8</f>
        <v>#NAME?</v>
      </c>
      <c r="AK8" s="1496"/>
      <c r="AL8" s="1497"/>
      <c r="AM8" s="1498"/>
      <c r="AN8" s="1499"/>
      <c r="AO8" s="1528"/>
    </row>
    <row r="9" spans="1:46" s="4" customFormat="1" ht="24.95" customHeight="1">
      <c r="J9" s="179"/>
      <c r="K9" s="25">
        <f>[8]DATA!E2</f>
        <v>1</v>
      </c>
      <c r="L9" s="26" t="str">
        <f>[8]DATA!F2</f>
        <v>Kementerian Pekerjaan Umum dan Perumahan Rakyat</v>
      </c>
      <c r="M9" s="26"/>
      <c r="N9" s="1416"/>
      <c r="O9" s="213" t="e">
        <f>O10+O14+O20+#REF!+#REF!+#REF!+#REF!+#REF!+#REF!+#REF!+#REF!+#REF!+#REF!+#REF!+#REF!</f>
        <v>#REF!</v>
      </c>
      <c r="P9" s="194" t="e">
        <f>+P10+P14+P20+#REF!+#REF!+#REF!+#REF!+#REF!+#REF!+#REF!+#REF!+#REF!+#REF!+#REF!+#REF!</f>
        <v>#NAME?</v>
      </c>
      <c r="Q9" s="194" t="e">
        <f>+Q10+Q14+Q20+#REF!+#REF!+#REF!+#REF!+#REF!+#REF!+#REF!+#REF!+#REF!+#REF!+#REF!+#REF!</f>
        <v>#REF!</v>
      </c>
      <c r="R9" s="194" t="e">
        <f>+R10+R14+R20+#REF!+#REF!+#REF!+#REF!+#REF!+#REF!+#REF!+#REF!+#REF!+#REF!+#REF!+#REF!</f>
        <v>#REF!</v>
      </c>
      <c r="S9" s="242" t="e">
        <f>+S10+S14+S20+#REF!+#REF!+#REF!+#REF!+#REF!+#REF!+#REF!+#REF!+#REF!+#REF!+#REF!+#REF!</f>
        <v>#NAME?</v>
      </c>
      <c r="T9" s="1538"/>
      <c r="U9" s="195"/>
      <c r="V9" s="80" t="e">
        <f>+V10+V14+V20+#REF!+#REF!+#REF!+#REF!+#REF!+#REF!+#REF!+#REF!+#REF!+#REF!+#REF!+#REF!</f>
        <v>#REF!</v>
      </c>
      <c r="W9" s="80" t="e">
        <f>+W10+W14+W20+#REF!+#REF!+#REF!+#REF!+#REF!+#REF!+#REF!+#REF!+#REF!+#REF!+#REF!+#REF!</f>
        <v>#REF!</v>
      </c>
      <c r="X9" s="241" t="e">
        <f>+X10+X14+X20+#REF!+#REF!+#REF!+#REF!+#REF!+#REF!+#REF!+#REF!+#REF!+#REF!</f>
        <v>#REF!</v>
      </c>
      <c r="Y9" s="80">
        <f>+Y10+Y14+Y20</f>
        <v>4455000000</v>
      </c>
      <c r="Z9" s="80"/>
      <c r="AA9" s="226"/>
      <c r="AB9" s="1465"/>
      <c r="AC9" s="1465"/>
      <c r="AD9" s="1465"/>
      <c r="AE9" s="1465"/>
      <c r="AF9" s="1465"/>
      <c r="AG9" s="1540"/>
      <c r="AH9" s="195" t="e">
        <f>+AH10+AH14+AH20+#REF!+#REF!+#REF!+#REF!+#REF!+#REF!+#REF!+#REF!+#REF!+#REF!+#REF!+#REF!</f>
        <v>#REF!</v>
      </c>
      <c r="AI9" s="80" t="s">
        <v>21</v>
      </c>
      <c r="AJ9" s="213"/>
      <c r="AK9" s="1501"/>
      <c r="AL9" s="1541"/>
      <c r="AM9" s="1542"/>
      <c r="AN9" s="1543"/>
      <c r="AO9" s="1546"/>
    </row>
    <row r="10" spans="1:46" s="5" customFormat="1" ht="24.95" customHeight="1">
      <c r="J10" s="180"/>
      <c r="K10" s="29"/>
      <c r="L10" s="30" t="str">
        <f>[8]DATA!I2</f>
        <v>A</v>
      </c>
      <c r="M10" s="31" t="str">
        <f>[8]DATA!J2</f>
        <v>Program Pembangunan Jalan Tol</v>
      </c>
      <c r="N10" s="247"/>
      <c r="O10" s="214">
        <f>O11</f>
        <v>1250000000</v>
      </c>
      <c r="P10" s="197">
        <f>P11</f>
        <v>1250000000</v>
      </c>
      <c r="Q10" s="1436">
        <f>Q11</f>
        <v>101250000</v>
      </c>
      <c r="R10" s="1436">
        <f>R11</f>
        <v>0</v>
      </c>
      <c r="S10" s="244">
        <f>S11</f>
        <v>1351250000</v>
      </c>
      <c r="T10" s="1437"/>
      <c r="U10" s="1560"/>
      <c r="V10" s="81">
        <f>V11</f>
        <v>1250000000</v>
      </c>
      <c r="W10" s="81">
        <f>W11</f>
        <v>0</v>
      </c>
      <c r="X10" s="1560"/>
      <c r="Y10" s="81">
        <f>Y11+Y13+Y12</f>
        <v>1250000000</v>
      </c>
      <c r="Z10" s="81"/>
      <c r="AA10" s="228"/>
      <c r="AB10" s="1568"/>
      <c r="AC10" s="1568"/>
      <c r="AD10" s="1568"/>
      <c r="AE10" s="1568"/>
      <c r="AF10" s="1568"/>
      <c r="AG10" s="1577"/>
      <c r="AH10" s="198">
        <f>AH11+AH13</f>
        <v>1250000000</v>
      </c>
      <c r="AI10" s="198" t="s">
        <v>21</v>
      </c>
      <c r="AJ10" s="214"/>
      <c r="AK10" s="1505"/>
      <c r="AL10" s="1578"/>
      <c r="AM10" s="1579"/>
      <c r="AN10" s="1580"/>
      <c r="AO10" s="1586"/>
      <c r="AQ10" s="253"/>
    </row>
    <row r="11" spans="1:46" ht="34.5" customHeight="1">
      <c r="A11" s="10">
        <f>[8]DATA!A3</f>
        <v>1</v>
      </c>
      <c r="B11" s="10">
        <f>[8]DATA!B3</f>
        <v>0</v>
      </c>
      <c r="C11" s="10" t="str">
        <f>[8]DATA!D3</f>
        <v>INFRASTRUKTUR</v>
      </c>
      <c r="D11" s="10">
        <f>[8]DATA!E3</f>
        <v>1</v>
      </c>
      <c r="E11" s="10" t="str">
        <f>[8]DATA!F3</f>
        <v>Kementerian Pekerjaan Umum dan Perumahan Rakyat</v>
      </c>
      <c r="F11" s="10" t="str">
        <f>[8]DATA!H3</f>
        <v>Toll Road Development Program</v>
      </c>
      <c r="G11" s="10" t="str">
        <f>[8]DATA!I3</f>
        <v>A</v>
      </c>
      <c r="H11" s="10" t="str">
        <f>[8]DATA!J3</f>
        <v>Program Pembangunan Jalan Tol</v>
      </c>
      <c r="I11" s="10">
        <f>[8]DATA!K3</f>
        <v>1</v>
      </c>
      <c r="J11" s="181"/>
      <c r="K11" s="34"/>
      <c r="L11" s="34"/>
      <c r="M11" s="3390">
        <v>1</v>
      </c>
      <c r="N11" s="3393" t="str">
        <f>[8]DATA!L2</f>
        <v>Toll Road Development in Kalimantan, Sumatera, and Java Islands</v>
      </c>
      <c r="O11" s="3589">
        <f>[8]DATA!T2</f>
        <v>1250000000</v>
      </c>
      <c r="P11" s="3408">
        <f>[8]DATA!U2</f>
        <v>1250000000</v>
      </c>
      <c r="Q11" s="3436">
        <f>[8]DATA!V2</f>
        <v>101250000</v>
      </c>
      <c r="R11" s="3436">
        <f>[8]DATA!W3</f>
        <v>0</v>
      </c>
      <c r="S11" s="3559">
        <f>P11+Q11+R11</f>
        <v>1351250000</v>
      </c>
      <c r="T11" s="1561"/>
      <c r="U11" s="1449" t="str">
        <f>[8]DATA!Y3</f>
        <v>RRT</v>
      </c>
      <c r="V11" s="3414">
        <f>[8]DATA!AA2</f>
        <v>1250000000</v>
      </c>
      <c r="W11" s="77">
        <v>0</v>
      </c>
      <c r="X11" s="1450" t="str">
        <f>[8]DATA!Y3</f>
        <v>RRT</v>
      </c>
      <c r="Y11" s="618">
        <v>156000000</v>
      </c>
      <c r="Z11" s="109" t="s">
        <v>27</v>
      </c>
      <c r="AA11" s="3251" t="s">
        <v>1144</v>
      </c>
      <c r="AB11" s="828"/>
      <c r="AC11" s="828"/>
      <c r="AD11" s="1485"/>
      <c r="AE11" s="1486"/>
      <c r="AF11" s="1486"/>
      <c r="AG11" s="1581" t="s">
        <v>1145</v>
      </c>
      <c r="AH11" s="1509">
        <f>[8]DATA!AT3</f>
        <v>1000000000</v>
      </c>
      <c r="AI11" s="109" t="str">
        <f>[8]DATA!AU3</f>
        <v>RRT</v>
      </c>
      <c r="AJ11" s="1544" t="str">
        <f>[8]DATA!AW3</f>
        <v>co-financing dengan Korea (USD 250 juta)</v>
      </c>
      <c r="AK11" s="3520" t="str">
        <f>[8]DATA!AM3</f>
        <v>-</v>
      </c>
      <c r="AL11" s="3502" t="str">
        <f>[8]DATA!AN3</f>
        <v>siap</v>
      </c>
      <c r="AM11" s="3502" t="str">
        <f>[8]DATA!AO3</f>
        <v>dalam proses
(pelaksanaan &lt; 50%)</v>
      </c>
      <c r="AN11" s="3502" t="str">
        <f>[8]DATA!AQ3</f>
        <v>-</v>
      </c>
      <c r="AO11" s="3504" t="str">
        <f>[8]DATA!AR3</f>
        <v>belum ada dokumen R/C</v>
      </c>
      <c r="AQ11" s="10">
        <f t="shared" ref="AQ11:AQ17" si="0">IF(Z11="RRT",Y11,0)</f>
        <v>156000000</v>
      </c>
      <c r="AR11" s="10">
        <f t="shared" ref="AR11:AR31" si="1">IF(Z11="JICA",Y11,0)</f>
        <v>0</v>
      </c>
      <c r="AS11" s="10">
        <f t="shared" ref="AS11:AS31" si="2">IF(Z11="Belum ada indikasi",Y11,0)</f>
        <v>0</v>
      </c>
      <c r="AT11" s="10">
        <f t="shared" ref="AT11:AT31" si="3">IF(Z11="Korea",Y11,0)</f>
        <v>0</v>
      </c>
    </row>
    <row r="12" spans="1:46" ht="34.5" customHeight="1">
      <c r="J12" s="181"/>
      <c r="K12" s="34"/>
      <c r="L12" s="34"/>
      <c r="M12" s="3392"/>
      <c r="N12" s="3397"/>
      <c r="O12" s="3590"/>
      <c r="P12" s="3464"/>
      <c r="Q12" s="3469"/>
      <c r="R12" s="3469"/>
      <c r="S12" s="3560"/>
      <c r="T12" s="1562"/>
      <c r="U12" s="1449"/>
      <c r="V12" s="3494"/>
      <c r="W12" s="77"/>
      <c r="X12" s="1450"/>
      <c r="Y12" s="618">
        <f>1000000000-Y11</f>
        <v>844000000</v>
      </c>
      <c r="Z12" s="109" t="s">
        <v>633</v>
      </c>
      <c r="AA12" s="3251" t="s">
        <v>879</v>
      </c>
      <c r="AB12" s="828"/>
      <c r="AC12" s="828"/>
      <c r="AD12" s="1485"/>
      <c r="AE12" s="1486"/>
      <c r="AF12" s="1486"/>
      <c r="AG12" s="1584"/>
      <c r="AH12" s="1509"/>
      <c r="AI12" s="109"/>
      <c r="AJ12" s="1544"/>
      <c r="AK12" s="3608"/>
      <c r="AL12" s="3519"/>
      <c r="AM12" s="3519"/>
      <c r="AN12" s="3519"/>
      <c r="AO12" s="3509"/>
      <c r="AQ12" s="10">
        <f t="shared" si="0"/>
        <v>0</v>
      </c>
      <c r="AR12" s="10">
        <f t="shared" si="1"/>
        <v>0</v>
      </c>
      <c r="AS12" s="10">
        <f t="shared" si="2"/>
        <v>844000000</v>
      </c>
      <c r="AT12" s="10">
        <f t="shared" si="3"/>
        <v>0</v>
      </c>
    </row>
    <row r="13" spans="1:46" ht="83.25" customHeight="1">
      <c r="A13" s="10">
        <f>[8]DATA!A4</f>
        <v>2</v>
      </c>
      <c r="B13" s="10">
        <f>[8]DATA!B4</f>
        <v>0</v>
      </c>
      <c r="C13" s="10" t="str">
        <f>[8]DATA!D4</f>
        <v>INFRASTRUKTUR</v>
      </c>
      <c r="D13" s="10">
        <f>[8]DATA!E4</f>
        <v>1</v>
      </c>
      <c r="E13" s="10" t="str">
        <f>[8]DATA!F4</f>
        <v>Kementerian Pekerjaan Umum dan Perumahan Rakyat</v>
      </c>
      <c r="F13" s="10" t="str">
        <f>[8]DATA!H4</f>
        <v>Toll Road Development Program</v>
      </c>
      <c r="G13" s="10" t="str">
        <f>[8]DATA!I4</f>
        <v>A</v>
      </c>
      <c r="H13" s="10" t="str">
        <f>[8]DATA!J4</f>
        <v>Program Pembangunan Jalan Tol</v>
      </c>
      <c r="I13" s="10">
        <f>[8]DATA!K4</f>
        <v>1</v>
      </c>
      <c r="J13" s="181"/>
      <c r="K13" s="34"/>
      <c r="L13" s="34"/>
      <c r="M13" s="3391"/>
      <c r="N13" s="3394"/>
      <c r="O13" s="3591"/>
      <c r="P13" s="3409"/>
      <c r="Q13" s="3437"/>
      <c r="R13" s="3437"/>
      <c r="S13" s="3561"/>
      <c r="T13" s="1563"/>
      <c r="U13" s="1449" t="str">
        <f>[8]DATA!Y4</f>
        <v>Korea</v>
      </c>
      <c r="V13" s="3415"/>
      <c r="W13" s="77">
        <v>0</v>
      </c>
      <c r="X13" s="1450" t="str">
        <f>[8]DATA!Y4</f>
        <v>Korea</v>
      </c>
      <c r="Y13" s="109">
        <v>250000000</v>
      </c>
      <c r="Z13" s="109" t="s">
        <v>28</v>
      </c>
      <c r="AA13" s="1484" t="s">
        <v>879</v>
      </c>
      <c r="AB13" s="828"/>
      <c r="AC13" s="828"/>
      <c r="AD13" s="1485"/>
      <c r="AE13" s="1486"/>
      <c r="AF13" s="1486"/>
      <c r="AG13" s="3252" t="s">
        <v>1146</v>
      </c>
      <c r="AH13" s="1509">
        <f>[8]DATA!AT4</f>
        <v>250000000</v>
      </c>
      <c r="AI13" s="109" t="str">
        <f>[8]DATA!AU4</f>
        <v>Korea</v>
      </c>
      <c r="AJ13" s="1544" t="str">
        <f>[8]DATA!AW4</f>
        <v>- co-financing dengan RRT (USD 1 Miliar) 
- belum masuk rolling plan EDCF (Korea)</v>
      </c>
      <c r="AK13" s="3521"/>
      <c r="AL13" s="3503"/>
      <c r="AM13" s="3503"/>
      <c r="AN13" s="3503"/>
      <c r="AO13" s="3510"/>
      <c r="AQ13" s="10">
        <f t="shared" si="0"/>
        <v>0</v>
      </c>
      <c r="AR13" s="10">
        <f t="shared" si="1"/>
        <v>0</v>
      </c>
      <c r="AS13" s="10">
        <f t="shared" si="2"/>
        <v>0</v>
      </c>
      <c r="AT13" s="10">
        <f t="shared" si="3"/>
        <v>250000000</v>
      </c>
    </row>
    <row r="14" spans="1:46" s="5" customFormat="1" ht="33.75" customHeight="1">
      <c r="J14" s="180"/>
      <c r="K14" s="50"/>
      <c r="L14" s="30" t="str">
        <f>[8]DATA!I10</f>
        <v>B</v>
      </c>
      <c r="M14" s="31" t="str">
        <f>[8]DATA!J10</f>
        <v>Program Pembangunan / Peningkatan Jembatan</v>
      </c>
      <c r="N14" s="1419"/>
      <c r="O14" s="214">
        <f>O15+O16+O17+O18+O19</f>
        <v>1500000000</v>
      </c>
      <c r="P14" s="197">
        <f>P15+P16+P17+P18+P19</f>
        <v>1500000000</v>
      </c>
      <c r="Q14" s="1436">
        <f>Q15+Q16+Q17+Q18+Q19</f>
        <v>126500000</v>
      </c>
      <c r="R14" s="1436">
        <f>R15+R16+R17+R18+R19</f>
        <v>0</v>
      </c>
      <c r="S14" s="244">
        <f t="shared" ref="S14:S32" si="4">P14+Q14+R14</f>
        <v>1626500000</v>
      </c>
      <c r="T14" s="1437"/>
      <c r="U14" s="198"/>
      <c r="V14" s="81">
        <f>SUM(V15:V19)</f>
        <v>1500000000</v>
      </c>
      <c r="W14" s="81">
        <f>SUM(W15:W19)</f>
        <v>0</v>
      </c>
      <c r="X14" s="243">
        <f>SUM(X15:X19)</f>
        <v>0</v>
      </c>
      <c r="Y14" s="81">
        <f>Y15+Y16+Y17+Y18+Y19</f>
        <v>1500000000</v>
      </c>
      <c r="Z14" s="81"/>
      <c r="AA14" s="1469"/>
      <c r="AB14" s="1470"/>
      <c r="AC14" s="1470"/>
      <c r="AD14" s="1569"/>
      <c r="AE14" s="1570"/>
      <c r="AF14" s="1571"/>
      <c r="AG14" s="1577"/>
      <c r="AH14" s="198">
        <f>SUM(AH15:AH19)</f>
        <v>1500000000</v>
      </c>
      <c r="AI14" s="81" t="s">
        <v>21</v>
      </c>
      <c r="AJ14" s="214"/>
      <c r="AK14" s="1505"/>
      <c r="AL14" s="1506"/>
      <c r="AM14" s="169"/>
      <c r="AN14" s="1507"/>
      <c r="AO14" s="1530"/>
      <c r="AQ14" s="10">
        <f t="shared" si="0"/>
        <v>0</v>
      </c>
      <c r="AR14" s="10">
        <f t="shared" si="1"/>
        <v>0</v>
      </c>
      <c r="AS14" s="10">
        <f t="shared" si="2"/>
        <v>0</v>
      </c>
      <c r="AT14" s="10">
        <f t="shared" si="3"/>
        <v>0</v>
      </c>
    </row>
    <row r="15" spans="1:46" ht="42.75" customHeight="1">
      <c r="A15" s="10">
        <f>[8]DATA!A10</f>
        <v>8</v>
      </c>
      <c r="B15" s="10">
        <f>[8]DATA!B10</f>
        <v>0</v>
      </c>
      <c r="C15" s="10" t="str">
        <f>[8]DATA!D10</f>
        <v>INFRASTRUKTUR</v>
      </c>
      <c r="D15" s="10">
        <f>[8]DATA!E10</f>
        <v>1</v>
      </c>
      <c r="E15" s="10" t="str">
        <f>[8]DATA!F10</f>
        <v>Kementerian Pekerjaan Umum dan Perumahan Rakyat</v>
      </c>
      <c r="F15" s="10" t="str">
        <f>[8]DATA!H10</f>
        <v>Development and Improvement of National Bridges Program</v>
      </c>
      <c r="G15" s="10" t="str">
        <f>[8]DATA!I10</f>
        <v>B</v>
      </c>
      <c r="H15" s="10" t="str">
        <f>[8]DATA!J10</f>
        <v>Program Pembangunan / Peningkatan Jembatan</v>
      </c>
      <c r="I15" s="10">
        <f>[8]DATA!K10</f>
        <v>1</v>
      </c>
      <c r="J15" s="181"/>
      <c r="K15" s="34"/>
      <c r="L15" s="35"/>
      <c r="M15" s="52">
        <v>2</v>
      </c>
      <c r="N15" s="1556" t="str">
        <f>[8]DATA!L10</f>
        <v>Material Procurement for Construction and Bridge Rehabilitation</v>
      </c>
      <c r="O15" s="1402">
        <f>[8]DATA!T10</f>
        <v>450000000</v>
      </c>
      <c r="P15" s="187">
        <f>[8]DATA!U10</f>
        <v>450000000</v>
      </c>
      <c r="Q15" s="1446">
        <f>[8]DATA!V10</f>
        <v>0</v>
      </c>
      <c r="R15" s="1446">
        <f>[8]DATA!W10</f>
        <v>0</v>
      </c>
      <c r="S15" s="1447">
        <f t="shared" si="4"/>
        <v>450000000</v>
      </c>
      <c r="T15" s="1448"/>
      <c r="U15" s="1449" t="str">
        <f>[8]DATA!Y10</f>
        <v>Spanyol/RRT</v>
      </c>
      <c r="V15" s="77">
        <f>[8]DATA!AA10</f>
        <v>450000000</v>
      </c>
      <c r="W15" s="77">
        <v>0</v>
      </c>
      <c r="X15" s="1450" t="str">
        <f>[8]DATA!Y10</f>
        <v>Spanyol/RRT</v>
      </c>
      <c r="Y15" s="109">
        <v>450000000</v>
      </c>
      <c r="Z15" s="109" t="s">
        <v>601</v>
      </c>
      <c r="AA15" s="1484" t="s">
        <v>879</v>
      </c>
      <c r="AB15" s="828"/>
      <c r="AC15" s="1485"/>
      <c r="AD15" s="1486"/>
      <c r="AE15" s="1486"/>
      <c r="AF15" s="1486"/>
      <c r="AG15" s="1508" t="s">
        <v>1147</v>
      </c>
      <c r="AH15" s="1509">
        <f>[8]DATA!AT10</f>
        <v>450000000</v>
      </c>
      <c r="AI15" s="109" t="str">
        <f>[8]DATA!AU10</f>
        <v>Spanyol/RRT</v>
      </c>
      <c r="AJ15" s="1544" t="str">
        <f>[8]DATA!AW10</f>
        <v>- Spanyol berminat mendanai sebagian (USD 50-100 juta), tetapi setelah permasalahan proyek LIPI selesai.
- RRT belum ada keputusan.</v>
      </c>
      <c r="AK15" s="245">
        <f>[8]DATA!AM10</f>
        <v>0</v>
      </c>
      <c r="AL15" s="1510" t="str">
        <f>[8]DATA!AN10</f>
        <v>belum ada keterangan</v>
      </c>
      <c r="AM15" s="1511" t="str">
        <f>[8]DATA!AO10</f>
        <v>belum ada keterangan</v>
      </c>
      <c r="AN15" s="1510">
        <f>[8]DATA!AQ10</f>
        <v>0</v>
      </c>
      <c r="AO15" s="252" t="str">
        <f>[8]DATA!AR10</f>
        <v>belum ada dokumen R/C</v>
      </c>
      <c r="AQ15" s="10">
        <f t="shared" si="0"/>
        <v>0</v>
      </c>
      <c r="AR15" s="10">
        <f t="shared" si="1"/>
        <v>0</v>
      </c>
      <c r="AS15" s="10">
        <f t="shared" si="2"/>
        <v>0</v>
      </c>
      <c r="AT15" s="10">
        <f t="shared" si="3"/>
        <v>0</v>
      </c>
    </row>
    <row r="16" spans="1:46" ht="60" customHeight="1">
      <c r="A16" s="10">
        <f>[8]DATA!A11</f>
        <v>9</v>
      </c>
      <c r="B16" s="10">
        <f>[8]DATA!B11</f>
        <v>0</v>
      </c>
      <c r="C16" s="10" t="str">
        <f>[8]DATA!D11</f>
        <v>INFRASTRUKTUR</v>
      </c>
      <c r="D16" s="10">
        <f>[8]DATA!E11</f>
        <v>1</v>
      </c>
      <c r="E16" s="10" t="str">
        <f>[8]DATA!F11</f>
        <v>Kementerian Pekerjaan Umum dan Perumahan Rakyat</v>
      </c>
      <c r="F16" s="10" t="str">
        <f>[8]DATA!H11</f>
        <v>Development and Improvement of National Bridges Program</v>
      </c>
      <c r="G16" s="10" t="str">
        <f>[8]DATA!I11</f>
        <v>B</v>
      </c>
      <c r="H16" s="10" t="str">
        <f>[8]DATA!J11</f>
        <v>Program Pembangunan / Peningkatan Jembatan</v>
      </c>
      <c r="I16" s="10">
        <f>[8]DATA!K11</f>
        <v>2</v>
      </c>
      <c r="J16" s="181"/>
      <c r="K16" s="34"/>
      <c r="L16" s="34"/>
      <c r="M16" s="52">
        <v>3</v>
      </c>
      <c r="N16" s="199" t="str">
        <f>[8]DATA!L11</f>
        <v>Development of Fly Over/ Under Pass for Railways Crossing</v>
      </c>
      <c r="O16" s="1402">
        <f>[8]DATA!T11</f>
        <v>250000000</v>
      </c>
      <c r="P16" s="187">
        <f>[8]DATA!U11</f>
        <v>250000000</v>
      </c>
      <c r="Q16" s="1446">
        <f>[8]DATA!V11</f>
        <v>50000000</v>
      </c>
      <c r="R16" s="1446">
        <f>[8]DATA!W11</f>
        <v>0</v>
      </c>
      <c r="S16" s="1447">
        <f t="shared" si="4"/>
        <v>300000000</v>
      </c>
      <c r="T16" s="1448"/>
      <c r="U16" s="1449" t="str">
        <f>[8]DATA!Y11</f>
        <v>JICA</v>
      </c>
      <c r="V16" s="77">
        <f>[8]DATA!AA11</f>
        <v>250000000</v>
      </c>
      <c r="W16" s="77">
        <v>0</v>
      </c>
      <c r="X16" s="1450" t="str">
        <f>[8]DATA!Y11</f>
        <v>JICA</v>
      </c>
      <c r="Y16" s="109">
        <v>250000000</v>
      </c>
      <c r="Z16" s="109" t="s">
        <v>55</v>
      </c>
      <c r="AA16" s="1484" t="s">
        <v>879</v>
      </c>
      <c r="AB16" s="828"/>
      <c r="AC16" s="1485"/>
      <c r="AD16" s="1486"/>
      <c r="AE16" s="1486"/>
      <c r="AF16" s="1486"/>
      <c r="AG16" s="3253" t="s">
        <v>1148</v>
      </c>
      <c r="AH16" s="1509">
        <f>[8]DATA!AT11</f>
        <v>250000000</v>
      </c>
      <c r="AI16" s="109" t="str">
        <f>[8]DATA!AU11</f>
        <v>JICA</v>
      </c>
      <c r="AJ16" s="1544" t="str">
        <f>[8]DATA!AW11</f>
        <v>-</v>
      </c>
      <c r="AK16" s="245">
        <f>[8]DATA!AM11</f>
        <v>0</v>
      </c>
      <c r="AL16" s="1510" t="str">
        <f>[8]DATA!AN11</f>
        <v>dalam proses
(penyusunan FS)</v>
      </c>
      <c r="AM16" s="1511" t="str">
        <f>[8]DATA!AO11</f>
        <v>belum ada keterangan</v>
      </c>
      <c r="AN16" s="1510">
        <f>[8]DATA!AQ11</f>
        <v>0</v>
      </c>
      <c r="AO16" s="252" t="str">
        <f>[8]DATA!AR11</f>
        <v>belum ada dokumen R/C</v>
      </c>
      <c r="AQ16" s="10">
        <f t="shared" si="0"/>
        <v>0</v>
      </c>
      <c r="AR16" s="10">
        <f t="shared" si="1"/>
        <v>250000000</v>
      </c>
      <c r="AS16" s="10">
        <f t="shared" si="2"/>
        <v>0</v>
      </c>
      <c r="AT16" s="10">
        <f t="shared" si="3"/>
        <v>0</v>
      </c>
    </row>
    <row r="17" spans="1:46" ht="60.75" customHeight="1">
      <c r="A17" s="10">
        <f>[8]DATA!A12</f>
        <v>10</v>
      </c>
      <c r="B17" s="10">
        <f>[8]DATA!B12</f>
        <v>0</v>
      </c>
      <c r="C17" s="10" t="str">
        <f>[8]DATA!D12</f>
        <v>INFRASTRUKTUR</v>
      </c>
      <c r="D17" s="10">
        <f>[8]DATA!E12</f>
        <v>1</v>
      </c>
      <c r="E17" s="10" t="str">
        <f>[8]DATA!F12</f>
        <v>Kementerian Pekerjaan Umum dan Perumahan Rakyat</v>
      </c>
      <c r="F17" s="10" t="str">
        <f>[8]DATA!H12</f>
        <v>Development and Improvement of National Bridges Program</v>
      </c>
      <c r="G17" s="10" t="str">
        <f>[8]DATA!I12</f>
        <v>B</v>
      </c>
      <c r="H17" s="10" t="str">
        <f>[8]DATA!J12</f>
        <v>Program Pembangunan / Peningkatan Jembatan</v>
      </c>
      <c r="I17" s="10">
        <f>[8]DATA!K12</f>
        <v>3</v>
      </c>
      <c r="J17" s="181"/>
      <c r="K17" s="34"/>
      <c r="L17" s="34"/>
      <c r="M17" s="52">
        <v>4</v>
      </c>
      <c r="N17" s="199" t="str">
        <f>[8]DATA!L12</f>
        <v>Development of Fly Over/ Under Pass in Major Cities</v>
      </c>
      <c r="O17" s="1402">
        <f>[8]DATA!T12</f>
        <v>270000000</v>
      </c>
      <c r="P17" s="187">
        <f>[8]DATA!U12</f>
        <v>270000000</v>
      </c>
      <c r="Q17" s="1446">
        <f>[8]DATA!V12</f>
        <v>50000000</v>
      </c>
      <c r="R17" s="1446">
        <f>[8]DATA!W12</f>
        <v>0</v>
      </c>
      <c r="S17" s="1447">
        <f t="shared" si="4"/>
        <v>320000000</v>
      </c>
      <c r="T17" s="1448"/>
      <c r="U17" s="1449" t="str">
        <f>[8]DATA!Y12</f>
        <v>JICA</v>
      </c>
      <c r="V17" s="77">
        <f>[8]DATA!AA12</f>
        <v>270000000</v>
      </c>
      <c r="W17" s="77">
        <v>0</v>
      </c>
      <c r="X17" s="1450" t="str">
        <f>[8]DATA!Y12</f>
        <v>JICA</v>
      </c>
      <c r="Y17" s="109">
        <v>270000000</v>
      </c>
      <c r="Z17" s="109" t="s">
        <v>55</v>
      </c>
      <c r="AA17" s="1484" t="s">
        <v>879</v>
      </c>
      <c r="AB17" s="828"/>
      <c r="AC17" s="1485"/>
      <c r="AD17" s="1486"/>
      <c r="AE17" s="1486"/>
      <c r="AF17" s="1486"/>
      <c r="AG17" s="3253" t="s">
        <v>1149</v>
      </c>
      <c r="AH17" s="1509">
        <f>[8]DATA!AT12</f>
        <v>270000000</v>
      </c>
      <c r="AI17" s="109" t="str">
        <f>[8]DATA!AU12</f>
        <v>JICA</v>
      </c>
      <c r="AJ17" s="1544" t="str">
        <f>[8]DATA!AW12</f>
        <v>-</v>
      </c>
      <c r="AK17" s="245">
        <f>[8]DATA!AM12</f>
        <v>0</v>
      </c>
      <c r="AL17" s="1510" t="str">
        <f>[8]DATA!AN12</f>
        <v>dalam proses
 (penyusunan FS)</v>
      </c>
      <c r="AM17" s="1511" t="str">
        <f>[8]DATA!AO12</f>
        <v>belum ada keterangan</v>
      </c>
      <c r="AN17" s="1510">
        <f>[8]DATA!AQ12</f>
        <v>0</v>
      </c>
      <c r="AO17" s="252" t="str">
        <f>[8]DATA!AR12</f>
        <v>belum ada dokumen R/C</v>
      </c>
      <c r="AQ17" s="10">
        <f t="shared" si="0"/>
        <v>0</v>
      </c>
      <c r="AR17" s="10">
        <f t="shared" si="1"/>
        <v>270000000</v>
      </c>
      <c r="AS17" s="10">
        <f t="shared" si="2"/>
        <v>0</v>
      </c>
      <c r="AT17" s="10">
        <f t="shared" si="3"/>
        <v>0</v>
      </c>
    </row>
    <row r="18" spans="1:46" ht="36.75" customHeight="1">
      <c r="A18" s="10">
        <f>[8]DATA!A13</f>
        <v>11</v>
      </c>
      <c r="B18" s="10">
        <f>[8]DATA!B13</f>
        <v>0</v>
      </c>
      <c r="C18" s="10" t="str">
        <f>[8]DATA!D13</f>
        <v>INFRASTRUKTUR</v>
      </c>
      <c r="D18" s="10">
        <f>[8]DATA!E13</f>
        <v>1</v>
      </c>
      <c r="E18" s="10" t="str">
        <f>[8]DATA!F13</f>
        <v>Kementerian Pekerjaan Umum dan Perumahan Rakyat</v>
      </c>
      <c r="F18" s="10" t="str">
        <f>[8]DATA!H13</f>
        <v>Development and Improvement of National Bridges Program</v>
      </c>
      <c r="G18" s="10" t="str">
        <f>[8]DATA!I13</f>
        <v>B</v>
      </c>
      <c r="H18" s="10" t="str">
        <f>[8]DATA!J13</f>
        <v>Program Pembangunan / Peningkatan Jembatan</v>
      </c>
      <c r="I18" s="10">
        <f>[8]DATA!K13</f>
        <v>4</v>
      </c>
      <c r="J18" s="181"/>
      <c r="K18" s="34"/>
      <c r="L18" s="34"/>
      <c r="M18" s="52">
        <v>5</v>
      </c>
      <c r="N18" s="199" t="str">
        <f>[8]DATA!L13</f>
        <v>Balinka - Matur - Ngarai Sianok Tunnel Construction</v>
      </c>
      <c r="O18" s="1402">
        <f>[8]DATA!T13</f>
        <v>175000000</v>
      </c>
      <c r="P18" s="187">
        <f>[8]DATA!U13</f>
        <v>175000000</v>
      </c>
      <c r="Q18" s="1446">
        <f>[8]DATA!V13</f>
        <v>8750000</v>
      </c>
      <c r="R18" s="1446">
        <f>[8]DATA!W13</f>
        <v>0</v>
      </c>
      <c r="S18" s="1447">
        <f t="shared" si="4"/>
        <v>183750000</v>
      </c>
      <c r="T18" s="1448"/>
      <c r="U18" s="1449" t="str">
        <f>[8]DATA!Y13</f>
        <v>Korea/RRT</v>
      </c>
      <c r="V18" s="77">
        <f>[8]DATA!AA13</f>
        <v>175000000</v>
      </c>
      <c r="W18" s="77">
        <v>0</v>
      </c>
      <c r="X18" s="1450" t="str">
        <f>[8]DATA!Y13</f>
        <v>Korea/RRT</v>
      </c>
      <c r="Y18" s="109">
        <v>175000000</v>
      </c>
      <c r="Z18" s="109" t="s">
        <v>613</v>
      </c>
      <c r="AA18" s="1484" t="s">
        <v>879</v>
      </c>
      <c r="AB18" s="828"/>
      <c r="AC18" s="1485"/>
      <c r="AD18" s="1486"/>
      <c r="AE18" s="1486"/>
      <c r="AF18" s="1486"/>
      <c r="AG18" s="3253" t="s">
        <v>1150</v>
      </c>
      <c r="AH18" s="1509">
        <f>[8]DATA!AT13</f>
        <v>175000000</v>
      </c>
      <c r="AI18" s="109" t="str">
        <f>[8]DATA!AU13</f>
        <v>Korea/RRT</v>
      </c>
      <c r="AJ18" s="1544" t="str">
        <f>[8]DATA!AW13</f>
        <v>- RRT dan Korea belum ada keputusan</v>
      </c>
      <c r="AK18" s="245">
        <f>[8]DATA!AM13</f>
        <v>0</v>
      </c>
      <c r="AL18" s="1510" t="str">
        <f>[8]DATA!AN13</f>
        <v>dalam proses
(memiliki FS dan DED)</v>
      </c>
      <c r="AM18" s="1511" t="str">
        <f>[8]DATA!AO13</f>
        <v>belum ada keterangan</v>
      </c>
      <c r="AN18" s="1510">
        <f>[8]DATA!AQ13</f>
        <v>0</v>
      </c>
      <c r="AO18" s="252" t="str">
        <f>[8]DATA!AR13</f>
        <v>belum ada dokumen R/C</v>
      </c>
      <c r="AQ18" s="109">
        <v>175000000</v>
      </c>
      <c r="AR18" s="10">
        <f t="shared" si="1"/>
        <v>0</v>
      </c>
      <c r="AS18" s="10">
        <f t="shared" si="2"/>
        <v>0</v>
      </c>
      <c r="AT18" s="10">
        <f t="shared" si="3"/>
        <v>0</v>
      </c>
    </row>
    <row r="19" spans="1:46" ht="24.75" customHeight="1">
      <c r="A19" s="10">
        <f>[8]DATA!A14</f>
        <v>12</v>
      </c>
      <c r="B19" s="10">
        <f>[8]DATA!B14</f>
        <v>0</v>
      </c>
      <c r="C19" s="10" t="str">
        <f>[8]DATA!D14</f>
        <v>INFRASTRUKTUR</v>
      </c>
      <c r="D19" s="10">
        <f>[8]DATA!E14</f>
        <v>1</v>
      </c>
      <c r="E19" s="10" t="str">
        <f>[8]DATA!F14</f>
        <v>Kementerian Pekerjaan Umum dan Perumahan Rakyat</v>
      </c>
      <c r="F19" s="10" t="str">
        <f>[8]DATA!H14</f>
        <v>Development and Improvement of National Bridges Program</v>
      </c>
      <c r="G19" s="10" t="str">
        <f>[8]DATA!I14</f>
        <v>B</v>
      </c>
      <c r="H19" s="10" t="str">
        <f>[8]DATA!J14</f>
        <v>Program Pembangunan / Peningkatan Jembatan</v>
      </c>
      <c r="I19" s="10">
        <f>[8]DATA!K14</f>
        <v>5</v>
      </c>
      <c r="J19" s="181"/>
      <c r="K19" s="34"/>
      <c r="L19" s="54"/>
      <c r="M19" s="52">
        <v>6</v>
      </c>
      <c r="N19" s="199" t="str">
        <f>[8]DATA!L14</f>
        <v>Long Span Bridge Development for Selected Area</v>
      </c>
      <c r="O19" s="1402">
        <f>[8]DATA!T14</f>
        <v>355000000</v>
      </c>
      <c r="P19" s="187">
        <f>[8]DATA!U14</f>
        <v>355000000</v>
      </c>
      <c r="Q19" s="1446">
        <f>[8]DATA!V14</f>
        <v>17750000</v>
      </c>
      <c r="R19" s="1446">
        <f>[8]DATA!W14</f>
        <v>0</v>
      </c>
      <c r="S19" s="1447">
        <f t="shared" si="4"/>
        <v>372750000</v>
      </c>
      <c r="T19" s="1448"/>
      <c r="U19" s="1449" t="str">
        <f>[8]DATA!Y14</f>
        <v>Korea/RRT</v>
      </c>
      <c r="V19" s="77">
        <f>[8]DATA!AA14</f>
        <v>355000000</v>
      </c>
      <c r="W19" s="77">
        <v>0</v>
      </c>
      <c r="X19" s="1450" t="str">
        <f>[8]DATA!Y14</f>
        <v>Korea/RRT</v>
      </c>
      <c r="Y19" s="109">
        <v>355000000</v>
      </c>
      <c r="Z19" s="109" t="s">
        <v>633</v>
      </c>
      <c r="AA19" s="1484" t="s">
        <v>879</v>
      </c>
      <c r="AB19" s="828"/>
      <c r="AC19" s="828"/>
      <c r="AD19" s="1342"/>
      <c r="AE19" s="1572"/>
      <c r="AF19" s="1489"/>
      <c r="AG19" s="252"/>
      <c r="AH19" s="1509">
        <f>[8]DATA!AT14</f>
        <v>355000000</v>
      </c>
      <c r="AI19" s="109" t="str">
        <f>[8]DATA!AU14</f>
        <v>Korea/RRT</v>
      </c>
      <c r="AJ19" s="1544" t="str">
        <f>[8]DATA!AW14</f>
        <v>- RRT dan Korea belum ada keputusan</v>
      </c>
      <c r="AK19" s="245">
        <f>[8]DATA!AM14</f>
        <v>0</v>
      </c>
      <c r="AL19" s="1510" t="str">
        <f>[8]DATA!AN14</f>
        <v>belum ada keterangan</v>
      </c>
      <c r="AM19" s="1511" t="str">
        <f>[8]DATA!AO14</f>
        <v>belum ada keterangan</v>
      </c>
      <c r="AN19" s="1510">
        <f>[8]DATA!AQ14</f>
        <v>0</v>
      </c>
      <c r="AO19" s="252" t="str">
        <f>[8]DATA!AR14</f>
        <v>belum ada dokumen R/C</v>
      </c>
      <c r="AQ19" s="10">
        <f t="shared" ref="AQ19:AQ31" si="5">IF(Z19="RRT",Y19,0)</f>
        <v>0</v>
      </c>
      <c r="AR19" s="10">
        <f t="shared" si="1"/>
        <v>0</v>
      </c>
      <c r="AS19" s="10">
        <f t="shared" si="2"/>
        <v>355000000</v>
      </c>
      <c r="AT19" s="10">
        <f t="shared" si="3"/>
        <v>0</v>
      </c>
    </row>
    <row r="20" spans="1:46" s="5" customFormat="1" ht="33.75" customHeight="1">
      <c r="J20" s="180"/>
      <c r="K20" s="50"/>
      <c r="L20" s="30" t="str">
        <f>[8]DATA!I15</f>
        <v>C</v>
      </c>
      <c r="M20" s="31" t="str">
        <f>[8]DATA!J16</f>
        <v>Program Pembangunan / Peningkatan Jalan</v>
      </c>
      <c r="N20" s="1419"/>
      <c r="O20" s="214" t="e">
        <f>O21+#REF!+O22+O23+O24+O26+O27+O28</f>
        <v>#REF!</v>
      </c>
      <c r="P20" s="197" t="e">
        <f>P21+P22+P23+P24+P26+P27+P28</f>
        <v>#NAME?</v>
      </c>
      <c r="Q20" s="1436">
        <f>SUM(Q21:Q28)</f>
        <v>350000000</v>
      </c>
      <c r="R20" s="1436" t="e">
        <f>R21+#REF!+R22+R23+R24+R26+R27+R28+#REF!</f>
        <v>#REF!</v>
      </c>
      <c r="S20" s="244" t="e">
        <f t="shared" si="4"/>
        <v>#NAME?</v>
      </c>
      <c r="T20" s="1437"/>
      <c r="U20" s="198"/>
      <c r="V20" s="81">
        <f>SUM(V21:V28)</f>
        <v>1705000000</v>
      </c>
      <c r="W20" s="81">
        <f>SUM(W21:W28)</f>
        <v>0</v>
      </c>
      <c r="X20" s="243">
        <f>SUM(X21:X28)</f>
        <v>0</v>
      </c>
      <c r="Y20" s="81">
        <f>Y21+Y22+Y23+Y24+Y26+Y27+Y28+Y25</f>
        <v>1705000000</v>
      </c>
      <c r="Z20" s="81"/>
      <c r="AA20" s="1469"/>
      <c r="AB20" s="1470"/>
      <c r="AC20" s="1470"/>
      <c r="AD20" s="1470"/>
      <c r="AE20" s="1573"/>
      <c r="AF20" s="1469"/>
      <c r="AG20" s="1577"/>
      <c r="AH20" s="198">
        <f>SUM(AH21:AH28)</f>
        <v>1705000000</v>
      </c>
      <c r="AI20" s="81" t="s">
        <v>21</v>
      </c>
      <c r="AJ20" s="214">
        <f>SUM(AJ21:AJ28)</f>
        <v>0</v>
      </c>
      <c r="AK20" s="1505"/>
      <c r="AL20" s="1506"/>
      <c r="AM20" s="169"/>
      <c r="AN20" s="1507"/>
      <c r="AO20" s="1530"/>
      <c r="AQ20" s="10">
        <f t="shared" si="5"/>
        <v>0</v>
      </c>
      <c r="AR20" s="10">
        <f t="shared" si="1"/>
        <v>0</v>
      </c>
      <c r="AS20" s="10">
        <f t="shared" si="2"/>
        <v>0</v>
      </c>
      <c r="AT20" s="10">
        <f t="shared" si="3"/>
        <v>0</v>
      </c>
    </row>
    <row r="21" spans="1:46" s="5" customFormat="1" ht="65.25" customHeight="1">
      <c r="J21" s="180"/>
      <c r="K21" s="50"/>
      <c r="L21" s="55"/>
      <c r="M21" s="36">
        <v>7</v>
      </c>
      <c r="N21" s="199" t="str">
        <f>[8]DATA!L15</f>
        <v>Urban Arterial Road Improvement Project</v>
      </c>
      <c r="O21" s="1557">
        <f>[8]DATA!T15</f>
        <v>250000000</v>
      </c>
      <c r="P21" s="200">
        <f>[8]DATA!U15</f>
        <v>205000000</v>
      </c>
      <c r="Q21" s="1564">
        <f>[8]DATA!V15</f>
        <v>50000000</v>
      </c>
      <c r="R21" s="1564">
        <f>[8]DATA!W15</f>
        <v>0</v>
      </c>
      <c r="S21" s="1447">
        <f t="shared" si="4"/>
        <v>255000000</v>
      </c>
      <c r="T21" s="1448"/>
      <c r="U21" s="1449" t="str">
        <f>[8]DATA!Y15</f>
        <v>JICA</v>
      </c>
      <c r="V21" s="87">
        <f>[8]DATA!AA15</f>
        <v>205000000</v>
      </c>
      <c r="W21" s="87">
        <v>0</v>
      </c>
      <c r="X21" s="1450" t="str">
        <f>[8]DATA!Y15</f>
        <v>JICA</v>
      </c>
      <c r="Y21" s="109">
        <v>205000000</v>
      </c>
      <c r="Z21" s="109" t="s">
        <v>55</v>
      </c>
      <c r="AA21" s="1484" t="s">
        <v>879</v>
      </c>
      <c r="AB21" s="828"/>
      <c r="AC21" s="828"/>
      <c r="AD21" s="828"/>
      <c r="AE21" s="1142"/>
      <c r="AF21" s="1142"/>
      <c r="AG21" s="3278" t="s">
        <v>1151</v>
      </c>
      <c r="AH21" s="1509">
        <f>[8]DATA!AT15</f>
        <v>205000000</v>
      </c>
      <c r="AI21" s="109" t="str">
        <f>[8]DATA!AU15</f>
        <v>JICA</v>
      </c>
      <c r="AJ21" s="1544" t="str">
        <f>[8]DATA!AW15</f>
        <v>-</v>
      </c>
      <c r="AK21" s="1510">
        <f>[8]DATA!AM15</f>
        <v>0</v>
      </c>
      <c r="AL21" s="1510" t="str">
        <f>[8]DATA!AN15</f>
        <v>siap</v>
      </c>
      <c r="AM21" s="1511" t="str">
        <f>[8]DATA!AO15</f>
        <v>belum ada keterangan</v>
      </c>
      <c r="AN21" s="1510">
        <f>[8]DATA!AQ15</f>
        <v>0</v>
      </c>
      <c r="AO21" s="1533" t="str">
        <f>[8]DATA!AR15</f>
        <v>- nilai proyek berkurang USD 45 juta, dialihkan untuk kegiatan ESP
- belum ada dokumen R/C</v>
      </c>
      <c r="AQ21" s="10">
        <f t="shared" si="5"/>
        <v>0</v>
      </c>
      <c r="AR21" s="10">
        <f t="shared" si="1"/>
        <v>205000000</v>
      </c>
      <c r="AS21" s="10">
        <f t="shared" si="2"/>
        <v>0</v>
      </c>
      <c r="AT21" s="10">
        <f t="shared" si="3"/>
        <v>0</v>
      </c>
    </row>
    <row r="22" spans="1:46" ht="39.75" customHeight="1">
      <c r="A22" s="10">
        <f>[8]DATA!A17</f>
        <v>15</v>
      </c>
      <c r="B22" s="10">
        <f>[8]DATA!B17</f>
        <v>0</v>
      </c>
      <c r="C22" s="10" t="str">
        <f>[8]DATA!D17</f>
        <v>INFRASTRUKTUR</v>
      </c>
      <c r="D22" s="10">
        <f>[8]DATA!E17</f>
        <v>1</v>
      </c>
      <c r="E22" s="10" t="str">
        <f>[8]DATA!F17</f>
        <v>Kementerian Pekerjaan Umum dan Perumahan Rakyat</v>
      </c>
      <c r="F22" s="10" t="str">
        <f>[8]DATA!H17</f>
        <v>Development and Improvement of National Roads Program</v>
      </c>
      <c r="G22" s="10" t="str">
        <f>[8]DATA!I17</f>
        <v>C</v>
      </c>
      <c r="H22" s="10" t="str">
        <f>[8]DATA!J17</f>
        <v>Program Pembangunan / Peningkatan Jalan</v>
      </c>
      <c r="I22" s="10">
        <f>[8]DATA!K17</f>
        <v>3</v>
      </c>
      <c r="J22" s="181"/>
      <c r="K22" s="34"/>
      <c r="L22" s="34"/>
      <c r="M22" s="36">
        <v>8</v>
      </c>
      <c r="N22" s="199" t="str">
        <f>[8]DATA!L17</f>
        <v>Road Improvement Project to Support Integrated Land and Sea Toll Way - Northern Area</v>
      </c>
      <c r="O22" s="1402">
        <f>[8]DATA!T17</f>
        <v>250000000</v>
      </c>
      <c r="P22" s="187">
        <f>[8]DATA!U17</f>
        <v>250000000</v>
      </c>
      <c r="Q22" s="1564">
        <f>[8]DATA!V17</f>
        <v>50000000</v>
      </c>
      <c r="R22" s="1564">
        <f>[8]DATA!W17</f>
        <v>0</v>
      </c>
      <c r="S22" s="1447">
        <f t="shared" si="4"/>
        <v>300000000</v>
      </c>
      <c r="T22" s="1448"/>
      <c r="U22" s="1449" t="str">
        <f>[8]DATA!Y17</f>
        <v>Bank Dunia</v>
      </c>
      <c r="V22" s="77">
        <f>[8]DATA!AA17</f>
        <v>250000000</v>
      </c>
      <c r="W22" s="77">
        <v>0</v>
      </c>
      <c r="X22" s="1450" t="str">
        <f>[8]DATA!Y17</f>
        <v>Bank Dunia</v>
      </c>
      <c r="Y22" s="109">
        <v>250000000</v>
      </c>
      <c r="Z22" s="109" t="s">
        <v>62</v>
      </c>
      <c r="AA22" s="1484" t="s">
        <v>879</v>
      </c>
      <c r="AB22" s="828"/>
      <c r="AC22" s="828"/>
      <c r="AD22" s="828"/>
      <c r="AE22" s="1142"/>
      <c r="AF22" s="1142"/>
      <c r="AG22" s="1585" t="s">
        <v>1152</v>
      </c>
      <c r="AH22" s="1509">
        <f>[8]DATA!AT17</f>
        <v>250000000</v>
      </c>
      <c r="AI22" s="109" t="str">
        <f>[8]DATA!AU17</f>
        <v>Bank Dunia</v>
      </c>
      <c r="AJ22" s="1544" t="str">
        <f>[8]DATA!AW17</f>
        <v>-</v>
      </c>
      <c r="AK22" s="1510">
        <f>[8]DATA!AM17</f>
        <v>0</v>
      </c>
      <c r="AL22" s="1510" t="str">
        <f>[8]DATA!AN17</f>
        <v>belum ada keterangan</v>
      </c>
      <c r="AM22" s="1511" t="str">
        <f>[8]DATA!AO17</f>
        <v>belum ada keterangan</v>
      </c>
      <c r="AN22" s="1510">
        <f>[8]DATA!AQ17</f>
        <v>0</v>
      </c>
      <c r="AO22" s="1533" t="str">
        <f>[8]DATA!AR17</f>
        <v>belum ada dokumen R/C</v>
      </c>
      <c r="AQ22" s="10">
        <f t="shared" si="5"/>
        <v>0</v>
      </c>
      <c r="AR22" s="10">
        <f t="shared" si="1"/>
        <v>0</v>
      </c>
      <c r="AS22" s="10">
        <f t="shared" si="2"/>
        <v>0</v>
      </c>
      <c r="AT22" s="10">
        <f t="shared" si="3"/>
        <v>0</v>
      </c>
    </row>
    <row r="23" spans="1:46" ht="38.25" customHeight="1">
      <c r="A23" s="10">
        <f>[8]DATA!A18</f>
        <v>16</v>
      </c>
      <c r="B23" s="10">
        <f>[8]DATA!B18</f>
        <v>0</v>
      </c>
      <c r="C23" s="10" t="str">
        <f>[8]DATA!D18</f>
        <v>INFRASTRUKTUR</v>
      </c>
      <c r="D23" s="10">
        <f>[8]DATA!E18</f>
        <v>1</v>
      </c>
      <c r="E23" s="10" t="str">
        <f>[8]DATA!F18</f>
        <v>Kementerian Pekerjaan Umum dan Perumahan Rakyat</v>
      </c>
      <c r="F23" s="10" t="str">
        <f>[8]DATA!H18</f>
        <v>Development and Improvement of National Roads Program</v>
      </c>
      <c r="G23" s="10" t="str">
        <f>[8]DATA!I18</f>
        <v>C</v>
      </c>
      <c r="H23" s="10" t="str">
        <f>[8]DATA!J18</f>
        <v>Program Pembangunan / Peningkatan Jalan</v>
      </c>
      <c r="I23" s="10">
        <f>[8]DATA!K18</f>
        <v>4</v>
      </c>
      <c r="J23" s="181"/>
      <c r="K23" s="34"/>
      <c r="L23" s="34"/>
      <c r="M23" s="36">
        <v>9</v>
      </c>
      <c r="N23" s="199" t="str">
        <f>[8]DATA!L18</f>
        <v>Road Improvement Project to Support Integrated Land and Sea Toll Way - Southern Area</v>
      </c>
      <c r="O23" s="1402">
        <f>[8]DATA!T18</f>
        <v>250000000</v>
      </c>
      <c r="P23" s="187">
        <f>[8]DATA!U18</f>
        <v>250000000</v>
      </c>
      <c r="Q23" s="1564">
        <f>[8]DATA!V18</f>
        <v>50000000</v>
      </c>
      <c r="R23" s="1564">
        <f>[8]DATA!W18</f>
        <v>0</v>
      </c>
      <c r="S23" s="1447">
        <f t="shared" si="4"/>
        <v>300000000</v>
      </c>
      <c r="T23" s="1448"/>
      <c r="U23" s="1449" t="str">
        <f>[8]DATA!Y18</f>
        <v>Bank Dunia/ADB</v>
      </c>
      <c r="V23" s="77">
        <f>[8]DATA!AA18</f>
        <v>250000000</v>
      </c>
      <c r="W23" s="77">
        <v>0</v>
      </c>
      <c r="X23" s="1450" t="str">
        <f>[8]DATA!Y18</f>
        <v>Bank Dunia/ADB</v>
      </c>
      <c r="Y23" s="109">
        <v>250000000</v>
      </c>
      <c r="Z23" s="109" t="s">
        <v>62</v>
      </c>
      <c r="AA23" s="1484" t="s">
        <v>879</v>
      </c>
      <c r="AB23" s="828"/>
      <c r="AC23" s="828"/>
      <c r="AD23" s="828"/>
      <c r="AE23" s="1142"/>
      <c r="AF23" s="1142"/>
      <c r="AG23" s="1585" t="s">
        <v>1152</v>
      </c>
      <c r="AH23" s="1509">
        <f>[8]DATA!AT18</f>
        <v>250000000</v>
      </c>
      <c r="AI23" s="109" t="str">
        <f>[8]DATA!AU18</f>
        <v>Bank Dunia</v>
      </c>
      <c r="AJ23" s="1544" t="str">
        <f>[8]DATA!AW18</f>
        <v>- usulan K/L lender: Bank Dunia/ADB. 
- Hanya Bank Dunia saja yang berminat.</v>
      </c>
      <c r="AK23" s="1510">
        <f>[8]DATA!AM18</f>
        <v>0</v>
      </c>
      <c r="AL23" s="1510" t="str">
        <f>[8]DATA!AN18</f>
        <v>belum ada keterangan</v>
      </c>
      <c r="AM23" s="1511" t="str">
        <f>[8]DATA!AO18</f>
        <v>belum ada keterangan</v>
      </c>
      <c r="AN23" s="1510">
        <f>[8]DATA!AQ18</f>
        <v>0</v>
      </c>
      <c r="AO23" s="1533" t="str">
        <f>[8]DATA!AR18</f>
        <v>belum ada dokumen R/C</v>
      </c>
      <c r="AQ23" s="10">
        <f t="shared" si="5"/>
        <v>0</v>
      </c>
      <c r="AR23" s="10">
        <f t="shared" si="1"/>
        <v>0</v>
      </c>
      <c r="AS23" s="10">
        <f t="shared" si="2"/>
        <v>0</v>
      </c>
      <c r="AT23" s="10">
        <f t="shared" si="3"/>
        <v>0</v>
      </c>
    </row>
    <row r="24" spans="1:46" ht="78" customHeight="1">
      <c r="A24" s="10">
        <f>[8]DATA!A19</f>
        <v>17</v>
      </c>
      <c r="B24" s="10">
        <f>[8]DATA!B19</f>
        <v>0</v>
      </c>
      <c r="C24" s="10" t="str">
        <f>[8]DATA!D19</f>
        <v>INFRASTRUKTUR</v>
      </c>
      <c r="D24" s="10">
        <f>[8]DATA!E19</f>
        <v>1</v>
      </c>
      <c r="E24" s="10" t="str">
        <f>[8]DATA!F19</f>
        <v>Kementerian Pekerjaan Umum dan Perumahan Rakyat</v>
      </c>
      <c r="F24" s="10" t="str">
        <f>[8]DATA!H19</f>
        <v>Development and Improvement of National Roads Program</v>
      </c>
      <c r="G24" s="10" t="str">
        <f>[8]DATA!I19</f>
        <v>C</v>
      </c>
      <c r="H24" s="10" t="str">
        <f>[8]DATA!J19</f>
        <v>Program Pembangunan / Peningkatan Jalan</v>
      </c>
      <c r="I24" s="10">
        <f>[8]DATA!K19</f>
        <v>5</v>
      </c>
      <c r="J24" s="181"/>
      <c r="K24" s="34"/>
      <c r="L24" s="34"/>
      <c r="M24" s="36">
        <v>10</v>
      </c>
      <c r="N24" s="199" t="str">
        <f>[8]DATA!L19</f>
        <v>National Road Improvement in West and South Kalimantan</v>
      </c>
      <c r="O24" s="1402">
        <f>[8]DATA!T19</f>
        <v>250000000</v>
      </c>
      <c r="P24" s="187">
        <f>[8]DATA!U19</f>
        <v>250000000</v>
      </c>
      <c r="Q24" s="1564">
        <f>[8]DATA!V19</f>
        <v>50000000</v>
      </c>
      <c r="R24" s="1564">
        <f>[8]DATA!W19</f>
        <v>0</v>
      </c>
      <c r="S24" s="1447">
        <f t="shared" si="4"/>
        <v>300000000</v>
      </c>
      <c r="T24" s="1448"/>
      <c r="U24" s="1449" t="str">
        <f>[8]DATA!Y19</f>
        <v>IDB</v>
      </c>
      <c r="V24" s="77">
        <f>[8]DATA!AA19</f>
        <v>250000000</v>
      </c>
      <c r="W24" s="77">
        <v>0</v>
      </c>
      <c r="X24" s="1450" t="str">
        <f>[8]DATA!Y19</f>
        <v>IDB</v>
      </c>
      <c r="Y24" s="109">
        <v>125000000</v>
      </c>
      <c r="Z24" s="109" t="s">
        <v>58</v>
      </c>
      <c r="AA24" s="1484" t="s">
        <v>879</v>
      </c>
      <c r="AB24" s="828"/>
      <c r="AC24" s="828"/>
      <c r="AD24" s="828"/>
      <c r="AE24" s="1142"/>
      <c r="AF24" s="1142"/>
      <c r="AG24" s="3624" t="s">
        <v>1153</v>
      </c>
      <c r="AH24" s="1509">
        <f>[8]DATA!AT19</f>
        <v>250000000</v>
      </c>
      <c r="AI24" s="109" t="str">
        <f>[8]DATA!AU19</f>
        <v>IDB</v>
      </c>
      <c r="AJ24" s="1544" t="str">
        <f>[8]DATA!AW19</f>
        <v>-</v>
      </c>
      <c r="AK24" s="1510">
        <f>[8]DATA!AM19</f>
        <v>0</v>
      </c>
      <c r="AL24" s="1510" t="str">
        <f>[8]DATA!AN19</f>
        <v>belum ada keterangan</v>
      </c>
      <c r="AM24" s="1511" t="str">
        <f>[8]DATA!AO19</f>
        <v>belum ada keterangan</v>
      </c>
      <c r="AN24" s="1510">
        <f>[8]DATA!AQ19</f>
        <v>0</v>
      </c>
      <c r="AO24" s="1533" t="str">
        <f>[8]DATA!AR19</f>
        <v>belum ada dokumen R/C</v>
      </c>
      <c r="AQ24" s="10">
        <f t="shared" si="5"/>
        <v>0</v>
      </c>
      <c r="AR24" s="10">
        <f t="shared" si="1"/>
        <v>0</v>
      </c>
      <c r="AS24" s="10">
        <f t="shared" si="2"/>
        <v>0</v>
      </c>
      <c r="AT24" s="10">
        <f t="shared" si="3"/>
        <v>0</v>
      </c>
    </row>
    <row r="25" spans="1:46" ht="78" customHeight="1">
      <c r="J25" s="181"/>
      <c r="K25" s="34"/>
      <c r="L25" s="34"/>
      <c r="M25" s="36"/>
      <c r="N25" s="199"/>
      <c r="O25" s="1402"/>
      <c r="P25" s="187"/>
      <c r="Q25" s="1564"/>
      <c r="R25" s="1564"/>
      <c r="S25" s="1447"/>
      <c r="T25" s="1448"/>
      <c r="U25" s="1449"/>
      <c r="V25" s="77"/>
      <c r="W25" s="77"/>
      <c r="X25" s="1450"/>
      <c r="Y25" s="109">
        <v>125000000</v>
      </c>
      <c r="Z25" s="109" t="s">
        <v>1154</v>
      </c>
      <c r="AA25" s="1477" t="s">
        <v>879</v>
      </c>
      <c r="AB25" s="1478"/>
      <c r="AC25" s="1478"/>
      <c r="AD25" s="1478"/>
      <c r="AE25" s="1574"/>
      <c r="AF25" s="1574"/>
      <c r="AG25" s="3625"/>
      <c r="AH25" s="1509"/>
      <c r="AI25" s="109"/>
      <c r="AJ25" s="1544"/>
      <c r="AK25" s="1510"/>
      <c r="AL25" s="1510"/>
      <c r="AM25" s="1511"/>
      <c r="AN25" s="1510"/>
      <c r="AO25" s="1533"/>
      <c r="AQ25" s="10">
        <f t="shared" si="5"/>
        <v>0</v>
      </c>
      <c r="AR25" s="10">
        <f t="shared" si="1"/>
        <v>0</v>
      </c>
      <c r="AS25" s="10">
        <f t="shared" si="2"/>
        <v>0</v>
      </c>
      <c r="AT25" s="10">
        <f t="shared" si="3"/>
        <v>0</v>
      </c>
    </row>
    <row r="26" spans="1:46" ht="29.25" customHeight="1">
      <c r="A26" s="10">
        <f>[8]DATA!A20</f>
        <v>18</v>
      </c>
      <c r="B26" s="10">
        <f>[8]DATA!B20</f>
        <v>0</v>
      </c>
      <c r="C26" s="10" t="str">
        <f>[8]DATA!D20</f>
        <v>INFRASTRUKTUR</v>
      </c>
      <c r="D26" s="10">
        <f>[8]DATA!E20</f>
        <v>1</v>
      </c>
      <c r="E26" s="10" t="str">
        <f>[8]DATA!F20</f>
        <v>Kementerian Pekerjaan Umum dan Perumahan Rakyat</v>
      </c>
      <c r="F26" s="10" t="str">
        <f>[8]DATA!H20</f>
        <v>Development and Improvement of National Roads Program</v>
      </c>
      <c r="G26" s="10" t="str">
        <f>[8]DATA!I20</f>
        <v>C</v>
      </c>
      <c r="H26" s="10" t="str">
        <f>[8]DATA!J20</f>
        <v>Program Pembangunan / Peningkatan Jalan</v>
      </c>
      <c r="I26" s="10">
        <f>[8]DATA!K20</f>
        <v>6</v>
      </c>
      <c r="J26" s="181"/>
      <c r="K26" s="34"/>
      <c r="L26" s="34"/>
      <c r="M26" s="36">
        <v>11</v>
      </c>
      <c r="N26" s="199" t="str">
        <f>[8]DATA!L20</f>
        <v>National Road Improvement in Central Kalimantan</v>
      </c>
      <c r="O26" s="1402">
        <f>[8]DATA!T20</f>
        <v>250000000</v>
      </c>
      <c r="P26" s="187" t="e">
        <f>'SEKTOR JALAN'!Y202\</f>
        <v>#NAME?</v>
      </c>
      <c r="Q26" s="1564">
        <f>[8]DATA!V20</f>
        <v>50000000</v>
      </c>
      <c r="R26" s="1564">
        <f>[8]DATA!W20</f>
        <v>0</v>
      </c>
      <c r="S26" s="1447" t="e">
        <f t="shared" si="4"/>
        <v>#NAME?</v>
      </c>
      <c r="T26" s="1448"/>
      <c r="U26" s="1449" t="str">
        <f>[8]DATA!Y20</f>
        <v>Bank Dunia/ADB</v>
      </c>
      <c r="V26" s="77">
        <f>[8]DATA!AA20</f>
        <v>250000000</v>
      </c>
      <c r="W26" s="77">
        <v>0</v>
      </c>
      <c r="X26" s="1450" t="str">
        <f>[8]DATA!Y20</f>
        <v>Bank Dunia/ADB</v>
      </c>
      <c r="Y26" s="109">
        <v>250000000</v>
      </c>
      <c r="Z26" s="109" t="s">
        <v>633</v>
      </c>
      <c r="AA26" s="1484" t="s">
        <v>879</v>
      </c>
      <c r="AB26" s="828"/>
      <c r="AC26" s="828"/>
      <c r="AD26" s="828"/>
      <c r="AE26" s="1575"/>
      <c r="AF26" s="1484"/>
      <c r="AG26" s="252"/>
      <c r="AH26" s="1509">
        <f>[8]DATA!AT20</f>
        <v>250000000</v>
      </c>
      <c r="AI26" s="109" t="str">
        <f>[8]DATA!AU20</f>
        <v>Belum Ada Indikasi</v>
      </c>
      <c r="AJ26" s="1544" t="str">
        <f>[8]DATA!AW20</f>
        <v>usulan K/L lender: Bank Dunia/ADB. Kedua calon lender tidak berminat mendanai proyek ini.</v>
      </c>
      <c r="AK26" s="1510">
        <f>[8]DATA!AM20</f>
        <v>0</v>
      </c>
      <c r="AL26" s="1510" t="str">
        <f>[8]DATA!AN20</f>
        <v>siap</v>
      </c>
      <c r="AM26" s="1511" t="str">
        <f>[8]DATA!AO20</f>
        <v>belum ada keterangan</v>
      </c>
      <c r="AN26" s="1510">
        <f>[8]DATA!AQ20</f>
        <v>0</v>
      </c>
      <c r="AO26" s="1533" t="str">
        <f>[8]DATA!AR20</f>
        <v>belum ada dokumen R/C</v>
      </c>
      <c r="AQ26" s="10">
        <f t="shared" si="5"/>
        <v>0</v>
      </c>
      <c r="AR26" s="10">
        <f t="shared" si="1"/>
        <v>0</v>
      </c>
      <c r="AS26" s="10">
        <f t="shared" si="2"/>
        <v>250000000</v>
      </c>
      <c r="AT26" s="10">
        <f t="shared" si="3"/>
        <v>0</v>
      </c>
    </row>
    <row r="27" spans="1:46" ht="34.5" customHeight="1">
      <c r="A27" s="10">
        <f>[8]DATA!A21</f>
        <v>19</v>
      </c>
      <c r="B27" s="10">
        <f>[8]DATA!B21</f>
        <v>0</v>
      </c>
      <c r="C27" s="10" t="str">
        <f>[8]DATA!D21</f>
        <v>INFRASTRUKTUR</v>
      </c>
      <c r="D27" s="10">
        <f>[8]DATA!E21</f>
        <v>1</v>
      </c>
      <c r="E27" s="10" t="str">
        <f>[8]DATA!F21</f>
        <v>Kementerian Pekerjaan Umum dan Perumahan Rakyat</v>
      </c>
      <c r="F27" s="10" t="str">
        <f>[8]DATA!H21</f>
        <v>Development and Improvement of National Roads Program</v>
      </c>
      <c r="G27" s="10" t="str">
        <f>[8]DATA!I21</f>
        <v>C</v>
      </c>
      <c r="H27" s="10" t="str">
        <f>[8]DATA!J21</f>
        <v>Program Pembangunan / Peningkatan Jalan</v>
      </c>
      <c r="I27" s="10">
        <f>[8]DATA!K21</f>
        <v>7</v>
      </c>
      <c r="J27" s="181"/>
      <c r="K27" s="34"/>
      <c r="L27" s="34"/>
      <c r="M27" s="36">
        <v>12</v>
      </c>
      <c r="N27" s="199" t="str">
        <f>[8]DATA!L21</f>
        <v>National Road Improvement in North and East Kalimantan</v>
      </c>
      <c r="O27" s="1402">
        <f>[8]DATA!T21</f>
        <v>250000000</v>
      </c>
      <c r="P27" s="187">
        <f>[8]DATA!U21</f>
        <v>250000000</v>
      </c>
      <c r="Q27" s="1564">
        <f>[8]DATA!V21</f>
        <v>50000000</v>
      </c>
      <c r="R27" s="1564">
        <f>[8]DATA!W21</f>
        <v>0</v>
      </c>
      <c r="S27" s="1447">
        <f t="shared" si="4"/>
        <v>300000000</v>
      </c>
      <c r="T27" s="1448"/>
      <c r="U27" s="1449" t="str">
        <f>[8]DATA!Y21</f>
        <v>IDB</v>
      </c>
      <c r="V27" s="77">
        <f>[8]DATA!AA21</f>
        <v>250000000</v>
      </c>
      <c r="W27" s="77">
        <v>0</v>
      </c>
      <c r="X27" s="1450" t="str">
        <f>[8]DATA!Y21</f>
        <v>IDB</v>
      </c>
      <c r="Y27" s="109">
        <v>250000000</v>
      </c>
      <c r="Z27" s="109" t="s">
        <v>636</v>
      </c>
      <c r="AA27" s="1484" t="s">
        <v>879</v>
      </c>
      <c r="AB27" s="828"/>
      <c r="AC27" s="828"/>
      <c r="AD27" s="828"/>
      <c r="AE27" s="1142"/>
      <c r="AF27" s="1142"/>
      <c r="AG27" s="1585" t="s">
        <v>1155</v>
      </c>
      <c r="AH27" s="1509">
        <f>[8]DATA!AT21</f>
        <v>250000000</v>
      </c>
      <c r="AI27" s="109" t="str">
        <f>[8]DATA!AU21</f>
        <v>AIIB</v>
      </c>
      <c r="AJ27" s="1544" t="str">
        <f>[8]DATA!AW21</f>
        <v>- usulan K/L semula lender: IDB. 
- Pihak IDB tidak berminat mendanai kegiatan ini, diusulkan kepada AIIB.</v>
      </c>
      <c r="AK27" s="1510">
        <f>[8]DATA!AM21</f>
        <v>0</v>
      </c>
      <c r="AL27" s="1510" t="str">
        <f>[8]DATA!AN21</f>
        <v>siap</v>
      </c>
      <c r="AM27" s="1511" t="str">
        <f>[8]DATA!AO21</f>
        <v>belum ada keterangan</v>
      </c>
      <c r="AN27" s="1510">
        <f>[8]DATA!AQ21</f>
        <v>0</v>
      </c>
      <c r="AO27" s="1533" t="str">
        <f>[8]DATA!AR21</f>
        <v>belum ada dokumen R/C</v>
      </c>
      <c r="AQ27" s="10">
        <f t="shared" si="5"/>
        <v>0</v>
      </c>
      <c r="AR27" s="10">
        <f t="shared" si="1"/>
        <v>0</v>
      </c>
      <c r="AS27" s="10">
        <f t="shared" si="2"/>
        <v>0</v>
      </c>
      <c r="AT27" s="10">
        <f t="shared" si="3"/>
        <v>0</v>
      </c>
    </row>
    <row r="28" spans="1:46" ht="36" customHeight="1">
      <c r="A28" s="10">
        <f>[8]DATA!A22</f>
        <v>20</v>
      </c>
      <c r="B28" s="10">
        <f>[8]DATA!B22</f>
        <v>0</v>
      </c>
      <c r="C28" s="10" t="str">
        <f>[8]DATA!D22</f>
        <v>INFRASTRUKTUR</v>
      </c>
      <c r="D28" s="10">
        <f>[8]DATA!E22</f>
        <v>1</v>
      </c>
      <c r="E28" s="10" t="str">
        <f>[8]DATA!F22</f>
        <v>Kementerian Pekerjaan Umum dan Perumahan Rakyat</v>
      </c>
      <c r="F28" s="10" t="str">
        <f>[8]DATA!H22</f>
        <v>Development and Improvement of National Roads Program</v>
      </c>
      <c r="G28" s="10" t="str">
        <f>[8]DATA!I22</f>
        <v>C</v>
      </c>
      <c r="H28" s="10" t="str">
        <f>[8]DATA!J22</f>
        <v>Program Pembangunan / Peningkatan Jalan</v>
      </c>
      <c r="I28" s="10">
        <f>[8]DATA!K22</f>
        <v>8</v>
      </c>
      <c r="J28" s="181"/>
      <c r="K28" s="34"/>
      <c r="L28" s="34"/>
      <c r="M28" s="36">
        <v>13</v>
      </c>
      <c r="N28" s="199" t="str">
        <f>[8]DATA!L22</f>
        <v>Road Improvement Project in Sulawesi Island and Major Cities</v>
      </c>
      <c r="O28" s="1402">
        <f>[8]DATA!T22</f>
        <v>250000000</v>
      </c>
      <c r="P28" s="187">
        <f>[8]DATA!U22</f>
        <v>250000000</v>
      </c>
      <c r="Q28" s="1564">
        <f>[8]DATA!V22</f>
        <v>50000000</v>
      </c>
      <c r="R28" s="1564">
        <f>[8]DATA!W22</f>
        <v>0</v>
      </c>
      <c r="S28" s="1447">
        <f t="shared" si="4"/>
        <v>300000000</v>
      </c>
      <c r="T28" s="1448"/>
      <c r="U28" s="1449" t="str">
        <f>[8]DATA!Y22</f>
        <v>IDB</v>
      </c>
      <c r="V28" s="77">
        <f>[8]DATA!AA22</f>
        <v>250000000</v>
      </c>
      <c r="W28" s="77">
        <v>0</v>
      </c>
      <c r="X28" s="1450" t="str">
        <f>[8]DATA!Y22</f>
        <v>IDB</v>
      </c>
      <c r="Y28" s="109">
        <v>250000000</v>
      </c>
      <c r="Z28" s="109" t="s">
        <v>58</v>
      </c>
      <c r="AA28" s="1484" t="s">
        <v>879</v>
      </c>
      <c r="AB28" s="828"/>
      <c r="AC28" s="828"/>
      <c r="AD28" s="828"/>
      <c r="AE28" s="1142"/>
      <c r="AF28" s="1142"/>
      <c r="AG28" s="1585" t="s">
        <v>1156</v>
      </c>
      <c r="AH28" s="1509">
        <f>[8]DATA!AT22</f>
        <v>250000000</v>
      </c>
      <c r="AI28" s="109" t="str">
        <f>[8]DATA!AU22</f>
        <v>IDB</v>
      </c>
      <c r="AJ28" s="1544" t="str">
        <f>[8]DATA!AW22</f>
        <v>-</v>
      </c>
      <c r="AK28" s="1510">
        <f>[8]DATA!AM22</f>
        <v>0</v>
      </c>
      <c r="AL28" s="1510" t="str">
        <f>[8]DATA!AN22</f>
        <v>siap</v>
      </c>
      <c r="AM28" s="1511" t="str">
        <f>[8]DATA!AO22</f>
        <v>belum ada keterangan</v>
      </c>
      <c r="AN28" s="1510">
        <f>[8]DATA!AQ22</f>
        <v>0</v>
      </c>
      <c r="AO28" s="1533" t="str">
        <f>[8]DATA!AR22</f>
        <v>belum ada dokumen R/C</v>
      </c>
      <c r="AQ28" s="10">
        <f t="shared" si="5"/>
        <v>0</v>
      </c>
      <c r="AR28" s="10">
        <f t="shared" si="1"/>
        <v>0</v>
      </c>
      <c r="AS28" s="10">
        <f t="shared" si="2"/>
        <v>0</v>
      </c>
      <c r="AT28" s="10">
        <f t="shared" si="3"/>
        <v>0</v>
      </c>
    </row>
    <row r="29" spans="1:46" ht="24" customHeight="1">
      <c r="J29" s="181"/>
      <c r="K29" s="25">
        <v>8</v>
      </c>
      <c r="L29" s="108" t="s">
        <v>946</v>
      </c>
      <c r="M29" s="25"/>
      <c r="N29" s="1416"/>
      <c r="O29" s="213">
        <f>+O30</f>
        <v>0</v>
      </c>
      <c r="P29" s="1558">
        <f>+P30</f>
        <v>225000000</v>
      </c>
      <c r="Q29" s="1565">
        <f>+Q30</f>
        <v>0</v>
      </c>
      <c r="R29" s="1565">
        <f>+R30</f>
        <v>0</v>
      </c>
      <c r="S29" s="1566">
        <f t="shared" si="4"/>
        <v>225000000</v>
      </c>
      <c r="T29" s="1434"/>
      <c r="U29" s="1549"/>
      <c r="V29" s="80">
        <f>+V30</f>
        <v>0</v>
      </c>
      <c r="W29" s="80">
        <f>+W30</f>
        <v>225000000</v>
      </c>
      <c r="X29" s="241"/>
      <c r="Y29" s="80">
        <f>+Y30</f>
        <v>225000000</v>
      </c>
      <c r="Z29" s="80"/>
      <c r="AA29" s="1465"/>
      <c r="AB29" s="1466"/>
      <c r="AC29" s="1466"/>
      <c r="AD29" s="1466"/>
      <c r="AE29" s="1576"/>
      <c r="AF29" s="1465"/>
      <c r="AG29" s="1540"/>
      <c r="AH29" s="195">
        <f>+AH30</f>
        <v>225000000</v>
      </c>
      <c r="AI29" s="80" t="s">
        <v>21</v>
      </c>
      <c r="AJ29" s="213"/>
      <c r="AK29" s="1501"/>
      <c r="AL29" s="1502"/>
      <c r="AM29" s="168"/>
      <c r="AN29" s="1503"/>
      <c r="AO29" s="1529"/>
      <c r="AQ29" s="10">
        <f t="shared" si="5"/>
        <v>0</v>
      </c>
      <c r="AR29" s="10">
        <f t="shared" si="1"/>
        <v>0</v>
      </c>
      <c r="AS29" s="10">
        <f t="shared" si="2"/>
        <v>0</v>
      </c>
      <c r="AT29" s="10">
        <f t="shared" si="3"/>
        <v>0</v>
      </c>
    </row>
    <row r="30" spans="1:46" ht="36" customHeight="1">
      <c r="J30" s="181"/>
      <c r="K30" s="35"/>
      <c r="L30" s="30" t="str">
        <f>[8]DATA!I161</f>
        <v>A</v>
      </c>
      <c r="M30" s="3427" t="s">
        <v>948</v>
      </c>
      <c r="N30" s="3556"/>
      <c r="O30" s="214">
        <f>O31</f>
        <v>0</v>
      </c>
      <c r="P30" s="1559">
        <f>+P31</f>
        <v>225000000</v>
      </c>
      <c r="Q30" s="1567">
        <f>+Q31</f>
        <v>0</v>
      </c>
      <c r="R30" s="1567">
        <f>+R31</f>
        <v>0</v>
      </c>
      <c r="S30" s="244">
        <f t="shared" si="4"/>
        <v>225000000</v>
      </c>
      <c r="T30" s="1437"/>
      <c r="U30" s="1539"/>
      <c r="V30" s="81">
        <f>V31</f>
        <v>0</v>
      </c>
      <c r="W30" s="81">
        <f>W31</f>
        <v>225000000</v>
      </c>
      <c r="X30" s="243"/>
      <c r="Y30" s="81">
        <f>Y31</f>
        <v>225000000</v>
      </c>
      <c r="Z30" s="81"/>
      <c r="AA30" s="1469"/>
      <c r="AB30" s="1470"/>
      <c r="AC30" s="1470"/>
      <c r="AD30" s="1470"/>
      <c r="AE30" s="1573"/>
      <c r="AF30" s="1469"/>
      <c r="AG30" s="1577"/>
      <c r="AH30" s="198">
        <f>AH31</f>
        <v>225000000</v>
      </c>
      <c r="AI30" s="81" t="s">
        <v>21</v>
      </c>
      <c r="AJ30" s="214"/>
      <c r="AK30" s="1505"/>
      <c r="AL30" s="1506"/>
      <c r="AM30" s="169"/>
      <c r="AN30" s="1507"/>
      <c r="AO30" s="1530"/>
      <c r="AQ30" s="10">
        <f t="shared" si="5"/>
        <v>0</v>
      </c>
      <c r="AR30" s="10">
        <f t="shared" si="1"/>
        <v>0</v>
      </c>
      <c r="AS30" s="10">
        <f t="shared" si="2"/>
        <v>0</v>
      </c>
      <c r="AT30" s="10">
        <f t="shared" si="3"/>
        <v>0</v>
      </c>
    </row>
    <row r="31" spans="1:46" ht="33.75" customHeight="1">
      <c r="J31" s="181"/>
      <c r="K31" s="54"/>
      <c r="L31" s="54"/>
      <c r="M31" s="52">
        <v>14</v>
      </c>
      <c r="N31" s="199" t="str">
        <f>[8]DATA!L152</f>
        <v>Development and Improvement of Lampung Provincial Roads Project</v>
      </c>
      <c r="O31" s="1402">
        <f>[8]DATA!T152</f>
        <v>0</v>
      </c>
      <c r="P31" s="187">
        <f>[8]DATA!U152</f>
        <v>225000000</v>
      </c>
      <c r="Q31" s="187">
        <f>[8]DATA!V152</f>
        <v>0</v>
      </c>
      <c r="R31" s="187">
        <f>[8]DATA!W152</f>
        <v>0</v>
      </c>
      <c r="S31" s="1447">
        <f t="shared" si="4"/>
        <v>225000000</v>
      </c>
      <c r="T31" s="1448"/>
      <c r="U31" s="1449"/>
      <c r="V31" s="77">
        <v>0</v>
      </c>
      <c r="W31" s="77">
        <f>[8]DATA!AA152</f>
        <v>225000000</v>
      </c>
      <c r="X31" s="1450" t="str">
        <f>[8]DATA!Y152</f>
        <v>Belum Ada Indikasi</v>
      </c>
      <c r="Y31" s="109">
        <v>225000000</v>
      </c>
      <c r="Z31" s="109" t="s">
        <v>633</v>
      </c>
      <c r="AA31" s="1484" t="s">
        <v>879</v>
      </c>
      <c r="AB31" s="828"/>
      <c r="AC31" s="828"/>
      <c r="AD31" s="828"/>
      <c r="AE31" s="1575"/>
      <c r="AF31" s="1484"/>
      <c r="AG31" s="252"/>
      <c r="AH31" s="1509">
        <f>[8]DATA!AT152</f>
        <v>225000000</v>
      </c>
      <c r="AI31" s="109" t="str">
        <f>[8]DATA!AU152</f>
        <v>Belum Ada Indikasi</v>
      </c>
      <c r="AJ31" s="216">
        <f>[8]DATA!AW152</f>
        <v>0</v>
      </c>
      <c r="AK31" s="245">
        <f>[8]DATA!AM152</f>
        <v>0</v>
      </c>
      <c r="AL31" s="1510" t="str">
        <f>[8]DATA!AN152</f>
        <v>belum ada keterangan</v>
      </c>
      <c r="AM31" s="1511" t="str">
        <f>[8]DATA!AO152</f>
        <v>belum ada keterangan</v>
      </c>
      <c r="AN31" s="1512">
        <f>[8]DATA!AQ152</f>
        <v>0</v>
      </c>
      <c r="AO31" s="1531" t="str">
        <f>[8]DATA!AR152</f>
        <v>belum ada dokumen R/C</v>
      </c>
      <c r="AQ31" s="10">
        <f t="shared" si="5"/>
        <v>0</v>
      </c>
      <c r="AR31" s="10">
        <f t="shared" si="1"/>
        <v>0</v>
      </c>
      <c r="AS31" s="10">
        <f t="shared" si="2"/>
        <v>225000000</v>
      </c>
      <c r="AT31" s="10">
        <f t="shared" si="3"/>
        <v>0</v>
      </c>
    </row>
    <row r="32" spans="1:46" s="3" customFormat="1" ht="30" customHeight="1">
      <c r="J32" s="3450" t="s">
        <v>477</v>
      </c>
      <c r="K32" s="3451"/>
      <c r="L32" s="3451"/>
      <c r="M32" s="3573"/>
      <c r="N32" s="3573"/>
      <c r="O32" s="282" t="e">
        <f>+O8+#REF!</f>
        <v>#REF!</v>
      </c>
      <c r="P32" s="278" t="e">
        <f>+P8+#REF!</f>
        <v>#NAME?</v>
      </c>
      <c r="Q32" s="1460" t="e">
        <f>+Q8+#REF!</f>
        <v>#REF!</v>
      </c>
      <c r="R32" s="1460" t="e">
        <f>+R8+#REF!</f>
        <v>#REF!</v>
      </c>
      <c r="S32" s="288" t="e">
        <f t="shared" si="4"/>
        <v>#NAME?</v>
      </c>
      <c r="T32" s="1461"/>
      <c r="U32" s="279"/>
      <c r="V32" s="280" t="e">
        <f>+V8+#REF!</f>
        <v>#REF!</v>
      </c>
      <c r="W32" s="280" t="e">
        <f>+W8+#REF!</f>
        <v>#REF!</v>
      </c>
      <c r="X32" s="287"/>
      <c r="Y32" s="280">
        <f>+Y8</f>
        <v>4680000000</v>
      </c>
      <c r="Z32" s="280"/>
      <c r="AA32" s="280"/>
      <c r="AB32" s="1490"/>
      <c r="AC32" s="1490"/>
      <c r="AD32" s="1490"/>
      <c r="AE32" s="287"/>
      <c r="AF32" s="287"/>
      <c r="AG32" s="285"/>
      <c r="AH32" s="279" t="e">
        <f>+AH8+#REF!</f>
        <v>#REF!</v>
      </c>
      <c r="AI32" s="280" t="s">
        <v>21</v>
      </c>
      <c r="AJ32" s="280" t="s">
        <v>21</v>
      </c>
      <c r="AK32" s="1523"/>
      <c r="AL32" s="1524"/>
      <c r="AM32" s="1525"/>
      <c r="AN32" s="1526"/>
      <c r="AO32" s="1534"/>
      <c r="AP32" s="12"/>
      <c r="AQ32" s="1535">
        <f>SUM(AQ11:AQ31)</f>
        <v>331000000</v>
      </c>
      <c r="AR32" s="1535">
        <f>SUM(AR11:AR31)</f>
        <v>725000000</v>
      </c>
      <c r="AS32" s="1535">
        <f>SUM(AS11:AS31)</f>
        <v>1674000000</v>
      </c>
      <c r="AT32" s="1535">
        <f>SUM(AT11:AT31)</f>
        <v>250000000</v>
      </c>
    </row>
    <row r="33" spans="1:42" s="12" customFormat="1">
      <c r="A33" s="10"/>
      <c r="B33" s="10"/>
      <c r="C33" s="10"/>
      <c r="D33" s="10"/>
      <c r="E33" s="10"/>
      <c r="F33" s="10"/>
      <c r="G33" s="10"/>
      <c r="H33" s="10"/>
      <c r="I33" s="10"/>
      <c r="J33" s="11"/>
      <c r="K33" s="10"/>
      <c r="L33" s="10"/>
      <c r="M33" s="1425"/>
      <c r="N33" s="1426"/>
      <c r="O33" s="13"/>
      <c r="P33" s="13"/>
      <c r="Q33" s="1395"/>
      <c r="R33" s="1395"/>
      <c r="S33" s="13"/>
      <c r="T33" s="13"/>
      <c r="U33" s="14"/>
      <c r="V33" s="13"/>
      <c r="W33" s="13"/>
      <c r="X33" s="13"/>
      <c r="Y33" s="13"/>
      <c r="Z33" s="13"/>
      <c r="AA33" s="13"/>
      <c r="AB33" s="13"/>
      <c r="AC33" s="13"/>
      <c r="AD33" s="13"/>
      <c r="AE33" s="13"/>
      <c r="AF33" s="13"/>
      <c r="AG33" s="13"/>
      <c r="AK33" s="14"/>
      <c r="AL33" s="14"/>
      <c r="AM33" s="14"/>
      <c r="AN33" s="14"/>
      <c r="AO33" s="175"/>
    </row>
    <row r="34" spans="1:42" s="12" customFormat="1">
      <c r="A34" s="10"/>
      <c r="B34" s="10"/>
      <c r="C34" s="10"/>
      <c r="D34" s="10"/>
      <c r="E34" s="10"/>
      <c r="F34" s="10"/>
      <c r="G34" s="10"/>
      <c r="H34" s="10"/>
      <c r="I34" s="10"/>
      <c r="J34" s="11"/>
      <c r="K34" s="10" t="s">
        <v>1111</v>
      </c>
      <c r="L34" s="10"/>
      <c r="M34" s="10"/>
      <c r="O34" s="13"/>
      <c r="P34" s="13"/>
      <c r="Q34" s="1395"/>
      <c r="R34" s="1395"/>
      <c r="S34" s="13"/>
      <c r="T34" s="13"/>
      <c r="U34" s="14"/>
      <c r="V34" s="13" t="e">
        <f>V32+W32</f>
        <v>#REF!</v>
      </c>
      <c r="W34" s="13"/>
      <c r="X34" s="13"/>
      <c r="Y34" s="13"/>
      <c r="Z34" s="13"/>
      <c r="AA34" s="13"/>
      <c r="AB34" s="13"/>
      <c r="AC34" s="13"/>
      <c r="AD34" s="13"/>
      <c r="AE34" s="13"/>
      <c r="AF34" s="13"/>
      <c r="AG34" s="13"/>
      <c r="AH34" s="289"/>
      <c r="AK34" s="14"/>
      <c r="AL34" s="14"/>
      <c r="AM34" s="14"/>
      <c r="AN34" s="14"/>
      <c r="AO34" s="175"/>
      <c r="AP34" s="10"/>
    </row>
    <row r="35" spans="1:42">
      <c r="V35" s="13" t="e">
        <f>V34-AH32</f>
        <v>#REF!</v>
      </c>
      <c r="Y35" s="13">
        <f>Y32+5809063500</f>
        <v>10489063500</v>
      </c>
      <c r="Z35" s="13" t="e">
        <f>Y32-#REF!</f>
        <v>#REF!</v>
      </c>
    </row>
    <row r="37" spans="1:42">
      <c r="AH37" s="289"/>
    </row>
    <row r="38" spans="1:42">
      <c r="Y38" s="13" t="e">
        <f>#REF!+#REF!+#REF!+#REF!+#REF!+#REF!+#REF!+#REF!+#REF!+#REF!+#REF!+#REF!+#REF!+#REF!+#REF!+#REF!+#REF!+#REF!+#REF!+#REF!+#REF!+#REF!</f>
        <v>#REF!</v>
      </c>
      <c r="AP38" s="12"/>
    </row>
    <row r="39" spans="1:42" s="12" customFormat="1">
      <c r="A39" s="10"/>
      <c r="B39" s="10"/>
      <c r="C39" s="10"/>
      <c r="D39" s="10"/>
      <c r="E39" s="10"/>
      <c r="F39" s="10"/>
      <c r="G39" s="10"/>
      <c r="H39" s="10"/>
      <c r="I39" s="10"/>
      <c r="J39" s="11"/>
      <c r="K39" s="10"/>
      <c r="L39" s="10"/>
      <c r="M39" s="10"/>
      <c r="O39" s="13"/>
      <c r="P39" s="13"/>
      <c r="Q39" s="1395"/>
      <c r="R39" s="1395"/>
      <c r="S39" s="13"/>
      <c r="T39" s="13"/>
      <c r="U39" s="14"/>
      <c r="V39" s="13"/>
      <c r="W39" s="13"/>
      <c r="X39" s="13"/>
      <c r="Y39" s="13"/>
      <c r="Z39" s="13"/>
      <c r="AA39" s="13"/>
      <c r="AB39" s="13"/>
      <c r="AC39" s="13"/>
      <c r="AD39" s="13"/>
      <c r="AE39" s="13"/>
      <c r="AF39" s="13"/>
      <c r="AG39" s="13"/>
      <c r="AI39" s="289"/>
      <c r="AK39" s="14"/>
      <c r="AL39" s="14"/>
      <c r="AM39" s="14"/>
      <c r="AN39" s="14"/>
      <c r="AO39" s="175"/>
    </row>
    <row r="40" spans="1:42" s="12" customFormat="1">
      <c r="A40" s="10"/>
      <c r="B40" s="10"/>
      <c r="C40" s="10"/>
      <c r="D40" s="10"/>
      <c r="E40" s="10"/>
      <c r="F40" s="10"/>
      <c r="G40" s="10"/>
      <c r="H40" s="10"/>
      <c r="I40" s="10"/>
      <c r="J40" s="11"/>
      <c r="K40" s="10"/>
      <c r="L40" s="10"/>
      <c r="M40" s="10"/>
      <c r="O40" s="13"/>
      <c r="P40" s="13"/>
      <c r="Q40" s="1395"/>
      <c r="R40" s="1395"/>
      <c r="S40" s="13"/>
      <c r="T40" s="13"/>
      <c r="U40" s="14"/>
      <c r="V40" s="13"/>
      <c r="W40" s="13"/>
      <c r="X40" s="13"/>
      <c r="Y40" s="13" t="e">
        <f>#REF!+#REF!+#REF!+#REF!+#REF!+#REF!+#REF!+#REF!+#REF!+#REF!+#REF!+#REF!+#REF!+#REF!+#REF!+#REF!+#REF!+#REF!+#REF!+#REF!+#REF!+#REF!+#REF!+#REF!+#REF!+#REF!+Y11+71100000</f>
        <v>#REF!</v>
      </c>
      <c r="Z40" s="13"/>
      <c r="AA40" s="13"/>
      <c r="AB40" s="13"/>
      <c r="AC40" s="13"/>
      <c r="AD40" s="13"/>
      <c r="AE40" s="13"/>
      <c r="AF40" s="13"/>
      <c r="AG40" s="13"/>
      <c r="AH40" s="289"/>
      <c r="AK40" s="14"/>
      <c r="AL40" s="14"/>
      <c r="AM40" s="14"/>
      <c r="AN40" s="14"/>
      <c r="AO40" s="175"/>
      <c r="AP40" s="1536"/>
    </row>
    <row r="41" spans="1:42" s="12" customFormat="1">
      <c r="A41" s="10"/>
      <c r="B41" s="10"/>
      <c r="C41" s="10"/>
      <c r="D41" s="10"/>
      <c r="E41" s="10"/>
      <c r="F41" s="10"/>
      <c r="G41" s="10"/>
      <c r="H41" s="10"/>
      <c r="I41" s="10"/>
      <c r="J41" s="11"/>
      <c r="K41" s="10"/>
      <c r="L41" s="10"/>
      <c r="M41" s="10"/>
      <c r="O41" s="13"/>
      <c r="P41" s="13"/>
      <c r="Q41" s="1395"/>
      <c r="R41" s="1395"/>
      <c r="S41" s="13"/>
      <c r="T41" s="13"/>
      <c r="U41" s="14"/>
      <c r="V41" s="13"/>
      <c r="W41" s="13"/>
      <c r="X41" s="13"/>
      <c r="Y41" s="13"/>
      <c r="Z41" s="13"/>
      <c r="AA41" s="13"/>
      <c r="AB41" s="13"/>
      <c r="AC41" s="13"/>
      <c r="AD41" s="13"/>
      <c r="AE41" s="13"/>
      <c r="AF41" s="13"/>
      <c r="AG41" s="13"/>
      <c r="AK41" s="14"/>
      <c r="AL41" s="14"/>
      <c r="AM41" s="14"/>
      <c r="AN41" s="14"/>
      <c r="AO41" s="175"/>
      <c r="AP41" s="10"/>
    </row>
  </sheetData>
  <autoFilter ref="A7:AO32"/>
  <mergeCells count="35">
    <mergeCell ref="T5:T6"/>
    <mergeCell ref="V11:V13"/>
    <mergeCell ref="Y5:Y6"/>
    <mergeCell ref="Z5:Z6"/>
    <mergeCell ref="P11:P13"/>
    <mergeCell ref="Q5:Q6"/>
    <mergeCell ref="Q11:Q13"/>
    <mergeCell ref="R5:R6"/>
    <mergeCell ref="M30:N30"/>
    <mergeCell ref="J32:N32"/>
    <mergeCell ref="M11:M13"/>
    <mergeCell ref="N11:N13"/>
    <mergeCell ref="AO11:AO13"/>
    <mergeCell ref="AG24:AG25"/>
    <mergeCell ref="AK11:AK13"/>
    <mergeCell ref="AL11:AL13"/>
    <mergeCell ref="AM11:AM13"/>
    <mergeCell ref="AN11:AN13"/>
    <mergeCell ref="S11:S13"/>
    <mergeCell ref="O5:O6"/>
    <mergeCell ref="O11:O13"/>
    <mergeCell ref="J1:AO1"/>
    <mergeCell ref="J2:AO2"/>
    <mergeCell ref="U4:AJ4"/>
    <mergeCell ref="AK4:AO4"/>
    <mergeCell ref="U5:X5"/>
    <mergeCell ref="AB5:AF5"/>
    <mergeCell ref="AH5:AJ5"/>
    <mergeCell ref="AK5:AO5"/>
    <mergeCell ref="P5:P6"/>
    <mergeCell ref="S5:S6"/>
    <mergeCell ref="AA5:AA6"/>
    <mergeCell ref="AG5:AG6"/>
    <mergeCell ref="R11:R13"/>
    <mergeCell ref="J5:N6"/>
  </mergeCells>
  <printOptions horizontalCentered="1"/>
  <pageMargins left="0.39305555555555599" right="0.39305555555555599" top="0.39305555555555599" bottom="0.39305555555555599" header="0.31458333333333299" footer="0.196527777777778"/>
  <pageSetup paperSize="9" scale="48" fitToHeight="0" orientation="portrait"/>
  <headerFooter>
    <oddFooter>&amp;R&amp;"Cambria,Italic"&amp;9&amp;P/&amp;N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T25"/>
  <sheetViews>
    <sheetView topLeftCell="J1" zoomScale="70" zoomScaleNormal="70" workbookViewId="0">
      <pane ySplit="7" topLeftCell="A8" activePane="bottomLeft" state="frozen"/>
      <selection pane="bottomLeft" activeCell="AG29" sqref="AG29"/>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1352</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DATA!B2</f>
        <v>I</v>
      </c>
      <c r="K8" s="22" t="str">
        <f>DATA!D2</f>
        <v>INFRASTRUKTUR</v>
      </c>
      <c r="L8" s="22"/>
      <c r="M8" s="22"/>
      <c r="N8" s="1404"/>
      <c r="O8" s="212" t="e">
        <f>#REF!+#REF!+O9+#REF!+#REF!+#REF!+#REF!+#REF!+#REF!+#REF!</f>
        <v>#REF!</v>
      </c>
      <c r="P8" s="191" t="e">
        <f>#REF!+#REF!+P9+#REF!+#REF!+#REF!+#REF!+#REF!+#REF!+#REF!</f>
        <v>#REF!</v>
      </c>
      <c r="Q8" s="191" t="e">
        <f>+#REF!+#REF!+Q9+#REF!+#REF!+#REF!+#REF!+#REF!+#REF!</f>
        <v>#REF!</v>
      </c>
      <c r="R8" s="191" t="e">
        <f>+#REF!+#REF!+R9+#REF!+#REF!+#REF!+#REF!+#REF!+#REF!</f>
        <v>#REF!</v>
      </c>
      <c r="S8" s="240" t="e">
        <f>+#REF!+#REF!+S9+#REF!+#REF!+#REF!+#REF!+#REF!+#REF!</f>
        <v>#REF!</v>
      </c>
      <c r="T8" s="1433"/>
      <c r="U8" s="192"/>
      <c r="V8" s="79" t="e">
        <f>+#REF!+#REF!+V9+#REF!+#REF!+#REF!+#REF!+#REF!+#REF!</f>
        <v>#REF!</v>
      </c>
      <c r="W8" s="79" t="e">
        <f>+#REF!+#REF!+W9+#REF!+#REF!+#REF!+#REF!+#REF!+#REF!</f>
        <v>#REF!</v>
      </c>
      <c r="X8" s="239" t="e">
        <f>+#REF!+#REF!+X9+#REF!+#REF!+#REF!</f>
        <v>#REF!</v>
      </c>
      <c r="Y8" s="79">
        <f>+Y9</f>
        <v>1987373100</v>
      </c>
      <c r="Z8" s="79"/>
      <c r="AA8" s="224"/>
      <c r="AB8" s="1464"/>
      <c r="AC8" s="1464"/>
      <c r="AD8" s="1464"/>
      <c r="AE8" s="1464"/>
      <c r="AF8" s="1464"/>
      <c r="AG8" s="1495"/>
      <c r="AH8" s="192" t="e">
        <f>+#REF!+#REF!+AH9+#REF!+#REF!+#REF!+#REF!+#REF!+#REF!</f>
        <v>#REF!</v>
      </c>
      <c r="AI8" s="79" t="s">
        <v>21</v>
      </c>
      <c r="AJ8" s="212" t="e">
        <f>P8-AH8</f>
        <v>#REF!</v>
      </c>
      <c r="AK8" s="1496"/>
      <c r="AL8" s="1497"/>
      <c r="AM8" s="1498"/>
      <c r="AN8" s="1499"/>
      <c r="AO8" s="1528"/>
    </row>
    <row r="9" spans="1:46" s="4" customFormat="1" ht="24.95" customHeight="1">
      <c r="J9" s="250"/>
      <c r="K9" s="25">
        <f>DATA!E119</f>
        <v>3</v>
      </c>
      <c r="L9" s="108" t="str">
        <f>DATA!F119</f>
        <v>Kementerian Perhubungan</v>
      </c>
      <c r="M9" s="25"/>
      <c r="N9" s="1416"/>
      <c r="O9" s="213" t="e">
        <f>#REF!+O10</f>
        <v>#REF!</v>
      </c>
      <c r="P9" s="194" t="e">
        <f>#REF!+P10</f>
        <v>#REF!</v>
      </c>
      <c r="Q9" s="194" t="e">
        <f>#REF!+Q10</f>
        <v>#REF!</v>
      </c>
      <c r="R9" s="194" t="e">
        <f>#REF!+R10</f>
        <v>#REF!</v>
      </c>
      <c r="S9" s="242" t="e">
        <f>P9+Q9+R9</f>
        <v>#REF!</v>
      </c>
      <c r="T9" s="1434"/>
      <c r="U9" s="1549"/>
      <c r="V9" s="80" t="e">
        <f>+#REF!+V10</f>
        <v>#REF!</v>
      </c>
      <c r="W9" s="80" t="e">
        <f>+#REF!+W10</f>
        <v>#REF!</v>
      </c>
      <c r="X9" s="241"/>
      <c r="Y9" s="80">
        <f>+Y10</f>
        <v>1987373100</v>
      </c>
      <c r="Z9" s="80"/>
      <c r="AA9" s="1465"/>
      <c r="AB9" s="1466"/>
      <c r="AC9" s="1467"/>
      <c r="AD9" s="1468"/>
      <c r="AE9" s="1468"/>
      <c r="AF9" s="1468"/>
      <c r="AG9" s="1500"/>
      <c r="AH9" s="195" t="e">
        <f>+#REF!+AH10</f>
        <v>#REF!</v>
      </c>
      <c r="AI9" s="80" t="s">
        <v>21</v>
      </c>
      <c r="AJ9" s="213"/>
      <c r="AK9" s="1501"/>
      <c r="AL9" s="1502"/>
      <c r="AM9" s="168"/>
      <c r="AN9" s="1503"/>
      <c r="AO9" s="1529"/>
      <c r="AQ9" s="10">
        <f t="shared" ref="AQ9:AQ15" si="0">IF(Z9="RRT",Y9,0)</f>
        <v>0</v>
      </c>
      <c r="AR9" s="10">
        <f t="shared" ref="AR9:AR15" si="1">IF(Z9="JICA",Y9,0)</f>
        <v>0</v>
      </c>
      <c r="AS9" s="10">
        <f t="shared" ref="AS9:AS15" si="2">IF(Z9="Belum ada indikasi",Y9,0)</f>
        <v>0</v>
      </c>
      <c r="AT9" s="10">
        <f t="shared" ref="AT9:AT15" si="3">IF(Z9="Korea",Y9,0)</f>
        <v>0</v>
      </c>
    </row>
    <row r="10" spans="1:46" ht="30" customHeight="1">
      <c r="J10" s="181"/>
      <c r="K10" s="34"/>
      <c r="L10" s="30" t="s">
        <v>40</v>
      </c>
      <c r="M10" s="31" t="s">
        <v>896</v>
      </c>
      <c r="N10" s="1419"/>
      <c r="O10" s="214">
        <f>O11+O12+O13+O14</f>
        <v>0</v>
      </c>
      <c r="P10" s="197">
        <f>P11+P12+P13+P14</f>
        <v>1987373100</v>
      </c>
      <c r="Q10" s="1436">
        <f>Q11+Q12+Q13+Q14</f>
        <v>602300000</v>
      </c>
      <c r="R10" s="1436">
        <f>R11+R12+R13+R14</f>
        <v>0</v>
      </c>
      <c r="S10" s="244">
        <f t="shared" ref="S10:S14" si="4">P10+Q10+R10</f>
        <v>2589673100</v>
      </c>
      <c r="T10" s="1437"/>
      <c r="U10" s="1539"/>
      <c r="V10" s="81">
        <f>V11+V12+V13+V14</f>
        <v>0</v>
      </c>
      <c r="W10" s="81">
        <f>W11+W12+W13+W14</f>
        <v>1987373100</v>
      </c>
      <c r="X10" s="243"/>
      <c r="Y10" s="81">
        <f>Y11+Y12+Y13+Y14+Y15</f>
        <v>1987373100</v>
      </c>
      <c r="Z10" s="81"/>
      <c r="AA10" s="1469"/>
      <c r="AB10" s="1470"/>
      <c r="AC10" s="1471"/>
      <c r="AD10" s="1472"/>
      <c r="AE10" s="1472"/>
      <c r="AF10" s="1472"/>
      <c r="AG10" s="1551"/>
      <c r="AH10" s="198">
        <f>AH11+AH12+AH13+AH14</f>
        <v>1987373100</v>
      </c>
      <c r="AI10" s="81" t="s">
        <v>21</v>
      </c>
      <c r="AJ10" s="214"/>
      <c r="AK10" s="1505"/>
      <c r="AL10" s="1506"/>
      <c r="AM10" s="169"/>
      <c r="AN10" s="1507"/>
      <c r="AO10" s="1530"/>
      <c r="AQ10" s="10">
        <f t="shared" si="0"/>
        <v>0</v>
      </c>
      <c r="AR10" s="10">
        <f t="shared" si="1"/>
        <v>0</v>
      </c>
      <c r="AS10" s="10">
        <f t="shared" si="2"/>
        <v>0</v>
      </c>
      <c r="AT10" s="10">
        <f t="shared" si="3"/>
        <v>0</v>
      </c>
    </row>
    <row r="11" spans="1:46" ht="36" customHeight="1">
      <c r="J11" s="181"/>
      <c r="K11" s="34"/>
      <c r="L11" s="34"/>
      <c r="M11" s="172">
        <v>1</v>
      </c>
      <c r="N11" s="1548" t="str">
        <f>DATA!L131</f>
        <v>Development and Improvement of Indonesian Aids to Navigation</v>
      </c>
      <c r="O11" s="1402">
        <f>DATA!T131</f>
        <v>0</v>
      </c>
      <c r="P11" s="187">
        <f>DATA!U131</f>
        <v>27402600</v>
      </c>
      <c r="Q11" s="187">
        <f>DATA!V131</f>
        <v>7300000</v>
      </c>
      <c r="R11" s="187">
        <f>DATA!W131</f>
        <v>0</v>
      </c>
      <c r="S11" s="1447">
        <f t="shared" si="4"/>
        <v>34702600</v>
      </c>
      <c r="T11" s="1550" t="s">
        <v>1096</v>
      </c>
      <c r="U11" s="1449"/>
      <c r="V11" s="77">
        <v>0</v>
      </c>
      <c r="W11" s="77">
        <f>DATA!AA131</f>
        <v>27402600</v>
      </c>
      <c r="X11" s="1450" t="str">
        <f>DATA!Y131</f>
        <v>Belum Ada Indikasi</v>
      </c>
      <c r="Y11" s="109">
        <v>27402600</v>
      </c>
      <c r="Z11" s="109" t="s">
        <v>1213</v>
      </c>
      <c r="AA11" s="1484" t="s">
        <v>879</v>
      </c>
      <c r="AB11" s="828"/>
      <c r="AC11" s="1485"/>
      <c r="AD11" s="1486"/>
      <c r="AE11" s="1486"/>
      <c r="AF11" s="1486"/>
      <c r="AG11" s="1552" t="s">
        <v>1214</v>
      </c>
      <c r="AH11" s="1509">
        <f>DATA!AT131</f>
        <v>27402600</v>
      </c>
      <c r="AI11" s="109" t="str">
        <f>DATA!AU131</f>
        <v>Belum Ada Indikasi</v>
      </c>
      <c r="AJ11" s="1544">
        <f>DATA!AW131</f>
        <v>0</v>
      </c>
      <c r="AK11" s="245">
        <f>DATA!AM131</f>
        <v>0</v>
      </c>
      <c r="AL11" s="1512" t="str">
        <f>DATA!AN131</f>
        <v>belum ada keterangan</v>
      </c>
      <c r="AM11" s="1512" t="str">
        <f>DATA!AO131</f>
        <v>belum ada keterangan</v>
      </c>
      <c r="AN11" s="1512">
        <f>DATA!AQ131</f>
        <v>0</v>
      </c>
      <c r="AO11" s="1555">
        <f>DATA!AR131</f>
        <v>0</v>
      </c>
      <c r="AQ11" s="10">
        <f t="shared" si="0"/>
        <v>0</v>
      </c>
      <c r="AR11" s="10">
        <f t="shared" si="1"/>
        <v>0</v>
      </c>
      <c r="AS11" s="10">
        <f t="shared" si="2"/>
        <v>0</v>
      </c>
      <c r="AT11" s="10">
        <f t="shared" si="3"/>
        <v>27402600</v>
      </c>
    </row>
    <row r="12" spans="1:46" ht="30.75" customHeight="1">
      <c r="J12" s="181"/>
      <c r="K12" s="34"/>
      <c r="L12" s="34"/>
      <c r="M12" s="172">
        <v>2</v>
      </c>
      <c r="N12" s="1548" t="str">
        <f>DATA!L132</f>
        <v>Procurement of Navigation First Class Vessels</v>
      </c>
      <c r="O12" s="1402">
        <f>DATA!T132</f>
        <v>0</v>
      </c>
      <c r="P12" s="187">
        <f>DATA!U132</f>
        <v>186237900</v>
      </c>
      <c r="Q12" s="187">
        <f>DATA!V132</f>
        <v>0</v>
      </c>
      <c r="R12" s="187">
        <f>DATA!W132</f>
        <v>0</v>
      </c>
      <c r="S12" s="1447">
        <f t="shared" si="4"/>
        <v>186237900</v>
      </c>
      <c r="T12" s="1550" t="s">
        <v>1097</v>
      </c>
      <c r="U12" s="1449"/>
      <c r="V12" s="77">
        <v>0</v>
      </c>
      <c r="W12" s="77">
        <f>DATA!AA132</f>
        <v>186237900</v>
      </c>
      <c r="X12" s="1450" t="str">
        <f>DATA!Y132</f>
        <v>Belum Ada Indikasi</v>
      </c>
      <c r="Y12" s="109">
        <v>186237900</v>
      </c>
      <c r="Z12" s="109" t="s">
        <v>633</v>
      </c>
      <c r="AA12" s="1484" t="s">
        <v>879</v>
      </c>
      <c r="AB12" s="828"/>
      <c r="AC12" s="1485"/>
      <c r="AD12" s="1486"/>
      <c r="AE12" s="1486"/>
      <c r="AF12" s="1486"/>
      <c r="AG12" s="1486"/>
      <c r="AH12" s="1509">
        <f>DATA!AT132</f>
        <v>186237900</v>
      </c>
      <c r="AI12" s="109" t="str">
        <f>DATA!AU132</f>
        <v>Belum Ada Indikasi</v>
      </c>
      <c r="AJ12" s="1544">
        <f>DATA!AW132</f>
        <v>0</v>
      </c>
      <c r="AK12" s="245">
        <f>DATA!AM132</f>
        <v>0</v>
      </c>
      <c r="AL12" s="1512" t="str">
        <f>DATA!AN132</f>
        <v>belum ada keterangan</v>
      </c>
      <c r="AM12" s="1512" t="str">
        <f>DATA!AO132</f>
        <v>belum ada keterangan</v>
      </c>
      <c r="AN12" s="1512">
        <f>DATA!AQ132</f>
        <v>0</v>
      </c>
      <c r="AO12" s="1555">
        <f>DATA!AR132</f>
        <v>0</v>
      </c>
      <c r="AQ12" s="10">
        <f t="shared" si="0"/>
        <v>0</v>
      </c>
      <c r="AR12" s="10">
        <f t="shared" si="1"/>
        <v>0</v>
      </c>
      <c r="AS12" s="10">
        <f t="shared" si="2"/>
        <v>186237900</v>
      </c>
      <c r="AT12" s="10">
        <f t="shared" si="3"/>
        <v>0</v>
      </c>
    </row>
    <row r="13" spans="1:46" ht="78" customHeight="1">
      <c r="J13" s="181"/>
      <c r="K13" s="34"/>
      <c r="L13" s="34"/>
      <c r="M13" s="172">
        <v>3</v>
      </c>
      <c r="N13" s="1548" t="str">
        <f>DATA!L133</f>
        <v>Procurement of Navigation Carrier Vessels</v>
      </c>
      <c r="O13" s="1402">
        <f>DATA!T133</f>
        <v>0</v>
      </c>
      <c r="P13" s="187">
        <f>DATA!U133</f>
        <v>73732600</v>
      </c>
      <c r="Q13" s="187">
        <f>DATA!V133</f>
        <v>0</v>
      </c>
      <c r="R13" s="187">
        <f>DATA!W133</f>
        <v>0</v>
      </c>
      <c r="S13" s="1447">
        <f t="shared" si="4"/>
        <v>73732600</v>
      </c>
      <c r="T13" s="1550" t="s">
        <v>1098</v>
      </c>
      <c r="U13" s="1449"/>
      <c r="V13" s="77">
        <v>0</v>
      </c>
      <c r="W13" s="77">
        <f>DATA!AA133</f>
        <v>73732600</v>
      </c>
      <c r="X13" s="1450" t="str">
        <f>DATA!Y133</f>
        <v>Belum Ada Indikasi</v>
      </c>
      <c r="Y13" s="109">
        <v>73732600</v>
      </c>
      <c r="Z13" s="109" t="s">
        <v>28</v>
      </c>
      <c r="AA13" s="1484" t="s">
        <v>879</v>
      </c>
      <c r="AB13" s="828"/>
      <c r="AC13" s="1485"/>
      <c r="AD13" s="1486"/>
      <c r="AE13" s="1486"/>
      <c r="AF13" s="1486"/>
      <c r="AG13" s="3282" t="s">
        <v>1215</v>
      </c>
      <c r="AH13" s="1509">
        <f>DATA!AT133</f>
        <v>73732600</v>
      </c>
      <c r="AI13" s="109" t="str">
        <f>DATA!AU133</f>
        <v>Belum Ada Indikasi</v>
      </c>
      <c r="AJ13" s="1544">
        <f>DATA!AW133</f>
        <v>0</v>
      </c>
      <c r="AK13" s="245">
        <f>DATA!AM133</f>
        <v>0</v>
      </c>
      <c r="AL13" s="1512" t="str">
        <f>DATA!AN133</f>
        <v>belum ada keterangan</v>
      </c>
      <c r="AM13" s="1512" t="str">
        <f>DATA!AO133</f>
        <v>belum ada keterangan</v>
      </c>
      <c r="AN13" s="1512">
        <f>DATA!AQ133</f>
        <v>0</v>
      </c>
      <c r="AO13" s="1555">
        <f>DATA!AR133</f>
        <v>0</v>
      </c>
      <c r="AQ13" s="10">
        <f t="shared" si="0"/>
        <v>0</v>
      </c>
      <c r="AR13" s="10">
        <f t="shared" si="1"/>
        <v>0</v>
      </c>
      <c r="AS13" s="10">
        <f t="shared" si="2"/>
        <v>0</v>
      </c>
      <c r="AT13" s="10">
        <f t="shared" si="3"/>
        <v>73732600</v>
      </c>
    </row>
    <row r="14" spans="1:46" ht="123" customHeight="1">
      <c r="J14" s="181"/>
      <c r="K14" s="34"/>
      <c r="L14" s="34"/>
      <c r="M14" s="172">
        <v>4</v>
      </c>
      <c r="N14" s="1548" t="str">
        <f>DATA!L134</f>
        <v>The Development of Patimban Port - Stage I</v>
      </c>
      <c r="O14" s="1402">
        <f>DATA!T134</f>
        <v>0</v>
      </c>
      <c r="P14" s="187">
        <f>DATA!U134</f>
        <v>1700000000</v>
      </c>
      <c r="Q14" s="187">
        <f>DATA!V134</f>
        <v>595000000</v>
      </c>
      <c r="R14" s="187">
        <f>DATA!W134</f>
        <v>0</v>
      </c>
      <c r="S14" s="1447">
        <f t="shared" si="4"/>
        <v>2295000000</v>
      </c>
      <c r="T14" s="1448"/>
      <c r="U14" s="1449"/>
      <c r="V14" s="77">
        <v>0</v>
      </c>
      <c r="W14" s="77">
        <f>DATA!AA134</f>
        <v>1700000000</v>
      </c>
      <c r="X14" s="1450" t="str">
        <f>DATA!Y134</f>
        <v>Belum Ada Indikasi</v>
      </c>
      <c r="Y14" s="618">
        <v>1025052000</v>
      </c>
      <c r="Z14" s="109" t="s">
        <v>55</v>
      </c>
      <c r="AA14" s="3259" t="s">
        <v>1216</v>
      </c>
      <c r="AB14" s="1478"/>
      <c r="AC14" s="1479"/>
      <c r="AD14" s="1480"/>
      <c r="AE14" s="1480"/>
      <c r="AF14" s="1480"/>
      <c r="AG14" s="3283" t="s">
        <v>1217</v>
      </c>
      <c r="AH14" s="1509">
        <f>DATA!AT134</f>
        <v>1700000000</v>
      </c>
      <c r="AI14" s="109" t="str">
        <f>DATA!AU134</f>
        <v>JICA</v>
      </c>
      <c r="AJ14" s="1544">
        <f>DATA!AW134</f>
        <v>0</v>
      </c>
      <c r="AK14" s="245">
        <f>DATA!AM134</f>
        <v>0</v>
      </c>
      <c r="AL14" s="1512" t="str">
        <f>DATA!AN134</f>
        <v>belum ada keterangan</v>
      </c>
      <c r="AM14" s="1512" t="str">
        <f>DATA!AO134</f>
        <v>belum ada keterangan</v>
      </c>
      <c r="AN14" s="1512">
        <f>DATA!AQ134</f>
        <v>0</v>
      </c>
      <c r="AO14" s="1555" t="str">
        <f>DATA!AR134</f>
        <v>belum ada dokumen R/C</v>
      </c>
      <c r="AQ14" s="10">
        <f t="shared" si="0"/>
        <v>0</v>
      </c>
      <c r="AR14" s="10">
        <f t="shared" si="1"/>
        <v>1025052000</v>
      </c>
      <c r="AS14" s="10">
        <f t="shared" si="2"/>
        <v>0</v>
      </c>
      <c r="AT14" s="10">
        <f t="shared" si="3"/>
        <v>0</v>
      </c>
    </row>
    <row r="15" spans="1:46" ht="24.75" customHeight="1">
      <c r="J15" s="181"/>
      <c r="K15" s="34"/>
      <c r="L15" s="34"/>
      <c r="M15" s="172"/>
      <c r="N15" s="1548"/>
      <c r="O15" s="1402"/>
      <c r="P15" s="187"/>
      <c r="Q15" s="187"/>
      <c r="R15" s="187"/>
      <c r="S15" s="1447"/>
      <c r="T15" s="1448"/>
      <c r="U15" s="1449"/>
      <c r="V15" s="77"/>
      <c r="W15" s="77"/>
      <c r="X15" s="1450"/>
      <c r="Y15" s="618">
        <f>1700000000-Y14</f>
        <v>674948000</v>
      </c>
      <c r="Z15" s="109" t="s">
        <v>55</v>
      </c>
      <c r="AA15" s="1484" t="s">
        <v>879</v>
      </c>
      <c r="AB15" s="828"/>
      <c r="AC15" s="1485"/>
      <c r="AD15" s="1486"/>
      <c r="AE15" s="1486"/>
      <c r="AF15" s="1486"/>
      <c r="AG15" s="1486"/>
      <c r="AH15" s="1509"/>
      <c r="AI15" s="109"/>
      <c r="AJ15" s="1544"/>
      <c r="AK15" s="245"/>
      <c r="AL15" s="1512"/>
      <c r="AM15" s="1512"/>
      <c r="AN15" s="1553"/>
      <c r="AO15" s="1555"/>
      <c r="AQ15" s="10">
        <f t="shared" si="0"/>
        <v>0</v>
      </c>
      <c r="AR15" s="10">
        <f t="shared" si="1"/>
        <v>674948000</v>
      </c>
      <c r="AS15" s="10">
        <f t="shared" si="2"/>
        <v>0</v>
      </c>
      <c r="AT15" s="10">
        <f t="shared" si="3"/>
        <v>0</v>
      </c>
    </row>
    <row r="16" spans="1:46" s="3" customFormat="1" ht="30" customHeight="1">
      <c r="J16" s="3450" t="s">
        <v>477</v>
      </c>
      <c r="K16" s="3451"/>
      <c r="L16" s="3451"/>
      <c r="M16" s="3573"/>
      <c r="N16" s="3573"/>
      <c r="O16" s="282" t="e">
        <f>+O8+#REF!</f>
        <v>#REF!</v>
      </c>
      <c r="P16" s="278" t="e">
        <f>+P8+#REF!</f>
        <v>#REF!</v>
      </c>
      <c r="Q16" s="1460" t="e">
        <f>+Q8+#REF!</f>
        <v>#REF!</v>
      </c>
      <c r="R16" s="1460" t="e">
        <f>+R8+#REF!</f>
        <v>#REF!</v>
      </c>
      <c r="S16" s="288" t="e">
        <f>P16+Q16+R16</f>
        <v>#REF!</v>
      </c>
      <c r="T16" s="1461"/>
      <c r="U16" s="279"/>
      <c r="V16" s="280" t="e">
        <f>+V8+#REF!</f>
        <v>#REF!</v>
      </c>
      <c r="W16" s="280" t="e">
        <f>+W8+#REF!</f>
        <v>#REF!</v>
      </c>
      <c r="X16" s="287"/>
      <c r="Y16" s="280">
        <f>+Y8</f>
        <v>1987373100</v>
      </c>
      <c r="Z16" s="280"/>
      <c r="AA16" s="280"/>
      <c r="AB16" s="1490"/>
      <c r="AC16" s="1490"/>
      <c r="AD16" s="1490"/>
      <c r="AE16" s="1490"/>
      <c r="AF16" s="1490"/>
      <c r="AG16" s="1554"/>
      <c r="AH16" s="279" t="e">
        <f>+AH8+#REF!</f>
        <v>#REF!</v>
      </c>
      <c r="AI16" s="280" t="s">
        <v>21</v>
      </c>
      <c r="AJ16" s="280" t="s">
        <v>21</v>
      </c>
      <c r="AK16" s="1523"/>
      <c r="AL16" s="1524"/>
      <c r="AM16" s="1525"/>
      <c r="AN16" s="1526"/>
      <c r="AO16" s="1534"/>
      <c r="AP16" s="12"/>
      <c r="AQ16" s="1535">
        <f>SUM(AQ9:AQ15)</f>
        <v>0</v>
      </c>
      <c r="AR16" s="1535">
        <f>SUM(AR9:AR15)</f>
        <v>1700000000</v>
      </c>
      <c r="AS16" s="1535">
        <f>SUM(AS9:AS15)</f>
        <v>186237900</v>
      </c>
      <c r="AT16" s="1535">
        <f>SUM(AT9:AT15)</f>
        <v>101135200</v>
      </c>
    </row>
    <row r="17" spans="1:42" s="12" customFormat="1">
      <c r="A17" s="10"/>
      <c r="B17" s="10"/>
      <c r="C17" s="10"/>
      <c r="D17" s="10"/>
      <c r="E17" s="10"/>
      <c r="F17" s="10"/>
      <c r="G17" s="10"/>
      <c r="H17" s="10"/>
      <c r="I17" s="10"/>
      <c r="J17" s="11"/>
      <c r="K17" s="10"/>
      <c r="L17" s="10"/>
      <c r="M17" s="1425"/>
      <c r="N17" s="1426"/>
      <c r="O17" s="13"/>
      <c r="P17" s="13"/>
      <c r="Q17" s="1395"/>
      <c r="R17" s="1395"/>
      <c r="S17" s="13"/>
      <c r="T17" s="13"/>
      <c r="U17" s="14"/>
      <c r="V17" s="13"/>
      <c r="W17" s="13"/>
      <c r="X17" s="13"/>
      <c r="Y17" s="13"/>
      <c r="Z17" s="13"/>
      <c r="AA17" s="13"/>
      <c r="AB17" s="13"/>
      <c r="AC17" s="13"/>
      <c r="AD17" s="13"/>
      <c r="AE17" s="13"/>
      <c r="AF17" s="13"/>
      <c r="AG17" s="13"/>
      <c r="AK17" s="14"/>
      <c r="AL17" s="14"/>
      <c r="AM17" s="14"/>
      <c r="AN17" s="14"/>
      <c r="AO17" s="175"/>
    </row>
    <row r="18" spans="1:42" s="12" customFormat="1">
      <c r="A18" s="10"/>
      <c r="B18" s="10"/>
      <c r="C18" s="10"/>
      <c r="D18" s="10"/>
      <c r="E18" s="10"/>
      <c r="F18" s="10"/>
      <c r="G18" s="10"/>
      <c r="H18" s="10"/>
      <c r="I18" s="10"/>
      <c r="J18" s="11"/>
      <c r="K18" s="10" t="s">
        <v>1111</v>
      </c>
      <c r="L18" s="10"/>
      <c r="M18" s="10"/>
      <c r="O18" s="13"/>
      <c r="P18" s="13"/>
      <c r="Q18" s="1395"/>
      <c r="R18" s="1395"/>
      <c r="S18" s="13"/>
      <c r="T18" s="13"/>
      <c r="U18" s="14"/>
      <c r="V18" s="13" t="e">
        <f>V16+W16</f>
        <v>#REF!</v>
      </c>
      <c r="W18" s="13"/>
      <c r="X18" s="13"/>
      <c r="Y18" s="13"/>
      <c r="Z18" s="13"/>
      <c r="AA18" s="13"/>
      <c r="AB18" s="13"/>
      <c r="AC18" s="13"/>
      <c r="AD18" s="13"/>
      <c r="AE18" s="13"/>
      <c r="AF18" s="13"/>
      <c r="AG18" s="13"/>
      <c r="AH18" s="289"/>
      <c r="AK18" s="14"/>
      <c r="AL18" s="14"/>
      <c r="AM18" s="14"/>
      <c r="AN18" s="14"/>
      <c r="AO18" s="175"/>
      <c r="AP18" s="10"/>
    </row>
    <row r="19" spans="1:42">
      <c r="V19" s="13" t="e">
        <f>V18-AH16</f>
        <v>#REF!</v>
      </c>
      <c r="Y19" s="13">
        <f>Y16+5809063500</f>
        <v>7796436600</v>
      </c>
      <c r="Z19" s="13" t="e">
        <f>Y16-#REF!</f>
        <v>#REF!</v>
      </c>
    </row>
    <row r="21" spans="1:42">
      <c r="AH21" s="289"/>
    </row>
    <row r="22" spans="1:42">
      <c r="Y22" s="13" t="e">
        <f>#REF!+#REF!+#REF!+#REF!+#REF!+#REF!+#REF!+#REF!+#REF!+#REF!+#REF!+#REF!+#REF!+#REF!+#REF!+#REF!+#REF!+Y14+#REF!+#REF!+#REF!+#REF!</f>
        <v>#REF!</v>
      </c>
      <c r="AP22" s="12"/>
    </row>
    <row r="23" spans="1:42" s="12" customFormat="1">
      <c r="A23" s="10"/>
      <c r="B23" s="10"/>
      <c r="C23" s="10"/>
      <c r="D23" s="10"/>
      <c r="E23" s="10"/>
      <c r="F23" s="10"/>
      <c r="G23" s="10"/>
      <c r="H23" s="10"/>
      <c r="I23" s="10"/>
      <c r="J23" s="11"/>
      <c r="K23" s="10"/>
      <c r="L23" s="10"/>
      <c r="M23" s="10"/>
      <c r="O23" s="13"/>
      <c r="P23" s="13"/>
      <c r="Q23" s="1395"/>
      <c r="R23" s="1395"/>
      <c r="S23" s="13"/>
      <c r="T23" s="13"/>
      <c r="U23" s="14"/>
      <c r="V23" s="13"/>
      <c r="W23" s="13"/>
      <c r="X23" s="13"/>
      <c r="Y23" s="13"/>
      <c r="Z23" s="13"/>
      <c r="AA23" s="13"/>
      <c r="AB23" s="13"/>
      <c r="AC23" s="13"/>
      <c r="AD23" s="13"/>
      <c r="AE23" s="13"/>
      <c r="AF23" s="13"/>
      <c r="AG23" s="13"/>
      <c r="AI23" s="289"/>
      <c r="AK23" s="14"/>
      <c r="AL23" s="14"/>
      <c r="AM23" s="14"/>
      <c r="AN23" s="14"/>
      <c r="AO23" s="175"/>
    </row>
    <row r="24" spans="1:42" s="12" customFormat="1">
      <c r="A24" s="10"/>
      <c r="B24" s="10"/>
      <c r="C24" s="10"/>
      <c r="D24" s="10"/>
      <c r="E24" s="10"/>
      <c r="F24" s="10"/>
      <c r="G24" s="10"/>
      <c r="H24" s="10"/>
      <c r="I24" s="10"/>
      <c r="J24" s="11"/>
      <c r="K24" s="10"/>
      <c r="L24" s="10"/>
      <c r="M24" s="10"/>
      <c r="O24" s="13"/>
      <c r="P24" s="13"/>
      <c r="Q24" s="1395"/>
      <c r="R24" s="1395"/>
      <c r="S24" s="13"/>
      <c r="T24" s="13"/>
      <c r="U24" s="14"/>
      <c r="V24" s="13"/>
      <c r="W24" s="13"/>
      <c r="X24" s="13"/>
      <c r="Y24" s="13" t="e">
        <f>#REF!+#REF!+#REF!+#REF!+#REF!+#REF!+#REF!+#REF!+#REF!+#REF!+#REF!+#REF!+#REF!+#REF!+#REF!+#REF!+Y14+#REF!+#REF!+#REF!+#REF!+#REF!+#REF!+#REF!+#REF!+#REF!+#REF!+71100000</f>
        <v>#REF!</v>
      </c>
      <c r="Z24" s="13"/>
      <c r="AA24" s="13"/>
      <c r="AB24" s="13"/>
      <c r="AC24" s="13"/>
      <c r="AD24" s="13"/>
      <c r="AE24" s="13"/>
      <c r="AF24" s="13"/>
      <c r="AG24" s="13"/>
      <c r="AH24" s="289"/>
      <c r="AK24" s="14"/>
      <c r="AL24" s="14"/>
      <c r="AM24" s="14"/>
      <c r="AN24" s="14"/>
      <c r="AO24" s="175"/>
      <c r="AP24" s="1536"/>
    </row>
    <row r="25" spans="1:42" s="12" customFormat="1">
      <c r="A25" s="10"/>
      <c r="B25" s="10"/>
      <c r="C25" s="10"/>
      <c r="D25" s="10"/>
      <c r="E25" s="10"/>
      <c r="F25" s="10"/>
      <c r="G25" s="10"/>
      <c r="H25" s="10"/>
      <c r="I25" s="10"/>
      <c r="J25" s="11"/>
      <c r="K25" s="10"/>
      <c r="L25" s="10"/>
      <c r="M25" s="10"/>
      <c r="O25" s="13"/>
      <c r="P25" s="13"/>
      <c r="Q25" s="1395"/>
      <c r="R25" s="1395"/>
      <c r="S25" s="13"/>
      <c r="T25" s="13"/>
      <c r="U25" s="14"/>
      <c r="V25" s="13"/>
      <c r="W25" s="13"/>
      <c r="X25" s="13"/>
      <c r="Y25" s="13"/>
      <c r="Z25" s="13"/>
      <c r="AA25" s="13"/>
      <c r="AB25" s="13"/>
      <c r="AC25" s="13"/>
      <c r="AD25" s="13"/>
      <c r="AE25" s="13"/>
      <c r="AF25" s="13"/>
      <c r="AG25" s="13"/>
      <c r="AK25" s="14"/>
      <c r="AL25" s="14"/>
      <c r="AM25" s="14"/>
      <c r="AN25" s="14"/>
      <c r="AO25" s="175"/>
      <c r="AP25" s="10"/>
    </row>
  </sheetData>
  <autoFilter ref="A7:AO16"/>
  <mergeCells count="20">
    <mergeCell ref="J16:N16"/>
    <mergeCell ref="O5:O6"/>
    <mergeCell ref="P5:P6"/>
    <mergeCell ref="Q5:Q6"/>
    <mergeCell ref="R5:R6"/>
    <mergeCell ref="J5:N6"/>
    <mergeCell ref="J1:AO1"/>
    <mergeCell ref="J2:AO2"/>
    <mergeCell ref="U4:AJ4"/>
    <mergeCell ref="AK4:AO4"/>
    <mergeCell ref="U5:X5"/>
    <mergeCell ref="AB5:AF5"/>
    <mergeCell ref="AH5:AJ5"/>
    <mergeCell ref="AK5:AO5"/>
    <mergeCell ref="S5:S6"/>
    <mergeCell ref="T5:T6"/>
    <mergeCell ref="Y5:Y6"/>
    <mergeCell ref="Z5:Z6"/>
    <mergeCell ref="AA5:AA6"/>
    <mergeCell ref="AG5:AG6"/>
  </mergeCells>
  <printOptions horizontalCentered="1"/>
  <pageMargins left="0.39305555555555599" right="0.39305555555555599" top="0.39305555555555599" bottom="0.39305555555555599" header="0.31458333333333299" footer="0.196527777777778"/>
  <pageSetup paperSize="9" scale="48" fitToHeight="0" orientation="portrait"/>
  <headerFooter>
    <oddFooter>&amp;R&amp;"Cambria,Italic"&amp;9&amp;P/&amp;N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T21"/>
  <sheetViews>
    <sheetView topLeftCell="J1" zoomScale="70" zoomScaleNormal="70" workbookViewId="0">
      <pane ySplit="7" topLeftCell="A8" activePane="bottomLeft" state="frozen"/>
      <selection pane="bottomLeft" activeCell="AB37" sqref="AB37"/>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1353</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DATA!B2</f>
        <v>I</v>
      </c>
      <c r="K8" s="22" t="str">
        <f>DATA!D2</f>
        <v>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f>
        <v>296000000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24.95" customHeight="1">
      <c r="J9" s="179"/>
      <c r="K9" s="25">
        <f>DATA!E2</f>
        <v>1</v>
      </c>
      <c r="L9" s="26" t="str">
        <f>DATA!F2</f>
        <v>Kementerian Pekerjaan Umum dan Perumahan Rakyat</v>
      </c>
      <c r="M9" s="26"/>
      <c r="N9" s="1416"/>
      <c r="O9" s="213" t="e">
        <f>#REF!+#REF!+#REF!+#REF!+#REF!+#REF!+#REF!+#REF!+#REF!+#REF!+#REF!+#REF!+#REF!+O10+#REF!</f>
        <v>#REF!</v>
      </c>
      <c r="P9" s="194" t="e">
        <f>+#REF!+#REF!+#REF!+#REF!+#REF!+#REF!+#REF!+#REF!+#REF!+#REF!+#REF!+#REF!+#REF!+#REF!+P10</f>
        <v>#REF!</v>
      </c>
      <c r="Q9" s="194" t="e">
        <f>+#REF!+#REF!+#REF!+#REF!+#REF!+#REF!+#REF!+#REF!+#REF!+#REF!+#REF!+#REF!+#REF!+#REF!+Q10</f>
        <v>#REF!</v>
      </c>
      <c r="R9" s="194" t="e">
        <f>+#REF!+#REF!+#REF!+#REF!+#REF!+#REF!+#REF!+#REF!+#REF!+#REF!+#REF!+#REF!+#REF!+#REF!+R10</f>
        <v>#REF!</v>
      </c>
      <c r="S9" s="242" t="e">
        <f>+#REF!+#REF!+#REF!+#REF!+#REF!+#REF!+#REF!+#REF!+#REF!+#REF!+#REF!+#REF!+#REF!+#REF!+S10</f>
        <v>#REF!</v>
      </c>
      <c r="T9" s="1538"/>
      <c r="U9" s="195"/>
      <c r="V9" s="80" t="e">
        <f>+#REF!+#REF!+#REF!+#REF!+#REF!+#REF!+#REF!+#REF!+#REF!+#REF!+#REF!+#REF!+#REF!+V10+#REF!</f>
        <v>#REF!</v>
      </c>
      <c r="W9" s="80" t="e">
        <f>+#REF!+#REF!+#REF!+#REF!+#REF!+#REF!+#REF!+#REF!+#REF!+#REF!+#REF!+#REF!+#REF!+W10+#REF!</f>
        <v>#REF!</v>
      </c>
      <c r="X9" s="241" t="e">
        <f>+#REF!+#REF!+#REF!+#REF!+#REF!+#REF!+#REF!+#REF!+#REF!+#REF!+#REF!+#REF!+#REF!</f>
        <v>#REF!</v>
      </c>
      <c r="Y9" s="80">
        <f>Y10</f>
        <v>296000000</v>
      </c>
      <c r="Z9" s="80"/>
      <c r="AA9" s="226"/>
      <c r="AB9" s="1465"/>
      <c r="AC9" s="1465"/>
      <c r="AD9" s="1465"/>
      <c r="AE9" s="1465"/>
      <c r="AF9" s="1465"/>
      <c r="AG9" s="1540"/>
      <c r="AH9" s="195" t="e">
        <f>+#REF!+#REF!+#REF!+#REF!+#REF!+#REF!+#REF!+#REF!+#REF!+#REF!+#REF!+#REF!+#REF!+AH10+#REF!</f>
        <v>#REF!</v>
      </c>
      <c r="AI9" s="80" t="s">
        <v>21</v>
      </c>
      <c r="AJ9" s="213"/>
      <c r="AK9" s="1501"/>
      <c r="AL9" s="1541"/>
      <c r="AM9" s="1542"/>
      <c r="AN9" s="1543"/>
      <c r="AO9" s="1546"/>
    </row>
    <row r="10" spans="1:46" ht="32.25" customHeight="1">
      <c r="J10" s="181"/>
      <c r="K10" s="34"/>
      <c r="L10" s="30" t="s">
        <v>1093</v>
      </c>
      <c r="M10" s="31" t="s">
        <v>858</v>
      </c>
      <c r="N10" s="1419"/>
      <c r="O10" s="214">
        <f>O11</f>
        <v>0</v>
      </c>
      <c r="P10" s="197">
        <f>P11</f>
        <v>296000000</v>
      </c>
      <c r="Q10" s="1436">
        <f>SUM(Q11)</f>
        <v>40000000</v>
      </c>
      <c r="R10" s="1436">
        <f>R11</f>
        <v>10000000</v>
      </c>
      <c r="S10" s="244">
        <f t="shared" ref="S10:S12" si="0">P10+Q10+R10</f>
        <v>346000000</v>
      </c>
      <c r="T10" s="1437"/>
      <c r="U10" s="1539"/>
      <c r="V10" s="81" t="e">
        <f>+V11+#REF!+#REF!</f>
        <v>#REF!</v>
      </c>
      <c r="W10" s="81">
        <v>0</v>
      </c>
      <c r="X10" s="243"/>
      <c r="Y10" s="81">
        <f>Y11</f>
        <v>296000000</v>
      </c>
      <c r="Z10" s="81"/>
      <c r="AA10" s="1469"/>
      <c r="AB10" s="1470"/>
      <c r="AC10" s="1471"/>
      <c r="AD10" s="1472"/>
      <c r="AE10" s="1472"/>
      <c r="AF10" s="1472"/>
      <c r="AG10" s="1504"/>
      <c r="AH10" s="198">
        <f>AH11</f>
        <v>300000000</v>
      </c>
      <c r="AI10" s="81" t="s">
        <v>21</v>
      </c>
      <c r="AJ10" s="214">
        <v>0</v>
      </c>
      <c r="AK10" s="1505"/>
      <c r="AL10" s="1506"/>
      <c r="AM10" s="169"/>
      <c r="AN10" s="1507"/>
      <c r="AO10" s="1530"/>
      <c r="AQ10" s="10">
        <f t="shared" ref="AQ10:AQ11" si="1">IF(Z10="RRT",Y10,0)</f>
        <v>0</v>
      </c>
      <c r="AR10" s="10">
        <f t="shared" ref="AR10:AR11" si="2">IF(Z10="JICA",Y10,0)</f>
        <v>0</v>
      </c>
      <c r="AS10" s="10">
        <f t="shared" ref="AS10:AS11" si="3">IF(Z10="Belum ada indikasi",Y10,0)</f>
        <v>0</v>
      </c>
      <c r="AT10" s="10">
        <f t="shared" ref="AT10:AT11" si="4">IF(Z10="Korea",Y10,0)</f>
        <v>0</v>
      </c>
    </row>
    <row r="11" spans="1:46" ht="46.5" customHeight="1">
      <c r="J11" s="181"/>
      <c r="K11" s="34"/>
      <c r="L11" s="20"/>
      <c r="M11" s="36">
        <v>1</v>
      </c>
      <c r="N11" s="1537" t="str">
        <f>DATA!L115</f>
        <v>Integrated Infrastructure Development for National Tourism Strategic Areas</v>
      </c>
      <c r="O11" s="1402">
        <f>DATA!T115</f>
        <v>0</v>
      </c>
      <c r="P11" s="187">
        <f>300000000-4000000</f>
        <v>296000000</v>
      </c>
      <c r="Q11" s="187">
        <f>DATA!V115</f>
        <v>40000000</v>
      </c>
      <c r="R11" s="187">
        <f>DATA!W115</f>
        <v>10000000</v>
      </c>
      <c r="S11" s="1447">
        <f t="shared" si="0"/>
        <v>346000000</v>
      </c>
      <c r="T11" s="1448"/>
      <c r="U11" s="1449"/>
      <c r="V11" s="77">
        <f>DATA!AA115</f>
        <v>300000000</v>
      </c>
      <c r="W11" s="77">
        <v>0</v>
      </c>
      <c r="X11" s="1450" t="str">
        <f>DATA!Y115</f>
        <v>Bank Dunia</v>
      </c>
      <c r="Y11" s="109">
        <v>296000000</v>
      </c>
      <c r="Z11" s="109" t="s">
        <v>62</v>
      </c>
      <c r="AA11" s="1484" t="s">
        <v>1204</v>
      </c>
      <c r="AB11" s="828"/>
      <c r="AC11" s="1485"/>
      <c r="AD11" s="1486"/>
      <c r="AE11" s="1486"/>
      <c r="AF11" s="1486"/>
      <c r="AG11" s="1514" t="s">
        <v>1205</v>
      </c>
      <c r="AH11" s="1509">
        <f>DATA!AT115</f>
        <v>300000000</v>
      </c>
      <c r="AI11" s="1509" t="str">
        <f>DATA!AU115</f>
        <v>Bank Dunia</v>
      </c>
      <c r="AJ11" s="1544">
        <f>DATA!AW115</f>
        <v>0</v>
      </c>
      <c r="AK11" s="245" t="str">
        <f>DATA!AM115</f>
        <v>Rev. 2016</v>
      </c>
      <c r="AL11" s="1510">
        <f>DATA!AN115</f>
        <v>0</v>
      </c>
      <c r="AM11" s="1511">
        <f>DATA!AO115</f>
        <v>0</v>
      </c>
      <c r="AN11" s="1545">
        <f>DATA!AQ115</f>
        <v>0</v>
      </c>
      <c r="AO11" s="1547" t="str">
        <f>DATA!AR115</f>
        <v>Nilai pinjaman di GB USD 4.000 ribu</v>
      </c>
      <c r="AQ11" s="10">
        <f t="shared" si="1"/>
        <v>0</v>
      </c>
      <c r="AR11" s="10">
        <f t="shared" si="2"/>
        <v>0</v>
      </c>
      <c r="AS11" s="10">
        <f t="shared" si="3"/>
        <v>0</v>
      </c>
      <c r="AT11" s="10">
        <f t="shared" si="4"/>
        <v>0</v>
      </c>
    </row>
    <row r="12" spans="1:46" s="3" customFormat="1" ht="30" customHeight="1">
      <c r="J12" s="3450" t="s">
        <v>477</v>
      </c>
      <c r="K12" s="3451"/>
      <c r="L12" s="3451"/>
      <c r="M12" s="3573"/>
      <c r="N12" s="3573"/>
      <c r="O12" s="282" t="e">
        <f>+O8+#REF!</f>
        <v>#REF!</v>
      </c>
      <c r="P12" s="278" t="e">
        <f>+P8+#REF!</f>
        <v>#REF!</v>
      </c>
      <c r="Q12" s="1460" t="e">
        <f>+Q8+#REF!</f>
        <v>#REF!</v>
      </c>
      <c r="R12" s="1460" t="e">
        <f>+R8+#REF!</f>
        <v>#REF!</v>
      </c>
      <c r="S12" s="288" t="e">
        <f t="shared" si="0"/>
        <v>#REF!</v>
      </c>
      <c r="T12" s="1461"/>
      <c r="U12" s="279"/>
      <c r="V12" s="280" t="e">
        <f>+V8+#REF!</f>
        <v>#REF!</v>
      </c>
      <c r="W12" s="280" t="e">
        <f>+W8+#REF!</f>
        <v>#REF!</v>
      </c>
      <c r="X12" s="287"/>
      <c r="Y12" s="280">
        <f>+Y8</f>
        <v>296000000</v>
      </c>
      <c r="Z12" s="280"/>
      <c r="AA12" s="280"/>
      <c r="AB12" s="1490"/>
      <c r="AC12" s="1490"/>
      <c r="AD12" s="1490"/>
      <c r="AE12" s="1490"/>
      <c r="AF12" s="1490"/>
      <c r="AG12" s="285"/>
      <c r="AH12" s="279" t="e">
        <f>+AH8+#REF!</f>
        <v>#REF!</v>
      </c>
      <c r="AI12" s="280" t="s">
        <v>21</v>
      </c>
      <c r="AJ12" s="280" t="s">
        <v>21</v>
      </c>
      <c r="AK12" s="1523"/>
      <c r="AL12" s="1524"/>
      <c r="AM12" s="1525"/>
      <c r="AN12" s="1526"/>
      <c r="AO12" s="1534"/>
      <c r="AP12" s="12"/>
      <c r="AQ12" s="1535">
        <f>SUM(AQ10:AQ11)</f>
        <v>0</v>
      </c>
      <c r="AR12" s="1535">
        <f>SUM(AR10:AR11)</f>
        <v>0</v>
      </c>
      <c r="AS12" s="1535">
        <f>SUM(AS10:AS11)</f>
        <v>0</v>
      </c>
      <c r="AT12" s="1535">
        <f>SUM(AT10:AT11)</f>
        <v>0</v>
      </c>
    </row>
    <row r="13" spans="1:46" s="12" customFormat="1">
      <c r="A13" s="10"/>
      <c r="B13" s="10"/>
      <c r="C13" s="10"/>
      <c r="D13" s="10"/>
      <c r="E13" s="10"/>
      <c r="F13" s="10"/>
      <c r="G13" s="10"/>
      <c r="H13" s="10"/>
      <c r="I13" s="10"/>
      <c r="J13" s="11"/>
      <c r="K13" s="10"/>
      <c r="L13" s="10"/>
      <c r="M13" s="1425"/>
      <c r="N13" s="1426"/>
      <c r="O13" s="13"/>
      <c r="P13" s="13"/>
      <c r="Q13" s="1395"/>
      <c r="R13" s="1395"/>
      <c r="S13" s="13"/>
      <c r="T13" s="13"/>
      <c r="U13" s="14"/>
      <c r="V13" s="13"/>
      <c r="W13" s="13"/>
      <c r="X13" s="13"/>
      <c r="Y13" s="13"/>
      <c r="Z13" s="13"/>
      <c r="AA13" s="13"/>
      <c r="AB13" s="13"/>
      <c r="AC13" s="13"/>
      <c r="AD13" s="13"/>
      <c r="AE13" s="13"/>
      <c r="AF13" s="13"/>
      <c r="AG13" s="13"/>
      <c r="AK13" s="14"/>
      <c r="AL13" s="14"/>
      <c r="AM13" s="14"/>
      <c r="AN13" s="14"/>
      <c r="AO13" s="175"/>
    </row>
    <row r="14" spans="1:46" s="12" customFormat="1">
      <c r="A14" s="10"/>
      <c r="B14" s="10"/>
      <c r="C14" s="10"/>
      <c r="D14" s="10"/>
      <c r="E14" s="10"/>
      <c r="F14" s="10"/>
      <c r="G14" s="10"/>
      <c r="H14" s="10"/>
      <c r="I14" s="10"/>
      <c r="J14" s="11"/>
      <c r="K14" s="10" t="s">
        <v>1111</v>
      </c>
      <c r="L14" s="10"/>
      <c r="M14" s="10"/>
      <c r="O14" s="13"/>
      <c r="P14" s="13"/>
      <c r="Q14" s="1395"/>
      <c r="R14" s="1395"/>
      <c r="S14" s="13"/>
      <c r="T14" s="13"/>
      <c r="U14" s="14"/>
      <c r="V14" s="13" t="e">
        <f>V12+W12</f>
        <v>#REF!</v>
      </c>
      <c r="W14" s="13"/>
      <c r="X14" s="13"/>
      <c r="Y14" s="13"/>
      <c r="Z14" s="13"/>
      <c r="AA14" s="13"/>
      <c r="AB14" s="13"/>
      <c r="AC14" s="13"/>
      <c r="AD14" s="13"/>
      <c r="AE14" s="13"/>
      <c r="AF14" s="13"/>
      <c r="AG14" s="13"/>
      <c r="AH14" s="289"/>
      <c r="AK14" s="14"/>
      <c r="AL14" s="14"/>
      <c r="AM14" s="14"/>
      <c r="AN14" s="14"/>
      <c r="AO14" s="175"/>
      <c r="AP14" s="10"/>
    </row>
    <row r="15" spans="1:46">
      <c r="V15" s="13" t="e">
        <f>V14-AH12</f>
        <v>#REF!</v>
      </c>
      <c r="Y15" s="13">
        <f>Y12+5809063500</f>
        <v>6105063500</v>
      </c>
      <c r="Z15" s="13" t="e">
        <f>Y12-#REF!</f>
        <v>#REF!</v>
      </c>
    </row>
    <row r="17" spans="1:42">
      <c r="AH17" s="289"/>
    </row>
    <row r="18" spans="1:42">
      <c r="Y18" s="13" t="e">
        <f>#REF!+#REF!+#REF!+#REF!+#REF!+#REF!+#REF!+#REF!+#REF!+#REF!+#REF!+#REF!+#REF!+#REF!+#REF!+#REF!+#REF!+#REF!+#REF!+#REF!+#REF!+#REF!</f>
        <v>#REF!</v>
      </c>
      <c r="AP18" s="12"/>
    </row>
    <row r="19" spans="1:42" s="12" customFormat="1">
      <c r="A19" s="10"/>
      <c r="B19" s="10"/>
      <c r="C19" s="10"/>
      <c r="D19" s="10"/>
      <c r="E19" s="10"/>
      <c r="F19" s="10"/>
      <c r="G19" s="10"/>
      <c r="H19" s="10"/>
      <c r="I19" s="10"/>
      <c r="J19" s="11"/>
      <c r="K19" s="10"/>
      <c r="L19" s="10"/>
      <c r="M19" s="10"/>
      <c r="O19" s="13"/>
      <c r="P19" s="13"/>
      <c r="Q19" s="1395"/>
      <c r="R19" s="1395"/>
      <c r="S19" s="13"/>
      <c r="T19" s="13"/>
      <c r="U19" s="14"/>
      <c r="V19" s="13"/>
      <c r="W19" s="13"/>
      <c r="X19" s="13"/>
      <c r="Y19" s="13"/>
      <c r="Z19" s="13"/>
      <c r="AA19" s="13"/>
      <c r="AB19" s="13"/>
      <c r="AC19" s="13"/>
      <c r="AD19" s="13"/>
      <c r="AE19" s="13"/>
      <c r="AF19" s="13"/>
      <c r="AG19" s="13"/>
      <c r="AI19" s="289"/>
      <c r="AK19" s="14"/>
      <c r="AL19" s="14"/>
      <c r="AM19" s="14"/>
      <c r="AN19" s="14"/>
      <c r="AO19" s="175"/>
    </row>
    <row r="20" spans="1:42" s="12" customFormat="1">
      <c r="A20" s="10"/>
      <c r="B20" s="10"/>
      <c r="C20" s="10"/>
      <c r="D20" s="10"/>
      <c r="E20" s="10"/>
      <c r="F20" s="10"/>
      <c r="G20" s="10"/>
      <c r="H20" s="10"/>
      <c r="I20" s="10"/>
      <c r="J20" s="11"/>
      <c r="K20" s="10"/>
      <c r="L20" s="10"/>
      <c r="M20" s="10"/>
      <c r="O20" s="13"/>
      <c r="P20" s="13"/>
      <c r="Q20" s="1395"/>
      <c r="R20" s="1395"/>
      <c r="S20" s="13"/>
      <c r="T20" s="13"/>
      <c r="U20" s="14"/>
      <c r="V20" s="13"/>
      <c r="W20" s="13"/>
      <c r="X20" s="13"/>
      <c r="Y20" s="13" t="e">
        <f>#REF!+#REF!+#REF!+#REF!+#REF!+#REF!+#REF!+#REF!+#REF!+#REF!+#REF!+#REF!+#REF!+#REF!+#REF!+#REF!+#REF!+#REF!+#REF!+#REF!+#REF!+#REF!+#REF!+#REF!+#REF!+#REF!+#REF!+71100000</f>
        <v>#REF!</v>
      </c>
      <c r="Z20" s="13"/>
      <c r="AA20" s="13"/>
      <c r="AB20" s="13"/>
      <c r="AC20" s="13"/>
      <c r="AD20" s="13"/>
      <c r="AE20" s="13"/>
      <c r="AF20" s="13"/>
      <c r="AG20" s="13"/>
      <c r="AH20" s="289"/>
      <c r="AK20" s="14"/>
      <c r="AL20" s="14"/>
      <c r="AM20" s="14"/>
      <c r="AN20" s="14"/>
      <c r="AO20" s="175"/>
      <c r="AP20" s="1536"/>
    </row>
    <row r="21" spans="1:42" s="12" customFormat="1">
      <c r="A21" s="10"/>
      <c r="B21" s="10"/>
      <c r="C21" s="10"/>
      <c r="D21" s="10"/>
      <c r="E21" s="10"/>
      <c r="F21" s="10"/>
      <c r="G21" s="10"/>
      <c r="H21" s="10"/>
      <c r="I21" s="10"/>
      <c r="J21" s="11"/>
      <c r="K21" s="10"/>
      <c r="L21" s="10"/>
      <c r="M21" s="10"/>
      <c r="O21" s="13"/>
      <c r="P21" s="13"/>
      <c r="Q21" s="1395"/>
      <c r="R21" s="1395"/>
      <c r="S21" s="13"/>
      <c r="T21" s="13"/>
      <c r="U21" s="14"/>
      <c r="V21" s="13"/>
      <c r="W21" s="13"/>
      <c r="X21" s="13"/>
      <c r="Y21" s="13"/>
      <c r="Z21" s="13"/>
      <c r="AA21" s="13"/>
      <c r="AB21" s="13"/>
      <c r="AC21" s="13"/>
      <c r="AD21" s="13"/>
      <c r="AE21" s="13"/>
      <c r="AF21" s="13"/>
      <c r="AG21" s="13"/>
      <c r="AK21" s="14"/>
      <c r="AL21" s="14"/>
      <c r="AM21" s="14"/>
      <c r="AN21" s="14"/>
      <c r="AO21" s="175"/>
      <c r="AP21" s="10"/>
    </row>
  </sheetData>
  <autoFilter ref="A7:AO12"/>
  <mergeCells count="20">
    <mergeCell ref="J12:N12"/>
    <mergeCell ref="O5:O6"/>
    <mergeCell ref="P5:P6"/>
    <mergeCell ref="Q5:Q6"/>
    <mergeCell ref="R5:R6"/>
    <mergeCell ref="J5:N6"/>
    <mergeCell ref="J1:AO1"/>
    <mergeCell ref="J2:AO2"/>
    <mergeCell ref="U4:AJ4"/>
    <mergeCell ref="AK4:AO4"/>
    <mergeCell ref="U5:X5"/>
    <mergeCell ref="AB5:AF5"/>
    <mergeCell ref="AH5:AJ5"/>
    <mergeCell ref="AK5:AO5"/>
    <mergeCell ref="S5:S6"/>
    <mergeCell ref="T5:T6"/>
    <mergeCell ref="Y5:Y6"/>
    <mergeCell ref="Z5:Z6"/>
    <mergeCell ref="AA5:AA6"/>
    <mergeCell ref="AG5:AG6"/>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pageSetUpPr fitToPage="1"/>
  </sheetPr>
  <dimension ref="A1:AT49"/>
  <sheetViews>
    <sheetView topLeftCell="J1" zoomScale="70" zoomScaleNormal="70" workbookViewId="0">
      <pane ySplit="7" topLeftCell="A26" activePane="bottomLeft" state="frozen"/>
      <selection pane="bottomLeft" activeCell="M39" sqref="M39"/>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1354</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548" t="s">
        <v>1135</v>
      </c>
      <c r="K2" s="3548"/>
      <c r="L2" s="3548"/>
      <c r="M2" s="3548"/>
      <c r="N2" s="3548"/>
      <c r="O2" s="3548"/>
      <c r="P2" s="3548"/>
      <c r="Q2" s="3548"/>
      <c r="R2" s="3548"/>
      <c r="S2" s="3548"/>
      <c r="T2" s="3548"/>
      <c r="U2" s="3548"/>
      <c r="V2" s="3548"/>
      <c r="W2" s="3548"/>
      <c r="X2" s="3548"/>
      <c r="Y2" s="3548"/>
      <c r="Z2" s="3548"/>
      <c r="AA2" s="3548"/>
      <c r="AB2" s="3548"/>
      <c r="AC2" s="3548"/>
      <c r="AD2" s="3548"/>
      <c r="AE2" s="3548"/>
      <c r="AF2" s="3548"/>
      <c r="AG2" s="3548"/>
      <c r="AH2" s="3548"/>
      <c r="AI2" s="3548"/>
      <c r="AJ2" s="3548"/>
      <c r="AK2" s="3548"/>
      <c r="AL2" s="3548"/>
      <c r="AM2" s="3548"/>
      <c r="AN2" s="3548"/>
      <c r="AO2" s="3548"/>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18" t="s">
        <v>7</v>
      </c>
      <c r="V4" s="3418"/>
      <c r="W4" s="3418"/>
      <c r="X4" s="3418"/>
      <c r="Y4" s="3418"/>
      <c r="Z4" s="3418"/>
      <c r="AA4" s="3418"/>
      <c r="AB4" s="3418"/>
      <c r="AC4" s="3418"/>
      <c r="AD4" s="3418"/>
      <c r="AE4" s="3418"/>
      <c r="AF4" s="3418"/>
      <c r="AG4" s="3418"/>
      <c r="AH4" s="3418"/>
      <c r="AI4" s="3418"/>
      <c r="AJ4" s="3419"/>
      <c r="AK4" s="3549" t="s">
        <v>1086</v>
      </c>
      <c r="AL4" s="3550"/>
      <c r="AM4" s="3550"/>
      <c r="AN4" s="3550"/>
      <c r="AO4" s="3551"/>
    </row>
    <row r="5" spans="1:46" s="2" customFormat="1" ht="24.75" customHeight="1">
      <c r="J5" s="3511" t="s">
        <v>2</v>
      </c>
      <c r="K5" s="3418"/>
      <c r="L5" s="3418"/>
      <c r="M5" s="3418"/>
      <c r="N5" s="3418"/>
      <c r="O5" s="3587" t="s">
        <v>1080</v>
      </c>
      <c r="P5" s="3429" t="s">
        <v>1081</v>
      </c>
      <c r="Q5" s="3434" t="s">
        <v>1082</v>
      </c>
      <c r="R5" s="3434" t="s">
        <v>1083</v>
      </c>
      <c r="S5" s="3557" t="s">
        <v>1084</v>
      </c>
      <c r="T5" s="3562" t="s">
        <v>1085</v>
      </c>
      <c r="U5" s="3423" t="s">
        <v>1088</v>
      </c>
      <c r="V5" s="3423"/>
      <c r="W5" s="3423"/>
      <c r="X5" s="3424"/>
      <c r="Y5" s="3429" t="s">
        <v>1136</v>
      </c>
      <c r="Z5" s="3429" t="s">
        <v>7</v>
      </c>
      <c r="AA5" s="3429" t="s">
        <v>1137</v>
      </c>
      <c r="AB5" s="3552" t="s">
        <v>1138</v>
      </c>
      <c r="AC5" s="3553"/>
      <c r="AD5" s="3553"/>
      <c r="AE5" s="3553"/>
      <c r="AF5" s="3554"/>
      <c r="AG5" s="3476" t="s">
        <v>10</v>
      </c>
      <c r="AH5" s="3555" t="s">
        <v>1089</v>
      </c>
      <c r="AI5" s="3375"/>
      <c r="AJ5" s="3426"/>
      <c r="AK5" s="3425" t="s">
        <v>1086</v>
      </c>
      <c r="AL5" s="3375"/>
      <c r="AM5" s="3375"/>
      <c r="AN5" s="3375"/>
      <c r="AO5" s="3376"/>
    </row>
    <row r="6" spans="1:46" s="2" customFormat="1" ht="21.75" customHeight="1">
      <c r="J6" s="3512"/>
      <c r="K6" s="3513"/>
      <c r="L6" s="3513"/>
      <c r="M6" s="3513"/>
      <c r="N6" s="3513"/>
      <c r="O6" s="3588"/>
      <c r="P6" s="3430"/>
      <c r="Q6" s="3435"/>
      <c r="R6" s="3435"/>
      <c r="S6" s="3558"/>
      <c r="T6" s="3563"/>
      <c r="U6" s="97" t="s">
        <v>11</v>
      </c>
      <c r="V6" s="74" t="s">
        <v>507</v>
      </c>
      <c r="W6" s="74" t="s">
        <v>1090</v>
      </c>
      <c r="X6" s="207" t="s">
        <v>509</v>
      </c>
      <c r="Y6" s="3430"/>
      <c r="Z6" s="3430"/>
      <c r="AA6" s="3430"/>
      <c r="AB6" s="1462" t="s">
        <v>1139</v>
      </c>
      <c r="AC6" s="1462" t="s">
        <v>1140</v>
      </c>
      <c r="AD6" s="1462" t="s">
        <v>1141</v>
      </c>
      <c r="AE6" s="1462" t="s">
        <v>1142</v>
      </c>
      <c r="AF6" s="1462" t="s">
        <v>1143</v>
      </c>
      <c r="AG6" s="3477"/>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DATA!B2</f>
        <v>I</v>
      </c>
      <c r="K8" s="22" t="str">
        <f>DATA!D2</f>
        <v>INFRASTRUKTUR</v>
      </c>
      <c r="L8" s="22"/>
      <c r="M8" s="22"/>
      <c r="N8" s="1404"/>
      <c r="O8" s="212" t="e">
        <f>#REF!+#REF!+#REF!+#REF!+#REF!+#REF!+#REF!+#REF!+#REF!+O9</f>
        <v>#REF!</v>
      </c>
      <c r="P8" s="191" t="e">
        <f>#REF!+#REF!+#REF!+#REF!+#REF!+#REF!+#REF!+#REF!+#REF!+P9</f>
        <v>#REF!</v>
      </c>
      <c r="Q8" s="191" t="e">
        <f>+#REF!+#REF!+#REF!+#REF!+#REF!+#REF!+#REF!+#REF!+Q9</f>
        <v>#REF!</v>
      </c>
      <c r="R8" s="191" t="e">
        <f>+#REF!+#REF!+#REF!+#REF!+#REF!+#REF!+#REF!+#REF!+R9</f>
        <v>#REF!</v>
      </c>
      <c r="S8" s="240" t="e">
        <f>+#REF!+#REF!+#REF!+#REF!+#REF!+#REF!+#REF!+#REF!+S9</f>
        <v>#REF!</v>
      </c>
      <c r="T8" s="1433"/>
      <c r="U8" s="192"/>
      <c r="V8" s="79" t="e">
        <f>+#REF!+#REF!+#REF!+#REF!+#REF!+#REF!+#REF!+#REF!+V9</f>
        <v>#REF!</v>
      </c>
      <c r="W8" s="79" t="e">
        <f>+#REF!+#REF!+#REF!+#REF!+#REF!+#REF!+#REF!+#REF!+W9</f>
        <v>#REF!</v>
      </c>
      <c r="X8" s="239" t="e">
        <f>+#REF!+#REF!+#REF!+#REF!+#REF!+#REF!</f>
        <v>#REF!</v>
      </c>
      <c r="Y8" s="79">
        <f>+Y9</f>
        <v>600000000</v>
      </c>
      <c r="Z8" s="79"/>
      <c r="AA8" s="224"/>
      <c r="AB8" s="1464"/>
      <c r="AC8" s="1464"/>
      <c r="AD8" s="1464"/>
      <c r="AE8" s="1464"/>
      <c r="AF8" s="1464"/>
      <c r="AG8" s="1495"/>
      <c r="AH8" s="192" t="e">
        <f>+#REF!+#REF!+#REF!+#REF!+#REF!+#REF!+#REF!+#REF!+AH9</f>
        <v>#REF!</v>
      </c>
      <c r="AI8" s="79" t="s">
        <v>21</v>
      </c>
      <c r="AJ8" s="212" t="e">
        <f>P8-AH8</f>
        <v>#REF!</v>
      </c>
      <c r="AK8" s="1496"/>
      <c r="AL8" s="1497"/>
      <c r="AM8" s="1498"/>
      <c r="AN8" s="1499"/>
      <c r="AO8" s="1528"/>
    </row>
    <row r="9" spans="1:46" ht="24" customHeight="1">
      <c r="J9" s="181"/>
      <c r="K9" s="1405">
        <v>9</v>
      </c>
      <c r="L9" s="1406" t="s">
        <v>950</v>
      </c>
      <c r="M9" s="1405"/>
      <c r="N9" s="1407"/>
      <c r="O9" s="213" t="e">
        <f>O10</f>
        <v>#REF!</v>
      </c>
      <c r="P9" s="194" t="e">
        <f>P10</f>
        <v>#REF!</v>
      </c>
      <c r="Q9" s="194">
        <f>Q10</f>
        <v>0</v>
      </c>
      <c r="R9" s="194" t="e">
        <f>R10</f>
        <v>#REF!</v>
      </c>
      <c r="S9" s="242" t="e">
        <f t="shared" ref="S9:S11" si="0">P9+Q9+R9</f>
        <v>#REF!</v>
      </c>
      <c r="T9" s="1434"/>
      <c r="U9" s="1435"/>
      <c r="V9" s="80" t="e">
        <f>V10</f>
        <v>#REF!</v>
      </c>
      <c r="W9" s="80" t="e">
        <f>W10</f>
        <v>#REF!</v>
      </c>
      <c r="X9" s="241"/>
      <c r="Y9" s="80">
        <f>Y10</f>
        <v>600000000</v>
      </c>
      <c r="Z9" s="80"/>
      <c r="AA9" s="1465"/>
      <c r="AB9" s="1466"/>
      <c r="AC9" s="1467"/>
      <c r="AD9" s="1468"/>
      <c r="AE9" s="1468"/>
      <c r="AF9" s="1468"/>
      <c r="AG9" s="1500"/>
      <c r="AH9" s="195" t="e">
        <f>AH10</f>
        <v>#REF!</v>
      </c>
      <c r="AI9" s="80" t="s">
        <v>21</v>
      </c>
      <c r="AJ9" s="213"/>
      <c r="AK9" s="1501"/>
      <c r="AL9" s="1502"/>
      <c r="AM9" s="168"/>
      <c r="AN9" s="1503"/>
      <c r="AO9" s="1529"/>
      <c r="AQ9" s="10">
        <f t="shared" ref="AQ9:AQ21" si="1">IF(Z9="RRT",Y9,0)</f>
        <v>0</v>
      </c>
      <c r="AR9" s="10">
        <f t="shared" ref="AR9:AR20" si="2">IF(Z9="JICA",Y9,0)</f>
        <v>0</v>
      </c>
      <c r="AS9" s="10">
        <f t="shared" ref="AS9:AS20" si="3">IF(Z9="Belum ada indikasi",Y9,0)</f>
        <v>0</v>
      </c>
      <c r="AT9" s="10">
        <f t="shared" ref="AT9:AT20" si="4">IF(Z9="Korea",Y9,0)</f>
        <v>0</v>
      </c>
    </row>
    <row r="10" spans="1:46" ht="26.25" customHeight="1">
      <c r="J10" s="181"/>
      <c r="K10" s="29"/>
      <c r="L10" s="1408" t="s">
        <v>23</v>
      </c>
      <c r="M10" s="3567" t="s">
        <v>952</v>
      </c>
      <c r="N10" s="3568"/>
      <c r="O10" s="214" t="e">
        <f>O11+#REF!</f>
        <v>#REF!</v>
      </c>
      <c r="P10" s="197" t="e">
        <f>P11+#REF!</f>
        <v>#REF!</v>
      </c>
      <c r="Q10" s="1436">
        <f>SUM(Q11:Q13)</f>
        <v>0</v>
      </c>
      <c r="R10" s="1436" t="e">
        <f>R11+#REF!</f>
        <v>#REF!</v>
      </c>
      <c r="S10" s="244" t="e">
        <f t="shared" si="0"/>
        <v>#REF!</v>
      </c>
      <c r="T10" s="1437"/>
      <c r="U10" s="198"/>
      <c r="V10" s="81" t="e">
        <f>V11+#REF!+#REF!</f>
        <v>#REF!</v>
      </c>
      <c r="W10" s="81" t="e">
        <f>W11+#REF!+#REF!</f>
        <v>#REF!</v>
      </c>
      <c r="X10" s="243"/>
      <c r="Y10" s="81">
        <f>Y11+Y12+Y13</f>
        <v>600000000</v>
      </c>
      <c r="Z10" s="81"/>
      <c r="AA10" s="1469"/>
      <c r="AB10" s="1470"/>
      <c r="AC10" s="1471"/>
      <c r="AD10" s="1472"/>
      <c r="AE10" s="1472"/>
      <c r="AF10" s="1472"/>
      <c r="AG10" s="1504"/>
      <c r="AH10" s="198" t="e">
        <f>AH11+AH12+#REF!+#REF!+AH13</f>
        <v>#REF!</v>
      </c>
      <c r="AI10" s="81" t="s">
        <v>21</v>
      </c>
      <c r="AJ10" s="214"/>
      <c r="AK10" s="1505"/>
      <c r="AL10" s="1506"/>
      <c r="AM10" s="169"/>
      <c r="AN10" s="1507"/>
      <c r="AO10" s="1530"/>
      <c r="AQ10" s="10">
        <f t="shared" si="1"/>
        <v>0</v>
      </c>
      <c r="AR10" s="10">
        <f t="shared" si="2"/>
        <v>0</v>
      </c>
      <c r="AS10" s="10">
        <f t="shared" si="3"/>
        <v>0</v>
      </c>
      <c r="AT10" s="10">
        <f t="shared" si="4"/>
        <v>0</v>
      </c>
    </row>
    <row r="11" spans="1:46" ht="73.5" customHeight="1">
      <c r="J11" s="1409"/>
      <c r="K11" s="1410"/>
      <c r="L11" s="1411"/>
      <c r="M11" s="3575">
        <v>1</v>
      </c>
      <c r="N11" s="3571" t="str">
        <f>DATA!L154</f>
        <v>Increasing PT Indonesia Infrastructure Finance Financing Capacity in Accelerating Infrastructure Development in Indonesia</v>
      </c>
      <c r="O11" s="3599">
        <f>DATA!T154</f>
        <v>0</v>
      </c>
      <c r="P11" s="3403">
        <f>DATA!U154</f>
        <v>300000000</v>
      </c>
      <c r="Q11" s="3403">
        <f>DATA!V154</f>
        <v>0</v>
      </c>
      <c r="R11" s="3403">
        <f>DATA!W154</f>
        <v>0</v>
      </c>
      <c r="S11" s="3603">
        <f t="shared" si="0"/>
        <v>300000000</v>
      </c>
      <c r="T11" s="3613"/>
      <c r="U11" s="1440"/>
      <c r="V11" s="3414">
        <v>0</v>
      </c>
      <c r="W11" s="3414">
        <f>DATA!AA154</f>
        <v>300000000</v>
      </c>
      <c r="X11" s="3618" t="str">
        <f>DATA!Y154</f>
        <v>Belum Ada Indikasi</v>
      </c>
      <c r="Y11" s="109">
        <v>200000000</v>
      </c>
      <c r="Z11" s="109" t="s">
        <v>62</v>
      </c>
      <c r="AA11" s="3254" t="s">
        <v>1229</v>
      </c>
      <c r="AB11" s="1474"/>
      <c r="AC11" s="1475"/>
      <c r="AD11" s="1476"/>
      <c r="AE11" s="1476"/>
      <c r="AF11" s="1476"/>
      <c r="AG11" s="1508" t="s">
        <v>1230</v>
      </c>
      <c r="AH11" s="1509">
        <f>DATA!AT154</f>
        <v>200000000</v>
      </c>
      <c r="AI11" s="109" t="str">
        <f>DATA!AU154</f>
        <v>Bank Dunia</v>
      </c>
      <c r="AJ11" s="216" t="str">
        <f>DATA!AW154</f>
        <v>co-financing dengan ADB (USD 100 juta)</v>
      </c>
      <c r="AK11" s="245" t="str">
        <f>DATA!AM154</f>
        <v>Rev. 2016</v>
      </c>
      <c r="AL11" s="1510" t="str">
        <f>DATA!AN154</f>
        <v>siap</v>
      </c>
      <c r="AM11" s="1511" t="str">
        <f>DATA!AO154</f>
        <v>siap</v>
      </c>
      <c r="AN11" s="1512">
        <f>DATA!AQ154</f>
        <v>0</v>
      </c>
      <c r="AO11" s="1531" t="str">
        <f>DATA!AR154</f>
        <v>-</v>
      </c>
      <c r="AQ11" s="10">
        <f t="shared" si="1"/>
        <v>0</v>
      </c>
      <c r="AR11" s="10">
        <f t="shared" si="2"/>
        <v>0</v>
      </c>
      <c r="AS11" s="10">
        <f t="shared" si="3"/>
        <v>0</v>
      </c>
      <c r="AT11" s="10">
        <f t="shared" si="4"/>
        <v>0</v>
      </c>
    </row>
    <row r="12" spans="1:46" ht="62.25" customHeight="1">
      <c r="J12" s="181"/>
      <c r="K12" s="34"/>
      <c r="L12" s="33"/>
      <c r="M12" s="3391"/>
      <c r="N12" s="3572"/>
      <c r="O12" s="3597"/>
      <c r="P12" s="3404"/>
      <c r="Q12" s="3404"/>
      <c r="R12" s="3404"/>
      <c r="S12" s="3604"/>
      <c r="T12" s="3612"/>
      <c r="U12" s="1440"/>
      <c r="V12" s="3415"/>
      <c r="W12" s="3415"/>
      <c r="X12" s="3619"/>
      <c r="Y12" s="109">
        <v>100000000</v>
      </c>
      <c r="Z12" s="109" t="s">
        <v>117</v>
      </c>
      <c r="AA12" s="1477" t="s">
        <v>879</v>
      </c>
      <c r="AB12" s="1478"/>
      <c r="AC12" s="1479"/>
      <c r="AD12" s="1480"/>
      <c r="AE12" s="1480"/>
      <c r="AF12" s="1480"/>
      <c r="AG12" s="3255" t="s">
        <v>1231</v>
      </c>
      <c r="AH12" s="1509">
        <f>DATA!AT155</f>
        <v>100000000</v>
      </c>
      <c r="AI12" s="109" t="str">
        <f>DATA!AU155</f>
        <v>ADB</v>
      </c>
      <c r="AJ12" s="216" t="str">
        <f>DATA!AW155</f>
        <v>co-financing dengan Bank Dunia (USD 200 juta)</v>
      </c>
      <c r="AK12" s="245" t="str">
        <f>DATA!AM155</f>
        <v>Rev. 2016</v>
      </c>
      <c r="AL12" s="1510" t="str">
        <f>DATA!AN155</f>
        <v>siap</v>
      </c>
      <c r="AM12" s="1511" t="str">
        <f>DATA!AO155</f>
        <v>siap</v>
      </c>
      <c r="AN12" s="1512">
        <f>DATA!AQ155</f>
        <v>0</v>
      </c>
      <c r="AO12" s="1531" t="str">
        <f>DATA!AR155</f>
        <v>-</v>
      </c>
      <c r="AQ12" s="10">
        <f t="shared" si="1"/>
        <v>0</v>
      </c>
      <c r="AR12" s="10">
        <f t="shared" si="2"/>
        <v>0</v>
      </c>
      <c r="AS12" s="10">
        <f t="shared" si="3"/>
        <v>0</v>
      </c>
      <c r="AT12" s="10">
        <f t="shared" si="4"/>
        <v>0</v>
      </c>
    </row>
    <row r="13" spans="1:46" ht="34.5" customHeight="1">
      <c r="J13" s="256"/>
      <c r="K13" s="54"/>
      <c r="L13" s="52"/>
      <c r="M13" s="172">
        <v>2</v>
      </c>
      <c r="N13" s="1412" t="str">
        <f>DATA!L159</f>
        <v>Financial Regional Infrastructure Projects through Regional Infrastructure Development Fund (RIDF)</v>
      </c>
      <c r="O13" s="1413">
        <f>DATA!T159</f>
        <v>0</v>
      </c>
      <c r="P13" s="1414">
        <f>DATA!U159</f>
        <v>500000000</v>
      </c>
      <c r="Q13" s="205"/>
      <c r="R13" s="205"/>
      <c r="S13" s="1442"/>
      <c r="T13" s="1443"/>
      <c r="U13" s="1440"/>
      <c r="V13" s="217"/>
      <c r="W13" s="217"/>
      <c r="X13" s="1444"/>
      <c r="Y13" s="109">
        <v>300000000</v>
      </c>
      <c r="Z13" s="109" t="s">
        <v>633</v>
      </c>
      <c r="AA13" s="1477" t="s">
        <v>879</v>
      </c>
      <c r="AB13" s="1478"/>
      <c r="AC13" s="1479"/>
      <c r="AD13" s="1480"/>
      <c r="AE13" s="1480"/>
      <c r="AF13" s="1480"/>
      <c r="AG13" s="1514"/>
      <c r="AH13" s="1509">
        <f>DATA!AT159</f>
        <v>300000000</v>
      </c>
      <c r="AI13" s="109" t="str">
        <f>DATA!AU159</f>
        <v>Belum Ada Indikasi</v>
      </c>
      <c r="AJ13" s="216" t="str">
        <f>DATA!AW159</f>
        <v>co-financing dengan Bank Dunia (USD 100 juta) dan AIIB (USD 100 juta)</v>
      </c>
      <c r="AK13" s="245">
        <f>DATA!AM159</f>
        <v>0</v>
      </c>
      <c r="AL13" s="1510" t="str">
        <f>DATA!AN159</f>
        <v>belum ada keterangan</v>
      </c>
      <c r="AM13" s="1511" t="str">
        <f>DATA!AO159</f>
        <v>belum ada keterangan</v>
      </c>
      <c r="AN13" s="1512">
        <f>DATA!AQ159</f>
        <v>0</v>
      </c>
      <c r="AO13" s="1531" t="str">
        <f>DATA!AR159</f>
        <v>-</v>
      </c>
      <c r="AP13" s="3"/>
      <c r="AQ13" s="10">
        <f t="shared" si="1"/>
        <v>0</v>
      </c>
      <c r="AR13" s="10">
        <f t="shared" si="2"/>
        <v>0</v>
      </c>
      <c r="AS13" s="10">
        <f t="shared" si="3"/>
        <v>300000000</v>
      </c>
      <c r="AT13" s="10">
        <f t="shared" si="4"/>
        <v>0</v>
      </c>
    </row>
    <row r="14" spans="1:46" s="3" customFormat="1" ht="30" customHeight="1">
      <c r="J14" s="178" t="s">
        <v>960</v>
      </c>
      <c r="K14" s="112" t="str">
        <f>DATA!D160</f>
        <v>NON-INFRASTRUKTUR</v>
      </c>
      <c r="L14" s="22"/>
      <c r="M14" s="22"/>
      <c r="N14" s="1404"/>
      <c r="O14" s="212" t="e">
        <f>+#REF!+#REF!+O15+#REF!+#REF!+#REF!+O21+O24+O27+O31+#REF!+O34+#REF!+O37</f>
        <v>#REF!</v>
      </c>
      <c r="P14" s="191" t="e">
        <f>+#REF!+#REF!+P15+#REF!+#REF!+#REF!+P21+P24+P27+P31+#REF!+P34+#REF!+P37</f>
        <v>#REF!</v>
      </c>
      <c r="Q14" s="191" t="e">
        <f>+#REF!+#REF!+Q15+#REF!+#REF!+#REF!+Q21+Q24+Q27+Q31+#REF!+Q34+Q37</f>
        <v>#REF!</v>
      </c>
      <c r="R14" s="191" t="e">
        <f>+#REF!+#REF!+R15+#REF!+#REF!+#REF!+R21+R24+R27+R31+#REF!+R34+R37</f>
        <v>#REF!</v>
      </c>
      <c r="S14" s="240" t="e">
        <f>+#REF!+#REF!+S15+#REF!+#REF!+#REF!+S21+S24+S27+S31+#REF!+S34+S37</f>
        <v>#REF!</v>
      </c>
      <c r="T14" s="1445"/>
      <c r="U14" s="192"/>
      <c r="V14" s="79" t="e">
        <f>+#REF!+#REF!+V15+#REF!+#REF!+#REF!+V21+V24+#REF!+V27+V31+V34+V37</f>
        <v>#REF!</v>
      </c>
      <c r="W14" s="79" t="e">
        <f>+#REF!+#REF!+W15+#REF!+#REF!+#REF!+W21+W24+#REF!+W27+W31+W34+W37</f>
        <v>#REF!</v>
      </c>
      <c r="X14" s="239" t="e">
        <f>+#REF!+#REF!+X15+#REF!+#REF!+#REF!+X21+X24+#REF!+X27+X31+X34+X37</f>
        <v>#REF!</v>
      </c>
      <c r="Y14" s="79">
        <f>Y15+Y21+Y24+Y27+Y31+Y34+Y37</f>
        <v>1096658000</v>
      </c>
      <c r="Z14" s="79"/>
      <c r="AA14" s="1464"/>
      <c r="AB14" s="1481"/>
      <c r="AC14" s="1482"/>
      <c r="AD14" s="1483"/>
      <c r="AE14" s="1483"/>
      <c r="AF14" s="1483"/>
      <c r="AG14" s="1515"/>
      <c r="AH14" s="192" t="e">
        <f>#REF!+#REF!+AH15+#REF!+#REF!+#REF!+AH21+AH24+#REF!+AH27+AH31+AH34+AH37</f>
        <v>#REF!</v>
      </c>
      <c r="AI14" s="79" t="s">
        <v>21</v>
      </c>
      <c r="AJ14" s="79" t="s">
        <v>21</v>
      </c>
      <c r="AK14" s="1496"/>
      <c r="AL14" s="1516"/>
      <c r="AM14" s="1517"/>
      <c r="AN14" s="1518"/>
      <c r="AO14" s="1532"/>
      <c r="AP14" s="4"/>
      <c r="AQ14" s="10">
        <f t="shared" si="1"/>
        <v>0</v>
      </c>
      <c r="AR14" s="10">
        <f t="shared" si="2"/>
        <v>0</v>
      </c>
      <c r="AS14" s="10">
        <f t="shared" si="3"/>
        <v>0</v>
      </c>
      <c r="AT14" s="10">
        <f t="shared" si="4"/>
        <v>0</v>
      </c>
    </row>
    <row r="15" spans="1:46" s="4" customFormat="1" ht="24.95" customHeight="1">
      <c r="A15" s="1396"/>
      <c r="B15" s="1396"/>
      <c r="C15" s="1396"/>
      <c r="D15" s="1396"/>
      <c r="E15" s="1396"/>
      <c r="F15" s="1396"/>
      <c r="G15" s="1396"/>
      <c r="H15" s="1396"/>
      <c r="I15" s="1396"/>
      <c r="J15" s="1415"/>
      <c r="K15" s="25">
        <v>12</v>
      </c>
      <c r="L15" s="108" t="str">
        <f>DATA!F181</f>
        <v>Kementerian PPN/Bappenas</v>
      </c>
      <c r="M15" s="25"/>
      <c r="N15" s="1416"/>
      <c r="O15" s="213">
        <f>O16+O19</f>
        <v>300000000</v>
      </c>
      <c r="P15" s="194">
        <f>P16+P19</f>
        <v>325000000</v>
      </c>
      <c r="Q15" s="194">
        <f t="shared" ref="O15:R19" si="5">+Q16</f>
        <v>0</v>
      </c>
      <c r="R15" s="194">
        <f t="shared" si="5"/>
        <v>0</v>
      </c>
      <c r="S15" s="242">
        <f t="shared" ref="S15:S19" si="6">P15+Q15+R15</f>
        <v>325000000</v>
      </c>
      <c r="T15" s="1434"/>
      <c r="U15" s="195"/>
      <c r="V15" s="80">
        <f t="shared" ref="V15:AH19" si="7">+V16</f>
        <v>300000000</v>
      </c>
      <c r="W15" s="80">
        <f t="shared" si="7"/>
        <v>0</v>
      </c>
      <c r="X15" s="241"/>
      <c r="Y15" s="80">
        <f>+Y16+Y19</f>
        <v>325000000</v>
      </c>
      <c r="Z15" s="80"/>
      <c r="AA15" s="1465"/>
      <c r="AB15" s="1466"/>
      <c r="AC15" s="1467"/>
      <c r="AD15" s="1468"/>
      <c r="AE15" s="1468"/>
      <c r="AF15" s="1468"/>
      <c r="AG15" s="1500"/>
      <c r="AH15" s="195">
        <f t="shared" si="7"/>
        <v>300000000</v>
      </c>
      <c r="AI15" s="80" t="s">
        <v>21</v>
      </c>
      <c r="AJ15" s="213"/>
      <c r="AK15" s="1501"/>
      <c r="AL15" s="1502"/>
      <c r="AM15" s="168"/>
      <c r="AN15" s="1503"/>
      <c r="AO15" s="1529"/>
      <c r="AP15" s="5"/>
      <c r="AQ15" s="10">
        <f t="shared" si="1"/>
        <v>0</v>
      </c>
      <c r="AR15" s="10">
        <f t="shared" si="2"/>
        <v>0</v>
      </c>
      <c r="AS15" s="10">
        <f t="shared" si="3"/>
        <v>0</v>
      </c>
      <c r="AT15" s="10">
        <f t="shared" si="4"/>
        <v>0</v>
      </c>
    </row>
    <row r="16" spans="1:46" s="5" customFormat="1" ht="33.75" customHeight="1">
      <c r="A16" s="135"/>
      <c r="B16" s="135"/>
      <c r="C16" s="135"/>
      <c r="D16" s="135"/>
      <c r="E16" s="135"/>
      <c r="F16" s="135"/>
      <c r="G16" s="135"/>
      <c r="H16" s="135"/>
      <c r="I16" s="135"/>
      <c r="J16" s="1417"/>
      <c r="K16" s="29"/>
      <c r="L16" s="30" t="str">
        <f>DATA!I181</f>
        <v>A</v>
      </c>
      <c r="M16" s="3427" t="str">
        <f>DATA!J181</f>
        <v>Program Pengembangan Sumber Daya Aparatur  dalam Rangka Reformasi Birokrasi</v>
      </c>
      <c r="N16" s="3556"/>
      <c r="O16" s="214">
        <f t="shared" si="5"/>
        <v>300000000</v>
      </c>
      <c r="P16" s="197">
        <f t="shared" si="5"/>
        <v>300000000</v>
      </c>
      <c r="Q16" s="1436">
        <f t="shared" si="5"/>
        <v>0</v>
      </c>
      <c r="R16" s="1436">
        <f t="shared" si="5"/>
        <v>0</v>
      </c>
      <c r="S16" s="244">
        <f t="shared" si="6"/>
        <v>300000000</v>
      </c>
      <c r="T16" s="1437"/>
      <c r="U16" s="198"/>
      <c r="V16" s="81">
        <f t="shared" si="7"/>
        <v>300000000</v>
      </c>
      <c r="W16" s="81">
        <f t="shared" si="7"/>
        <v>0</v>
      </c>
      <c r="X16" s="243"/>
      <c r="Y16" s="81">
        <f>+Y17+Y18</f>
        <v>300000000</v>
      </c>
      <c r="Z16" s="81"/>
      <c r="AA16" s="1469"/>
      <c r="AB16" s="1470"/>
      <c r="AC16" s="1471"/>
      <c r="AD16" s="1472"/>
      <c r="AE16" s="1472"/>
      <c r="AF16" s="1472"/>
      <c r="AG16" s="1504"/>
      <c r="AH16" s="198">
        <f t="shared" si="7"/>
        <v>300000000</v>
      </c>
      <c r="AI16" s="81" t="s">
        <v>21</v>
      </c>
      <c r="AJ16" s="214"/>
      <c r="AK16" s="1505"/>
      <c r="AL16" s="1506"/>
      <c r="AM16" s="169"/>
      <c r="AN16" s="1507"/>
      <c r="AO16" s="1530"/>
      <c r="AP16" s="10"/>
      <c r="AQ16" s="10">
        <f t="shared" si="1"/>
        <v>0</v>
      </c>
      <c r="AR16" s="10">
        <f t="shared" si="2"/>
        <v>0</v>
      </c>
      <c r="AS16" s="10">
        <f t="shared" si="3"/>
        <v>0</v>
      </c>
      <c r="AT16" s="10">
        <f t="shared" si="4"/>
        <v>0</v>
      </c>
    </row>
    <row r="17" spans="1:46" ht="47.25" customHeight="1">
      <c r="A17" s="8">
        <f>DATA!A181</f>
        <v>129</v>
      </c>
      <c r="B17" s="8">
        <f>DATA!B181</f>
        <v>0</v>
      </c>
      <c r="C17" s="8" t="str">
        <f>DATA!D181</f>
        <v>NON-INFRASTRUKTUR</v>
      </c>
      <c r="D17" s="8">
        <f>DATA!E181</f>
        <v>10</v>
      </c>
      <c r="E17" s="8" t="str">
        <f>DATA!F181</f>
        <v>Kementerian PPN/Bappenas</v>
      </c>
      <c r="F17" s="8" t="str">
        <f>DATA!H181</f>
        <v>Human Resources Development for Bureaucracy Reform Program</v>
      </c>
      <c r="G17" s="8" t="str">
        <f>DATA!I181</f>
        <v>A</v>
      </c>
      <c r="H17" s="8" t="str">
        <f>DATA!J181</f>
        <v>Program Pengembangan Sumber Daya Aparatur  dalam Rangka Reformasi Birokrasi</v>
      </c>
      <c r="I17" s="8">
        <f>DATA!K181</f>
        <v>1</v>
      </c>
      <c r="J17" s="1418"/>
      <c r="K17" s="34"/>
      <c r="L17" s="34"/>
      <c r="M17" s="3576">
        <v>3</v>
      </c>
      <c r="N17" s="3585" t="str">
        <f>DATA!L181</f>
        <v>Development of Capacity, Quality, and Competency of Human Resources for Government Officer</v>
      </c>
      <c r="O17" s="1402">
        <f>DATA!T181</f>
        <v>300000000</v>
      </c>
      <c r="P17" s="187">
        <f>DATA!U181</f>
        <v>300000000</v>
      </c>
      <c r="Q17" s="1446">
        <f>DATA!V181</f>
        <v>0</v>
      </c>
      <c r="R17" s="1446">
        <f>DATA!W181</f>
        <v>0</v>
      </c>
      <c r="S17" s="1447">
        <f t="shared" si="6"/>
        <v>300000000</v>
      </c>
      <c r="T17" s="1448"/>
      <c r="U17" s="1449" t="str">
        <f>DATA!Y181</f>
        <v>Bank Dunia</v>
      </c>
      <c r="V17" s="77">
        <f>DATA!AA181</f>
        <v>300000000</v>
      </c>
      <c r="W17" s="77"/>
      <c r="X17" s="1450" t="str">
        <f>DATA!Y181</f>
        <v>Bank Dunia</v>
      </c>
      <c r="Y17" s="109">
        <v>150000000</v>
      </c>
      <c r="Z17" s="109" t="s">
        <v>62</v>
      </c>
      <c r="AA17" s="1484" t="s">
        <v>1242</v>
      </c>
      <c r="AB17" s="828"/>
      <c r="AC17" s="1485"/>
      <c r="AD17" s="1486"/>
      <c r="AE17" s="1486"/>
      <c r="AF17" s="1486"/>
      <c r="AG17" s="1514"/>
      <c r="AH17" s="1509">
        <f>DATA!AT181</f>
        <v>300000000</v>
      </c>
      <c r="AI17" s="109" t="str">
        <f>DATA!AU181</f>
        <v>Bank Dunia</v>
      </c>
      <c r="AJ17" s="216" t="str">
        <f>DATA!AW181</f>
        <v>-</v>
      </c>
      <c r="AK17" s="245">
        <f>DATA!AM181</f>
        <v>0</v>
      </c>
      <c r="AL17" s="1510" t="str">
        <f>DATA!AN181</f>
        <v>dalam proses
(penyusunan FS)</v>
      </c>
      <c r="AM17" s="1511" t="str">
        <f>DATA!AO181</f>
        <v>tidak butuh lahan</v>
      </c>
      <c r="AN17" s="1519">
        <f>DATA!AQ181</f>
        <v>0</v>
      </c>
      <c r="AO17" s="1531" t="str">
        <f>DATA!AR181</f>
        <v>belum ada dokumen R/C</v>
      </c>
      <c r="AP17" s="4"/>
      <c r="AQ17" s="10">
        <f t="shared" si="1"/>
        <v>0</v>
      </c>
      <c r="AR17" s="10">
        <f t="shared" si="2"/>
        <v>0</v>
      </c>
      <c r="AS17" s="10">
        <f t="shared" si="3"/>
        <v>0</v>
      </c>
      <c r="AT17" s="10">
        <f t="shared" si="4"/>
        <v>0</v>
      </c>
    </row>
    <row r="18" spans="1:46" ht="47.25" customHeight="1">
      <c r="A18" s="8"/>
      <c r="B18" s="8"/>
      <c r="C18" s="8"/>
      <c r="D18" s="8"/>
      <c r="E18" s="8"/>
      <c r="F18" s="8"/>
      <c r="G18" s="8"/>
      <c r="H18" s="8"/>
      <c r="I18" s="8"/>
      <c r="J18" s="1418"/>
      <c r="K18" s="34"/>
      <c r="L18" s="34"/>
      <c r="M18" s="3577"/>
      <c r="N18" s="3586"/>
      <c r="O18" s="1402"/>
      <c r="P18" s="187"/>
      <c r="Q18" s="1446"/>
      <c r="R18" s="1446"/>
      <c r="S18" s="1447"/>
      <c r="T18" s="1448"/>
      <c r="U18" s="1449"/>
      <c r="V18" s="77"/>
      <c r="W18" s="77"/>
      <c r="X18" s="1450"/>
      <c r="Y18" s="109">
        <v>150000000</v>
      </c>
      <c r="Z18" s="109" t="s">
        <v>633</v>
      </c>
      <c r="AA18" s="1484" t="s">
        <v>879</v>
      </c>
      <c r="AB18" s="828"/>
      <c r="AC18" s="1485"/>
      <c r="AD18" s="1486"/>
      <c r="AE18" s="1486"/>
      <c r="AF18" s="1486"/>
      <c r="AG18" s="1514"/>
      <c r="AH18" s="1509"/>
      <c r="AI18" s="109"/>
      <c r="AJ18" s="216"/>
      <c r="AK18" s="245"/>
      <c r="AL18" s="1510"/>
      <c r="AM18" s="1511"/>
      <c r="AN18" s="1519"/>
      <c r="AO18" s="1531"/>
      <c r="AP18" s="4"/>
      <c r="AQ18" s="10">
        <f t="shared" si="1"/>
        <v>0</v>
      </c>
      <c r="AR18" s="10">
        <f t="shared" si="2"/>
        <v>0</v>
      </c>
      <c r="AS18" s="10">
        <f t="shared" si="3"/>
        <v>150000000</v>
      </c>
      <c r="AT18" s="10">
        <f t="shared" si="4"/>
        <v>0</v>
      </c>
    </row>
    <row r="19" spans="1:46" ht="27" customHeight="1">
      <c r="A19" s="8"/>
      <c r="B19" s="8"/>
      <c r="C19" s="8"/>
      <c r="D19" s="8"/>
      <c r="E19" s="8"/>
      <c r="F19" s="8"/>
      <c r="G19" s="8"/>
      <c r="H19" s="8"/>
      <c r="I19" s="8"/>
      <c r="J19" s="1418"/>
      <c r="K19" s="34"/>
      <c r="L19" s="30" t="str">
        <f>DATA!I183</f>
        <v>B</v>
      </c>
      <c r="M19" s="3427" t="s">
        <v>1243</v>
      </c>
      <c r="N19" s="3556"/>
      <c r="O19" s="214">
        <f t="shared" si="5"/>
        <v>0</v>
      </c>
      <c r="P19" s="197">
        <f t="shared" si="5"/>
        <v>25000000</v>
      </c>
      <c r="Q19" s="1436">
        <f t="shared" si="5"/>
        <v>0</v>
      </c>
      <c r="R19" s="1436">
        <f t="shared" si="5"/>
        <v>0</v>
      </c>
      <c r="S19" s="244">
        <f t="shared" si="6"/>
        <v>25000000</v>
      </c>
      <c r="T19" s="1437"/>
      <c r="U19" s="198"/>
      <c r="V19" s="81">
        <f t="shared" si="7"/>
        <v>0</v>
      </c>
      <c r="W19" s="81">
        <f t="shared" si="7"/>
        <v>0</v>
      </c>
      <c r="X19" s="243"/>
      <c r="Y19" s="81">
        <f>Y20</f>
        <v>25000000</v>
      </c>
      <c r="Z19" s="81"/>
      <c r="AA19" s="1469"/>
      <c r="AB19" s="1470"/>
      <c r="AC19" s="1471"/>
      <c r="AD19" s="1472"/>
      <c r="AE19" s="1472"/>
      <c r="AF19" s="1472"/>
      <c r="AG19" s="1504"/>
      <c r="AH19" s="198">
        <f t="shared" si="7"/>
        <v>0</v>
      </c>
      <c r="AI19" s="81" t="s">
        <v>21</v>
      </c>
      <c r="AJ19" s="214"/>
      <c r="AK19" s="1505"/>
      <c r="AL19" s="1506"/>
      <c r="AM19" s="169"/>
      <c r="AN19" s="1507"/>
      <c r="AO19" s="1530"/>
      <c r="AP19" s="4"/>
      <c r="AQ19" s="10">
        <f t="shared" si="1"/>
        <v>0</v>
      </c>
      <c r="AR19" s="10">
        <f t="shared" si="2"/>
        <v>0</v>
      </c>
      <c r="AS19" s="10">
        <f t="shared" si="3"/>
        <v>0</v>
      </c>
      <c r="AT19" s="10">
        <f t="shared" si="4"/>
        <v>0</v>
      </c>
    </row>
    <row r="20" spans="1:46" ht="47.25" customHeight="1">
      <c r="A20" s="8"/>
      <c r="B20" s="8"/>
      <c r="C20" s="8"/>
      <c r="D20" s="8"/>
      <c r="E20" s="8"/>
      <c r="F20" s="8"/>
      <c r="G20" s="8"/>
      <c r="H20" s="8"/>
      <c r="I20" s="8"/>
      <c r="J20" s="1418"/>
      <c r="K20" s="54"/>
      <c r="L20" s="34"/>
      <c r="M20" s="33">
        <v>4</v>
      </c>
      <c r="N20" s="271" t="s">
        <v>1244</v>
      </c>
      <c r="O20" s="1402">
        <v>0</v>
      </c>
      <c r="P20" s="187">
        <v>25000000</v>
      </c>
      <c r="Q20" s="1446"/>
      <c r="R20" s="1446"/>
      <c r="S20" s="1447"/>
      <c r="T20" s="1448"/>
      <c r="U20" s="1449"/>
      <c r="V20" s="77"/>
      <c r="W20" s="77"/>
      <c r="X20" s="1450"/>
      <c r="Y20" s="109">
        <v>25000000</v>
      </c>
      <c r="Z20" s="109" t="s">
        <v>58</v>
      </c>
      <c r="AA20" s="1484" t="s">
        <v>879</v>
      </c>
      <c r="AB20" s="828"/>
      <c r="AC20" s="1485"/>
      <c r="AD20" s="1486"/>
      <c r="AE20" s="1486"/>
      <c r="AF20" s="1486"/>
      <c r="AG20" s="1508" t="s">
        <v>1245</v>
      </c>
      <c r="AH20" s="1509"/>
      <c r="AI20" s="109" t="s">
        <v>58</v>
      </c>
      <c r="AJ20" s="216"/>
      <c r="AK20" s="245"/>
      <c r="AL20" s="1510"/>
      <c r="AM20" s="1511"/>
      <c r="AN20" s="1519"/>
      <c r="AO20" s="1531"/>
      <c r="AP20" s="4"/>
      <c r="AQ20" s="10">
        <f t="shared" si="1"/>
        <v>0</v>
      </c>
      <c r="AR20" s="10">
        <f t="shared" si="2"/>
        <v>0</v>
      </c>
      <c r="AS20" s="10">
        <f t="shared" si="3"/>
        <v>0</v>
      </c>
      <c r="AT20" s="10">
        <f t="shared" si="4"/>
        <v>0</v>
      </c>
    </row>
    <row r="21" spans="1:46" s="4" customFormat="1" ht="24.95" customHeight="1">
      <c r="J21" s="1415"/>
      <c r="K21" s="25">
        <v>16</v>
      </c>
      <c r="L21" s="108" t="str">
        <f>DATA!F200</f>
        <v>Kementerian Ketenagakerjaan</v>
      </c>
      <c r="M21" s="25"/>
      <c r="N21" s="1416"/>
      <c r="O21" s="213">
        <f t="shared" ref="O21:R22" si="8">+O22</f>
        <v>92308000</v>
      </c>
      <c r="P21" s="194">
        <f t="shared" si="8"/>
        <v>92308000</v>
      </c>
      <c r="Q21" s="194">
        <f t="shared" si="8"/>
        <v>2500000</v>
      </c>
      <c r="R21" s="194">
        <f t="shared" si="8"/>
        <v>0</v>
      </c>
      <c r="S21" s="242">
        <f t="shared" ref="S21:S40" si="9">P21+Q21+R21</f>
        <v>94808000</v>
      </c>
      <c r="T21" s="1434"/>
      <c r="U21" s="1451" t="str">
        <f t="shared" ref="U21:W22" si="10">+U22</f>
        <v>-</v>
      </c>
      <c r="V21" s="80">
        <f t="shared" si="10"/>
        <v>92308000</v>
      </c>
      <c r="W21" s="80">
        <f t="shared" si="10"/>
        <v>0</v>
      </c>
      <c r="X21" s="241"/>
      <c r="Y21" s="80">
        <f>+Y22</f>
        <v>92308000</v>
      </c>
      <c r="Z21" s="80"/>
      <c r="AA21" s="1465"/>
      <c r="AB21" s="1466"/>
      <c r="AC21" s="1467"/>
      <c r="AD21" s="1468"/>
      <c r="AE21" s="1468"/>
      <c r="AF21" s="1468"/>
      <c r="AG21" s="1500"/>
      <c r="AH21" s="195">
        <f>+AH22</f>
        <v>92308000</v>
      </c>
      <c r="AI21" s="80" t="s">
        <v>21</v>
      </c>
      <c r="AJ21" s="213"/>
      <c r="AK21" s="1501"/>
      <c r="AL21" s="1502"/>
      <c r="AM21" s="168"/>
      <c r="AN21" s="1503"/>
      <c r="AO21" s="1529"/>
      <c r="AP21" s="5"/>
      <c r="AQ21" s="10">
        <f t="shared" si="1"/>
        <v>0</v>
      </c>
      <c r="AR21" s="10">
        <f t="shared" ref="AR21:AR39" si="11">IF(Z21="JICA",Y21,0)</f>
        <v>0</v>
      </c>
      <c r="AS21" s="10">
        <f t="shared" ref="AS21:AS39" si="12">IF(Z21="Belum ada indikasi",Y21,0)</f>
        <v>0</v>
      </c>
      <c r="AT21" s="10">
        <f t="shared" ref="AT21:AT39" si="13">IF(Z21="Korea",Y21,0)</f>
        <v>0</v>
      </c>
    </row>
    <row r="22" spans="1:46" s="5" customFormat="1" ht="37.5" customHeight="1">
      <c r="J22" s="1417"/>
      <c r="K22" s="29"/>
      <c r="L22" s="30" t="str">
        <f>DATA!I206</f>
        <v>A</v>
      </c>
      <c r="M22" s="3427" t="str">
        <f>DATA!J200</f>
        <v>Program Peningkatan Daya Saing Tenaga Kerja</v>
      </c>
      <c r="N22" s="3556"/>
      <c r="O22" s="214">
        <f t="shared" si="8"/>
        <v>92308000</v>
      </c>
      <c r="P22" s="197">
        <f t="shared" si="8"/>
        <v>92308000</v>
      </c>
      <c r="Q22" s="1436">
        <f t="shared" si="8"/>
        <v>2500000</v>
      </c>
      <c r="R22" s="1436">
        <f t="shared" si="8"/>
        <v>0</v>
      </c>
      <c r="S22" s="244">
        <f t="shared" si="9"/>
        <v>94808000</v>
      </c>
      <c r="T22" s="1437"/>
      <c r="U22" s="1452" t="s">
        <v>21</v>
      </c>
      <c r="V22" s="81">
        <f t="shared" si="10"/>
        <v>92308000</v>
      </c>
      <c r="W22" s="81">
        <f t="shared" si="10"/>
        <v>0</v>
      </c>
      <c r="X22" s="243"/>
      <c r="Y22" s="81">
        <f>+Y23</f>
        <v>92308000</v>
      </c>
      <c r="Z22" s="81"/>
      <c r="AA22" s="1469"/>
      <c r="AB22" s="1470"/>
      <c r="AC22" s="1471"/>
      <c r="AD22" s="1472"/>
      <c r="AE22" s="1472"/>
      <c r="AF22" s="1472"/>
      <c r="AG22" s="1504"/>
      <c r="AH22" s="198">
        <f>+AH23</f>
        <v>92308000</v>
      </c>
      <c r="AI22" s="81" t="s">
        <v>21</v>
      </c>
      <c r="AJ22" s="214"/>
      <c r="AK22" s="1505"/>
      <c r="AL22" s="1506"/>
      <c r="AM22" s="169"/>
      <c r="AN22" s="1507"/>
      <c r="AO22" s="1530"/>
      <c r="AP22" s="10"/>
      <c r="AQ22" s="10">
        <f t="shared" ref="AQ22:AQ39" si="14">IF(Z22="RRT",Y22,0)</f>
        <v>0</v>
      </c>
      <c r="AR22" s="10">
        <f t="shared" si="11"/>
        <v>0</v>
      </c>
      <c r="AS22" s="10">
        <f t="shared" si="12"/>
        <v>0</v>
      </c>
      <c r="AT22" s="10">
        <f t="shared" si="13"/>
        <v>0</v>
      </c>
    </row>
    <row r="23" spans="1:46" ht="72" customHeight="1">
      <c r="A23" s="10">
        <f>DATA!A200</f>
        <v>145</v>
      </c>
      <c r="B23" s="10">
        <f>DATA!B200</f>
        <v>0</v>
      </c>
      <c r="C23" s="10" t="str">
        <f>DATA!D200</f>
        <v>NON-INFRASTRUKTUR</v>
      </c>
      <c r="D23" s="10">
        <f>DATA!E200</f>
        <v>14</v>
      </c>
      <c r="E23" s="10" t="str">
        <f>DATA!F200</f>
        <v>Kementerian Ketenagakerjaan</v>
      </c>
      <c r="F23" s="10" t="str">
        <f>DATA!H200</f>
        <v>Improving Labor Competitiveness Program</v>
      </c>
      <c r="G23" s="10" t="str">
        <f>DATA!I200</f>
        <v>A</v>
      </c>
      <c r="H23" s="10" t="str">
        <f>DATA!J200</f>
        <v>Program Peningkatan Daya Saing Tenaga Kerja</v>
      </c>
      <c r="I23" s="10">
        <f>DATA!K200</f>
        <v>1</v>
      </c>
      <c r="J23" s="1418"/>
      <c r="K23" s="54"/>
      <c r="L23" s="20"/>
      <c r="M23" s="36">
        <v>5</v>
      </c>
      <c r="N23" s="199" t="str">
        <f>DATA!L200</f>
        <v>Development of Maritime Vocational Training Centers</v>
      </c>
      <c r="O23" s="1402">
        <f>DATA!T200</f>
        <v>92308000</v>
      </c>
      <c r="P23" s="187">
        <f>DATA!U200</f>
        <v>92308000</v>
      </c>
      <c r="Q23" s="1453">
        <f>DATA!V200</f>
        <v>2500000</v>
      </c>
      <c r="R23" s="1453">
        <f>DATA!W200</f>
        <v>0</v>
      </c>
      <c r="S23" s="1447">
        <f t="shared" si="9"/>
        <v>94808000</v>
      </c>
      <c r="T23" s="1448"/>
      <c r="U23" s="1449" t="str">
        <f>DATA!Y200</f>
        <v>Austria/ JICA/ Singapura</v>
      </c>
      <c r="V23" s="77">
        <f>DATA!AA200</f>
        <v>92308000</v>
      </c>
      <c r="W23" s="77">
        <f>DATA!AG200</f>
        <v>0</v>
      </c>
      <c r="X23" s="1450" t="str">
        <f>DATA!Y200</f>
        <v>Austria/ JICA/ Singapura</v>
      </c>
      <c r="Y23" s="109">
        <v>92308000</v>
      </c>
      <c r="Z23" s="109" t="s">
        <v>1256</v>
      </c>
      <c r="AA23" s="1484" t="s">
        <v>879</v>
      </c>
      <c r="AB23" s="828"/>
      <c r="AC23" s="1485"/>
      <c r="AD23" s="1486"/>
      <c r="AE23" s="1486"/>
      <c r="AF23" s="1486"/>
      <c r="AG23" s="3258" t="s">
        <v>1257</v>
      </c>
      <c r="AH23" s="1509">
        <f>DATA!AT200</f>
        <v>92308000</v>
      </c>
      <c r="AI23" s="109" t="str">
        <f>DATA!AU200</f>
        <v>Austria/ JICA/ Singapura</v>
      </c>
      <c r="AJ23" s="1520" t="str">
        <f>DATA!AW200</f>
        <v>belum ada konfirmasi lender yang berminat</v>
      </c>
      <c r="AK23" s="245">
        <f>DATA!AM200</f>
        <v>0</v>
      </c>
      <c r="AL23" s="1510" t="str">
        <f>DATA!AN200</f>
        <v>belum ada keterangan</v>
      </c>
      <c r="AM23" s="1511" t="str">
        <f>DATA!AO200</f>
        <v>belum ada keterangan</v>
      </c>
      <c r="AN23" s="1519">
        <f>DATA!AQ200</f>
        <v>0</v>
      </c>
      <c r="AO23" s="1533" t="str">
        <f>DATA!AR200</f>
        <v>belum ada dokumen R/C</v>
      </c>
      <c r="AP23" s="4"/>
      <c r="AQ23" s="10">
        <f t="shared" si="14"/>
        <v>0</v>
      </c>
      <c r="AR23" s="10">
        <f t="shared" si="11"/>
        <v>0</v>
      </c>
      <c r="AS23" s="10">
        <f t="shared" si="12"/>
        <v>0</v>
      </c>
      <c r="AT23" s="10">
        <f t="shared" si="13"/>
        <v>0</v>
      </c>
    </row>
    <row r="24" spans="1:46" s="4" customFormat="1" ht="24.95" customHeight="1">
      <c r="J24" s="1415"/>
      <c r="K24" s="25">
        <v>17</v>
      </c>
      <c r="L24" s="108" t="str">
        <f>DATA!F201</f>
        <v>Kementerian Kelautan dan Perikanan</v>
      </c>
      <c r="M24" s="25"/>
      <c r="N24" s="1416"/>
      <c r="O24" s="213">
        <f t="shared" ref="O24:R25" si="15">+O25</f>
        <v>107000000</v>
      </c>
      <c r="P24" s="194">
        <f t="shared" si="15"/>
        <v>107000000</v>
      </c>
      <c r="Q24" s="194">
        <f t="shared" si="15"/>
        <v>4261000</v>
      </c>
      <c r="R24" s="194">
        <f t="shared" si="15"/>
        <v>2160000</v>
      </c>
      <c r="S24" s="242">
        <f t="shared" si="9"/>
        <v>113421000</v>
      </c>
      <c r="T24" s="1434"/>
      <c r="U24" s="195"/>
      <c r="V24" s="80">
        <f t="shared" ref="V24:AH25" si="16">+V25</f>
        <v>0</v>
      </c>
      <c r="W24" s="80">
        <f t="shared" si="16"/>
        <v>107000000</v>
      </c>
      <c r="X24" s="241"/>
      <c r="Y24" s="80">
        <f t="shared" si="16"/>
        <v>107000000</v>
      </c>
      <c r="Z24" s="80"/>
      <c r="AA24" s="1465"/>
      <c r="AB24" s="1466"/>
      <c r="AC24" s="1467"/>
      <c r="AD24" s="1468"/>
      <c r="AE24" s="1468"/>
      <c r="AF24" s="1468"/>
      <c r="AG24" s="1500"/>
      <c r="AH24" s="195">
        <f t="shared" si="16"/>
        <v>107000000</v>
      </c>
      <c r="AI24" s="80" t="s">
        <v>21</v>
      </c>
      <c r="AJ24" s="213"/>
      <c r="AK24" s="1501"/>
      <c r="AL24" s="1502"/>
      <c r="AM24" s="168"/>
      <c r="AN24" s="1503"/>
      <c r="AO24" s="1529"/>
      <c r="AP24" s="5"/>
      <c r="AQ24" s="10">
        <f t="shared" si="14"/>
        <v>0</v>
      </c>
      <c r="AR24" s="10">
        <f t="shared" si="11"/>
        <v>0</v>
      </c>
      <c r="AS24" s="10">
        <f t="shared" si="12"/>
        <v>0</v>
      </c>
      <c r="AT24" s="10">
        <f t="shared" si="13"/>
        <v>0</v>
      </c>
    </row>
    <row r="25" spans="1:46" s="5" customFormat="1" ht="33.75" customHeight="1">
      <c r="J25" s="1417"/>
      <c r="K25" s="29"/>
      <c r="L25" s="30" t="str">
        <f>DATA!I201</f>
        <v>A</v>
      </c>
      <c r="M25" s="31" t="str">
        <f>DATA!J201</f>
        <v>Program Peningkatan Fasilitas Perikanan</v>
      </c>
      <c r="N25" s="1419"/>
      <c r="O25" s="214">
        <f t="shared" si="15"/>
        <v>107000000</v>
      </c>
      <c r="P25" s="197">
        <f t="shared" si="15"/>
        <v>107000000</v>
      </c>
      <c r="Q25" s="1436">
        <f t="shared" si="15"/>
        <v>4261000</v>
      </c>
      <c r="R25" s="1436">
        <f t="shared" si="15"/>
        <v>2160000</v>
      </c>
      <c r="S25" s="244">
        <f t="shared" si="9"/>
        <v>113421000</v>
      </c>
      <c r="T25" s="1437"/>
      <c r="U25" s="198"/>
      <c r="V25" s="81">
        <f>V26</f>
        <v>0</v>
      </c>
      <c r="W25" s="81">
        <f t="shared" si="16"/>
        <v>107000000</v>
      </c>
      <c r="X25" s="243"/>
      <c r="Y25" s="81">
        <f t="shared" si="16"/>
        <v>107000000</v>
      </c>
      <c r="Z25" s="81"/>
      <c r="AA25" s="1469"/>
      <c r="AB25" s="1470"/>
      <c r="AC25" s="1471"/>
      <c r="AD25" s="1472"/>
      <c r="AE25" s="1472"/>
      <c r="AF25" s="1472"/>
      <c r="AG25" s="1504"/>
      <c r="AH25" s="198">
        <f t="shared" si="16"/>
        <v>107000000</v>
      </c>
      <c r="AI25" s="81" t="s">
        <v>21</v>
      </c>
      <c r="AJ25" s="214"/>
      <c r="AK25" s="1505"/>
      <c r="AL25" s="1506"/>
      <c r="AM25" s="169"/>
      <c r="AN25" s="1507"/>
      <c r="AO25" s="1530"/>
      <c r="AP25" s="9"/>
      <c r="AQ25" s="10">
        <f t="shared" si="14"/>
        <v>0</v>
      </c>
      <c r="AR25" s="10">
        <f t="shared" si="11"/>
        <v>0</v>
      </c>
      <c r="AS25" s="10">
        <f t="shared" si="12"/>
        <v>0</v>
      </c>
      <c r="AT25" s="10">
        <f t="shared" si="13"/>
        <v>0</v>
      </c>
    </row>
    <row r="26" spans="1:46" s="9" customFormat="1" ht="25.5" customHeight="1">
      <c r="A26" s="9">
        <f>DATA!A201</f>
        <v>146</v>
      </c>
      <c r="B26" s="9">
        <f>DATA!B201</f>
        <v>0</v>
      </c>
      <c r="C26" s="9" t="str">
        <f>DATA!D201</f>
        <v>NON-INFRASTRUKTUR</v>
      </c>
      <c r="D26" s="9">
        <f>DATA!E201</f>
        <v>15</v>
      </c>
      <c r="E26" s="9" t="str">
        <f>DATA!F201</f>
        <v>Kementerian Kelautan dan Perikanan</v>
      </c>
      <c r="F26" s="9" t="str">
        <f>DATA!H201</f>
        <v>Improvement of Fisheries Facilities Program</v>
      </c>
      <c r="G26" s="9" t="str">
        <f>DATA!I201</f>
        <v>A</v>
      </c>
      <c r="H26" s="9" t="str">
        <f>DATA!J201</f>
        <v>Program Peningkatan Fasilitas Perikanan</v>
      </c>
      <c r="I26" s="9">
        <f>DATA!K201</f>
        <v>1</v>
      </c>
      <c r="J26" s="1418"/>
      <c r="K26" s="255"/>
      <c r="L26" s="66"/>
      <c r="M26" s="64">
        <v>6</v>
      </c>
      <c r="N26" s="271" t="s">
        <v>453</v>
      </c>
      <c r="O26" s="1420">
        <f>DATA!T201</f>
        <v>107000000</v>
      </c>
      <c r="P26" s="258">
        <f>DATA!U201</f>
        <v>107000000</v>
      </c>
      <c r="Q26" s="1454">
        <f>DATA!V201</f>
        <v>4261000</v>
      </c>
      <c r="R26" s="1454">
        <f>DATA!W201</f>
        <v>2160000</v>
      </c>
      <c r="S26" s="1447">
        <f t="shared" si="9"/>
        <v>113421000</v>
      </c>
      <c r="T26" s="1448"/>
      <c r="U26" s="1455" t="str">
        <f>DATA!Y201</f>
        <v>-</v>
      </c>
      <c r="V26" s="91">
        <v>0</v>
      </c>
      <c r="W26" s="77">
        <f>DATA!AA201</f>
        <v>107000000</v>
      </c>
      <c r="X26" s="1450" t="str">
        <f>DATA!Y201</f>
        <v>-</v>
      </c>
      <c r="Y26" s="109">
        <v>107000000</v>
      </c>
      <c r="Z26" s="109" t="s">
        <v>633</v>
      </c>
      <c r="AA26" s="1484" t="s">
        <v>879</v>
      </c>
      <c r="AB26" s="828"/>
      <c r="AC26" s="1485"/>
      <c r="AD26" s="1486"/>
      <c r="AE26" s="1486"/>
      <c r="AF26" s="1486"/>
      <c r="AG26" s="1514"/>
      <c r="AH26" s="1509">
        <f>DATA!AT201</f>
        <v>107000000</v>
      </c>
      <c r="AI26" s="109" t="str">
        <f>DATA!AU201</f>
        <v>Belum Ada Indikasi</v>
      </c>
      <c r="AJ26" s="1521" t="s">
        <v>1043</v>
      </c>
      <c r="AK26" s="245">
        <f>DATA!AM201</f>
        <v>0</v>
      </c>
      <c r="AL26" s="1512" t="str">
        <f>DATA!AN201</f>
        <v>dalam proses
(memiliki FS)</v>
      </c>
      <c r="AM26" s="1522" t="str">
        <f>DATA!AO201</f>
        <v>belum ada keterangan</v>
      </c>
      <c r="AN26" s="1519">
        <f>DATA!AQ201</f>
        <v>0</v>
      </c>
      <c r="AO26" s="1531" t="str">
        <f>DATA!AR201</f>
        <v>Dibatalkan oleh KKP</v>
      </c>
      <c r="AQ26" s="10">
        <f t="shared" si="14"/>
        <v>0</v>
      </c>
      <c r="AR26" s="10">
        <f t="shared" si="11"/>
        <v>0</v>
      </c>
      <c r="AS26" s="10">
        <f t="shared" si="12"/>
        <v>107000000</v>
      </c>
      <c r="AT26" s="10">
        <f t="shared" si="13"/>
        <v>0</v>
      </c>
    </row>
    <row r="27" spans="1:46" s="4" customFormat="1" ht="24.95" customHeight="1">
      <c r="J27" s="1415"/>
      <c r="K27" s="25">
        <v>19</v>
      </c>
      <c r="L27" s="108" t="str">
        <f>DATA!F206</f>
        <v>Badan Meteorologi, Klimatologi dan Geofisika (BMKG)</v>
      </c>
      <c r="M27" s="25"/>
      <c r="N27" s="1416"/>
      <c r="O27" s="213">
        <f t="shared" ref="O27:R28" si="17">+O28</f>
        <v>150000000</v>
      </c>
      <c r="P27" s="194">
        <f t="shared" si="17"/>
        <v>150000000</v>
      </c>
      <c r="Q27" s="194">
        <f t="shared" si="17"/>
        <v>9000000</v>
      </c>
      <c r="R27" s="194">
        <f t="shared" si="17"/>
        <v>0</v>
      </c>
      <c r="S27" s="242">
        <f t="shared" si="9"/>
        <v>159000000</v>
      </c>
      <c r="T27" s="1434"/>
      <c r="U27" s="195"/>
      <c r="V27" s="80">
        <f t="shared" ref="V27:AH28" si="18">+V28</f>
        <v>150000000</v>
      </c>
      <c r="W27" s="80">
        <f t="shared" si="18"/>
        <v>0</v>
      </c>
      <c r="X27" s="241"/>
      <c r="Y27" s="80">
        <f t="shared" si="18"/>
        <v>150000000</v>
      </c>
      <c r="Z27" s="80"/>
      <c r="AA27" s="1465"/>
      <c r="AB27" s="1466"/>
      <c r="AC27" s="1467"/>
      <c r="AD27" s="1468"/>
      <c r="AE27" s="1468"/>
      <c r="AF27" s="1468"/>
      <c r="AG27" s="1500"/>
      <c r="AH27" s="195">
        <f>+AH28</f>
        <v>150000000</v>
      </c>
      <c r="AI27" s="80" t="s">
        <v>21</v>
      </c>
      <c r="AJ27" s="213"/>
      <c r="AK27" s="1501"/>
      <c r="AL27" s="1502"/>
      <c r="AM27" s="168"/>
      <c r="AN27" s="1503"/>
      <c r="AO27" s="1529"/>
      <c r="AP27" s="5"/>
      <c r="AQ27" s="10">
        <f t="shared" si="14"/>
        <v>0</v>
      </c>
      <c r="AR27" s="10">
        <f t="shared" si="11"/>
        <v>0</v>
      </c>
      <c r="AS27" s="10">
        <f t="shared" si="12"/>
        <v>0</v>
      </c>
      <c r="AT27" s="10">
        <f t="shared" si="13"/>
        <v>0</v>
      </c>
    </row>
    <row r="28" spans="1:46" s="5" customFormat="1" ht="33.75" customHeight="1">
      <c r="J28" s="1417"/>
      <c r="K28" s="29"/>
      <c r="L28" s="30" t="str">
        <f>DATA!I206</f>
        <v>A</v>
      </c>
      <c r="M28" s="3447" t="str">
        <f>DATA!J206</f>
        <v>Program Pengembangan dan Pembinaan Meteorologi, Klimatologi, dan Geofisika</v>
      </c>
      <c r="N28" s="3556"/>
      <c r="O28" s="214">
        <f t="shared" si="17"/>
        <v>150000000</v>
      </c>
      <c r="P28" s="197">
        <f t="shared" si="17"/>
        <v>150000000</v>
      </c>
      <c r="Q28" s="1436">
        <f t="shared" si="17"/>
        <v>9000000</v>
      </c>
      <c r="R28" s="1436">
        <f t="shared" si="17"/>
        <v>0</v>
      </c>
      <c r="S28" s="244">
        <f t="shared" si="9"/>
        <v>159000000</v>
      </c>
      <c r="T28" s="1437"/>
      <c r="U28" s="1456"/>
      <c r="V28" s="81">
        <f t="shared" si="18"/>
        <v>150000000</v>
      </c>
      <c r="W28" s="81">
        <f t="shared" si="18"/>
        <v>0</v>
      </c>
      <c r="X28" s="243"/>
      <c r="Y28" s="81">
        <f>+Y29+Y30</f>
        <v>150000000</v>
      </c>
      <c r="Z28" s="81"/>
      <c r="AA28" s="1469"/>
      <c r="AB28" s="1470"/>
      <c r="AC28" s="1471"/>
      <c r="AD28" s="1472"/>
      <c r="AE28" s="1472"/>
      <c r="AF28" s="1472"/>
      <c r="AG28" s="1504"/>
      <c r="AH28" s="198">
        <f t="shared" si="18"/>
        <v>150000000</v>
      </c>
      <c r="AI28" s="81" t="s">
        <v>21</v>
      </c>
      <c r="AJ28" s="214"/>
      <c r="AK28" s="1505"/>
      <c r="AL28" s="1506"/>
      <c r="AM28" s="169"/>
      <c r="AN28" s="1507"/>
      <c r="AO28" s="1530"/>
      <c r="AP28" s="10"/>
      <c r="AQ28" s="10">
        <f t="shared" si="14"/>
        <v>0</v>
      </c>
      <c r="AR28" s="10">
        <f t="shared" si="11"/>
        <v>0</v>
      </c>
      <c r="AS28" s="10">
        <f t="shared" si="12"/>
        <v>0</v>
      </c>
      <c r="AT28" s="10">
        <f t="shared" si="13"/>
        <v>0</v>
      </c>
    </row>
    <row r="29" spans="1:46" ht="58.5" customHeight="1">
      <c r="A29" s="10">
        <f>DATA!A206</f>
        <v>147</v>
      </c>
      <c r="B29" s="10">
        <f>DATA!B206</f>
        <v>0</v>
      </c>
      <c r="C29" s="10" t="str">
        <f>DATA!D206</f>
        <v>NON-INFRASTRUKTUR</v>
      </c>
      <c r="D29" s="10">
        <f>DATA!E206</f>
        <v>16</v>
      </c>
      <c r="E29" s="10" t="str">
        <f>DATA!F206</f>
        <v>Badan Meteorologi, Klimatologi dan Geofisika (BMKG)</v>
      </c>
      <c r="F29" s="10" t="str">
        <f>DATA!H206</f>
        <v>Program for Capacity Development and Guidance of Meteorology, Climatology, and Geophysics</v>
      </c>
      <c r="G29" s="10" t="str">
        <f>DATA!I206</f>
        <v>A</v>
      </c>
      <c r="H29" s="10" t="str">
        <f>DATA!J206</f>
        <v>Program Pengembangan dan Pembinaan Meteorologi, Klimatologi, dan Geofisika</v>
      </c>
      <c r="I29" s="10">
        <f>DATA!K206</f>
        <v>1</v>
      </c>
      <c r="J29" s="1418"/>
      <c r="K29" s="54"/>
      <c r="L29" s="36"/>
      <c r="M29" s="36">
        <v>7</v>
      </c>
      <c r="N29" s="3393" t="str">
        <f>DATA!L206</f>
        <v xml:space="preserve">Strengthening Climate and Weather Service Capacity – Phase II:
a) Kegiatan lanjutan dari kegiatan Strengthening BMKG Climate and Weather Services Capacity Phase I
b) Kegiatan pengembangan sistem Layanan Informasi Meteorologi Maritim </v>
      </c>
      <c r="O29" s="1402">
        <f>DATA!T206</f>
        <v>150000000</v>
      </c>
      <c r="P29" s="187">
        <f>DATA!U206</f>
        <v>150000000</v>
      </c>
      <c r="Q29" s="1446">
        <f>DATA!V206</f>
        <v>9000000</v>
      </c>
      <c r="R29" s="1446">
        <f>DATA!W206</f>
        <v>0</v>
      </c>
      <c r="S29" s="1447">
        <f t="shared" si="9"/>
        <v>159000000</v>
      </c>
      <c r="T29" s="1448"/>
      <c r="U29" s="1449" t="str">
        <f>DATA!Y206</f>
        <v>US EXIM</v>
      </c>
      <c r="V29" s="77">
        <f>DATA!AA206</f>
        <v>150000000</v>
      </c>
      <c r="W29" s="77">
        <f>DATA!AG206</f>
        <v>0</v>
      </c>
      <c r="X29" s="1450" t="str">
        <f>DATA!Y206</f>
        <v>US EXIM</v>
      </c>
      <c r="Y29" s="618">
        <v>78900000</v>
      </c>
      <c r="Z29" s="1487" t="s">
        <v>1263</v>
      </c>
      <c r="AA29" s="3622" t="s">
        <v>1189</v>
      </c>
      <c r="AB29" s="828"/>
      <c r="AC29" s="1485"/>
      <c r="AD29" s="1486"/>
      <c r="AE29" s="1486"/>
      <c r="AF29" s="1486"/>
      <c r="AG29" s="3628" t="s">
        <v>1264</v>
      </c>
      <c r="AH29" s="1509">
        <f>DATA!AT206</f>
        <v>150000000</v>
      </c>
      <c r="AI29" s="109" t="str">
        <f>DATA!AU206</f>
        <v>US EXIM</v>
      </c>
      <c r="AJ29" s="216" t="str">
        <f>DATA!AW206</f>
        <v>-</v>
      </c>
      <c r="AK29" s="245">
        <f>DATA!AM206</f>
        <v>0</v>
      </c>
      <c r="AL29" s="1510" t="str">
        <f>DATA!AN206</f>
        <v>dalam proses
(penyusunan FS)</v>
      </c>
      <c r="AM29" s="1511" t="str">
        <f>DATA!AO206</f>
        <v>siap</v>
      </c>
      <c r="AN29" s="1519">
        <f>DATA!AQ206</f>
        <v>0</v>
      </c>
      <c r="AO29" s="1533" t="str">
        <f>DATA!AR206</f>
        <v>belum ada dokumen R/C</v>
      </c>
      <c r="AP29" s="4"/>
      <c r="AQ29" s="10">
        <f t="shared" si="14"/>
        <v>0</v>
      </c>
      <c r="AR29" s="10">
        <f t="shared" si="11"/>
        <v>0</v>
      </c>
      <c r="AS29" s="10">
        <f t="shared" si="12"/>
        <v>0</v>
      </c>
      <c r="AT29" s="10">
        <f t="shared" si="13"/>
        <v>0</v>
      </c>
    </row>
    <row r="30" spans="1:46" ht="66.75" customHeight="1">
      <c r="J30" s="1418"/>
      <c r="K30" s="54"/>
      <c r="L30" s="36"/>
      <c r="M30" s="36"/>
      <c r="N30" s="3394"/>
      <c r="O30" s="1402"/>
      <c r="P30" s="187"/>
      <c r="Q30" s="1446"/>
      <c r="R30" s="1446"/>
      <c r="S30" s="1447"/>
      <c r="T30" s="1448"/>
      <c r="U30" s="1449"/>
      <c r="V30" s="77"/>
      <c r="W30" s="77"/>
      <c r="X30" s="1450"/>
      <c r="Y30" s="618">
        <v>71100000</v>
      </c>
      <c r="Z30" s="109" t="s">
        <v>462</v>
      </c>
      <c r="AA30" s="3623"/>
      <c r="AB30" s="828"/>
      <c r="AC30" s="1485"/>
      <c r="AD30" s="1486"/>
      <c r="AE30" s="1486"/>
      <c r="AF30" s="1486"/>
      <c r="AG30" s="3629"/>
      <c r="AH30" s="1509"/>
      <c r="AI30" s="109"/>
      <c r="AJ30" s="216"/>
      <c r="AK30" s="245"/>
      <c r="AL30" s="1510"/>
      <c r="AM30" s="1511"/>
      <c r="AN30" s="1519"/>
      <c r="AO30" s="1533"/>
      <c r="AP30" s="4"/>
      <c r="AQ30" s="10">
        <f t="shared" si="14"/>
        <v>0</v>
      </c>
      <c r="AR30" s="10">
        <f t="shared" si="11"/>
        <v>0</v>
      </c>
      <c r="AS30" s="10">
        <f t="shared" si="12"/>
        <v>0</v>
      </c>
      <c r="AT30" s="10">
        <f t="shared" si="13"/>
        <v>0</v>
      </c>
    </row>
    <row r="31" spans="1:46" s="4" customFormat="1" ht="24.95" customHeight="1">
      <c r="J31" s="1415"/>
      <c r="K31" s="25">
        <v>20</v>
      </c>
      <c r="L31" s="108" t="str">
        <f>DATA!F207</f>
        <v>Badan Pengkajian dan Penerapan Teknologi (BPPT)</v>
      </c>
      <c r="M31" s="25"/>
      <c r="N31" s="1416"/>
      <c r="O31" s="213">
        <f t="shared" ref="O31:R32" si="19">+O32</f>
        <v>114400000</v>
      </c>
      <c r="P31" s="194">
        <f t="shared" si="19"/>
        <v>114400000</v>
      </c>
      <c r="Q31" s="194">
        <f t="shared" si="19"/>
        <v>17200000</v>
      </c>
      <c r="R31" s="194">
        <f t="shared" si="19"/>
        <v>0</v>
      </c>
      <c r="S31" s="242">
        <f t="shared" si="9"/>
        <v>131600000</v>
      </c>
      <c r="T31" s="1434"/>
      <c r="U31" s="1435"/>
      <c r="V31" s="80">
        <f t="shared" ref="V31:AH32" si="20">+V32</f>
        <v>114400000</v>
      </c>
      <c r="W31" s="80">
        <f t="shared" si="20"/>
        <v>0</v>
      </c>
      <c r="X31" s="241"/>
      <c r="Y31" s="80">
        <f t="shared" si="20"/>
        <v>114400000</v>
      </c>
      <c r="Z31" s="80"/>
      <c r="AA31" s="1465"/>
      <c r="AB31" s="1466"/>
      <c r="AC31" s="1467"/>
      <c r="AD31" s="1468"/>
      <c r="AE31" s="1468"/>
      <c r="AF31" s="1468"/>
      <c r="AG31" s="1500"/>
      <c r="AH31" s="195">
        <f t="shared" si="20"/>
        <v>114400000</v>
      </c>
      <c r="AI31" s="80" t="s">
        <v>21</v>
      </c>
      <c r="AJ31" s="213"/>
      <c r="AK31" s="1501"/>
      <c r="AL31" s="1502"/>
      <c r="AM31" s="168"/>
      <c r="AN31" s="1503"/>
      <c r="AO31" s="1529"/>
      <c r="AP31" s="5"/>
      <c r="AQ31" s="10">
        <f t="shared" si="14"/>
        <v>0</v>
      </c>
      <c r="AR31" s="10">
        <f t="shared" si="11"/>
        <v>0</v>
      </c>
      <c r="AS31" s="10">
        <f t="shared" si="12"/>
        <v>0</v>
      </c>
      <c r="AT31" s="10">
        <f t="shared" si="13"/>
        <v>0</v>
      </c>
    </row>
    <row r="32" spans="1:46" s="5" customFormat="1" ht="33.75" customHeight="1">
      <c r="J32" s="1417"/>
      <c r="K32" s="29"/>
      <c r="L32" s="30" t="str">
        <f>DATA!I207</f>
        <v>A</v>
      </c>
      <c r="M32" s="3427" t="str">
        <f>DATA!J207</f>
        <v>Program Pembangunan Science Park dan Technopark</v>
      </c>
      <c r="N32" s="3564"/>
      <c r="O32" s="214">
        <f t="shared" si="19"/>
        <v>114400000</v>
      </c>
      <c r="P32" s="197">
        <f t="shared" si="19"/>
        <v>114400000</v>
      </c>
      <c r="Q32" s="1436">
        <f t="shared" si="19"/>
        <v>17200000</v>
      </c>
      <c r="R32" s="1436">
        <f t="shared" si="19"/>
        <v>0</v>
      </c>
      <c r="S32" s="244">
        <f t="shared" si="9"/>
        <v>131600000</v>
      </c>
      <c r="T32" s="1437"/>
      <c r="U32" s="198"/>
      <c r="V32" s="81">
        <f t="shared" si="20"/>
        <v>114400000</v>
      </c>
      <c r="W32" s="81">
        <f t="shared" si="20"/>
        <v>0</v>
      </c>
      <c r="X32" s="243"/>
      <c r="Y32" s="81">
        <f t="shared" si="20"/>
        <v>114400000</v>
      </c>
      <c r="Z32" s="80"/>
      <c r="AA32" s="1469"/>
      <c r="AB32" s="1470"/>
      <c r="AC32" s="1471"/>
      <c r="AD32" s="1472"/>
      <c r="AE32" s="1472"/>
      <c r="AF32" s="1472"/>
      <c r="AG32" s="1504"/>
      <c r="AH32" s="198">
        <f t="shared" si="20"/>
        <v>114400000</v>
      </c>
      <c r="AI32" s="81" t="s">
        <v>21</v>
      </c>
      <c r="AJ32" s="214"/>
      <c r="AK32" s="1505"/>
      <c r="AL32" s="1506"/>
      <c r="AM32" s="169"/>
      <c r="AN32" s="1507"/>
      <c r="AO32" s="1530"/>
      <c r="AP32" s="10"/>
      <c r="AQ32" s="10">
        <f t="shared" si="14"/>
        <v>0</v>
      </c>
      <c r="AR32" s="10">
        <f t="shared" si="11"/>
        <v>0</v>
      </c>
      <c r="AS32" s="10">
        <f t="shared" si="12"/>
        <v>0</v>
      </c>
      <c r="AT32" s="10">
        <f t="shared" si="13"/>
        <v>0</v>
      </c>
    </row>
    <row r="33" spans="1:46" ht="59.25" customHeight="1">
      <c r="A33" s="10">
        <f>DATA!A207</f>
        <v>148</v>
      </c>
      <c r="B33" s="10">
        <f>DATA!B207</f>
        <v>0</v>
      </c>
      <c r="C33" s="10" t="str">
        <f>DATA!D207</f>
        <v>NON-INFRASTRUKTUR</v>
      </c>
      <c r="D33" s="10">
        <f>DATA!E207</f>
        <v>17</v>
      </c>
      <c r="E33" s="10" t="str">
        <f>DATA!F207</f>
        <v>Badan Pengkajian dan Penerapan Teknologi (BPPT)</v>
      </c>
      <c r="F33" s="10" t="str">
        <f>DATA!H207</f>
        <v>Science Park and Technopark Development Program</v>
      </c>
      <c r="G33" s="10" t="str">
        <f>DATA!I207</f>
        <v>A</v>
      </c>
      <c r="H33" s="10" t="str">
        <f>DATA!J207</f>
        <v>Program Pembangunan Science Park dan Technopark</v>
      </c>
      <c r="I33" s="10">
        <f>DATA!K207</f>
        <v>1</v>
      </c>
      <c r="J33" s="1418"/>
      <c r="K33" s="54"/>
      <c r="L33" s="36"/>
      <c r="M33" s="36">
        <v>8</v>
      </c>
      <c r="N33" s="199" t="str">
        <f>DATA!L207</f>
        <v>Development of Maritime National Science and Technology Park (NTSP) in the Northern Penajam Paser and Revitalization Infrastructure Marine Survey</v>
      </c>
      <c r="O33" s="1402">
        <f>DATA!T207</f>
        <v>114400000</v>
      </c>
      <c r="P33" s="187">
        <f>DATA!U207</f>
        <v>114400000</v>
      </c>
      <c r="Q33" s="1446">
        <f>DATA!V207</f>
        <v>17200000</v>
      </c>
      <c r="R33" s="1446">
        <f>DATA!W207</f>
        <v>0</v>
      </c>
      <c r="S33" s="1447">
        <f t="shared" si="9"/>
        <v>131600000</v>
      </c>
      <c r="T33" s="1448"/>
      <c r="U33" s="1449" t="str">
        <f>DATA!Y207</f>
        <v xml:space="preserve">Perancis (AFD)  </v>
      </c>
      <c r="V33" s="77">
        <f>DATA!AA207</f>
        <v>114400000</v>
      </c>
      <c r="W33" s="77">
        <f>DATA!AG207</f>
        <v>0</v>
      </c>
      <c r="X33" s="1450" t="str">
        <f>DATA!Y207</f>
        <v xml:space="preserve">Perancis (AFD)  </v>
      </c>
      <c r="Y33" s="109">
        <v>114400000</v>
      </c>
      <c r="Z33" s="109" t="s">
        <v>1063</v>
      </c>
      <c r="AA33" s="1484" t="s">
        <v>1169</v>
      </c>
      <c r="AB33" s="828"/>
      <c r="AC33" s="1485"/>
      <c r="AD33" s="1486"/>
      <c r="AE33" s="1486"/>
      <c r="AF33" s="1486"/>
      <c r="AG33" s="1514" t="s">
        <v>1265</v>
      </c>
      <c r="AH33" s="1509">
        <f>DATA!AT207</f>
        <v>114400000</v>
      </c>
      <c r="AI33" s="109" t="str">
        <f>DATA!AU207</f>
        <v xml:space="preserve">Perancis (AFD)  </v>
      </c>
      <c r="AJ33" s="216" t="str">
        <f>DATA!AW207</f>
        <v>-</v>
      </c>
      <c r="AK33" s="245">
        <f>DATA!AM207</f>
        <v>0</v>
      </c>
      <c r="AL33" s="1510" t="str">
        <f>DATA!AN207</f>
        <v>dalam proses
(penyusunan FS)</v>
      </c>
      <c r="AM33" s="1511" t="str">
        <f>DATA!AO207</f>
        <v>dalam proses
(pelaksanaan)</v>
      </c>
      <c r="AN33" s="1519">
        <f>DATA!AQ207</f>
        <v>0</v>
      </c>
      <c r="AO33" s="1533" t="str">
        <f>DATA!AR207</f>
        <v>- tidak diketahui berapa persen proses pelaksanaannya
- belum ada dokumen R/C</v>
      </c>
      <c r="AQ33" s="10">
        <f t="shared" si="14"/>
        <v>0</v>
      </c>
      <c r="AR33" s="10">
        <f t="shared" si="11"/>
        <v>0</v>
      </c>
      <c r="AS33" s="10">
        <f t="shared" si="12"/>
        <v>0</v>
      </c>
      <c r="AT33" s="10">
        <f t="shared" si="13"/>
        <v>0</v>
      </c>
    </row>
    <row r="34" spans="1:46" ht="24.75" customHeight="1">
      <c r="A34" s="8"/>
      <c r="B34" s="8"/>
      <c r="C34" s="8"/>
      <c r="D34" s="8"/>
      <c r="E34" s="8"/>
      <c r="F34" s="8"/>
      <c r="G34" s="8"/>
      <c r="H34" s="8"/>
      <c r="I34" s="8"/>
      <c r="J34" s="1418"/>
      <c r="K34" s="1421">
        <v>21</v>
      </c>
      <c r="L34" s="1422" t="s">
        <v>1105</v>
      </c>
      <c r="M34" s="1421"/>
      <c r="N34" s="1423"/>
      <c r="O34" s="213">
        <f t="shared" ref="O34:R35" si="21">O35</f>
        <v>0</v>
      </c>
      <c r="P34" s="194">
        <f t="shared" si="21"/>
        <v>200000000</v>
      </c>
      <c r="Q34" s="194">
        <f t="shared" si="21"/>
        <v>0</v>
      </c>
      <c r="R34" s="194">
        <f t="shared" si="21"/>
        <v>0</v>
      </c>
      <c r="S34" s="242">
        <f t="shared" si="9"/>
        <v>200000000</v>
      </c>
      <c r="T34" s="1434"/>
      <c r="U34" s="1435"/>
      <c r="V34" s="80">
        <f>V35</f>
        <v>0</v>
      </c>
      <c r="W34" s="80">
        <f>W35</f>
        <v>200000000</v>
      </c>
      <c r="X34" s="241"/>
      <c r="Y34" s="80">
        <f>Y35</f>
        <v>200000000</v>
      </c>
      <c r="Z34" s="80"/>
      <c r="AA34" s="1465"/>
      <c r="AB34" s="1466"/>
      <c r="AC34" s="1467"/>
      <c r="AD34" s="1468"/>
      <c r="AE34" s="1468"/>
      <c r="AF34" s="1468"/>
      <c r="AG34" s="1500"/>
      <c r="AH34" s="195">
        <f>AH35</f>
        <v>200000000</v>
      </c>
      <c r="AI34" s="80" t="s">
        <v>21</v>
      </c>
      <c r="AJ34" s="213"/>
      <c r="AK34" s="1501"/>
      <c r="AL34" s="1502"/>
      <c r="AM34" s="168"/>
      <c r="AN34" s="1503"/>
      <c r="AO34" s="1529"/>
      <c r="AQ34" s="10">
        <f t="shared" si="14"/>
        <v>0</v>
      </c>
      <c r="AR34" s="10">
        <f t="shared" si="11"/>
        <v>0</v>
      </c>
      <c r="AS34" s="10">
        <f t="shared" si="12"/>
        <v>0</v>
      </c>
      <c r="AT34" s="10">
        <f t="shared" si="13"/>
        <v>0</v>
      </c>
    </row>
    <row r="35" spans="1:46" ht="36.75" customHeight="1">
      <c r="A35" s="8"/>
      <c r="B35" s="8"/>
      <c r="C35" s="8"/>
      <c r="D35" s="8"/>
      <c r="E35" s="8"/>
      <c r="F35" s="8"/>
      <c r="G35" s="8"/>
      <c r="H35" s="8"/>
      <c r="I35" s="8"/>
      <c r="J35" s="1418"/>
      <c r="K35" s="29"/>
      <c r="L35" s="30" t="s">
        <v>23</v>
      </c>
      <c r="M35" s="3448" t="s">
        <v>1106</v>
      </c>
      <c r="N35" s="3427"/>
      <c r="O35" s="214">
        <f t="shared" si="21"/>
        <v>0</v>
      </c>
      <c r="P35" s="197">
        <f t="shared" si="21"/>
        <v>200000000</v>
      </c>
      <c r="Q35" s="1436">
        <f t="shared" si="21"/>
        <v>0</v>
      </c>
      <c r="R35" s="1436">
        <f t="shared" si="21"/>
        <v>0</v>
      </c>
      <c r="S35" s="244">
        <f t="shared" si="9"/>
        <v>200000000</v>
      </c>
      <c r="T35" s="1437"/>
      <c r="U35" s="198"/>
      <c r="V35" s="81">
        <f>V36</f>
        <v>0</v>
      </c>
      <c r="W35" s="81">
        <f>W36</f>
        <v>200000000</v>
      </c>
      <c r="X35" s="243"/>
      <c r="Y35" s="81">
        <f>Y36</f>
        <v>200000000</v>
      </c>
      <c r="Z35" s="81"/>
      <c r="AA35" s="1469"/>
      <c r="AB35" s="1470"/>
      <c r="AC35" s="1471"/>
      <c r="AD35" s="1472"/>
      <c r="AE35" s="1472"/>
      <c r="AF35" s="1472"/>
      <c r="AG35" s="1504"/>
      <c r="AH35" s="198">
        <f>AH36</f>
        <v>200000000</v>
      </c>
      <c r="AI35" s="81" t="s">
        <v>21</v>
      </c>
      <c r="AJ35" s="214"/>
      <c r="AK35" s="1505"/>
      <c r="AL35" s="1506"/>
      <c r="AM35" s="169"/>
      <c r="AN35" s="1507"/>
      <c r="AO35" s="1530"/>
      <c r="AQ35" s="10">
        <f t="shared" si="14"/>
        <v>0</v>
      </c>
      <c r="AR35" s="10">
        <f t="shared" si="11"/>
        <v>0</v>
      </c>
      <c r="AS35" s="10">
        <f t="shared" si="12"/>
        <v>0</v>
      </c>
      <c r="AT35" s="10">
        <f t="shared" si="13"/>
        <v>0</v>
      </c>
    </row>
    <row r="36" spans="1:46" ht="63" customHeight="1">
      <c r="A36" s="8"/>
      <c r="B36" s="8"/>
      <c r="C36" s="8"/>
      <c r="D36" s="8"/>
      <c r="E36" s="8"/>
      <c r="F36" s="8"/>
      <c r="G36" s="8"/>
      <c r="H36" s="8"/>
      <c r="I36" s="8"/>
      <c r="J36" s="1418"/>
      <c r="K36" s="54"/>
      <c r="L36" s="36"/>
      <c r="M36" s="36">
        <v>9</v>
      </c>
      <c r="N36" s="271" t="s">
        <v>1107</v>
      </c>
      <c r="O36" s="1402">
        <f>DATA!T208</f>
        <v>0</v>
      </c>
      <c r="P36" s="187">
        <f>DATA!U208</f>
        <v>200000000</v>
      </c>
      <c r="Q36" s="187">
        <f>DATA!V208</f>
        <v>0</v>
      </c>
      <c r="R36" s="187">
        <f>DATA!W208</f>
        <v>0</v>
      </c>
      <c r="S36" s="1447">
        <f t="shared" si="9"/>
        <v>200000000</v>
      </c>
      <c r="T36" s="1457"/>
      <c r="U36" s="1440"/>
      <c r="V36" s="1458">
        <v>0</v>
      </c>
      <c r="W36" s="77">
        <f>DATA!AA208</f>
        <v>200000000</v>
      </c>
      <c r="X36" s="1450" t="str">
        <f>DATA!Y208</f>
        <v>Belum Ada Indikasi</v>
      </c>
      <c r="Y36" s="273">
        <v>200000000</v>
      </c>
      <c r="Z36" s="109" t="s">
        <v>62</v>
      </c>
      <c r="AA36" s="1484" t="s">
        <v>1266</v>
      </c>
      <c r="AB36" s="828"/>
      <c r="AC36" s="1485"/>
      <c r="AD36" s="1486"/>
      <c r="AE36" s="1486"/>
      <c r="AF36" s="1486"/>
      <c r="AG36" s="3253" t="s">
        <v>1267</v>
      </c>
      <c r="AH36" s="1509">
        <f>DATA!AT208</f>
        <v>200000000</v>
      </c>
      <c r="AI36" s="109" t="str">
        <f>DATA!AU208</f>
        <v>Belum Ada Indikasi</v>
      </c>
      <c r="AJ36" s="216">
        <f>DATA!AW208</f>
        <v>0</v>
      </c>
      <c r="AK36" s="245">
        <f>DATA!AM208</f>
        <v>0</v>
      </c>
      <c r="AL36" s="1510" t="str">
        <f>DATA!AN208</f>
        <v>belum ada keterangan</v>
      </c>
      <c r="AM36" s="1511" t="str">
        <f>DATA!AO208</f>
        <v>belum ada keterangan</v>
      </c>
      <c r="AN36" s="1519">
        <f>DATA!AQ208</f>
        <v>0</v>
      </c>
      <c r="AO36" s="1533" t="str">
        <f>DATA!AR208</f>
        <v>belum ada dokumen R/C</v>
      </c>
      <c r="AQ36" s="10">
        <f t="shared" si="14"/>
        <v>0</v>
      </c>
      <c r="AR36" s="10">
        <f t="shared" si="11"/>
        <v>0</v>
      </c>
      <c r="AS36" s="10">
        <f t="shared" si="12"/>
        <v>0</v>
      </c>
      <c r="AT36" s="10">
        <f t="shared" si="13"/>
        <v>0</v>
      </c>
    </row>
    <row r="37" spans="1:46" ht="24" customHeight="1">
      <c r="J37" s="1418"/>
      <c r="K37" s="1405">
        <v>22</v>
      </c>
      <c r="L37" s="1406" t="str">
        <f>DATA!F209</f>
        <v>Lembaga Ilmu Pengetahuan Indonesia (LIPI)</v>
      </c>
      <c r="M37" s="1405"/>
      <c r="N37" s="1407"/>
      <c r="O37" s="213">
        <f t="shared" ref="O37:R38" si="22">O38</f>
        <v>0</v>
      </c>
      <c r="P37" s="194">
        <f t="shared" si="22"/>
        <v>107950000</v>
      </c>
      <c r="Q37" s="194">
        <f t="shared" si="22"/>
        <v>2950000</v>
      </c>
      <c r="R37" s="194">
        <f t="shared" si="22"/>
        <v>0</v>
      </c>
      <c r="S37" s="242">
        <f t="shared" si="9"/>
        <v>110900000</v>
      </c>
      <c r="T37" s="1434"/>
      <c r="U37" s="1435"/>
      <c r="V37" s="80">
        <f>V38</f>
        <v>0</v>
      </c>
      <c r="W37" s="80">
        <f>W38</f>
        <v>107950000</v>
      </c>
      <c r="X37" s="241"/>
      <c r="Y37" s="80">
        <f>Y38</f>
        <v>107950000</v>
      </c>
      <c r="Z37" s="80"/>
      <c r="AA37" s="1465"/>
      <c r="AB37" s="1466"/>
      <c r="AC37" s="1467"/>
      <c r="AD37" s="1468"/>
      <c r="AE37" s="1468"/>
      <c r="AF37" s="1468"/>
      <c r="AG37" s="1500"/>
      <c r="AH37" s="195">
        <f>AH38</f>
        <v>107950000</v>
      </c>
      <c r="AI37" s="80" t="s">
        <v>21</v>
      </c>
      <c r="AJ37" s="213"/>
      <c r="AK37" s="1501"/>
      <c r="AL37" s="1502"/>
      <c r="AM37" s="168"/>
      <c r="AN37" s="1503"/>
      <c r="AO37" s="1529"/>
      <c r="AQ37" s="10">
        <f t="shared" si="14"/>
        <v>0</v>
      </c>
      <c r="AR37" s="10">
        <f t="shared" si="11"/>
        <v>0</v>
      </c>
      <c r="AS37" s="10">
        <f t="shared" si="12"/>
        <v>0</v>
      </c>
      <c r="AT37" s="10">
        <f t="shared" si="13"/>
        <v>0</v>
      </c>
    </row>
    <row r="38" spans="1:46" ht="23.25" customHeight="1">
      <c r="A38" s="1397"/>
      <c r="B38" s="20"/>
      <c r="C38" s="20"/>
      <c r="D38" s="20"/>
      <c r="E38" s="20"/>
      <c r="F38" s="20"/>
      <c r="G38" s="20"/>
      <c r="H38" s="20"/>
      <c r="I38" s="186"/>
      <c r="J38" s="1418"/>
      <c r="K38" s="29"/>
      <c r="L38" s="30" t="s">
        <v>23</v>
      </c>
      <c r="M38" s="3448" t="str">
        <f>DATA!J209</f>
        <v xml:space="preserve">Program Pengembangan Penelitian Kelautan </v>
      </c>
      <c r="N38" s="3427"/>
      <c r="O38" s="214">
        <f t="shared" si="22"/>
        <v>0</v>
      </c>
      <c r="P38" s="197">
        <f t="shared" si="22"/>
        <v>107950000</v>
      </c>
      <c r="Q38" s="1436">
        <f t="shared" si="22"/>
        <v>2950000</v>
      </c>
      <c r="R38" s="1436">
        <f t="shared" si="22"/>
        <v>0</v>
      </c>
      <c r="S38" s="244">
        <f t="shared" si="9"/>
        <v>110900000</v>
      </c>
      <c r="T38" s="1437"/>
      <c r="U38" s="198"/>
      <c r="V38" s="81">
        <f>V39</f>
        <v>0</v>
      </c>
      <c r="W38" s="81">
        <f>W39</f>
        <v>107950000</v>
      </c>
      <c r="X38" s="243"/>
      <c r="Y38" s="81">
        <f>Y39</f>
        <v>107950000</v>
      </c>
      <c r="Z38" s="81"/>
      <c r="AA38" s="1469"/>
      <c r="AB38" s="1470"/>
      <c r="AC38" s="1471"/>
      <c r="AD38" s="1472"/>
      <c r="AE38" s="1472"/>
      <c r="AF38" s="1472"/>
      <c r="AG38" s="1504"/>
      <c r="AH38" s="198">
        <f>AH39</f>
        <v>107950000</v>
      </c>
      <c r="AI38" s="81" t="s">
        <v>21</v>
      </c>
      <c r="AJ38" s="214"/>
      <c r="AK38" s="1505"/>
      <c r="AL38" s="1506"/>
      <c r="AM38" s="169"/>
      <c r="AN38" s="1507"/>
      <c r="AO38" s="1530"/>
      <c r="AP38" s="1533">
        <f>DATA!AT211</f>
        <v>0</v>
      </c>
      <c r="AQ38" s="10">
        <f t="shared" si="14"/>
        <v>0</v>
      </c>
      <c r="AR38" s="10">
        <f t="shared" si="11"/>
        <v>0</v>
      </c>
      <c r="AS38" s="10">
        <f t="shared" si="12"/>
        <v>0</v>
      </c>
      <c r="AT38" s="10">
        <f t="shared" si="13"/>
        <v>0</v>
      </c>
    </row>
    <row r="39" spans="1:46" ht="28.5" customHeight="1">
      <c r="A39" s="1397"/>
      <c r="B39" s="20"/>
      <c r="C39" s="20"/>
      <c r="D39" s="20"/>
      <c r="E39" s="20"/>
      <c r="F39" s="20"/>
      <c r="G39" s="20"/>
      <c r="H39" s="20"/>
      <c r="I39" s="186"/>
      <c r="J39" s="1418"/>
      <c r="K39" s="54"/>
      <c r="L39" s="36"/>
      <c r="M39" s="36">
        <v>10</v>
      </c>
      <c r="N39" s="199" t="s">
        <v>1078</v>
      </c>
      <c r="O39" s="1413">
        <v>0</v>
      </c>
      <c r="P39" s="1424">
        <v>107950000</v>
      </c>
      <c r="Q39" s="1459">
        <v>2950000</v>
      </c>
      <c r="R39" s="1459">
        <v>0</v>
      </c>
      <c r="S39" s="1447">
        <f t="shared" si="9"/>
        <v>110900000</v>
      </c>
      <c r="T39" s="1457"/>
      <c r="U39" s="1440"/>
      <c r="V39" s="1458">
        <v>0</v>
      </c>
      <c r="W39" s="77">
        <f>DATA!AA209</f>
        <v>107950000</v>
      </c>
      <c r="X39" s="1450" t="str">
        <f>DATA!Y209</f>
        <v>Belum Ada Indikasi</v>
      </c>
      <c r="Y39" s="109">
        <v>107950000</v>
      </c>
      <c r="Z39" s="109" t="s">
        <v>633</v>
      </c>
      <c r="AA39" s="1484" t="s">
        <v>879</v>
      </c>
      <c r="AB39" s="828"/>
      <c r="AC39" s="1485"/>
      <c r="AD39" s="1486"/>
      <c r="AE39" s="1486"/>
      <c r="AF39" s="1486"/>
      <c r="AG39" s="1514"/>
      <c r="AH39" s="1509">
        <f>DATA!AT209</f>
        <v>107950000</v>
      </c>
      <c r="AI39" s="109" t="str">
        <f>DATA!AU209</f>
        <v>Belum Ada Indikasi</v>
      </c>
      <c r="AJ39" s="216">
        <f>DATA!AW209</f>
        <v>0</v>
      </c>
      <c r="AK39" s="245">
        <f>DATA!AM209</f>
        <v>0</v>
      </c>
      <c r="AL39" s="1510" t="str">
        <f>DATA!AN209</f>
        <v>belum ada keterangan</v>
      </c>
      <c r="AM39" s="1511" t="str">
        <f>DATA!AO209</f>
        <v>belum ada keterangan</v>
      </c>
      <c r="AN39" s="1519">
        <f>DATA!AQ209</f>
        <v>0</v>
      </c>
      <c r="AO39" s="1533" t="str">
        <f>DATA!AR209</f>
        <v>belum ada dokumen R/C</v>
      </c>
      <c r="AP39" s="3"/>
      <c r="AQ39" s="10">
        <f t="shared" si="14"/>
        <v>0</v>
      </c>
      <c r="AR39" s="10">
        <f t="shared" si="11"/>
        <v>0</v>
      </c>
      <c r="AS39" s="10">
        <f t="shared" si="12"/>
        <v>107950000</v>
      </c>
      <c r="AT39" s="10">
        <f t="shared" si="13"/>
        <v>0</v>
      </c>
    </row>
    <row r="40" spans="1:46" s="3" customFormat="1" ht="30" customHeight="1">
      <c r="J40" s="3450" t="s">
        <v>477</v>
      </c>
      <c r="K40" s="3451"/>
      <c r="L40" s="3451"/>
      <c r="M40" s="3573"/>
      <c r="N40" s="3573"/>
      <c r="O40" s="282" t="e">
        <f>+O8+O14</f>
        <v>#REF!</v>
      </c>
      <c r="P40" s="278" t="e">
        <f>+P8+P14</f>
        <v>#REF!</v>
      </c>
      <c r="Q40" s="1460" t="e">
        <f>+Q8+Q14</f>
        <v>#REF!</v>
      </c>
      <c r="R40" s="1460" t="e">
        <f>+R8+R14</f>
        <v>#REF!</v>
      </c>
      <c r="S40" s="288" t="e">
        <f t="shared" si="9"/>
        <v>#REF!</v>
      </c>
      <c r="T40" s="1461"/>
      <c r="U40" s="279"/>
      <c r="V40" s="280" t="e">
        <f>+V8+V14</f>
        <v>#REF!</v>
      </c>
      <c r="W40" s="280" t="e">
        <f>+W8+W14</f>
        <v>#REF!</v>
      </c>
      <c r="X40" s="287"/>
      <c r="Y40" s="280">
        <f>+Y8+Y14</f>
        <v>1696658000</v>
      </c>
      <c r="Z40" s="280"/>
      <c r="AA40" s="280"/>
      <c r="AB40" s="1490"/>
      <c r="AC40" s="1490"/>
      <c r="AD40" s="1490"/>
      <c r="AE40" s="1490"/>
      <c r="AF40" s="1490"/>
      <c r="AG40" s="285"/>
      <c r="AH40" s="279" t="e">
        <f>+AH8+AH14</f>
        <v>#REF!</v>
      </c>
      <c r="AI40" s="280" t="s">
        <v>21</v>
      </c>
      <c r="AJ40" s="280" t="s">
        <v>21</v>
      </c>
      <c r="AK40" s="1523"/>
      <c r="AL40" s="1524"/>
      <c r="AM40" s="1525"/>
      <c r="AN40" s="1526"/>
      <c r="AO40" s="1534"/>
      <c r="AP40" s="12"/>
      <c r="AQ40" s="1535">
        <f>SUM(AQ9:AQ39)</f>
        <v>0</v>
      </c>
      <c r="AR40" s="1535">
        <f>SUM(AR9:AR39)</f>
        <v>0</v>
      </c>
      <c r="AS40" s="1535">
        <f>SUM(AS9:AS39)</f>
        <v>664950000</v>
      </c>
      <c r="AT40" s="1535">
        <f>SUM(AT9:AT39)</f>
        <v>0</v>
      </c>
    </row>
    <row r="41" spans="1:46" s="12" customFormat="1">
      <c r="A41" s="10"/>
      <c r="B41" s="10"/>
      <c r="C41" s="10"/>
      <c r="D41" s="10"/>
      <c r="E41" s="10"/>
      <c r="F41" s="10"/>
      <c r="G41" s="10"/>
      <c r="H41" s="10"/>
      <c r="I41" s="10"/>
      <c r="J41" s="11"/>
      <c r="K41" s="10"/>
      <c r="L41" s="10"/>
      <c r="M41" s="1425"/>
      <c r="N41" s="1426"/>
      <c r="O41" s="13"/>
      <c r="P41" s="13"/>
      <c r="Q41" s="1395"/>
      <c r="R41" s="1395"/>
      <c r="S41" s="13"/>
      <c r="T41" s="13"/>
      <c r="U41" s="14"/>
      <c r="V41" s="13"/>
      <c r="W41" s="13"/>
      <c r="X41" s="13"/>
      <c r="Y41" s="13"/>
      <c r="Z41" s="13"/>
      <c r="AA41" s="13"/>
      <c r="AB41" s="13"/>
      <c r="AC41" s="13"/>
      <c r="AD41" s="13"/>
      <c r="AE41" s="13"/>
      <c r="AF41" s="13"/>
      <c r="AG41" s="13"/>
      <c r="AK41" s="14"/>
      <c r="AL41" s="14"/>
      <c r="AM41" s="14"/>
      <c r="AN41" s="14"/>
      <c r="AO41" s="175"/>
    </row>
    <row r="42" spans="1:46" s="12" customFormat="1">
      <c r="A42" s="10"/>
      <c r="B42" s="10"/>
      <c r="C42" s="10"/>
      <c r="D42" s="10"/>
      <c r="E42" s="10"/>
      <c r="F42" s="10"/>
      <c r="G42" s="10"/>
      <c r="H42" s="10"/>
      <c r="I42" s="10"/>
      <c r="J42" s="11"/>
      <c r="K42" s="10" t="s">
        <v>1111</v>
      </c>
      <c r="L42" s="10"/>
      <c r="M42" s="10"/>
      <c r="O42" s="13"/>
      <c r="P42" s="13"/>
      <c r="Q42" s="1395"/>
      <c r="R42" s="1395"/>
      <c r="S42" s="13"/>
      <c r="T42" s="13"/>
      <c r="U42" s="14"/>
      <c r="V42" s="13" t="e">
        <f>V40+W40</f>
        <v>#REF!</v>
      </c>
      <c r="W42" s="13"/>
      <c r="X42" s="13"/>
      <c r="Y42" s="13"/>
      <c r="Z42" s="13"/>
      <c r="AA42" s="13"/>
      <c r="AB42" s="13"/>
      <c r="AC42" s="13"/>
      <c r="AD42" s="13"/>
      <c r="AE42" s="13"/>
      <c r="AF42" s="13"/>
      <c r="AG42" s="13"/>
      <c r="AH42" s="289"/>
      <c r="AK42" s="14"/>
      <c r="AL42" s="14"/>
      <c r="AM42" s="14"/>
      <c r="AN42" s="14"/>
      <c r="AO42" s="175"/>
      <c r="AP42" s="10"/>
    </row>
    <row r="43" spans="1:46">
      <c r="V43" s="13" t="e">
        <f>V42-AH40</f>
        <v>#REF!</v>
      </c>
      <c r="Y43" s="13">
        <f>Y40+5809063500</f>
        <v>7505721500</v>
      </c>
      <c r="Z43" s="13" t="e">
        <f>Y40-#REF!</f>
        <v>#REF!</v>
      </c>
    </row>
    <row r="45" spans="1:46">
      <c r="AH45" s="289"/>
    </row>
    <row r="46" spans="1:46">
      <c r="Y46" s="13" t="e">
        <f>Y30+#REF!+#REF!+#REF!+#REF!+#REF!+Y17+#REF!+#REF!+#REF!+#REF!+#REF!+#REF!+#REF!+#REF!+Y11+#REF!+#REF!+#REF!+#REF!+#REF!+#REF!</f>
        <v>#REF!</v>
      </c>
      <c r="AP46" s="12"/>
    </row>
    <row r="47" spans="1:46" s="12" customFormat="1">
      <c r="A47" s="10"/>
      <c r="B47" s="10"/>
      <c r="C47" s="10"/>
      <c r="D47" s="10"/>
      <c r="E47" s="10"/>
      <c r="F47" s="10"/>
      <c r="G47" s="10"/>
      <c r="H47" s="10"/>
      <c r="I47" s="10"/>
      <c r="J47" s="11"/>
      <c r="K47" s="10"/>
      <c r="L47" s="10"/>
      <c r="M47" s="10"/>
      <c r="O47" s="13"/>
      <c r="P47" s="13"/>
      <c r="Q47" s="1395"/>
      <c r="R47" s="1395"/>
      <c r="S47" s="13"/>
      <c r="T47" s="13"/>
      <c r="U47" s="14"/>
      <c r="V47" s="13"/>
      <c r="W47" s="13"/>
      <c r="X47" s="13"/>
      <c r="Y47" s="13"/>
      <c r="Z47" s="13"/>
      <c r="AA47" s="13"/>
      <c r="AB47" s="13"/>
      <c r="AC47" s="13"/>
      <c r="AD47" s="13"/>
      <c r="AE47" s="13"/>
      <c r="AF47" s="13"/>
      <c r="AG47" s="13"/>
      <c r="AI47" s="289"/>
      <c r="AK47" s="14"/>
      <c r="AL47" s="14"/>
      <c r="AM47" s="14"/>
      <c r="AN47" s="14"/>
      <c r="AO47" s="175"/>
    </row>
    <row r="48" spans="1:46" s="12" customFormat="1">
      <c r="A48" s="10"/>
      <c r="B48" s="10"/>
      <c r="C48" s="10"/>
      <c r="D48" s="10"/>
      <c r="E48" s="10"/>
      <c r="F48" s="10"/>
      <c r="G48" s="10"/>
      <c r="H48" s="10"/>
      <c r="I48" s="10"/>
      <c r="J48" s="11"/>
      <c r="K48" s="10"/>
      <c r="L48" s="10"/>
      <c r="M48" s="10"/>
      <c r="O48" s="13"/>
      <c r="P48" s="13"/>
      <c r="Q48" s="1395"/>
      <c r="R48" s="1395"/>
      <c r="S48" s="13"/>
      <c r="T48" s="13"/>
      <c r="U48" s="14"/>
      <c r="V48" s="13"/>
      <c r="W48" s="13"/>
      <c r="X48" s="13"/>
      <c r="Y48" s="13" t="e">
        <f>Y29+#REF!+#REF!+#REF!+#REF!+#REF!+#REF!+#REF!+#REF!+#REF!+#REF!+#REF!+#REF!+#REF!+Y11+#REF!+#REF!+#REF!+#REF!+#REF!+#REF!+#REF!+#REF!+#REF!+#REF!+#REF!+#REF!+71100000</f>
        <v>#REF!</v>
      </c>
      <c r="Z48" s="13"/>
      <c r="AA48" s="13"/>
      <c r="AB48" s="13"/>
      <c r="AC48" s="13"/>
      <c r="AD48" s="13"/>
      <c r="AE48" s="13"/>
      <c r="AF48" s="13"/>
      <c r="AG48" s="13"/>
      <c r="AH48" s="289"/>
      <c r="AK48" s="14"/>
      <c r="AL48" s="14"/>
      <c r="AM48" s="14"/>
      <c r="AN48" s="14"/>
      <c r="AO48" s="175"/>
      <c r="AP48" s="1536"/>
    </row>
    <row r="49" spans="1:42" s="12" customFormat="1">
      <c r="A49" s="10"/>
      <c r="B49" s="10"/>
      <c r="C49" s="10"/>
      <c r="D49" s="10"/>
      <c r="E49" s="10"/>
      <c r="F49" s="10"/>
      <c r="G49" s="10"/>
      <c r="H49" s="10"/>
      <c r="I49" s="10"/>
      <c r="J49" s="11"/>
      <c r="K49" s="10"/>
      <c r="L49" s="10"/>
      <c r="M49" s="10"/>
      <c r="O49" s="13"/>
      <c r="P49" s="13"/>
      <c r="Q49" s="1395"/>
      <c r="R49" s="1395"/>
      <c r="S49" s="13"/>
      <c r="T49" s="13"/>
      <c r="U49" s="14"/>
      <c r="V49" s="13"/>
      <c r="W49" s="13"/>
      <c r="X49" s="13"/>
      <c r="Y49" s="13"/>
      <c r="Z49" s="13"/>
      <c r="AA49" s="13"/>
      <c r="AB49" s="13"/>
      <c r="AC49" s="13"/>
      <c r="AD49" s="13"/>
      <c r="AE49" s="13"/>
      <c r="AF49" s="13"/>
      <c r="AG49" s="13"/>
      <c r="AK49" s="14"/>
      <c r="AL49" s="14"/>
      <c r="AM49" s="14"/>
      <c r="AN49" s="14"/>
      <c r="AO49" s="175"/>
      <c r="AP49" s="10"/>
    </row>
  </sheetData>
  <autoFilter ref="A7:AO40"/>
  <mergeCells count="44">
    <mergeCell ref="AA29:AA30"/>
    <mergeCell ref="AG5:AG6"/>
    <mergeCell ref="AG29:AG30"/>
    <mergeCell ref="J5:N6"/>
    <mergeCell ref="V11:V12"/>
    <mergeCell ref="W11:W12"/>
    <mergeCell ref="X11:X12"/>
    <mergeCell ref="Y5:Y6"/>
    <mergeCell ref="Z5:Z6"/>
    <mergeCell ref="R11:R12"/>
    <mergeCell ref="S5:S6"/>
    <mergeCell ref="S11:S12"/>
    <mergeCell ref="T5:T6"/>
    <mergeCell ref="T11:T12"/>
    <mergeCell ref="O11:O12"/>
    <mergeCell ref="P5:P6"/>
    <mergeCell ref="P11:P12"/>
    <mergeCell ref="Q5:Q6"/>
    <mergeCell ref="Q11:Q12"/>
    <mergeCell ref="M32:N32"/>
    <mergeCell ref="M35:N35"/>
    <mergeCell ref="M10:N10"/>
    <mergeCell ref="M38:N38"/>
    <mergeCell ref="J40:N40"/>
    <mergeCell ref="M11:M12"/>
    <mergeCell ref="M17:M18"/>
    <mergeCell ref="N11:N12"/>
    <mergeCell ref="N17:N18"/>
    <mergeCell ref="N29:N30"/>
    <mergeCell ref="M16:N16"/>
    <mergeCell ref="M19:N19"/>
    <mergeCell ref="M22:N22"/>
    <mergeCell ref="M28:N28"/>
    <mergeCell ref="J1:AO1"/>
    <mergeCell ref="J2:AO2"/>
    <mergeCell ref="U4:AJ4"/>
    <mergeCell ref="AK4:AO4"/>
    <mergeCell ref="U5:X5"/>
    <mergeCell ref="AB5:AF5"/>
    <mergeCell ref="AH5:AJ5"/>
    <mergeCell ref="AK5:AO5"/>
    <mergeCell ref="O5:O6"/>
    <mergeCell ref="R5:R6"/>
    <mergeCell ref="AA5:AA6"/>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Q47"/>
  <sheetViews>
    <sheetView topLeftCell="A7" zoomScale="78" zoomScaleNormal="78" workbookViewId="0">
      <selection activeCell="T25" sqref="T25"/>
    </sheetView>
  </sheetViews>
  <sheetFormatPr defaultColWidth="9" defaultRowHeight="15"/>
  <cols>
    <col min="1" max="1" width="6.85546875" customWidth="1"/>
    <col min="2" max="2" width="47.85546875" customWidth="1"/>
    <col min="3" max="3" width="16.5703125" hidden="1" customWidth="1"/>
    <col min="4" max="4" width="24.7109375" hidden="1" customWidth="1"/>
    <col min="5" max="5" width="19" hidden="1" customWidth="1"/>
    <col min="6" max="6" width="21.7109375" customWidth="1"/>
    <col min="7" max="8" width="9" hidden="1" customWidth="1"/>
    <col min="10" max="10" width="9" hidden="1" customWidth="1"/>
    <col min="11" max="11" width="21.28515625" hidden="1" customWidth="1"/>
    <col min="12" max="12" width="9" hidden="1" customWidth="1"/>
    <col min="13" max="13" width="21.42578125" hidden="1" customWidth="1"/>
    <col min="15" max="15" width="6.28515625" customWidth="1"/>
  </cols>
  <sheetData>
    <row r="1" spans="1:17" ht="20.25">
      <c r="A1" s="3696" t="s">
        <v>1355</v>
      </c>
      <c r="B1" s="3697"/>
      <c r="C1" s="3697"/>
      <c r="D1" s="3697"/>
      <c r="E1" s="3697"/>
      <c r="F1" s="3697"/>
      <c r="G1" s="3697"/>
      <c r="H1" s="3697"/>
    </row>
    <row r="2" spans="1:17" ht="18">
      <c r="A2" s="3698" t="s">
        <v>1356</v>
      </c>
      <c r="B2" s="3697"/>
      <c r="C2" s="3697"/>
      <c r="D2" s="3697"/>
      <c r="E2" s="3697"/>
      <c r="F2" s="3697"/>
      <c r="G2" s="3697"/>
      <c r="H2" s="3697"/>
    </row>
    <row r="3" spans="1:17" ht="18">
      <c r="A3" s="3698" t="s">
        <v>1357</v>
      </c>
      <c r="B3" s="3697"/>
      <c r="C3" s="3697"/>
      <c r="D3" s="3697"/>
      <c r="E3" s="3697"/>
      <c r="F3" s="3697"/>
      <c r="G3" s="3697"/>
      <c r="H3" s="3697"/>
    </row>
    <row r="4" spans="1:17" ht="18">
      <c r="A4" s="504"/>
      <c r="B4" s="505"/>
      <c r="C4" s="505"/>
      <c r="D4" s="506"/>
      <c r="E4" s="506"/>
      <c r="F4" s="506"/>
      <c r="G4" s="507"/>
      <c r="H4" s="507"/>
    </row>
    <row r="5" spans="1:17">
      <c r="A5" s="3704" t="s">
        <v>1324</v>
      </c>
      <c r="B5" s="3706" t="s">
        <v>1358</v>
      </c>
      <c r="C5" s="3706" t="s">
        <v>1359</v>
      </c>
      <c r="D5" s="3699" t="s">
        <v>1360</v>
      </c>
      <c r="E5" s="3700"/>
      <c r="F5" s="3701"/>
      <c r="G5" s="3702" t="s">
        <v>1360</v>
      </c>
      <c r="H5" s="3703"/>
    </row>
    <row r="6" spans="1:17" ht="72">
      <c r="A6" s="3705"/>
      <c r="B6" s="3707"/>
      <c r="C6" s="3707"/>
      <c r="D6" s="508" t="s">
        <v>1361</v>
      </c>
      <c r="E6" s="508" t="s">
        <v>487</v>
      </c>
      <c r="F6" s="509" t="s">
        <v>477</v>
      </c>
      <c r="G6" s="510" t="s">
        <v>1361</v>
      </c>
      <c r="H6" s="511" t="s">
        <v>487</v>
      </c>
    </row>
    <row r="7" spans="1:17" ht="18">
      <c r="A7" s="512" t="s">
        <v>185</v>
      </c>
      <c r="B7" s="513" t="s">
        <v>17</v>
      </c>
      <c r="C7" s="514"/>
      <c r="D7" s="515">
        <f>SUM(D8:D28)</f>
        <v>34686.721999999994</v>
      </c>
      <c r="E7" s="515">
        <f>SUM(E8:E28)</f>
        <v>5192.8101999999999</v>
      </c>
      <c r="F7" s="516">
        <f>E7+D7</f>
        <v>39879.532199999994</v>
      </c>
      <c r="G7" s="517">
        <f t="shared" ref="G7:H7" si="0">SUM(G8:G28)</f>
        <v>26904122000</v>
      </c>
      <c r="H7" s="517">
        <f t="shared" si="0"/>
        <v>1062874000</v>
      </c>
    </row>
    <row r="8" spans="1:17" ht="18">
      <c r="A8" s="518">
        <v>1</v>
      </c>
      <c r="B8" s="519" t="s">
        <v>258</v>
      </c>
      <c r="C8" s="520">
        <v>7</v>
      </c>
      <c r="D8" s="521">
        <f>K8/1000000</f>
        <v>7326.2398999999996</v>
      </c>
      <c r="E8" s="521">
        <f>M8/1000000</f>
        <v>876.53769999999997</v>
      </c>
      <c r="F8" s="516">
        <f t="shared" ref="F8:F47" si="1">E8+D8</f>
        <v>8202.7775999999994</v>
      </c>
      <c r="G8" s="522">
        <v>7326239900</v>
      </c>
      <c r="H8" s="1374" t="s">
        <v>1362</v>
      </c>
      <c r="I8" s="1378"/>
      <c r="K8" s="535">
        <f>'[9]ALL-USD40.1M'!Y111</f>
        <v>7326239900</v>
      </c>
      <c r="M8" s="535">
        <f>'[9]ALL-USD40.1M'!Q111</f>
        <v>876537700</v>
      </c>
    </row>
    <row r="9" spans="1:17" ht="33">
      <c r="A9" s="523">
        <v>2</v>
      </c>
      <c r="B9" s="519" t="s">
        <v>314</v>
      </c>
      <c r="C9" s="520">
        <v>9</v>
      </c>
      <c r="D9" s="521">
        <f t="shared" ref="D9:D46" si="2">K9/1000000</f>
        <v>4332.6000000000004</v>
      </c>
      <c r="E9" s="521">
        <f t="shared" ref="E9:E46" si="3">M9/1000000</f>
        <v>949.51</v>
      </c>
      <c r="F9" s="516">
        <f t="shared" si="1"/>
        <v>5282.1100000000006</v>
      </c>
      <c r="G9" s="522" t="s">
        <v>1362</v>
      </c>
      <c r="H9" s="1374" t="s">
        <v>1362</v>
      </c>
      <c r="I9" s="1379"/>
      <c r="K9" s="535">
        <f>'[9]ALL-USD40.1M'!Y134+'[9]ALL-USD40.1M'!Y145</f>
        <v>4332600000</v>
      </c>
      <c r="M9" s="535">
        <f>'[9]ALL-USD40.1M'!Q134+'[9]ALL-USD40.1M'!Q145</f>
        <v>949510000</v>
      </c>
    </row>
    <row r="10" spans="1:17" ht="33">
      <c r="A10" s="523">
        <v>3</v>
      </c>
      <c r="B10" s="519" t="s">
        <v>114</v>
      </c>
      <c r="C10" s="520">
        <v>6</v>
      </c>
      <c r="D10" s="521">
        <f t="shared" si="2"/>
        <v>3557.8</v>
      </c>
      <c r="E10" s="521">
        <f t="shared" si="3"/>
        <v>179.15</v>
      </c>
      <c r="F10" s="516">
        <f t="shared" si="1"/>
        <v>3736.9500000000003</v>
      </c>
      <c r="G10" s="522">
        <v>3557800000</v>
      </c>
      <c r="H10" s="1374">
        <v>175000000</v>
      </c>
      <c r="I10" s="1380"/>
      <c r="K10" s="535">
        <f>'[9]ALL-USD40.1M'!Y42</f>
        <v>3557800000</v>
      </c>
      <c r="M10" s="535">
        <f>'[9]ALL-USD40.1M'!Q42</f>
        <v>179150000</v>
      </c>
      <c r="N10" s="1381">
        <v>1</v>
      </c>
    </row>
    <row r="11" spans="1:17" ht="18">
      <c r="A11" s="523">
        <v>4</v>
      </c>
      <c r="B11" s="519" t="s">
        <v>140</v>
      </c>
      <c r="C11" s="520">
        <v>4</v>
      </c>
      <c r="D11" s="521">
        <f t="shared" si="2"/>
        <v>2851.98</v>
      </c>
      <c r="E11" s="521">
        <f t="shared" si="3"/>
        <v>128.10499999999999</v>
      </c>
      <c r="F11" s="516">
        <f t="shared" si="1"/>
        <v>2980.085</v>
      </c>
      <c r="G11" s="522">
        <v>2851980000</v>
      </c>
      <c r="H11" s="1374" t="s">
        <v>1362</v>
      </c>
      <c r="I11" s="1380"/>
      <c r="K11" s="535">
        <f>'[9]ALL-USD40.1M'!Y56</f>
        <v>2851980000</v>
      </c>
      <c r="M11" s="535">
        <f>'[9]ALL-USD40.1M'!Q56</f>
        <v>128105000</v>
      </c>
      <c r="N11" s="1381">
        <v>4</v>
      </c>
    </row>
    <row r="12" spans="1:17" ht="33">
      <c r="A12" s="523">
        <v>5</v>
      </c>
      <c r="B12" s="519" t="s">
        <v>162</v>
      </c>
      <c r="C12" s="520">
        <v>8</v>
      </c>
      <c r="D12" s="521">
        <f t="shared" si="2"/>
        <v>2519.431</v>
      </c>
      <c r="E12" s="521">
        <f t="shared" si="3"/>
        <v>345.14949999999999</v>
      </c>
      <c r="F12" s="516">
        <f t="shared" si="1"/>
        <v>2864.5805</v>
      </c>
      <c r="G12" s="522">
        <v>2519431000</v>
      </c>
      <c r="H12" s="1374" t="s">
        <v>1362</v>
      </c>
      <c r="I12" s="1382"/>
      <c r="K12" s="535">
        <f>'[9]ALL-USD40.1M'!Y64</f>
        <v>2519431000</v>
      </c>
      <c r="M12" s="535">
        <f>'[9]ALL-USD40.1M'!Q64</f>
        <v>345149500</v>
      </c>
      <c r="N12" s="1381"/>
    </row>
    <row r="13" spans="1:17" ht="18">
      <c r="A13" s="523">
        <v>6</v>
      </c>
      <c r="B13" s="519" t="s">
        <v>195</v>
      </c>
      <c r="C13" s="520">
        <v>11</v>
      </c>
      <c r="D13" s="521">
        <f t="shared" si="2"/>
        <v>2131.8200000000002</v>
      </c>
      <c r="E13" s="521">
        <f t="shared" si="3"/>
        <v>963.2</v>
      </c>
      <c r="F13" s="516">
        <f t="shared" si="1"/>
        <v>3095.0200000000004</v>
      </c>
      <c r="G13" s="522">
        <v>2131820000</v>
      </c>
      <c r="H13" s="1374" t="s">
        <v>1362</v>
      </c>
      <c r="I13" s="1382"/>
      <c r="K13" s="535">
        <f>'[9]ALL-USD40.1M'!Y79</f>
        <v>2131820000</v>
      </c>
      <c r="M13" s="535">
        <f>'[9]ALL-USD40.1M'!Q79</f>
        <v>963200000</v>
      </c>
      <c r="N13" s="1381"/>
      <c r="O13" s="1380"/>
      <c r="P13" s="1383" t="s">
        <v>1363</v>
      </c>
      <c r="Q13" s="965"/>
    </row>
    <row r="14" spans="1:17" ht="39" customHeight="1">
      <c r="A14" s="523">
        <v>7</v>
      </c>
      <c r="B14" s="519" t="s">
        <v>896</v>
      </c>
      <c r="C14" s="520">
        <v>4</v>
      </c>
      <c r="D14" s="521">
        <f t="shared" si="2"/>
        <v>1987.3731</v>
      </c>
      <c r="E14" s="521">
        <f t="shared" si="3"/>
        <v>602.29999999999995</v>
      </c>
      <c r="F14" s="516">
        <f t="shared" si="1"/>
        <v>2589.6731</v>
      </c>
      <c r="G14" s="522">
        <v>1987373100</v>
      </c>
      <c r="H14" s="1374">
        <v>602300000</v>
      </c>
      <c r="I14" s="1384"/>
      <c r="K14" s="535">
        <f>'[9]ALL-USD40.1M'!Y120</f>
        <v>1987373100</v>
      </c>
      <c r="M14" s="535">
        <f>'[9]ALL-USD40.1M'!Q120</f>
        <v>602300000</v>
      </c>
      <c r="N14" s="1381"/>
      <c r="O14" s="1378"/>
      <c r="P14" s="1383" t="s">
        <v>1364</v>
      </c>
      <c r="Q14" s="965"/>
    </row>
    <row r="15" spans="1:17" ht="39" customHeight="1">
      <c r="A15" s="523">
        <v>8</v>
      </c>
      <c r="B15" s="519" t="s">
        <v>52</v>
      </c>
      <c r="C15" s="520">
        <v>7</v>
      </c>
      <c r="D15" s="521">
        <f t="shared" si="2"/>
        <v>1705</v>
      </c>
      <c r="E15" s="521">
        <f t="shared" si="3"/>
        <v>350</v>
      </c>
      <c r="F15" s="516">
        <f t="shared" si="1"/>
        <v>2055</v>
      </c>
      <c r="G15" s="522">
        <v>1705000000</v>
      </c>
      <c r="H15" s="1374" t="s">
        <v>1362</v>
      </c>
      <c r="I15" s="1385"/>
      <c r="K15" s="535">
        <f>'[9]ALL-USD40.1M'!Y20</f>
        <v>1705000000</v>
      </c>
      <c r="M15" s="535">
        <f>'[9]ALL-USD40.1M'!Q20</f>
        <v>350000000</v>
      </c>
      <c r="N15" s="1381"/>
      <c r="O15" s="1382"/>
      <c r="P15" s="1383" t="s">
        <v>1365</v>
      </c>
      <c r="Q15" s="965"/>
    </row>
    <row r="16" spans="1:17" ht="33">
      <c r="A16" s="523">
        <v>9</v>
      </c>
      <c r="B16" s="519" t="s">
        <v>41</v>
      </c>
      <c r="C16" s="520">
        <v>5</v>
      </c>
      <c r="D16" s="521">
        <f t="shared" si="2"/>
        <v>1500</v>
      </c>
      <c r="E16" s="521">
        <f t="shared" si="3"/>
        <v>126.5</v>
      </c>
      <c r="F16" s="516">
        <f t="shared" si="1"/>
        <v>1626.5</v>
      </c>
      <c r="G16" s="522" t="s">
        <v>1362</v>
      </c>
      <c r="H16" s="1374" t="s">
        <v>1362</v>
      </c>
      <c r="I16" s="1385"/>
      <c r="K16" s="535">
        <f>'[9]ALL-USD40.1M'!Y14</f>
        <v>1500000000</v>
      </c>
      <c r="M16" s="535">
        <f>'[9]ALL-USD40.1M'!Q14</f>
        <v>126500000</v>
      </c>
      <c r="N16" s="1381"/>
      <c r="O16" s="1385"/>
      <c r="P16" s="1383" t="s">
        <v>1366</v>
      </c>
      <c r="Q16" s="965"/>
    </row>
    <row r="17" spans="1:17" ht="18">
      <c r="A17" s="523">
        <v>10</v>
      </c>
      <c r="B17" s="519" t="s">
        <v>24</v>
      </c>
      <c r="C17" s="520">
        <v>1</v>
      </c>
      <c r="D17" s="521">
        <f t="shared" si="2"/>
        <v>1250</v>
      </c>
      <c r="E17" s="521">
        <f t="shared" si="3"/>
        <v>101.25</v>
      </c>
      <c r="F17" s="516">
        <f t="shared" si="1"/>
        <v>1351.25</v>
      </c>
      <c r="G17" s="522" t="s">
        <v>1362</v>
      </c>
      <c r="H17" s="1374" t="s">
        <v>1362</v>
      </c>
      <c r="I17" s="1385"/>
      <c r="K17" s="535">
        <f>'[9]ALL-USD40.1M'!Y10</f>
        <v>1250000000</v>
      </c>
      <c r="M17" s="535">
        <f>'[9]ALL-USD40.1M'!Q10</f>
        <v>101250000</v>
      </c>
      <c r="N17" s="1381"/>
      <c r="O17" s="1379"/>
      <c r="P17" s="1383" t="s">
        <v>1367</v>
      </c>
      <c r="Q17" s="965"/>
    </row>
    <row r="18" spans="1:17" ht="34.5" customHeight="1">
      <c r="A18" s="523">
        <v>11</v>
      </c>
      <c r="B18" s="519" t="s">
        <v>220</v>
      </c>
      <c r="C18" s="520">
        <v>6</v>
      </c>
      <c r="D18" s="521">
        <f t="shared" si="2"/>
        <v>884.31600000000003</v>
      </c>
      <c r="E18" s="521">
        <f t="shared" si="3"/>
        <v>84.4</v>
      </c>
      <c r="F18" s="516">
        <f t="shared" si="1"/>
        <v>968.71600000000001</v>
      </c>
      <c r="G18" s="522">
        <v>884316000</v>
      </c>
      <c r="H18" s="1374" t="s">
        <v>1362</v>
      </c>
      <c r="I18" s="1382"/>
      <c r="K18" s="535">
        <f>'[9]ALL-USD40.1M'!Y92</f>
        <v>884316000</v>
      </c>
      <c r="M18" s="535">
        <f>'[9]ALL-USD40.1M'!Q92</f>
        <v>84400000</v>
      </c>
      <c r="N18" s="1381"/>
      <c r="O18" s="1384"/>
      <c r="P18" s="1383" t="s">
        <v>1368</v>
      </c>
      <c r="Q18" s="965"/>
    </row>
    <row r="19" spans="1:17" ht="18">
      <c r="A19" s="523">
        <v>12</v>
      </c>
      <c r="B19" s="519" t="s">
        <v>73</v>
      </c>
      <c r="C19" s="520">
        <v>3</v>
      </c>
      <c r="D19" s="521">
        <f t="shared" si="2"/>
        <v>796.3</v>
      </c>
      <c r="E19" s="521">
        <f t="shared" si="3"/>
        <v>43.634</v>
      </c>
      <c r="F19" s="516">
        <f t="shared" si="1"/>
        <v>839.93399999999997</v>
      </c>
      <c r="G19" s="522">
        <v>796300000</v>
      </c>
      <c r="H19" s="1374" t="s">
        <v>1362</v>
      </c>
      <c r="I19" s="1380"/>
      <c r="K19" s="535">
        <f>'[9]ALL-USD40.1M'!Y29</f>
        <v>796300000</v>
      </c>
      <c r="M19" s="535">
        <f>'[9]ALL-USD40.1M'!Q29</f>
        <v>43634000</v>
      </c>
      <c r="N19" s="1381">
        <v>2</v>
      </c>
      <c r="O19" s="1386"/>
      <c r="P19" s="1383" t="s">
        <v>1328</v>
      </c>
      <c r="Q19" s="965"/>
    </row>
    <row r="20" spans="1:17" ht="33">
      <c r="A20" s="523">
        <v>13</v>
      </c>
      <c r="B20" s="519" t="s">
        <v>245</v>
      </c>
      <c r="C20" s="520">
        <v>2</v>
      </c>
      <c r="D20" s="521">
        <f t="shared" si="2"/>
        <v>650</v>
      </c>
      <c r="E20" s="521">
        <f t="shared" si="3"/>
        <v>20</v>
      </c>
      <c r="F20" s="516">
        <f t="shared" si="1"/>
        <v>670</v>
      </c>
      <c r="G20" s="522">
        <v>650000000</v>
      </c>
      <c r="H20" s="1374">
        <v>20000000</v>
      </c>
      <c r="I20" s="1387"/>
      <c r="K20" s="535">
        <f>'[9]ALL-USD40.1M'!Y105+'[9]ALL-USD40.1M'!Y108</f>
        <v>650000000</v>
      </c>
      <c r="M20" s="535">
        <f>'[9]ALL-USD40.1M'!Q105+'[9]ALL-USD40.1M'!Q108</f>
        <v>20000000</v>
      </c>
      <c r="N20" s="1381">
        <v>3</v>
      </c>
      <c r="O20" s="1388"/>
      <c r="P20" s="1383" t="s">
        <v>1369</v>
      </c>
      <c r="Q20" s="965"/>
    </row>
    <row r="21" spans="1:17" ht="18">
      <c r="A21" s="523">
        <v>14</v>
      </c>
      <c r="B21" s="519" t="s">
        <v>186</v>
      </c>
      <c r="C21" s="520">
        <v>3</v>
      </c>
      <c r="D21" s="521">
        <f t="shared" si="2"/>
        <v>621.86199999999997</v>
      </c>
      <c r="E21" s="521">
        <f t="shared" si="3"/>
        <v>201.07400000000001</v>
      </c>
      <c r="F21" s="516">
        <f t="shared" si="1"/>
        <v>822.93599999999992</v>
      </c>
      <c r="G21" s="522">
        <v>621862000</v>
      </c>
      <c r="H21" s="1374">
        <v>201074000</v>
      </c>
      <c r="I21" s="1382"/>
      <c r="K21" s="535">
        <f>'[9]ALL-USD40.1M'!Y75</f>
        <v>621862000</v>
      </c>
      <c r="M21" s="535">
        <f>'[9]ALL-USD40.1M'!Q75</f>
        <v>201074000</v>
      </c>
      <c r="N21" s="1381"/>
      <c r="O21" s="1389"/>
      <c r="P21" s="1383" t="s">
        <v>1370</v>
      </c>
      <c r="Q21" s="965"/>
    </row>
    <row r="22" spans="1:17" ht="33">
      <c r="A22" s="523">
        <v>15</v>
      </c>
      <c r="B22" s="519" t="s">
        <v>1371</v>
      </c>
      <c r="C22" s="520">
        <v>2</v>
      </c>
      <c r="D22" s="521">
        <f t="shared" si="2"/>
        <v>600</v>
      </c>
      <c r="E22" s="521">
        <f t="shared" si="3"/>
        <v>0</v>
      </c>
      <c r="F22" s="516">
        <f t="shared" si="1"/>
        <v>600</v>
      </c>
      <c r="G22" s="522">
        <v>600000000</v>
      </c>
      <c r="H22" s="1374" t="s">
        <v>1362</v>
      </c>
      <c r="I22" s="1386"/>
      <c r="K22" s="535">
        <f>'[9]ALL-USD40.1M'!Y151</f>
        <v>600000000</v>
      </c>
      <c r="M22" s="535">
        <f>'[9]ALL-USD40.1M'!Q151</f>
        <v>0</v>
      </c>
      <c r="N22" s="1381"/>
      <c r="O22" s="1390"/>
      <c r="P22" s="1383" t="s">
        <v>1372</v>
      </c>
      <c r="Q22" s="965"/>
    </row>
    <row r="23" spans="1:17" ht="33">
      <c r="A23" s="523">
        <v>16</v>
      </c>
      <c r="B23" s="519" t="s">
        <v>288</v>
      </c>
      <c r="C23" s="520">
        <v>3</v>
      </c>
      <c r="D23" s="521">
        <f t="shared" si="2"/>
        <v>576</v>
      </c>
      <c r="E23" s="521">
        <f t="shared" si="3"/>
        <v>64.5</v>
      </c>
      <c r="F23" s="516">
        <f t="shared" si="1"/>
        <v>640.5</v>
      </c>
      <c r="G23" s="522">
        <v>576000000</v>
      </c>
      <c r="H23" s="1374">
        <v>64500000</v>
      </c>
      <c r="I23" s="1391"/>
      <c r="K23" s="535">
        <f>'[9]ALL-USD40.1M'!Y127+'[9]ALL-USD40.1M'!Y131</f>
        <v>576000000</v>
      </c>
      <c r="M23" s="535">
        <f>'[9]ALL-USD40.1M'!Q127+'[9]ALL-USD40.1M'!Q131</f>
        <v>64500000</v>
      </c>
      <c r="N23" s="1381"/>
      <c r="O23" s="1387"/>
      <c r="P23" s="1383" t="s">
        <v>1373</v>
      </c>
      <c r="Q23" s="965"/>
    </row>
    <row r="24" spans="1:17" ht="33">
      <c r="A24" s="523">
        <v>17</v>
      </c>
      <c r="B24" s="519" t="s">
        <v>239</v>
      </c>
      <c r="C24" s="520">
        <v>2</v>
      </c>
      <c r="D24" s="521">
        <f t="shared" si="2"/>
        <v>400</v>
      </c>
      <c r="E24" s="521">
        <f t="shared" si="3"/>
        <v>80</v>
      </c>
      <c r="F24" s="516">
        <f t="shared" si="1"/>
        <v>480</v>
      </c>
      <c r="G24" s="522">
        <v>400000000</v>
      </c>
      <c r="H24" s="1374" t="s">
        <v>1362</v>
      </c>
      <c r="I24" s="1382"/>
      <c r="K24" s="535">
        <f>'[9]ALL-USD40.1M'!Y100</f>
        <v>400000000</v>
      </c>
      <c r="M24" s="535">
        <f>'[9]ALL-USD40.1M'!Q100</f>
        <v>80000000</v>
      </c>
      <c r="N24" s="1381"/>
      <c r="O24" s="1391"/>
      <c r="P24" s="1383" t="s">
        <v>1374</v>
      </c>
      <c r="Q24" s="965"/>
    </row>
    <row r="25" spans="1:17" ht="33">
      <c r="A25" s="523">
        <v>18</v>
      </c>
      <c r="B25" s="519" t="s">
        <v>1375</v>
      </c>
      <c r="C25" s="520">
        <v>1</v>
      </c>
      <c r="D25" s="521">
        <f t="shared" si="2"/>
        <v>296</v>
      </c>
      <c r="E25" s="521">
        <f t="shared" si="3"/>
        <v>40</v>
      </c>
      <c r="F25" s="516">
        <f t="shared" si="1"/>
        <v>336</v>
      </c>
      <c r="G25" s="522">
        <v>296000000</v>
      </c>
      <c r="H25" s="1374" t="s">
        <v>1362</v>
      </c>
      <c r="I25" s="1392"/>
      <c r="K25" s="535">
        <f>'[9]ALL-USD40.1M'!Y103</f>
        <v>296000000</v>
      </c>
      <c r="M25" s="535">
        <f>'[9]ALL-USD40.1M'!Q103</f>
        <v>40000000</v>
      </c>
      <c r="N25" s="1381"/>
      <c r="O25" s="1392"/>
      <c r="P25" s="1383" t="s">
        <v>1376</v>
      </c>
      <c r="Q25" s="965"/>
    </row>
    <row r="26" spans="1:17" ht="33">
      <c r="A26" s="523">
        <v>19</v>
      </c>
      <c r="B26" s="519" t="s">
        <v>132</v>
      </c>
      <c r="C26" s="520">
        <v>2</v>
      </c>
      <c r="D26" s="521">
        <f t="shared" si="2"/>
        <v>250</v>
      </c>
      <c r="E26" s="521">
        <f t="shared" si="3"/>
        <v>12.5</v>
      </c>
      <c r="F26" s="516">
        <f t="shared" si="1"/>
        <v>262.5</v>
      </c>
      <c r="G26" s="522" t="s">
        <v>1362</v>
      </c>
      <c r="H26" s="1374" t="s">
        <v>1362</v>
      </c>
      <c r="I26" s="1380"/>
      <c r="K26" s="535">
        <f>'[9]ALL-USD40.1M'!Y53</f>
        <v>250000000</v>
      </c>
      <c r="M26" s="535">
        <f>'[9]ALL-USD40.1M'!Q53</f>
        <v>12500000</v>
      </c>
      <c r="N26" s="1381">
        <v>1</v>
      </c>
      <c r="O26" s="1393"/>
      <c r="P26" s="1383" t="s">
        <v>1377</v>
      </c>
      <c r="Q26" s="965"/>
    </row>
    <row r="27" spans="1:17" ht="33">
      <c r="A27" s="523">
        <v>20</v>
      </c>
      <c r="B27" s="519" t="s">
        <v>948</v>
      </c>
      <c r="C27" s="520">
        <v>1</v>
      </c>
      <c r="D27" s="521">
        <f t="shared" si="2"/>
        <v>225</v>
      </c>
      <c r="E27" s="521">
        <f t="shared" si="3"/>
        <v>0</v>
      </c>
      <c r="F27" s="516">
        <f t="shared" si="1"/>
        <v>225</v>
      </c>
      <c r="G27" s="522" t="s">
        <v>1362</v>
      </c>
      <c r="H27" s="1374" t="s">
        <v>1362</v>
      </c>
      <c r="I27" s="1385"/>
      <c r="K27" s="535">
        <f>'[9]ALL-USD40.1M'!Y148</f>
        <v>225000000</v>
      </c>
      <c r="M27" s="535">
        <f>'[9]ALL-USD40.1M'!Q148</f>
        <v>0</v>
      </c>
      <c r="N27" s="1381"/>
    </row>
    <row r="28" spans="1:17" ht="35.25" customHeight="1">
      <c r="A28" s="523">
        <v>21</v>
      </c>
      <c r="B28" s="519" t="s">
        <v>750</v>
      </c>
      <c r="C28" s="520">
        <v>1</v>
      </c>
      <c r="D28" s="521">
        <f t="shared" si="2"/>
        <v>225</v>
      </c>
      <c r="E28" s="521">
        <f t="shared" si="3"/>
        <v>25</v>
      </c>
      <c r="F28" s="516">
        <f t="shared" si="1"/>
        <v>250</v>
      </c>
      <c r="G28" s="522" t="s">
        <v>1362</v>
      </c>
      <c r="H28" s="1374" t="s">
        <v>1362</v>
      </c>
      <c r="I28" s="1380"/>
      <c r="K28" s="535">
        <f>'[9]ALL-USD40.1M'!Y61</f>
        <v>225000000</v>
      </c>
      <c r="M28" s="535">
        <f>'[9]ALL-USD40.1M'!Q61</f>
        <v>25000000</v>
      </c>
      <c r="N28" s="1381">
        <v>4</v>
      </c>
    </row>
    <row r="29" spans="1:17" ht="18">
      <c r="A29" s="512" t="s">
        <v>960</v>
      </c>
      <c r="B29" s="513" t="s">
        <v>352</v>
      </c>
      <c r="C29" s="516"/>
      <c r="D29" s="516">
        <f>SUM(D30:D46)</f>
        <v>5449.7390999999989</v>
      </c>
      <c r="E29" s="516">
        <f>SUM(E30:E46)</f>
        <v>475.45910000000003</v>
      </c>
      <c r="F29" s="516">
        <f t="shared" si="1"/>
        <v>5925.1981999999989</v>
      </c>
      <c r="G29" s="517">
        <f t="shared" ref="G29:H29" si="4">SUM(G30:G46)</f>
        <v>2200383500</v>
      </c>
      <c r="H29" s="1375">
        <f t="shared" si="4"/>
        <v>125613300</v>
      </c>
      <c r="I29" s="1394"/>
    </row>
    <row r="30" spans="1:17" ht="18">
      <c r="A30" s="523">
        <v>22</v>
      </c>
      <c r="B30" s="519" t="s">
        <v>422</v>
      </c>
      <c r="C30" s="520">
        <v>2</v>
      </c>
      <c r="D30" s="521">
        <f t="shared" si="2"/>
        <v>1362.4</v>
      </c>
      <c r="E30" s="521">
        <f t="shared" si="3"/>
        <v>136.26</v>
      </c>
      <c r="F30" s="516">
        <f t="shared" si="1"/>
        <v>1498.66</v>
      </c>
      <c r="G30" s="525" t="s">
        <v>1362</v>
      </c>
      <c r="H30" s="1376" t="s">
        <v>1362</v>
      </c>
      <c r="I30" s="1388"/>
      <c r="K30" s="535">
        <f>'[9]ALL-USD40.1M'!Y194+'[9]ALL-USD40.1M'!Y199</f>
        <v>1362400000</v>
      </c>
      <c r="M30" s="535">
        <f>'[9]ALL-USD40.1M'!Q194+'[9]ALL-USD40.1M'!Q199</f>
        <v>136260000</v>
      </c>
    </row>
    <row r="31" spans="1:17" ht="33">
      <c r="A31" s="523">
        <v>23</v>
      </c>
      <c r="B31" s="519" t="s">
        <v>433</v>
      </c>
      <c r="C31" s="520">
        <v>2</v>
      </c>
      <c r="D31" s="521">
        <f t="shared" si="2"/>
        <v>1346.8425999999999</v>
      </c>
      <c r="E31" s="521">
        <f t="shared" si="3"/>
        <v>134.68430000000001</v>
      </c>
      <c r="F31" s="516">
        <f t="shared" si="1"/>
        <v>1481.5268999999998</v>
      </c>
      <c r="G31" s="525">
        <v>1346842600</v>
      </c>
      <c r="H31" s="1376" t="s">
        <v>1362</v>
      </c>
      <c r="I31" s="1389"/>
      <c r="K31" s="535">
        <f>'[9]ALL-USD40.1M'!Y202</f>
        <v>1346842600</v>
      </c>
      <c r="M31" s="535">
        <f>'[9]ALL-USD40.1M'!Q202</f>
        <v>134684300</v>
      </c>
    </row>
    <row r="32" spans="1:17" ht="49.5">
      <c r="A32" s="523">
        <v>24</v>
      </c>
      <c r="B32" s="519" t="s">
        <v>380</v>
      </c>
      <c r="C32" s="520">
        <v>1</v>
      </c>
      <c r="D32" s="521">
        <f t="shared" si="2"/>
        <v>414.14089999999999</v>
      </c>
      <c r="E32" s="521">
        <f t="shared" si="3"/>
        <v>60.851399999999998</v>
      </c>
      <c r="F32" s="516">
        <f t="shared" si="1"/>
        <v>474.9923</v>
      </c>
      <c r="G32" s="525">
        <v>414140900</v>
      </c>
      <c r="H32" s="1376">
        <f>(60851400+23561900)</f>
        <v>84413300</v>
      </c>
      <c r="I32" s="1390"/>
      <c r="K32" s="535">
        <f>'[9]ALL-USD40.1M'!Y168</f>
        <v>414140900</v>
      </c>
      <c r="M32" s="535">
        <f>'[9]ALL-USD40.1M'!Q168</f>
        <v>60851400</v>
      </c>
    </row>
    <row r="33" spans="1:14" ht="49.5">
      <c r="A33" s="523">
        <v>25</v>
      </c>
      <c r="B33" s="519" t="s">
        <v>357</v>
      </c>
      <c r="C33" s="520">
        <v>1</v>
      </c>
      <c r="D33" s="521">
        <f t="shared" si="2"/>
        <v>350.39760000000001</v>
      </c>
      <c r="E33" s="521">
        <f t="shared" si="3"/>
        <v>38.932400000000001</v>
      </c>
      <c r="F33" s="516">
        <f t="shared" si="1"/>
        <v>389.33000000000004</v>
      </c>
      <c r="G33" s="525" t="s">
        <v>1362</v>
      </c>
      <c r="H33" s="1376" t="s">
        <v>1362</v>
      </c>
      <c r="I33" s="1390"/>
      <c r="K33" s="535">
        <f>'[9]ALL-USD40.1M'!Y157</f>
        <v>350397600</v>
      </c>
      <c r="M33" s="535">
        <f>'[9]ALL-USD40.1M'!Q157</f>
        <v>38932400</v>
      </c>
    </row>
    <row r="34" spans="1:14" ht="49.5">
      <c r="A34" s="523">
        <v>26</v>
      </c>
      <c r="B34" s="519" t="s">
        <v>1003</v>
      </c>
      <c r="C34" s="520">
        <v>1</v>
      </c>
      <c r="D34" s="521">
        <f t="shared" si="2"/>
        <v>300</v>
      </c>
      <c r="E34" s="521">
        <f t="shared" si="3"/>
        <v>0</v>
      </c>
      <c r="F34" s="516">
        <f t="shared" si="1"/>
        <v>300</v>
      </c>
      <c r="G34" s="525" t="s">
        <v>1362</v>
      </c>
      <c r="H34" s="1376" t="s">
        <v>1362</v>
      </c>
      <c r="I34" s="1386"/>
      <c r="K34" s="535">
        <f>'[9]ALL-USD40.1M'!Y182</f>
        <v>300000000</v>
      </c>
      <c r="M34" s="535">
        <f>'[9]ALL-USD40.1M'!Q182</f>
        <v>0</v>
      </c>
      <c r="N34" s="1381"/>
    </row>
    <row r="35" spans="1:14" ht="31.5" customHeight="1">
      <c r="A35" s="523">
        <v>27</v>
      </c>
      <c r="B35" s="519" t="s">
        <v>1378</v>
      </c>
      <c r="C35" s="520">
        <v>4</v>
      </c>
      <c r="D35" s="521">
        <f t="shared" si="2"/>
        <v>290</v>
      </c>
      <c r="E35" s="521">
        <f t="shared" si="3"/>
        <v>0</v>
      </c>
      <c r="F35" s="516">
        <f t="shared" si="1"/>
        <v>290</v>
      </c>
      <c r="G35" s="525" t="s">
        <v>1362</v>
      </c>
      <c r="H35" s="1376" t="s">
        <v>1362</v>
      </c>
      <c r="I35" s="1393"/>
      <c r="K35" s="535">
        <f>'[9]ALL-USD40.1M'!Y217</f>
        <v>290000000</v>
      </c>
      <c r="M35" s="535">
        <f>'[9]ALL-USD40.1M'!Q217</f>
        <v>0</v>
      </c>
      <c r="N35" s="1381"/>
    </row>
    <row r="36" spans="1:14" ht="33">
      <c r="A36" s="523">
        <v>28</v>
      </c>
      <c r="B36" s="519" t="s">
        <v>412</v>
      </c>
      <c r="C36" s="520">
        <v>1</v>
      </c>
      <c r="D36" s="521">
        <f t="shared" si="2"/>
        <v>240</v>
      </c>
      <c r="E36" s="521">
        <f t="shared" si="3"/>
        <v>24</v>
      </c>
      <c r="F36" s="516">
        <f t="shared" si="1"/>
        <v>264</v>
      </c>
      <c r="G36" s="525" t="s">
        <v>1362</v>
      </c>
      <c r="H36" s="1376" t="s">
        <v>1362</v>
      </c>
      <c r="I36" s="1388"/>
      <c r="K36" s="535">
        <f>'[9]ALL-USD40.1M'!Y190</f>
        <v>240000000</v>
      </c>
      <c r="M36" s="535">
        <f>'[9]ALL-USD40.1M'!Q190</f>
        <v>24000000</v>
      </c>
      <c r="N36" s="1381"/>
    </row>
    <row r="37" spans="1:14" ht="33">
      <c r="A37" s="523">
        <v>29</v>
      </c>
      <c r="B37" s="519" t="s">
        <v>1379</v>
      </c>
      <c r="C37" s="520">
        <v>1</v>
      </c>
      <c r="D37" s="521">
        <f t="shared" si="2"/>
        <v>200</v>
      </c>
      <c r="E37" s="521">
        <f t="shared" si="3"/>
        <v>0</v>
      </c>
      <c r="F37" s="516">
        <f t="shared" si="1"/>
        <v>200</v>
      </c>
      <c r="G37" s="525" t="s">
        <v>1362</v>
      </c>
      <c r="H37" s="1376" t="s">
        <v>1362</v>
      </c>
      <c r="I37" s="1386"/>
      <c r="K37" s="535">
        <f>'[9]ALL-USD40.1M'!Y233</f>
        <v>200000000</v>
      </c>
      <c r="M37" s="535">
        <f>'[9]ALL-USD40.1M'!Q233</f>
        <v>0</v>
      </c>
      <c r="N37" s="1381"/>
    </row>
    <row r="38" spans="1:14" ht="33">
      <c r="A38" s="523">
        <v>30</v>
      </c>
      <c r="B38" s="519" t="s">
        <v>459</v>
      </c>
      <c r="C38" s="520">
        <v>1</v>
      </c>
      <c r="D38" s="521">
        <f t="shared" si="2"/>
        <v>150</v>
      </c>
      <c r="E38" s="521">
        <f t="shared" si="3"/>
        <v>9</v>
      </c>
      <c r="F38" s="516">
        <f t="shared" si="1"/>
        <v>159</v>
      </c>
      <c r="G38" s="525">
        <v>150000000</v>
      </c>
      <c r="H38" s="1376">
        <v>9000000</v>
      </c>
      <c r="I38" s="1386"/>
      <c r="K38" s="535">
        <f>'[9]ALL-USD40.1M'!Y226</f>
        <v>150000000</v>
      </c>
      <c r="M38" s="535">
        <f>'[9]ALL-USD40.1M'!Q225</f>
        <v>9000000</v>
      </c>
      <c r="N38" s="1381"/>
    </row>
    <row r="39" spans="1:14" ht="18">
      <c r="A39" s="523">
        <v>31</v>
      </c>
      <c r="B39" s="519" t="s">
        <v>408</v>
      </c>
      <c r="C39" s="520">
        <v>1</v>
      </c>
      <c r="D39" s="521">
        <f t="shared" si="2"/>
        <v>150</v>
      </c>
      <c r="E39" s="521">
        <f t="shared" si="3"/>
        <v>15</v>
      </c>
      <c r="F39" s="516">
        <f t="shared" si="1"/>
        <v>165</v>
      </c>
      <c r="G39" s="525">
        <v>150000000</v>
      </c>
      <c r="H39" s="1376">
        <v>15000000</v>
      </c>
      <c r="I39" s="1388"/>
      <c r="K39" s="535">
        <f>'[9]ALL-USD40.1M'!Y188</f>
        <v>150000000</v>
      </c>
      <c r="M39" s="535">
        <f>'[9]ALL-USD40.1M'!Q188</f>
        <v>15000000</v>
      </c>
      <c r="N39" s="1381"/>
    </row>
    <row r="40" spans="1:14" ht="33">
      <c r="A40" s="523">
        <v>32</v>
      </c>
      <c r="B40" s="519" t="s">
        <v>469</v>
      </c>
      <c r="C40" s="520">
        <v>1</v>
      </c>
      <c r="D40" s="521">
        <f t="shared" si="2"/>
        <v>114.4</v>
      </c>
      <c r="E40" s="521">
        <f t="shared" si="3"/>
        <v>17.2</v>
      </c>
      <c r="F40" s="516">
        <f t="shared" si="1"/>
        <v>131.6</v>
      </c>
      <c r="G40" s="525">
        <v>114400000</v>
      </c>
      <c r="H40" s="1376">
        <v>17200000</v>
      </c>
      <c r="I40" s="1386"/>
      <c r="K40" s="535">
        <f>'[9]ALL-USD40.1M'!Y230</f>
        <v>114400000</v>
      </c>
      <c r="M40" s="535">
        <f>'[9]ALL-USD40.1M'!Q230</f>
        <v>17200000</v>
      </c>
      <c r="N40" s="1381"/>
    </row>
    <row r="41" spans="1:14" ht="33">
      <c r="A41" s="523">
        <v>33</v>
      </c>
      <c r="B41" s="519" t="s">
        <v>1380</v>
      </c>
      <c r="C41" s="520">
        <v>1</v>
      </c>
      <c r="D41" s="521">
        <f t="shared" si="2"/>
        <v>107.95</v>
      </c>
      <c r="E41" s="521">
        <f t="shared" si="3"/>
        <v>2.95</v>
      </c>
      <c r="F41" s="516">
        <f t="shared" si="1"/>
        <v>110.9</v>
      </c>
      <c r="G41" s="525" t="s">
        <v>1362</v>
      </c>
      <c r="H41" s="1376" t="s">
        <v>1362</v>
      </c>
      <c r="I41" s="1386"/>
      <c r="K41" s="535">
        <f>'[9]ALL-USD40.1M'!Y236</f>
        <v>107950000</v>
      </c>
      <c r="M41" s="535">
        <f>'[9]ALL-USD40.1M'!Q236</f>
        <v>2950000</v>
      </c>
      <c r="N41" s="1381"/>
    </row>
    <row r="42" spans="1:14" ht="18">
      <c r="A42" s="523">
        <v>34</v>
      </c>
      <c r="B42" s="519" t="s">
        <v>451</v>
      </c>
      <c r="C42" s="520">
        <v>1</v>
      </c>
      <c r="D42" s="521">
        <f t="shared" si="2"/>
        <v>107</v>
      </c>
      <c r="E42" s="521">
        <f t="shared" si="3"/>
        <v>4.2610000000000001</v>
      </c>
      <c r="F42" s="516">
        <f t="shared" si="1"/>
        <v>111.261</v>
      </c>
      <c r="G42" s="525" t="s">
        <v>1362</v>
      </c>
      <c r="H42" s="1376" t="s">
        <v>1362</v>
      </c>
      <c r="I42" s="1386"/>
      <c r="K42" s="535">
        <f>'[9]ALL-USD40.1M'!Y214</f>
        <v>107000000</v>
      </c>
      <c r="M42" s="535">
        <f>'[9]ALL-USD40.1M'!Q214</f>
        <v>4261000</v>
      </c>
      <c r="N42" s="1381"/>
    </row>
    <row r="43" spans="1:14" ht="49.5">
      <c r="A43" s="523">
        <v>35</v>
      </c>
      <c r="B43" s="519" t="s">
        <v>417</v>
      </c>
      <c r="C43" s="520">
        <v>1</v>
      </c>
      <c r="D43" s="521">
        <f t="shared" si="2"/>
        <v>100.4</v>
      </c>
      <c r="E43" s="521">
        <f t="shared" si="3"/>
        <v>10.039999999999999</v>
      </c>
      <c r="F43" s="516">
        <f t="shared" si="1"/>
        <v>110.44</v>
      </c>
      <c r="G43" s="525" t="s">
        <v>1362</v>
      </c>
      <c r="H43" s="1376" t="s">
        <v>1362</v>
      </c>
      <c r="I43" s="1388"/>
      <c r="K43" s="535">
        <f>'[9]ALL-USD40.1M'!Y192</f>
        <v>100400000</v>
      </c>
      <c r="M43" s="535">
        <f>'[9]ALL-USD40.1M'!Q192</f>
        <v>10040000</v>
      </c>
      <c r="N43" s="1381"/>
    </row>
    <row r="44" spans="1:14" ht="33">
      <c r="A44" s="523">
        <v>36</v>
      </c>
      <c r="B44" s="519" t="s">
        <v>438</v>
      </c>
      <c r="C44" s="520">
        <v>2</v>
      </c>
      <c r="D44" s="521">
        <f t="shared" si="2"/>
        <v>98.9</v>
      </c>
      <c r="E44" s="521">
        <f t="shared" si="3"/>
        <v>19.78</v>
      </c>
      <c r="F44" s="516">
        <f t="shared" si="1"/>
        <v>118.68</v>
      </c>
      <c r="G44" s="525" t="s">
        <v>1362</v>
      </c>
      <c r="H44" s="1376" t="s">
        <v>1362</v>
      </c>
      <c r="I44" s="1389"/>
      <c r="K44" s="535">
        <f>'[9]ALL-USD40.1M'!Y207</f>
        <v>98900000</v>
      </c>
      <c r="M44" s="535">
        <f>'[9]ALL-USD40.1M'!Q207</f>
        <v>19780000</v>
      </c>
      <c r="N44" s="1381"/>
    </row>
    <row r="45" spans="1:14" ht="33">
      <c r="A45" s="523">
        <v>37</v>
      </c>
      <c r="B45" s="519" t="s">
        <v>446</v>
      </c>
      <c r="C45" s="520">
        <v>1</v>
      </c>
      <c r="D45" s="521">
        <f t="shared" si="2"/>
        <v>92.308000000000007</v>
      </c>
      <c r="E45" s="521">
        <f t="shared" si="3"/>
        <v>2.5</v>
      </c>
      <c r="F45" s="516">
        <f t="shared" si="1"/>
        <v>94.808000000000007</v>
      </c>
      <c r="G45" s="525" t="s">
        <v>1362</v>
      </c>
      <c r="H45" s="1376" t="s">
        <v>1362</v>
      </c>
      <c r="I45" s="1386"/>
      <c r="K45" s="535">
        <f>'[9]ALL-USD40.1M'!Y211</f>
        <v>92308000</v>
      </c>
      <c r="M45" s="535">
        <f>'[9]ALL-USD40.1M'!Q211</f>
        <v>2500000</v>
      </c>
      <c r="N45" s="1381"/>
    </row>
    <row r="46" spans="1:14" ht="18">
      <c r="A46" s="523">
        <v>38</v>
      </c>
      <c r="B46" s="526" t="s">
        <v>1243</v>
      </c>
      <c r="C46" s="520">
        <v>1</v>
      </c>
      <c r="D46" s="521">
        <f t="shared" si="2"/>
        <v>25</v>
      </c>
      <c r="E46" s="521">
        <f t="shared" si="3"/>
        <v>0</v>
      </c>
      <c r="F46" s="516">
        <f t="shared" si="1"/>
        <v>25</v>
      </c>
      <c r="G46" s="525">
        <v>25000000</v>
      </c>
      <c r="H46" s="1377">
        <v>0</v>
      </c>
      <c r="I46" s="1386"/>
      <c r="K46" s="535">
        <f>'[9]ALL-USD40.1M'!Y185</f>
        <v>25000000</v>
      </c>
      <c r="M46" s="535">
        <f>'[9]ALL-USD40.1M'!Q185</f>
        <v>0</v>
      </c>
      <c r="N46" s="1381"/>
    </row>
    <row r="47" spans="1:14" ht="18">
      <c r="A47" s="528"/>
      <c r="B47" s="529" t="s">
        <v>477</v>
      </c>
      <c r="C47" s="530">
        <f>SUM(C8:C46)</f>
        <v>111</v>
      </c>
      <c r="D47" s="531">
        <f>D29+D7</f>
        <v>40136.461099999993</v>
      </c>
      <c r="E47" s="531">
        <f>E29+E7</f>
        <v>5668.2692999999999</v>
      </c>
      <c r="F47" s="532">
        <f t="shared" si="1"/>
        <v>45804.730399999993</v>
      </c>
      <c r="G47" s="533">
        <f t="shared" ref="G47:H47" si="5">G7+G29</f>
        <v>29104505500</v>
      </c>
      <c r="H47" s="534">
        <f t="shared" si="5"/>
        <v>1188487300</v>
      </c>
    </row>
  </sheetData>
  <mergeCells count="8">
    <mergeCell ref="A1:H1"/>
    <mergeCell ref="A2:H2"/>
    <mergeCell ref="A3:H3"/>
    <mergeCell ref="D5:F5"/>
    <mergeCell ref="G5:H5"/>
    <mergeCell ref="A5:A6"/>
    <mergeCell ref="B5:B6"/>
    <mergeCell ref="C5:C6"/>
  </mergeCells>
  <pageMargins left="0.69930555555555596" right="0.69930555555555596" top="0.75" bottom="0.75" header="0.3" footer="0.3"/>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A77"/>
  <sheetViews>
    <sheetView topLeftCell="R1" zoomScale="55" zoomScaleNormal="55" workbookViewId="0">
      <selection activeCell="R41" sqref="R41:S41"/>
    </sheetView>
  </sheetViews>
  <sheetFormatPr defaultColWidth="9.140625" defaultRowHeight="14.25"/>
  <cols>
    <col min="1" max="1" width="2.85546875" style="582" customWidth="1"/>
    <col min="2" max="2" width="3.5703125" style="582" customWidth="1"/>
    <col min="3" max="3" width="2.85546875" style="582" customWidth="1"/>
    <col min="4" max="4" width="4.85546875" style="582" customWidth="1"/>
    <col min="5" max="5" width="68.140625" style="582" customWidth="1"/>
    <col min="6" max="15" width="9" style="582" hidden="1" customWidth="1"/>
    <col min="16" max="16" width="24" style="582" customWidth="1"/>
    <col min="17" max="17" width="5.140625" style="582" hidden="1" customWidth="1"/>
    <col min="18" max="18" width="25" style="582" customWidth="1"/>
    <col min="19" max="19" width="54.28515625" style="582" customWidth="1"/>
    <col min="20" max="27" width="9" style="582" hidden="1" customWidth="1"/>
    <col min="28" max="16384" width="9.140625" style="582"/>
  </cols>
  <sheetData>
    <row r="1" spans="1:27" ht="18">
      <c r="A1" s="3708" t="s">
        <v>1381</v>
      </c>
      <c r="B1" s="3709"/>
      <c r="C1" s="3709"/>
      <c r="D1" s="3709"/>
      <c r="E1" s="3709"/>
      <c r="F1" s="3709"/>
      <c r="G1" s="3709"/>
      <c r="H1" s="3709"/>
      <c r="I1" s="3709"/>
      <c r="J1" s="3709"/>
      <c r="K1" s="3709"/>
      <c r="L1" s="3709"/>
      <c r="M1" s="3709"/>
      <c r="N1" s="3709"/>
      <c r="O1" s="3709"/>
      <c r="P1" s="3709"/>
      <c r="Q1" s="3709"/>
      <c r="R1" s="3709"/>
      <c r="S1" s="3709"/>
      <c r="T1" s="3709"/>
      <c r="U1" s="3709"/>
      <c r="V1" s="3709"/>
      <c r="W1" s="3709"/>
      <c r="X1" s="3709"/>
      <c r="Y1" s="3709"/>
      <c r="Z1" s="3709"/>
      <c r="AA1" s="3709"/>
    </row>
    <row r="2" spans="1:27" ht="18">
      <c r="A2" s="3708" t="s">
        <v>55</v>
      </c>
      <c r="B2" s="3709"/>
      <c r="C2" s="3709"/>
      <c r="D2" s="3709"/>
      <c r="E2" s="3709"/>
      <c r="F2" s="3709"/>
      <c r="G2" s="3709"/>
      <c r="H2" s="3709"/>
      <c r="I2" s="3709"/>
      <c r="J2" s="3709"/>
      <c r="K2" s="3709"/>
      <c r="L2" s="3709"/>
      <c r="M2" s="3709"/>
      <c r="N2" s="3709"/>
      <c r="O2" s="3709"/>
      <c r="P2" s="3709"/>
      <c r="Q2" s="3709"/>
      <c r="R2" s="3709"/>
      <c r="S2" s="3709"/>
      <c r="T2" s="671"/>
      <c r="U2" s="671"/>
      <c r="V2" s="671"/>
      <c r="W2" s="671"/>
      <c r="X2" s="671"/>
      <c r="Y2" s="671"/>
      <c r="Z2" s="671"/>
      <c r="AA2" s="671"/>
    </row>
    <row r="3" spans="1:27">
      <c r="A3" s="672"/>
      <c r="B3" s="673"/>
      <c r="C3" s="673"/>
      <c r="D3" s="673"/>
      <c r="E3" s="674"/>
      <c r="F3" s="675"/>
      <c r="G3" s="675"/>
      <c r="H3" s="676"/>
      <c r="I3" s="676"/>
      <c r="J3" s="675"/>
      <c r="K3" s="675"/>
      <c r="L3" s="754"/>
      <c r="M3" s="675"/>
      <c r="N3" s="675"/>
      <c r="O3" s="675"/>
      <c r="P3" s="675"/>
      <c r="Q3" s="675"/>
      <c r="R3" s="675"/>
      <c r="S3" s="675"/>
      <c r="T3" s="674"/>
      <c r="U3" s="674"/>
      <c r="V3" s="674"/>
      <c r="W3" s="754"/>
      <c r="X3" s="754"/>
      <c r="Y3" s="754"/>
      <c r="Z3" s="754"/>
      <c r="AA3" s="878"/>
    </row>
    <row r="4" spans="1:27" ht="16.5" customHeight="1">
      <c r="A4" s="3759" t="s">
        <v>2</v>
      </c>
      <c r="B4" s="3760"/>
      <c r="C4" s="3760"/>
      <c r="D4" s="3760"/>
      <c r="E4" s="3760"/>
      <c r="F4" s="3747" t="s">
        <v>1382</v>
      </c>
      <c r="G4" s="3749" t="s">
        <v>1383</v>
      </c>
      <c r="H4" s="3751" t="s">
        <v>1082</v>
      </c>
      <c r="I4" s="3751" t="s">
        <v>1083</v>
      </c>
      <c r="J4" s="3752" t="s">
        <v>1384</v>
      </c>
      <c r="K4" s="3754" t="s">
        <v>1085</v>
      </c>
      <c r="L4" s="3710" t="s">
        <v>1088</v>
      </c>
      <c r="M4" s="3711"/>
      <c r="N4" s="3711"/>
      <c r="O4" s="3712"/>
      <c r="P4" s="3749" t="s">
        <v>1136</v>
      </c>
      <c r="Q4" s="3749" t="s">
        <v>7</v>
      </c>
      <c r="R4" s="3749" t="s">
        <v>1137</v>
      </c>
      <c r="S4" s="3757" t="s">
        <v>10</v>
      </c>
      <c r="T4" s="3713" t="s">
        <v>1089</v>
      </c>
      <c r="U4" s="3714"/>
      <c r="V4" s="3715"/>
      <c r="W4" s="3716" t="s">
        <v>1086</v>
      </c>
      <c r="X4" s="3714"/>
      <c r="Y4" s="3714"/>
      <c r="Z4" s="3714"/>
      <c r="AA4" s="3717"/>
    </row>
    <row r="5" spans="1:27" ht="0.75" customHeight="1">
      <c r="A5" s="3761"/>
      <c r="B5" s="3762"/>
      <c r="C5" s="3762"/>
      <c r="D5" s="3762"/>
      <c r="E5" s="3762"/>
      <c r="F5" s="3748"/>
      <c r="G5" s="3750"/>
      <c r="H5" s="3750"/>
      <c r="I5" s="3750"/>
      <c r="J5" s="3753"/>
      <c r="K5" s="3755"/>
      <c r="L5" s="1289" t="s">
        <v>11</v>
      </c>
      <c r="M5" s="1290" t="s">
        <v>507</v>
      </c>
      <c r="N5" s="1290" t="s">
        <v>1090</v>
      </c>
      <c r="O5" s="1291" t="s">
        <v>509</v>
      </c>
      <c r="P5" s="3750"/>
      <c r="Q5" s="3756"/>
      <c r="R5" s="3756"/>
      <c r="S5" s="3758"/>
      <c r="T5" s="755" t="s">
        <v>507</v>
      </c>
      <c r="U5" s="802" t="s">
        <v>510</v>
      </c>
      <c r="V5" s="757" t="s">
        <v>511</v>
      </c>
      <c r="W5" s="803" t="s">
        <v>550</v>
      </c>
      <c r="X5" s="755" t="s">
        <v>1091</v>
      </c>
      <c r="Y5" s="802" t="s">
        <v>15</v>
      </c>
      <c r="Z5" s="879" t="s">
        <v>1092</v>
      </c>
      <c r="AA5" s="880" t="s">
        <v>511</v>
      </c>
    </row>
    <row r="6" spans="1:27">
      <c r="A6" s="1220"/>
      <c r="B6" s="1221"/>
      <c r="C6" s="1221"/>
      <c r="D6" s="1221"/>
      <c r="E6" s="1222"/>
      <c r="F6" s="1223"/>
      <c r="G6" s="1224"/>
      <c r="H6" s="1225"/>
      <c r="I6" s="1225"/>
      <c r="J6" s="1292"/>
      <c r="K6" s="1293"/>
      <c r="L6" s="1294"/>
      <c r="M6" s="1295"/>
      <c r="N6" s="1295"/>
      <c r="O6" s="1223"/>
      <c r="P6" s="1296"/>
      <c r="Q6" s="1318"/>
      <c r="R6" s="763"/>
      <c r="S6" s="1319"/>
      <c r="T6" s="805"/>
      <c r="U6" s="761"/>
      <c r="V6" s="762"/>
      <c r="W6" s="806"/>
      <c r="X6" s="881"/>
      <c r="Y6" s="882"/>
      <c r="Z6" s="883"/>
      <c r="AA6" s="884"/>
    </row>
    <row r="7" spans="1:27" ht="15.75">
      <c r="A7" s="1226" t="str">
        <f>DATA!B2</f>
        <v>I</v>
      </c>
      <c r="B7" s="1227" t="str">
        <f>DATA!D2</f>
        <v>INFRASTRUKTUR</v>
      </c>
      <c r="C7" s="1227"/>
      <c r="D7" s="1227"/>
      <c r="E7" s="1228"/>
      <c r="F7" s="1229" t="e">
        <f>F8+#REF!+#REF!+#REF!+#REF!+#REF!+#REF!+#REF!+#REF!+#REF!</f>
        <v>#REF!</v>
      </c>
      <c r="G7" s="1230" t="e">
        <f>G8+#REF!+#REF!+#REF!+#REF!+#REF!+#REF!+#REF!+#REF!+#REF!</f>
        <v>#REF!</v>
      </c>
      <c r="H7" s="1230" t="e">
        <f>+H8+#REF!+#REF!+#REF!+#REF!+#REF!+#REF!+#REF!+#REF!</f>
        <v>#REF!</v>
      </c>
      <c r="I7" s="1230" t="e">
        <f>+I8+#REF!+#REF!+#REF!+#REF!+#REF!+#REF!+#REF!+#REF!</f>
        <v>#REF!</v>
      </c>
      <c r="J7" s="1297" t="e">
        <f>+J8+#REF!+#REF!+#REF!+#REF!+#REF!+#REF!+#REF!+#REF!</f>
        <v>#REF!</v>
      </c>
      <c r="K7" s="1298"/>
      <c r="L7" s="1299"/>
      <c r="M7" s="1127" t="e">
        <f>+M8+#REF!+#REF!+#REF!+#REF!+#REF!+#REF!+#REF!+#REF!</f>
        <v>#REF!</v>
      </c>
      <c r="N7" s="1127" t="e">
        <f>+N8+#REF!+#REF!+#REF!+#REF!+#REF!+#REF!+#REF!+#REF!</f>
        <v>#REF!</v>
      </c>
      <c r="O7" s="1300" t="e">
        <f>+O8+#REF!+#REF!+#REF!+#REF!+#REF!</f>
        <v>#REF!</v>
      </c>
      <c r="P7" s="1127">
        <f>P8+P30+P33+P40</f>
        <v>14328536000</v>
      </c>
      <c r="Q7" s="1320"/>
      <c r="R7" s="1321"/>
      <c r="S7" s="1322"/>
      <c r="T7" s="766" t="e">
        <f>+T8+#REF!+#REF!+#REF!+#REF!+#REF!+#REF!+#REF!+#REF!</f>
        <v>#REF!</v>
      </c>
      <c r="U7" s="767" t="s">
        <v>21</v>
      </c>
      <c r="V7" s="688" t="e">
        <f>G7-T7</f>
        <v>#REF!</v>
      </c>
      <c r="W7" s="809"/>
      <c r="X7" s="885"/>
      <c r="Y7" s="886"/>
      <c r="Z7" s="887"/>
      <c r="AA7" s="888"/>
    </row>
    <row r="8" spans="1:27">
      <c r="A8" s="1231"/>
      <c r="B8" s="1090">
        <f>DATA!E2</f>
        <v>1</v>
      </c>
      <c r="C8" s="1232" t="str">
        <f>DATA!F2</f>
        <v>Kementerian Pekerjaan Umum dan Perumahan Rakyat</v>
      </c>
      <c r="D8" s="1232"/>
      <c r="E8" s="1233"/>
      <c r="F8" s="1032"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1301">
        <f>P9+P12+P14+P17+P20+P23+P25</f>
        <v>3901536000</v>
      </c>
      <c r="Q8" s="1323"/>
      <c r="R8" s="972"/>
      <c r="S8" s="1324"/>
      <c r="T8" s="771" t="e">
        <f>+#REF!+#REF!+#REF!+#REF!+T9+#REF!+#REF!+#REF!+#REF!+#REF!+#REF!+#REF!+#REF!+#REF!+#REF!</f>
        <v>#REF!</v>
      </c>
      <c r="U8" s="772" t="s">
        <v>21</v>
      </c>
      <c r="V8" s="694"/>
      <c r="W8" s="812"/>
      <c r="X8" s="889"/>
      <c r="Y8" s="890"/>
      <c r="Z8" s="891"/>
      <c r="AA8" s="892"/>
    </row>
    <row r="9" spans="1:27" ht="27" customHeight="1">
      <c r="A9" s="1234"/>
      <c r="B9" s="1235"/>
      <c r="C9" s="699" t="str">
        <f>'ALL-USD40.1M'!L10</f>
        <v>A</v>
      </c>
      <c r="D9" s="3718" t="str">
        <f>'ALL-USD40.1M'!M10</f>
        <v xml:space="preserve">Program Pembangunan Jalan Tol </v>
      </c>
      <c r="E9" s="3719"/>
      <c r="F9" s="697"/>
      <c r="G9" s="699"/>
      <c r="H9" s="699"/>
      <c r="I9" s="699"/>
      <c r="J9" s="699"/>
      <c r="K9" s="699"/>
      <c r="L9" s="699"/>
      <c r="M9" s="699"/>
      <c r="N9" s="699"/>
      <c r="O9" s="817"/>
      <c r="P9" s="957">
        <f>P10+P11</f>
        <v>520000000</v>
      </c>
      <c r="Q9" s="1325"/>
      <c r="R9" s="697"/>
      <c r="S9" s="1326"/>
    </row>
    <row r="10" spans="1:27" s="581" customFormat="1" ht="28.5">
      <c r="A10" s="1236"/>
      <c r="B10" s="1237"/>
      <c r="C10" s="1238"/>
      <c r="D10" s="1239">
        <v>1</v>
      </c>
      <c r="E10" s="1240" t="str">
        <f>DATA!L11</f>
        <v>Development of Fly Over/ Under Pass for Railways Crossing</v>
      </c>
      <c r="F10" s="1241"/>
      <c r="G10" s="1241"/>
      <c r="H10" s="1241"/>
      <c r="I10" s="1241"/>
      <c r="J10" s="1241"/>
      <c r="K10" s="1241"/>
      <c r="L10" s="1241"/>
      <c r="M10" s="1241"/>
      <c r="N10" s="1241"/>
      <c r="O10" s="1241"/>
      <c r="P10" s="1302">
        <f>'ALL-USD40.1M'!Y16</f>
        <v>250000000</v>
      </c>
      <c r="Q10" s="1261"/>
      <c r="R10" s="1327" t="str">
        <f>'ALL-USD40.1M'!AA16</f>
        <v>Belum proses</v>
      </c>
      <c r="S10" s="1328" t="str">
        <f>'ALL-USD40.1M'!AG16</f>
        <v>- Potensial ditunda
- Menunggu konfirmasi  dari K/L</v>
      </c>
    </row>
    <row r="11" spans="1:27" s="581" customFormat="1" ht="28.5">
      <c r="A11" s="1236"/>
      <c r="B11" s="1237"/>
      <c r="C11" s="1242"/>
      <c r="D11" s="1243">
        <v>2</v>
      </c>
      <c r="E11" s="1244" t="str">
        <f>DATA!L12</f>
        <v>Development of Fly Over/ Under Pass in Major Cities</v>
      </c>
      <c r="F11" s="1245"/>
      <c r="G11" s="1245"/>
      <c r="H11" s="1245"/>
      <c r="I11" s="1245"/>
      <c r="J11" s="1245"/>
      <c r="K11" s="1245"/>
      <c r="L11" s="1245"/>
      <c r="M11" s="1245"/>
      <c r="N11" s="1245"/>
      <c r="O11" s="1245"/>
      <c r="P11" s="1303">
        <f>'ALL-USD40.1M'!Y17</f>
        <v>270000000</v>
      </c>
      <c r="Q11" s="1244"/>
      <c r="R11" s="1303" t="str">
        <f>'ALL-USD40.1M'!AA17</f>
        <v>Belum proses</v>
      </c>
      <c r="S11" s="1329" t="str">
        <f>'ALL-USD40.1M'!AG17</f>
        <v>- Potensial ditunda
- Menunggu konfirmasi dari K/L</v>
      </c>
    </row>
    <row r="12" spans="1:27">
      <c r="A12" s="1234"/>
      <c r="B12" s="1235"/>
      <c r="C12" s="857" t="str">
        <f>DATA!I15</f>
        <v>C</v>
      </c>
      <c r="D12" s="3720" t="str">
        <f>DATA!J16</f>
        <v>Program Pembangunan / Peningkatan Jalan</v>
      </c>
      <c r="E12" s="3721"/>
      <c r="F12" s="1028"/>
      <c r="G12" s="870"/>
      <c r="H12" s="870"/>
      <c r="I12" s="870"/>
      <c r="J12" s="870"/>
      <c r="K12" s="870"/>
      <c r="L12" s="870"/>
      <c r="M12" s="870"/>
      <c r="N12" s="870"/>
      <c r="O12" s="1039"/>
      <c r="P12" s="1304">
        <f>P13</f>
        <v>205000000</v>
      </c>
      <c r="Q12" s="1330"/>
      <c r="R12" s="918"/>
      <c r="S12" s="1331"/>
    </row>
    <row r="13" spans="1:27" s="1219" customFormat="1" ht="42.75">
      <c r="A13" s="1246"/>
      <c r="B13" s="1247"/>
      <c r="C13" s="1248"/>
      <c r="D13" s="1249">
        <v>3</v>
      </c>
      <c r="E13" s="1250" t="str">
        <f>DATA!L15</f>
        <v>Urban Arterial Road Improvement Project</v>
      </c>
      <c r="F13" s="1251"/>
      <c r="G13" s="1251"/>
      <c r="H13" s="1251"/>
      <c r="I13" s="1251"/>
      <c r="J13" s="1251"/>
      <c r="K13" s="1251"/>
      <c r="L13" s="1251"/>
      <c r="M13" s="1251"/>
      <c r="N13" s="1251"/>
      <c r="O13" s="1251"/>
      <c r="P13" s="1305">
        <f>'ALL-USD40.1M'!Y21</f>
        <v>205000000</v>
      </c>
      <c r="Q13" s="1264"/>
      <c r="R13" s="1332" t="str">
        <f>'ALL-USD40.1M'!AA21</f>
        <v>Belum proses</v>
      </c>
      <c r="S13" s="1333" t="str">
        <f>'ALL-USD40.1M'!AG21</f>
        <v>- Potensial ditunda
- Menunggu konfirmasi penggunaan Rupiah Murni dari K/L</v>
      </c>
    </row>
    <row r="14" spans="1:27">
      <c r="A14" s="1234"/>
      <c r="B14" s="1235"/>
      <c r="C14" s="733" t="str">
        <f>DATA!I24</f>
        <v>D</v>
      </c>
      <c r="D14" s="3722" t="str">
        <f>DATA!J24</f>
        <v>Program Pembangunan Air Minum</v>
      </c>
      <c r="E14" s="3723"/>
      <c r="F14" s="1252"/>
      <c r="G14" s="1252"/>
      <c r="H14" s="1252"/>
      <c r="I14" s="1252"/>
      <c r="J14" s="1252"/>
      <c r="K14" s="1252"/>
      <c r="L14" s="1252"/>
      <c r="M14" s="1252"/>
      <c r="N14" s="1252"/>
      <c r="O14" s="1252"/>
      <c r="P14" s="3724">
        <f>P16</f>
        <v>100000000</v>
      </c>
      <c r="Q14" s="3725"/>
      <c r="R14" s="3726"/>
      <c r="S14" s="3727"/>
    </row>
    <row r="15" spans="1:27">
      <c r="A15" s="1234"/>
      <c r="B15" s="1235"/>
      <c r="C15" s="1253"/>
      <c r="D15" s="1254">
        <v>4</v>
      </c>
      <c r="E15" s="1255" t="str">
        <f>DATA!L26</f>
        <v>The Development of Regional Water Supply System in Selected Area:</v>
      </c>
      <c r="F15" s="1252"/>
      <c r="G15" s="1252"/>
      <c r="H15" s="1252"/>
      <c r="I15" s="1252"/>
      <c r="J15" s="1252"/>
      <c r="K15" s="1252"/>
      <c r="L15" s="1252"/>
      <c r="M15" s="1252"/>
      <c r="N15" s="1252"/>
      <c r="O15" s="1252"/>
      <c r="P15" s="1306"/>
      <c r="Q15" s="1255"/>
      <c r="R15" s="1254"/>
      <c r="S15" s="1334"/>
    </row>
    <row r="16" spans="1:27">
      <c r="A16" s="1234"/>
      <c r="B16" s="1235"/>
      <c r="C16" s="1253"/>
      <c r="D16" s="1256"/>
      <c r="E16" s="1257" t="str">
        <f>DATA!L27</f>
        <v xml:space="preserve">Mamminasata Water Supply Development Project </v>
      </c>
      <c r="F16" s="1252"/>
      <c r="G16" s="1252"/>
      <c r="H16" s="1252"/>
      <c r="I16" s="1252"/>
      <c r="J16" s="1252"/>
      <c r="K16" s="1252"/>
      <c r="L16" s="1252"/>
      <c r="M16" s="1252"/>
      <c r="N16" s="1252"/>
      <c r="O16" s="1252"/>
      <c r="P16" s="1307">
        <f>'ALL-USD40.1M'!Y32</f>
        <v>100000000</v>
      </c>
      <c r="Q16" s="1255"/>
      <c r="R16" s="1335" t="str">
        <f>'ALL-USD40.1M'!AA32</f>
        <v>Sudah terdapat RC</v>
      </c>
      <c r="S16" s="1336" t="str">
        <f>'ALL-USD40.1M'!AG32</f>
        <v>Dalam proses pre-request</v>
      </c>
    </row>
    <row r="17" spans="1:19">
      <c r="A17" s="1234"/>
      <c r="B17" s="1235"/>
      <c r="C17" s="733" t="str">
        <f>DATA!I41</f>
        <v>E</v>
      </c>
      <c r="D17" s="3726" t="str">
        <f>DATA!J41</f>
        <v xml:space="preserve">Program Pembangunan Sistem Pengelolaan Air Limbah </v>
      </c>
      <c r="E17" s="3725"/>
      <c r="F17" s="3726"/>
      <c r="G17" s="3730"/>
      <c r="H17" s="3728"/>
      <c r="I17" s="3730"/>
      <c r="J17" s="3728"/>
      <c r="K17" s="3730"/>
      <c r="L17" s="3728"/>
      <c r="M17" s="3730"/>
      <c r="N17" s="3728"/>
      <c r="O17" s="3726"/>
      <c r="P17" s="3724">
        <f>P18+P19</f>
        <v>1770500000</v>
      </c>
      <c r="Q17" s="3725"/>
      <c r="R17" s="3726"/>
      <c r="S17" s="3729"/>
    </row>
    <row r="18" spans="1:19" s="581" customFormat="1" ht="76.5">
      <c r="A18" s="1236"/>
      <c r="B18" s="1237"/>
      <c r="C18" s="1258"/>
      <c r="D18" s="1259">
        <v>5</v>
      </c>
      <c r="E18" s="1259" t="str">
        <f>DATA!L44</f>
        <v>Jakarta Sewerage Development Project - Zone 1 and Zone 6</v>
      </c>
      <c r="F18" s="1241"/>
      <c r="G18" s="1241"/>
      <c r="H18" s="1241"/>
      <c r="I18" s="1241"/>
      <c r="J18" s="1241"/>
      <c r="K18" s="1241"/>
      <c r="L18" s="1241"/>
      <c r="M18" s="1241"/>
      <c r="N18" s="1241"/>
      <c r="O18" s="1241"/>
      <c r="P18" s="1308">
        <f>'ALL-USD40.1M'!Y45</f>
        <v>1537500000</v>
      </c>
      <c r="Q18" s="1261"/>
      <c r="R18" s="1337" t="str">
        <f>'ALL-USD40.1M'!AA46</f>
        <v>Sudah terdapat RC</v>
      </c>
      <c r="S18" s="1338" t="str">
        <f>'ALL-USD40.1M'!AG46</f>
        <v>- Masuk dalam perbincangan prioritas kegiatan JICA yang diusulkan (policy dialog)
- Pernah dibahas dalam pertemuan 26 Sep 2017
- MOD telah ditandatangani pada Nov 2017
- Diusulkan untuk masuk dalam GB 2018 (Rapat pada tanggal 24 Januari 2018)</v>
      </c>
    </row>
    <row r="19" spans="1:19" s="581" customFormat="1" ht="51">
      <c r="A19" s="1236"/>
      <c r="B19" s="1237"/>
      <c r="C19" s="1258"/>
      <c r="D19" s="1260">
        <v>6</v>
      </c>
      <c r="E19" s="1261" t="str">
        <f>DATA!L51</f>
        <v>Denpasar Sewerage Development Project - Phase III</v>
      </c>
      <c r="F19" s="1241"/>
      <c r="G19" s="1241"/>
      <c r="H19" s="1241"/>
      <c r="I19" s="1241"/>
      <c r="J19" s="1241"/>
      <c r="K19" s="1241"/>
      <c r="L19" s="1241"/>
      <c r="M19" s="1241"/>
      <c r="N19" s="1241"/>
      <c r="O19" s="1241"/>
      <c r="P19" s="1074">
        <f>'ALL-USD40.1M'!Y52</f>
        <v>233000000</v>
      </c>
      <c r="Q19" s="1261"/>
      <c r="R19" s="1339" t="str">
        <f>'ALL-USD40.1M'!AA52</f>
        <v>Sudah terdapat RC</v>
      </c>
      <c r="S19" s="3284" t="str">
        <f>'ALL-USD40.1M'!AG52</f>
        <v>- Tidak menjadi prioritas JICA tahun 2017 (ditolak)
- Diidikasikan menggunakan Rupiah Murni
- Diusulkan untuk masuk dalam GB 2018 (Rapat pada tanggal 24 Januari 2018)</v>
      </c>
    </row>
    <row r="20" spans="1:19">
      <c r="A20" s="1234"/>
      <c r="B20" s="1235"/>
      <c r="C20" s="733" t="str">
        <f>DATA!I56</f>
        <v>G</v>
      </c>
      <c r="D20" s="3726" t="str">
        <f>DATA!J56</f>
        <v>Program Penanganan Kumuh</v>
      </c>
      <c r="E20" s="3725"/>
      <c r="F20" s="3726"/>
      <c r="G20" s="3730"/>
      <c r="H20" s="3728"/>
      <c r="I20" s="3730"/>
      <c r="J20" s="3728"/>
      <c r="K20" s="3730"/>
      <c r="L20" s="3728"/>
      <c r="M20" s="3730"/>
      <c r="N20" s="3728"/>
      <c r="O20" s="3726"/>
      <c r="P20" s="3724">
        <f>P21+P22</f>
        <v>462100000</v>
      </c>
      <c r="Q20" s="3725"/>
      <c r="R20" s="3731"/>
      <c r="S20" s="3732"/>
    </row>
    <row r="21" spans="1:19">
      <c r="A21" s="1234"/>
      <c r="B21" s="1235"/>
      <c r="C21" s="1253"/>
      <c r="D21" s="1254">
        <v>7</v>
      </c>
      <c r="E21" s="1255" t="str">
        <f>DATA!L62</f>
        <v>Rural Settlement Infrastructure Development (RSID)</v>
      </c>
      <c r="F21" s="1252"/>
      <c r="G21" s="1252"/>
      <c r="H21" s="1252"/>
      <c r="I21" s="1252"/>
      <c r="J21" s="1252"/>
      <c r="K21" s="1252"/>
      <c r="L21" s="1252"/>
      <c r="M21" s="1252"/>
      <c r="N21" s="1252"/>
      <c r="O21" s="1252"/>
      <c r="P21" s="1307">
        <f>'ALL-USD40.1M'!Y60</f>
        <v>201000000</v>
      </c>
      <c r="Q21" s="1255"/>
      <c r="R21" s="1340" t="str">
        <f>'ALL-USD40.1M'!AA60</f>
        <v>- GB 2017
- Belum pre-request</v>
      </c>
      <c r="S21" s="1341" t="str">
        <f>'ALL-USD40.1M'!AG60</f>
        <v>Masih dan proses pembahasan lanjutan (suplemental study)</v>
      </c>
    </row>
    <row r="22" spans="1:19" s="1219" customFormat="1" ht="39.75" customHeight="1">
      <c r="A22" s="1246"/>
      <c r="B22" s="1247"/>
      <c r="C22" s="1262"/>
      <c r="D22" s="1263">
        <v>8</v>
      </c>
      <c r="E22" s="1264" t="str">
        <f>DATA!L63</f>
        <v>Building Administration and Capacity Enforcement Development for Seismic Resilience</v>
      </c>
      <c r="F22" s="1251"/>
      <c r="G22" s="1251"/>
      <c r="H22" s="1251"/>
      <c r="I22" s="1251"/>
      <c r="J22" s="1251"/>
      <c r="K22" s="1251"/>
      <c r="L22" s="1251"/>
      <c r="M22" s="1251"/>
      <c r="N22" s="1251"/>
      <c r="O22" s="1251"/>
      <c r="P22" s="1305">
        <f>'ALL-USD40.1M'!Y61</f>
        <v>261100000</v>
      </c>
      <c r="Q22" s="1264"/>
      <c r="R22" s="1342" t="s">
        <v>879</v>
      </c>
      <c r="S22" s="1343" t="s">
        <v>1183</v>
      </c>
    </row>
    <row r="23" spans="1:19">
      <c r="A23" s="1234"/>
      <c r="B23" s="1235"/>
      <c r="C23" s="733" t="str">
        <f>DATA!I84</f>
        <v>J</v>
      </c>
      <c r="D23" s="3726" t="str">
        <f>DATA!J84</f>
        <v xml:space="preserve">Program Pembangunan Waduk </v>
      </c>
      <c r="E23" s="3725"/>
      <c r="F23" s="3726"/>
      <c r="G23" s="3730"/>
      <c r="H23" s="3728"/>
      <c r="I23" s="3730"/>
      <c r="J23" s="3728"/>
      <c r="K23" s="3730"/>
      <c r="L23" s="3728"/>
      <c r="M23" s="3730"/>
      <c r="N23" s="3728"/>
      <c r="O23" s="3726"/>
      <c r="P23" s="3724">
        <f>P24</f>
        <v>200000000</v>
      </c>
      <c r="Q23" s="3725"/>
      <c r="R23" s="3733"/>
      <c r="S23" s="3727"/>
    </row>
    <row r="24" spans="1:19" s="581" customFormat="1" ht="25.5">
      <c r="A24" s="1236"/>
      <c r="B24" s="1237"/>
      <c r="C24" s="1260"/>
      <c r="D24" s="1241">
        <v>9</v>
      </c>
      <c r="E24" s="1265" t="str">
        <f>DATA!L85</f>
        <v>Komering Multipurpose Dam Project - Phase II</v>
      </c>
      <c r="F24" s="1241"/>
      <c r="G24" s="1241"/>
      <c r="H24" s="1241"/>
      <c r="I24" s="1241"/>
      <c r="J24" s="1241"/>
      <c r="K24" s="1241"/>
      <c r="L24" s="1241"/>
      <c r="M24" s="1241"/>
      <c r="N24" s="1241"/>
      <c r="O24" s="1241"/>
      <c r="P24" s="1302">
        <f>'ALL-USD40.1M'!Y82</f>
        <v>200000000</v>
      </c>
      <c r="Q24" s="1261"/>
      <c r="R24" s="1344" t="str">
        <f>'ALL-USD40.1M'!AA82</f>
        <v>Belum proses</v>
      </c>
      <c r="S24" s="1345" t="str">
        <f>'ALL-USD40.1M'!AG82</f>
        <v>Masuk dalam perbincangan prioritas kegiatan JICA yang diusulkan (policy dialog)</v>
      </c>
    </row>
    <row r="25" spans="1:19">
      <c r="A25" s="1234"/>
      <c r="B25" s="1235"/>
      <c r="C25" s="1152" t="str">
        <f>DATA!I98</f>
        <v>K</v>
      </c>
      <c r="D25" s="3718" t="str">
        <f>DATA!J98</f>
        <v>Program Mitigasi Terhadap Daya Rusak Air</v>
      </c>
      <c r="E25" s="3719"/>
      <c r="F25" s="3734"/>
      <c r="G25" s="3735"/>
      <c r="H25" s="3718"/>
      <c r="I25" s="3735"/>
      <c r="J25" s="3718"/>
      <c r="K25" s="3735"/>
      <c r="L25" s="3718"/>
      <c r="M25" s="3735"/>
      <c r="N25" s="3718"/>
      <c r="O25" s="3734"/>
      <c r="P25" s="3736">
        <f>P26+P27+P28+P29</f>
        <v>643936000</v>
      </c>
      <c r="Q25" s="3719"/>
      <c r="R25" s="3731"/>
      <c r="S25" s="3732"/>
    </row>
    <row r="26" spans="1:19" s="581" customFormat="1" ht="37.5" customHeight="1">
      <c r="A26" s="1236"/>
      <c r="B26" s="1237"/>
      <c r="C26" s="1266"/>
      <c r="D26" s="1243">
        <v>10</v>
      </c>
      <c r="E26" s="1250" t="str">
        <f>'ALL-USD40.1M'!N94</f>
        <v>Lower Solo River Improvement Project - Phase II</v>
      </c>
      <c r="F26" s="1245"/>
      <c r="G26" s="1245"/>
      <c r="H26" s="1245"/>
      <c r="I26" s="1245"/>
      <c r="J26" s="1245"/>
      <c r="K26" s="1245"/>
      <c r="L26" s="1245"/>
      <c r="M26" s="1245"/>
      <c r="N26" s="1245"/>
      <c r="O26" s="1245"/>
      <c r="P26" s="1303">
        <f>'ALL-USD40.1M'!Y94</f>
        <v>155836000</v>
      </c>
      <c r="Q26" s="1244"/>
      <c r="R26" s="1346" t="str">
        <f>'ALL-USD40.1M'!AA94</f>
        <v>Belum proses</v>
      </c>
      <c r="S26" s="1347" t="str">
        <f>'ALL-USD40.1M'!AG94</f>
        <v>Masuk dalam perbincangan prioritas kegiatan JICA yang diusulkan (policy dialog)</v>
      </c>
    </row>
    <row r="27" spans="1:19" s="581" customFormat="1" ht="32.25" customHeight="1">
      <c r="A27" s="1236"/>
      <c r="B27" s="1237"/>
      <c r="C27" s="1258"/>
      <c r="D27" s="1258">
        <v>11</v>
      </c>
      <c r="E27" s="1264" t="str">
        <f>'ALL-USD40.1M'!N95</f>
        <v>Comprehensive Countermeasure for Sediment &amp; Flood Problems in South Sulawesi Province</v>
      </c>
      <c r="F27" s="1241"/>
      <c r="G27" s="1241"/>
      <c r="H27" s="1241"/>
      <c r="I27" s="1241"/>
      <c r="J27" s="1241"/>
      <c r="K27" s="1241"/>
      <c r="L27" s="1241"/>
      <c r="M27" s="1241"/>
      <c r="N27" s="1241"/>
      <c r="O27" s="1241"/>
      <c r="P27" s="1302">
        <f>'ALL-USD40.1M'!Y95</f>
        <v>108100000</v>
      </c>
      <c r="Q27" s="1261"/>
      <c r="R27" s="1348" t="str">
        <f>'ALL-USD40.1M'!AA95</f>
        <v>Belum proses</v>
      </c>
      <c r="S27" s="1349" t="str">
        <f>'ALL-USD40.1M'!AG95</f>
        <v>Masuk dalam perbincangan prioritas kegiatan JICA yang diusulkan (policy dialog)</v>
      </c>
    </row>
    <row r="28" spans="1:19" s="581" customFormat="1" ht="27.75" customHeight="1">
      <c r="A28" s="1236"/>
      <c r="B28" s="1237"/>
      <c r="C28" s="1258"/>
      <c r="D28" s="1243">
        <v>12</v>
      </c>
      <c r="E28" s="1250" t="str">
        <f>'ALL-USD40.1M'!N96</f>
        <v xml:space="preserve">Urgent Disaster Reduction of Mt. Sinabung, Mt. Semeru, Mt. Kelud Mt. Lokon, and Mt. Gamalama </v>
      </c>
      <c r="F28" s="1245"/>
      <c r="G28" s="1245"/>
      <c r="H28" s="1245"/>
      <c r="I28" s="1245"/>
      <c r="J28" s="1245"/>
      <c r="K28" s="1245"/>
      <c r="L28" s="1245"/>
      <c r="M28" s="1245"/>
      <c r="N28" s="1245"/>
      <c r="O28" s="1245"/>
      <c r="P28" s="1303">
        <f>'ALL-USD40.1M'!Y96</f>
        <v>260000000</v>
      </c>
      <c r="Q28" s="1244"/>
      <c r="R28" s="1346" t="str">
        <f>'ALL-USD40.1M'!AA96</f>
        <v>Belum proses</v>
      </c>
      <c r="S28" s="1347" t="str">
        <f>'ALL-USD40.1M'!AG96</f>
        <v>Masuk dalam perbincangan prioritas kegiatan JICA yang diusulkan (policy dialog)</v>
      </c>
    </row>
    <row r="29" spans="1:19" s="581" customFormat="1" ht="32.25" customHeight="1">
      <c r="A29" s="1236"/>
      <c r="B29" s="1237"/>
      <c r="C29" s="1260"/>
      <c r="D29" s="1260">
        <v>13</v>
      </c>
      <c r="E29" s="1261" t="str">
        <f>'ALL-USD40.1M'!N97</f>
        <v xml:space="preserve">Urban Flood Control System Improvement in Selected Cities -Phase II  </v>
      </c>
      <c r="F29" s="1241"/>
      <c r="G29" s="1241"/>
      <c r="H29" s="1241"/>
      <c r="I29" s="1241"/>
      <c r="J29" s="1241"/>
      <c r="K29" s="1241"/>
      <c r="L29" s="1241"/>
      <c r="M29" s="1241"/>
      <c r="N29" s="1241"/>
      <c r="O29" s="1241"/>
      <c r="P29" s="1302">
        <f>'ALL-USD40.1M'!Y97</f>
        <v>120000000</v>
      </c>
      <c r="Q29" s="1261"/>
      <c r="R29" s="1350" t="str">
        <f>'ALL-USD40.1M'!AA97</f>
        <v>Belum proses</v>
      </c>
      <c r="S29" s="1349" t="str">
        <f>'ALL-USD40.1M'!AG97</f>
        <v>- Direncanakan pengusulan untuk GB 2018
- K/L terkait belum mengusulkan</v>
      </c>
    </row>
    <row r="30" spans="1:19">
      <c r="A30" s="1234"/>
      <c r="B30" s="1095">
        <f>DATA!E118</f>
        <v>2</v>
      </c>
      <c r="C30" s="3737" t="str">
        <f>DATA!F118</f>
        <v>PERUMNAS</v>
      </c>
      <c r="D30" s="3738"/>
      <c r="E30" s="3739"/>
      <c r="F30" s="742"/>
      <c r="G30" s="730"/>
      <c r="H30" s="730"/>
      <c r="I30" s="730"/>
      <c r="J30" s="730"/>
      <c r="K30" s="730"/>
      <c r="L30" s="730"/>
      <c r="M30" s="730"/>
      <c r="N30" s="730"/>
      <c r="O30" s="850"/>
      <c r="P30" s="1075">
        <f>P31</f>
        <v>200000000</v>
      </c>
      <c r="Q30" s="852"/>
      <c r="R30" s="851"/>
      <c r="S30" s="1351"/>
    </row>
    <row r="31" spans="1:19">
      <c r="A31" s="1234"/>
      <c r="B31" s="1235"/>
      <c r="C31" s="853" t="str">
        <f>DATA!I118</f>
        <v>A</v>
      </c>
      <c r="D31" s="3728" t="str">
        <f>DATA!J118</f>
        <v>Program Penyediaaan Perumahan Bagi MBR</v>
      </c>
      <c r="E31" s="3725"/>
      <c r="F31" s="3726"/>
      <c r="G31" s="3730"/>
      <c r="H31" s="3728"/>
      <c r="I31" s="3730"/>
      <c r="J31" s="3728"/>
      <c r="K31" s="3730"/>
      <c r="L31" s="3728"/>
      <c r="M31" s="3730"/>
      <c r="N31" s="3728"/>
      <c r="O31" s="3726"/>
      <c r="P31" s="3724">
        <f>P32</f>
        <v>200000000</v>
      </c>
      <c r="Q31" s="3740"/>
      <c r="R31" s="3741"/>
      <c r="S31" s="3729"/>
    </row>
    <row r="32" spans="1:19" s="581" customFormat="1" ht="28.5">
      <c r="A32" s="1236"/>
      <c r="B32" s="1237"/>
      <c r="C32" s="1267"/>
      <c r="D32" s="1259">
        <v>14</v>
      </c>
      <c r="E32" s="1268" t="str">
        <f>'ALL-USD40.1M'!N110</f>
        <v>Support for National Housing and Urban Development Cooperation</v>
      </c>
      <c r="F32" s="1241"/>
      <c r="G32" s="1241"/>
      <c r="H32" s="1241"/>
      <c r="I32" s="1241"/>
      <c r="J32" s="1241"/>
      <c r="K32" s="1241"/>
      <c r="L32" s="1241"/>
      <c r="M32" s="1241"/>
      <c r="N32" s="1241"/>
      <c r="O32" s="1241"/>
      <c r="P32" s="1302">
        <f>'ALL-USD40.1M'!Y110</f>
        <v>200000000</v>
      </c>
      <c r="Q32" s="1261"/>
      <c r="R32" s="1327" t="str">
        <f>'ALL-USD40.1M'!AA110</f>
        <v>Belum proses</v>
      </c>
      <c r="S32" s="1352" t="str">
        <f>'ALL-USD40.1M'!AG110</f>
        <v>Masuk dalam perbincangan prioritas kegiatan JICA yang diusulkan (policy dialog)</v>
      </c>
    </row>
    <row r="33" spans="1:19">
      <c r="A33" s="1234"/>
      <c r="B33" s="1095">
        <f>'ALL-USD40.1M'!K111</f>
        <v>3</v>
      </c>
      <c r="C33" s="3742" t="str">
        <f>'ALL-USD40.1M'!L111</f>
        <v>Kementerian Perhubungan</v>
      </c>
      <c r="D33" s="3743"/>
      <c r="E33" s="3744"/>
      <c r="F33" s="742"/>
      <c r="G33" s="730"/>
      <c r="H33" s="730"/>
      <c r="I33" s="730"/>
      <c r="J33" s="730"/>
      <c r="K33" s="730"/>
      <c r="L33" s="730"/>
      <c r="M33" s="730"/>
      <c r="N33" s="730"/>
      <c r="O33" s="850"/>
      <c r="P33" s="1075">
        <f>P34+P37</f>
        <v>7141000000</v>
      </c>
      <c r="Q33" s="852"/>
      <c r="R33" s="851"/>
      <c r="S33" s="1351"/>
    </row>
    <row r="34" spans="1:19">
      <c r="A34" s="1234"/>
      <c r="B34" s="1235"/>
      <c r="C34" s="853" t="str">
        <f>'ALL-USD40.1M'!L112</f>
        <v>A</v>
      </c>
      <c r="D34" s="3728" t="str">
        <f>'ALL-USD40.1M'!M112</f>
        <v>Program Pengembangan Perkeretaapian</v>
      </c>
      <c r="E34" s="3725"/>
      <c r="F34" s="3726"/>
      <c r="G34" s="3730"/>
      <c r="H34" s="3728"/>
      <c r="I34" s="3730"/>
      <c r="J34" s="3728"/>
      <c r="K34" s="3730"/>
      <c r="L34" s="3728"/>
      <c r="M34" s="3730"/>
      <c r="N34" s="3728"/>
      <c r="O34" s="3726"/>
      <c r="P34" s="3724">
        <f>P35+P36</f>
        <v>5441000000</v>
      </c>
      <c r="Q34" s="3725"/>
      <c r="R34" s="3741"/>
      <c r="S34" s="3729"/>
    </row>
    <row r="35" spans="1:19" ht="30.75" customHeight="1">
      <c r="A35" s="1234"/>
      <c r="B35" s="1235"/>
      <c r="C35" s="1254"/>
      <c r="D35" s="1254">
        <v>15</v>
      </c>
      <c r="E35" s="1269" t="str">
        <f>'ALL-USD40.1M'!N115</f>
        <v xml:space="preserve">Construction of Jakarta Mass Rapid Transit North-South Line Project (Lebak Bulus-Kampung Bandan) </v>
      </c>
      <c r="F35" s="1252"/>
      <c r="G35" s="1252"/>
      <c r="H35" s="1252"/>
      <c r="I35" s="1252"/>
      <c r="J35" s="1252"/>
      <c r="K35" s="1252"/>
      <c r="L35" s="1252"/>
      <c r="M35" s="1252"/>
      <c r="N35" s="1252"/>
      <c r="O35" s="1252"/>
      <c r="P35" s="1305">
        <f>'ALL-USD40.1M'!Y115</f>
        <v>1869000000</v>
      </c>
      <c r="Q35" s="1264"/>
      <c r="R35" s="1353" t="str">
        <f>'ALL-USD40.1M'!AA115</f>
        <v>GB 2017</v>
      </c>
      <c r="S35" s="1354" t="str">
        <f>'ALL-USD40.1M'!AG115</f>
        <v>Terdapat penambahan ruang lingkup biaya tambahan pembangunan MRT Fase 1 (USD 191 juta)</v>
      </c>
    </row>
    <row r="36" spans="1:19" ht="27" customHeight="1">
      <c r="A36" s="1234"/>
      <c r="B36" s="1235"/>
      <c r="C36" s="1253"/>
      <c r="D36" s="1256">
        <v>16</v>
      </c>
      <c r="E36" s="1270" t="str">
        <f>'ALL-USD40.1M'!N116</f>
        <v>Construction of Jakarta Mass Rapid Transit East-West Line Project - Phase I</v>
      </c>
      <c r="F36" s="1252"/>
      <c r="G36" s="1252"/>
      <c r="H36" s="1252"/>
      <c r="I36" s="1252"/>
      <c r="J36" s="1252"/>
      <c r="K36" s="1252"/>
      <c r="L36" s="1252"/>
      <c r="M36" s="1252"/>
      <c r="N36" s="1252"/>
      <c r="O36" s="1252"/>
      <c r="P36" s="1309">
        <f>'ALL-USD40.1M'!Y116</f>
        <v>3572000000</v>
      </c>
      <c r="Q36" s="1264"/>
      <c r="R36" s="1332" t="str">
        <f>'ALL-USD40.1M'!AA116</f>
        <v>Belum proses</v>
      </c>
      <c r="S36" s="1355" t="str">
        <f>'ALL-USD40.1M'!AG116</f>
        <v>Terdapat permintaan Kem. Perhubungan untuk pembatalan ES (Engineering Services)MRT koridor East West pada 29 Mei 2017</v>
      </c>
    </row>
    <row r="37" spans="1:19">
      <c r="A37" s="1234"/>
      <c r="B37" s="1235"/>
      <c r="C37" s="733" t="str">
        <f>'ALL-USD40.1M'!L121</f>
        <v>B</v>
      </c>
      <c r="D37" s="3726" t="str">
        <f>'ALL-USD40.1M'!M121</f>
        <v xml:space="preserve">Program Pengembangan Transportasi Laut </v>
      </c>
      <c r="E37" s="3725"/>
      <c r="F37" s="3726"/>
      <c r="G37" s="3730"/>
      <c r="H37" s="3728"/>
      <c r="I37" s="3730"/>
      <c r="J37" s="3728"/>
      <c r="K37" s="3730"/>
      <c r="L37" s="3728"/>
      <c r="M37" s="3730"/>
      <c r="N37" s="3728"/>
      <c r="O37" s="3726"/>
      <c r="P37" s="3724">
        <f>P38+P39</f>
        <v>1700000000</v>
      </c>
      <c r="Q37" s="3725"/>
      <c r="R37" s="3726"/>
      <c r="S37" s="3729"/>
    </row>
    <row r="38" spans="1:19" ht="71.25">
      <c r="A38" s="1234"/>
      <c r="B38" s="1235"/>
      <c r="C38" s="1253"/>
      <c r="D38" s="1254">
        <v>17</v>
      </c>
      <c r="E38" s="1271" t="str">
        <f>'ALL-USD40.1M'!_Toc450667043</f>
        <v>The Development of Patimban Port - Stage I</v>
      </c>
      <c r="F38" s="1252"/>
      <c r="G38" s="1252"/>
      <c r="H38" s="1252"/>
      <c r="I38" s="1252"/>
      <c r="J38" s="1252"/>
      <c r="K38" s="1252"/>
      <c r="L38" s="1252"/>
      <c r="M38" s="1252"/>
      <c r="N38" s="1252"/>
      <c r="O38" s="1252"/>
      <c r="P38" s="1307">
        <f>'ALL-USD40.1M'!Y125</f>
        <v>1025052000</v>
      </c>
      <c r="Q38" s="1255"/>
      <c r="R38" s="1356" t="str">
        <f>'ALL-USD40.1M'!AA125</f>
        <v>- GB 2017 (USD 1.025 juta)
- DK tanggal 31 Juli 2017
- Sudah LA tanggal 15 November 2017</v>
      </c>
      <c r="S38" s="1357"/>
    </row>
    <row r="39" spans="1:19">
      <c r="A39" s="1234"/>
      <c r="B39" s="1235"/>
      <c r="C39" s="1256"/>
      <c r="D39" s="1256"/>
      <c r="E39" s="1255"/>
      <c r="F39" s="1252"/>
      <c r="G39" s="1252"/>
      <c r="H39" s="1252"/>
      <c r="I39" s="1252"/>
      <c r="J39" s="1252"/>
      <c r="K39" s="1252"/>
      <c r="L39" s="1252"/>
      <c r="M39" s="1252"/>
      <c r="N39" s="1252"/>
      <c r="O39" s="1252"/>
      <c r="P39" s="1310">
        <f>'ALL-USD40.1M'!Y126</f>
        <v>674948000</v>
      </c>
      <c r="Q39" s="1255"/>
      <c r="R39" s="1307" t="str">
        <f>'ALL-USD40.1M'!AA126</f>
        <v>Belum proses</v>
      </c>
      <c r="S39" s="1358"/>
    </row>
    <row r="40" spans="1:19">
      <c r="A40" s="1234"/>
      <c r="B40" s="1095">
        <v>4</v>
      </c>
      <c r="C40" s="876" t="str">
        <f>'ALL-USD40.1M'!L134</f>
        <v xml:space="preserve">PT. PLN    </v>
      </c>
      <c r="D40" s="740"/>
      <c r="E40" s="1272"/>
      <c r="F40" s="729"/>
      <c r="G40" s="748"/>
      <c r="H40" s="729"/>
      <c r="I40" s="748"/>
      <c r="J40" s="729"/>
      <c r="K40" s="748"/>
      <c r="L40" s="729"/>
      <c r="M40" s="748"/>
      <c r="N40" s="729"/>
      <c r="O40" s="748"/>
      <c r="P40" s="951">
        <f>P41</f>
        <v>3086000000</v>
      </c>
      <c r="Q40" s="1034"/>
      <c r="R40" s="876"/>
      <c r="S40" s="1359"/>
    </row>
    <row r="41" spans="1:19">
      <c r="A41" s="1234"/>
      <c r="B41" s="1235"/>
      <c r="C41" s="877" t="str">
        <f>'ALL-USD40.1M'!L135</f>
        <v>A</v>
      </c>
      <c r="D41" s="3763" t="str">
        <f>DATA!J139</f>
        <v>Program Pembangunan Infrastruktur Ketenagalistrikan</v>
      </c>
      <c r="E41" s="3764"/>
      <c r="F41" s="3726"/>
      <c r="G41" s="3730"/>
      <c r="H41" s="3728"/>
      <c r="I41" s="3730"/>
      <c r="J41" s="3728"/>
      <c r="K41" s="3730"/>
      <c r="L41" s="3728"/>
      <c r="M41" s="3730"/>
      <c r="N41" s="3728"/>
      <c r="O41" s="3726"/>
      <c r="P41" s="3724">
        <f>P42+P43+P44+P45+P46</f>
        <v>3086000000</v>
      </c>
      <c r="Q41" s="3740"/>
      <c r="R41" s="3745"/>
      <c r="S41" s="3746"/>
    </row>
    <row r="42" spans="1:19" s="581" customFormat="1" ht="63.75" customHeight="1">
      <c r="A42" s="1236"/>
      <c r="B42" s="1237"/>
      <c r="C42" s="1238"/>
      <c r="D42" s="1267">
        <v>18</v>
      </c>
      <c r="E42" s="1259" t="str">
        <f>'ALL-USD40.1M'!N136</f>
        <v>Construction of Java Sumatera Interconnection 500 kV (HVDC-Phase 3 &amp; 4)</v>
      </c>
      <c r="F42" s="1241"/>
      <c r="G42" s="1241"/>
      <c r="H42" s="1241"/>
      <c r="I42" s="1241"/>
      <c r="J42" s="1241"/>
      <c r="K42" s="1241"/>
      <c r="L42" s="1241"/>
      <c r="M42" s="1241"/>
      <c r="N42" s="1241"/>
      <c r="O42" s="1241"/>
      <c r="P42" s="1302">
        <f>'ALL-USD40.1M'!Y136</f>
        <v>933000000</v>
      </c>
      <c r="Q42" s="1261"/>
      <c r="R42" s="1360" t="str">
        <f>'ALL-USD40.1M'!AA136</f>
        <v>Belum proses</v>
      </c>
      <c r="S42" s="1361" t="str">
        <f>'ALL-USD40.1M'!AG136</f>
        <v>- Potensial ditunda
- HVDC Phase 2 (proyek on-going) ditangguhkan pelaksanaannya sampai 2021</v>
      </c>
    </row>
    <row r="43" spans="1:19">
      <c r="A43" s="1234"/>
      <c r="B43" s="1235"/>
      <c r="C43" s="1253"/>
      <c r="D43" s="1273">
        <v>19</v>
      </c>
      <c r="E43" s="1255" t="str">
        <f>'ALL-USD40.1M'!N137</f>
        <v>Hululais Geothermal Power Plant  1&amp;2 (2x55MW)</v>
      </c>
      <c r="F43" s="1252"/>
      <c r="G43" s="1252"/>
      <c r="H43" s="1252"/>
      <c r="I43" s="1252"/>
      <c r="J43" s="1252"/>
      <c r="K43" s="1252"/>
      <c r="L43" s="1252"/>
      <c r="M43" s="1252"/>
      <c r="N43" s="1252"/>
      <c r="O43" s="1252"/>
      <c r="P43" s="1311">
        <f>'ALL-USD40.1M'!Y137</f>
        <v>204000000</v>
      </c>
      <c r="Q43" s="1255"/>
      <c r="R43" s="1362" t="str">
        <f>'ALL-USD40.1M'!AA137</f>
        <v>Sudah terdapat RC</v>
      </c>
      <c r="S43" s="1274" t="str">
        <f>'ALL-USD40.1M'!AG137</f>
        <v>Akan diproses 2018</v>
      </c>
    </row>
    <row r="44" spans="1:19">
      <c r="A44" s="1234"/>
      <c r="B44" s="1235"/>
      <c r="C44" s="1253"/>
      <c r="D44" s="1274">
        <v>20</v>
      </c>
      <c r="E44" s="1274" t="str">
        <f>'ALL-USD40.1M'!N139</f>
        <v>Tulehu Geothermal Power Plant Project Unit 1&amp;2 (2x10MW)</v>
      </c>
      <c r="F44" s="1252"/>
      <c r="G44" s="1252"/>
      <c r="H44" s="1252"/>
      <c r="I44" s="1252"/>
      <c r="J44" s="1252"/>
      <c r="K44" s="1252"/>
      <c r="L44" s="1252"/>
      <c r="M44" s="1252"/>
      <c r="N44" s="1252"/>
      <c r="O44" s="1252"/>
      <c r="P44" s="1312">
        <f>'ALL-USD40.1M'!Y139</f>
        <v>104000000</v>
      </c>
      <c r="Q44" s="1255"/>
      <c r="R44" s="1362" t="str">
        <f>'ALL-USD40.1M'!AA139</f>
        <v>Sudah terdapat RC</v>
      </c>
      <c r="S44" s="1276" t="str">
        <f>'ALL-USD40.1M'!AG139</f>
        <v>Akan diproses 2018</v>
      </c>
    </row>
    <row r="45" spans="1:19">
      <c r="A45" s="1234"/>
      <c r="B45" s="1275"/>
      <c r="C45" s="1276"/>
      <c r="D45" s="1276">
        <v>21</v>
      </c>
      <c r="E45" s="1277" t="str">
        <f>'ALL-USD40.1M'!N140</f>
        <v>Indramayu Coal Fired Power Plant  #4 (1x1000MW)</v>
      </c>
      <c r="F45" s="1252"/>
      <c r="G45" s="1252"/>
      <c r="H45" s="1252"/>
      <c r="I45" s="1252"/>
      <c r="J45" s="1252"/>
      <c r="K45" s="1252"/>
      <c r="L45" s="1252"/>
      <c r="M45" s="1252"/>
      <c r="N45" s="1252"/>
      <c r="O45" s="1252"/>
      <c r="P45" s="1313">
        <f>'ALL-USD40.1M'!Y140</f>
        <v>300000000</v>
      </c>
      <c r="Q45" s="1255"/>
      <c r="R45" s="1335" t="str">
        <f>'ALL-USD40.1M'!AA140</f>
        <v>GB 2017 (USD 300 juta)</v>
      </c>
      <c r="S45" s="1334" t="str">
        <f>'ALL-USD40.1M'!AG141</f>
        <v>Akan diproses lebih lanjut slice 2 pada GB 2019</v>
      </c>
    </row>
    <row r="46" spans="1:19">
      <c r="A46" s="1234"/>
      <c r="B46" s="1252"/>
      <c r="C46" s="1255"/>
      <c r="D46" s="1252"/>
      <c r="E46" s="1252"/>
      <c r="F46" s="1252"/>
      <c r="G46" s="1252"/>
      <c r="H46" s="1252"/>
      <c r="I46" s="1252"/>
      <c r="J46" s="1252"/>
      <c r="K46" s="1252"/>
      <c r="L46" s="1252"/>
      <c r="M46" s="1252"/>
      <c r="N46" s="1252"/>
      <c r="O46" s="1252"/>
      <c r="P46" s="1313">
        <f>'ALL-USD40.1M'!Y141</f>
        <v>1545000000</v>
      </c>
      <c r="Q46" s="1255"/>
      <c r="R46" s="1363" t="str">
        <f>'ALL-USD40.1M'!AA141</f>
        <v>Sudah terdapat RC</v>
      </c>
      <c r="S46" s="1334"/>
    </row>
    <row r="47" spans="1:19" ht="15.75">
      <c r="A47" s="1278" t="s">
        <v>960</v>
      </c>
      <c r="B47" s="937" t="str">
        <f>DATA!D160</f>
        <v>NON-INFRASTRUKTUR</v>
      </c>
      <c r="C47" s="1113"/>
      <c r="D47" s="1086"/>
      <c r="E47" s="937"/>
      <c r="F47" s="686"/>
      <c r="G47" s="686"/>
      <c r="H47" s="686"/>
      <c r="I47" s="686"/>
      <c r="J47" s="686"/>
      <c r="K47" s="686"/>
      <c r="L47" s="686"/>
      <c r="M47" s="686"/>
      <c r="N47" s="686"/>
      <c r="O47" s="865"/>
      <c r="P47" s="1076">
        <f>P48</f>
        <v>71694000</v>
      </c>
      <c r="Q47" s="867"/>
      <c r="R47" s="866"/>
      <c r="S47" s="1364"/>
    </row>
    <row r="48" spans="1:19">
      <c r="A48" s="1234"/>
      <c r="B48" s="730">
        <v>5</v>
      </c>
      <c r="C48" s="748" t="str">
        <f>'ALL-USD40.1M'!L157</f>
        <v>Kementerian Riset, Teknologi, dan Pendidikan Tinggi</v>
      </c>
      <c r="D48" s="729"/>
      <c r="E48" s="748"/>
      <c r="F48" s="1252"/>
      <c r="G48" s="1252"/>
      <c r="H48" s="1252"/>
      <c r="I48" s="1252"/>
      <c r="J48" s="1252"/>
      <c r="K48" s="1252"/>
      <c r="L48" s="1252"/>
      <c r="M48" s="1252"/>
      <c r="N48" s="1252"/>
      <c r="O48" s="1252"/>
      <c r="P48" s="951">
        <f>P49</f>
        <v>71694000</v>
      </c>
      <c r="Q48" s="984"/>
      <c r="R48" s="876"/>
      <c r="S48" s="1365"/>
    </row>
    <row r="49" spans="1:19" ht="25.5" customHeight="1">
      <c r="A49" s="1234"/>
      <c r="B49" s="1252"/>
      <c r="C49" s="699" t="str">
        <f>'ALL-USD40.1M'!L158</f>
        <v>A</v>
      </c>
      <c r="D49" s="3728" t="str">
        <f>DATA!J160</f>
        <v xml:space="preserve">Program Peningkatan Akses, Kualitas, Relevansi, dan Daya Saing Pendidikan Tinggi </v>
      </c>
      <c r="E49" s="3730"/>
      <c r="F49" s="699"/>
      <c r="G49" s="699"/>
      <c r="H49" s="699"/>
      <c r="I49" s="699"/>
      <c r="J49" s="699"/>
      <c r="K49" s="699"/>
      <c r="L49" s="699"/>
      <c r="M49" s="699"/>
      <c r="N49" s="699"/>
      <c r="O49" s="817"/>
      <c r="P49" s="954">
        <f>P50</f>
        <v>71694000</v>
      </c>
      <c r="Q49" s="854"/>
      <c r="R49" s="853"/>
      <c r="S49" s="1366"/>
    </row>
    <row r="50" spans="1:19" s="1219" customFormat="1" ht="38.25" customHeight="1">
      <c r="A50" s="1246"/>
      <c r="B50" s="1264"/>
      <c r="C50" s="1279"/>
      <c r="D50" s="1280">
        <v>22</v>
      </c>
      <c r="E50" s="1281" t="str">
        <f>'ALL-USD40.1M'!N162</f>
        <v>University of Gadjah Mada Achieving World Class University with Socio-Entrepreneurial Spirit</v>
      </c>
      <c r="F50" s="1281"/>
      <c r="G50" s="1281"/>
      <c r="H50" s="1281"/>
      <c r="I50" s="1281"/>
      <c r="J50" s="1281"/>
      <c r="K50" s="1281"/>
      <c r="L50" s="1281"/>
      <c r="M50" s="1281"/>
      <c r="N50" s="1281"/>
      <c r="O50" s="1281"/>
      <c r="P50" s="1314">
        <f>'ALL-USD40.1M'!Y162</f>
        <v>71694000</v>
      </c>
      <c r="Q50" s="1367"/>
      <c r="R50" s="1280" t="str">
        <f>'ALL-USD40.1M'!AA162</f>
        <v>- GB 2017
- DK tanggal 31 Juli 2017
- Sudah LA November 2017</v>
      </c>
      <c r="S50" s="1368" t="str">
        <f>'ALL-USD40.1M'!AG162</f>
        <v>Diperlukan konfirmasi dengan Dit. Bila</v>
      </c>
    </row>
    <row r="51" spans="1:19" hidden="1">
      <c r="A51" s="1234"/>
      <c r="B51" s="1255"/>
      <c r="C51" s="1253"/>
      <c r="D51" s="1255"/>
      <c r="E51" s="1252"/>
      <c r="F51" s="1252"/>
      <c r="G51" s="1252"/>
      <c r="H51" s="1252"/>
      <c r="I51" s="1252"/>
      <c r="J51" s="1252"/>
      <c r="K51" s="1252"/>
      <c r="L51" s="1252"/>
      <c r="M51" s="1252"/>
      <c r="N51" s="1252"/>
      <c r="O51" s="1252"/>
      <c r="P51" s="1315"/>
      <c r="Q51" s="1369"/>
      <c r="R51" s="1252"/>
      <c r="S51" s="1334"/>
    </row>
    <row r="52" spans="1:19" hidden="1">
      <c r="A52" s="1234"/>
      <c r="B52" s="1255"/>
      <c r="C52" s="1253"/>
      <c r="D52" s="1255"/>
      <c r="E52" s="1252"/>
      <c r="F52" s="1252"/>
      <c r="G52" s="1252"/>
      <c r="H52" s="1252"/>
      <c r="I52" s="1252"/>
      <c r="J52" s="1252"/>
      <c r="K52" s="1252"/>
      <c r="L52" s="1252"/>
      <c r="M52" s="1252"/>
      <c r="N52" s="1252"/>
      <c r="O52" s="1252"/>
      <c r="P52" s="1315"/>
      <c r="Q52" s="1369"/>
      <c r="R52" s="1252"/>
      <c r="S52" s="1334"/>
    </row>
    <row r="53" spans="1:19">
      <c r="A53" s="1282"/>
      <c r="B53" s="1283"/>
      <c r="C53" s="1284"/>
      <c r="D53" s="1283"/>
      <c r="E53" s="1285" t="s">
        <v>477</v>
      </c>
      <c r="F53" s="1285"/>
      <c r="G53" s="1285"/>
      <c r="H53" s="1285"/>
      <c r="I53" s="1285"/>
      <c r="J53" s="1285"/>
      <c r="K53" s="1285"/>
      <c r="L53" s="1285"/>
      <c r="M53" s="1285"/>
      <c r="N53" s="1285"/>
      <c r="O53" s="1285"/>
      <c r="P53" s="1316">
        <f>P47+P7</f>
        <v>14400230000</v>
      </c>
      <c r="Q53" s="1370"/>
      <c r="R53" s="1285"/>
      <c r="S53" s="1371"/>
    </row>
    <row r="54" spans="1:19" hidden="1">
      <c r="A54" s="1286"/>
      <c r="B54" s="1252"/>
      <c r="C54" s="1252"/>
      <c r="D54" s="1252"/>
      <c r="E54" s="1252"/>
      <c r="F54" s="1252"/>
      <c r="G54" s="1252"/>
      <c r="H54" s="1252"/>
      <c r="I54" s="1252"/>
      <c r="J54" s="1252"/>
      <c r="K54" s="1252"/>
      <c r="L54" s="1252"/>
      <c r="M54" s="1252"/>
      <c r="N54" s="1252"/>
      <c r="O54" s="1252"/>
      <c r="P54" s="1315"/>
      <c r="Q54" s="1252"/>
      <c r="R54" s="1252"/>
      <c r="S54" s="1372"/>
    </row>
    <row r="55" spans="1:19" hidden="1">
      <c r="A55" s="1286"/>
      <c r="B55" s="1252"/>
      <c r="C55" s="1252"/>
      <c r="D55" s="1252"/>
      <c r="E55" s="1252"/>
      <c r="F55" s="1252"/>
      <c r="G55" s="1252"/>
      <c r="H55" s="1252"/>
      <c r="I55" s="1252"/>
      <c r="J55" s="1252"/>
      <c r="K55" s="1252"/>
      <c r="L55" s="1252"/>
      <c r="M55" s="1252"/>
      <c r="N55" s="1252"/>
      <c r="O55" s="1252"/>
      <c r="P55" s="1315"/>
      <c r="Q55" s="1252"/>
      <c r="R55" s="1252"/>
      <c r="S55" s="1372"/>
    </row>
    <row r="56" spans="1:19" hidden="1">
      <c r="A56" s="1287"/>
      <c r="B56" s="1288"/>
      <c r="C56" s="1288"/>
      <c r="D56" s="1288"/>
      <c r="E56" s="1288"/>
      <c r="F56" s="1288"/>
      <c r="G56" s="1288"/>
      <c r="H56" s="1288"/>
      <c r="I56" s="1288"/>
      <c r="J56" s="1288"/>
      <c r="K56" s="1288"/>
      <c r="L56" s="1288"/>
      <c r="M56" s="1288"/>
      <c r="N56" s="1288"/>
      <c r="O56" s="1288"/>
      <c r="Q56" s="1288"/>
      <c r="R56" s="1288"/>
      <c r="S56" s="1373"/>
    </row>
    <row r="57" spans="1:19">
      <c r="P57" s="601"/>
    </row>
    <row r="58" spans="1:19">
      <c r="P58" s="1317">
        <f>P53+KOREA!P33+RRT!P21+EROPA!P38+'BILA-LAIN'!P22+BD!P49+ADB!P32+IDB!P39+'MULTI-Lain'!P38+'NO LENDER'!P92</f>
        <v>38628696700</v>
      </c>
    </row>
    <row r="59" spans="1:19">
      <c r="P59" s="601"/>
    </row>
    <row r="60" spans="1:19">
      <c r="P60" s="601"/>
    </row>
    <row r="61" spans="1:19">
      <c r="P61" s="601"/>
    </row>
    <row r="62" spans="1:19">
      <c r="P62" s="601"/>
    </row>
    <row r="63" spans="1:19">
      <c r="P63" s="601"/>
    </row>
    <row r="64" spans="1:19">
      <c r="P64" s="601"/>
    </row>
    <row r="65" spans="16:16">
      <c r="P65" s="601"/>
    </row>
    <row r="66" spans="16:16">
      <c r="P66" s="601"/>
    </row>
    <row r="67" spans="16:16">
      <c r="P67" s="601"/>
    </row>
    <row r="68" spans="16:16">
      <c r="P68" s="601"/>
    </row>
    <row r="69" spans="16:16">
      <c r="P69" s="601"/>
    </row>
    <row r="70" spans="16:16">
      <c r="P70" s="601"/>
    </row>
    <row r="71" spans="16:16">
      <c r="P71" s="601"/>
    </row>
    <row r="72" spans="16:16">
      <c r="P72" s="601"/>
    </row>
    <row r="73" spans="16:16">
      <c r="P73" s="601"/>
    </row>
    <row r="74" spans="16:16">
      <c r="P74" s="601"/>
    </row>
    <row r="75" spans="16:16">
      <c r="P75" s="601"/>
    </row>
    <row r="76" spans="16:16">
      <c r="P76" s="601"/>
    </row>
    <row r="77" spans="16:16">
      <c r="P77" s="601"/>
    </row>
  </sheetData>
  <mergeCells count="88">
    <mergeCell ref="P41:Q41"/>
    <mergeCell ref="R41:S41"/>
    <mergeCell ref="D49:E49"/>
    <mergeCell ref="F4:F5"/>
    <mergeCell ref="G4:G5"/>
    <mergeCell ref="H4:H5"/>
    <mergeCell ref="I4:I5"/>
    <mergeCell ref="J4:J5"/>
    <mergeCell ref="K4:K5"/>
    <mergeCell ref="P4:P5"/>
    <mergeCell ref="Q4:Q5"/>
    <mergeCell ref="R4:R5"/>
    <mergeCell ref="S4:S5"/>
    <mergeCell ref="A4:E5"/>
    <mergeCell ref="D41:E41"/>
    <mergeCell ref="F41:G41"/>
    <mergeCell ref="H41:I41"/>
    <mergeCell ref="J41:K41"/>
    <mergeCell ref="L41:M41"/>
    <mergeCell ref="N34:O34"/>
    <mergeCell ref="N41:O41"/>
    <mergeCell ref="P34:Q34"/>
    <mergeCell ref="R34:S34"/>
    <mergeCell ref="D37:E37"/>
    <mergeCell ref="F37:G37"/>
    <mergeCell ref="H37:I37"/>
    <mergeCell ref="J37:K37"/>
    <mergeCell ref="L37:M37"/>
    <mergeCell ref="N37:O37"/>
    <mergeCell ref="P37:Q37"/>
    <mergeCell ref="R37:S37"/>
    <mergeCell ref="D34:E34"/>
    <mergeCell ref="F34:G34"/>
    <mergeCell ref="H34:I34"/>
    <mergeCell ref="J34:K34"/>
    <mergeCell ref="L34:M34"/>
    <mergeCell ref="L31:M31"/>
    <mergeCell ref="N31:O31"/>
    <mergeCell ref="P31:Q31"/>
    <mergeCell ref="R31:S31"/>
    <mergeCell ref="C33:E33"/>
    <mergeCell ref="C30:E30"/>
    <mergeCell ref="D31:E31"/>
    <mergeCell ref="F31:G31"/>
    <mergeCell ref="H31:I31"/>
    <mergeCell ref="J31:K31"/>
    <mergeCell ref="N23:O23"/>
    <mergeCell ref="P23:Q23"/>
    <mergeCell ref="R23:S23"/>
    <mergeCell ref="D25:E25"/>
    <mergeCell ref="F25:G25"/>
    <mergeCell ref="H25:I25"/>
    <mergeCell ref="J25:K25"/>
    <mergeCell ref="L25:M25"/>
    <mergeCell ref="N25:O25"/>
    <mergeCell ref="P25:Q25"/>
    <mergeCell ref="R25:S25"/>
    <mergeCell ref="D23:E23"/>
    <mergeCell ref="F23:G23"/>
    <mergeCell ref="H23:I23"/>
    <mergeCell ref="J23:K23"/>
    <mergeCell ref="L23:M23"/>
    <mergeCell ref="N17:O17"/>
    <mergeCell ref="P17:Q17"/>
    <mergeCell ref="R17:S17"/>
    <mergeCell ref="D20:E20"/>
    <mergeCell ref="F20:G20"/>
    <mergeCell ref="H20:I20"/>
    <mergeCell ref="J20:K20"/>
    <mergeCell ref="L20:M20"/>
    <mergeCell ref="N20:O20"/>
    <mergeCell ref="P20:Q20"/>
    <mergeCell ref="R20:S20"/>
    <mergeCell ref="D17:E17"/>
    <mergeCell ref="F17:G17"/>
    <mergeCell ref="H17:I17"/>
    <mergeCell ref="J17:K17"/>
    <mergeCell ref="L17:M17"/>
    <mergeCell ref="D9:E9"/>
    <mergeCell ref="D12:E12"/>
    <mergeCell ref="D14:E14"/>
    <mergeCell ref="P14:Q14"/>
    <mergeCell ref="R14:S14"/>
    <mergeCell ref="A1:AA1"/>
    <mergeCell ref="A2:S2"/>
    <mergeCell ref="L4:O4"/>
    <mergeCell ref="T4:V4"/>
    <mergeCell ref="W4:AA4"/>
  </mergeCells>
  <pageMargins left="0.69930555555555596" right="0.69930555555555596" top="0.75" bottom="0.75" header="0.3" footer="0.3"/>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57"/>
  <sheetViews>
    <sheetView topLeftCell="A7" zoomScale="70" zoomScaleNormal="70" workbookViewId="0">
      <selection activeCell="S24" sqref="S24"/>
    </sheetView>
  </sheetViews>
  <sheetFormatPr defaultColWidth="9" defaultRowHeight="15"/>
  <cols>
    <col min="1" max="1" width="2.85546875" customWidth="1"/>
    <col min="2" max="2" width="3.5703125" customWidth="1"/>
    <col min="3" max="3" width="2.85546875" customWidth="1"/>
    <col min="4" max="4" width="4.85546875" customWidth="1"/>
    <col min="5" max="5" width="68.140625" customWidth="1"/>
    <col min="6" max="15" width="9" hidden="1" customWidth="1"/>
    <col min="16" max="16" width="24" customWidth="1"/>
    <col min="17" max="17" width="5.140625" hidden="1" customWidth="1"/>
    <col min="18" max="18" width="25" customWidth="1"/>
    <col min="19" max="19" width="41.42578125" customWidth="1"/>
    <col min="20" max="27" width="9" hidden="1" customWidth="1"/>
  </cols>
  <sheetData>
    <row r="1" spans="1:28" ht="18">
      <c r="A1" s="3708"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row>
    <row r="2" spans="1:28" ht="18">
      <c r="A2" s="3708" t="s">
        <v>1213</v>
      </c>
      <c r="B2" s="3697"/>
      <c r="C2" s="3697"/>
      <c r="D2" s="3697"/>
      <c r="E2" s="3697"/>
      <c r="F2" s="3697"/>
      <c r="G2" s="3697"/>
      <c r="H2" s="3697"/>
      <c r="I2" s="3697"/>
      <c r="J2" s="3697"/>
      <c r="K2" s="3697"/>
      <c r="L2" s="3697"/>
      <c r="M2" s="3697"/>
      <c r="N2" s="3697"/>
      <c r="O2" s="3697"/>
      <c r="P2" s="3697"/>
      <c r="Q2" s="3697"/>
      <c r="R2" s="3697"/>
      <c r="S2" s="3697"/>
      <c r="T2" s="671"/>
      <c r="U2" s="671"/>
      <c r="V2" s="671"/>
      <c r="W2" s="671"/>
      <c r="X2" s="671"/>
      <c r="Y2" s="671"/>
      <c r="Z2" s="671"/>
      <c r="AA2" s="671"/>
    </row>
    <row r="3" spans="1:28">
      <c r="A3" s="672"/>
      <c r="B3" s="673"/>
      <c r="C3" s="673"/>
      <c r="D3" s="673"/>
      <c r="E3" s="674"/>
      <c r="F3" s="675"/>
      <c r="G3" s="675"/>
      <c r="H3" s="676"/>
      <c r="I3" s="676"/>
      <c r="J3" s="675"/>
      <c r="K3" s="675"/>
      <c r="L3" s="754"/>
      <c r="M3" s="675"/>
      <c r="N3" s="675"/>
      <c r="O3" s="675"/>
      <c r="P3" s="675"/>
      <c r="Q3" s="675"/>
      <c r="R3" s="675"/>
      <c r="S3" s="675"/>
      <c r="T3" s="674"/>
      <c r="U3" s="674"/>
      <c r="V3" s="674"/>
      <c r="W3" s="754"/>
      <c r="X3" s="754"/>
      <c r="Y3" s="754"/>
      <c r="Z3" s="754"/>
      <c r="AA3" s="878"/>
    </row>
    <row r="4" spans="1:28" ht="16.5" customHeight="1">
      <c r="A4" s="3783" t="s">
        <v>2</v>
      </c>
      <c r="B4" s="3784"/>
      <c r="C4" s="3784"/>
      <c r="D4" s="3784"/>
      <c r="E4" s="3784"/>
      <c r="F4" s="3771" t="s">
        <v>1382</v>
      </c>
      <c r="G4" s="3773" t="s">
        <v>1383</v>
      </c>
      <c r="H4" s="3775" t="s">
        <v>1082</v>
      </c>
      <c r="I4" s="3775" t="s">
        <v>1083</v>
      </c>
      <c r="J4" s="3776" t="s">
        <v>1384</v>
      </c>
      <c r="K4" s="3778" t="s">
        <v>1085</v>
      </c>
      <c r="L4" s="3765" t="s">
        <v>1088</v>
      </c>
      <c r="M4" s="3766"/>
      <c r="N4" s="3766"/>
      <c r="O4" s="3767"/>
      <c r="P4" s="3773" t="s">
        <v>1136</v>
      </c>
      <c r="Q4" s="3773" t="s">
        <v>7</v>
      </c>
      <c r="R4" s="3773" t="s">
        <v>1137</v>
      </c>
      <c r="S4" s="3781" t="s">
        <v>10</v>
      </c>
      <c r="T4" s="3713" t="s">
        <v>1089</v>
      </c>
      <c r="U4" s="3768"/>
      <c r="V4" s="3769"/>
      <c r="W4" s="3716" t="s">
        <v>1086</v>
      </c>
      <c r="X4" s="3768"/>
      <c r="Y4" s="3768"/>
      <c r="Z4" s="3768"/>
      <c r="AA4" s="3770"/>
    </row>
    <row r="5" spans="1:28" ht="0.75" customHeight="1">
      <c r="A5" s="3785"/>
      <c r="B5" s="3786"/>
      <c r="C5" s="3786"/>
      <c r="D5" s="3786"/>
      <c r="E5" s="3786"/>
      <c r="F5" s="3772"/>
      <c r="G5" s="3774"/>
      <c r="H5" s="3774"/>
      <c r="I5" s="3774"/>
      <c r="J5" s="3777"/>
      <c r="K5" s="3779"/>
      <c r="L5" s="755" t="s">
        <v>11</v>
      </c>
      <c r="M5" s="756" t="s">
        <v>507</v>
      </c>
      <c r="N5" s="756" t="s">
        <v>1090</v>
      </c>
      <c r="O5" s="757" t="s">
        <v>509</v>
      </c>
      <c r="P5" s="3774"/>
      <c r="Q5" s="3774"/>
      <c r="R5" s="3780"/>
      <c r="S5" s="3782"/>
      <c r="T5" s="755" t="s">
        <v>507</v>
      </c>
      <c r="U5" s="802" t="s">
        <v>510</v>
      </c>
      <c r="V5" s="757" t="s">
        <v>511</v>
      </c>
      <c r="W5" s="803" t="s">
        <v>550</v>
      </c>
      <c r="X5" s="755" t="s">
        <v>1091</v>
      </c>
      <c r="Y5" s="802" t="s">
        <v>15</v>
      </c>
      <c r="Z5" s="879" t="s">
        <v>1092</v>
      </c>
      <c r="AA5" s="880" t="s">
        <v>511</v>
      </c>
    </row>
    <row r="6" spans="1:28">
      <c r="A6" s="1181"/>
      <c r="B6" s="680"/>
      <c r="C6" s="680"/>
      <c r="D6" s="680"/>
      <c r="E6" s="681"/>
      <c r="F6" s="682"/>
      <c r="G6" s="683"/>
      <c r="H6" s="684"/>
      <c r="I6" s="684"/>
      <c r="J6" s="758"/>
      <c r="K6" s="759"/>
      <c r="L6" s="760"/>
      <c r="M6" s="761"/>
      <c r="N6" s="761"/>
      <c r="O6" s="762"/>
      <c r="P6" s="763"/>
      <c r="Q6" s="763"/>
      <c r="R6" s="1203"/>
      <c r="S6" s="1204"/>
      <c r="T6" s="805"/>
      <c r="U6" s="761"/>
      <c r="V6" s="762"/>
      <c r="W6" s="806"/>
      <c r="X6" s="881"/>
      <c r="Y6" s="882"/>
      <c r="Z6" s="883"/>
      <c r="AA6" s="884"/>
    </row>
    <row r="7" spans="1:28" ht="15.75">
      <c r="A7" s="1182" t="str">
        <f>DATA!B2</f>
        <v>I</v>
      </c>
      <c r="B7" s="1059" t="str">
        <f>DATA!D2</f>
        <v>INFRASTRUKTUR</v>
      </c>
      <c r="C7" s="1059"/>
      <c r="D7" s="1059"/>
      <c r="E7" s="1087"/>
      <c r="F7" s="688" t="e">
        <f>F8+#REF!+#REF!+#REF!+#REF!+#REF!+#REF!+#REF!+#REF!+#REF!</f>
        <v>#REF!</v>
      </c>
      <c r="G7" s="689" t="e">
        <f>G8+#REF!+#REF!+#REF!+#REF!+#REF!+#REF!+#REF!+#REF!+#REF!</f>
        <v>#REF!</v>
      </c>
      <c r="H7" s="689" t="e">
        <f>+H8+#REF!+#REF!+#REF!+#REF!+#REF!+#REF!+#REF!+#REF!</f>
        <v>#REF!</v>
      </c>
      <c r="I7" s="689" t="e">
        <f>+I8+#REF!+#REF!+#REF!+#REF!+#REF!+#REF!+#REF!+#REF!</f>
        <v>#REF!</v>
      </c>
      <c r="J7" s="764" t="e">
        <f>+J8+#REF!+#REF!+#REF!+#REF!+#REF!+#REF!+#REF!+#REF!</f>
        <v>#REF!</v>
      </c>
      <c r="K7" s="765"/>
      <c r="L7" s="766"/>
      <c r="M7" s="767" t="e">
        <f>+M8+#REF!+#REF!+#REF!+#REF!+#REF!+#REF!+#REF!+#REF!</f>
        <v>#REF!</v>
      </c>
      <c r="N7" s="767" t="e">
        <f>+N8+#REF!+#REF!+#REF!+#REF!+#REF!+#REF!+#REF!+#REF!</f>
        <v>#REF!</v>
      </c>
      <c r="O7" s="768" t="e">
        <f>+O8+#REF!+#REF!+#REF!+#REF!+#REF!</f>
        <v>#REF!</v>
      </c>
      <c r="P7" s="767">
        <f>P8+O22+P26+P29</f>
        <v>1257480580</v>
      </c>
      <c r="Q7" s="768"/>
      <c r="R7" s="1205"/>
      <c r="S7" s="1206"/>
      <c r="T7" s="766" t="e">
        <f>+T8+#REF!+#REF!+#REF!+#REF!+#REF!+#REF!+#REF!+#REF!</f>
        <v>#REF!</v>
      </c>
      <c r="U7" s="767" t="s">
        <v>21</v>
      </c>
      <c r="V7" s="688" t="e">
        <f>G7-T7</f>
        <v>#REF!</v>
      </c>
      <c r="W7" s="809"/>
      <c r="X7" s="885"/>
      <c r="Y7" s="886"/>
      <c r="Z7" s="887"/>
      <c r="AA7" s="888"/>
    </row>
    <row r="8" spans="1:28">
      <c r="A8" s="1183"/>
      <c r="B8" s="1090">
        <f>DATA!E2</f>
        <v>1</v>
      </c>
      <c r="C8" s="1091" t="str">
        <f>DATA!F2</f>
        <v>Kementerian Pekerjaan Umum dan Perumahan Rakyat</v>
      </c>
      <c r="D8" s="1091"/>
      <c r="E8" s="1184"/>
      <c r="F8" s="1032"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P9+P11+P13+P16+P18+P20</f>
        <v>991345380</v>
      </c>
      <c r="Q8" s="773"/>
      <c r="R8" s="1043"/>
      <c r="S8" s="1044"/>
      <c r="T8" s="771" t="e">
        <f>+#REF!+#REF!+#REF!+#REF!+T9+#REF!+#REF!+#REF!+#REF!+#REF!+#REF!+#REF!+#REF!+#REF!+#REF!</f>
        <v>#REF!</v>
      </c>
      <c r="U8" s="772" t="s">
        <v>21</v>
      </c>
      <c r="V8" s="694"/>
      <c r="W8" s="812"/>
      <c r="X8" s="889"/>
      <c r="Y8" s="890"/>
      <c r="Z8" s="891"/>
      <c r="AA8" s="892"/>
    </row>
    <row r="9" spans="1:28" ht="27" customHeight="1">
      <c r="A9" s="1185"/>
      <c r="B9" s="915"/>
      <c r="C9" s="818" t="str">
        <f>DATA!I10</f>
        <v>B</v>
      </c>
      <c r="D9" s="3787" t="str">
        <f>'ALL-USD40.1M'!M14</f>
        <v xml:space="preserve">Program Pembangunan / Peningkatan Jembatan </v>
      </c>
      <c r="E9" s="3788"/>
      <c r="F9" s="738"/>
      <c r="G9" s="873"/>
      <c r="H9" s="873"/>
      <c r="I9" s="873"/>
      <c r="J9" s="873"/>
      <c r="K9" s="873"/>
      <c r="L9" s="873"/>
      <c r="M9" s="873"/>
      <c r="N9" s="873"/>
      <c r="O9" s="873"/>
      <c r="P9" s="945">
        <f>P10</f>
        <v>250000000</v>
      </c>
      <c r="Q9" s="857"/>
      <c r="R9" s="1152"/>
      <c r="S9" s="979"/>
    </row>
    <row r="10" spans="1:28" s="668" customFormat="1">
      <c r="A10" s="1186"/>
      <c r="B10" s="1033"/>
      <c r="C10" s="1187"/>
      <c r="D10" s="743">
        <v>1</v>
      </c>
      <c r="E10" s="716" t="str">
        <f>DATA!H2</f>
        <v>Toll Road Development Program</v>
      </c>
      <c r="F10" s="833"/>
      <c r="G10" s="833"/>
      <c r="H10" s="833"/>
      <c r="I10" s="833"/>
      <c r="J10" s="833"/>
      <c r="K10" s="833"/>
      <c r="L10" s="833"/>
      <c r="M10" s="833"/>
      <c r="N10" s="833"/>
      <c r="O10" s="833"/>
      <c r="P10" s="1175">
        <f>'ALL-USD40.1M'!Y13</f>
        <v>250000000</v>
      </c>
      <c r="Q10" s="833"/>
      <c r="R10" s="1139" t="str">
        <f>'ALL-USD40.1M'!AA13</f>
        <v>Belum proses</v>
      </c>
      <c r="S10" s="1108" t="str">
        <f>'ALL-USD40.1M'!AG11</f>
        <v>co-financing dengan Korea USD 250 juta</v>
      </c>
    </row>
    <row r="11" spans="1:28">
      <c r="A11" s="1185"/>
      <c r="B11" s="915"/>
      <c r="C11" s="733" t="str">
        <f>DATA!I24</f>
        <v>D</v>
      </c>
      <c r="D11" s="3741" t="str">
        <f>DATA!J24</f>
        <v>Program Pembangunan Air Minum</v>
      </c>
      <c r="E11" s="3725"/>
      <c r="F11" s="965"/>
      <c r="G11" s="965"/>
      <c r="H11" s="965"/>
      <c r="I11" s="965"/>
      <c r="J11" s="965"/>
      <c r="K11" s="965"/>
      <c r="L11" s="965"/>
      <c r="M11" s="965"/>
      <c r="N11" s="965"/>
      <c r="O11" s="965"/>
      <c r="P11" s="3789">
        <f>P12</f>
        <v>40000000</v>
      </c>
      <c r="Q11" s="3726"/>
      <c r="R11" s="3741"/>
      <c r="S11" s="3725"/>
    </row>
    <row r="12" spans="1:28" s="668" customFormat="1" ht="75">
      <c r="A12" s="1186"/>
      <c r="B12" s="1033"/>
      <c r="C12" s="700"/>
      <c r="D12" s="1065">
        <v>2</v>
      </c>
      <c r="E12" s="1188" t="str">
        <f>'ALL-USD40.1M'!N38</f>
        <v xml:space="preserve">The Development of Regional Water Supply System of  Banten - Jakarta from Karian Dam </v>
      </c>
      <c r="F12" s="845"/>
      <c r="G12" s="845"/>
      <c r="H12" s="845"/>
      <c r="I12" s="845"/>
      <c r="J12" s="845"/>
      <c r="K12" s="845"/>
      <c r="L12" s="845"/>
      <c r="M12" s="845"/>
      <c r="N12" s="845"/>
      <c r="O12" s="845"/>
      <c r="P12" s="1177">
        <f>'ALL-USD40.1M'!Y38</f>
        <v>40000000</v>
      </c>
      <c r="Q12" s="845"/>
      <c r="R12" s="787" t="str">
        <f>'ALL-USD40.1M'!AA38</f>
        <v>Belum proses</v>
      </c>
      <c r="S12" s="1207" t="str">
        <f>'ALL-USD40.1M'!AG38</f>
        <v>- Masuk dalam dokumen CPS 
- Direncanakan masuk GB 2018
- Diperlukan konfirmasi time frame dan time line perencanaan
- Menunggu proses penyelesaian DAM</v>
      </c>
    </row>
    <row r="13" spans="1:28">
      <c r="A13" s="1185"/>
      <c r="B13" s="915"/>
      <c r="C13" s="733" t="str">
        <f>'ALL-USD40.1M'!L65</f>
        <v>I</v>
      </c>
      <c r="D13" s="3726" t="str">
        <f>'ALL-USD40.1M'!M65</f>
        <v>Program Pengembangan dan Pengelolaan Irigasi</v>
      </c>
      <c r="E13" s="3725"/>
      <c r="F13" s="3726"/>
      <c r="G13" s="3730"/>
      <c r="H13" s="3728"/>
      <c r="I13" s="3730"/>
      <c r="J13" s="3728"/>
      <c r="K13" s="3730"/>
      <c r="L13" s="3728"/>
      <c r="M13" s="3730"/>
      <c r="N13" s="3728"/>
      <c r="O13" s="3730"/>
      <c r="P13" s="3789">
        <f>P14+P15</f>
        <v>295778000</v>
      </c>
      <c r="Q13" s="3730"/>
      <c r="R13" s="3728"/>
      <c r="S13" s="3790"/>
      <c r="AB13" s="915"/>
    </row>
    <row r="14" spans="1:28" s="668" customFormat="1" ht="51">
      <c r="A14" s="1186"/>
      <c r="B14" s="1033"/>
      <c r="C14" s="700"/>
      <c r="D14" s="1065">
        <v>3</v>
      </c>
      <c r="E14" s="1189" t="str">
        <f>'ALL-USD40.1M'!N69</f>
        <v>The Urgent Rehabilitation of Strategic Irrigation for Western Region of Indonesia</v>
      </c>
      <c r="F14" s="1190"/>
      <c r="G14" s="1190"/>
      <c r="H14" s="1190"/>
      <c r="I14" s="1190"/>
      <c r="J14" s="1190"/>
      <c r="K14" s="1190"/>
      <c r="L14" s="1190"/>
      <c r="M14" s="1190"/>
      <c r="N14" s="1190"/>
      <c r="O14" s="1190"/>
      <c r="P14" s="1196">
        <f>'ALL-USD40.1M'!Y69</f>
        <v>195778000</v>
      </c>
      <c r="Q14" s="1190"/>
      <c r="R14" s="1079" t="str">
        <f>'ALL-USD40.1M'!AA69</f>
        <v>GB 2017</v>
      </c>
      <c r="S14" s="1208" t="str">
        <f>'ALL-USD40.1M'!AG69</f>
        <v>- Masuk dalam dokumen CPS 
- Akan ada mission lanjutan dari EDGF untuk konfirmasi ruang lingkup
- Terdapat konfirmasi penyusunan RC terbaru</v>
      </c>
    </row>
    <row r="15" spans="1:28" s="668" customFormat="1">
      <c r="A15" s="1186"/>
      <c r="B15" s="1033"/>
      <c r="C15" s="700"/>
      <c r="D15" s="739">
        <v>4</v>
      </c>
      <c r="E15" s="927" t="str">
        <f>'ALL-USD40.1M'!N74</f>
        <v>Revitalization Groundwater Irrigation in Indonesia</v>
      </c>
      <c r="F15" s="824"/>
      <c r="G15" s="824"/>
      <c r="H15" s="824"/>
      <c r="I15" s="824"/>
      <c r="J15" s="824"/>
      <c r="K15" s="824"/>
      <c r="L15" s="824"/>
      <c r="M15" s="824"/>
      <c r="N15" s="824"/>
      <c r="O15" s="824"/>
      <c r="P15" s="275">
        <f>'ALL-USD40.1M'!Y74</f>
        <v>100000000</v>
      </c>
      <c r="Q15" s="824"/>
      <c r="R15" s="831" t="str">
        <f>'ALL-USD40.1M'!AA74</f>
        <v>Belum proses</v>
      </c>
      <c r="S15" s="3285" t="str">
        <f>'ALL-USD40.1M'!AG74</f>
        <v>Masuk dalam dokumen CPS</v>
      </c>
    </row>
    <row r="16" spans="1:28">
      <c r="A16" s="1185"/>
      <c r="B16" s="915"/>
      <c r="C16" s="733" t="str">
        <f>'ALL-USD40.1M'!L76</f>
        <v>J</v>
      </c>
      <c r="D16" s="3726" t="str">
        <f>'ALL-USD40.1M'!M76</f>
        <v xml:space="preserve">Program Penyediaan dan Pengelolaan Air Baku </v>
      </c>
      <c r="E16" s="3725"/>
      <c r="F16" s="3726"/>
      <c r="G16" s="3730"/>
      <c r="H16" s="3728"/>
      <c r="I16" s="3730"/>
      <c r="J16" s="3728"/>
      <c r="K16" s="3730"/>
      <c r="L16" s="3728"/>
      <c r="M16" s="3730"/>
      <c r="N16" s="3728"/>
      <c r="O16" s="3730"/>
      <c r="P16" s="3789">
        <f>P17</f>
        <v>373862000</v>
      </c>
      <c r="Q16" s="3730"/>
      <c r="R16" s="3728"/>
      <c r="S16" s="3719"/>
    </row>
    <row r="17" spans="1:28" s="668" customFormat="1" ht="60">
      <c r="A17" s="1186"/>
      <c r="B17" s="1033"/>
      <c r="C17" s="700"/>
      <c r="D17" s="701">
        <v>5</v>
      </c>
      <c r="E17" s="927" t="str">
        <f>'ALL-USD40.1M'!N78</f>
        <v>Karian Dam-Serpong Water Conveyance and Supply System Project</v>
      </c>
      <c r="F17" s="824"/>
      <c r="G17" s="824"/>
      <c r="H17" s="824"/>
      <c r="I17" s="824"/>
      <c r="J17" s="824"/>
      <c r="K17" s="824"/>
      <c r="L17" s="824"/>
      <c r="M17" s="824"/>
      <c r="N17" s="824"/>
      <c r="O17" s="824"/>
      <c r="P17" s="1197">
        <f>'ALL-USD40.1M'!Y78</f>
        <v>373862000</v>
      </c>
      <c r="Q17" s="824"/>
      <c r="R17" s="1209" t="str">
        <f>'ALL-USD40.1M'!AA78</f>
        <v>Belum proses</v>
      </c>
      <c r="S17" s="841" t="str">
        <f>'ALL-USD40.1M'!AG78</f>
        <v>- Direncanakan masuk GB 2018
- Diperlukan konfirmasi time frame dan time line perencanaan
- Menunggu proses penyelesaian DAM</v>
      </c>
    </row>
    <row r="18" spans="1:28">
      <c r="A18" s="1185"/>
      <c r="B18" s="915"/>
      <c r="C18" s="733" t="str">
        <f>'ALL-USD40.1M'!L80</f>
        <v>K</v>
      </c>
      <c r="D18" s="3726" t="str">
        <f>'ALL-USD40.1M'!M80</f>
        <v xml:space="preserve">Program Pembangunan Waduk </v>
      </c>
      <c r="E18" s="3725"/>
      <c r="F18" s="3726"/>
      <c r="G18" s="3730"/>
      <c r="H18" s="3728"/>
      <c r="I18" s="3730"/>
      <c r="J18" s="3728"/>
      <c r="K18" s="3730"/>
      <c r="L18" s="3728"/>
      <c r="M18" s="3730"/>
      <c r="N18" s="3728"/>
      <c r="O18" s="3730"/>
      <c r="P18" s="3789">
        <f>P19</f>
        <v>21610980</v>
      </c>
      <c r="Q18" s="3730"/>
      <c r="R18" s="3728"/>
      <c r="S18" s="3723"/>
    </row>
    <row r="19" spans="1:28" s="668" customFormat="1" ht="51">
      <c r="A19" s="1186"/>
      <c r="B19" s="1033"/>
      <c r="C19" s="700"/>
      <c r="D19" s="824">
        <v>6</v>
      </c>
      <c r="E19" s="701" t="str">
        <f>DATA!L93</f>
        <v>Engineering Service for Dam Multipurpose Development Project</v>
      </c>
      <c r="F19" s="824"/>
      <c r="G19" s="824"/>
      <c r="H19" s="824"/>
      <c r="I19" s="824"/>
      <c r="J19" s="824"/>
      <c r="K19" s="824"/>
      <c r="L19" s="824"/>
      <c r="M19" s="824"/>
      <c r="N19" s="824"/>
      <c r="O19" s="824"/>
      <c r="P19" s="1197">
        <f>'ALL-USD40.1M'!Y91</f>
        <v>21610980</v>
      </c>
      <c r="Q19" s="824"/>
      <c r="R19" s="1210" t="str">
        <f>'ALL-USD40.1M'!AA91</f>
        <v>- GB 2017
- DK tanggal Feb 2017
- Tahap negoisasi (cek update)</v>
      </c>
      <c r="S19" s="969" t="str">
        <f>'ALL-USD40.1M'!AG91</f>
        <v>Engineering Service untuk 8 DAM yang konstruksinya dapat menggunakan sumber pendanaan lainnya</v>
      </c>
    </row>
    <row r="20" spans="1:28" s="668" customFormat="1">
      <c r="A20" s="1186"/>
      <c r="B20" s="1033"/>
      <c r="C20" s="733" t="str">
        <f>'ALL-USD40.1M'!L93</f>
        <v>L</v>
      </c>
      <c r="D20" s="3726" t="str">
        <f>'ALL-USD40.1M'!M93</f>
        <v>Program Mitigasi Terhadap Daya Rusak Air</v>
      </c>
      <c r="E20" s="3725"/>
      <c r="F20" s="824"/>
      <c r="G20" s="824"/>
      <c r="H20" s="824"/>
      <c r="I20" s="824"/>
      <c r="J20" s="824"/>
      <c r="K20" s="824"/>
      <c r="L20" s="824"/>
      <c r="M20" s="824"/>
      <c r="N20" s="824"/>
      <c r="O20" s="824"/>
      <c r="P20" s="3789">
        <f>P21</f>
        <v>10094400</v>
      </c>
      <c r="Q20" s="3730"/>
      <c r="R20" s="3728"/>
      <c r="S20" s="3725"/>
    </row>
    <row r="21" spans="1:28" s="668" customFormat="1" ht="51">
      <c r="A21" s="1186"/>
      <c r="B21" s="1033"/>
      <c r="C21" s="700"/>
      <c r="D21" s="824">
        <v>7</v>
      </c>
      <c r="E21" s="839" t="str">
        <f>DATA!L104</f>
        <v>Engineering Service for Coastal and River Development Project</v>
      </c>
      <c r="F21" s="824"/>
      <c r="G21" s="824"/>
      <c r="H21" s="824"/>
      <c r="I21" s="824"/>
      <c r="J21" s="824"/>
      <c r="K21" s="824"/>
      <c r="L21" s="824"/>
      <c r="M21" s="824"/>
      <c r="N21" s="824"/>
      <c r="O21" s="1198"/>
      <c r="P21" s="1199">
        <f>'ALL-USD40.1M'!Y99</f>
        <v>10094400</v>
      </c>
      <c r="Q21" s="1198"/>
      <c r="R21" s="1211" t="str">
        <f>'ALL-USD40.1M'!AA99</f>
        <v>- GB 2017
- DK tanggal Feb 2017
- Tahap negoisasi (cek update)</v>
      </c>
      <c r="S21" s="1212" t="str">
        <f>'ALL-USD40.1M'!AG99</f>
        <v>Engineering Service untuk 4 sungai yang konstruksinya dapat menggunakan sumber pendanaan lainnya</v>
      </c>
    </row>
    <row r="22" spans="1:28" s="668" customFormat="1">
      <c r="A22" s="1186"/>
      <c r="B22" s="1095">
        <v>2</v>
      </c>
      <c r="C22" s="3791" t="str">
        <f>'ALL-USD40.1M'!L111</f>
        <v>Kementerian Perhubungan</v>
      </c>
      <c r="D22" s="3792"/>
      <c r="E22" s="3793"/>
      <c r="F22" s="3738"/>
      <c r="G22" s="3738"/>
      <c r="H22" s="3794"/>
      <c r="I22" s="3795"/>
      <c r="J22" s="3738"/>
      <c r="K22" s="3794"/>
      <c r="L22" s="3795"/>
      <c r="M22" s="3738"/>
      <c r="N22" s="3794"/>
      <c r="O22" s="876">
        <f>P23</f>
        <v>101135200</v>
      </c>
      <c r="P22" s="876"/>
      <c r="Q22" s="876"/>
      <c r="R22" s="876"/>
      <c r="S22" s="1034"/>
    </row>
    <row r="23" spans="1:28" s="668" customFormat="1">
      <c r="A23" s="1186"/>
      <c r="B23" s="1033"/>
      <c r="C23" s="1152" t="str">
        <f>'ALL-USD40.1M'!L121</f>
        <v>B</v>
      </c>
      <c r="D23" s="3718" t="str">
        <f>'ALL-USD40.1M'!M121</f>
        <v xml:space="preserve">Program Pengembangan Transportasi Laut </v>
      </c>
      <c r="E23" s="3719"/>
      <c r="F23" s="3734"/>
      <c r="G23" s="3735"/>
      <c r="H23" s="3718"/>
      <c r="I23" s="3735"/>
      <c r="J23" s="3718"/>
      <c r="K23" s="3735"/>
      <c r="L23" s="3718"/>
      <c r="M23" s="3735"/>
      <c r="N23" s="3718"/>
      <c r="O23" s="3734"/>
      <c r="P23" s="3796">
        <f>P25+P24</f>
        <v>101135200</v>
      </c>
      <c r="Q23" s="3797"/>
      <c r="R23" s="3718"/>
      <c r="S23" s="3719"/>
    </row>
    <row r="24" spans="1:28" s="668" customFormat="1">
      <c r="A24" s="1186"/>
      <c r="B24" s="1033"/>
      <c r="C24" s="1191"/>
      <c r="D24" s="715">
        <v>8</v>
      </c>
      <c r="E24" s="717" t="str">
        <f>'ALL-USD40.1M'!N122</f>
        <v>Development and Improvement of Indonesian Aids to Navigation</v>
      </c>
      <c r="F24" s="1192"/>
      <c r="G24" s="1180"/>
      <c r="H24" s="1180"/>
      <c r="I24" s="1180"/>
      <c r="J24" s="1180"/>
      <c r="K24" s="1180"/>
      <c r="L24" s="1180"/>
      <c r="M24" s="1180"/>
      <c r="N24" s="1180"/>
      <c r="O24" s="1200"/>
      <c r="P24" s="1201">
        <f>'ALL-USD40.1M'!Y122</f>
        <v>27402600</v>
      </c>
      <c r="Q24" s="1213"/>
      <c r="R24" s="1214" t="str">
        <f>'ALL-USD40.1M'!AA122</f>
        <v>Belum proses</v>
      </c>
      <c r="S24" s="1215" t="str">
        <f>'ALL-USD40.1M'!AG122</f>
        <v xml:space="preserve">Masuk dalam dokumen CPS </v>
      </c>
    </row>
    <row r="25" spans="1:28" s="668" customFormat="1" ht="51">
      <c r="A25" s="1186"/>
      <c r="B25" s="1033"/>
      <c r="C25" s="717"/>
      <c r="D25" s="717">
        <v>9</v>
      </c>
      <c r="E25" s="927" t="str">
        <f>'ALL-USD40.1M'!N124</f>
        <v>Procurement of Navigation Carrier Vessels</v>
      </c>
      <c r="F25" s="824"/>
      <c r="G25" s="824"/>
      <c r="H25" s="824"/>
      <c r="I25" s="824"/>
      <c r="J25" s="824"/>
      <c r="K25" s="824"/>
      <c r="L25" s="824"/>
      <c r="M25" s="824"/>
      <c r="N25" s="824"/>
      <c r="O25" s="824"/>
      <c r="P25" s="1197">
        <f>'ALL-USD40.1M'!Y124</f>
        <v>73732600</v>
      </c>
      <c r="Q25" s="824"/>
      <c r="R25" s="1216" t="str">
        <f>'ALL-USD40.1M'!AA124</f>
        <v>Belum proses</v>
      </c>
      <c r="S25" s="1217" t="str">
        <f>'ALL-USD40.1M'!AG124</f>
        <v>- Masuk dalam dokumen CPS 
- Direncanakan Korea akan memberi pinjaman USD 33 juta (perlu konfirmasi dengan Dit. Bila). (Cek Update)</v>
      </c>
    </row>
    <row r="26" spans="1:28">
      <c r="A26" s="1185"/>
      <c r="B26" s="1095">
        <f>DATA!E118</f>
        <v>2</v>
      </c>
      <c r="C26" s="3742" t="str">
        <f>'ALL-USD40.1M'!L127</f>
        <v>Kementerian Komunikasi dan Informatika</v>
      </c>
      <c r="D26" s="3743"/>
      <c r="E26" s="3739"/>
      <c r="F26" s="742"/>
      <c r="G26" s="730"/>
      <c r="H26" s="730"/>
      <c r="I26" s="730"/>
      <c r="J26" s="730"/>
      <c r="K26" s="730"/>
      <c r="L26" s="730"/>
      <c r="M26" s="730"/>
      <c r="N26" s="730"/>
      <c r="O26" s="730"/>
      <c r="P26" s="790">
        <f>P27</f>
        <v>145000000</v>
      </c>
      <c r="Q26" s="730"/>
      <c r="R26" s="730"/>
      <c r="S26" s="852"/>
    </row>
    <row r="27" spans="1:28">
      <c r="A27" s="1185"/>
      <c r="B27" s="915"/>
      <c r="C27" s="853" t="str">
        <f>'ALL-USD40.1M'!L128</f>
        <v>A</v>
      </c>
      <c r="D27" s="3728" t="str">
        <f>'ALL-USD40.1M'!M128</f>
        <v>Program Pengembangan Infrastruktur TIK dan Penyiaran</v>
      </c>
      <c r="E27" s="3725"/>
      <c r="F27" s="3726"/>
      <c r="G27" s="3730"/>
      <c r="H27" s="3728"/>
      <c r="I27" s="3730"/>
      <c r="J27" s="3728"/>
      <c r="K27" s="3730"/>
      <c r="L27" s="3728"/>
      <c r="M27" s="3730"/>
      <c r="N27" s="3728"/>
      <c r="O27" s="3730"/>
      <c r="P27" s="3789">
        <f>P28</f>
        <v>145000000</v>
      </c>
      <c r="Q27" s="3798"/>
      <c r="R27" s="3728"/>
      <c r="S27" s="3725"/>
    </row>
    <row r="28" spans="1:28" s="668" customFormat="1" ht="45">
      <c r="A28" s="1186"/>
      <c r="B28" s="1033"/>
      <c r="C28" s="701"/>
      <c r="D28" s="824">
        <v>10</v>
      </c>
      <c r="E28" s="701" t="str">
        <f>'ALL-USD40.1M'!N130</f>
        <v>Strengthening of e-Government Infrastructure</v>
      </c>
      <c r="F28" s="824"/>
      <c r="G28" s="824"/>
      <c r="H28" s="824"/>
      <c r="I28" s="824"/>
      <c r="J28" s="824"/>
      <c r="K28" s="824"/>
      <c r="L28" s="824"/>
      <c r="M28" s="824"/>
      <c r="N28" s="824"/>
      <c r="O28" s="824"/>
      <c r="P28" s="1197">
        <f>'ALL-USD40.1M'!Y130</f>
        <v>145000000</v>
      </c>
      <c r="Q28" s="824"/>
      <c r="R28" s="813" t="str">
        <f>'ALL-USD40.1M'!AA133</f>
        <v>Belum proses</v>
      </c>
      <c r="S28" s="844" t="str">
        <f>'ALL-USD40.1M'!AG133</f>
        <v>- Potensial ditunda
- Diperlukan konfirmasi karena masuk ke dalam GB sebanyak 5 kali</v>
      </c>
    </row>
    <row r="29" spans="1:28">
      <c r="A29" s="1185"/>
      <c r="B29" s="1095">
        <f>'ALL-USD40.1M'!K111</f>
        <v>3</v>
      </c>
      <c r="C29" s="3737" t="str">
        <f>'ALL-USD40.1M'!L131</f>
        <v>Kepolisian RI</v>
      </c>
      <c r="D29" s="3738"/>
      <c r="E29" s="3739"/>
      <c r="F29" s="742"/>
      <c r="G29" s="730"/>
      <c r="H29" s="730"/>
      <c r="I29" s="730"/>
      <c r="J29" s="730"/>
      <c r="K29" s="730"/>
      <c r="L29" s="730"/>
      <c r="M29" s="730"/>
      <c r="N29" s="730"/>
      <c r="O29" s="730"/>
      <c r="P29" s="790">
        <f>P30</f>
        <v>20000000</v>
      </c>
      <c r="Q29" s="730"/>
      <c r="R29" s="852"/>
      <c r="S29" s="978"/>
    </row>
    <row r="30" spans="1:28">
      <c r="A30" s="1185"/>
      <c r="B30" s="915"/>
      <c r="C30" s="733" t="str">
        <f>'ALL-USD40.1M'!L132</f>
        <v>A</v>
      </c>
      <c r="D30" s="3726" t="str">
        <f>D27</f>
        <v>Program Pengembangan Infrastruktur TIK dan Penyiaran</v>
      </c>
      <c r="E30" s="3725"/>
      <c r="F30" s="3726"/>
      <c r="G30" s="3730"/>
      <c r="H30" s="3728"/>
      <c r="I30" s="3730"/>
      <c r="J30" s="3728"/>
      <c r="K30" s="3730"/>
      <c r="L30" s="3728"/>
      <c r="M30" s="3730"/>
      <c r="N30" s="3728"/>
      <c r="O30" s="3730"/>
      <c r="P30" s="3799">
        <f>P31</f>
        <v>20000000</v>
      </c>
      <c r="Q30" s="3735"/>
      <c r="R30" s="3718"/>
      <c r="S30" s="3719"/>
      <c r="AB30" s="915"/>
    </row>
    <row r="31" spans="1:28" ht="30.75" customHeight="1">
      <c r="A31" s="1185"/>
      <c r="B31" s="915"/>
      <c r="C31" s="875"/>
      <c r="D31" s="1193">
        <v>11</v>
      </c>
      <c r="E31" s="1188" t="str">
        <f>'ALL-USD40.1M'!N133</f>
        <v>National Criminal Information Center for Indonesian National Police - Phase II</v>
      </c>
      <c r="F31" s="965"/>
      <c r="G31" s="965"/>
      <c r="H31" s="965"/>
      <c r="I31" s="965"/>
      <c r="J31" s="965"/>
      <c r="K31" s="965"/>
      <c r="L31" s="965"/>
      <c r="M31" s="965"/>
      <c r="N31" s="965"/>
      <c r="O31" s="965"/>
      <c r="P31" s="841">
        <f>'ALL-USD40.1M'!Y133</f>
        <v>20000000</v>
      </c>
      <c r="Q31" s="1051"/>
      <c r="R31" s="842" t="str">
        <f>'ALL-USD40.1M'!AA133</f>
        <v>Belum proses</v>
      </c>
      <c r="S31" s="1022" t="str">
        <f>'ALL-USD40.1M'!AG133</f>
        <v>- Potensial ditunda
- Diperlukan konfirmasi karena masuk ke dalam GB sebanyak 5 kali</v>
      </c>
    </row>
    <row r="32" spans="1:28" hidden="1">
      <c r="A32" s="1185"/>
      <c r="B32" s="1158"/>
      <c r="C32" s="708"/>
      <c r="D32" s="709"/>
      <c r="E32" s="898"/>
      <c r="F32" s="965"/>
      <c r="G32" s="965"/>
      <c r="H32" s="965"/>
      <c r="I32" s="965"/>
      <c r="J32" s="965"/>
      <c r="K32" s="965"/>
      <c r="L32" s="965"/>
      <c r="M32" s="965"/>
      <c r="N32" s="965"/>
      <c r="O32" s="965"/>
      <c r="P32" s="1036"/>
      <c r="Q32" s="897"/>
      <c r="R32" s="898"/>
      <c r="S32" s="1058"/>
    </row>
    <row r="33" spans="1:28">
      <c r="A33" s="1194"/>
      <c r="B33" s="3800" t="s">
        <v>477</v>
      </c>
      <c r="C33" s="3801"/>
      <c r="D33" s="3801"/>
      <c r="E33" s="3802"/>
      <c r="F33" s="1195"/>
      <c r="G33" s="1195"/>
      <c r="H33" s="1195"/>
      <c r="I33" s="1195"/>
      <c r="J33" s="1195"/>
      <c r="K33" s="1195"/>
      <c r="L33" s="1195"/>
      <c r="M33" s="1195"/>
      <c r="N33" s="1195"/>
      <c r="O33" s="1195"/>
      <c r="P33" s="1202">
        <f>P7</f>
        <v>1257480580</v>
      </c>
      <c r="Q33" s="1195"/>
      <c r="R33" s="1218"/>
      <c r="S33" s="924"/>
      <c r="AB33" s="915"/>
    </row>
    <row r="34" spans="1:28">
      <c r="A34" s="923"/>
      <c r="B34" s="923"/>
      <c r="P34" s="535"/>
      <c r="R34" s="923"/>
      <c r="S34" s="923"/>
    </row>
    <row r="35" spans="1:28">
      <c r="P35" s="535"/>
    </row>
    <row r="36" spans="1:28">
      <c r="P36" s="535"/>
    </row>
    <row r="37" spans="1:28">
      <c r="P37" s="535"/>
    </row>
    <row r="38" spans="1:28">
      <c r="P38" s="535"/>
    </row>
    <row r="39" spans="1:28">
      <c r="P39" s="535"/>
    </row>
    <row r="40" spans="1:28">
      <c r="P40" s="535"/>
    </row>
    <row r="41" spans="1:28">
      <c r="P41" s="535"/>
    </row>
    <row r="42" spans="1:28">
      <c r="P42" s="535"/>
    </row>
    <row r="43" spans="1:28">
      <c r="P43" s="535"/>
    </row>
    <row r="44" spans="1:28">
      <c r="P44" s="535"/>
    </row>
    <row r="45" spans="1:28">
      <c r="P45" s="535"/>
    </row>
    <row r="46" spans="1:28">
      <c r="P46" s="535"/>
    </row>
    <row r="47" spans="1:28">
      <c r="P47" s="535"/>
    </row>
    <row r="48" spans="1:28">
      <c r="P48" s="535"/>
    </row>
    <row r="49" spans="16:16">
      <c r="P49" s="535"/>
    </row>
    <row r="50" spans="16:16">
      <c r="P50" s="535"/>
    </row>
    <row r="51" spans="16:16">
      <c r="P51" s="535"/>
    </row>
    <row r="52" spans="16:16">
      <c r="P52" s="535"/>
    </row>
    <row r="53" spans="16:16">
      <c r="P53" s="535"/>
    </row>
    <row r="54" spans="16:16">
      <c r="P54" s="535"/>
    </row>
    <row r="55" spans="16:16">
      <c r="P55" s="535"/>
    </row>
    <row r="56" spans="16:16">
      <c r="P56" s="535"/>
    </row>
    <row r="57" spans="16:16">
      <c r="P57" s="535"/>
    </row>
  </sheetData>
  <mergeCells count="78">
    <mergeCell ref="L30:M30"/>
    <mergeCell ref="N30:O30"/>
    <mergeCell ref="P30:Q30"/>
    <mergeCell ref="R30:S30"/>
    <mergeCell ref="B33:E33"/>
    <mergeCell ref="C29:E29"/>
    <mergeCell ref="D30:E30"/>
    <mergeCell ref="F30:G30"/>
    <mergeCell ref="H30:I30"/>
    <mergeCell ref="J30:K30"/>
    <mergeCell ref="L27:M27"/>
    <mergeCell ref="N27:O27"/>
    <mergeCell ref="P27:Q27"/>
    <mergeCell ref="R27:S27"/>
    <mergeCell ref="D23:E23"/>
    <mergeCell ref="F23:G23"/>
    <mergeCell ref="H23:I23"/>
    <mergeCell ref="J23:K23"/>
    <mergeCell ref="C26:E26"/>
    <mergeCell ref="D27:E27"/>
    <mergeCell ref="F27:G27"/>
    <mergeCell ref="H27:I27"/>
    <mergeCell ref="J27:K27"/>
    <mergeCell ref="L23:M23"/>
    <mergeCell ref="D20:E20"/>
    <mergeCell ref="P20:Q20"/>
    <mergeCell ref="R20:S20"/>
    <mergeCell ref="C22:E22"/>
    <mergeCell ref="F22:H22"/>
    <mergeCell ref="I22:K22"/>
    <mergeCell ref="L22:N22"/>
    <mergeCell ref="N23:O23"/>
    <mergeCell ref="P23:Q23"/>
    <mergeCell ref="R23:S23"/>
    <mergeCell ref="N16:O16"/>
    <mergeCell ref="P16:Q16"/>
    <mergeCell ref="R16:S16"/>
    <mergeCell ref="D18:E18"/>
    <mergeCell ref="F18:G18"/>
    <mergeCell ref="H18:I18"/>
    <mergeCell ref="J18:K18"/>
    <mergeCell ref="L18:M18"/>
    <mergeCell ref="N18:O18"/>
    <mergeCell ref="P18:Q18"/>
    <mergeCell ref="R18:S18"/>
    <mergeCell ref="D16:E16"/>
    <mergeCell ref="F16:G16"/>
    <mergeCell ref="H16:I16"/>
    <mergeCell ref="J16:K16"/>
    <mergeCell ref="L16:M16"/>
    <mergeCell ref="D9:E9"/>
    <mergeCell ref="D11:E11"/>
    <mergeCell ref="P11:Q11"/>
    <mergeCell ref="R11:S11"/>
    <mergeCell ref="D13:E13"/>
    <mergeCell ref="F13:G13"/>
    <mergeCell ref="H13:I13"/>
    <mergeCell ref="J13:K13"/>
    <mergeCell ref="L13:M13"/>
    <mergeCell ref="N13:O13"/>
    <mergeCell ref="P13:Q13"/>
    <mergeCell ref="R13:S13"/>
    <mergeCell ref="A1:AA1"/>
    <mergeCell ref="A2:S2"/>
    <mergeCell ref="L4:O4"/>
    <mergeCell ref="T4:V4"/>
    <mergeCell ref="W4:AA4"/>
    <mergeCell ref="F4:F5"/>
    <mergeCell ref="G4:G5"/>
    <mergeCell ref="H4:H5"/>
    <mergeCell ref="I4:I5"/>
    <mergeCell ref="J4:J5"/>
    <mergeCell ref="K4:K5"/>
    <mergeCell ref="P4:P5"/>
    <mergeCell ref="Q4:Q5"/>
    <mergeCell ref="R4:R5"/>
    <mergeCell ref="S4:S5"/>
    <mergeCell ref="A4:E5"/>
  </mergeCells>
  <pageMargins left="0.69930555555555596" right="0.69930555555555596"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B45"/>
  <sheetViews>
    <sheetView zoomScale="70" zoomScaleNormal="70" workbookViewId="0">
      <selection activeCell="S24" sqref="S24"/>
    </sheetView>
  </sheetViews>
  <sheetFormatPr defaultColWidth="9" defaultRowHeight="15"/>
  <cols>
    <col min="1" max="1" width="2.85546875" customWidth="1"/>
    <col min="2" max="2" width="3.5703125" customWidth="1"/>
    <col min="3" max="3" width="2.85546875" customWidth="1"/>
    <col min="4" max="4" width="4.85546875" customWidth="1"/>
    <col min="5" max="5" width="68.140625" customWidth="1"/>
    <col min="6" max="15" width="9" hidden="1" customWidth="1"/>
    <col min="16" max="16" width="24" customWidth="1"/>
    <col min="17" max="17" width="5.140625" hidden="1" customWidth="1"/>
    <col min="18" max="18" width="27.28515625" customWidth="1"/>
    <col min="19" max="19" width="54.28515625" customWidth="1"/>
    <col min="20" max="27" width="9" hidden="1" customWidth="1"/>
  </cols>
  <sheetData>
    <row r="1" spans="1:27" ht="18">
      <c r="A1" s="3708"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row>
    <row r="2" spans="1:27" ht="18">
      <c r="A2" s="3708" t="s">
        <v>27</v>
      </c>
      <c r="B2" s="3697"/>
      <c r="C2" s="3697"/>
      <c r="D2" s="3697"/>
      <c r="E2" s="3697"/>
      <c r="F2" s="3697"/>
      <c r="G2" s="3697"/>
      <c r="H2" s="3697"/>
      <c r="I2" s="3697"/>
      <c r="J2" s="3697"/>
      <c r="K2" s="3697"/>
      <c r="L2" s="3697"/>
      <c r="M2" s="3697"/>
      <c r="N2" s="3697"/>
      <c r="O2" s="3697"/>
      <c r="P2" s="3697"/>
      <c r="Q2" s="3697"/>
      <c r="R2" s="3697"/>
      <c r="S2" s="3697"/>
      <c r="T2" s="671"/>
      <c r="U2" s="671"/>
      <c r="V2" s="671"/>
      <c r="W2" s="671"/>
      <c r="X2" s="671"/>
      <c r="Y2" s="671"/>
      <c r="Z2" s="671"/>
      <c r="AA2" s="671"/>
    </row>
    <row r="3" spans="1:27">
      <c r="A3" s="672"/>
      <c r="B3" s="673"/>
      <c r="C3" s="673"/>
      <c r="D3" s="673"/>
      <c r="E3" s="674"/>
      <c r="F3" s="675"/>
      <c r="G3" s="675"/>
      <c r="H3" s="676"/>
      <c r="I3" s="676"/>
      <c r="J3" s="675"/>
      <c r="K3" s="675"/>
      <c r="L3" s="754"/>
      <c r="M3" s="675"/>
      <c r="N3" s="675"/>
      <c r="O3" s="675"/>
      <c r="P3" s="675"/>
      <c r="Q3" s="675"/>
      <c r="R3" s="675"/>
      <c r="S3" s="675"/>
      <c r="T3" s="674"/>
      <c r="U3" s="674"/>
      <c r="V3" s="674"/>
      <c r="W3" s="754"/>
      <c r="X3" s="754"/>
      <c r="Y3" s="754"/>
      <c r="Z3" s="754"/>
      <c r="AA3" s="878"/>
    </row>
    <row r="4" spans="1:27" ht="16.5" customHeight="1">
      <c r="A4" s="3811" t="s">
        <v>2</v>
      </c>
      <c r="B4" s="3812"/>
      <c r="C4" s="3812"/>
      <c r="D4" s="3812"/>
      <c r="E4" s="3812"/>
      <c r="F4" s="3807" t="s">
        <v>1382</v>
      </c>
      <c r="G4" s="3804" t="s">
        <v>1383</v>
      </c>
      <c r="H4" s="3808" t="s">
        <v>1082</v>
      </c>
      <c r="I4" s="3808" t="s">
        <v>1083</v>
      </c>
      <c r="J4" s="3809" t="s">
        <v>1384</v>
      </c>
      <c r="K4" s="3810" t="s">
        <v>1085</v>
      </c>
      <c r="L4" s="3803" t="s">
        <v>1088</v>
      </c>
      <c r="M4" s="3768"/>
      <c r="N4" s="3768"/>
      <c r="O4" s="3769"/>
      <c r="P4" s="3804" t="s">
        <v>1136</v>
      </c>
      <c r="Q4" s="3804" t="s">
        <v>7</v>
      </c>
      <c r="R4" s="3804" t="s">
        <v>1137</v>
      </c>
      <c r="S4" s="3805" t="s">
        <v>10</v>
      </c>
      <c r="T4" s="3713" t="s">
        <v>1089</v>
      </c>
      <c r="U4" s="3768"/>
      <c r="V4" s="3769"/>
      <c r="W4" s="3716" t="s">
        <v>1086</v>
      </c>
      <c r="X4" s="3768"/>
      <c r="Y4" s="3768"/>
      <c r="Z4" s="3768"/>
      <c r="AA4" s="3770"/>
    </row>
    <row r="5" spans="1:27" ht="0.75" customHeight="1">
      <c r="A5" s="3813"/>
      <c r="B5" s="3786"/>
      <c r="C5" s="3786"/>
      <c r="D5" s="3786"/>
      <c r="E5" s="3786"/>
      <c r="F5" s="3772"/>
      <c r="G5" s="3774"/>
      <c r="H5" s="3774"/>
      <c r="I5" s="3774"/>
      <c r="J5" s="3777"/>
      <c r="K5" s="3779"/>
      <c r="L5" s="755" t="s">
        <v>11</v>
      </c>
      <c r="M5" s="756" t="s">
        <v>507</v>
      </c>
      <c r="N5" s="756" t="s">
        <v>1090</v>
      </c>
      <c r="O5" s="757" t="s">
        <v>509</v>
      </c>
      <c r="P5" s="3774"/>
      <c r="Q5" s="3774"/>
      <c r="R5" s="3774"/>
      <c r="S5" s="3806"/>
      <c r="T5" s="755" t="s">
        <v>507</v>
      </c>
      <c r="U5" s="802" t="s">
        <v>510</v>
      </c>
      <c r="V5" s="757" t="s">
        <v>511</v>
      </c>
      <c r="W5" s="803" t="s">
        <v>550</v>
      </c>
      <c r="X5" s="755" t="s">
        <v>1091</v>
      </c>
      <c r="Y5" s="802" t="s">
        <v>15</v>
      </c>
      <c r="Z5" s="879" t="s">
        <v>1092</v>
      </c>
      <c r="AA5" s="880" t="s">
        <v>511</v>
      </c>
    </row>
    <row r="6" spans="1:27">
      <c r="A6" s="1167"/>
      <c r="B6" s="1168"/>
      <c r="C6" s="1168"/>
      <c r="D6" s="1168"/>
      <c r="E6" s="1169"/>
      <c r="F6" s="682"/>
      <c r="G6" s="683"/>
      <c r="H6" s="684"/>
      <c r="I6" s="684"/>
      <c r="J6" s="758"/>
      <c r="K6" s="759"/>
      <c r="L6" s="760"/>
      <c r="M6" s="761"/>
      <c r="N6" s="761"/>
      <c r="O6" s="762"/>
      <c r="P6" s="763"/>
      <c r="Q6" s="763"/>
      <c r="R6" s="763"/>
      <c r="S6" s="804"/>
      <c r="T6" s="805"/>
      <c r="U6" s="761"/>
      <c r="V6" s="762"/>
      <c r="W6" s="806"/>
      <c r="X6" s="881"/>
      <c r="Y6" s="882"/>
      <c r="Z6" s="883"/>
      <c r="AA6" s="884"/>
    </row>
    <row r="7" spans="1:27" ht="15.75">
      <c r="A7" s="1170" t="str">
        <f>DATA!B2</f>
        <v>I</v>
      </c>
      <c r="B7" s="1171" t="str">
        <f>DATA!D2</f>
        <v>INFRASTRUKTUR</v>
      </c>
      <c r="C7" s="1171"/>
      <c r="D7" s="1171"/>
      <c r="E7" s="1172"/>
      <c r="F7" s="1173" t="e">
        <f>F8+#REF!+#REF!+#REF!+#REF!+#REF!+#REF!+#REF!+#REF!+#REF!</f>
        <v>#REF!</v>
      </c>
      <c r="G7" s="689" t="e">
        <f>G8+#REF!+#REF!+#REF!+#REF!+#REF!+#REF!+#REF!+#REF!+#REF!</f>
        <v>#REF!</v>
      </c>
      <c r="H7" s="689" t="e">
        <f>+H8+#REF!+#REF!+#REF!+#REF!+#REF!+#REF!+#REF!+#REF!</f>
        <v>#REF!</v>
      </c>
      <c r="I7" s="689" t="e">
        <f>+I8+#REF!+#REF!+#REF!+#REF!+#REF!+#REF!+#REF!+#REF!</f>
        <v>#REF!</v>
      </c>
      <c r="J7" s="764" t="e">
        <f>+J8+#REF!+#REF!+#REF!+#REF!+#REF!+#REF!+#REF!+#REF!</f>
        <v>#REF!</v>
      </c>
      <c r="K7" s="765"/>
      <c r="L7" s="766"/>
      <c r="M7" s="767" t="e">
        <f>+M8+#REF!+#REF!+#REF!+#REF!+#REF!+#REF!+#REF!+#REF!</f>
        <v>#REF!</v>
      </c>
      <c r="N7" s="767" t="e">
        <f>+N8+#REF!+#REF!+#REF!+#REF!+#REF!+#REF!+#REF!+#REF!</f>
        <v>#REF!</v>
      </c>
      <c r="O7" s="768" t="e">
        <f>+O8+#REF!+#REF!+#REF!+#REF!+#REF!</f>
        <v>#REF!</v>
      </c>
      <c r="P7" s="767">
        <f>P8+P17</f>
        <v>1302266900</v>
      </c>
      <c r="Q7" s="767"/>
      <c r="R7" s="807"/>
      <c r="S7" s="808"/>
      <c r="T7" s="766" t="e">
        <f>+T8+#REF!+#REF!+#REF!+#REF!+#REF!+#REF!+#REF!+#REF!</f>
        <v>#REF!</v>
      </c>
      <c r="U7" s="767" t="s">
        <v>21</v>
      </c>
      <c r="V7" s="688" t="e">
        <f>G7-T7</f>
        <v>#REF!</v>
      </c>
      <c r="W7" s="809"/>
      <c r="X7" s="885"/>
      <c r="Y7" s="886"/>
      <c r="Z7" s="887"/>
      <c r="AA7" s="888"/>
    </row>
    <row r="8" spans="1:27">
      <c r="A8" s="1174"/>
      <c r="B8" s="691">
        <f>DATA!E2</f>
        <v>1</v>
      </c>
      <c r="C8" s="692" t="str">
        <f>DATA!F2</f>
        <v>Kementerian Pekerjaan Umum dan Perumahan Rakyat</v>
      </c>
      <c r="D8" s="692"/>
      <c r="E8" s="1031"/>
      <c r="F8" s="1032"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P9+P11+P13</f>
        <v>883100000</v>
      </c>
      <c r="Q8" s="772"/>
      <c r="R8" s="810"/>
      <c r="S8" s="811"/>
      <c r="T8" s="771" t="e">
        <f>+#REF!+#REF!+#REF!+#REF!+T9+#REF!+#REF!+#REF!+#REF!+#REF!+#REF!+#REF!+#REF!+#REF!+#REF!</f>
        <v>#REF!</v>
      </c>
      <c r="U8" s="772" t="s">
        <v>21</v>
      </c>
      <c r="V8" s="694"/>
      <c r="W8" s="812"/>
      <c r="X8" s="889"/>
      <c r="Y8" s="890"/>
      <c r="Z8" s="891"/>
      <c r="AA8" s="892"/>
    </row>
    <row r="9" spans="1:27" ht="27" customHeight="1">
      <c r="A9" s="915"/>
      <c r="B9" s="696"/>
      <c r="C9" s="697" t="str">
        <f>'ALL-USD40.1M'!L10</f>
        <v>A</v>
      </c>
      <c r="D9" s="3718" t="str">
        <f>'ALL-USD40.1M'!M10</f>
        <v xml:space="preserve">Program Pembangunan Jalan Tol </v>
      </c>
      <c r="E9" s="3719"/>
      <c r="F9" s="738"/>
      <c r="G9" s="873"/>
      <c r="H9" s="873"/>
      <c r="I9" s="873"/>
      <c r="J9" s="873"/>
      <c r="K9" s="873"/>
      <c r="L9" s="873"/>
      <c r="M9" s="873"/>
      <c r="N9" s="873"/>
      <c r="O9" s="873"/>
      <c r="P9" s="945">
        <f>P10</f>
        <v>156000000</v>
      </c>
      <c r="Q9" s="873"/>
      <c r="R9" s="873"/>
      <c r="S9" s="873"/>
    </row>
    <row r="10" spans="1:27" s="668" customFormat="1" ht="45.75" customHeight="1">
      <c r="A10" s="1033"/>
      <c r="B10" s="700"/>
      <c r="C10" s="824"/>
      <c r="D10" s="1133">
        <v>1</v>
      </c>
      <c r="E10" s="743" t="str">
        <f>DATA!H2</f>
        <v>Toll Road Development Program</v>
      </c>
      <c r="F10" s="833"/>
      <c r="G10" s="833"/>
      <c r="H10" s="833"/>
      <c r="I10" s="833"/>
      <c r="J10" s="833"/>
      <c r="K10" s="833"/>
      <c r="L10" s="833"/>
      <c r="M10" s="833"/>
      <c r="N10" s="833"/>
      <c r="O10" s="833"/>
      <c r="P10" s="1175">
        <f>'ALL-USD40.1M'!Y11</f>
        <v>156000000</v>
      </c>
      <c r="Q10" s="833"/>
      <c r="R10" s="1128" t="str">
        <f>'ALL-USD40.1M'!AA11</f>
        <v>GB 2017: kegiatan Cisumdawu Toll Road Phase III (USD 156 juta)</v>
      </c>
      <c r="S10" s="1109" t="str">
        <f>'ALL-USD40.1M'!AG11</f>
        <v>co-financing dengan Korea USD 250 juta</v>
      </c>
    </row>
    <row r="11" spans="1:27">
      <c r="A11" s="915"/>
      <c r="B11" s="702"/>
      <c r="C11" s="720" t="str">
        <f>'ALL-USD40.1M'!L14</f>
        <v>B</v>
      </c>
      <c r="D11" s="3741" t="str">
        <f>'ALL-USD40.1M'!M14</f>
        <v xml:space="preserve">Program Pembangunan / Peningkatan Jembatan </v>
      </c>
      <c r="E11" s="3725"/>
      <c r="F11" s="697"/>
      <c r="G11" s="699"/>
      <c r="H11" s="699"/>
      <c r="I11" s="699"/>
      <c r="J11" s="699"/>
      <c r="K11" s="699"/>
      <c r="L11" s="699"/>
      <c r="M11" s="699"/>
      <c r="N11" s="699"/>
      <c r="O11" s="699"/>
      <c r="P11" s="774">
        <f>P12</f>
        <v>175000000</v>
      </c>
      <c r="Q11" s="699"/>
      <c r="R11" s="871"/>
      <c r="S11" s="979"/>
    </row>
    <row r="12" spans="1:27" s="669" customFormat="1" ht="60">
      <c r="A12" s="940"/>
      <c r="B12" s="703"/>
      <c r="C12" s="1041"/>
      <c r="D12" s="704">
        <v>2</v>
      </c>
      <c r="E12" s="847" t="str">
        <f>'ALL-USD40.1M'!N18</f>
        <v>Balinka - Matur - Ngarai Sianok Tunnel Construction</v>
      </c>
      <c r="F12" s="1041"/>
      <c r="G12" s="1041"/>
      <c r="H12" s="1041"/>
      <c r="I12" s="1041"/>
      <c r="J12" s="1041"/>
      <c r="K12" s="1041"/>
      <c r="L12" s="1041"/>
      <c r="M12" s="1041"/>
      <c r="N12" s="1041"/>
      <c r="O12" s="1041"/>
      <c r="P12" s="1176">
        <f>'ALL-USD40.1M'!Y18</f>
        <v>175000000</v>
      </c>
      <c r="Q12" s="1041"/>
      <c r="R12" s="1178" t="str">
        <f>'ALL-USD40.1M'!AA18</f>
        <v>Belum proses</v>
      </c>
      <c r="S12" s="1109" t="str">
        <f>'ALL-USD40.1M'!AG13</f>
        <v>- Masuk dalam dokumen CPS
- Co-financing dengan RRT USD 1 miliar
- Diperlukan konfirmasi terkait penggunaan Korea sebagai lender</v>
      </c>
    </row>
    <row r="13" spans="1:27">
      <c r="A13" s="915"/>
      <c r="B13" s="702"/>
      <c r="C13" s="720" t="str">
        <f>'ALL-USD40.1M'!L80</f>
        <v>K</v>
      </c>
      <c r="D13" s="3741" t="str">
        <f>'ALL-USD40.1M'!M80</f>
        <v xml:space="preserve">Program Pembangunan Waduk </v>
      </c>
      <c r="E13" s="3725"/>
      <c r="F13" s="965"/>
      <c r="G13" s="965"/>
      <c r="H13" s="965"/>
      <c r="I13" s="965"/>
      <c r="J13" s="965"/>
      <c r="K13" s="965"/>
      <c r="L13" s="965"/>
      <c r="M13" s="965"/>
      <c r="N13" s="965"/>
      <c r="O13" s="965"/>
      <c r="P13" s="3789">
        <f>P14+P15+P16</f>
        <v>552100000</v>
      </c>
      <c r="Q13" s="3726"/>
      <c r="R13" s="3741"/>
      <c r="S13" s="3725"/>
    </row>
    <row r="14" spans="1:27" s="668" customFormat="1" ht="75">
      <c r="A14" s="1033"/>
      <c r="B14" s="700"/>
      <c r="C14" s="824"/>
      <c r="D14" s="1065">
        <v>3</v>
      </c>
      <c r="E14" s="1062" t="str">
        <f>'ALL-USD40.1M'!N83</f>
        <v>Pelosika Multipurpose Dam Construction Project</v>
      </c>
      <c r="F14" s="845"/>
      <c r="G14" s="845"/>
      <c r="H14" s="845"/>
      <c r="I14" s="845"/>
      <c r="J14" s="845"/>
      <c r="K14" s="845"/>
      <c r="L14" s="845"/>
      <c r="M14" s="845"/>
      <c r="N14" s="845"/>
      <c r="O14" s="845"/>
      <c r="P14" s="1177">
        <f>'ALL-USD40.1M'!Y83</f>
        <v>200000000</v>
      </c>
      <c r="Q14" s="845"/>
      <c r="R14" s="787" t="str">
        <f>'ALL-USD40.1M'!AA83</f>
        <v>Belum proses</v>
      </c>
      <c r="S14" s="816" t="str">
        <f>'ALL-USD40.1M'!AG83</f>
        <v>- Sudah terdapat penandatanganan MOU kontrak dari Kemenkeu terkait pendanaan kegiatan Kem.PUPR (USD 1 milyar)
- Perlu dikonfirmasi lebih lanjut. 
- Masuk daftar proyek dalam lampiran MoU dengan RRT</v>
      </c>
    </row>
    <row r="15" spans="1:27" s="668" customFormat="1" ht="75">
      <c r="A15" s="1033"/>
      <c r="B15" s="700"/>
      <c r="C15" s="824"/>
      <c r="D15" s="717">
        <v>4</v>
      </c>
      <c r="E15" s="718" t="str">
        <f>'ALL-USD40.1M'!N85</f>
        <v>Jenelata Dam Construction Project</v>
      </c>
      <c r="F15" s="719"/>
      <c r="G15" s="719"/>
      <c r="H15" s="719"/>
      <c r="I15" s="719"/>
      <c r="J15" s="719"/>
      <c r="K15" s="719"/>
      <c r="L15" s="719"/>
      <c r="M15" s="719"/>
      <c r="N15" s="719"/>
      <c r="O15" s="719"/>
      <c r="P15" s="1013">
        <f>'ALL-USD40.1M'!Y85</f>
        <v>200000000</v>
      </c>
      <c r="Q15" s="719"/>
      <c r="R15" s="786" t="str">
        <f>'ALL-USD40.1M'!AA85</f>
        <v>Belum proses</v>
      </c>
      <c r="S15" s="841" t="str">
        <f>'ALL-USD40.1M'!AG85</f>
        <v>- Sudah terdapat penandatanganan MOU kontrak dari Kemenkeu terkait pendanaan kegiatan Kem.PUPR (USD 1 milyar)
- Perlu dikonfirmasi lebih lanjut. 
- Masuk daftar proyek dalam lampiran MoU dengan RRT</v>
      </c>
    </row>
    <row r="16" spans="1:27" s="668" customFormat="1" ht="75">
      <c r="A16" s="1033"/>
      <c r="B16" s="700"/>
      <c r="C16" s="824"/>
      <c r="D16" s="717">
        <v>5</v>
      </c>
      <c r="E16" s="1062" t="str">
        <f>'ALL-USD40.1M'!N89</f>
        <v>Lompatan Harimau Dam Construction Project (Rokan Kiri Dam Construction Project)</v>
      </c>
      <c r="P16" s="775">
        <f>'ALL-USD40.1M'!Y89</f>
        <v>152100000</v>
      </c>
      <c r="R16" s="787" t="str">
        <f>'ALL-USD40.1M'!AA89</f>
        <v>Belum proses</v>
      </c>
      <c r="S16" s="841" t="str">
        <f>'ALL-USD40.1M'!AG89</f>
        <v>- Sudah terdapat penandatanganan MOU kontrak dari Kemenkeu terkait pendanaan kegiatan Kem.PUPR (USD 1 milyar)
- Perlu dikonfirmasi lebih lanjut.  
- Masuk daftar proyek dalam lampiran MoU dengan RRT</v>
      </c>
    </row>
    <row r="17" spans="1:28">
      <c r="A17" s="915"/>
      <c r="B17" s="728">
        <f>DATA!E118</f>
        <v>2</v>
      </c>
      <c r="C17" s="3738" t="str">
        <f>'ALL-USD40.1M'!L111</f>
        <v>Kementerian Perhubungan</v>
      </c>
      <c r="D17" s="3743"/>
      <c r="E17" s="3744"/>
      <c r="F17" s="742"/>
      <c r="G17" s="730"/>
      <c r="H17" s="730"/>
      <c r="I17" s="730"/>
      <c r="J17" s="730"/>
      <c r="K17" s="730"/>
      <c r="L17" s="730"/>
      <c r="M17" s="730"/>
      <c r="N17" s="730"/>
      <c r="O17" s="730"/>
      <c r="P17" s="790">
        <f>P18</f>
        <v>419166900</v>
      </c>
      <c r="Q17" s="730"/>
      <c r="R17" s="1179"/>
      <c r="S17" s="737"/>
    </row>
    <row r="18" spans="1:28">
      <c r="A18" s="915"/>
      <c r="B18" s="702"/>
      <c r="C18" s="697" t="str">
        <f>'ALL-USD40.1M'!L112</f>
        <v>A</v>
      </c>
      <c r="D18" s="3718" t="str">
        <f>'ALL-USD40.1M'!M112</f>
        <v>Program Pengembangan Perkeretaapian</v>
      </c>
      <c r="E18" s="3719"/>
      <c r="F18" s="3726"/>
      <c r="G18" s="3730"/>
      <c r="H18" s="3728"/>
      <c r="I18" s="3730"/>
      <c r="J18" s="3728"/>
      <c r="K18" s="3730"/>
      <c r="L18" s="3728"/>
      <c r="M18" s="3730"/>
      <c r="N18" s="3728"/>
      <c r="O18" s="3730"/>
      <c r="P18" s="3789">
        <f>P19+P20</f>
        <v>419166900</v>
      </c>
      <c r="Q18" s="3745"/>
      <c r="R18" s="1180"/>
      <c r="S18" s="698"/>
    </row>
    <row r="19" spans="1:28" s="668" customFormat="1" ht="30">
      <c r="A19" s="1033"/>
      <c r="B19" s="700"/>
      <c r="C19" s="824"/>
      <c r="D19" s="717">
        <v>6</v>
      </c>
      <c r="E19" s="716" t="str">
        <f>'ALL-USD40.1M'!N113</f>
        <v>Procurement of Track Material and Turn Out - Phase III</v>
      </c>
      <c r="P19" s="775">
        <f>'ALL-USD40.1M'!Y113</f>
        <v>292336700</v>
      </c>
      <c r="R19" s="843" t="str">
        <f>'ALL-USD40.1M'!AA113</f>
        <v>Sudah terdapat RC</v>
      </c>
      <c r="S19" s="776" t="str">
        <f>'ALL-USD40.1M'!AG113</f>
        <v>- Diperlukan konfirmasi time frame
- Masuk dalam MoU RRT sebesar USD 1 Miliar (cek ulang)</v>
      </c>
      <c r="AB19" s="1033"/>
    </row>
    <row r="20" spans="1:28" s="668" customFormat="1">
      <c r="A20" s="1033"/>
      <c r="B20" s="700"/>
      <c r="C20" s="824"/>
      <c r="D20" s="723">
        <v>7</v>
      </c>
      <c r="E20" s="716" t="str">
        <f>'ALL-USD40.1M'!N114</f>
        <v>Procurement of Track Material and Turn Out - Phase IV</v>
      </c>
      <c r="P20" s="1013">
        <f>'ALL-USD40.1M'!Y114</f>
        <v>126830200</v>
      </c>
      <c r="R20" s="784" t="str">
        <f>'ALL-USD40.1M'!AA114</f>
        <v>Belum proses</v>
      </c>
      <c r="S20" s="842" t="str">
        <f>'ALL-USD40.1M'!AG114</f>
        <v>Masuk dalam MoU RRT sebesar USD 1 Miliar (cek ulang)</v>
      </c>
    </row>
    <row r="21" spans="1:28">
      <c r="A21" s="3800" t="s">
        <v>477</v>
      </c>
      <c r="B21" s="3801"/>
      <c r="C21" s="3801"/>
      <c r="D21" s="3801"/>
      <c r="E21" s="3802"/>
      <c r="F21" s="602"/>
      <c r="G21" s="602"/>
      <c r="H21" s="602"/>
      <c r="I21" s="602"/>
      <c r="J21" s="602"/>
      <c r="K21" s="602"/>
      <c r="L21" s="602"/>
      <c r="M21" s="602"/>
      <c r="N21" s="602"/>
      <c r="O21" s="602"/>
      <c r="P21" s="914">
        <f>P7</f>
        <v>1302266900</v>
      </c>
      <c r="R21" s="939"/>
      <c r="S21" s="708"/>
    </row>
    <row r="22" spans="1:28">
      <c r="P22" s="535"/>
      <c r="R22" s="923"/>
    </row>
    <row r="23" spans="1:28">
      <c r="P23" s="535"/>
    </row>
    <row r="24" spans="1:28">
      <c r="P24" s="535"/>
    </row>
    <row r="25" spans="1:28">
      <c r="P25" s="535"/>
    </row>
    <row r="26" spans="1:28">
      <c r="P26" s="535"/>
    </row>
    <row r="27" spans="1:28">
      <c r="P27" s="535"/>
    </row>
    <row r="28" spans="1:28">
      <c r="P28" s="535"/>
    </row>
    <row r="29" spans="1:28">
      <c r="P29" s="535"/>
    </row>
    <row r="30" spans="1:28">
      <c r="P30" s="535"/>
    </row>
    <row r="31" spans="1:28">
      <c r="P31" s="535"/>
    </row>
    <row r="32" spans="1:28">
      <c r="P32" s="535"/>
    </row>
    <row r="33" spans="16:16">
      <c r="P33" s="535"/>
    </row>
    <row r="34" spans="16:16">
      <c r="P34" s="535"/>
    </row>
    <row r="35" spans="16:16">
      <c r="P35" s="535"/>
    </row>
    <row r="36" spans="16:16">
      <c r="P36" s="535"/>
    </row>
    <row r="37" spans="16:16">
      <c r="P37" s="535"/>
    </row>
    <row r="38" spans="16:16">
      <c r="P38" s="535"/>
    </row>
    <row r="39" spans="16:16">
      <c r="P39" s="535"/>
    </row>
    <row r="40" spans="16:16">
      <c r="P40" s="535"/>
    </row>
    <row r="41" spans="16:16">
      <c r="P41" s="535"/>
    </row>
    <row r="42" spans="16:16">
      <c r="P42" s="535"/>
    </row>
    <row r="43" spans="16:16">
      <c r="P43" s="535"/>
    </row>
    <row r="44" spans="16:16">
      <c r="P44" s="535"/>
    </row>
    <row r="45" spans="16:16">
      <c r="P45" s="535"/>
    </row>
  </sheetData>
  <mergeCells count="30">
    <mergeCell ref="L18:M18"/>
    <mergeCell ref="N18:O18"/>
    <mergeCell ref="P18:Q18"/>
    <mergeCell ref="A21:E21"/>
    <mergeCell ref="F4:F5"/>
    <mergeCell ref="G4:G5"/>
    <mergeCell ref="H4:H5"/>
    <mergeCell ref="I4:I5"/>
    <mergeCell ref="J4:J5"/>
    <mergeCell ref="K4:K5"/>
    <mergeCell ref="P4:P5"/>
    <mergeCell ref="Q4:Q5"/>
    <mergeCell ref="A4:E5"/>
    <mergeCell ref="C17:E17"/>
    <mergeCell ref="D18:E18"/>
    <mergeCell ref="F18:G18"/>
    <mergeCell ref="H18:I18"/>
    <mergeCell ref="J18:K18"/>
    <mergeCell ref="D9:E9"/>
    <mergeCell ref="D11:E11"/>
    <mergeCell ref="D13:E13"/>
    <mergeCell ref="P13:Q13"/>
    <mergeCell ref="R13:S13"/>
    <mergeCell ref="A1:AA1"/>
    <mergeCell ref="A2:S2"/>
    <mergeCell ref="L4:O4"/>
    <mergeCell ref="T4:V4"/>
    <mergeCell ref="W4:AA4"/>
    <mergeCell ref="R4:R5"/>
    <mergeCell ref="S4:S5"/>
  </mergeCells>
  <pageMargins left="0.69930555555555596" right="0.69930555555555596"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B51"/>
  <sheetViews>
    <sheetView topLeftCell="A10" zoomScale="70" zoomScaleNormal="70" workbookViewId="0">
      <selection activeCell="S24" sqref="S24"/>
    </sheetView>
  </sheetViews>
  <sheetFormatPr defaultColWidth="9" defaultRowHeight="15"/>
  <cols>
    <col min="1" max="1" width="2.85546875" customWidth="1"/>
    <col min="2" max="2" width="5.42578125" customWidth="1"/>
    <col min="3" max="3" width="2.85546875" customWidth="1"/>
    <col min="4" max="4" width="4.85546875" customWidth="1"/>
    <col min="5" max="5" width="68.140625" customWidth="1"/>
    <col min="6" max="15" width="9" hidden="1" customWidth="1"/>
    <col min="16" max="17" width="24" customWidth="1"/>
    <col min="18" max="18" width="5.140625" hidden="1" customWidth="1"/>
    <col min="19" max="19" width="25" customWidth="1"/>
    <col min="20" max="20" width="54.28515625" customWidth="1"/>
    <col min="21" max="28" width="9" hidden="1" customWidth="1"/>
  </cols>
  <sheetData>
    <row r="1" spans="1:28" ht="18">
      <c r="A1" s="3708"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c r="AB1" s="3697"/>
    </row>
    <row r="2" spans="1:28" ht="18">
      <c r="A2" s="3708" t="s">
        <v>1385</v>
      </c>
      <c r="B2" s="3697"/>
      <c r="C2" s="3697"/>
      <c r="D2" s="3697"/>
      <c r="E2" s="3697"/>
      <c r="F2" s="3697"/>
      <c r="G2" s="3697"/>
      <c r="H2" s="3697"/>
      <c r="I2" s="3697"/>
      <c r="J2" s="3697"/>
      <c r="K2" s="3697"/>
      <c r="L2" s="3697"/>
      <c r="M2" s="3697"/>
      <c r="N2" s="3697"/>
      <c r="O2" s="3697"/>
      <c r="P2" s="3697"/>
      <c r="Q2" s="3697"/>
      <c r="R2" s="3697"/>
      <c r="S2" s="3697"/>
      <c r="T2" s="3697"/>
      <c r="U2" s="671"/>
      <c r="V2" s="671"/>
      <c r="W2" s="671"/>
      <c r="X2" s="671"/>
      <c r="Y2" s="671"/>
      <c r="Z2" s="671"/>
      <c r="AA2" s="671"/>
      <c r="AB2" s="671"/>
    </row>
    <row r="3" spans="1:28">
      <c r="A3" s="672"/>
      <c r="B3" s="673"/>
      <c r="C3" s="673"/>
      <c r="D3" s="673"/>
      <c r="E3" s="674"/>
      <c r="F3" s="675"/>
      <c r="G3" s="675"/>
      <c r="H3" s="676"/>
      <c r="I3" s="676"/>
      <c r="J3" s="675"/>
      <c r="K3" s="675"/>
      <c r="L3" s="754"/>
      <c r="M3" s="675"/>
      <c r="N3" s="675"/>
      <c r="O3" s="675"/>
      <c r="P3" s="675"/>
      <c r="Q3" s="675"/>
      <c r="R3" s="675"/>
      <c r="S3" s="675"/>
      <c r="T3" s="675"/>
      <c r="U3" s="674"/>
      <c r="V3" s="674"/>
      <c r="W3" s="674"/>
      <c r="X3" s="754"/>
      <c r="Y3" s="754"/>
      <c r="Z3" s="754"/>
      <c r="AA3" s="754"/>
      <c r="AB3" s="878"/>
    </row>
    <row r="4" spans="1:28" ht="16.5" customHeight="1">
      <c r="A4" s="3811" t="s">
        <v>2</v>
      </c>
      <c r="B4" s="3812"/>
      <c r="C4" s="3812"/>
      <c r="D4" s="3812"/>
      <c r="E4" s="3812"/>
      <c r="F4" s="3807" t="s">
        <v>1382</v>
      </c>
      <c r="G4" s="3804" t="s">
        <v>1383</v>
      </c>
      <c r="H4" s="3808" t="s">
        <v>1082</v>
      </c>
      <c r="I4" s="3808" t="s">
        <v>1083</v>
      </c>
      <c r="J4" s="3809" t="s">
        <v>1384</v>
      </c>
      <c r="K4" s="3810" t="s">
        <v>1085</v>
      </c>
      <c r="L4" s="3803" t="s">
        <v>1088</v>
      </c>
      <c r="M4" s="3768"/>
      <c r="N4" s="3768"/>
      <c r="O4" s="3769"/>
      <c r="P4" s="3804" t="s">
        <v>1136</v>
      </c>
      <c r="Q4" s="677" t="s">
        <v>7</v>
      </c>
      <c r="R4" s="3804" t="s">
        <v>7</v>
      </c>
      <c r="S4" s="3804" t="s">
        <v>1137</v>
      </c>
      <c r="T4" s="3805" t="s">
        <v>10</v>
      </c>
      <c r="U4" s="3713" t="s">
        <v>1089</v>
      </c>
      <c r="V4" s="3768"/>
      <c r="W4" s="3769"/>
      <c r="X4" s="3716" t="s">
        <v>1086</v>
      </c>
      <c r="Y4" s="3768"/>
      <c r="Z4" s="3768"/>
      <c r="AA4" s="3768"/>
      <c r="AB4" s="3770"/>
    </row>
    <row r="5" spans="1:28" ht="0.75" customHeight="1">
      <c r="A5" s="3813"/>
      <c r="B5" s="3786"/>
      <c r="C5" s="3786"/>
      <c r="D5" s="3786"/>
      <c r="E5" s="3786"/>
      <c r="F5" s="3772"/>
      <c r="G5" s="3774"/>
      <c r="H5" s="3774"/>
      <c r="I5" s="3774"/>
      <c r="J5" s="3777"/>
      <c r="K5" s="3779"/>
      <c r="L5" s="755" t="s">
        <v>11</v>
      </c>
      <c r="M5" s="756" t="s">
        <v>507</v>
      </c>
      <c r="N5" s="756" t="s">
        <v>1090</v>
      </c>
      <c r="O5" s="757" t="s">
        <v>509</v>
      </c>
      <c r="P5" s="3774"/>
      <c r="Q5" s="678"/>
      <c r="R5" s="3774"/>
      <c r="S5" s="3774"/>
      <c r="T5" s="3806"/>
      <c r="U5" s="755" t="s">
        <v>507</v>
      </c>
      <c r="V5" s="802" t="s">
        <v>510</v>
      </c>
      <c r="W5" s="757" t="s">
        <v>511</v>
      </c>
      <c r="X5" s="803" t="s">
        <v>550</v>
      </c>
      <c r="Y5" s="755" t="s">
        <v>1091</v>
      </c>
      <c r="Z5" s="802" t="s">
        <v>15</v>
      </c>
      <c r="AA5" s="879" t="s">
        <v>1092</v>
      </c>
      <c r="AB5" s="880" t="s">
        <v>511</v>
      </c>
    </row>
    <row r="6" spans="1:28">
      <c r="A6" s="679"/>
      <c r="B6" s="680"/>
      <c r="C6" s="680"/>
      <c r="D6" s="680"/>
      <c r="E6" s="681"/>
      <c r="F6" s="682"/>
      <c r="G6" s="683"/>
      <c r="H6" s="684"/>
      <c r="I6" s="684"/>
      <c r="J6" s="758"/>
      <c r="K6" s="759"/>
      <c r="L6" s="760"/>
      <c r="M6" s="761"/>
      <c r="N6" s="761"/>
      <c r="O6" s="762"/>
      <c r="P6" s="763"/>
      <c r="Q6" s="763"/>
      <c r="R6" s="763"/>
      <c r="S6" s="763"/>
      <c r="T6" s="804"/>
      <c r="U6" s="805"/>
      <c r="V6" s="761"/>
      <c r="W6" s="762"/>
      <c r="X6" s="806"/>
      <c r="Y6" s="881"/>
      <c r="Z6" s="882"/>
      <c r="AA6" s="883"/>
      <c r="AB6" s="884"/>
    </row>
    <row r="7" spans="1:28" ht="15.75">
      <c r="A7" s="685" t="str">
        <f>DATA!B2</f>
        <v>I</v>
      </c>
      <c r="B7" s="1059" t="str">
        <f>DATA!D2</f>
        <v>INFRASTRUKTUR</v>
      </c>
      <c r="C7" s="686"/>
      <c r="D7" s="686"/>
      <c r="E7" s="687"/>
      <c r="F7" s="688" t="e">
        <f>F8+#REF!+#REF!+#REF!+#REF!+#REF!+#REF!+#REF!+#REF!+#REF!</f>
        <v>#REF!</v>
      </c>
      <c r="G7" s="689" t="e">
        <f>G8+#REF!+#REF!+#REF!+#REF!+#REF!+#REF!+#REF!+#REF!+#REF!</f>
        <v>#REF!</v>
      </c>
      <c r="H7" s="689" t="e">
        <f>+H8+#REF!+#REF!+#REF!+#REF!+#REF!+#REF!+#REF!+#REF!</f>
        <v>#REF!</v>
      </c>
      <c r="I7" s="689" t="e">
        <f>+I8+#REF!+#REF!+#REF!+#REF!+#REF!+#REF!+#REF!+#REF!</f>
        <v>#REF!</v>
      </c>
      <c r="J7" s="764" t="e">
        <f>+J8+#REF!+#REF!+#REF!+#REF!+#REF!+#REF!+#REF!+#REF!</f>
        <v>#REF!</v>
      </c>
      <c r="K7" s="765"/>
      <c r="L7" s="766"/>
      <c r="M7" s="767" t="e">
        <f>+M8+#REF!+#REF!+#REF!+#REF!+#REF!+#REF!+#REF!+#REF!</f>
        <v>#REF!</v>
      </c>
      <c r="N7" s="767" t="e">
        <f>+N8+#REF!+#REF!+#REF!+#REF!+#REF!+#REF!+#REF!+#REF!</f>
        <v>#REF!</v>
      </c>
      <c r="O7" s="768" t="e">
        <f>+O8+#REF!+#REF!+#REF!+#REF!+#REF!</f>
        <v>#REF!</v>
      </c>
      <c r="P7" s="767">
        <f>P8+P19+P22</f>
        <v>2699000000</v>
      </c>
      <c r="Q7" s="767"/>
      <c r="R7" s="767"/>
      <c r="S7" s="807"/>
      <c r="T7" s="808"/>
      <c r="U7" s="766" t="e">
        <f>+U8+#REF!+#REF!+#REF!+#REF!+#REF!+#REF!+#REF!+#REF!</f>
        <v>#REF!</v>
      </c>
      <c r="V7" s="767" t="s">
        <v>21</v>
      </c>
      <c r="W7" s="688" t="e">
        <f>G7-U7</f>
        <v>#REF!</v>
      </c>
      <c r="X7" s="809"/>
      <c r="Y7" s="885"/>
      <c r="Z7" s="886"/>
      <c r="AA7" s="887"/>
      <c r="AB7" s="888"/>
    </row>
    <row r="8" spans="1:28">
      <c r="A8" s="931"/>
      <c r="B8" s="1060">
        <f>DATA!E2</f>
        <v>1</v>
      </c>
      <c r="C8" s="934" t="str">
        <f>'ALL-USD40.1M'!L9</f>
        <v>Kementerian Pekerjaan Umum dan Perumahan Rakyat</v>
      </c>
      <c r="D8" s="692"/>
      <c r="E8" s="693"/>
      <c r="F8" s="694"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P9+P12+P15+P17</f>
        <v>2537400000</v>
      </c>
      <c r="Q8" s="772"/>
      <c r="R8" s="772"/>
      <c r="S8" s="810"/>
      <c r="T8" s="811"/>
      <c r="U8" s="771" t="e">
        <f>+#REF!+#REF!+#REF!+#REF!+U9+#REF!+#REF!+#REF!+#REF!+#REF!+#REF!+#REF!+#REF!+#REF!+#REF!</f>
        <v>#REF!</v>
      </c>
      <c r="V8" s="772" t="s">
        <v>21</v>
      </c>
      <c r="W8" s="694"/>
      <c r="X8" s="812"/>
      <c r="Y8" s="889"/>
      <c r="Z8" s="890"/>
      <c r="AA8" s="891"/>
      <c r="AB8" s="892"/>
    </row>
    <row r="9" spans="1:28" ht="27" customHeight="1">
      <c r="B9" s="702"/>
      <c r="C9" s="697" t="str">
        <f>'ALL-USD40.1M'!L29</f>
        <v>D</v>
      </c>
      <c r="D9" s="3718" t="str">
        <f>'ALL-USD40.1M'!M29</f>
        <v>Program Pembangunan Air Minum</v>
      </c>
      <c r="E9" s="3735"/>
      <c r="F9" s="699"/>
      <c r="G9" s="699"/>
      <c r="H9" s="699"/>
      <c r="I9" s="699"/>
      <c r="J9" s="699"/>
      <c r="K9" s="699"/>
      <c r="L9" s="699"/>
      <c r="M9" s="699"/>
      <c r="N9" s="699"/>
      <c r="O9" s="699"/>
      <c r="P9" s="774">
        <f>P10+P11</f>
        <v>162600000</v>
      </c>
      <c r="Q9" s="774"/>
      <c r="R9" s="873"/>
      <c r="S9" s="873"/>
      <c r="T9" s="873"/>
    </row>
    <row r="10" spans="1:28" s="668" customFormat="1" ht="45">
      <c r="B10" s="700"/>
      <c r="D10" s="3821">
        <v>1</v>
      </c>
      <c r="E10" s="716" t="str">
        <f>'ALL-USD40.1M'!N34</f>
        <v xml:space="preserve">The Development of Regional Water Supply System in Wosusokas </v>
      </c>
      <c r="P10" s="775">
        <f>'ALL-USD40.1M'!Y34</f>
        <v>106200000</v>
      </c>
      <c r="Q10" s="775" t="str">
        <f>'ALL-USD40.1M'!Z34</f>
        <v>Jerman (KfW)</v>
      </c>
      <c r="R10" s="1133"/>
      <c r="S10" s="783" t="str">
        <f>'ALL-USD40.1M'!AA34</f>
        <v>Proses penyiapan FS</v>
      </c>
      <c r="T10" s="1109" t="str">
        <f>'ALL-USD40.1M'!AG34</f>
        <v>- Masuk Summary of Record (proporsional loan)
- Diusulkan untuk masuk dalam GB 2018 (Rapat pada tanggal 24 Januari 2019)</v>
      </c>
    </row>
    <row r="11" spans="1:28" s="668" customFormat="1">
      <c r="B11" s="700"/>
      <c r="D11" s="3822"/>
      <c r="E11" s="717" t="str">
        <f>'ALL-USD40.1M'!N39</f>
        <v xml:space="preserve">The Development of Regional Water Supply System of Mebidang </v>
      </c>
      <c r="F11" s="719"/>
      <c r="G11" s="719"/>
      <c r="H11" s="719"/>
      <c r="I11" s="719"/>
      <c r="J11" s="719"/>
      <c r="K11" s="719"/>
      <c r="L11" s="719"/>
      <c r="M11" s="719"/>
      <c r="N11" s="719"/>
      <c r="O11" s="719"/>
      <c r="P11" s="1013">
        <f>'ALL-USD40.1M'!Y39</f>
        <v>56400000</v>
      </c>
      <c r="Q11" s="1013" t="str">
        <f>'ALL-USD40.1M'!Z39</f>
        <v>Jerman (KfW)</v>
      </c>
      <c r="R11" s="1134"/>
      <c r="S11" s="784" t="str">
        <f>'ALL-USD40.1M'!AA39</f>
        <v>Proses penyiapan RC</v>
      </c>
      <c r="T11" s="842" t="str">
        <f>'ALL-USD40.1M'!AG39</f>
        <v>Ditargetkan masuk GB 2018</v>
      </c>
    </row>
    <row r="12" spans="1:28">
      <c r="B12" s="702"/>
      <c r="C12" s="720" t="str">
        <f>'ALL-USD40.1M'!L42</f>
        <v>E</v>
      </c>
      <c r="D12" s="3741" t="str">
        <f>DATA!J53</f>
        <v xml:space="preserve">Program Pembangunan Sistem Pengelolaan Air Limbah </v>
      </c>
      <c r="E12" s="3723"/>
      <c r="F12" s="1028"/>
      <c r="G12" s="870"/>
      <c r="H12" s="870"/>
      <c r="I12" s="870"/>
      <c r="J12" s="870"/>
      <c r="K12" s="870"/>
      <c r="L12" s="870"/>
      <c r="M12" s="870"/>
      <c r="N12" s="870"/>
      <c r="O12" s="870"/>
      <c r="P12" s="910">
        <f>P13+P14</f>
        <v>124800000</v>
      </c>
      <c r="Q12" s="1135"/>
      <c r="R12" s="918"/>
      <c r="S12" s="1040"/>
      <c r="T12" s="1136"/>
    </row>
    <row r="13" spans="1:28" s="669" customFormat="1" ht="75">
      <c r="B13" s="703"/>
      <c r="D13" s="999">
        <v>2</v>
      </c>
      <c r="E13" s="847" t="str">
        <f>DATA!L47</f>
        <v>Sewerage System Development in Indonesia</v>
      </c>
      <c r="P13" s="776">
        <f>'ALL-USD40.1M'!Y49</f>
        <v>24800000</v>
      </c>
      <c r="Q13" s="776" t="str">
        <f>'ALL-USD40.1M'!Z49</f>
        <v xml:space="preserve">Perancis (AFD)  </v>
      </c>
      <c r="R13" s="940"/>
      <c r="S13" s="995" t="str">
        <f>'ALL-USD40.1M'!AA49</f>
        <v>Sudah terdapat RC</v>
      </c>
      <c r="T13" s="844" t="str">
        <f>'ALL-USD40.1M'!AG49</f>
        <v xml:space="preserve">- Co-financing dengan IDB USD 325 juta, Bank Dunia USD 200 juta &amp; ADB USD 400 juta
- Kem. PUPR mengusulkan kegiatan Sanitation System Development in Bogor City sebesar USD 56,4 juta
- Belum ada persetujuan sektor untuk masuk GB </v>
      </c>
    </row>
    <row r="14" spans="1:28" s="669" customFormat="1" ht="30">
      <c r="B14" s="703"/>
      <c r="C14" s="941"/>
      <c r="D14" s="712">
        <v>3</v>
      </c>
      <c r="E14" s="722" t="str">
        <f>'ALL-USD40.1M'!N53</f>
        <v>The Development and Optimization of Wastewater Treatment in Greater Bandung</v>
      </c>
      <c r="F14" s="713"/>
      <c r="G14" s="713"/>
      <c r="H14" s="713"/>
      <c r="I14" s="713"/>
      <c r="J14" s="713"/>
      <c r="K14" s="713"/>
      <c r="L14" s="713"/>
      <c r="M14" s="713"/>
      <c r="N14" s="713"/>
      <c r="O14" s="713"/>
      <c r="P14" s="981">
        <f>'ALL-USD40.1M'!Y53</f>
        <v>100000000</v>
      </c>
      <c r="Q14" s="981" t="str">
        <f>'ALL-USD40.1M'!Z53</f>
        <v>Jerman (KfW)</v>
      </c>
      <c r="R14" s="941"/>
      <c r="S14" s="841" t="str">
        <f>'ALL-USD40.1M'!AA53</f>
        <v>Proses penyiapan FS</v>
      </c>
      <c r="T14" s="3286" t="str">
        <f>'ALL-USD40.1M'!AG53</f>
        <v>- Diusulkan untuk masuk dalam GB 2019 (Rapat pada tanggal 24 Januari 2019)
- masuk GB 2019 (diusulkan)</v>
      </c>
    </row>
    <row r="15" spans="1:28">
      <c r="B15" s="702"/>
      <c r="C15" s="1028" t="str">
        <f>'ALL-USD40.1M'!L54</f>
        <v>F</v>
      </c>
      <c r="D15" s="3814" t="str">
        <f>DATA!J54</f>
        <v xml:space="preserve">Program Pembangunan Sistem Pengelolaan Persampahan </v>
      </c>
      <c r="E15" s="3815"/>
      <c r="P15" s="1120">
        <f>P16</f>
        <v>150000000</v>
      </c>
      <c r="Q15" s="1137"/>
      <c r="R15" s="1138"/>
      <c r="S15" s="3816"/>
      <c r="T15" s="3721"/>
    </row>
    <row r="16" spans="1:28" s="668" customFormat="1" ht="30">
      <c r="B16" s="700"/>
      <c r="C16" s="839"/>
      <c r="D16" s="701">
        <v>4</v>
      </c>
      <c r="E16" s="669" t="str">
        <f>'ALL-USD40.1M'!N55</f>
        <v xml:space="preserve">Advanced Solid Waste Management for Sustainable Urban Development (Advance SWM-SUD) </v>
      </c>
      <c r="P16" s="783">
        <f>'ALL-USD40.1M'!Y55</f>
        <v>150000000</v>
      </c>
      <c r="Q16" s="775" t="str">
        <f>'ALL-USD40.1M'!Z55</f>
        <v>Jerman (KfW)</v>
      </c>
      <c r="R16" s="1033"/>
      <c r="S16" s="1139" t="str">
        <f>'ALL-USD40.1M'!AA55</f>
        <v>Proses penyiapan FS</v>
      </c>
      <c r="T16" s="1108" t="str">
        <f>'ALL-USD40.1M'!AG55</f>
        <v>Diusulkan untuk masuk dalam GB 2019 (Rapat pada tanggal 24 Januari 2019)</v>
      </c>
    </row>
    <row r="17" spans="1:20">
      <c r="B17" s="702"/>
      <c r="C17" s="733" t="str">
        <f>'ALL-USD40.1M'!L57</f>
        <v>G</v>
      </c>
      <c r="D17" s="3726" t="str">
        <f>'ALL-USD40.1M'!M57</f>
        <v>Program Penanganan Kumuh</v>
      </c>
      <c r="E17" s="3730"/>
      <c r="F17" s="3728"/>
      <c r="G17" s="3730"/>
      <c r="H17" s="3728"/>
      <c r="I17" s="3730"/>
      <c r="J17" s="3728"/>
      <c r="K17" s="3730"/>
      <c r="L17" s="3728"/>
      <c r="M17" s="3730"/>
      <c r="N17" s="3728"/>
      <c r="O17" s="3726"/>
      <c r="P17" s="1121">
        <f>P18</f>
        <v>2100000000</v>
      </c>
      <c r="Q17" s="1140"/>
      <c r="R17" s="1141"/>
      <c r="S17" s="3817"/>
      <c r="T17" s="3818"/>
    </row>
    <row r="18" spans="1:20" s="668" customFormat="1" ht="51">
      <c r="B18" s="700"/>
      <c r="C18" s="739"/>
      <c r="D18" s="668">
        <v>5</v>
      </c>
      <c r="E18" s="725" t="str">
        <f>'ALL-USD40.1M'!N58</f>
        <v>Slum Improvement in Strategic Human Settlements Area (SISHA)</v>
      </c>
      <c r="P18" s="1122">
        <f>'ALL-USD40.1M'!Y58</f>
        <v>2100000000</v>
      </c>
      <c r="Q18" s="1142" t="str">
        <f>'ALL-USD40.1M'!Z58</f>
        <v xml:space="preserve">Perancis (AFD)  </v>
      </c>
      <c r="R18" s="1033"/>
      <c r="S18" s="1042" t="str">
        <f>'ALL-USD40.1M'!AA58</f>
        <v>Sudah terdapat RC</v>
      </c>
      <c r="T18" s="1143" t="str">
        <f>'ALL-USD40.1M'!AG58</f>
        <v>- Kem. PUPR mengusulkan kegiatan  Sustainable Urban Development in Indonesia (Eco District) sebesar USD 61,1 juta. -Diusulkan untuk pindah ke program Pembangunan Kota Berkelanjutan, namun belum ada usulan resmi.</v>
      </c>
    </row>
    <row r="19" spans="1:20">
      <c r="B19" s="728">
        <f>'ALL-USD40.1M'!K111</f>
        <v>3</v>
      </c>
      <c r="C19" s="3738" t="str">
        <f>'ALL-USD40.1M'!L111</f>
        <v>Kementerian Perhubungan</v>
      </c>
      <c r="D19" s="3738"/>
      <c r="E19" s="3794"/>
      <c r="F19" s="730"/>
      <c r="G19" s="730"/>
      <c r="H19" s="730"/>
      <c r="I19" s="730"/>
      <c r="J19" s="730"/>
      <c r="K19" s="730"/>
      <c r="L19" s="730"/>
      <c r="M19" s="730"/>
      <c r="N19" s="730"/>
      <c r="O19" s="850"/>
      <c r="P19" s="1123">
        <f>P20</f>
        <v>100000000</v>
      </c>
      <c r="Q19" s="1144"/>
      <c r="R19" s="1095"/>
      <c r="S19" s="851"/>
      <c r="T19" s="852"/>
    </row>
    <row r="20" spans="1:20">
      <c r="B20" s="702"/>
      <c r="C20" s="697" t="str">
        <f>'ALL-USD40.1M'!L112</f>
        <v>A</v>
      </c>
      <c r="D20" s="3728" t="str">
        <f>'ALL-USD40.1M'!M112</f>
        <v>Program Pengembangan Perkeretaapian</v>
      </c>
      <c r="E20" s="3730"/>
      <c r="F20" s="3728"/>
      <c r="G20" s="3730"/>
      <c r="H20" s="3728"/>
      <c r="I20" s="3730"/>
      <c r="J20" s="3728"/>
      <c r="K20" s="3730"/>
      <c r="L20" s="3728"/>
      <c r="M20" s="3730"/>
      <c r="N20" s="3728"/>
      <c r="O20" s="3726"/>
      <c r="P20" s="1121">
        <f>P21</f>
        <v>100000000</v>
      </c>
      <c r="Q20" s="1140"/>
      <c r="R20" s="1145"/>
      <c r="S20" s="3728"/>
      <c r="T20" s="3725"/>
    </row>
    <row r="21" spans="1:20" s="668" customFormat="1" ht="60">
      <c r="B21" s="700"/>
      <c r="C21" s="701"/>
      <c r="D21" s="668">
        <v>6</v>
      </c>
      <c r="E21" s="725" t="str">
        <f>'ALL-USD40.1M'!N117</f>
        <v>Surabaya Regional Railway Line - Phase I</v>
      </c>
      <c r="P21" s="1124">
        <f>'ALL-USD40.1M'!Y117</f>
        <v>100000000</v>
      </c>
      <c r="Q21" s="775" t="str">
        <f>'ALL-USD40.1M'!Z117</f>
        <v>Jerman (KfW)</v>
      </c>
      <c r="R21" s="1033"/>
      <c r="S21" s="1146" t="str">
        <f>'ALL-USD40.1M'!AA117</f>
        <v>Belum proses</v>
      </c>
      <c r="T21" s="815" t="str">
        <f>'ALL-USD40.1M'!AG117</f>
        <v xml:space="preserve">- Masuk Summary of Record (proposal loan)
- Dalam proses pre-request
- Sedang dilakukan FS kegiatan dari sumber pendanaan hibah </v>
      </c>
    </row>
    <row r="22" spans="1:20">
      <c r="B22" s="728">
        <f>'ALL-USD40.1M'!K145</f>
        <v>7</v>
      </c>
      <c r="C22" s="3738" t="str">
        <f>'ALL-USD40.1M'!L145</f>
        <v>Pemprov. Aceh</v>
      </c>
      <c r="D22" s="3738"/>
      <c r="E22" s="3794"/>
      <c r="F22" s="730"/>
      <c r="G22" s="730"/>
      <c r="H22" s="730"/>
      <c r="I22" s="730"/>
      <c r="J22" s="730"/>
      <c r="K22" s="730"/>
      <c r="L22" s="730"/>
      <c r="M22" s="730"/>
      <c r="N22" s="730"/>
      <c r="O22" s="730"/>
      <c r="P22" s="1125">
        <f>P23</f>
        <v>61600000</v>
      </c>
      <c r="Q22" s="1147"/>
      <c r="R22" s="1095"/>
      <c r="S22" s="851"/>
      <c r="T22" s="852"/>
    </row>
    <row r="23" spans="1:20">
      <c r="B23" s="702"/>
      <c r="C23" s="697" t="str">
        <f>'ALL-USD40.1M'!L146</f>
        <v>A</v>
      </c>
      <c r="D23" s="3728" t="str">
        <f>DATA!J139</f>
        <v>Program Pembangunan Infrastruktur Ketenagalistrikan</v>
      </c>
      <c r="E23" s="3730"/>
      <c r="F23" s="3728"/>
      <c r="G23" s="3730"/>
      <c r="H23" s="3728"/>
      <c r="I23" s="3730"/>
      <c r="J23" s="3728"/>
      <c r="K23" s="3730"/>
      <c r="L23" s="3728"/>
      <c r="M23" s="3730"/>
      <c r="N23" s="3728"/>
      <c r="O23" s="3730"/>
      <c r="P23" s="1126">
        <f>P24</f>
        <v>61600000</v>
      </c>
      <c r="Q23" s="1140"/>
      <c r="R23" s="1148"/>
      <c r="S23" s="3728"/>
      <c r="T23" s="3725"/>
    </row>
    <row r="24" spans="1:20" ht="30.75" customHeight="1">
      <c r="B24" s="702"/>
      <c r="D24" s="706">
        <v>7</v>
      </c>
      <c r="E24" s="895" t="str">
        <f>'ALL-USD40.1M'!N147</f>
        <v>Development of Seulawah Agam Geothermal Working Area for 55 MW-Capacity Geothermal Power Plant in Aceh</v>
      </c>
      <c r="P24" s="841">
        <f>'ALL-USD40.1M'!Y147</f>
        <v>61600000</v>
      </c>
      <c r="Q24" s="776" t="str">
        <f>'ALL-USD40.1M'!Z147</f>
        <v>Jerman (KfW)</v>
      </c>
      <c r="R24" s="940"/>
      <c r="S24" s="1149" t="str">
        <f>'ALL-USD40.1M'!AA147</f>
        <v>Belum proses</v>
      </c>
      <c r="T24" s="1150" t="str">
        <f>'ALL-USD40.1M'!AG147</f>
        <v>- Potensial ditunda
- Saat ini terdapat kegiatan yang penyusunan FS yang bersumber dari hibah</v>
      </c>
    </row>
    <row r="25" spans="1:20" ht="15.75">
      <c r="A25" s="745" t="s">
        <v>960</v>
      </c>
      <c r="B25" s="746" t="str">
        <f>DATA!D160</f>
        <v>NON-INFRASTRUKTUR</v>
      </c>
      <c r="C25" s="747"/>
      <c r="D25" s="686"/>
      <c r="E25" s="686"/>
      <c r="F25" s="686"/>
      <c r="G25" s="686"/>
      <c r="H25" s="686"/>
      <c r="I25" s="686"/>
      <c r="J25" s="686"/>
      <c r="K25" s="686"/>
      <c r="L25" s="686"/>
      <c r="M25" s="686"/>
      <c r="N25" s="686"/>
      <c r="O25" s="686"/>
      <c r="P25" s="1127">
        <f>P26+P29+P35</f>
        <v>355920000</v>
      </c>
      <c r="Q25" s="768"/>
      <c r="R25" s="1096"/>
      <c r="S25" s="866"/>
      <c r="T25" s="867"/>
    </row>
    <row r="26" spans="1:20">
      <c r="B26" s="728">
        <f>'ALL-USD40.1M'!K157</f>
        <v>10</v>
      </c>
      <c r="C26" s="729" t="str">
        <f>'ALL-USD40.1M'!L157</f>
        <v>Kementerian Riset, Teknologi, dan Pendidikan Tinggi</v>
      </c>
      <c r="D26" s="729"/>
      <c r="E26" s="748"/>
      <c r="P26" s="797">
        <f>P27</f>
        <v>31520000</v>
      </c>
      <c r="Q26" s="797"/>
      <c r="R26" s="876"/>
      <c r="S26" s="876"/>
      <c r="T26" s="984"/>
    </row>
    <row r="27" spans="1:20" ht="25.5" customHeight="1">
      <c r="B27" s="702"/>
      <c r="C27" s="697" t="str">
        <f>'ALL-USD40.1M'!L158</f>
        <v>A</v>
      </c>
      <c r="D27" s="3823" t="str">
        <f>DATA!J174</f>
        <v>Program Peningkatan Akses, Kualitas, Relevansi, dan Daya Saing Pendidikan Tinggi Islam</v>
      </c>
      <c r="E27" s="3824"/>
      <c r="F27" s="699"/>
      <c r="G27" s="699"/>
      <c r="H27" s="699"/>
      <c r="I27" s="699"/>
      <c r="J27" s="699"/>
      <c r="K27" s="699"/>
      <c r="L27" s="699"/>
      <c r="M27" s="699"/>
      <c r="N27" s="699"/>
      <c r="O27" s="699"/>
      <c r="P27" s="945">
        <f>P28</f>
        <v>31520000</v>
      </c>
      <c r="Q27" s="1151"/>
      <c r="R27" s="917"/>
      <c r="S27" s="1152"/>
      <c r="T27" s="854"/>
    </row>
    <row r="28" spans="1:20" s="669" customFormat="1" ht="38.25" customHeight="1">
      <c r="B28" s="703"/>
      <c r="C28" s="704"/>
      <c r="D28" s="669">
        <v>8</v>
      </c>
      <c r="E28" s="705" t="str">
        <f>DATA!L165</f>
        <v>The Plan of Hasanuddin University Hospital Development</v>
      </c>
      <c r="P28" s="1128">
        <f>'ALL-USD40.1M'!Y159</f>
        <v>31520000</v>
      </c>
      <c r="Q28" s="776" t="str">
        <f>'ALL-USD40.1M'!Z159</f>
        <v>Jerman (KfW)</v>
      </c>
      <c r="R28" s="1153"/>
      <c r="S28" s="1154" t="str">
        <f>'ALL-USD40.1M'!AA159</f>
        <v>- GB 2017 (USD 31,52 juta)
- DK tanggal 31 Juli 2017</v>
      </c>
      <c r="T28" s="844" t="str">
        <f>'ALL-USD40.1M'!AG159</f>
        <v>Direncanakan signing 2017</v>
      </c>
    </row>
    <row r="29" spans="1:20">
      <c r="B29" s="728">
        <f>'ALL-USD40.1M'!K217</f>
        <v>18</v>
      </c>
      <c r="C29" s="3738" t="str">
        <f>'ALL-USD40.1M'!L217</f>
        <v>Kementerian Pertahanan</v>
      </c>
      <c r="D29" s="3825"/>
      <c r="E29" s="3826"/>
      <c r="F29" s="691"/>
      <c r="G29" s="691"/>
      <c r="H29" s="691"/>
      <c r="I29" s="691"/>
      <c r="J29" s="691"/>
      <c r="K29" s="691"/>
      <c r="L29" s="691"/>
      <c r="M29" s="691"/>
      <c r="N29" s="691"/>
      <c r="O29" s="691"/>
      <c r="P29" s="1129">
        <f>P30</f>
        <v>210000000</v>
      </c>
      <c r="Q29" s="938"/>
      <c r="R29" s="1046"/>
      <c r="S29" s="1155"/>
      <c r="T29" s="1156"/>
    </row>
    <row r="30" spans="1:20">
      <c r="B30" s="702"/>
      <c r="C30" s="720" t="str">
        <f>'ALL-USD40.1M'!L218</f>
        <v>A</v>
      </c>
      <c r="D30" s="3819" t="str">
        <f>DATA!J202</f>
        <v xml:space="preserve">Program Pembangunan Rumah Sakit Militer </v>
      </c>
      <c r="E30" s="3787"/>
      <c r="F30" s="923"/>
      <c r="G30" s="923"/>
      <c r="H30" s="923"/>
      <c r="I30" s="923"/>
      <c r="J30" s="923"/>
      <c r="K30" s="923"/>
      <c r="L30" s="923"/>
      <c r="M30" s="923"/>
      <c r="N30" s="923"/>
      <c r="O30" s="923"/>
      <c r="P30" s="1130">
        <f>P31+P32+P33+P34</f>
        <v>210000000</v>
      </c>
      <c r="Q30" s="1157"/>
      <c r="R30" s="3819"/>
      <c r="S30" s="3788"/>
      <c r="T30" s="822"/>
    </row>
    <row r="31" spans="1:20">
      <c r="B31" s="702"/>
      <c r="D31" s="708">
        <v>9</v>
      </c>
      <c r="E31" s="898" t="str">
        <f>'ALL-USD40.1M'!N219</f>
        <v>Upgrading Medical Equipments for Army Hospital of Gatot Subroto</v>
      </c>
      <c r="F31" s="897"/>
      <c r="G31" s="897"/>
      <c r="H31" s="897"/>
      <c r="I31" s="897"/>
      <c r="J31" s="897"/>
      <c r="K31" s="897"/>
      <c r="L31" s="897"/>
      <c r="M31" s="897"/>
      <c r="N31" s="897"/>
      <c r="O31" s="897"/>
      <c r="P31" s="792">
        <f>'ALL-USD40.1M'!Y219</f>
        <v>150000000</v>
      </c>
      <c r="Q31" s="792" t="str">
        <f>'ALL-USD40.1M'!Z219</f>
        <v>Austria</v>
      </c>
      <c r="R31" s="1158"/>
      <c r="S31" s="1159" t="str">
        <f>'ALL-USD40.1M'!AA219</f>
        <v>Belum proses</v>
      </c>
      <c r="T31" s="823">
        <f>'ALL-USD40.1M'!AG219</f>
        <v>0</v>
      </c>
    </row>
    <row r="32" spans="1:20" ht="30.75" customHeight="1">
      <c r="B32" s="702"/>
      <c r="C32" s="702"/>
      <c r="D32" s="717">
        <v>10</v>
      </c>
      <c r="E32" s="718" t="str">
        <f>'ALL-USD40.1M'!N220</f>
        <v>Upgrading Medical Equipments for Army Hospitals</v>
      </c>
      <c r="F32" s="709"/>
      <c r="G32" s="709"/>
      <c r="H32" s="709"/>
      <c r="I32" s="709"/>
      <c r="J32" s="709"/>
      <c r="K32" s="709"/>
      <c r="L32" s="709"/>
      <c r="M32" s="709"/>
      <c r="N32" s="709"/>
      <c r="O32" s="709"/>
      <c r="P32" s="1009">
        <f>'ALL-USD40.1M'!Y220</f>
        <v>30000000</v>
      </c>
      <c r="Q32" s="1013" t="str">
        <f>'ALL-USD40.1M'!Z220</f>
        <v>Austria</v>
      </c>
      <c r="R32" s="860"/>
      <c r="S32" s="1160" t="str">
        <f>'ALL-USD40.1M'!AA220</f>
        <v>GB 2017 ( terdapat 3 kegiatan x USD 10 juta)</v>
      </c>
      <c r="T32" s="1009" t="str">
        <f>'ALL-USD40.1M'!AG220</f>
        <v>RS. PELAMONIA, RS. Putri Hijau, RS. Udayana</v>
      </c>
    </row>
    <row r="33" spans="1:20">
      <c r="B33" s="702"/>
      <c r="C33" s="702"/>
      <c r="D33" s="708">
        <v>11</v>
      </c>
      <c r="E33" s="708" t="str">
        <f>'ALL-USD40.1M'!N222</f>
        <v>Upgrading Medical Equipments for Naval Hospitals</v>
      </c>
      <c r="P33" s="1017">
        <f>'ALL-USD40.1M'!Y222</f>
        <v>15000000</v>
      </c>
      <c r="Q33" s="535" t="str">
        <f>'ALL-USD40.1M'!Z222</f>
        <v>Austria</v>
      </c>
      <c r="R33" s="915"/>
      <c r="S33" s="1161" t="str">
        <f>'ALL-USD40.1M'!AA222</f>
        <v>GB 2017 (USD 15 juta)</v>
      </c>
      <c r="T33" s="1017" t="str">
        <f>'ALL-USD40.1M'!AG222</f>
        <v>RS. Wahyu Slamet</v>
      </c>
    </row>
    <row r="34" spans="1:20">
      <c r="B34" s="702"/>
      <c r="C34" s="893"/>
      <c r="D34" s="1118">
        <v>12</v>
      </c>
      <c r="E34" s="1118" t="str">
        <f>'ALL-USD40.1M'!N224</f>
        <v>Upgrading Medical Equipments for Air Force Hospitals</v>
      </c>
      <c r="P34" s="792">
        <f>'ALL-USD40.1M'!Y224</f>
        <v>15000000</v>
      </c>
      <c r="Q34" s="778" t="str">
        <f>'ALL-USD40.1M'!Z224</f>
        <v>Austria</v>
      </c>
      <c r="R34" s="860"/>
      <c r="S34" s="1052" t="str">
        <f>'ALL-USD40.1M'!AA224</f>
        <v>GB 2017 (USD 15 juta)</v>
      </c>
      <c r="T34" s="823" t="str">
        <f>'ALL-USD40.1M'!AG224</f>
        <v>RS. Dodi Sarjoto</v>
      </c>
    </row>
    <row r="35" spans="1:20">
      <c r="B35" s="728">
        <f>'ALL-USD40.1M'!K230</f>
        <v>20</v>
      </c>
      <c r="C35" s="3738" t="str">
        <f>'ALL-USD40.1M'!L230</f>
        <v>Badan Pengkajian dan Penerapan Teknologi (BPPT)</v>
      </c>
      <c r="D35" s="3738"/>
      <c r="E35" s="3739"/>
      <c r="F35" s="742"/>
      <c r="G35" s="730"/>
      <c r="H35" s="730"/>
      <c r="I35" s="730"/>
      <c r="J35" s="730"/>
      <c r="K35" s="730"/>
      <c r="L35" s="730"/>
      <c r="M35" s="730"/>
      <c r="N35" s="730"/>
      <c r="O35" s="730"/>
      <c r="P35" s="1131">
        <f>P36</f>
        <v>114400000</v>
      </c>
      <c r="Q35" s="1162"/>
      <c r="R35" s="1163"/>
      <c r="S35" s="1164"/>
      <c r="T35" s="863"/>
    </row>
    <row r="36" spans="1:20">
      <c r="B36" s="702"/>
      <c r="C36" s="738" t="str">
        <f>'ALL-USD40.1M'!L231</f>
        <v>A</v>
      </c>
      <c r="D36" s="1119" t="str">
        <f>'ALL-USD40.1M'!M231</f>
        <v>Program Pembangunan Science Park dan Technopark</v>
      </c>
      <c r="E36" s="873"/>
      <c r="F36" s="873"/>
      <c r="G36" s="873"/>
      <c r="H36" s="873"/>
      <c r="I36" s="873"/>
      <c r="J36" s="873"/>
      <c r="K36" s="873"/>
      <c r="L36" s="873"/>
      <c r="M36" s="873"/>
      <c r="N36" s="873"/>
      <c r="O36" s="873"/>
      <c r="P36" s="945">
        <f>P37</f>
        <v>114400000</v>
      </c>
      <c r="Q36" s="857"/>
      <c r="R36" s="1165"/>
      <c r="S36" s="871"/>
      <c r="T36" s="979"/>
    </row>
    <row r="37" spans="1:20" ht="30" customHeight="1">
      <c r="B37" s="702"/>
      <c r="C37" s="708"/>
      <c r="D37" s="708">
        <v>13</v>
      </c>
      <c r="E37" s="894" t="str">
        <f>'ALL-USD40.1M'!N232</f>
        <v>Development of Maritime National Science and Technology Park (NTSP) in the Northern Penajam Paser and Revitalization Infrastructure Marine Survey</v>
      </c>
      <c r="F37" s="923"/>
      <c r="G37" s="923"/>
      <c r="H37" s="923"/>
      <c r="I37" s="923"/>
      <c r="J37" s="923"/>
      <c r="K37" s="923"/>
      <c r="L37" s="923"/>
      <c r="M37" s="923"/>
      <c r="N37" s="923"/>
      <c r="O37" s="923"/>
      <c r="P37" s="946">
        <f>'ALL-USD40.1M'!Y232</f>
        <v>114400000</v>
      </c>
      <c r="Q37" s="946" t="str">
        <f>'ALL-USD40.1M'!Z232</f>
        <v xml:space="preserve">Perancis (AFD)  </v>
      </c>
      <c r="R37" s="923"/>
      <c r="S37" s="946" t="str">
        <f>'ALL-USD40.1M'!AA232</f>
        <v>Proses penyiapan RC</v>
      </c>
      <c r="T37" s="840" t="str">
        <f>'ALL-USD40.1M'!AG232</f>
        <v>Pembahasan scope kegiatan dengan K/L</v>
      </c>
    </row>
    <row r="38" spans="1:20">
      <c r="A38" s="3800" t="s">
        <v>477</v>
      </c>
      <c r="B38" s="3801"/>
      <c r="C38" s="3801"/>
      <c r="D38" s="3820"/>
      <c r="E38" s="3801"/>
      <c r="F38" s="907"/>
      <c r="G38" s="907"/>
      <c r="H38" s="907"/>
      <c r="I38" s="907"/>
      <c r="J38" s="907"/>
      <c r="K38" s="907"/>
      <c r="L38" s="907"/>
      <c r="M38" s="907"/>
      <c r="N38" s="907"/>
      <c r="O38" s="907"/>
      <c r="P38" s="1132">
        <f>P25+P7</f>
        <v>3054920000</v>
      </c>
      <c r="Q38" s="914"/>
      <c r="R38" s="907"/>
      <c r="S38" s="924"/>
      <c r="T38" s="1166"/>
    </row>
    <row r="39" spans="1:20">
      <c r="P39" s="535"/>
      <c r="Q39" s="535"/>
    </row>
    <row r="40" spans="1:20">
      <c r="P40" s="535" t="s">
        <v>1386</v>
      </c>
      <c r="Q40" s="535" t="s">
        <v>1387</v>
      </c>
    </row>
    <row r="41" spans="1:20">
      <c r="E41" t="s">
        <v>1388</v>
      </c>
      <c r="P41" s="535">
        <f>P10+P11+P14+P16+P21+P24</f>
        <v>574200000</v>
      </c>
      <c r="Q41" s="535">
        <f>P28</f>
        <v>31520000</v>
      </c>
    </row>
    <row r="42" spans="1:20">
      <c r="E42" t="s">
        <v>1389</v>
      </c>
      <c r="P42" s="535">
        <f>P13+P18</f>
        <v>2124800000</v>
      </c>
      <c r="Q42" s="535">
        <f>P37</f>
        <v>114400000</v>
      </c>
    </row>
    <row r="43" spans="1:20">
      <c r="E43" t="s">
        <v>1390</v>
      </c>
      <c r="P43" s="535">
        <v>0</v>
      </c>
      <c r="Q43" s="535">
        <f>P31+P32+P33+P34</f>
        <v>210000000</v>
      </c>
    </row>
    <row r="44" spans="1:20">
      <c r="P44" s="535">
        <f>P41+P42+P43</f>
        <v>2699000000</v>
      </c>
      <c r="Q44" s="535">
        <f>Q41+Q42+Q43</f>
        <v>355920000</v>
      </c>
      <c r="S44" s="535">
        <f>P44+Q44</f>
        <v>3054920000</v>
      </c>
    </row>
    <row r="45" spans="1:20">
      <c r="P45" s="535"/>
      <c r="Q45" s="535"/>
    </row>
    <row r="46" spans="1:20">
      <c r="P46" s="535"/>
      <c r="Q46" s="535"/>
    </row>
    <row r="47" spans="1:20">
      <c r="P47" s="535"/>
      <c r="Q47" s="535"/>
    </row>
    <row r="48" spans="1:20">
      <c r="P48" s="535"/>
      <c r="Q48" s="535"/>
    </row>
    <row r="49" spans="16:17">
      <c r="P49" s="535"/>
      <c r="Q49" s="535"/>
    </row>
    <row r="50" spans="16:17">
      <c r="P50" s="535"/>
      <c r="Q50" s="535"/>
    </row>
    <row r="51" spans="16:17">
      <c r="P51" s="535"/>
      <c r="Q51" s="535"/>
    </row>
  </sheetData>
  <mergeCells count="50">
    <mergeCell ref="A38:E38"/>
    <mergeCell ref="D10:D11"/>
    <mergeCell ref="F4:F5"/>
    <mergeCell ref="G4:G5"/>
    <mergeCell ref="H4:H5"/>
    <mergeCell ref="A4:E5"/>
    <mergeCell ref="D27:E27"/>
    <mergeCell ref="C29:E29"/>
    <mergeCell ref="D30:E30"/>
    <mergeCell ref="C19:E19"/>
    <mergeCell ref="R30:S30"/>
    <mergeCell ref="C35:E35"/>
    <mergeCell ref="L20:M20"/>
    <mergeCell ref="N20:O20"/>
    <mergeCell ref="S20:T20"/>
    <mergeCell ref="C22:E22"/>
    <mergeCell ref="D23:E23"/>
    <mergeCell ref="F23:G23"/>
    <mergeCell ref="H23:I23"/>
    <mergeCell ref="J23:K23"/>
    <mergeCell ref="L23:M23"/>
    <mergeCell ref="N23:O23"/>
    <mergeCell ref="S23:T23"/>
    <mergeCell ref="D20:E20"/>
    <mergeCell ref="F20:G20"/>
    <mergeCell ref="H20:I20"/>
    <mergeCell ref="J20:K20"/>
    <mergeCell ref="D9:E9"/>
    <mergeCell ref="D12:E12"/>
    <mergeCell ref="D15:E15"/>
    <mergeCell ref="S15:T15"/>
    <mergeCell ref="D17:E17"/>
    <mergeCell ref="F17:G17"/>
    <mergeCell ref="H17:I17"/>
    <mergeCell ref="J17:K17"/>
    <mergeCell ref="L17:M17"/>
    <mergeCell ref="N17:O17"/>
    <mergeCell ref="S17:T17"/>
    <mergeCell ref="A1:AB1"/>
    <mergeCell ref="A2:T2"/>
    <mergeCell ref="L4:O4"/>
    <mergeCell ref="U4:W4"/>
    <mergeCell ref="X4:AB4"/>
    <mergeCell ref="I4:I5"/>
    <mergeCell ref="J4:J5"/>
    <mergeCell ref="K4:K5"/>
    <mergeCell ref="P4:P5"/>
    <mergeCell ref="R4:R5"/>
    <mergeCell ref="S4:S5"/>
    <mergeCell ref="T4:T5"/>
  </mergeCells>
  <pageMargins left="0.69930555555555596" right="0.69930555555555596" top="0.75" bottom="0.75" header="0.3" footer="0.3"/>
  <pageSetup paperSize="9"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3"/>
  <sheetViews>
    <sheetView zoomScale="70" zoomScaleNormal="70" workbookViewId="0">
      <selection activeCell="S24" sqref="S24"/>
    </sheetView>
  </sheetViews>
  <sheetFormatPr defaultColWidth="9" defaultRowHeight="15"/>
  <cols>
    <col min="1" max="1" width="2.85546875" customWidth="1"/>
    <col min="2" max="2" width="3.5703125" customWidth="1"/>
    <col min="3" max="3" width="2.85546875" customWidth="1"/>
    <col min="4" max="4" width="4.85546875" customWidth="1"/>
    <col min="5" max="5" width="68.140625" customWidth="1"/>
    <col min="6" max="15" width="9" hidden="1" customWidth="1"/>
    <col min="16" max="16" width="24" customWidth="1"/>
    <col min="17" max="17" width="5.140625" hidden="1" customWidth="1"/>
    <col min="18" max="18" width="23.28515625" customWidth="1"/>
    <col min="19" max="19" width="25" customWidth="1"/>
    <col min="20" max="20" width="54.28515625" customWidth="1"/>
    <col min="21" max="28" width="9" hidden="1" customWidth="1"/>
  </cols>
  <sheetData>
    <row r="1" spans="1:28" ht="18">
      <c r="A1" s="3708"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c r="AB1" s="3697"/>
    </row>
    <row r="2" spans="1:28" ht="18">
      <c r="A2" s="3708" t="s">
        <v>1391</v>
      </c>
      <c r="B2" s="3697"/>
      <c r="C2" s="3697"/>
      <c r="D2" s="3697"/>
      <c r="E2" s="3697"/>
      <c r="F2" s="3697"/>
      <c r="G2" s="3697"/>
      <c r="H2" s="3697"/>
      <c r="I2" s="3697"/>
      <c r="J2" s="3697"/>
      <c r="K2" s="3697"/>
      <c r="L2" s="3697"/>
      <c r="M2" s="3697"/>
      <c r="N2" s="3697"/>
      <c r="O2" s="3697"/>
      <c r="P2" s="3697"/>
      <c r="Q2" s="3697"/>
      <c r="R2" s="3697"/>
      <c r="S2" s="3697"/>
      <c r="T2" s="3697"/>
      <c r="U2" s="671"/>
      <c r="V2" s="671"/>
      <c r="W2" s="671"/>
      <c r="X2" s="671"/>
      <c r="Y2" s="671"/>
      <c r="Z2" s="671"/>
      <c r="AA2" s="671"/>
      <c r="AB2" s="671"/>
    </row>
    <row r="3" spans="1:28">
      <c r="A3" s="672"/>
      <c r="B3" s="673"/>
      <c r="C3" s="673"/>
      <c r="D3" s="673"/>
      <c r="E3" s="674"/>
      <c r="F3" s="675"/>
      <c r="G3" s="675"/>
      <c r="H3" s="676"/>
      <c r="I3" s="676"/>
      <c r="J3" s="675"/>
      <c r="K3" s="675"/>
      <c r="L3" s="754"/>
      <c r="M3" s="675"/>
      <c r="N3" s="675"/>
      <c r="O3" s="675"/>
      <c r="P3" s="675"/>
      <c r="Q3" s="675"/>
      <c r="R3" s="675"/>
      <c r="S3" s="675"/>
      <c r="T3" s="675"/>
      <c r="U3" s="674"/>
      <c r="V3" s="674"/>
      <c r="W3" s="674"/>
      <c r="X3" s="754"/>
      <c r="Y3" s="754"/>
      <c r="Z3" s="754"/>
      <c r="AA3" s="754"/>
      <c r="AB3" s="878"/>
    </row>
    <row r="4" spans="1:28" ht="16.5" customHeight="1">
      <c r="A4" s="3811" t="s">
        <v>2</v>
      </c>
      <c r="B4" s="3812"/>
      <c r="C4" s="3812"/>
      <c r="D4" s="3812"/>
      <c r="E4" s="3812"/>
      <c r="F4" s="3807" t="s">
        <v>1382</v>
      </c>
      <c r="G4" s="3804" t="s">
        <v>1383</v>
      </c>
      <c r="H4" s="3808" t="s">
        <v>1082</v>
      </c>
      <c r="I4" s="3808" t="s">
        <v>1083</v>
      </c>
      <c r="J4" s="3809" t="s">
        <v>1384</v>
      </c>
      <c r="K4" s="3810" t="s">
        <v>1085</v>
      </c>
      <c r="L4" s="3803" t="s">
        <v>1088</v>
      </c>
      <c r="M4" s="3768"/>
      <c r="N4" s="3768"/>
      <c r="O4" s="3769"/>
      <c r="P4" s="3804" t="s">
        <v>1136</v>
      </c>
      <c r="Q4" s="3804" t="s">
        <v>7</v>
      </c>
      <c r="R4" s="677" t="s">
        <v>7</v>
      </c>
      <c r="S4" s="3804" t="s">
        <v>1137</v>
      </c>
      <c r="T4" s="3805" t="s">
        <v>10</v>
      </c>
      <c r="U4" s="3713" t="s">
        <v>1089</v>
      </c>
      <c r="V4" s="3768"/>
      <c r="W4" s="3769"/>
      <c r="X4" s="3716" t="s">
        <v>1086</v>
      </c>
      <c r="Y4" s="3768"/>
      <c r="Z4" s="3768"/>
      <c r="AA4" s="3768"/>
      <c r="AB4" s="3770"/>
    </row>
    <row r="5" spans="1:28" ht="0.75" customHeight="1">
      <c r="A5" s="3813"/>
      <c r="B5" s="3786"/>
      <c r="C5" s="3786"/>
      <c r="D5" s="3786"/>
      <c r="E5" s="3786"/>
      <c r="F5" s="3772"/>
      <c r="G5" s="3774"/>
      <c r="H5" s="3774"/>
      <c r="I5" s="3774"/>
      <c r="J5" s="3777"/>
      <c r="K5" s="3779"/>
      <c r="L5" s="755" t="s">
        <v>11</v>
      </c>
      <c r="M5" s="756" t="s">
        <v>507</v>
      </c>
      <c r="N5" s="756" t="s">
        <v>1090</v>
      </c>
      <c r="O5" s="757" t="s">
        <v>509</v>
      </c>
      <c r="P5" s="3774"/>
      <c r="Q5" s="3774"/>
      <c r="R5" s="678"/>
      <c r="S5" s="3774"/>
      <c r="T5" s="3806"/>
      <c r="U5" s="755" t="s">
        <v>507</v>
      </c>
      <c r="V5" s="802" t="s">
        <v>510</v>
      </c>
      <c r="W5" s="757" t="s">
        <v>511</v>
      </c>
      <c r="X5" s="803" t="s">
        <v>550</v>
      </c>
      <c r="Y5" s="755" t="s">
        <v>1091</v>
      </c>
      <c r="Z5" s="802" t="s">
        <v>15</v>
      </c>
      <c r="AA5" s="879" t="s">
        <v>1092</v>
      </c>
      <c r="AB5" s="880" t="s">
        <v>511</v>
      </c>
    </row>
    <row r="6" spans="1:28">
      <c r="A6" s="679"/>
      <c r="B6" s="680"/>
      <c r="C6" s="680"/>
      <c r="D6" s="680"/>
      <c r="E6" s="681"/>
      <c r="F6" s="682"/>
      <c r="G6" s="683"/>
      <c r="H6" s="684"/>
      <c r="I6" s="684"/>
      <c r="J6" s="758"/>
      <c r="K6" s="759"/>
      <c r="L6" s="760"/>
      <c r="M6" s="761"/>
      <c r="N6" s="761"/>
      <c r="O6" s="762"/>
      <c r="P6" s="763"/>
      <c r="Q6" s="763"/>
      <c r="R6" s="763"/>
      <c r="S6" s="763"/>
      <c r="T6" s="804"/>
      <c r="U6" s="805"/>
      <c r="V6" s="761"/>
      <c r="W6" s="762"/>
      <c r="X6" s="806"/>
      <c r="Y6" s="881"/>
      <c r="Z6" s="882"/>
      <c r="AA6" s="883"/>
      <c r="AB6" s="884"/>
    </row>
    <row r="7" spans="1:28" ht="15.75">
      <c r="A7" s="685" t="str">
        <f>DATA!B2</f>
        <v>I</v>
      </c>
      <c r="B7" s="1059" t="str">
        <f>DATA!D2</f>
        <v>INFRASTRUKTUR</v>
      </c>
      <c r="C7" s="1059"/>
      <c r="D7" s="1059"/>
      <c r="E7" s="1087"/>
      <c r="F7" s="1088" t="e">
        <f>F8+#REF!+#REF!+#REF!+#REF!+#REF!+#REF!+#REF!+#REF!+#REF!</f>
        <v>#REF!</v>
      </c>
      <c r="G7" s="1089" t="e">
        <f>G8+#REF!+#REF!+#REF!+#REF!+#REF!+#REF!+#REF!+#REF!+#REF!</f>
        <v>#REF!</v>
      </c>
      <c r="H7" s="1089" t="e">
        <f>+H8+#REF!+#REF!+#REF!+#REF!+#REF!+#REF!+#REF!+#REF!</f>
        <v>#REF!</v>
      </c>
      <c r="I7" s="1089" t="e">
        <f>+I8+#REF!+#REF!+#REF!+#REF!+#REF!+#REF!+#REF!+#REF!</f>
        <v>#REF!</v>
      </c>
      <c r="J7" s="764" t="e">
        <f>+J8+#REF!+#REF!+#REF!+#REF!+#REF!+#REF!+#REF!+#REF!</f>
        <v>#REF!</v>
      </c>
      <c r="K7" s="765"/>
      <c r="L7" s="766"/>
      <c r="M7" s="767" t="e">
        <f>+M8+#REF!+#REF!+#REF!+#REF!+#REF!+#REF!+#REF!+#REF!</f>
        <v>#REF!</v>
      </c>
      <c r="N7" s="767" t="e">
        <f>+N8+#REF!+#REF!+#REF!+#REF!+#REF!+#REF!+#REF!+#REF!</f>
        <v>#REF!</v>
      </c>
      <c r="O7" s="768" t="e">
        <f>+O8+#REF!+#REF!+#REF!+#REF!+#REF!</f>
        <v>#REF!</v>
      </c>
      <c r="P7" s="767">
        <f>P8+P11</f>
        <v>861000000</v>
      </c>
      <c r="Q7" s="767"/>
      <c r="R7" s="767"/>
      <c r="S7" s="807"/>
      <c r="T7" s="808"/>
      <c r="U7" s="766" t="e">
        <f>+U8+#REF!+#REF!+#REF!+#REF!+#REF!+#REF!+#REF!+#REF!</f>
        <v>#REF!</v>
      </c>
      <c r="V7" s="767" t="s">
        <v>21</v>
      </c>
      <c r="W7" s="688" t="e">
        <f>G7-U7</f>
        <v>#REF!</v>
      </c>
      <c r="X7" s="809"/>
      <c r="Y7" s="885"/>
      <c r="Z7" s="886"/>
      <c r="AA7" s="887"/>
      <c r="AB7" s="888"/>
    </row>
    <row r="8" spans="1:28">
      <c r="A8" s="931"/>
      <c r="B8" s="1090">
        <f>DATA!E2</f>
        <v>1</v>
      </c>
      <c r="C8" s="1091" t="str">
        <f>DATA!F2</f>
        <v>Kementerian Pekerjaan Umum dan Perumahan Rakyat</v>
      </c>
      <c r="D8" s="1091"/>
      <c r="E8" s="1092"/>
      <c r="F8" s="1093" t="e">
        <f>#REF!+#REF!+#REF!+#REF!+F9+#REF!+#REF!+#REF!+#REF!+#REF!+#REF!+#REF!+#REF!+#REF!+#REF!</f>
        <v>#REF!</v>
      </c>
      <c r="G8" s="1094" t="e">
        <f>+#REF!+#REF!+#REF!+#REF!+G9+#REF!+#REF!+#REF!+#REF!+#REF!+#REF!+#REF!+#REF!+#REF!+#REF!</f>
        <v>#REF!</v>
      </c>
      <c r="H8" s="1094" t="e">
        <f>+#REF!+#REF!+#REF!+#REF!+H9+#REF!+#REF!+#REF!+#REF!+#REF!+#REF!+#REF!+#REF!+#REF!+#REF!</f>
        <v>#REF!</v>
      </c>
      <c r="I8" s="1101" t="e">
        <f>+#REF!+#REF!+#REF!+#REF!+I9+#REF!+#REF!+#REF!+#REF!+#REF!+#REF!+#REF!+#REF!+#REF!+#REF!</f>
        <v>#REF!</v>
      </c>
      <c r="J8" s="771"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f>
        <v>450000000</v>
      </c>
      <c r="Q8" s="772"/>
      <c r="R8" s="772"/>
      <c r="S8" s="1105"/>
      <c r="T8" s="1106"/>
      <c r="U8" s="771" t="e">
        <f>+#REF!+#REF!+#REF!+#REF!+U9+#REF!+#REF!+#REF!+#REF!+#REF!+#REF!+#REF!+#REF!+#REF!+#REF!</f>
        <v>#REF!</v>
      </c>
      <c r="V8" s="772" t="s">
        <v>21</v>
      </c>
      <c r="W8" s="694"/>
      <c r="X8" s="812"/>
      <c r="Y8" s="889"/>
      <c r="Z8" s="890"/>
      <c r="AA8" s="891"/>
      <c r="AB8" s="892"/>
    </row>
    <row r="9" spans="1:28" ht="27" customHeight="1">
      <c r="B9" s="915"/>
      <c r="C9" s="1027" t="str">
        <f>'ALL-USD40.1M'!L14</f>
        <v>B</v>
      </c>
      <c r="D9" s="3834" t="str">
        <f>'ALL-USD40.1M'!M14</f>
        <v xml:space="preserve">Program Pembangunan / Peningkatan Jembatan </v>
      </c>
      <c r="E9" s="3788"/>
      <c r="F9" s="697"/>
      <c r="G9" s="699"/>
      <c r="H9" s="699"/>
      <c r="I9" s="854"/>
      <c r="J9" s="697"/>
      <c r="K9" s="699"/>
      <c r="L9" s="699"/>
      <c r="M9" s="699"/>
      <c r="N9" s="699"/>
      <c r="O9" s="699"/>
      <c r="P9" s="774">
        <f>P10</f>
        <v>450000000</v>
      </c>
      <c r="Q9" s="699"/>
      <c r="R9" s="817"/>
      <c r="S9" s="1107"/>
      <c r="T9" s="990"/>
    </row>
    <row r="10" spans="1:28" s="668" customFormat="1">
      <c r="B10" s="1033"/>
      <c r="C10" s="1033"/>
      <c r="D10" s="717">
        <v>1</v>
      </c>
      <c r="E10" s="718" t="str">
        <f>'ALL-USD40.1M'!N15</f>
        <v>Material Procurement for Construction and Bridge Rehabilitation</v>
      </c>
      <c r="F10" s="824"/>
      <c r="G10" s="824"/>
      <c r="H10" s="824"/>
      <c r="I10" s="927"/>
      <c r="P10" s="775">
        <f>'ALL-USD40.1M'!Y15</f>
        <v>450000000</v>
      </c>
      <c r="R10" s="788" t="str">
        <f>'ALL-USD40.1M'!Z15</f>
        <v>Spanyol/RRT</v>
      </c>
      <c r="S10" s="1108" t="str">
        <f>'ALL-USD40.1M'!AA15</f>
        <v>Belum proses</v>
      </c>
      <c r="T10" s="1109" t="str">
        <f>'ALL-USD40.1M'!AG15</f>
        <v>Belum ada usulan K/L</v>
      </c>
    </row>
    <row r="11" spans="1:28">
      <c r="B11" s="1095">
        <f>'ALL-USD40.1M'!K127</f>
        <v>4</v>
      </c>
      <c r="C11" s="3737" t="str">
        <f>'ALL-USD40.1M'!L127</f>
        <v>Kementerian Komunikasi dan Informatika</v>
      </c>
      <c r="D11" s="3743"/>
      <c r="E11" s="3744"/>
      <c r="F11" s="742"/>
      <c r="G11" s="730"/>
      <c r="H11" s="730"/>
      <c r="I11" s="852"/>
      <c r="J11" s="742"/>
      <c r="K11" s="730"/>
      <c r="L11" s="730"/>
      <c r="M11" s="730"/>
      <c r="N11" s="730"/>
      <c r="O11" s="730"/>
      <c r="P11" s="790">
        <f>P12</f>
        <v>411000000</v>
      </c>
      <c r="Q11" s="699"/>
      <c r="R11" s="817"/>
      <c r="S11" s="853"/>
      <c r="T11" s="854"/>
    </row>
    <row r="12" spans="1:28">
      <c r="B12" s="915"/>
      <c r="C12" s="853" t="str">
        <f>'ALL-USD40.1M'!L128</f>
        <v>A</v>
      </c>
      <c r="D12" s="3728" t="str">
        <f>'ALL-USD40.1M'!M128</f>
        <v>Program Pengembangan Infrastruktur TIK dan Penyiaran</v>
      </c>
      <c r="E12" s="3725"/>
      <c r="F12" s="965"/>
      <c r="G12" s="965"/>
      <c r="H12" s="965"/>
      <c r="I12" s="926"/>
      <c r="P12" s="3789">
        <f>P13</f>
        <v>411000000</v>
      </c>
      <c r="Q12" s="3730"/>
      <c r="R12" s="734"/>
      <c r="S12" s="3741"/>
      <c r="T12" s="3725"/>
    </row>
    <row r="13" spans="1:28" s="668" customFormat="1" ht="30">
      <c r="B13" s="1033"/>
      <c r="C13" s="1033"/>
      <c r="D13" s="725">
        <v>2</v>
      </c>
      <c r="E13" s="704" t="str">
        <f>'ALL-USD40.1M'!N129</f>
        <v>Improvement on TV Transmitting Stations (Digitalization of TVRI) - Phase III</v>
      </c>
      <c r="F13" s="824"/>
      <c r="G13" s="824"/>
      <c r="H13" s="824"/>
      <c r="I13" s="927"/>
      <c r="P13" s="796">
        <f>'ALL-USD40.1M'!Y129</f>
        <v>411000000</v>
      </c>
      <c r="R13" s="1110" t="str">
        <f>'ALL-USD40.1M'!Z129</f>
        <v>US EXIM/Perancis</v>
      </c>
      <c r="S13" s="864" t="str">
        <f>'ALL-USD40.1M'!AA129</f>
        <v>Belum proses</v>
      </c>
      <c r="T13" s="1111" t="str">
        <f>'ALL-USD40.1M'!AG129</f>
        <v>Belum ada kepastian lender dari sisi K/L</v>
      </c>
    </row>
    <row r="14" spans="1:28" ht="15.75">
      <c r="A14" s="745" t="s">
        <v>960</v>
      </c>
      <c r="B14" s="1096" t="str">
        <f>DATA!D160</f>
        <v>NON-INFRASTRUKTUR</v>
      </c>
      <c r="C14" s="866"/>
      <c r="D14" s="686"/>
      <c r="E14" s="867"/>
      <c r="F14" s="747"/>
      <c r="G14" s="686"/>
      <c r="H14" s="686"/>
      <c r="I14" s="867"/>
      <c r="J14" s="747"/>
      <c r="K14" s="686"/>
      <c r="L14" s="686"/>
      <c r="M14" s="686"/>
      <c r="N14" s="686"/>
      <c r="O14" s="686"/>
      <c r="P14" s="767">
        <f>P15+P18</f>
        <v>242308000</v>
      </c>
      <c r="Q14" s="686"/>
      <c r="R14" s="865"/>
      <c r="S14" s="1112"/>
      <c r="T14" s="1113"/>
    </row>
    <row r="15" spans="1:28">
      <c r="B15" s="1095">
        <f>'ALL-USD40.1M'!K211</f>
        <v>16</v>
      </c>
      <c r="C15" s="876" t="str">
        <f>'ALL-USD40.1M'!M212</f>
        <v>Program Peningkatan Daya Saing Tenaga Kerja</v>
      </c>
      <c r="D15" s="729"/>
      <c r="E15" s="1034"/>
      <c r="F15" s="965"/>
      <c r="G15" s="965"/>
      <c r="H15" s="965"/>
      <c r="I15" s="926"/>
      <c r="P15" s="797">
        <f>P16</f>
        <v>92308000</v>
      </c>
      <c r="Q15" s="729"/>
      <c r="R15" s="729"/>
      <c r="S15" s="876"/>
      <c r="T15" s="984"/>
    </row>
    <row r="16" spans="1:28" ht="25.5" customHeight="1">
      <c r="B16" s="915"/>
      <c r="C16" s="853" t="str">
        <f>'ALL-USD40.1M'!L212</f>
        <v>A</v>
      </c>
      <c r="D16" s="3728" t="str">
        <f>'ALL-USD40.1M'!N213</f>
        <v>Development of Maritime Vocational Training Centers</v>
      </c>
      <c r="E16" s="3725"/>
      <c r="F16" s="697"/>
      <c r="G16" s="699"/>
      <c r="H16" s="699"/>
      <c r="I16" s="854"/>
      <c r="J16" s="697"/>
      <c r="K16" s="699"/>
      <c r="L16" s="699"/>
      <c r="M16" s="699"/>
      <c r="N16" s="699"/>
      <c r="O16" s="699"/>
      <c r="P16" s="1102">
        <f>P17</f>
        <v>92308000</v>
      </c>
      <c r="Q16" s="699"/>
      <c r="R16" s="1114"/>
      <c r="S16" s="954"/>
      <c r="T16" s="854"/>
    </row>
    <row r="17" spans="1:20" s="669" customFormat="1" ht="44.25" customHeight="1">
      <c r="B17" s="940"/>
      <c r="C17" s="705"/>
      <c r="D17" s="704">
        <v>3</v>
      </c>
      <c r="E17" s="704" t="str">
        <f>'ALL-USD40.1M'!N162</f>
        <v>University of Gadjah Mada Achieving World Class University with Socio-Entrepreneurial Spirit</v>
      </c>
      <c r="F17" s="1041"/>
      <c r="G17" s="1041"/>
      <c r="H17" s="1041"/>
      <c r="I17" s="847"/>
      <c r="P17" s="669">
        <f>'ALL-USD40.1M'!Y213</f>
        <v>92308000</v>
      </c>
      <c r="Q17" s="1115"/>
      <c r="R17" s="705" t="str">
        <f>'ALL-USD40.1M'!Z213</f>
        <v>Austria/ Jerman (KfW)</v>
      </c>
      <c r="S17" s="815" t="str">
        <f>'ALL-USD40.1M'!AA213</f>
        <v>Belum proses</v>
      </c>
      <c r="T17" s="815" t="str">
        <f>'ALL-USD40.1M'!AG213</f>
        <v>- Terdapat 2 lender yang berminat
- Austria sudak melakukan cek lokasi
- Belum ada rekonfirm dari Kem. Ketenagakerjaan</v>
      </c>
    </row>
    <row r="18" spans="1:20">
      <c r="B18" s="1095">
        <f>'ALL-USD40.1M'!K226</f>
        <v>19</v>
      </c>
      <c r="C18" s="3737" t="str">
        <f>'ALL-USD40.1M'!L226</f>
        <v>Badan Meteorologi, Klimatologi dan Geofisika (BMKG)</v>
      </c>
      <c r="D18" s="3738"/>
      <c r="E18" s="3739"/>
      <c r="F18" s="742"/>
      <c r="G18" s="730"/>
      <c r="H18" s="730"/>
      <c r="I18" s="852"/>
      <c r="J18" s="742"/>
      <c r="K18" s="730"/>
      <c r="L18" s="730"/>
      <c r="M18" s="730"/>
      <c r="N18" s="730"/>
      <c r="O18" s="730"/>
      <c r="P18" s="790">
        <f>P19</f>
        <v>150000000</v>
      </c>
      <c r="Q18" s="730"/>
      <c r="R18" s="850"/>
      <c r="S18" s="851"/>
      <c r="T18" s="852"/>
    </row>
    <row r="19" spans="1:20">
      <c r="B19" s="915"/>
      <c r="C19" s="853" t="str">
        <f>'ALL-USD40.1M'!L227</f>
        <v>A</v>
      </c>
      <c r="D19" s="3728" t="str">
        <f>'ALL-USD40.1M'!M227</f>
        <v>Program Pengembangan dan Pembinaan Meteorologi, Klimatologi, dan Geofisika</v>
      </c>
      <c r="E19" s="3725"/>
      <c r="F19" s="697"/>
      <c r="G19" s="699"/>
      <c r="H19" s="699"/>
      <c r="I19" s="854"/>
      <c r="J19" s="697"/>
      <c r="K19" s="699"/>
      <c r="L19" s="699"/>
      <c r="M19" s="699"/>
      <c r="N19" s="699"/>
      <c r="O19" s="699"/>
      <c r="P19" s="774">
        <f>P20+P21</f>
        <v>150000000</v>
      </c>
      <c r="Q19" s="699"/>
      <c r="R19" s="817"/>
      <c r="S19" s="853"/>
      <c r="T19" s="854"/>
    </row>
    <row r="20" spans="1:20" ht="48.75" customHeight="1">
      <c r="B20" s="915"/>
      <c r="C20" s="915"/>
      <c r="D20" s="3830">
        <v>4</v>
      </c>
      <c r="E20" s="3832" t="str">
        <f>'ALL-USD40.1M'!N228</f>
        <v xml:space="preserve">Strengthening Climate and Weather Service Capacity – Phase II:
a) Kegiatan lanjutan dari kegiatan Strengthening BMKG Climate and Weather Services Capacity Phase I
b) Kegiatan pengembangan sistem Layanan Informasi Meteorologi Maritim </v>
      </c>
      <c r="F20" s="965"/>
      <c r="G20" s="965"/>
      <c r="H20" s="965"/>
      <c r="I20" s="926"/>
      <c r="P20" s="775">
        <f>'ALL-USD40.1M'!Y228</f>
        <v>78900000</v>
      </c>
      <c r="R20" s="1116" t="str">
        <f>'ALL-USD40.1M'!Z228</f>
        <v xml:space="preserve">Perancis </v>
      </c>
      <c r="S20" s="3835" t="str">
        <f>'ALL-USD40.1M'!AA228</f>
        <v>GB 2017</v>
      </c>
      <c r="T20" s="3832" t="str">
        <f>'ALL-USD40.1M'!AG228</f>
        <v>Co-financing dengan Perancis (USD 78,9 juta) dan US Exim (USD 71,1 juta)</v>
      </c>
    </row>
    <row r="21" spans="1:20" s="627" customFormat="1" ht="35.25" customHeight="1">
      <c r="B21" s="1097"/>
      <c r="C21" s="1097"/>
      <c r="D21" s="3831"/>
      <c r="E21" s="3833"/>
      <c r="F21" s="1098"/>
      <c r="G21" s="1099"/>
      <c r="H21" s="1099"/>
      <c r="I21" s="1103"/>
      <c r="J21" s="1099"/>
      <c r="K21" s="1099"/>
      <c r="L21" s="1099"/>
      <c r="M21" s="1099"/>
      <c r="N21" s="1099"/>
      <c r="O21" s="1099"/>
      <c r="P21" s="1104">
        <f>'ALL-USD40.1M'!Y229</f>
        <v>71100000</v>
      </c>
      <c r="R21" s="1117" t="str">
        <f>'ALL-USD40.1M'!Z229</f>
        <v>US EXIM</v>
      </c>
      <c r="S21" s="3836"/>
      <c r="T21" s="3837"/>
    </row>
    <row r="22" spans="1:20" ht="15.75">
      <c r="A22" s="3827" t="s">
        <v>477</v>
      </c>
      <c r="B22" s="3828"/>
      <c r="C22" s="3828"/>
      <c r="D22" s="3828"/>
      <c r="E22" s="3829"/>
      <c r="F22" s="1100"/>
      <c r="G22" s="1100"/>
      <c r="H22" s="1100"/>
      <c r="I22" s="1100"/>
      <c r="P22" s="1100">
        <f>P14+P7</f>
        <v>1103308000</v>
      </c>
      <c r="R22" s="1100"/>
      <c r="S22" s="1100"/>
      <c r="T22" s="1100"/>
    </row>
    <row r="23" spans="1:20">
      <c r="P23" s="535"/>
    </row>
    <row r="24" spans="1:20">
      <c r="P24" s="535"/>
    </row>
    <row r="25" spans="1:20">
      <c r="P25" s="535"/>
    </row>
    <row r="26" spans="1:20">
      <c r="P26" s="535"/>
    </row>
    <row r="27" spans="1:20">
      <c r="P27" s="535"/>
    </row>
    <row r="28" spans="1:20">
      <c r="P28" s="535"/>
    </row>
    <row r="29" spans="1:20">
      <c r="P29" s="535"/>
    </row>
    <row r="30" spans="1:20">
      <c r="P30" s="535"/>
    </row>
    <row r="31" spans="1:20">
      <c r="P31" s="535"/>
    </row>
    <row r="32" spans="1:20">
      <c r="P32" s="535"/>
    </row>
    <row r="33" spans="16:16">
      <c r="P33" s="535"/>
    </row>
    <row r="34" spans="16:16">
      <c r="P34" s="535"/>
    </row>
    <row r="35" spans="16:16">
      <c r="P35" s="535"/>
    </row>
    <row r="36" spans="16:16">
      <c r="P36" s="535"/>
    </row>
    <row r="37" spans="16:16">
      <c r="P37" s="535"/>
    </row>
    <row r="38" spans="16:16">
      <c r="P38" s="535"/>
    </row>
    <row r="39" spans="16:16">
      <c r="P39" s="535"/>
    </row>
    <row r="40" spans="16:16">
      <c r="P40" s="535"/>
    </row>
    <row r="41" spans="16:16">
      <c r="P41" s="535"/>
    </row>
    <row r="42" spans="16:16">
      <c r="P42" s="535"/>
    </row>
    <row r="43" spans="16:16">
      <c r="P43" s="535"/>
    </row>
  </sheetData>
  <mergeCells count="29">
    <mergeCell ref="S20:S21"/>
    <mergeCell ref="T4:T5"/>
    <mergeCell ref="T20:T21"/>
    <mergeCell ref="A4:E5"/>
    <mergeCell ref="D16:E16"/>
    <mergeCell ref="C18:E18"/>
    <mergeCell ref="D19:E19"/>
    <mergeCell ref="P12:Q12"/>
    <mergeCell ref="S12:T12"/>
    <mergeCell ref="A22:E22"/>
    <mergeCell ref="D20:D21"/>
    <mergeCell ref="E20:E21"/>
    <mergeCell ref="D9:E9"/>
    <mergeCell ref="C11:E11"/>
    <mergeCell ref="D12:E12"/>
    <mergeCell ref="A1:AB1"/>
    <mergeCell ref="A2:T2"/>
    <mergeCell ref="L4:O4"/>
    <mergeCell ref="U4:W4"/>
    <mergeCell ref="X4:AB4"/>
    <mergeCell ref="F4:F5"/>
    <mergeCell ref="G4:G5"/>
    <mergeCell ref="H4:H5"/>
    <mergeCell ref="I4:I5"/>
    <mergeCell ref="J4:J5"/>
    <mergeCell ref="K4:K5"/>
    <mergeCell ref="P4:P5"/>
    <mergeCell ref="Q4:Q5"/>
    <mergeCell ref="S4:S5"/>
  </mergeCells>
  <pageMargins left="0.69930555555555596" right="0.69930555555555596"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4506668294322"/>
  </sheetPr>
  <dimension ref="A1:AB67"/>
  <sheetViews>
    <sheetView topLeftCell="A46" zoomScale="70" zoomScaleNormal="70" workbookViewId="0">
      <selection activeCell="S23" sqref="S23:S24"/>
    </sheetView>
  </sheetViews>
  <sheetFormatPr defaultColWidth="9" defaultRowHeight="15"/>
  <cols>
    <col min="1" max="1" width="2.85546875" customWidth="1"/>
    <col min="2" max="2" width="5.140625" customWidth="1"/>
    <col min="3" max="3" width="2.85546875" customWidth="1"/>
    <col min="4" max="4" width="4.85546875" customWidth="1"/>
    <col min="5" max="5" width="68.140625" customWidth="1"/>
    <col min="6" max="15" width="9" hidden="1" customWidth="1"/>
    <col min="16" max="16" width="24" customWidth="1"/>
    <col min="17" max="17" width="5.140625" hidden="1" customWidth="1"/>
    <col min="18" max="18" width="25" customWidth="1"/>
    <col min="19" max="19" width="54.28515625" customWidth="1"/>
    <col min="20" max="27" width="9" hidden="1" customWidth="1"/>
  </cols>
  <sheetData>
    <row r="1" spans="1:28" ht="18">
      <c r="A1" s="3708"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row>
    <row r="2" spans="1:28" ht="18">
      <c r="A2" s="3708" t="s">
        <v>1392</v>
      </c>
      <c r="B2" s="3697"/>
      <c r="C2" s="3697"/>
      <c r="D2" s="3697"/>
      <c r="E2" s="3697"/>
      <c r="F2" s="3697"/>
      <c r="G2" s="3697"/>
      <c r="H2" s="3697"/>
      <c r="I2" s="3697"/>
      <c r="J2" s="3697"/>
      <c r="K2" s="3697"/>
      <c r="L2" s="3697"/>
      <c r="M2" s="3697"/>
      <c r="N2" s="3697"/>
      <c r="O2" s="3697"/>
      <c r="P2" s="3697"/>
      <c r="Q2" s="3697"/>
      <c r="R2" s="3697"/>
      <c r="S2" s="3697"/>
      <c r="T2" s="671"/>
      <c r="U2" s="671"/>
      <c r="V2" s="671"/>
      <c r="W2" s="671"/>
      <c r="X2" s="671"/>
      <c r="Y2" s="671"/>
      <c r="Z2" s="671"/>
      <c r="AA2" s="671"/>
    </row>
    <row r="3" spans="1:28">
      <c r="A3" s="672"/>
      <c r="B3" s="673"/>
      <c r="C3" s="673"/>
      <c r="D3" s="673"/>
      <c r="E3" s="674"/>
      <c r="F3" s="675"/>
      <c r="G3" s="675"/>
      <c r="H3" s="676"/>
      <c r="I3" s="676"/>
      <c r="J3" s="675"/>
      <c r="K3" s="675"/>
      <c r="L3" s="754"/>
      <c r="M3" s="675"/>
      <c r="N3" s="675"/>
      <c r="O3" s="675"/>
      <c r="P3" s="675"/>
      <c r="Q3" s="675"/>
      <c r="R3" s="675"/>
      <c r="S3" s="675"/>
      <c r="T3" s="674"/>
      <c r="U3" s="674"/>
      <c r="V3" s="674"/>
      <c r="W3" s="754"/>
      <c r="X3" s="754"/>
      <c r="Y3" s="754"/>
      <c r="Z3" s="754"/>
      <c r="AA3" s="878"/>
    </row>
    <row r="4" spans="1:28" ht="16.5" customHeight="1">
      <c r="A4" s="3811" t="s">
        <v>2</v>
      </c>
      <c r="B4" s="3812"/>
      <c r="C4" s="3812"/>
      <c r="D4" s="3812"/>
      <c r="E4" s="3812"/>
      <c r="F4" s="3807" t="s">
        <v>1382</v>
      </c>
      <c r="G4" s="3804" t="s">
        <v>1383</v>
      </c>
      <c r="H4" s="3808" t="s">
        <v>1082</v>
      </c>
      <c r="I4" s="3808" t="s">
        <v>1083</v>
      </c>
      <c r="J4" s="3809" t="s">
        <v>1384</v>
      </c>
      <c r="K4" s="3810" t="s">
        <v>1085</v>
      </c>
      <c r="L4" s="3803" t="s">
        <v>1088</v>
      </c>
      <c r="M4" s="3768"/>
      <c r="N4" s="3768"/>
      <c r="O4" s="3769"/>
      <c r="P4" s="3804" t="s">
        <v>1136</v>
      </c>
      <c r="Q4" s="3804" t="s">
        <v>7</v>
      </c>
      <c r="R4" s="3804" t="s">
        <v>1137</v>
      </c>
      <c r="S4" s="3805" t="s">
        <v>10</v>
      </c>
      <c r="T4" s="3713" t="s">
        <v>1089</v>
      </c>
      <c r="U4" s="3768"/>
      <c r="V4" s="3769"/>
      <c r="W4" s="3716" t="s">
        <v>1086</v>
      </c>
      <c r="X4" s="3768"/>
      <c r="Y4" s="3768"/>
      <c r="Z4" s="3768"/>
      <c r="AA4" s="3770"/>
    </row>
    <row r="5" spans="1:28" ht="0.75" customHeight="1">
      <c r="A5" s="3813"/>
      <c r="B5" s="3786"/>
      <c r="C5" s="3786"/>
      <c r="D5" s="3786"/>
      <c r="E5" s="3786"/>
      <c r="F5" s="3772"/>
      <c r="G5" s="3774"/>
      <c r="H5" s="3774"/>
      <c r="I5" s="3774"/>
      <c r="J5" s="3777"/>
      <c r="K5" s="3779"/>
      <c r="L5" s="755" t="s">
        <v>11</v>
      </c>
      <c r="M5" s="756" t="s">
        <v>507</v>
      </c>
      <c r="N5" s="756" t="s">
        <v>1090</v>
      </c>
      <c r="O5" s="757" t="s">
        <v>509</v>
      </c>
      <c r="P5" s="3774"/>
      <c r="Q5" s="3774"/>
      <c r="R5" s="3774"/>
      <c r="S5" s="3806"/>
      <c r="T5" s="755" t="s">
        <v>507</v>
      </c>
      <c r="U5" s="802" t="s">
        <v>510</v>
      </c>
      <c r="V5" s="757" t="s">
        <v>511</v>
      </c>
      <c r="W5" s="803" t="s">
        <v>550</v>
      </c>
      <c r="X5" s="755" t="s">
        <v>1091</v>
      </c>
      <c r="Y5" s="802" t="s">
        <v>15</v>
      </c>
      <c r="Z5" s="879" t="s">
        <v>1092</v>
      </c>
      <c r="AA5" s="880" t="s">
        <v>511</v>
      </c>
    </row>
    <row r="6" spans="1:28">
      <c r="A6" s="679"/>
      <c r="B6" s="680"/>
      <c r="C6" s="680"/>
      <c r="D6" s="680"/>
      <c r="E6" s="681"/>
      <c r="F6" s="682"/>
      <c r="G6" s="683"/>
      <c r="H6" s="684"/>
      <c r="I6" s="684"/>
      <c r="J6" s="758"/>
      <c r="K6" s="759"/>
      <c r="L6" s="760"/>
      <c r="M6" s="761"/>
      <c r="N6" s="761"/>
      <c r="O6" s="762"/>
      <c r="P6" s="763"/>
      <c r="Q6" s="763"/>
      <c r="R6" s="763"/>
      <c r="S6" s="804"/>
      <c r="T6" s="805"/>
      <c r="U6" s="761"/>
      <c r="V6" s="762"/>
      <c r="W6" s="806"/>
      <c r="X6" s="881"/>
      <c r="Y6" s="882"/>
      <c r="Z6" s="883"/>
      <c r="AA6" s="884"/>
    </row>
    <row r="7" spans="1:28" ht="15.75">
      <c r="A7" s="685" t="str">
        <f>DATA!B2</f>
        <v>I</v>
      </c>
      <c r="B7" s="1059" t="str">
        <f>DATA!D2</f>
        <v>INFRASTRUKTUR</v>
      </c>
      <c r="C7" s="686"/>
      <c r="D7" s="686"/>
      <c r="E7" s="687"/>
      <c r="F7" s="688" t="e">
        <f>F8+#REF!+#REF!+#REF!+#REF!+#REF!+#REF!+#REF!+#REF!+#REF!</f>
        <v>#REF!</v>
      </c>
      <c r="G7" s="689" t="e">
        <f>G8+#REF!+#REF!+#REF!+#REF!+#REF!+#REF!+#REF!+#REF!+#REF!</f>
        <v>#REF!</v>
      </c>
      <c r="H7" s="689" t="e">
        <f>+H8+#REF!+#REF!+#REF!+#REF!+#REF!+#REF!+#REF!+#REF!</f>
        <v>#REF!</v>
      </c>
      <c r="I7" s="689" t="e">
        <f>+I8+#REF!+#REF!+#REF!+#REF!+#REF!+#REF!+#REF!+#REF!</f>
        <v>#REF!</v>
      </c>
      <c r="J7" s="764" t="e">
        <f>+J8+#REF!+#REF!+#REF!+#REF!+#REF!+#REF!+#REF!+#REF!</f>
        <v>#REF!</v>
      </c>
      <c r="K7" s="765"/>
      <c r="L7" s="766"/>
      <c r="M7" s="767" t="e">
        <f>+M8+#REF!+#REF!+#REF!+#REF!+#REF!+#REF!+#REF!+#REF!</f>
        <v>#REF!</v>
      </c>
      <c r="N7" s="767" t="e">
        <f>+N8+#REF!+#REF!+#REF!+#REF!+#REF!+#REF!+#REF!+#REF!</f>
        <v>#REF!</v>
      </c>
      <c r="O7" s="768" t="e">
        <f>+O8+#REF!+#REF!+#REF!+#REF!+#REF!</f>
        <v>#REF!</v>
      </c>
      <c r="P7" s="767">
        <f>P8+P29+P33</f>
        <v>3295365000</v>
      </c>
      <c r="Q7" s="767"/>
      <c r="R7" s="807"/>
      <c r="S7" s="808"/>
      <c r="T7" s="766" t="e">
        <f>+T8+#REF!+#REF!+#REF!+#REF!+#REF!+#REF!+#REF!+#REF!</f>
        <v>#REF!</v>
      </c>
      <c r="U7" s="767" t="s">
        <v>21</v>
      </c>
      <c r="V7" s="688" t="e">
        <f>G7-T7</f>
        <v>#REF!</v>
      </c>
      <c r="W7" s="809"/>
      <c r="X7" s="885"/>
      <c r="Y7" s="886"/>
      <c r="Z7" s="887"/>
      <c r="AA7" s="888"/>
    </row>
    <row r="8" spans="1:28">
      <c r="A8" s="931"/>
      <c r="B8" s="1060">
        <f>DATA!E2</f>
        <v>1</v>
      </c>
      <c r="C8" s="934" t="str">
        <f>DATA!F2</f>
        <v>Kementerian Pekerjaan Umum dan Perumahan Rakyat</v>
      </c>
      <c r="D8" s="692"/>
      <c r="E8" s="693"/>
      <c r="F8" s="694"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P9+P12+P15+P18+P20+P22+P25+P27</f>
        <v>2395365000</v>
      </c>
      <c r="Q8" s="772"/>
      <c r="R8" s="810"/>
      <c r="S8" s="811"/>
      <c r="T8" s="771" t="e">
        <f>+#REF!+#REF!+#REF!+#REF!+T9+#REF!+#REF!+#REF!+#REF!+#REF!+#REF!+#REF!+#REF!+#REF!+#REF!</f>
        <v>#REF!</v>
      </c>
      <c r="U8" s="772" t="s">
        <v>21</v>
      </c>
      <c r="V8" s="694"/>
      <c r="W8" s="812"/>
      <c r="X8" s="889"/>
      <c r="Y8" s="890"/>
      <c r="Z8" s="891"/>
      <c r="AA8" s="892"/>
    </row>
    <row r="9" spans="1:28" ht="27" customHeight="1">
      <c r="B9" s="702"/>
      <c r="C9" s="697" t="str">
        <f>'ALL-USD40.1M'!L20</f>
        <v>C</v>
      </c>
      <c r="D9" s="3728" t="str">
        <f>'ALL-USD40.1M'!M20</f>
        <v>Program Pembangunan / Peningkatan Jalan</v>
      </c>
      <c r="E9" s="3730"/>
      <c r="F9" s="699"/>
      <c r="G9" s="699"/>
      <c r="H9" s="699"/>
      <c r="I9" s="699"/>
      <c r="J9" s="699"/>
      <c r="K9" s="699"/>
      <c r="L9" s="699"/>
      <c r="M9" s="699"/>
      <c r="N9" s="699"/>
      <c r="O9" s="699"/>
      <c r="P9" s="945">
        <f>P10+P11</f>
        <v>500000000</v>
      </c>
      <c r="Q9" s="873"/>
      <c r="R9" s="873"/>
      <c r="S9" s="873"/>
    </row>
    <row r="10" spans="1:28" s="668" customFormat="1" ht="30">
      <c r="B10" s="700"/>
      <c r="C10" s="839"/>
      <c r="D10" s="839">
        <v>1</v>
      </c>
      <c r="E10" s="669" t="str">
        <f>'ALL-USD40.1M'!N22</f>
        <v>Road Improvement Project to Support Integrated Land and Sea Toll Way - Northern Area</v>
      </c>
      <c r="P10" s="946">
        <f>'ALL-USD40.1M'!Y22</f>
        <v>250000000</v>
      </c>
      <c r="Q10" s="716"/>
      <c r="R10" s="783" t="str">
        <f>'ALL-USD40.1M'!AA22</f>
        <v>Belum proses</v>
      </c>
      <c r="S10" s="1038" t="str">
        <f>'ALL-USD40.1M'!AG22</f>
        <v>Masuk dalam dokumen CPS</v>
      </c>
      <c r="T10" s="833"/>
      <c r="U10" s="833"/>
      <c r="V10" s="833"/>
      <c r="W10" s="833"/>
      <c r="X10" s="833"/>
      <c r="Y10" s="833"/>
      <c r="Z10" s="833"/>
      <c r="AA10" s="716"/>
      <c r="AB10" s="1033"/>
    </row>
    <row r="11" spans="1:28" s="668" customFormat="1" ht="30">
      <c r="B11" s="700"/>
      <c r="C11" s="700"/>
      <c r="D11" s="717">
        <v>2</v>
      </c>
      <c r="E11" s="1061" t="str">
        <f>'ALL-USD40.1M'!N23</f>
        <v>Road Improvement Project to Support Integrated Land and Sea Toll Way - Southern Area</v>
      </c>
      <c r="F11" s="719"/>
      <c r="G11" s="719"/>
      <c r="H11" s="719"/>
      <c r="I11" s="719"/>
      <c r="J11" s="719"/>
      <c r="K11" s="719"/>
      <c r="L11" s="719"/>
      <c r="M11" s="719"/>
      <c r="N11" s="719"/>
      <c r="O11" s="719"/>
      <c r="P11" s="786">
        <f>'ALL-USD40.1M'!Y22</f>
        <v>250000000</v>
      </c>
      <c r="Q11" s="718"/>
      <c r="R11" s="784" t="str">
        <f>'ALL-USD40.1M'!AA23</f>
        <v>Belum proses</v>
      </c>
      <c r="S11" s="842" t="str">
        <f>'ALL-USD40.1M'!AG23</f>
        <v>Masuk dalam dokumen CPS</v>
      </c>
      <c r="T11" s="824"/>
      <c r="U11" s="824"/>
      <c r="V11" s="824"/>
      <c r="W11" s="824"/>
      <c r="X11" s="824"/>
      <c r="Y11" s="824"/>
      <c r="Z11" s="824"/>
      <c r="AA11" s="927"/>
      <c r="AB11" s="1033"/>
    </row>
    <row r="12" spans="1:28">
      <c r="B12" s="702"/>
      <c r="C12" s="733" t="str">
        <f>'ALL-USD40.1M'!L29</f>
        <v>D</v>
      </c>
      <c r="D12" s="3838" t="str">
        <f>'ALL-USD40.1M'!M29</f>
        <v>Program Pembangunan Air Minum</v>
      </c>
      <c r="E12" s="3839"/>
      <c r="F12" s="871"/>
      <c r="G12" s="871"/>
      <c r="H12" s="871"/>
      <c r="I12" s="871"/>
      <c r="J12" s="871"/>
      <c r="K12" s="871"/>
      <c r="L12" s="871"/>
      <c r="M12" s="871"/>
      <c r="N12" s="871"/>
      <c r="O12" s="1071"/>
      <c r="P12" s="1072">
        <f>P13+P14</f>
        <v>174300000</v>
      </c>
      <c r="Q12" s="1077"/>
      <c r="R12" s="1078"/>
      <c r="S12" s="1014"/>
      <c r="T12" s="965"/>
      <c r="U12" s="965"/>
      <c r="V12" s="965"/>
      <c r="W12" s="965"/>
      <c r="X12" s="965"/>
      <c r="Y12" s="965"/>
      <c r="Z12" s="965"/>
      <c r="AA12" s="926"/>
      <c r="AB12" s="915"/>
    </row>
    <row r="13" spans="1:28" s="669" customFormat="1" ht="30">
      <c r="B13" s="703"/>
      <c r="C13" s="703"/>
      <c r="D13" s="712">
        <v>3</v>
      </c>
      <c r="E13" s="722" t="str">
        <f>'ALL-USD40.1M'!N30</f>
        <v>National Urban Water Supply</v>
      </c>
      <c r="F13" s="713"/>
      <c r="G13" s="713"/>
      <c r="H13" s="713"/>
      <c r="I13" s="713"/>
      <c r="J13" s="713"/>
      <c r="K13" s="713"/>
      <c r="L13" s="713"/>
      <c r="M13" s="713"/>
      <c r="N13" s="713"/>
      <c r="O13" s="713"/>
      <c r="P13" s="781">
        <f>'ALL-USD40.1M'!Y30</f>
        <v>100000000</v>
      </c>
      <c r="Q13" s="722"/>
      <c r="R13" s="841" t="str">
        <f>'ALL-USD40.1M'!AA30</f>
        <v xml:space="preserve">- GB 2017
- Proses Daftar Kegiatan </v>
      </c>
      <c r="S13" s="842" t="str">
        <f>'ALL-USD40.1M'!AG30</f>
        <v>Sudah ada proses pemantapan Safe Guard (Amdal, DED)/ Pemantapan FS</v>
      </c>
      <c r="T13" s="1041"/>
      <c r="U13" s="1041"/>
      <c r="V13" s="1041"/>
      <c r="W13" s="1041"/>
      <c r="X13" s="1041"/>
      <c r="Y13" s="1041"/>
      <c r="Z13" s="1041"/>
      <c r="AA13" s="847"/>
      <c r="AB13" s="940"/>
    </row>
    <row r="14" spans="1:28" ht="45">
      <c r="B14" s="702"/>
      <c r="C14" s="702"/>
      <c r="D14" s="893">
        <v>4</v>
      </c>
      <c r="E14" s="856" t="str">
        <f>'ALL-USD40.1M'!N33</f>
        <v xml:space="preserve">The Development of Regional Water Supply System in Benteng Kobema </v>
      </c>
      <c r="P14" s="826">
        <f>'ALL-USD40.1M'!Y33</f>
        <v>74300000</v>
      </c>
      <c r="Q14" s="926"/>
      <c r="R14" s="1018" t="str">
        <f>'ALL-USD40.1M'!AA33</f>
        <v>Proses penyiapan FS</v>
      </c>
      <c r="S14" s="842" t="str">
        <f>'ALL-USD40.1M'!AG33</f>
        <v>- Masuk dalam dokumen CPF
- Diusulkan untuk masuk dalam GB 2019 (Rapat pada tanggal 24 Januari 2019)</v>
      </c>
      <c r="T14" s="965"/>
      <c r="U14" s="965"/>
      <c r="V14" s="965"/>
      <c r="W14" s="965"/>
      <c r="X14" s="965"/>
      <c r="Y14" s="965"/>
      <c r="Z14" s="965"/>
      <c r="AA14" s="926"/>
      <c r="AB14" s="915"/>
    </row>
    <row r="15" spans="1:28">
      <c r="B15" s="702"/>
      <c r="C15" s="733" t="str">
        <f>DATA!I41</f>
        <v>E</v>
      </c>
      <c r="D15" s="3817" t="str">
        <f>DATA!J41</f>
        <v xml:space="preserve">Program Pembangunan Sistem Pengelolaan Air Limbah </v>
      </c>
      <c r="E15" s="3818"/>
      <c r="F15" s="3726"/>
      <c r="G15" s="3730"/>
      <c r="H15" s="3728"/>
      <c r="I15" s="3730"/>
      <c r="J15" s="3728"/>
      <c r="K15" s="3730"/>
      <c r="L15" s="3728"/>
      <c r="M15" s="3730"/>
      <c r="N15" s="3728"/>
      <c r="O15" s="3726"/>
      <c r="P15" s="3724">
        <f>P16+P17</f>
        <v>275000000</v>
      </c>
      <c r="Q15" s="3725"/>
      <c r="R15" s="1078"/>
      <c r="S15" s="1014"/>
      <c r="T15" s="965"/>
      <c r="U15" s="965"/>
      <c r="V15" s="965"/>
      <c r="W15" s="965"/>
      <c r="X15" s="965"/>
      <c r="Y15" s="965"/>
      <c r="Z15" s="965"/>
      <c r="AA15" s="926"/>
    </row>
    <row r="16" spans="1:28" s="668" customFormat="1">
      <c r="B16" s="700"/>
      <c r="C16" s="723"/>
      <c r="D16" s="717">
        <v>5</v>
      </c>
      <c r="E16" s="718" t="str">
        <f>'ALL-USD40.1M'!N47</f>
        <v>The Development of Sewage Treatment Plant Facility in Priority Area</v>
      </c>
      <c r="F16" s="845"/>
      <c r="G16" s="845"/>
      <c r="H16" s="845"/>
      <c r="I16" s="845"/>
      <c r="J16" s="845"/>
      <c r="K16" s="845"/>
      <c r="L16" s="845"/>
      <c r="M16" s="845"/>
      <c r="N16" s="845"/>
      <c r="O16" s="845"/>
      <c r="P16" s="1073">
        <f>'ALL-USD40.1M'!Y47</f>
        <v>75000000</v>
      </c>
      <c r="Q16" s="1062"/>
      <c r="R16" s="1079" t="str">
        <f>'ALL-USD40.1M'!AA47</f>
        <v>Belum proses</v>
      </c>
      <c r="S16" s="1080" t="str">
        <f>'ALL-USD40.1M'!AG47</f>
        <v>Masuk dalam dokumen CPF</v>
      </c>
      <c r="T16" s="824"/>
      <c r="U16" s="824"/>
      <c r="V16" s="824"/>
      <c r="W16" s="824"/>
      <c r="X16" s="824"/>
      <c r="Y16" s="824"/>
      <c r="Z16" s="824"/>
      <c r="AA16" s="927"/>
    </row>
    <row r="17" spans="1:27" s="668" customFormat="1" ht="38.25">
      <c r="B17" s="700"/>
      <c r="C17" s="739"/>
      <c r="D17" s="723">
        <v>6</v>
      </c>
      <c r="E17" s="1062" t="str">
        <f>'ALL-USD40.1M'!N48</f>
        <v>Sewerage System Development in Indonesia</v>
      </c>
      <c r="P17" s="1074">
        <f>'ALL-USD40.1M'!Y51</f>
        <v>200000000</v>
      </c>
      <c r="Q17" s="927"/>
      <c r="R17" s="831" t="str">
        <f>'ALL-USD40.1M'!AA51</f>
        <v>Belum proses</v>
      </c>
      <c r="S17" s="3287" t="str">
        <f>'ALL-USD40.1M'!AG51</f>
        <v>- Masuk dalam dokumen CPF
- Co-financing dengan IDB USD 325 juta, ADB USD 400 juta  
- Terdapat hibah penyusunan FS dari ADB</v>
      </c>
      <c r="T17" s="824"/>
      <c r="U17" s="824"/>
      <c r="V17" s="824"/>
      <c r="W17" s="824"/>
      <c r="X17" s="824"/>
      <c r="Y17" s="824"/>
      <c r="Z17" s="824"/>
      <c r="AA17" s="927"/>
    </row>
    <row r="18" spans="1:27">
      <c r="B18" s="702"/>
      <c r="C18" s="697" t="str">
        <f>'ALL-USD40.1M'!L54</f>
        <v>F</v>
      </c>
      <c r="D18" s="3814" t="str">
        <f>'ALL-USD40.1M'!M54</f>
        <v xml:space="preserve">Program Pembangunan Sistem Pengelolaan Persampahan </v>
      </c>
      <c r="E18" s="3815"/>
      <c r="F18" s="3728"/>
      <c r="G18" s="3730"/>
      <c r="H18" s="3728"/>
      <c r="I18" s="3730"/>
      <c r="J18" s="3728"/>
      <c r="K18" s="3730"/>
      <c r="L18" s="3728"/>
      <c r="M18" s="3730"/>
      <c r="N18" s="3728"/>
      <c r="O18" s="3726"/>
      <c r="P18" s="3724">
        <f>P19</f>
        <v>100000000</v>
      </c>
      <c r="Q18" s="3725"/>
      <c r="R18" s="3741"/>
      <c r="S18" s="3730"/>
      <c r="T18" s="965"/>
      <c r="U18" s="965"/>
      <c r="V18" s="965"/>
      <c r="W18" s="965"/>
      <c r="X18" s="965"/>
      <c r="Y18" s="965"/>
      <c r="Z18" s="965"/>
      <c r="AA18" s="926"/>
    </row>
    <row r="19" spans="1:27" ht="30">
      <c r="B19" s="702"/>
      <c r="D19" s="706">
        <v>7</v>
      </c>
      <c r="E19" s="895" t="str">
        <f>'ALL-USD40.1M'!N56</f>
        <v>The Improvement of Solid Waste Management to Support Regional Area and Metropolitan Cities</v>
      </c>
      <c r="P19" s="826">
        <f>'ALL-USD40.1M'!Y56</f>
        <v>100000000</v>
      </c>
      <c r="Q19" s="926"/>
      <c r="R19" s="820" t="str">
        <f>'ALL-USD40.1M'!AA55</f>
        <v>Proses penyiapan FS</v>
      </c>
      <c r="S19" s="1081" t="str">
        <f>'ALL-USD40.1M'!AG56</f>
        <v>Masuk dalam dokumen CPF</v>
      </c>
      <c r="T19" s="965"/>
      <c r="U19" s="965"/>
      <c r="V19" s="965"/>
      <c r="W19" s="965"/>
      <c r="X19" s="965"/>
      <c r="Y19" s="965"/>
      <c r="Z19" s="965"/>
      <c r="AA19" s="926"/>
    </row>
    <row r="20" spans="1:27">
      <c r="B20" s="702"/>
      <c r="C20" s="697" t="str">
        <f>'ALL-USD40.1M'!L62</f>
        <v>H</v>
      </c>
      <c r="D20" s="3728" t="str">
        <f>'ALL-USD40.1M'!M62</f>
        <v>Program Pembangunan Kota Berkelanjutan</v>
      </c>
      <c r="E20" s="3730"/>
      <c r="F20" s="3728"/>
      <c r="G20" s="3730"/>
      <c r="H20" s="3728"/>
      <c r="I20" s="3730"/>
      <c r="J20" s="3728"/>
      <c r="K20" s="3730"/>
      <c r="L20" s="3728"/>
      <c r="M20" s="3730"/>
      <c r="N20" s="3728"/>
      <c r="O20" s="3726"/>
      <c r="P20" s="3736">
        <f>P21</f>
        <v>49610000</v>
      </c>
      <c r="Q20" s="3719"/>
      <c r="R20" s="3817"/>
      <c r="S20" s="3797"/>
      <c r="T20" s="897"/>
      <c r="U20" s="897"/>
      <c r="V20" s="897"/>
      <c r="W20" s="897"/>
      <c r="X20" s="897"/>
      <c r="Y20" s="897"/>
      <c r="Z20" s="897"/>
      <c r="AA20" s="1058"/>
    </row>
    <row r="21" spans="1:27" s="668" customFormat="1" ht="38.25">
      <c r="B21" s="700"/>
      <c r="D21" s="725">
        <v>8</v>
      </c>
      <c r="E21" s="725" t="str">
        <f>'ALL-USD40.1M'!N63</f>
        <v>National Urban Development Project</v>
      </c>
      <c r="P21" s="946">
        <f>'ALL-USD40.1M'!Y63</f>
        <v>49610000</v>
      </c>
      <c r="Q21" s="716"/>
      <c r="R21" s="1082" t="str">
        <f>'ALL-USD40.1M'!AA63</f>
        <v>- GB 2017 (USD 49,6 juta)
- Dalam proses penyusunan Daftar Kegiatan</v>
      </c>
      <c r="S21" s="1083">
        <f>'ALL-USD40.1M'!AG63</f>
        <v>0</v>
      </c>
    </row>
    <row r="22" spans="1:27">
      <c r="B22" s="702"/>
      <c r="C22" s="697" t="str">
        <f>'ALL-USD40.1M'!L65</f>
        <v>I</v>
      </c>
      <c r="D22" s="3728" t="str">
        <f>'ALL-USD40.1M'!M65</f>
        <v>Program Pengembangan dan Pengelolaan Irigasi</v>
      </c>
      <c r="E22" s="3730"/>
      <c r="F22" s="3728"/>
      <c r="G22" s="3730"/>
      <c r="H22" s="3728"/>
      <c r="I22" s="3730"/>
      <c r="J22" s="3728"/>
      <c r="K22" s="3730"/>
      <c r="L22" s="3728"/>
      <c r="M22" s="3730"/>
      <c r="N22" s="3728"/>
      <c r="O22" s="3726"/>
      <c r="P22" s="3736">
        <f>P23+P24</f>
        <v>550455000</v>
      </c>
      <c r="Q22" s="3719"/>
      <c r="R22" s="3734"/>
      <c r="S22" s="3735"/>
    </row>
    <row r="23" spans="1:27" s="668" customFormat="1" ht="37.5" customHeight="1">
      <c r="B23" s="700"/>
      <c r="D23" s="839">
        <v>9</v>
      </c>
      <c r="E23" s="1063" t="str">
        <f>'ALL-USD40.1M'!N72</f>
        <v>Modernization Strategic Irrigation Project (MSIP)</v>
      </c>
      <c r="P23" s="786">
        <f>'ALL-USD40.1M'!Y72</f>
        <v>278355000</v>
      </c>
      <c r="Q23" s="927"/>
      <c r="R23" s="3840" t="str">
        <f>'ALL-USD40.1M'!AA72</f>
        <v>Sudah terdapat RC</v>
      </c>
      <c r="S23" s="3842" t="str">
        <f>'ALL-USD40.1M'!AG72</f>
        <v>- Kem. PUPR mengusulkan kegiatan SIMURP (Strategic Irrigation Modernization and Urgent Rehabilitation Project) yang merupakan penggabungan kegiatan URIP dan MSIP senilai USD 500 juta
- Dalam proses pemantapan desain kegiatan
- Rencana pengusulan GB 2018</v>
      </c>
    </row>
    <row r="24" spans="1:27" s="668" customFormat="1" ht="72.75" customHeight="1">
      <c r="B24" s="700"/>
      <c r="C24" s="739"/>
      <c r="D24" s="743">
        <v>10</v>
      </c>
      <c r="E24" s="669" t="str">
        <f>'ALL-USD40.1M'!N73</f>
        <v>Urgent Rehabilitation of  Irrigation Project in Indonesia (URIP)</v>
      </c>
      <c r="P24" s="785">
        <f>'ALL-USD40.1M'!Y73</f>
        <v>272100000</v>
      </c>
      <c r="Q24" s="927"/>
      <c r="R24" s="3841"/>
      <c r="S24" s="3843"/>
    </row>
    <row r="25" spans="1:27">
      <c r="B25" s="702"/>
      <c r="C25" s="697" t="str">
        <f>'ALL-USD40.1M'!L104</f>
        <v>N</v>
      </c>
      <c r="D25" s="3718" t="str">
        <f>'ALL-USD40.1M'!M104</f>
        <v xml:space="preserve">Program Infrastruktur untuk Pengembangan Pariwisata </v>
      </c>
      <c r="E25" s="3730"/>
      <c r="F25" s="3728"/>
      <c r="G25" s="3730"/>
      <c r="H25" s="3728"/>
      <c r="I25" s="3730"/>
      <c r="J25" s="3728"/>
      <c r="K25" s="3730"/>
      <c r="L25" s="3728"/>
      <c r="M25" s="3730"/>
      <c r="N25" s="3728"/>
      <c r="O25" s="3726"/>
      <c r="P25" s="3724">
        <f>P26</f>
        <v>296000000</v>
      </c>
      <c r="Q25" s="3740"/>
      <c r="R25" s="3741"/>
      <c r="S25" s="3725"/>
    </row>
    <row r="26" spans="1:27" s="668" customFormat="1" ht="30">
      <c r="B26" s="700"/>
      <c r="D26" s="717">
        <v>11</v>
      </c>
      <c r="E26" s="725" t="str">
        <f>'ALL-USD40.1M'!N105</f>
        <v>Integrated Infrastructure Development for National Tourism Strategic Areas</v>
      </c>
      <c r="P26" s="785">
        <f>'ALL-USD40.1M'!Y105</f>
        <v>296000000</v>
      </c>
      <c r="Q26" s="927"/>
      <c r="R26" s="815" t="str">
        <f>'ALL-USD40.1M'!AA105</f>
        <v>Proses penyusunan RC</v>
      </c>
      <c r="S26" s="844" t="str">
        <f>'ALL-USD40.1M'!AG105</f>
        <v>Dalam penyusunan FS dengan menggunakan pinjaman Bank Dunia</v>
      </c>
    </row>
    <row r="27" spans="1:27" s="668" customFormat="1">
      <c r="B27" s="700"/>
      <c r="C27" s="733" t="str">
        <f>'ALL-USD40.1M'!L106</f>
        <v>O</v>
      </c>
      <c r="D27" s="3722" t="str">
        <f>'ALL-USD40.1M'!M106</f>
        <v>Program Penyediaaan Perumahan Bagi MBR</v>
      </c>
      <c r="E27" s="3730"/>
      <c r="F27" s="699"/>
      <c r="G27" s="699"/>
      <c r="H27" s="699"/>
      <c r="I27" s="699"/>
      <c r="J27" s="699"/>
      <c r="K27" s="699"/>
      <c r="L27" s="699"/>
      <c r="M27" s="699"/>
      <c r="N27" s="699"/>
      <c r="O27" s="817"/>
      <c r="P27" s="954">
        <f>P28</f>
        <v>450000000</v>
      </c>
      <c r="Q27" s="854"/>
      <c r="R27" s="853"/>
      <c r="S27" s="979"/>
    </row>
    <row r="28" spans="1:27" s="668" customFormat="1" ht="45">
      <c r="B28" s="723"/>
      <c r="C28" s="701"/>
      <c r="D28" s="1064">
        <v>12</v>
      </c>
      <c r="E28" s="668" t="str">
        <f>'ALL-USD40.1M'!N107</f>
        <v>National Affordable Housing Project</v>
      </c>
      <c r="P28" s="785">
        <f>'ALL-USD40.1M'!Y107</f>
        <v>450000000</v>
      </c>
      <c r="Q28" s="927"/>
      <c r="R28" s="1011" t="str">
        <f>'ALL-USD40.1M'!AA107</f>
        <v>- GB 2017
- DK tanggal 11 Jan 2017
- Sudah LA Februari 2017</v>
      </c>
      <c r="S28" s="841">
        <f>'ALL-USD40.1M'!AG107</f>
        <v>0</v>
      </c>
    </row>
    <row r="29" spans="1:27">
      <c r="B29" s="737">
        <f>'ALL-USD40.1M'!K134</f>
        <v>6</v>
      </c>
      <c r="C29" s="3795" t="str">
        <f>'ALL-USD40.1M'!L134</f>
        <v xml:space="preserve">PT. PLN    </v>
      </c>
      <c r="D29" s="3825"/>
      <c r="E29" s="3826"/>
      <c r="F29" s="730"/>
      <c r="G29" s="730"/>
      <c r="H29" s="730"/>
      <c r="I29" s="730"/>
      <c r="J29" s="730"/>
      <c r="K29" s="730"/>
      <c r="L29" s="730"/>
      <c r="M29" s="730"/>
      <c r="N29" s="730"/>
      <c r="O29" s="850"/>
      <c r="P29" s="1075">
        <f>P30</f>
        <v>700000000</v>
      </c>
      <c r="Q29" s="852"/>
      <c r="R29" s="851"/>
      <c r="S29" s="861"/>
    </row>
    <row r="30" spans="1:27">
      <c r="A30" s="926"/>
      <c r="C30" s="857" t="str">
        <f>'ALL-USD40.1M'!L135</f>
        <v>A</v>
      </c>
      <c r="D30" s="3763" t="str">
        <f>'ALL-USD40.1M'!M135</f>
        <v>Program Pembangunan Infrastruktur Ketenagalistrikan</v>
      </c>
      <c r="E30" s="3764"/>
      <c r="F30" s="3726"/>
      <c r="G30" s="3730"/>
      <c r="H30" s="3728"/>
      <c r="I30" s="3730"/>
      <c r="J30" s="3728"/>
      <c r="K30" s="3730"/>
      <c r="L30" s="3728"/>
      <c r="M30" s="3730"/>
      <c r="N30" s="3728"/>
      <c r="O30" s="3726"/>
      <c r="P30" s="3736">
        <f>P31+P32</f>
        <v>700000000</v>
      </c>
      <c r="Q30" s="3719"/>
      <c r="R30" s="3731"/>
      <c r="S30" s="3719"/>
    </row>
    <row r="31" spans="1:27" ht="30.75" customHeight="1">
      <c r="A31" s="926"/>
      <c r="C31" s="939"/>
      <c r="D31" s="1065">
        <v>13</v>
      </c>
      <c r="E31" s="1066" t="str">
        <f>'ALL-USD40.1M'!N142</f>
        <v>Additional Loan for Upper Cisokan Pumped Storage Hydro Electrical Power Plant (4x260MW)</v>
      </c>
      <c r="P31" s="781">
        <f>'ALL-USD40.1M'!Y142</f>
        <v>200000000</v>
      </c>
      <c r="Q31" s="722"/>
      <c r="R31" s="841" t="str">
        <f>'ALL-USD40.1M'!AA142</f>
        <v>Belum proses</v>
      </c>
      <c r="S31" s="1022" t="e">
        <f>'ALL-USD40.1M'!#REF!</f>
        <v>#REF!</v>
      </c>
    </row>
    <row r="32" spans="1:27" ht="27" customHeight="1">
      <c r="A32" s="926"/>
      <c r="C32" s="875"/>
      <c r="D32" s="739">
        <v>14</v>
      </c>
      <c r="E32" s="669" t="str">
        <f>'ALL-USD40.1M'!N144</f>
        <v>Matenggeng Pumped Storage Hydro Electrical Power Plant (4x225MW)</v>
      </c>
      <c r="P32" s="1011">
        <f>'ALL-USD40.1M'!Y144</f>
        <v>500000000</v>
      </c>
      <c r="Q32" s="847"/>
      <c r="R32" s="1011" t="str">
        <f>'ALL-USD40.1M'!AA144</f>
        <v>Proses penyusunan FS</v>
      </c>
      <c r="S32" s="1048" t="str">
        <f>'ALL-USD40.1M'!AG144</f>
        <v>Potensial direct lending</v>
      </c>
    </row>
    <row r="33" spans="1:28">
      <c r="A33" s="926"/>
      <c r="B33" s="742">
        <f>'ALL-USD40.1M'!K151</f>
        <v>9</v>
      </c>
      <c r="C33" s="899" t="str">
        <f>'ALL-USD40.1M'!L151</f>
        <v>PT. Sarana Multi Infrastruktur (PT. SMI)</v>
      </c>
      <c r="D33" s="729"/>
      <c r="E33" s="748"/>
      <c r="F33" s="729"/>
      <c r="G33" s="748"/>
      <c r="H33" s="729"/>
      <c r="I33" s="748"/>
      <c r="J33" s="729"/>
      <c r="K33" s="748"/>
      <c r="L33" s="729"/>
      <c r="M33" s="748"/>
      <c r="N33" s="729"/>
      <c r="O33" s="748"/>
      <c r="P33" s="951">
        <f>P34</f>
        <v>200000000</v>
      </c>
      <c r="Q33" s="1034"/>
      <c r="R33" s="876"/>
      <c r="S33" s="1034"/>
    </row>
    <row r="34" spans="1:28">
      <c r="A34" s="926"/>
      <c r="C34" s="873" t="str">
        <f>'ALL-USD40.1M'!L152</f>
        <v>A</v>
      </c>
      <c r="D34" s="3728" t="str">
        <f>'ALL-USD40.1M'!M152</f>
        <v xml:space="preserve">Program Pembiayaan Pembangunan Infrastruktur </v>
      </c>
      <c r="E34" s="3730"/>
      <c r="F34" s="3728"/>
      <c r="G34" s="3730"/>
      <c r="H34" s="3728"/>
      <c r="I34" s="3730"/>
      <c r="J34" s="3728"/>
      <c r="K34" s="3730"/>
      <c r="L34" s="3728"/>
      <c r="M34" s="3730"/>
      <c r="N34" s="3728"/>
      <c r="O34" s="3726"/>
      <c r="P34" s="3724">
        <f>P35</f>
        <v>200000000</v>
      </c>
      <c r="Q34" s="3740"/>
      <c r="R34" s="3724"/>
      <c r="S34" s="3740"/>
    </row>
    <row r="35" spans="1:28" s="668" customFormat="1" ht="63.75" customHeight="1">
      <c r="A35" s="930"/>
      <c r="C35" s="717"/>
      <c r="D35" s="668">
        <v>15</v>
      </c>
      <c r="E35" s="705" t="str">
        <f>'ALL-USD40.1M'!N153</f>
        <v>Increasing PT Indonesia Infrastructure Finance Financing Capacity in Accelerating Infrastructure Development in Indonesia</v>
      </c>
      <c r="P35" s="785">
        <f>'ALL-USD40.1M'!Y153</f>
        <v>200000000</v>
      </c>
      <c r="Q35" s="927"/>
      <c r="R35" s="816" t="str">
        <f>'ALL-USD40.1M'!AA153</f>
        <v xml:space="preserve">- GB 2017
- DK tanggal 31 Juli 2017
- Sudah LA Februari 2017 </v>
      </c>
      <c r="S35" s="1085" t="str">
        <f>'ALL-USD40.1M'!AG153</f>
        <v>Co-financing dengan ADB USD 100 juta ditunda (Maret 2017)</v>
      </c>
    </row>
    <row r="36" spans="1:28" ht="15.75">
      <c r="A36" s="685" t="s">
        <v>960</v>
      </c>
      <c r="B36" s="686" t="str">
        <f>DATA!D160</f>
        <v>NON-INFRASTRUKTUR</v>
      </c>
      <c r="C36" s="937"/>
      <c r="D36" s="686"/>
      <c r="E36" s="686"/>
      <c r="F36" s="686"/>
      <c r="G36" s="686"/>
      <c r="H36" s="686"/>
      <c r="I36" s="686"/>
      <c r="J36" s="686"/>
      <c r="K36" s="686"/>
      <c r="L36" s="686"/>
      <c r="M36" s="686"/>
      <c r="N36" s="686"/>
      <c r="O36" s="865"/>
      <c r="P36" s="1076">
        <f>P37+P40+P45</f>
        <v>1255600000</v>
      </c>
      <c r="Q36" s="867"/>
      <c r="R36" s="1086"/>
      <c r="S36" s="937"/>
    </row>
    <row r="37" spans="1:28">
      <c r="B37" s="691">
        <f>'ALL-USD40.1M'!K182</f>
        <v>12</v>
      </c>
      <c r="C37" s="942" t="str">
        <f>'ALL-USD40.1M'!L182</f>
        <v>Kementerian PPN/Bappenas</v>
      </c>
      <c r="D37" s="740"/>
      <c r="E37" s="942"/>
      <c r="P37" s="951">
        <f>P38</f>
        <v>150000000</v>
      </c>
      <c r="Q37" s="984"/>
      <c r="R37" s="740"/>
      <c r="S37" s="984"/>
    </row>
    <row r="38" spans="1:28" ht="25.5" customHeight="1">
      <c r="B38" s="939"/>
      <c r="C38" s="943" t="str">
        <f>'ALL-USD40.1M'!L183</f>
        <v>A</v>
      </c>
      <c r="D38" s="3834" t="str">
        <f>'ALL-USD40.1M'!M183</f>
        <v>Program Pengembangan Sumber Daya Aparatur  dalam Rangka Reformasi Birokrasi</v>
      </c>
      <c r="E38" s="3764"/>
      <c r="F38" s="697"/>
      <c r="G38" s="699"/>
      <c r="H38" s="699"/>
      <c r="I38" s="699"/>
      <c r="J38" s="699"/>
      <c r="K38" s="699"/>
      <c r="L38" s="699"/>
      <c r="M38" s="699"/>
      <c r="N38" s="699"/>
      <c r="O38" s="817"/>
      <c r="P38" s="954">
        <f>P39</f>
        <v>150000000</v>
      </c>
      <c r="Q38" s="854"/>
      <c r="R38" s="988"/>
      <c r="S38" s="697"/>
    </row>
    <row r="39" spans="1:28" s="669" customFormat="1" ht="38.25" customHeight="1">
      <c r="B39" s="1067"/>
      <c r="C39" s="1041"/>
      <c r="D39" s="712">
        <v>16</v>
      </c>
      <c r="E39" s="704" t="str">
        <f>'ALL-USD40.1M'!N184</f>
        <v>Development of Capacity, Quality, and Competency of Human Resources for Government Officer</v>
      </c>
      <c r="P39" s="1011">
        <f>'ALL-USD40.1M'!Y184</f>
        <v>150000000</v>
      </c>
      <c r="Q39" s="847"/>
      <c r="R39" s="995" t="str">
        <f>'ALL-USD40.1M'!AA184</f>
        <v>GB 2017 (USD 150 juta)</v>
      </c>
      <c r="S39" s="776">
        <f>'ALL-USD40.1M'!AG184</f>
        <v>0</v>
      </c>
      <c r="AB39" s="940"/>
    </row>
    <row r="40" spans="1:28">
      <c r="B40" s="728">
        <f>'ALL-USD40.1M'!K188</f>
        <v>13</v>
      </c>
      <c r="C40" s="3738" t="str">
        <f>'ALL-USD40.1M'!L188</f>
        <v>Kementerian Kesehatan</v>
      </c>
      <c r="D40" s="3743"/>
      <c r="E40" s="3739"/>
      <c r="F40" s="742"/>
      <c r="G40" s="730"/>
      <c r="H40" s="730"/>
      <c r="I40" s="730"/>
      <c r="J40" s="730"/>
      <c r="K40" s="730"/>
      <c r="L40" s="730"/>
      <c r="M40" s="730"/>
      <c r="N40" s="730"/>
      <c r="O40" s="850"/>
      <c r="P40" s="1075">
        <f>P41+P43</f>
        <v>905600000</v>
      </c>
      <c r="Q40" s="852"/>
      <c r="R40" s="728"/>
      <c r="S40" s="742"/>
    </row>
    <row r="41" spans="1:28">
      <c r="B41" s="733"/>
      <c r="C41" s="697" t="str">
        <f>'ALL-USD40.1M'!L189</f>
        <v>A</v>
      </c>
      <c r="D41" s="3728" t="str">
        <f>'ALL-USD40.1M'!M189</f>
        <v>Program Pelayanan Kesehatan Dasar</v>
      </c>
      <c r="E41" s="3725"/>
      <c r="F41" s="697"/>
      <c r="G41" s="699"/>
      <c r="H41" s="699"/>
      <c r="I41" s="699"/>
      <c r="J41" s="699"/>
      <c r="K41" s="699"/>
      <c r="L41" s="699"/>
      <c r="M41" s="699"/>
      <c r="N41" s="699"/>
      <c r="O41" s="817"/>
      <c r="P41" s="954">
        <f>P42</f>
        <v>150000000</v>
      </c>
      <c r="Q41" s="854"/>
      <c r="R41" s="733"/>
      <c r="S41" s="738"/>
    </row>
    <row r="42" spans="1:28" s="668" customFormat="1" ht="105">
      <c r="B42" s="723"/>
      <c r="C42" s="701"/>
      <c r="D42" s="1064">
        <v>17</v>
      </c>
      <c r="E42" s="927" t="str">
        <f>'ALL-USD40.1M'!N190</f>
        <v>Improvement of Primary Health Care</v>
      </c>
      <c r="P42" s="785">
        <f>'ALL-USD40.1M'!Y190</f>
        <v>150000000</v>
      </c>
      <c r="Q42" s="927"/>
      <c r="R42" s="843" t="str">
        <f>'ALL-USD40.1M'!AA190</f>
        <v>GB 2017 (USD 150 juta)</v>
      </c>
      <c r="S42" s="1084" t="str">
        <f>'ALL-USD40.1M'!AG190</f>
        <v>- Kem. Kesehatan mengusulkan kegiatan I-SPHERE yang merupakan penggabungan ruang lingkup dari 2 program (USD 150 juta) yaitu
1. Basic Health Care Program
2. Health Services Referral Program
-Menggunakan skema pembiayaan PforR (Program for Result)</v>
      </c>
    </row>
    <row r="43" spans="1:28">
      <c r="B43" s="1068"/>
      <c r="C43" s="699" t="str">
        <f>'ALL-USD40.1M'!L195</f>
        <v>D</v>
      </c>
      <c r="D43" s="3728" t="str">
        <f>'ALL-USD40.1M'!M195</f>
        <v>Program Pelayanan Kesehatan Rujukan</v>
      </c>
      <c r="E43" s="3725"/>
      <c r="F43" s="697"/>
      <c r="G43" s="699"/>
      <c r="H43" s="699"/>
      <c r="I43" s="699"/>
      <c r="J43" s="699"/>
      <c r="K43" s="699"/>
      <c r="L43" s="699"/>
      <c r="M43" s="699"/>
      <c r="N43" s="699"/>
      <c r="O43" s="817"/>
      <c r="P43" s="954">
        <f>P44</f>
        <v>755600000</v>
      </c>
      <c r="Q43" s="854"/>
      <c r="R43" s="733"/>
      <c r="S43" s="733"/>
    </row>
    <row r="44" spans="1:28" s="668" customFormat="1" ht="113.25" customHeight="1">
      <c r="B44" s="1033"/>
      <c r="C44" s="725"/>
      <c r="D44" s="701">
        <v>18</v>
      </c>
      <c r="E44" s="847" t="str">
        <f>'ALL-USD40.1M'!N196</f>
        <v>Strengthening of National Referral Hospitals, Province Referral Hospital and Vertical Technical Units</v>
      </c>
      <c r="P44" s="785">
        <f>'ALL-USD40.1M'!Y198</f>
        <v>755600000</v>
      </c>
      <c r="Q44" s="927"/>
      <c r="R44" s="843" t="str">
        <f>'ALL-USD40.1M'!AA198</f>
        <v>Belum proses</v>
      </c>
      <c r="S44" s="995" t="str">
        <f>'ALL-USD40.1M'!AG198</f>
        <v>- Kem. Kesehatan mengusulkan kegiatan I-SPHERE yang merupakan penggabungan ruang lingkup dari 2 program (USD 150 juta) yaitu
1. Basic Health Care Program
2. Health Services Referral Program
-Menggunakan skema pembiayaan PforR (Program for Result)</v>
      </c>
    </row>
    <row r="45" spans="1:28">
      <c r="B45" s="851">
        <f>'ALL-USD40.1M'!K233</f>
        <v>21</v>
      </c>
      <c r="C45" s="3795" t="str">
        <f>'ALL-USD40.1M'!L233</f>
        <v>Kementerian ATR/BPN</v>
      </c>
      <c r="D45" s="3738"/>
      <c r="E45" s="3739"/>
      <c r="F45" s="742"/>
      <c r="G45" s="730"/>
      <c r="H45" s="730"/>
      <c r="I45" s="730"/>
      <c r="J45" s="730"/>
      <c r="K45" s="730"/>
      <c r="L45" s="730"/>
      <c r="M45" s="730"/>
      <c r="N45" s="730"/>
      <c r="O45" s="850"/>
      <c r="P45" s="1075">
        <f>P46+P48</f>
        <v>200000000</v>
      </c>
      <c r="Q45" s="852"/>
      <c r="R45" s="728"/>
      <c r="S45" s="728"/>
    </row>
    <row r="46" spans="1:28">
      <c r="B46" s="1069"/>
      <c r="C46" s="699" t="str">
        <f>'ALL-USD40.1M'!L237</f>
        <v>A</v>
      </c>
      <c r="D46" s="3718" t="str">
        <f>'ALL-USD40.1M'!M234</f>
        <v xml:space="preserve">Program Implementasi Informasi Geospasial dan Infrastruktur Keagrariaan </v>
      </c>
      <c r="E46" s="3719"/>
      <c r="F46" s="738"/>
      <c r="G46" s="873"/>
      <c r="H46" s="873"/>
      <c r="I46" s="873"/>
      <c r="J46" s="873"/>
      <c r="K46" s="873"/>
      <c r="L46" s="873"/>
      <c r="M46" s="873"/>
      <c r="N46" s="873"/>
      <c r="O46" s="857"/>
      <c r="P46" s="791">
        <f>P47</f>
        <v>200000000</v>
      </c>
      <c r="Q46" s="979"/>
      <c r="R46" s="858"/>
      <c r="S46" s="733"/>
    </row>
    <row r="47" spans="1:28" s="669" customFormat="1" ht="45">
      <c r="B47" s="940"/>
      <c r="C47" s="1070"/>
      <c r="D47" s="941">
        <v>19</v>
      </c>
      <c r="E47" s="712" t="str">
        <f>'ALL-USD40.1M'!N235</f>
        <v xml:space="preserve">Program to Accelerate Agrarian Reform </v>
      </c>
      <c r="F47" s="713"/>
      <c r="G47" s="713"/>
      <c r="H47" s="713"/>
      <c r="I47" s="713"/>
      <c r="J47" s="713"/>
      <c r="K47" s="713"/>
      <c r="L47" s="713"/>
      <c r="M47" s="713"/>
      <c r="N47" s="713"/>
      <c r="O47" s="713"/>
      <c r="P47" s="781">
        <f>'ALL-USD40.1M'!Y235</f>
        <v>200000000</v>
      </c>
      <c r="Q47" s="722"/>
      <c r="R47" s="841" t="str">
        <f>'ALL-USD40.1M'!AA235</f>
        <v>Sudah ada RC (versi BIG)</v>
      </c>
      <c r="S47" s="995" t="str">
        <f>'ALL-USD40.1M'!AG235</f>
        <v>- Masuk dalam dokumen CPF
- Terdapat perubahan instansi pengusul yang sebelumnya Badan Informasi Geospasial (BIG)</v>
      </c>
    </row>
    <row r="48" spans="1:28" hidden="1">
      <c r="B48" s="915"/>
      <c r="C48" s="965"/>
      <c r="D48" s="965"/>
      <c r="E48" s="926"/>
      <c r="P48" s="826"/>
      <c r="Q48" s="926"/>
      <c r="R48" s="702"/>
      <c r="S48" s="702"/>
    </row>
    <row r="49" spans="1:19">
      <c r="A49" s="3800" t="s">
        <v>477</v>
      </c>
      <c r="B49" s="3801"/>
      <c r="C49" s="3801"/>
      <c r="D49" s="3801"/>
      <c r="E49" s="3802"/>
      <c r="F49" s="602"/>
      <c r="G49" s="602"/>
      <c r="H49" s="602"/>
      <c r="I49" s="602"/>
      <c r="J49" s="602"/>
      <c r="K49" s="602"/>
      <c r="L49" s="602"/>
      <c r="M49" s="602"/>
      <c r="N49" s="602"/>
      <c r="O49" s="602"/>
      <c r="P49" s="1012">
        <f>P36+P7</f>
        <v>4550965000</v>
      </c>
      <c r="Q49" s="1024"/>
      <c r="R49" s="1023"/>
      <c r="S49" s="924"/>
    </row>
    <row r="50" spans="1:19">
      <c r="P50" s="535"/>
    </row>
    <row r="51" spans="1:19">
      <c r="P51" s="535"/>
    </row>
    <row r="52" spans="1:19">
      <c r="P52" s="535"/>
    </row>
    <row r="53" spans="1:19">
      <c r="P53" s="535"/>
    </row>
    <row r="54" spans="1:19">
      <c r="P54" s="535"/>
    </row>
    <row r="55" spans="1:19">
      <c r="P55" s="535"/>
    </row>
    <row r="56" spans="1:19">
      <c r="P56" s="535"/>
    </row>
    <row r="57" spans="1:19">
      <c r="P57" s="535"/>
    </row>
    <row r="58" spans="1:19">
      <c r="P58" s="535"/>
    </row>
    <row r="59" spans="1:19">
      <c r="P59" s="535"/>
    </row>
    <row r="60" spans="1:19">
      <c r="P60" s="535"/>
    </row>
    <row r="61" spans="1:19">
      <c r="P61" s="535"/>
    </row>
    <row r="62" spans="1:19">
      <c r="P62" s="535"/>
    </row>
    <row r="63" spans="1:19">
      <c r="P63" s="535"/>
    </row>
    <row r="64" spans="1:19">
      <c r="P64" s="535"/>
    </row>
    <row r="65" spans="16:16">
      <c r="P65" s="535"/>
    </row>
    <row r="66" spans="16:16">
      <c r="P66" s="535"/>
    </row>
    <row r="67" spans="16:16">
      <c r="P67" s="535"/>
    </row>
  </sheetData>
  <mergeCells count="84">
    <mergeCell ref="D41:E41"/>
    <mergeCell ref="D43:E43"/>
    <mergeCell ref="C45:E45"/>
    <mergeCell ref="D46:E46"/>
    <mergeCell ref="A49:E49"/>
    <mergeCell ref="N34:O34"/>
    <mergeCell ref="P34:Q34"/>
    <mergeCell ref="R34:S34"/>
    <mergeCell ref="D38:E38"/>
    <mergeCell ref="C40:E40"/>
    <mergeCell ref="D34:E34"/>
    <mergeCell ref="F34:G34"/>
    <mergeCell ref="H34:I34"/>
    <mergeCell ref="J34:K34"/>
    <mergeCell ref="L34:M34"/>
    <mergeCell ref="J30:K30"/>
    <mergeCell ref="L30:M30"/>
    <mergeCell ref="N30:O30"/>
    <mergeCell ref="P30:Q30"/>
    <mergeCell ref="R30:S30"/>
    <mergeCell ref="H22:I22"/>
    <mergeCell ref="D27:E27"/>
    <mergeCell ref="C29:E29"/>
    <mergeCell ref="D30:E30"/>
    <mergeCell ref="F30:G30"/>
    <mergeCell ref="H30:I30"/>
    <mergeCell ref="N25:O25"/>
    <mergeCell ref="P25:Q25"/>
    <mergeCell ref="R25:S25"/>
    <mergeCell ref="R23:R24"/>
    <mergeCell ref="S23:S24"/>
    <mergeCell ref="D25:E25"/>
    <mergeCell ref="F25:G25"/>
    <mergeCell ref="H25:I25"/>
    <mergeCell ref="J25:K25"/>
    <mergeCell ref="L25:M25"/>
    <mergeCell ref="J22:K22"/>
    <mergeCell ref="L22:M22"/>
    <mergeCell ref="R18:S18"/>
    <mergeCell ref="D20:E20"/>
    <mergeCell ref="F20:G20"/>
    <mergeCell ref="H20:I20"/>
    <mergeCell ref="J20:K20"/>
    <mergeCell ref="L20:M20"/>
    <mergeCell ref="N20:O20"/>
    <mergeCell ref="P20:Q20"/>
    <mergeCell ref="R20:S20"/>
    <mergeCell ref="N22:O22"/>
    <mergeCell ref="P22:Q22"/>
    <mergeCell ref="R22:S22"/>
    <mergeCell ref="D22:E22"/>
    <mergeCell ref="F22:G22"/>
    <mergeCell ref="J15:K15"/>
    <mergeCell ref="L15:M15"/>
    <mergeCell ref="N15:O15"/>
    <mergeCell ref="P15:Q15"/>
    <mergeCell ref="D18:E18"/>
    <mergeCell ref="F18:G18"/>
    <mergeCell ref="H18:I18"/>
    <mergeCell ref="J18:K18"/>
    <mergeCell ref="L18:M18"/>
    <mergeCell ref="N18:O18"/>
    <mergeCell ref="P18:Q18"/>
    <mergeCell ref="D9:E9"/>
    <mergeCell ref="D12:E12"/>
    <mergeCell ref="D15:E15"/>
    <mergeCell ref="F15:G15"/>
    <mergeCell ref="H15:I15"/>
    <mergeCell ref="A1:AA1"/>
    <mergeCell ref="A2:S2"/>
    <mergeCell ref="L4:O4"/>
    <mergeCell ref="T4:V4"/>
    <mergeCell ref="W4:AA4"/>
    <mergeCell ref="F4:F5"/>
    <mergeCell ref="G4:G5"/>
    <mergeCell ref="H4:H5"/>
    <mergeCell ref="I4:I5"/>
    <mergeCell ref="J4:J5"/>
    <mergeCell ref="K4:K5"/>
    <mergeCell ref="P4:P5"/>
    <mergeCell ref="Q4:Q5"/>
    <mergeCell ref="R4:R5"/>
    <mergeCell ref="S4:S5"/>
    <mergeCell ref="A4:E5"/>
  </mergeCells>
  <pageMargins left="0.69930555555555596" right="0.69930555555555596"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40C8F"/>
  </sheetPr>
  <dimension ref="A1:AB54"/>
  <sheetViews>
    <sheetView topLeftCell="B1" zoomScale="70" zoomScaleNormal="70" workbookViewId="0">
      <selection activeCell="AI16" sqref="AI16"/>
    </sheetView>
  </sheetViews>
  <sheetFormatPr defaultColWidth="9" defaultRowHeight="15"/>
  <cols>
    <col min="1" max="1" width="2.85546875" customWidth="1"/>
    <col min="2" max="2" width="3.5703125" customWidth="1"/>
    <col min="3" max="3" width="2.85546875" customWidth="1"/>
    <col min="4" max="4" width="4.85546875" customWidth="1"/>
    <col min="5" max="5" width="68.140625" customWidth="1"/>
    <col min="6" max="15" width="9" hidden="1" customWidth="1"/>
    <col min="16" max="16" width="24" customWidth="1"/>
    <col min="17" max="17" width="5.140625" hidden="1" customWidth="1"/>
    <col min="18" max="18" width="25" customWidth="1"/>
    <col min="19" max="19" width="54.28515625" customWidth="1"/>
    <col min="20" max="27" width="9" hidden="1" customWidth="1"/>
  </cols>
  <sheetData>
    <row r="1" spans="1:28" ht="18">
      <c r="A1" s="3708"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row>
    <row r="2" spans="1:28" ht="18">
      <c r="A2" s="3708" t="s">
        <v>117</v>
      </c>
      <c r="B2" s="3697"/>
      <c r="C2" s="3697"/>
      <c r="D2" s="3697"/>
      <c r="E2" s="3697"/>
      <c r="F2" s="3697"/>
      <c r="G2" s="3697"/>
      <c r="H2" s="3697"/>
      <c r="I2" s="3697"/>
      <c r="J2" s="3697"/>
      <c r="K2" s="3697"/>
      <c r="L2" s="3697"/>
      <c r="M2" s="3697"/>
      <c r="N2" s="3697"/>
      <c r="O2" s="3697"/>
      <c r="P2" s="3697"/>
      <c r="Q2" s="3697"/>
      <c r="R2" s="3697"/>
      <c r="S2" s="3697"/>
      <c r="T2" s="671"/>
      <c r="U2" s="671"/>
      <c r="V2" s="671"/>
      <c r="W2" s="671"/>
      <c r="X2" s="671"/>
      <c r="Y2" s="671"/>
      <c r="Z2" s="671"/>
      <c r="AA2" s="671"/>
    </row>
    <row r="3" spans="1:28">
      <c r="A3" s="672"/>
      <c r="B3" s="673"/>
      <c r="C3" s="673"/>
      <c r="D3" s="673"/>
      <c r="E3" s="674"/>
      <c r="F3" s="675"/>
      <c r="G3" s="675"/>
      <c r="H3" s="676"/>
      <c r="I3" s="676"/>
      <c r="J3" s="675"/>
      <c r="K3" s="675"/>
      <c r="L3" s="754"/>
      <c r="M3" s="675"/>
      <c r="N3" s="675"/>
      <c r="O3" s="675"/>
      <c r="P3" s="675"/>
      <c r="Q3" s="675"/>
      <c r="R3" s="675"/>
      <c r="S3" s="675"/>
      <c r="T3" s="674"/>
      <c r="U3" s="674"/>
      <c r="V3" s="674"/>
      <c r="W3" s="754"/>
      <c r="X3" s="754"/>
      <c r="Y3" s="754"/>
      <c r="Z3" s="754"/>
      <c r="AA3" s="878"/>
    </row>
    <row r="4" spans="1:28" ht="16.5" customHeight="1">
      <c r="A4" s="3811" t="s">
        <v>2</v>
      </c>
      <c r="B4" s="3812"/>
      <c r="C4" s="3812"/>
      <c r="D4" s="3812"/>
      <c r="E4" s="3812"/>
      <c r="F4" s="3807" t="s">
        <v>1382</v>
      </c>
      <c r="G4" s="3804" t="s">
        <v>1383</v>
      </c>
      <c r="H4" s="3808" t="s">
        <v>1082</v>
      </c>
      <c r="I4" s="3808" t="s">
        <v>1083</v>
      </c>
      <c r="J4" s="3809" t="s">
        <v>1384</v>
      </c>
      <c r="K4" s="3810" t="s">
        <v>1085</v>
      </c>
      <c r="L4" s="3803" t="s">
        <v>1088</v>
      </c>
      <c r="M4" s="3768"/>
      <c r="N4" s="3768"/>
      <c r="O4" s="3769"/>
      <c r="P4" s="3804" t="s">
        <v>1136</v>
      </c>
      <c r="Q4" s="3804" t="s">
        <v>7</v>
      </c>
      <c r="R4" s="3804" t="s">
        <v>1137</v>
      </c>
      <c r="S4" s="3805" t="s">
        <v>10</v>
      </c>
      <c r="T4" s="3713" t="s">
        <v>1089</v>
      </c>
      <c r="U4" s="3768"/>
      <c r="V4" s="3769"/>
      <c r="W4" s="3716" t="s">
        <v>1086</v>
      </c>
      <c r="X4" s="3768"/>
      <c r="Y4" s="3768"/>
      <c r="Z4" s="3768"/>
      <c r="AA4" s="3768"/>
      <c r="AB4" s="915"/>
    </row>
    <row r="5" spans="1:28" ht="0.75" customHeight="1">
      <c r="A5" s="3813"/>
      <c r="B5" s="3786"/>
      <c r="C5" s="3786"/>
      <c r="D5" s="3786"/>
      <c r="E5" s="3786"/>
      <c r="F5" s="3772"/>
      <c r="G5" s="3774"/>
      <c r="H5" s="3774"/>
      <c r="I5" s="3774"/>
      <c r="J5" s="3777"/>
      <c r="K5" s="3779"/>
      <c r="L5" s="755" t="s">
        <v>11</v>
      </c>
      <c r="M5" s="756" t="s">
        <v>507</v>
      </c>
      <c r="N5" s="756" t="s">
        <v>1090</v>
      </c>
      <c r="O5" s="757" t="s">
        <v>509</v>
      </c>
      <c r="P5" s="3774"/>
      <c r="Q5" s="3774"/>
      <c r="R5" s="3774"/>
      <c r="S5" s="3806"/>
      <c r="T5" s="755" t="s">
        <v>507</v>
      </c>
      <c r="U5" s="802" t="s">
        <v>510</v>
      </c>
      <c r="V5" s="757" t="s">
        <v>511</v>
      </c>
      <c r="W5" s="803" t="s">
        <v>550</v>
      </c>
      <c r="X5" s="755" t="s">
        <v>1091</v>
      </c>
      <c r="Y5" s="802" t="s">
        <v>15</v>
      </c>
      <c r="Z5" s="879" t="s">
        <v>1092</v>
      </c>
      <c r="AA5" s="1053" t="s">
        <v>511</v>
      </c>
      <c r="AB5" s="915"/>
    </row>
    <row r="6" spans="1:28" hidden="1">
      <c r="A6" s="679"/>
      <c r="B6" s="680"/>
      <c r="C6" s="680"/>
      <c r="D6" s="680"/>
      <c r="E6" s="681"/>
      <c r="F6" s="682"/>
      <c r="G6" s="683"/>
      <c r="H6" s="684"/>
      <c r="I6" s="684"/>
      <c r="J6" s="758"/>
      <c r="K6" s="759"/>
      <c r="L6" s="760"/>
      <c r="M6" s="761"/>
      <c r="N6" s="761"/>
      <c r="O6" s="762"/>
      <c r="P6" s="763"/>
      <c r="Q6" s="763"/>
      <c r="R6" s="763"/>
      <c r="S6" s="804"/>
      <c r="T6" s="805"/>
      <c r="U6" s="761"/>
      <c r="V6" s="762"/>
      <c r="W6" s="806"/>
      <c r="X6" s="881"/>
      <c r="Y6" s="882"/>
      <c r="Z6" s="883"/>
      <c r="AA6" s="1054"/>
      <c r="AB6" s="915"/>
    </row>
    <row r="7" spans="1:28" ht="15.75">
      <c r="A7" s="685" t="str">
        <f>DATA!B2</f>
        <v>I</v>
      </c>
      <c r="B7" s="686" t="str">
        <f>DATA!D2</f>
        <v>INFRASTRUKTUR</v>
      </c>
      <c r="C7" s="686"/>
      <c r="D7" s="686"/>
      <c r="E7" s="687"/>
      <c r="F7" s="688" t="e">
        <f>F8+#REF!+#REF!+#REF!+#REF!+#REF!+#REF!+#REF!+#REF!+#REF!</f>
        <v>#REF!</v>
      </c>
      <c r="G7" s="689" t="e">
        <f>G8+#REF!+#REF!+#REF!+#REF!+#REF!+#REF!+#REF!+#REF!+#REF!</f>
        <v>#REF!</v>
      </c>
      <c r="H7" s="689" t="e">
        <f>+H8+#REF!+#REF!+#REF!+#REF!+#REF!+#REF!+#REF!+#REF!</f>
        <v>#REF!</v>
      </c>
      <c r="I7" s="689" t="e">
        <f>+I8+#REF!+#REF!+#REF!+#REF!+#REF!+#REF!+#REF!+#REF!</f>
        <v>#REF!</v>
      </c>
      <c r="J7" s="764" t="e">
        <f>+J8+#REF!+#REF!+#REF!+#REF!+#REF!+#REF!+#REF!+#REF!</f>
        <v>#REF!</v>
      </c>
      <c r="K7" s="765"/>
      <c r="L7" s="766"/>
      <c r="M7" s="767" t="e">
        <f>+M8+#REF!+#REF!+#REF!+#REF!+#REF!+#REF!+#REF!+#REF!</f>
        <v>#REF!</v>
      </c>
      <c r="N7" s="767" t="e">
        <f>+N8+#REF!+#REF!+#REF!+#REF!+#REF!+#REF!+#REF!+#REF!</f>
        <v>#REF!</v>
      </c>
      <c r="O7" s="768" t="e">
        <f>+O8+#REF!+#REF!+#REF!+#REF!+#REF!</f>
        <v>#REF!</v>
      </c>
      <c r="P7" s="767">
        <f>P8+P19+P22</f>
        <v>2380000000</v>
      </c>
      <c r="Q7" s="767"/>
      <c r="R7" s="807"/>
      <c r="S7" s="808"/>
      <c r="T7" s="766" t="e">
        <f>+T8+#REF!+#REF!+#REF!+#REF!+#REF!+#REF!+#REF!+#REF!</f>
        <v>#REF!</v>
      </c>
      <c r="U7" s="767" t="s">
        <v>21</v>
      </c>
      <c r="V7" s="688" t="e">
        <f>G7-T7</f>
        <v>#REF!</v>
      </c>
      <c r="W7" s="809"/>
      <c r="X7" s="885"/>
      <c r="Y7" s="886"/>
      <c r="Z7" s="887"/>
      <c r="AA7" s="1055"/>
      <c r="AB7" s="915"/>
    </row>
    <row r="8" spans="1:28">
      <c r="A8" s="690"/>
      <c r="B8" s="730">
        <f>DATA!E2</f>
        <v>1</v>
      </c>
      <c r="C8" s="1025" t="str">
        <f>DATA!F2</f>
        <v>Kementerian Pekerjaan Umum dan Perumahan Rakyat</v>
      </c>
      <c r="D8" s="1025"/>
      <c r="E8" s="1026"/>
      <c r="F8" s="694"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P9+P12+P15+P17</f>
        <v>2075000000</v>
      </c>
      <c r="Q8" s="772"/>
      <c r="R8" s="810"/>
      <c r="S8" s="811"/>
      <c r="T8" s="771" t="e">
        <f>+#REF!+#REF!+#REF!+#REF!+T9+#REF!+#REF!+#REF!+#REF!+#REF!+#REF!+#REF!+#REF!+#REF!+#REF!</f>
        <v>#REF!</v>
      </c>
      <c r="U8" s="772" t="s">
        <v>21</v>
      </c>
      <c r="V8" s="694"/>
      <c r="W8" s="812"/>
      <c r="X8" s="889"/>
      <c r="Y8" s="890"/>
      <c r="Z8" s="891"/>
      <c r="AA8" s="1056"/>
      <c r="AB8" s="915"/>
    </row>
    <row r="9" spans="1:28" ht="27" customHeight="1">
      <c r="C9" s="1027" t="str">
        <f>'ALL-USD40.1M'!L42</f>
        <v>E</v>
      </c>
      <c r="D9" s="3844" t="str">
        <f>'ALL-USD40.1M'!M42</f>
        <v xml:space="preserve">Program Pembangunan Sistem Pengelolaan Air Limbah </v>
      </c>
      <c r="E9" s="3764"/>
      <c r="F9" s="697"/>
      <c r="G9" s="699"/>
      <c r="H9" s="699"/>
      <c r="I9" s="699"/>
      <c r="J9" s="699"/>
      <c r="K9" s="699"/>
      <c r="L9" s="699"/>
      <c r="M9" s="699"/>
      <c r="N9" s="699"/>
      <c r="O9" s="699"/>
      <c r="P9" s="774">
        <f>P10+P11</f>
        <v>525000000</v>
      </c>
      <c r="Q9" s="699"/>
      <c r="R9" s="873"/>
      <c r="S9" s="873"/>
      <c r="AB9" s="915"/>
    </row>
    <row r="10" spans="1:28" s="668" customFormat="1" ht="75">
      <c r="C10" s="839"/>
      <c r="D10" s="839">
        <v>1</v>
      </c>
      <c r="E10" s="927" t="str">
        <f>'ALL-USD40.1M'!N43</f>
        <v>Community Based Sanitation Program (SANIMAS)</v>
      </c>
      <c r="P10" s="775">
        <f>'ALL-USD40.1M'!Y43</f>
        <v>125000000</v>
      </c>
      <c r="R10" s="783" t="str">
        <f>'ALL-USD40.1M'!AA43</f>
        <v>Proses penyiapan RC</v>
      </c>
      <c r="S10" s="3288" t="str">
        <f>'ALL-USD40.1M'!AG43</f>
        <v>- Terdapat dalam dokumen COBP
- Co-financing dengan IDB USD 125 juta
- Terdapat hibah yang berasal dari ADB berupa Individual Consultant
- Direncanakan masuk dalam GB 2018</v>
      </c>
      <c r="T10" s="833"/>
      <c r="U10" s="833"/>
      <c r="V10" s="833"/>
      <c r="W10" s="833"/>
      <c r="X10" s="833"/>
      <c r="Y10" s="833"/>
      <c r="Z10" s="833"/>
      <c r="AA10" s="833"/>
      <c r="AB10" s="1033"/>
    </row>
    <row r="11" spans="1:28" s="668" customFormat="1" ht="75">
      <c r="C11" s="700"/>
      <c r="D11" s="717">
        <v>2</v>
      </c>
      <c r="E11" s="718" t="str">
        <f>'ALL-USD40.1M'!N48</f>
        <v>Sewerage System Development in Indonesia</v>
      </c>
      <c r="F11" s="719"/>
      <c r="G11" s="719"/>
      <c r="H11" s="719"/>
      <c r="I11" s="719"/>
      <c r="J11" s="719"/>
      <c r="K11" s="719"/>
      <c r="L11" s="719"/>
      <c r="M11" s="719"/>
      <c r="N11" s="719"/>
      <c r="O11" s="719"/>
      <c r="P11" s="1013">
        <f>'ALL-USD40.1M'!Y48</f>
        <v>400000000</v>
      </c>
      <c r="Q11" s="719"/>
      <c r="R11" s="784" t="str">
        <f>'ALL-USD40.1M'!AA48</f>
        <v>Proses penyusunan FS</v>
      </c>
      <c r="S11" s="842" t="str">
        <f>'ALL-USD40.1M'!AG48</f>
        <v>- Co-financing dengan IDB USD 325 juta, Bank Dunia USD 200 juta 
- Dalam tahapan PPTA/Project Identification
- Diusulkan untuk masuk dalam GB 2019 (Rapat pada tanggal 24 Januari 2019)</v>
      </c>
      <c r="T11" s="824"/>
      <c r="U11" s="824"/>
      <c r="V11" s="824"/>
      <c r="W11" s="824"/>
      <c r="X11" s="824"/>
      <c r="Y11" s="824"/>
      <c r="Z11" s="824"/>
      <c r="AA11" s="824"/>
      <c r="AB11" s="1033"/>
    </row>
    <row r="12" spans="1:28">
      <c r="C12" s="733" t="str">
        <f>'ALL-USD40.1M'!L65</f>
        <v>I</v>
      </c>
      <c r="D12" s="3722" t="str">
        <f>'ALL-USD40.1M'!M65</f>
        <v>Program Pengembangan dan Pengelolaan Irigasi</v>
      </c>
      <c r="E12" s="3723"/>
      <c r="F12" s="1028"/>
      <c r="G12" s="870"/>
      <c r="H12" s="870"/>
      <c r="I12" s="870"/>
      <c r="J12" s="870"/>
      <c r="K12" s="870"/>
      <c r="L12" s="870"/>
      <c r="M12" s="870"/>
      <c r="N12" s="870"/>
      <c r="O12" s="870"/>
      <c r="P12" s="910">
        <f>P13+P14</f>
        <v>1000000000</v>
      </c>
      <c r="Q12" s="1039"/>
      <c r="R12" s="1040"/>
      <c r="S12" s="1028"/>
      <c r="T12" s="965"/>
      <c r="U12" s="965"/>
      <c r="V12" s="965"/>
      <c r="W12" s="965"/>
      <c r="X12" s="965"/>
      <c r="Y12" s="965"/>
      <c r="Z12" s="965"/>
      <c r="AA12" s="926"/>
    </row>
    <row r="13" spans="1:28" s="669" customFormat="1" ht="60">
      <c r="C13" s="703"/>
      <c r="D13" s="999">
        <v>3</v>
      </c>
      <c r="E13" s="847" t="str">
        <f>'ALL-USD40.1M'!N66</f>
        <v>Integrated Participatory Development and Management of Irrigation Project - Phase I</v>
      </c>
      <c r="P13" s="776">
        <f>'ALL-USD40.1M'!Y66</f>
        <v>600000000</v>
      </c>
      <c r="R13" s="995" t="str">
        <f>'ALL-USD40.1M'!AA66</f>
        <v>- GB 2017
- DK tanggal 28 September 2016
- Signed LA 31 Juli 2017</v>
      </c>
      <c r="S13" s="844" t="str">
        <f>'ALL-USD40.1M'!AG66</f>
        <v>- Co- financing dengan AIF (Asia Infrastructure Fund) dan IFAD masing-masing USD 100 juta
- Persetujuan pinjaman sudah di Board Approval</v>
      </c>
      <c r="T13" s="1041"/>
      <c r="U13" s="1041"/>
      <c r="V13" s="1041"/>
      <c r="W13" s="1041"/>
      <c r="X13" s="1041"/>
      <c r="Y13" s="1041"/>
      <c r="Z13" s="1041"/>
      <c r="AA13" s="847"/>
    </row>
    <row r="14" spans="1:28" s="669" customFormat="1" ht="90">
      <c r="C14" s="703"/>
      <c r="D14" s="712">
        <v>4</v>
      </c>
      <c r="E14" s="722" t="str">
        <f>'ALL-USD40.1M'!N67</f>
        <v>Integrated Participatory Development and Management of Irrigation Project - Phase II</v>
      </c>
      <c r="F14" s="713"/>
      <c r="G14" s="713"/>
      <c r="H14" s="713"/>
      <c r="I14" s="713"/>
      <c r="J14" s="713"/>
      <c r="K14" s="713"/>
      <c r="L14" s="713"/>
      <c r="M14" s="713"/>
      <c r="N14" s="713"/>
      <c r="O14" s="713"/>
      <c r="P14" s="981">
        <f>'ALL-USD40.1M'!Y67</f>
        <v>400000000</v>
      </c>
      <c r="Q14" s="713"/>
      <c r="R14" s="841" t="str">
        <f>'ALL-USD40.1M'!AA67</f>
        <v>Belum proses</v>
      </c>
      <c r="S14" s="842" t="str">
        <f>'ALL-USD40.1M'!AG67</f>
        <v>- Persiapan masih jauh masih menunggu pelaksanaan IPDMIP Phase I
- Terdapat nilai pinjaman yang belum ada indikasi pendanaannya USD 100 juta. 
- Potensi ditunda
- Rencana dilaksanakan tahun 2018</v>
      </c>
      <c r="T14" s="1041"/>
      <c r="U14" s="1041"/>
      <c r="V14" s="1041"/>
      <c r="W14" s="1041"/>
      <c r="X14" s="1041"/>
      <c r="Y14" s="1041"/>
      <c r="Z14" s="1041"/>
      <c r="AA14" s="847"/>
    </row>
    <row r="15" spans="1:28">
      <c r="C15" s="733" t="str">
        <f>'ALL-USD40.1M'!L93</f>
        <v>L</v>
      </c>
      <c r="D15" s="3722" t="str">
        <f>'ALL-USD40.1M'!M93</f>
        <v>Program Mitigasi Terhadap Daya Rusak Air</v>
      </c>
      <c r="E15" s="3723"/>
      <c r="P15" s="3845">
        <f>P16</f>
        <v>200000000</v>
      </c>
      <c r="Q15" s="3722"/>
      <c r="R15" s="3733"/>
      <c r="S15" s="3723"/>
      <c r="T15" s="965"/>
      <c r="U15" s="965"/>
      <c r="V15" s="965"/>
      <c r="W15" s="965"/>
      <c r="X15" s="965"/>
      <c r="Y15" s="965"/>
      <c r="Z15" s="965"/>
      <c r="AA15" s="926"/>
    </row>
    <row r="16" spans="1:28">
      <c r="C16" s="702"/>
      <c r="D16" s="965">
        <v>5</v>
      </c>
      <c r="E16" s="1029" t="str">
        <f>'ALL-USD40.1M'!N98</f>
        <v>Flood Management in Selected River Basins Sector Project (Additional Financing)</v>
      </c>
      <c r="P16" s="535">
        <f>'ALL-USD40.1M'!Y98</f>
        <v>200000000</v>
      </c>
      <c r="R16" s="826" t="str">
        <f>'ALL-USD40.1M'!AA98</f>
        <v>Belum proses</v>
      </c>
      <c r="S16" s="820" t="str">
        <f>'ALL-USD40.1M'!AG98</f>
        <v>Terdapat dalam dokumen COBP</v>
      </c>
      <c r="T16" s="965"/>
      <c r="U16" s="965"/>
      <c r="V16" s="965"/>
      <c r="W16" s="965"/>
      <c r="X16" s="965"/>
      <c r="Y16" s="965"/>
      <c r="Z16" s="965"/>
      <c r="AA16" s="926"/>
    </row>
    <row r="17" spans="1:28">
      <c r="C17" s="733" t="str">
        <f>'ALL-USD40.1M'!L101</f>
        <v>M</v>
      </c>
      <c r="D17" s="3726" t="str">
        <f>'ALL-USD40.1M'!M101</f>
        <v xml:space="preserve">Program Pengelolaan Infrastruktur Sumber Daya Air </v>
      </c>
      <c r="E17" s="3725"/>
      <c r="F17" s="3726"/>
      <c r="G17" s="3730"/>
      <c r="H17" s="3728"/>
      <c r="I17" s="3730"/>
      <c r="J17" s="3728"/>
      <c r="K17" s="3730"/>
      <c r="L17" s="3728"/>
      <c r="M17" s="3730"/>
      <c r="N17" s="3728"/>
      <c r="O17" s="3730"/>
      <c r="P17" s="3789">
        <f>P18</f>
        <v>350000000</v>
      </c>
      <c r="Q17" s="3726"/>
      <c r="R17" s="3741"/>
      <c r="S17" s="3725"/>
      <c r="T17" s="965"/>
      <c r="U17" s="965"/>
      <c r="V17" s="965"/>
      <c r="W17" s="965"/>
      <c r="X17" s="965"/>
      <c r="Y17" s="965"/>
      <c r="Z17" s="965"/>
      <c r="AA17" s="926"/>
    </row>
    <row r="18" spans="1:28" s="668" customFormat="1">
      <c r="C18" s="700"/>
      <c r="D18" s="824">
        <v>6</v>
      </c>
      <c r="E18" s="701" t="str">
        <f>'ALL-USD40.1M'!N102</f>
        <v xml:space="preserve">Enhanced Water Security Investment Program    </v>
      </c>
      <c r="P18" s="275">
        <f>'ALL-USD40.1M'!Y102</f>
        <v>350000000</v>
      </c>
      <c r="Q18" s="824"/>
      <c r="R18" s="1042" t="str">
        <f>'ALL-USD40.1M'!AA102</f>
        <v>Belum proses</v>
      </c>
      <c r="S18" s="825" t="str">
        <f>'ALL-USD40.1M'!AG102</f>
        <v>Terdapat dalam dokumen COBP</v>
      </c>
      <c r="T18" s="824"/>
      <c r="U18" s="824"/>
      <c r="V18" s="824"/>
      <c r="W18" s="824"/>
      <c r="X18" s="824"/>
      <c r="Y18" s="824"/>
      <c r="Z18" s="824"/>
      <c r="AA18" s="927"/>
    </row>
    <row r="19" spans="1:28">
      <c r="A19" s="690"/>
      <c r="B19" s="850">
        <f>'ALL-USD40.1M'!K134</f>
        <v>6</v>
      </c>
      <c r="C19" s="1030" t="str">
        <f>'ALL-USD40.1M'!L134</f>
        <v xml:space="preserve">PT. PLN    </v>
      </c>
      <c r="D19" s="934"/>
      <c r="E19" s="1031"/>
      <c r="F19" s="1032" t="e">
        <f>#REF!+#REF!+#REF!+#REF!+F20+#REF!+#REF!+#REF!+#REF!+#REF!+#REF!+#REF!+#REF!+#REF!+#REF!</f>
        <v>#REF!</v>
      </c>
      <c r="G19" s="695" t="e">
        <f>+#REF!+#REF!+#REF!+#REF!+G20+#REF!+#REF!+#REF!+#REF!+#REF!+#REF!+#REF!+#REF!+#REF!+#REF!</f>
        <v>#REF!</v>
      </c>
      <c r="H19" s="695" t="e">
        <f>+#REF!+#REF!+#REF!+#REF!+H20+#REF!+#REF!+#REF!+#REF!+#REF!+#REF!+#REF!+#REF!+#REF!+#REF!</f>
        <v>#REF!</v>
      </c>
      <c r="I19" s="695" t="e">
        <f>+#REF!+#REF!+#REF!+#REF!+I20+#REF!+#REF!+#REF!+#REF!+#REF!+#REF!+#REF!+#REF!+#REF!+#REF!</f>
        <v>#REF!</v>
      </c>
      <c r="J19" s="769" t="e">
        <f>+#REF!+#REF!+#REF!+#REF!+J20+#REF!+#REF!+#REF!+#REF!+#REF!+#REF!+#REF!+#REF!+#REF!+#REF!</f>
        <v>#REF!</v>
      </c>
      <c r="K19" s="770"/>
      <c r="L19" s="771"/>
      <c r="M19" s="772" t="e">
        <f>+#REF!+#REF!+#REF!+#REF!+M20+#REF!+#REF!+#REF!+#REF!+#REF!+#REF!+#REF!+#REF!+#REF!+#REF!</f>
        <v>#REF!</v>
      </c>
      <c r="N19" s="772" t="e">
        <f>+#REF!+#REF!+#REF!+#REF!+N20+#REF!+#REF!+#REF!+#REF!+#REF!+#REF!+#REF!+#REF!+#REF!+#REF!</f>
        <v>#REF!</v>
      </c>
      <c r="O19" s="773" t="e">
        <f>+#REF!+#REF!+#REF!+#REF!+O20+#REF!+#REF!+#REF!+#REF!+#REF!+#REF!+#REF!+#REF!</f>
        <v>#REF!</v>
      </c>
      <c r="P19" s="772">
        <f>P20</f>
        <v>205000000</v>
      </c>
      <c r="Q19" s="773"/>
      <c r="R19" s="1043"/>
      <c r="S19" s="1044"/>
      <c r="T19" s="771" t="e">
        <f>+#REF!+#REF!+#REF!+#REF!+T20+#REF!+#REF!+#REF!+#REF!+#REF!+#REF!+#REF!+#REF!+#REF!+#REF!</f>
        <v>#REF!</v>
      </c>
      <c r="U19" s="772" t="s">
        <v>21</v>
      </c>
      <c r="V19" s="694"/>
      <c r="W19" s="812"/>
      <c r="X19" s="889"/>
      <c r="Y19" s="890"/>
      <c r="Z19" s="891"/>
      <c r="AA19" s="1057"/>
    </row>
    <row r="20" spans="1:28">
      <c r="C20" s="733" t="str">
        <f>'ALL-USD40.1M'!L135</f>
        <v>A</v>
      </c>
      <c r="D20" s="3726" t="str">
        <f>'ALL-USD40.1M'!M135</f>
        <v>Program Pembangunan Infrastruktur Ketenagalistrikan</v>
      </c>
      <c r="E20" s="3725"/>
      <c r="P20" s="774">
        <f>P21</f>
        <v>205000000</v>
      </c>
      <c r="Q20" s="817"/>
      <c r="R20" s="853"/>
      <c r="S20" s="854"/>
      <c r="T20" s="965"/>
      <c r="U20" s="965"/>
      <c r="V20" s="965"/>
      <c r="W20" s="965"/>
      <c r="X20" s="965"/>
      <c r="Y20" s="965"/>
      <c r="Z20" s="965"/>
      <c r="AA20" s="926"/>
    </row>
    <row r="21" spans="1:28" s="669" customFormat="1" ht="39.75" customHeight="1">
      <c r="C21" s="830"/>
      <c r="D21" s="704">
        <v>7</v>
      </c>
      <c r="E21" s="847" t="str">
        <f>'ALL-USD40.1M'!N143</f>
        <v>Sungai Penuh Geothermal Power Plant 1&amp;2 (2x55MW)</v>
      </c>
      <c r="P21" s="776">
        <f>'ALL-USD40.1M'!Y143</f>
        <v>205000000</v>
      </c>
      <c r="R21" s="1045" t="str">
        <f>'ALL-USD40.1M'!AA142</f>
        <v>Belum proses</v>
      </c>
      <c r="S21" s="832" t="e">
        <f>'ALL-USD40.1M'!#REF!</f>
        <v>#REF!</v>
      </c>
      <c r="T21" s="1041"/>
      <c r="U21" s="1041"/>
      <c r="V21" s="1041"/>
      <c r="W21" s="1041"/>
      <c r="X21" s="1041"/>
      <c r="Y21" s="1041"/>
      <c r="Z21" s="1041"/>
      <c r="AA21" s="847"/>
    </row>
    <row r="22" spans="1:28">
      <c r="B22" s="850">
        <f>'ALL-USD40.1M'!K151</f>
        <v>9</v>
      </c>
      <c r="C22" s="3737" t="str">
        <f>'ALL-USD40.1M'!L151</f>
        <v>PT. Sarana Multi Infrastruktur (PT. SMI)</v>
      </c>
      <c r="D22" s="3738"/>
      <c r="E22" s="3739"/>
      <c r="F22" s="742"/>
      <c r="G22" s="730"/>
      <c r="H22" s="730"/>
      <c r="I22" s="730"/>
      <c r="J22" s="730"/>
      <c r="K22" s="730"/>
      <c r="L22" s="730"/>
      <c r="M22" s="730"/>
      <c r="N22" s="730"/>
      <c r="O22" s="730"/>
      <c r="P22" s="790">
        <f>P23</f>
        <v>100000000</v>
      </c>
      <c r="Q22" s="850"/>
      <c r="R22" s="1046"/>
      <c r="S22" s="1047"/>
      <c r="T22" s="965"/>
      <c r="U22" s="965"/>
      <c r="V22" s="965"/>
      <c r="W22" s="965"/>
      <c r="X22" s="965"/>
      <c r="Y22" s="965"/>
      <c r="Z22" s="965"/>
      <c r="AA22" s="926"/>
    </row>
    <row r="23" spans="1:28">
      <c r="C23" s="853" t="str">
        <f>'ALL-USD40.1M'!L152</f>
        <v>A</v>
      </c>
      <c r="D23" s="3728" t="str">
        <f>'ALL-USD40.1M'!M152</f>
        <v xml:space="preserve">Program Pembiayaan Pembangunan Infrastruktur </v>
      </c>
      <c r="E23" s="3725"/>
      <c r="F23" s="3726"/>
      <c r="G23" s="3730"/>
      <c r="H23" s="3728"/>
      <c r="I23" s="3730"/>
      <c r="J23" s="3728"/>
      <c r="K23" s="3730"/>
      <c r="L23" s="3728"/>
      <c r="M23" s="3730"/>
      <c r="N23" s="3728"/>
      <c r="O23" s="3730"/>
      <c r="P23" s="3789">
        <f>P24</f>
        <v>100000000</v>
      </c>
      <c r="Q23" s="3745"/>
      <c r="R23" s="3846"/>
      <c r="S23" s="3847"/>
      <c r="T23" s="897"/>
      <c r="U23" s="897"/>
      <c r="V23" s="897"/>
      <c r="W23" s="897"/>
      <c r="X23" s="897"/>
      <c r="Y23" s="897"/>
      <c r="Z23" s="897"/>
      <c r="AA23" s="1058"/>
    </row>
    <row r="24" spans="1:28" s="668" customFormat="1" ht="45">
      <c r="C24" s="1033"/>
      <c r="D24" s="725">
        <v>8</v>
      </c>
      <c r="E24" s="704" t="str">
        <f>'ALL-USD40.1M'!N153</f>
        <v>Increasing PT Indonesia Infrastructure Finance Financing Capacity in Accelerating Infrastructure Development in Indonesia</v>
      </c>
      <c r="P24" s="775">
        <f>'ALL-USD40.1M'!Y154</f>
        <v>100000000</v>
      </c>
      <c r="R24" s="1048" t="str">
        <f>'ALL-USD40.1M'!AA154</f>
        <v>Belum proses</v>
      </c>
      <c r="S24" s="844" t="str">
        <f>'ALL-USD40.1M'!AG154</f>
        <v>- Terdapat dalam dokumen COBP
- Co-financing dengan Bank Dunia USD 200 juta
- Direncanakan masuk GB 2019</v>
      </c>
    </row>
    <row r="25" spans="1:28" ht="15.75">
      <c r="A25" s="685" t="s">
        <v>960</v>
      </c>
      <c r="B25" s="865" t="str">
        <f>DATA!D160</f>
        <v>NON-INFRASTRUKTUR</v>
      </c>
      <c r="C25" s="866"/>
      <c r="D25" s="686"/>
      <c r="E25" s="867"/>
      <c r="F25" s="747"/>
      <c r="G25" s="686"/>
      <c r="H25" s="686"/>
      <c r="I25" s="686"/>
      <c r="J25" s="686"/>
      <c r="K25" s="686"/>
      <c r="L25" s="686"/>
      <c r="M25" s="686"/>
      <c r="N25" s="686"/>
      <c r="O25" s="686"/>
      <c r="P25" s="767">
        <f>P26</f>
        <v>204150200</v>
      </c>
      <c r="Q25" s="865"/>
      <c r="R25" s="1049"/>
      <c r="S25" s="1050"/>
    </row>
    <row r="26" spans="1:28">
      <c r="B26" s="850">
        <f>'ALL-USD40.1M'!K157</f>
        <v>10</v>
      </c>
      <c r="C26" s="876" t="str">
        <f>'ALL-USD40.1M'!L157</f>
        <v>Kementerian Riset, Teknologi, dan Pendidikan Tinggi</v>
      </c>
      <c r="D26" s="729"/>
      <c r="E26" s="1034"/>
      <c r="P26" s="797">
        <f>P27</f>
        <v>204150200</v>
      </c>
      <c r="Q26" s="729"/>
      <c r="R26" s="736"/>
      <c r="S26" s="1006"/>
    </row>
    <row r="27" spans="1:28" ht="25.5" customHeight="1">
      <c r="C27" s="853" t="str">
        <f>'ALL-USD40.1M'!L158</f>
        <v>A</v>
      </c>
      <c r="D27" s="3718" t="str">
        <f>'ALL-USD40.1M'!M158</f>
        <v xml:space="preserve">Program Peningkatan Akses, Kualitas, Relevansi, dan Daya Saing Pendidikan Tinggi </v>
      </c>
      <c r="E27" s="3725"/>
      <c r="F27" s="697"/>
      <c r="G27" s="699"/>
      <c r="H27" s="699"/>
      <c r="I27" s="699"/>
      <c r="J27" s="699"/>
      <c r="K27" s="699"/>
      <c r="L27" s="699"/>
      <c r="M27" s="699"/>
      <c r="N27" s="699"/>
      <c r="O27" s="699"/>
      <c r="P27" s="945">
        <f>P28+P29+P30+P31</f>
        <v>204150200</v>
      </c>
      <c r="Q27" s="873"/>
      <c r="R27" s="873"/>
      <c r="S27" s="979"/>
    </row>
    <row r="28" spans="1:28" s="669" customFormat="1" ht="38.25" customHeight="1">
      <c r="C28" s="940"/>
      <c r="D28" s="3848">
        <v>9</v>
      </c>
      <c r="E28" s="847" t="str">
        <f>'ALL-USD40.1M'!N163</f>
        <v>Capacity Building Programmes for Infrastructure in Malikussaleh University</v>
      </c>
      <c r="P28" s="841">
        <f>'ALL-USD40.1M'!Y163</f>
        <v>48543100</v>
      </c>
      <c r="Q28" s="713"/>
      <c r="R28" s="842" t="str">
        <f>'ALL-USD40.1M'!AA163</f>
        <v>Sudah terdapat RC</v>
      </c>
      <c r="S28" s="842" t="str">
        <f>'ALL-USD40.1M'!AG163</f>
        <v>Terdapat dalam dokumen COBP</v>
      </c>
      <c r="T28" s="1051"/>
      <c r="U28" s="1051"/>
      <c r="V28" s="1051"/>
      <c r="W28" s="1051"/>
      <c r="X28" s="1051"/>
      <c r="Y28" s="1051"/>
      <c r="Z28" s="1051"/>
      <c r="AA28" s="1015"/>
      <c r="AB28" s="940"/>
    </row>
    <row r="29" spans="1:28">
      <c r="C29" s="915"/>
      <c r="D29" s="3849"/>
      <c r="E29" s="1035" t="str">
        <f>'ALL-USD40.1M'!N164</f>
        <v>Development and Upgrading of University of Jambi</v>
      </c>
      <c r="P29" s="952">
        <f>'ALL-USD40.1M'!Y164</f>
        <v>53879300</v>
      </c>
      <c r="Q29" s="965"/>
      <c r="R29" s="1017" t="str">
        <f>'ALL-USD40.1M'!AA164</f>
        <v>Sudah terdapat RC</v>
      </c>
      <c r="S29" s="1017" t="str">
        <f>'ALL-USD40.1M'!AG164</f>
        <v>Terdapat dalam dokumen COBP</v>
      </c>
      <c r="T29" s="965"/>
      <c r="U29" s="965"/>
      <c r="V29" s="965"/>
      <c r="W29" s="965"/>
      <c r="X29" s="965"/>
      <c r="Y29" s="965"/>
      <c r="Z29" s="965"/>
      <c r="AA29" s="926"/>
    </row>
    <row r="30" spans="1:28" ht="30">
      <c r="C30" s="915"/>
      <c r="D30" s="3849"/>
      <c r="E30" s="751" t="str">
        <f>'ALL-USD40.1M'!N166</f>
        <v xml:space="preserve">Integrated Multi Campus-University for Tomorrow’s Education in Indonesia University of Education </v>
      </c>
      <c r="P30" s="792">
        <f>'ALL-USD40.1M'!Y166</f>
        <v>51777700</v>
      </c>
      <c r="Q30" s="709"/>
      <c r="R30" s="823" t="str">
        <f>'ALL-USD40.1M'!AA166</f>
        <v>Sudah terdapat RC</v>
      </c>
      <c r="S30" s="823" t="str">
        <f>'ALL-USD40.1M'!AG166</f>
        <v>Terdapat dalam dokumen COBP</v>
      </c>
      <c r="T30" s="965"/>
      <c r="U30" s="965"/>
      <c r="V30" s="965"/>
      <c r="W30" s="965"/>
      <c r="X30" s="965"/>
      <c r="Y30" s="965"/>
      <c r="Z30" s="965"/>
      <c r="AA30" s="926"/>
    </row>
    <row r="31" spans="1:28">
      <c r="B31" s="926"/>
      <c r="C31" s="915"/>
      <c r="D31" s="3849"/>
      <c r="E31" s="856" t="str">
        <f>'ALL-USD40.1M'!N167</f>
        <v xml:space="preserve">Higher Education Quality Improvement of the University of Riau </v>
      </c>
      <c r="P31" s="1036">
        <f>'ALL-USD40.1M'!Y167</f>
        <v>49950100</v>
      </c>
      <c r="Q31" s="897"/>
      <c r="R31" s="1052" t="str">
        <f>'ALL-USD40.1M'!AA167</f>
        <v>Sudah terdapat RC</v>
      </c>
      <c r="S31" s="1052" t="str">
        <f>'ALL-USD40.1M'!AG167</f>
        <v>Terdapat dalam dokumen COBP</v>
      </c>
      <c r="T31" s="965"/>
      <c r="U31" s="965"/>
      <c r="V31" s="965"/>
      <c r="W31" s="965"/>
      <c r="X31" s="965"/>
      <c r="Y31" s="965"/>
      <c r="Z31" s="965"/>
      <c r="AA31" s="926"/>
    </row>
    <row r="32" spans="1:28">
      <c r="B32" s="3801" t="s">
        <v>477</v>
      </c>
      <c r="C32" s="3801"/>
      <c r="D32" s="3801"/>
      <c r="E32" s="3802"/>
      <c r="F32" s="602"/>
      <c r="G32" s="602"/>
      <c r="H32" s="602"/>
      <c r="I32" s="602"/>
      <c r="J32" s="602"/>
      <c r="K32" s="602"/>
      <c r="L32" s="602"/>
      <c r="M32" s="602"/>
      <c r="N32" s="602"/>
      <c r="O32" s="602"/>
      <c r="P32" s="1037">
        <f>P25+P7</f>
        <v>2584150200</v>
      </c>
      <c r="Q32" s="1007"/>
      <c r="R32" s="1024"/>
      <c r="S32" s="1024"/>
      <c r="T32" s="897"/>
      <c r="U32" s="897"/>
      <c r="V32" s="897"/>
      <c r="W32" s="897"/>
      <c r="X32" s="897"/>
      <c r="Y32" s="897"/>
      <c r="Z32" s="897"/>
      <c r="AA32" s="1058"/>
    </row>
    <row r="33" spans="16:16">
      <c r="P33" s="535"/>
    </row>
    <row r="34" spans="16:16">
      <c r="P34" s="535"/>
    </row>
    <row r="35" spans="16:16">
      <c r="P35" s="535"/>
    </row>
    <row r="36" spans="16:16">
      <c r="P36" s="535"/>
    </row>
    <row r="37" spans="16:16">
      <c r="P37" s="535"/>
    </row>
    <row r="38" spans="16:16">
      <c r="P38" s="535"/>
    </row>
    <row r="39" spans="16:16">
      <c r="P39" s="535"/>
    </row>
    <row r="40" spans="16:16">
      <c r="P40" s="535"/>
    </row>
    <row r="41" spans="16:16">
      <c r="P41" s="535"/>
    </row>
    <row r="42" spans="16:16">
      <c r="P42" s="535"/>
    </row>
    <row r="43" spans="16:16">
      <c r="P43" s="535"/>
    </row>
    <row r="44" spans="16:16">
      <c r="P44" s="535"/>
    </row>
    <row r="45" spans="16:16">
      <c r="P45" s="535"/>
    </row>
    <row r="46" spans="16:16">
      <c r="P46" s="535"/>
    </row>
    <row r="47" spans="16:16">
      <c r="P47" s="535"/>
    </row>
    <row r="48" spans="16:16">
      <c r="P48" s="535"/>
    </row>
    <row r="49" spans="16:16">
      <c r="P49" s="535"/>
    </row>
    <row r="50" spans="16:16">
      <c r="P50" s="535"/>
    </row>
    <row r="51" spans="16:16">
      <c r="P51" s="535"/>
    </row>
    <row r="52" spans="16:16">
      <c r="P52" s="535"/>
    </row>
    <row r="53" spans="16:16">
      <c r="P53" s="535"/>
    </row>
    <row r="54" spans="16:16">
      <c r="P54" s="535"/>
    </row>
  </sheetData>
  <mergeCells count="42">
    <mergeCell ref="N23:O23"/>
    <mergeCell ref="P23:Q23"/>
    <mergeCell ref="R23:S23"/>
    <mergeCell ref="D27:E27"/>
    <mergeCell ref="B32:E32"/>
    <mergeCell ref="D28:D31"/>
    <mergeCell ref="D23:E23"/>
    <mergeCell ref="F23:G23"/>
    <mergeCell ref="H23:I23"/>
    <mergeCell ref="J23:K23"/>
    <mergeCell ref="L23:M23"/>
    <mergeCell ref="N17:O17"/>
    <mergeCell ref="P17:Q17"/>
    <mergeCell ref="R17:S17"/>
    <mergeCell ref="D20:E20"/>
    <mergeCell ref="C22:E22"/>
    <mergeCell ref="D17:E17"/>
    <mergeCell ref="F17:G17"/>
    <mergeCell ref="H17:I17"/>
    <mergeCell ref="J17:K17"/>
    <mergeCell ref="L17:M17"/>
    <mergeCell ref="D9:E9"/>
    <mergeCell ref="D12:E12"/>
    <mergeCell ref="D15:E15"/>
    <mergeCell ref="P15:Q15"/>
    <mergeCell ref="R15:S15"/>
    <mergeCell ref="A1:AA1"/>
    <mergeCell ref="A2:S2"/>
    <mergeCell ref="L4:O4"/>
    <mergeCell ref="T4:V4"/>
    <mergeCell ref="W4:AA4"/>
    <mergeCell ref="F4:F5"/>
    <mergeCell ref="G4:G5"/>
    <mergeCell ref="H4:H5"/>
    <mergeCell ref="I4:I5"/>
    <mergeCell ref="J4:J5"/>
    <mergeCell ref="K4:K5"/>
    <mergeCell ref="P4:P5"/>
    <mergeCell ref="Q4:Q5"/>
    <mergeCell ref="R4:R5"/>
    <mergeCell ref="S4:S5"/>
    <mergeCell ref="A4:E5"/>
  </mergeCells>
  <pageMargins left="0.69930555555555596" right="0.69930555555555596"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AB47"/>
  <sheetViews>
    <sheetView zoomScale="77" zoomScaleNormal="77" workbookViewId="0">
      <selection activeCell="S24" sqref="S24"/>
    </sheetView>
  </sheetViews>
  <sheetFormatPr defaultColWidth="9" defaultRowHeight="15"/>
  <cols>
    <col min="1" max="1" width="2.85546875" customWidth="1"/>
    <col min="2" max="2" width="4.5703125" customWidth="1"/>
    <col min="3" max="3" width="2.85546875" customWidth="1"/>
    <col min="4" max="4" width="4.85546875" customWidth="1"/>
    <col min="5" max="5" width="68.140625" customWidth="1"/>
    <col min="6" max="15" width="9" hidden="1" customWidth="1"/>
    <col min="16" max="16" width="24" customWidth="1"/>
    <col min="17" max="17" width="5.140625" hidden="1" customWidth="1"/>
    <col min="18" max="18" width="25" customWidth="1"/>
    <col min="19" max="19" width="54.28515625" customWidth="1"/>
    <col min="20" max="27" width="9" hidden="1" customWidth="1"/>
  </cols>
  <sheetData>
    <row r="1" spans="1:27" ht="18">
      <c r="A1" s="3708"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row>
    <row r="2" spans="1:27" ht="18">
      <c r="A2" s="3708" t="s">
        <v>58</v>
      </c>
      <c r="B2" s="3697"/>
      <c r="C2" s="3697"/>
      <c r="D2" s="3697"/>
      <c r="E2" s="3697"/>
      <c r="F2" s="3697"/>
      <c r="G2" s="3697"/>
      <c r="H2" s="3697"/>
      <c r="I2" s="3697"/>
      <c r="J2" s="3697"/>
      <c r="K2" s="3697"/>
      <c r="L2" s="3697"/>
      <c r="M2" s="3697"/>
      <c r="N2" s="3697"/>
      <c r="O2" s="3697"/>
      <c r="P2" s="3697"/>
      <c r="Q2" s="3697"/>
      <c r="R2" s="3697"/>
      <c r="S2" s="3697"/>
      <c r="T2" s="671"/>
      <c r="U2" s="671"/>
      <c r="V2" s="671"/>
      <c r="W2" s="671"/>
      <c r="X2" s="671"/>
      <c r="Y2" s="671"/>
      <c r="Z2" s="671"/>
      <c r="AA2" s="671"/>
    </row>
    <row r="3" spans="1:27">
      <c r="A3" s="672"/>
      <c r="B3" s="673"/>
      <c r="C3" s="673"/>
      <c r="D3" s="673"/>
      <c r="E3" s="674"/>
      <c r="F3" s="675"/>
      <c r="G3" s="675"/>
      <c r="H3" s="676"/>
      <c r="I3" s="676"/>
      <c r="J3" s="675"/>
      <c r="K3" s="675"/>
      <c r="L3" s="754"/>
      <c r="M3" s="675"/>
      <c r="N3" s="675"/>
      <c r="O3" s="675"/>
      <c r="P3" s="675"/>
      <c r="Q3" s="675"/>
      <c r="R3" s="675"/>
      <c r="S3" s="675"/>
      <c r="T3" s="674"/>
      <c r="U3" s="674"/>
      <c r="V3" s="674"/>
      <c r="W3" s="754"/>
      <c r="X3" s="754"/>
      <c r="Y3" s="754"/>
      <c r="Z3" s="754"/>
      <c r="AA3" s="878"/>
    </row>
    <row r="4" spans="1:27" ht="16.5" customHeight="1">
      <c r="A4" s="3811" t="s">
        <v>2</v>
      </c>
      <c r="B4" s="3812"/>
      <c r="C4" s="3812"/>
      <c r="D4" s="3812"/>
      <c r="E4" s="3812"/>
      <c r="F4" s="3807" t="s">
        <v>1382</v>
      </c>
      <c r="G4" s="3804" t="s">
        <v>1383</v>
      </c>
      <c r="H4" s="3808" t="s">
        <v>1082</v>
      </c>
      <c r="I4" s="3808" t="s">
        <v>1083</v>
      </c>
      <c r="J4" s="3809" t="s">
        <v>1384</v>
      </c>
      <c r="K4" s="3810" t="s">
        <v>1085</v>
      </c>
      <c r="L4" s="3803" t="s">
        <v>1088</v>
      </c>
      <c r="M4" s="3768"/>
      <c r="N4" s="3768"/>
      <c r="O4" s="3769"/>
      <c r="P4" s="3804" t="s">
        <v>1136</v>
      </c>
      <c r="Q4" s="3804" t="s">
        <v>7</v>
      </c>
      <c r="R4" s="3804" t="s">
        <v>1137</v>
      </c>
      <c r="S4" s="3805" t="s">
        <v>10</v>
      </c>
      <c r="T4" s="3713" t="s">
        <v>1089</v>
      </c>
      <c r="U4" s="3768"/>
      <c r="V4" s="3769"/>
      <c r="W4" s="3716" t="s">
        <v>1086</v>
      </c>
      <c r="X4" s="3768"/>
      <c r="Y4" s="3768"/>
      <c r="Z4" s="3768"/>
      <c r="AA4" s="3770"/>
    </row>
    <row r="5" spans="1:27" ht="0.75" customHeight="1">
      <c r="A5" s="3813"/>
      <c r="B5" s="3786"/>
      <c r="C5" s="3786"/>
      <c r="D5" s="3786"/>
      <c r="E5" s="3786"/>
      <c r="F5" s="3772"/>
      <c r="G5" s="3774"/>
      <c r="H5" s="3774"/>
      <c r="I5" s="3774"/>
      <c r="J5" s="3777"/>
      <c r="K5" s="3779"/>
      <c r="L5" s="755" t="s">
        <v>11</v>
      </c>
      <c r="M5" s="756" t="s">
        <v>507</v>
      </c>
      <c r="N5" s="756" t="s">
        <v>1090</v>
      </c>
      <c r="O5" s="757" t="s">
        <v>509</v>
      </c>
      <c r="P5" s="3774"/>
      <c r="Q5" s="3774"/>
      <c r="R5" s="3774"/>
      <c r="S5" s="3806"/>
      <c r="T5" s="755" t="s">
        <v>507</v>
      </c>
      <c r="U5" s="802" t="s">
        <v>510</v>
      </c>
      <c r="V5" s="757" t="s">
        <v>511</v>
      </c>
      <c r="W5" s="803" t="s">
        <v>550</v>
      </c>
      <c r="X5" s="755" t="s">
        <v>1091</v>
      </c>
      <c r="Y5" s="802" t="s">
        <v>15</v>
      </c>
      <c r="Z5" s="879" t="s">
        <v>1092</v>
      </c>
      <c r="AA5" s="880" t="s">
        <v>511</v>
      </c>
    </row>
    <row r="6" spans="1:27">
      <c r="A6" s="679"/>
      <c r="B6" s="680"/>
      <c r="C6" s="680"/>
      <c r="D6" s="680"/>
      <c r="E6" s="681"/>
      <c r="F6" s="682"/>
      <c r="G6" s="683"/>
      <c r="H6" s="684"/>
      <c r="I6" s="684"/>
      <c r="J6" s="758"/>
      <c r="K6" s="759"/>
      <c r="L6" s="760"/>
      <c r="M6" s="761"/>
      <c r="N6" s="761"/>
      <c r="O6" s="762"/>
      <c r="P6" s="763"/>
      <c r="Q6" s="763"/>
      <c r="R6" s="763"/>
      <c r="S6" s="804"/>
      <c r="T6" s="805"/>
      <c r="U6" s="761"/>
      <c r="V6" s="762"/>
      <c r="W6" s="806"/>
      <c r="X6" s="881"/>
      <c r="Y6" s="882"/>
      <c r="Z6" s="883"/>
      <c r="AA6" s="884"/>
    </row>
    <row r="7" spans="1:27" ht="15.75">
      <c r="A7" s="685" t="str">
        <f>DATA!B2</f>
        <v>I</v>
      </c>
      <c r="B7" s="686" t="str">
        <f>DATA!D2</f>
        <v>INFRASTRUKTUR</v>
      </c>
      <c r="C7" s="686"/>
      <c r="D7" s="686"/>
      <c r="E7" s="687"/>
      <c r="F7" s="688" t="e">
        <f>F8+#REF!+#REF!+#REF!+#REF!+#REF!+#REF!+#REF!+#REF!+#REF!</f>
        <v>#REF!</v>
      </c>
      <c r="G7" s="689" t="e">
        <f>G8+#REF!+#REF!+#REF!+#REF!+#REF!+#REF!+#REF!+#REF!+#REF!</f>
        <v>#REF!</v>
      </c>
      <c r="H7" s="689" t="e">
        <f>+H8+#REF!+#REF!+#REF!+#REF!+#REF!+#REF!+#REF!+#REF!</f>
        <v>#REF!</v>
      </c>
      <c r="I7" s="689" t="e">
        <f>+I8+#REF!+#REF!+#REF!+#REF!+#REF!+#REF!+#REF!+#REF!</f>
        <v>#REF!</v>
      </c>
      <c r="J7" s="764" t="e">
        <f>+J8+#REF!+#REF!+#REF!+#REF!+#REF!+#REF!+#REF!+#REF!</f>
        <v>#REF!</v>
      </c>
      <c r="K7" s="765"/>
      <c r="L7" s="766"/>
      <c r="M7" s="767" t="e">
        <f>+M8+#REF!+#REF!+#REF!+#REF!+#REF!+#REF!+#REF!+#REF!</f>
        <v>#REF!</v>
      </c>
      <c r="N7" s="767" t="e">
        <f>+N8+#REF!+#REF!+#REF!+#REF!+#REF!+#REF!+#REF!+#REF!</f>
        <v>#REF!</v>
      </c>
      <c r="O7" s="768" t="e">
        <f>+O8+#REF!+#REF!+#REF!+#REF!+#REF!</f>
        <v>#REF!</v>
      </c>
      <c r="P7" s="767">
        <f>P8</f>
        <v>1083000000</v>
      </c>
      <c r="Q7" s="767"/>
      <c r="R7" s="807"/>
      <c r="S7" s="808"/>
      <c r="T7" s="766" t="e">
        <f>+T8+#REF!+#REF!+#REF!+#REF!+#REF!+#REF!+#REF!+#REF!</f>
        <v>#REF!</v>
      </c>
      <c r="U7" s="767" t="s">
        <v>21</v>
      </c>
      <c r="V7" s="688" t="e">
        <f>G7-T7</f>
        <v>#REF!</v>
      </c>
      <c r="W7" s="809"/>
      <c r="X7" s="885"/>
      <c r="Y7" s="886"/>
      <c r="Z7" s="887"/>
      <c r="AA7" s="888"/>
    </row>
    <row r="8" spans="1:27">
      <c r="A8" s="690"/>
      <c r="B8" s="730">
        <f>DATA!E2</f>
        <v>1</v>
      </c>
      <c r="C8" s="692" t="str">
        <f>DATA!F2</f>
        <v>Kementerian Pekerjaan Umum dan Perumahan Rakyat</v>
      </c>
      <c r="D8" s="692"/>
      <c r="E8" s="693"/>
      <c r="F8" s="694"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P9+P12+P15</f>
        <v>1083000000</v>
      </c>
      <c r="Q8" s="772"/>
      <c r="R8" s="810"/>
      <c r="S8" s="811"/>
      <c r="T8" s="771" t="e">
        <f>+#REF!+#REF!+#REF!+#REF!+T9+#REF!+#REF!+#REF!+#REF!+#REF!+#REF!+#REF!+#REF!+#REF!+#REF!</f>
        <v>#REF!</v>
      </c>
      <c r="U8" s="772" t="s">
        <v>21</v>
      </c>
      <c r="V8" s="694"/>
      <c r="W8" s="812"/>
      <c r="X8" s="889"/>
      <c r="Y8" s="890"/>
      <c r="Z8" s="891"/>
      <c r="AA8" s="892"/>
    </row>
    <row r="9" spans="1:27" ht="27" customHeight="1">
      <c r="A9" s="926"/>
      <c r="C9" s="699" t="str">
        <f>'ALL-USD40.1M'!L20</f>
        <v>C</v>
      </c>
      <c r="D9" s="3728" t="str">
        <f>'ALL-USD40.1M'!M20</f>
        <v>Program Pembangunan / Peningkatan Jalan</v>
      </c>
      <c r="E9" s="3730"/>
      <c r="F9" s="699"/>
      <c r="G9" s="699"/>
      <c r="H9" s="699"/>
      <c r="I9" s="699"/>
      <c r="J9" s="699"/>
      <c r="K9" s="699"/>
      <c r="L9" s="699"/>
      <c r="M9" s="699"/>
      <c r="N9" s="699"/>
      <c r="O9" s="699"/>
      <c r="P9" s="774">
        <f>P10+P11</f>
        <v>375000000</v>
      </c>
      <c r="Q9" s="699"/>
      <c r="R9" s="699"/>
      <c r="S9" s="873"/>
    </row>
    <row r="10" spans="1:27" s="668" customFormat="1" ht="45">
      <c r="A10" s="927"/>
      <c r="B10" s="700"/>
      <c r="C10" s="839"/>
      <c r="D10" s="839">
        <v>1</v>
      </c>
      <c r="E10" s="839" t="str">
        <f>'ALL-USD40.1M'!N24</f>
        <v>National Road Improvement in West and South Kalimantan</v>
      </c>
      <c r="P10" s="1008">
        <f>'ALL-USD40.1M'!Y24</f>
        <v>125000000</v>
      </c>
      <c r="R10" s="775" t="str">
        <f>'ALL-USD40.1M'!AA24</f>
        <v>Belum proses</v>
      </c>
      <c r="S10" s="841" t="str">
        <f>'ALL-USD40.1M'!AG24</f>
        <v>- Terdapat dalam dokumen MCPS IDB
- Co-financing sebagian dengan SFD dengan (Nominal pinjaman belum dikonfirmasi antara IDB-SFD)</v>
      </c>
    </row>
    <row r="11" spans="1:27" s="668" customFormat="1">
      <c r="A11" s="927"/>
      <c r="B11" s="700"/>
      <c r="C11" s="700"/>
      <c r="D11" s="717">
        <v>2</v>
      </c>
      <c r="E11" s="717" t="str">
        <f>'ALL-USD40.1M'!N28</f>
        <v>Road Improvement Project in Sulawesi Island and Major Cities</v>
      </c>
      <c r="F11" s="719"/>
      <c r="G11" s="719"/>
      <c r="H11" s="719"/>
      <c r="I11" s="719"/>
      <c r="J11" s="719"/>
      <c r="K11" s="719"/>
      <c r="L11" s="719"/>
      <c r="M11" s="719"/>
      <c r="N11" s="719"/>
      <c r="O11" s="719"/>
      <c r="P11" s="1009">
        <f>'ALL-USD40.1M'!Y28</f>
        <v>250000000</v>
      </c>
      <c r="Q11" s="719"/>
      <c r="R11" s="1013" t="str">
        <f>'ALL-USD40.1M'!AA27</f>
        <v>Belum proses</v>
      </c>
      <c r="S11" s="842" t="str">
        <f>'ALL-USD40.1M'!AG28</f>
        <v>Terdapat dalam dokumen MCPS</v>
      </c>
    </row>
    <row r="12" spans="1:27">
      <c r="A12" s="926"/>
      <c r="B12" s="702"/>
      <c r="C12" s="733" t="str">
        <f>'ALL-USD40.1M'!L42</f>
        <v>E</v>
      </c>
      <c r="D12" s="3722" t="str">
        <f>'ALL-USD40.1M'!M42</f>
        <v xml:space="preserve">Program Pembangunan Sistem Pengelolaan Air Limbah </v>
      </c>
      <c r="E12" s="3815"/>
      <c r="F12" s="870"/>
      <c r="G12" s="870"/>
      <c r="H12" s="870"/>
      <c r="I12" s="870"/>
      <c r="J12" s="870"/>
      <c r="K12" s="870"/>
      <c r="L12" s="870"/>
      <c r="M12" s="870"/>
      <c r="N12" s="870"/>
      <c r="O12" s="870"/>
      <c r="P12" s="1010">
        <f>P13+P14</f>
        <v>450000000</v>
      </c>
      <c r="Q12" s="1014"/>
      <c r="R12" s="871"/>
      <c r="S12" s="871"/>
    </row>
    <row r="13" spans="1:27" s="669" customFormat="1" ht="45">
      <c r="A13" s="847"/>
      <c r="B13" s="703"/>
      <c r="C13" s="703"/>
      <c r="D13" s="999">
        <v>3</v>
      </c>
      <c r="E13" s="1000" t="str">
        <f>'ALL-USD40.1M'!N43</f>
        <v>Community Based Sanitation Program (SANIMAS)</v>
      </c>
      <c r="P13" s="781">
        <f>'ALL-USD40.1M'!Y44</f>
        <v>125000000</v>
      </c>
      <c r="Q13" s="1015"/>
      <c r="R13" s="1016" t="str">
        <f>'ALL-USD40.1M'!AA44</f>
        <v>Proses penyiapan RC</v>
      </c>
      <c r="S13" s="840" t="str">
        <f>'ALL-USD40.1M'!AG44</f>
        <v>- Terdapat dalam dokumen MCPS
- Co-financing dengan ADB USD 125 juta
- Pernah dibahas dalam rapat 1 Nov 2017</v>
      </c>
    </row>
    <row r="14" spans="1:27" s="669" customFormat="1" ht="45">
      <c r="A14" s="847"/>
      <c r="B14" s="703"/>
      <c r="C14" s="703"/>
      <c r="D14" s="830">
        <v>4</v>
      </c>
      <c r="E14" s="669" t="str">
        <f>'ALL-USD40.1M'!N48</f>
        <v>Sewerage System Development in Indonesia</v>
      </c>
      <c r="P14" s="1011">
        <f>'ALL-USD40.1M'!Y50</f>
        <v>325000000</v>
      </c>
      <c r="Q14" s="847"/>
      <c r="R14" s="781" t="str">
        <f>'ALL-USD40.1M'!AA50</f>
        <v>Belum proses</v>
      </c>
      <c r="S14" s="841" t="str">
        <f>'ALL-USD40.1M'!AG50</f>
        <v xml:space="preserve">- Terdapat dalam dokumen MCPS
- Co-financing dengan ADB USD 400 juta, Bank Dunia USD 200 juta </v>
      </c>
    </row>
    <row r="15" spans="1:27">
      <c r="A15" s="926"/>
      <c r="B15" s="702"/>
      <c r="C15" s="733" t="str">
        <f>'ALL-USD40.1M'!L80</f>
        <v>K</v>
      </c>
      <c r="D15" s="3726" t="str">
        <f>'ALL-USD40.1M'!M80</f>
        <v xml:space="preserve">Program Pembangunan Waduk </v>
      </c>
      <c r="E15" s="3730"/>
      <c r="P15" s="3796">
        <f>P16</f>
        <v>258000000</v>
      </c>
      <c r="Q15" s="3850"/>
      <c r="R15" s="3851"/>
      <c r="S15" s="3852"/>
    </row>
    <row r="16" spans="1:27">
      <c r="A16" s="926"/>
      <c r="B16" s="893"/>
      <c r="C16" s="893"/>
      <c r="D16" s="706">
        <v>5</v>
      </c>
      <c r="E16" s="1001" t="str">
        <f>'ALL-USD40.1M'!N84</f>
        <v>Lambakan  Dam Project</v>
      </c>
      <c r="P16" s="535">
        <f>'ALL-USD40.1M'!Y84</f>
        <v>258000000</v>
      </c>
      <c r="R16" s="535" t="str">
        <f>'ALL-USD40.1M'!AA83</f>
        <v>Belum proses</v>
      </c>
      <c r="S16" s="535" t="str">
        <f>'ALL-USD40.1M'!AG84</f>
        <v>Terdapat dalam dokumen MCPS</v>
      </c>
    </row>
    <row r="17" spans="1:28" ht="15.75">
      <c r="A17" s="1002" t="s">
        <v>960</v>
      </c>
      <c r="B17" s="747" t="str">
        <f>DATA!D160</f>
        <v>NON-INFRASTRUKTUR</v>
      </c>
      <c r="C17" s="686"/>
      <c r="D17" s="686"/>
      <c r="E17" s="686"/>
      <c r="F17" s="686"/>
      <c r="G17" s="686"/>
      <c r="H17" s="686"/>
      <c r="I17" s="686"/>
      <c r="J17" s="686"/>
      <c r="K17" s="686"/>
      <c r="L17" s="686"/>
      <c r="M17" s="686"/>
      <c r="N17" s="686"/>
      <c r="O17" s="686"/>
      <c r="P17" s="767">
        <f>P18+P29+P34+P26</f>
        <v>1003000000</v>
      </c>
      <c r="Q17" s="686"/>
      <c r="R17" s="686"/>
      <c r="S17" s="686"/>
    </row>
    <row r="18" spans="1:28">
      <c r="A18" s="926"/>
      <c r="B18" s="742">
        <f>'ALL-USD40.1M'!K168</f>
        <v>11</v>
      </c>
      <c r="C18" s="748" t="str">
        <f>'ALL-USD40.1M'!L168</f>
        <v>Kementerian Agama</v>
      </c>
      <c r="D18" s="729"/>
      <c r="E18" s="748"/>
      <c r="P18" s="797">
        <f>P19</f>
        <v>238000000</v>
      </c>
      <c r="Q18" s="729"/>
      <c r="R18" s="729"/>
      <c r="S18" s="729"/>
    </row>
    <row r="19" spans="1:28" ht="25.5" customHeight="1">
      <c r="A19" s="926"/>
      <c r="C19" s="699" t="str">
        <f>'ALL-USD40.1M'!L169</f>
        <v>A</v>
      </c>
      <c r="D19" s="3728" t="str">
        <f>'ALL-USD40.1M'!M169</f>
        <v>Program Peningkatan Akses, Kualitas, Relevansi, dan Daya Saing Pendidikan Tinggi Islam</v>
      </c>
      <c r="E19" s="3735"/>
      <c r="F19" s="873"/>
      <c r="G19" s="873"/>
      <c r="H19" s="873"/>
      <c r="I19" s="873"/>
      <c r="J19" s="873"/>
      <c r="K19" s="873"/>
      <c r="L19" s="873"/>
      <c r="M19" s="873"/>
      <c r="N19" s="873"/>
      <c r="O19" s="873"/>
      <c r="P19" s="945">
        <f>P20+P21+P23+P22+P24+P25</f>
        <v>238000000</v>
      </c>
      <c r="Q19" s="873"/>
      <c r="R19" s="873"/>
      <c r="S19" s="873"/>
    </row>
    <row r="20" spans="1:28" s="669" customFormat="1" ht="38.25" customHeight="1">
      <c r="A20" s="847"/>
      <c r="B20" s="703"/>
      <c r="C20" s="999"/>
      <c r="D20" s="3853">
        <v>6</v>
      </c>
      <c r="E20" s="712" t="str">
        <f>'ALL-USD40.1M'!N170</f>
        <v>Improvement and Optimalization of Sunan Ampel Surabaya State Islamic University</v>
      </c>
      <c r="F20" s="713"/>
      <c r="G20" s="713"/>
      <c r="H20" s="713"/>
      <c r="I20" s="713"/>
      <c r="J20" s="713"/>
      <c r="K20" s="713"/>
      <c r="L20" s="713"/>
      <c r="M20" s="713"/>
      <c r="N20" s="713"/>
      <c r="O20" s="713"/>
      <c r="P20" s="981">
        <f>'ALL-USD40.1M'!Y170</f>
        <v>40000000</v>
      </c>
      <c r="Q20" s="713"/>
      <c r="R20" s="841" t="str">
        <f>'ALL-USD40.1M'!AA170</f>
        <v>GB 2017</v>
      </c>
      <c r="S20" s="842"/>
    </row>
    <row r="21" spans="1:28" ht="30">
      <c r="A21" s="926"/>
      <c r="B21" s="702"/>
      <c r="C21" s="702"/>
      <c r="D21" s="3854"/>
      <c r="E21" s="1003" t="str">
        <f>'ALL-USD40.1M'!N171</f>
        <v>Improvement Access and Quality of State Islamic Institute  Suthan Maulana Hasanuddin Banten</v>
      </c>
      <c r="P21" s="535">
        <f>'ALL-USD40.1M'!Y171</f>
        <v>40000000</v>
      </c>
      <c r="R21" s="952" t="str">
        <f>'ALL-USD40.1M'!AA171</f>
        <v>GB 2017</v>
      </c>
      <c r="S21" s="1017"/>
    </row>
    <row r="22" spans="1:28" ht="30">
      <c r="A22" s="926"/>
      <c r="B22" s="702"/>
      <c r="C22" s="702"/>
      <c r="D22" s="3854"/>
      <c r="E22" s="751" t="str">
        <f>'ALL-USD40.1M'!N172</f>
        <v xml:space="preserve">Development and Quality Improvement  of Antasari State Islamic Institute </v>
      </c>
      <c r="F22" s="709"/>
      <c r="G22" s="709"/>
      <c r="H22" s="709"/>
      <c r="I22" s="709"/>
      <c r="J22" s="709"/>
      <c r="K22" s="709"/>
      <c r="L22" s="709"/>
      <c r="M22" s="709"/>
      <c r="N22" s="709"/>
      <c r="O22" s="709"/>
      <c r="P22" s="778">
        <f>'ALL-USD40.1M'!Y172</f>
        <v>39800000</v>
      </c>
      <c r="Q22" s="709"/>
      <c r="R22" s="792" t="str">
        <f>'ALL-USD40.1M'!AA172</f>
        <v>GB 2017 (USD 39.800.000)</v>
      </c>
      <c r="S22" s="823"/>
    </row>
    <row r="23" spans="1:28" ht="30">
      <c r="A23" s="926"/>
      <c r="B23" s="702"/>
      <c r="C23" s="702"/>
      <c r="D23" s="3854"/>
      <c r="E23" s="751" t="str">
        <f>'ALL-USD40.1M'!N174</f>
        <v xml:space="preserve">Tranformation of State Islamic Institute  Sulthan Thaha Saifuddin to State Islamic University </v>
      </c>
      <c r="F23" s="709"/>
      <c r="G23" s="709"/>
      <c r="H23" s="709"/>
      <c r="I23" s="709"/>
      <c r="J23" s="709"/>
      <c r="K23" s="709"/>
      <c r="L23" s="709"/>
      <c r="M23" s="709"/>
      <c r="N23" s="709"/>
      <c r="O23" s="709"/>
      <c r="P23" s="778">
        <f>'ALL-USD40.1M'!Y174</f>
        <v>40000000</v>
      </c>
      <c r="Q23" s="709"/>
      <c r="R23" s="792" t="str">
        <f>'ALL-USD40.1M'!AA174</f>
        <v>GB 2017</v>
      </c>
      <c r="S23" s="823"/>
    </row>
    <row r="24" spans="1:28" ht="30">
      <c r="A24" s="926"/>
      <c r="B24" s="702"/>
      <c r="C24" s="702"/>
      <c r="D24" s="3854"/>
      <c r="E24" s="751" t="str">
        <f>'ALL-USD40.1M'!N175</f>
        <v>Development and Institutional Transformation of State Islamic Institute  Raden Intan Lampung</v>
      </c>
      <c r="F24" s="709"/>
      <c r="G24" s="709"/>
      <c r="H24" s="709"/>
      <c r="I24" s="709"/>
      <c r="J24" s="709"/>
      <c r="K24" s="709"/>
      <c r="L24" s="709"/>
      <c r="M24" s="709"/>
      <c r="N24" s="709"/>
      <c r="O24" s="709"/>
      <c r="P24" s="778">
        <f>'ALL-USD40.1M'!Y175</f>
        <v>40000000</v>
      </c>
      <c r="Q24" s="709"/>
      <c r="R24" s="792" t="str">
        <f>'ALL-USD40.1M'!AA175</f>
        <v>GB 2017</v>
      </c>
      <c r="S24" s="898"/>
    </row>
    <row r="25" spans="1:28">
      <c r="A25" s="926"/>
      <c r="B25" s="893"/>
      <c r="C25" s="893"/>
      <c r="D25" s="3855"/>
      <c r="E25" s="944" t="str">
        <f>'ALL-USD40.1M'!N176</f>
        <v xml:space="preserve">Development of Imam Bonjol State Islamic Institute Project </v>
      </c>
      <c r="P25" s="535">
        <f>'ALL-USD40.1M'!Y176</f>
        <v>38200000</v>
      </c>
      <c r="R25" s="1018" t="str">
        <f>'ALL-USD40.1M'!AA176</f>
        <v>GB 2017 (USD 38.200.000)</v>
      </c>
      <c r="S25" s="926"/>
    </row>
    <row r="26" spans="1:28">
      <c r="B26" s="691">
        <f>'ALL-USD40.1M'!K182</f>
        <v>12</v>
      </c>
      <c r="C26" s="748" t="str">
        <f>'ALL-USD40.1M'!L182</f>
        <v>Kementerian PPN/Bappenas</v>
      </c>
      <c r="D26" s="729"/>
      <c r="E26" s="899"/>
      <c r="P26" s="797">
        <f>P27</f>
        <v>25000000</v>
      </c>
      <c r="Q26" s="729"/>
      <c r="R26" s="868"/>
      <c r="S26" s="869"/>
    </row>
    <row r="27" spans="1:28" ht="25.5" customHeight="1">
      <c r="B27" s="696"/>
      <c r="C27" s="697" t="str">
        <f>'ALL-USD40.1M'!L183</f>
        <v>A</v>
      </c>
      <c r="D27" s="3728" t="str">
        <f>'ALL-USD40.1M'!M186</f>
        <v xml:space="preserve">Program Penguatan Sektor Keuangan </v>
      </c>
      <c r="E27" s="3730"/>
      <c r="F27" s="699"/>
      <c r="G27" s="699"/>
      <c r="H27" s="699"/>
      <c r="I27" s="699"/>
      <c r="J27" s="699"/>
      <c r="K27" s="699"/>
      <c r="L27" s="699"/>
      <c r="M27" s="699"/>
      <c r="N27" s="699"/>
      <c r="O27" s="699"/>
      <c r="P27" s="774">
        <f>P28</f>
        <v>25000000</v>
      </c>
      <c r="Q27" s="699"/>
      <c r="R27" s="870"/>
      <c r="S27" s="870"/>
    </row>
    <row r="28" spans="1:28" ht="30">
      <c r="B28" s="702"/>
      <c r="C28" s="706"/>
      <c r="D28" s="1004">
        <v>7</v>
      </c>
      <c r="E28" s="750" t="str">
        <f>'ALL-USD40.1M'!N187</f>
        <v>Promoting Sharia Finance in Indonesia through Technical Assistance and Financial Support for the National Committee on Sharia Finance</v>
      </c>
      <c r="P28" s="820">
        <f>'ALL-USD40.1M'!Y187</f>
        <v>25000000</v>
      </c>
      <c r="R28" s="1019" t="str">
        <f>'ALL-USD40.1M'!AA187</f>
        <v>Belum proses</v>
      </c>
      <c r="S28" s="535" t="str">
        <f>'ALL-USD40.1M'!AG187</f>
        <v>Belum terdapat dalam dokumen MCPS</v>
      </c>
      <c r="AB28" s="915"/>
    </row>
    <row r="29" spans="1:28">
      <c r="B29" s="728">
        <f>'ALL-USD40.1M'!K188</f>
        <v>13</v>
      </c>
      <c r="C29" s="729" t="str">
        <f>'ALL-USD40.1M'!L188</f>
        <v>Kementerian Kesehatan</v>
      </c>
      <c r="D29" s="984"/>
      <c r="E29" s="729"/>
      <c r="P29" s="797">
        <f>P30+P32</f>
        <v>490000000</v>
      </c>
      <c r="Q29" s="729"/>
      <c r="R29" s="729"/>
      <c r="S29" s="729"/>
    </row>
    <row r="30" spans="1:28" ht="25.5" customHeight="1">
      <c r="B30" s="702"/>
      <c r="C30" s="697" t="str">
        <f>'ALL-USD40.1M'!L191</f>
        <v>B</v>
      </c>
      <c r="D30" s="3718" t="str">
        <f>'ALL-USD40.1M'!M191</f>
        <v>Program Pengembangan Sumber Daya Manusia Kesehatan</v>
      </c>
      <c r="E30" s="3735"/>
      <c r="F30" s="699"/>
      <c r="G30" s="699"/>
      <c r="H30" s="699"/>
      <c r="I30" s="699"/>
      <c r="J30" s="699"/>
      <c r="K30" s="699"/>
      <c r="L30" s="699"/>
      <c r="M30" s="699"/>
      <c r="N30" s="699"/>
      <c r="O30" s="699"/>
      <c r="P30" s="774">
        <f>P31</f>
        <v>240000000</v>
      </c>
      <c r="Q30" s="699"/>
      <c r="R30" s="699"/>
      <c r="S30" s="699"/>
    </row>
    <row r="31" spans="1:28" ht="45">
      <c r="B31" s="702"/>
      <c r="D31" s="939">
        <v>8</v>
      </c>
      <c r="E31" s="1005" t="str">
        <f>'ALL-USD40.1M'!N192</f>
        <v>Improvement of Facilities and Infrastructure for Teaching and Learning Activities in Health Sector</v>
      </c>
      <c r="P31" s="535">
        <f>'ALL-USD40.1M'!Y192</f>
        <v>240000000</v>
      </c>
      <c r="R31" s="535" t="str">
        <f>'ALL-USD40.1M'!AA192</f>
        <v>Proses penyusunan FS</v>
      </c>
      <c r="S31" s="1020" t="str">
        <f>'ALL-USD40.1M'!AG192</f>
        <v>Terdapat perubahan institusi pelaksana menjadi Biro Perencanaan Kemenkes. (Sebelumnya BPPSDMK, untuk mempercepat proses sehingga diubah.)</v>
      </c>
      <c r="AB31" s="915"/>
    </row>
    <row r="32" spans="1:28" ht="25.5" customHeight="1">
      <c r="B32" s="702"/>
      <c r="C32" s="720" t="str">
        <f>'ALL-USD40.1M'!L195</f>
        <v>D</v>
      </c>
      <c r="D32" s="3817" t="str">
        <f>'ALL-USD40.1M'!M195</f>
        <v>Program Pelayanan Kesehatan Rujukan</v>
      </c>
      <c r="E32" s="3818"/>
      <c r="F32" s="697"/>
      <c r="G32" s="699"/>
      <c r="H32" s="699"/>
      <c r="I32" s="699"/>
      <c r="J32" s="699"/>
      <c r="K32" s="699"/>
      <c r="L32" s="699"/>
      <c r="M32" s="699"/>
      <c r="N32" s="699"/>
      <c r="O32" s="699"/>
      <c r="P32" s="774">
        <f>P33</f>
        <v>250000000</v>
      </c>
      <c r="Q32" s="699"/>
      <c r="R32" s="699"/>
      <c r="S32" s="699"/>
    </row>
    <row r="33" spans="1:28" ht="30">
      <c r="B33" s="702"/>
      <c r="D33" s="708">
        <v>9</v>
      </c>
      <c r="E33" s="750" t="str">
        <f>'ALL-USD40.1M'!N196</f>
        <v>Strengthening of National Referral Hospitals, Province Referral Hospital and Vertical Technical Units</v>
      </c>
      <c r="P33" s="908">
        <f>'ALL-USD40.1M'!Y196</f>
        <v>250000000</v>
      </c>
      <c r="R33" s="820" t="str">
        <f>'ALL-USD40.1M'!AA196</f>
        <v>Belum proses</v>
      </c>
      <c r="S33" s="1019" t="str">
        <f>'ALL-USD40.1M'!AG196</f>
        <v>Terdapat dalam dokumen MCPS</v>
      </c>
    </row>
    <row r="34" spans="1:28">
      <c r="B34" s="728">
        <f>'ALL-USD40.1M'!K202</f>
        <v>15</v>
      </c>
      <c r="C34" s="729" t="str">
        <f>'ALL-USD40.1M'!L202</f>
        <v>Kementerian Pertanian</v>
      </c>
      <c r="D34" s="1006"/>
      <c r="E34" s="729"/>
      <c r="P34" s="797">
        <f>P35</f>
        <v>250000000</v>
      </c>
      <c r="Q34" s="729"/>
      <c r="R34" s="729"/>
      <c r="S34" s="740"/>
      <c r="AB34" s="915"/>
    </row>
    <row r="35" spans="1:28" ht="25.5" customHeight="1">
      <c r="B35" s="702"/>
      <c r="C35" s="697" t="str">
        <f>'ALL-USD40.1M'!L203</f>
        <v>A</v>
      </c>
      <c r="D35" s="3728" t="str">
        <f>'ALL-USD40.1M'!M203</f>
        <v>Program Penyediaan dan Pengembangan Prasarana dan Sarana Pertanian</v>
      </c>
      <c r="E35" s="3730"/>
      <c r="F35" s="699"/>
      <c r="G35" s="699"/>
      <c r="H35" s="699"/>
      <c r="I35" s="699"/>
      <c r="J35" s="699"/>
      <c r="K35" s="699"/>
      <c r="L35" s="699"/>
      <c r="M35" s="699"/>
      <c r="N35" s="699"/>
      <c r="O35" s="699"/>
      <c r="P35" s="774">
        <f>P36+P37</f>
        <v>250000000</v>
      </c>
      <c r="Q35" s="699"/>
      <c r="R35" s="699"/>
      <c r="S35" s="905"/>
    </row>
    <row r="36" spans="1:28">
      <c r="B36" s="702"/>
      <c r="C36" s="731"/>
      <c r="D36" s="731">
        <v>10</v>
      </c>
      <c r="E36" t="str">
        <f>'ALL-USD40.1M'!N204</f>
        <v>Extensification of New Paddy Field Area</v>
      </c>
      <c r="P36" s="780">
        <f>'ALL-USD40.1M'!Y205</f>
        <v>125000000</v>
      </c>
      <c r="R36" s="1021" t="str">
        <f>'ALL-USD40.1M'!AA205</f>
        <v>Proses penyusunan RC/FS</v>
      </c>
      <c r="S36" s="1022" t="str">
        <f>'ALL-USD40.1M'!AG205</f>
        <v>Co-financing sebagian dengan SFD (USD 686,2 juta)</v>
      </c>
    </row>
    <row r="37" spans="1:28">
      <c r="B37" s="702"/>
      <c r="C37" s="915"/>
      <c r="D37" s="708">
        <v>11</v>
      </c>
      <c r="E37" s="709" t="str">
        <f>'ALL-USD40.1M'!N206</f>
        <v>Upland Development for National Food Security</v>
      </c>
      <c r="F37" s="709"/>
      <c r="G37" s="709"/>
      <c r="H37" s="709"/>
      <c r="I37" s="709"/>
      <c r="J37" s="709"/>
      <c r="K37" s="709"/>
      <c r="L37" s="709"/>
      <c r="M37" s="709"/>
      <c r="N37" s="709"/>
      <c r="O37" s="709"/>
      <c r="P37" s="800">
        <f>'ALL-USD40.1M'!Y207</f>
        <v>125000000</v>
      </c>
      <c r="Q37" s="709"/>
      <c r="R37" s="751" t="str">
        <f>'ALL-USD40.1M'!AA207</f>
        <v>Proses penyusunan RC/FS</v>
      </c>
      <c r="S37" s="823" t="str">
        <f>'ALL-USD40.1M'!AG207</f>
        <v>Co-financing dengan SFD (USD 410,7 juta)</v>
      </c>
    </row>
    <row r="38" spans="1:28" hidden="1">
      <c r="B38" s="702"/>
      <c r="C38" s="702"/>
      <c r="D38" s="702"/>
      <c r="E38" s="965"/>
      <c r="F38" s="965"/>
      <c r="G38" s="965"/>
      <c r="H38" s="965"/>
      <c r="I38" s="965"/>
      <c r="J38" s="965"/>
      <c r="K38" s="965"/>
      <c r="L38" s="965"/>
      <c r="M38" s="965"/>
      <c r="N38" s="965"/>
      <c r="O38" s="965"/>
      <c r="P38" s="826"/>
      <c r="Q38" s="965"/>
      <c r="R38" s="702"/>
      <c r="S38" s="926"/>
    </row>
    <row r="39" spans="1:28">
      <c r="A39" s="602"/>
      <c r="B39" s="3800" t="s">
        <v>477</v>
      </c>
      <c r="C39" s="3801"/>
      <c r="D39" s="3801"/>
      <c r="E39" s="3802"/>
      <c r="F39" s="1007"/>
      <c r="G39" s="1007"/>
      <c r="H39" s="1007"/>
      <c r="I39" s="1007"/>
      <c r="J39" s="1007"/>
      <c r="K39" s="1007"/>
      <c r="L39" s="1007"/>
      <c r="M39" s="1007"/>
      <c r="N39" s="1007"/>
      <c r="O39" s="1007"/>
      <c r="P39" s="1012">
        <f>P17+P7</f>
        <v>2086000000</v>
      </c>
      <c r="Q39" s="1007"/>
      <c r="R39" s="1023"/>
      <c r="S39" s="1024"/>
    </row>
    <row r="40" spans="1:28">
      <c r="P40" s="535"/>
    </row>
    <row r="41" spans="1:28">
      <c r="P41" s="535"/>
    </row>
    <row r="42" spans="1:28">
      <c r="P42" s="535"/>
    </row>
    <row r="43" spans="1:28">
      <c r="P43" s="535"/>
    </row>
    <row r="44" spans="1:28">
      <c r="P44" s="535"/>
    </row>
    <row r="45" spans="1:28">
      <c r="P45" s="535"/>
    </row>
    <row r="46" spans="1:28">
      <c r="P46" s="535"/>
    </row>
    <row r="47" spans="1:28">
      <c r="P47" s="535"/>
    </row>
  </sheetData>
  <mergeCells count="28">
    <mergeCell ref="B39:E39"/>
    <mergeCell ref="D20:D25"/>
    <mergeCell ref="F4:F5"/>
    <mergeCell ref="G4:G5"/>
    <mergeCell ref="H4:H5"/>
    <mergeCell ref="A4:E5"/>
    <mergeCell ref="D19:E19"/>
    <mergeCell ref="D27:E27"/>
    <mergeCell ref="D30:E30"/>
    <mergeCell ref="D32:E32"/>
    <mergeCell ref="D35:E35"/>
    <mergeCell ref="D9:E9"/>
    <mergeCell ref="D12:E12"/>
    <mergeCell ref="D15:E15"/>
    <mergeCell ref="P15:Q15"/>
    <mergeCell ref="R15:S15"/>
    <mergeCell ref="A1:AA1"/>
    <mergeCell ref="A2:S2"/>
    <mergeCell ref="L4:O4"/>
    <mergeCell ref="T4:V4"/>
    <mergeCell ref="W4:AA4"/>
    <mergeCell ref="I4:I5"/>
    <mergeCell ref="J4:J5"/>
    <mergeCell ref="K4:K5"/>
    <mergeCell ref="P4:P5"/>
    <mergeCell ref="Q4:Q5"/>
    <mergeCell ref="R4:R5"/>
    <mergeCell ref="S4:S5"/>
  </mergeCells>
  <pageMargins left="0.69930555555555596" right="0.69930555555555596" top="0.75" bottom="0.75" header="0.3" footer="0.3"/>
  <pageSetup paperSize="9"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AB53"/>
  <sheetViews>
    <sheetView topLeftCell="A13" zoomScale="80" zoomScaleNormal="80" workbookViewId="0">
      <selection activeCell="R19" sqref="R19"/>
    </sheetView>
  </sheetViews>
  <sheetFormatPr defaultColWidth="9" defaultRowHeight="15"/>
  <cols>
    <col min="1" max="1" width="2.85546875" customWidth="1"/>
    <col min="2" max="2" width="3.5703125" customWidth="1"/>
    <col min="3" max="3" width="2.85546875" customWidth="1"/>
    <col min="4" max="4" width="4.85546875" customWidth="1"/>
    <col min="5" max="5" width="68.140625" customWidth="1"/>
    <col min="6" max="15" width="9" hidden="1" customWidth="1"/>
    <col min="16" max="16" width="24" customWidth="1"/>
    <col min="17" max="17" width="5.140625" hidden="1" customWidth="1"/>
    <col min="18" max="18" width="27.5703125" style="627" customWidth="1"/>
    <col min="19" max="19" width="25" customWidth="1"/>
    <col min="20" max="20" width="54.28515625" customWidth="1"/>
    <col min="21" max="28" width="9" hidden="1" customWidth="1"/>
  </cols>
  <sheetData>
    <row r="1" spans="1:28" ht="18">
      <c r="A1" s="3708"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c r="AB1" s="3697"/>
    </row>
    <row r="2" spans="1:28" ht="18">
      <c r="A2" s="3708" t="s">
        <v>55</v>
      </c>
      <c r="B2" s="3697"/>
      <c r="C2" s="3697"/>
      <c r="D2" s="3697"/>
      <c r="E2" s="3697"/>
      <c r="F2" s="3697"/>
      <c r="G2" s="3697"/>
      <c r="H2" s="3697"/>
      <c r="I2" s="3697"/>
      <c r="J2" s="3697"/>
      <c r="K2" s="3697"/>
      <c r="L2" s="3697"/>
      <c r="M2" s="3697"/>
      <c r="N2" s="3697"/>
      <c r="O2" s="3697"/>
      <c r="P2" s="3697"/>
      <c r="Q2" s="3697"/>
      <c r="R2" s="3697"/>
      <c r="S2" s="3697"/>
      <c r="T2" s="3697"/>
      <c r="U2" s="671"/>
      <c r="V2" s="671"/>
      <c r="W2" s="671"/>
      <c r="X2" s="671"/>
      <c r="Y2" s="671"/>
      <c r="Z2" s="671"/>
      <c r="AA2" s="671"/>
      <c r="AB2" s="671"/>
    </row>
    <row r="3" spans="1:28">
      <c r="A3" s="672"/>
      <c r="B3" s="673"/>
      <c r="C3" s="673"/>
      <c r="D3" s="673"/>
      <c r="E3" s="674"/>
      <c r="F3" s="675"/>
      <c r="G3" s="675"/>
      <c r="H3" s="676"/>
      <c r="I3" s="676"/>
      <c r="J3" s="675"/>
      <c r="K3" s="675"/>
      <c r="L3" s="754"/>
      <c r="M3" s="675"/>
      <c r="N3" s="675"/>
      <c r="O3" s="675"/>
      <c r="P3" s="675"/>
      <c r="Q3" s="675"/>
      <c r="R3" s="959"/>
      <c r="S3" s="675"/>
      <c r="T3" s="675"/>
      <c r="U3" s="674"/>
      <c r="V3" s="674"/>
      <c r="W3" s="674"/>
      <c r="X3" s="754"/>
      <c r="Y3" s="754"/>
      <c r="Z3" s="754"/>
      <c r="AA3" s="754"/>
      <c r="AB3" s="878"/>
    </row>
    <row r="4" spans="1:28" ht="16.5" customHeight="1">
      <c r="A4" s="3811" t="s">
        <v>2</v>
      </c>
      <c r="B4" s="3812"/>
      <c r="C4" s="3812"/>
      <c r="D4" s="3812"/>
      <c r="E4" s="3812"/>
      <c r="F4" s="3807" t="s">
        <v>1382</v>
      </c>
      <c r="G4" s="3804" t="s">
        <v>1383</v>
      </c>
      <c r="H4" s="3808" t="s">
        <v>1082</v>
      </c>
      <c r="I4" s="3808" t="s">
        <v>1083</v>
      </c>
      <c r="J4" s="3809" t="s">
        <v>1384</v>
      </c>
      <c r="K4" s="3810" t="s">
        <v>1085</v>
      </c>
      <c r="L4" s="3803" t="s">
        <v>1088</v>
      </c>
      <c r="M4" s="3768"/>
      <c r="N4" s="3768"/>
      <c r="O4" s="3769"/>
      <c r="P4" s="3804" t="s">
        <v>1136</v>
      </c>
      <c r="Q4" s="3804" t="s">
        <v>7</v>
      </c>
      <c r="R4" s="677" t="s">
        <v>7</v>
      </c>
      <c r="S4" s="3804" t="s">
        <v>1137</v>
      </c>
      <c r="T4" s="3805" t="s">
        <v>10</v>
      </c>
      <c r="U4" s="3713" t="s">
        <v>1089</v>
      </c>
      <c r="V4" s="3768"/>
      <c r="W4" s="3769"/>
      <c r="X4" s="3716" t="s">
        <v>1086</v>
      </c>
      <c r="Y4" s="3768"/>
      <c r="Z4" s="3768"/>
      <c r="AA4" s="3768"/>
      <c r="AB4" s="3770"/>
    </row>
    <row r="5" spans="1:28" ht="0.75" customHeight="1">
      <c r="A5" s="3813"/>
      <c r="B5" s="3786"/>
      <c r="C5" s="3786"/>
      <c r="D5" s="3786"/>
      <c r="E5" s="3786"/>
      <c r="F5" s="3772"/>
      <c r="G5" s="3774"/>
      <c r="H5" s="3774"/>
      <c r="I5" s="3774"/>
      <c r="J5" s="3777"/>
      <c r="K5" s="3779"/>
      <c r="L5" s="755" t="s">
        <v>11</v>
      </c>
      <c r="M5" s="756" t="s">
        <v>507</v>
      </c>
      <c r="N5" s="756" t="s">
        <v>1090</v>
      </c>
      <c r="O5" s="757" t="s">
        <v>509</v>
      </c>
      <c r="P5" s="3774"/>
      <c r="Q5" s="3774"/>
      <c r="R5" s="960"/>
      <c r="S5" s="3774"/>
      <c r="T5" s="3806"/>
      <c r="U5" s="755" t="s">
        <v>507</v>
      </c>
      <c r="V5" s="802" t="s">
        <v>510</v>
      </c>
      <c r="W5" s="757" t="s">
        <v>511</v>
      </c>
      <c r="X5" s="803" t="s">
        <v>550</v>
      </c>
      <c r="Y5" s="755" t="s">
        <v>1091</v>
      </c>
      <c r="Z5" s="802" t="s">
        <v>15</v>
      </c>
      <c r="AA5" s="879" t="s">
        <v>1092</v>
      </c>
      <c r="AB5" s="880" t="s">
        <v>511</v>
      </c>
    </row>
    <row r="6" spans="1:28">
      <c r="A6" s="679"/>
      <c r="B6" s="680"/>
      <c r="C6" s="680"/>
      <c r="D6" s="680"/>
      <c r="E6" s="681"/>
      <c r="F6" s="682"/>
      <c r="G6" s="683"/>
      <c r="H6" s="684"/>
      <c r="I6" s="684"/>
      <c r="J6" s="758"/>
      <c r="K6" s="759"/>
      <c r="L6" s="760"/>
      <c r="M6" s="761"/>
      <c r="N6" s="761"/>
      <c r="O6" s="762"/>
      <c r="P6" s="763"/>
      <c r="Q6" s="763"/>
      <c r="R6" s="961"/>
      <c r="S6" s="763"/>
      <c r="T6" s="804"/>
      <c r="U6" s="805"/>
      <c r="V6" s="761"/>
      <c r="W6" s="762"/>
      <c r="X6" s="806"/>
      <c r="Y6" s="881"/>
      <c r="Z6" s="882"/>
      <c r="AA6" s="883"/>
      <c r="AB6" s="884"/>
    </row>
    <row r="7" spans="1:28" ht="15.75">
      <c r="A7" s="685" t="str">
        <f>DATA!B2</f>
        <v>I</v>
      </c>
      <c r="B7" s="686" t="str">
        <f>DATA!D2</f>
        <v>INFRASTRUKTUR</v>
      </c>
      <c r="C7" s="686"/>
      <c r="D7" s="686"/>
      <c r="E7" s="687"/>
      <c r="F7" s="688" t="e">
        <f>F8+#REF!+#REF!+#REF!+#REF!+#REF!+#REF!+#REF!+#REF!+#REF!</f>
        <v>#REF!</v>
      </c>
      <c r="G7" s="689" t="e">
        <f>G8+#REF!+#REF!+#REF!+#REF!+#REF!+#REF!+#REF!+#REF!+#REF!</f>
        <v>#REF!</v>
      </c>
      <c r="H7" s="689" t="e">
        <f>+H8+#REF!+#REF!+#REF!+#REF!+#REF!+#REF!+#REF!+#REF!</f>
        <v>#REF!</v>
      </c>
      <c r="I7" s="689" t="e">
        <f>+I8+#REF!+#REF!+#REF!+#REF!+#REF!+#REF!+#REF!+#REF!</f>
        <v>#REF!</v>
      </c>
      <c r="J7" s="764" t="e">
        <f>+J8+#REF!+#REF!+#REF!+#REF!+#REF!+#REF!+#REF!+#REF!</f>
        <v>#REF!</v>
      </c>
      <c r="K7" s="765"/>
      <c r="L7" s="766"/>
      <c r="M7" s="767" t="e">
        <f>+M8+#REF!+#REF!+#REF!+#REF!+#REF!+#REF!+#REF!+#REF!</f>
        <v>#REF!</v>
      </c>
      <c r="N7" s="767" t="e">
        <f>+N8+#REF!+#REF!+#REF!+#REF!+#REF!+#REF!+#REF!+#REF!</f>
        <v>#REF!</v>
      </c>
      <c r="O7" s="768" t="e">
        <f>+O8+#REF!+#REF!+#REF!+#REF!+#REF!</f>
        <v>#REF!</v>
      </c>
      <c r="P7" s="767">
        <f>P8</f>
        <v>764880000</v>
      </c>
      <c r="Q7" s="767"/>
      <c r="R7" s="962"/>
      <c r="S7" s="807"/>
      <c r="T7" s="808"/>
      <c r="U7" s="766" t="e">
        <f>+U8+#REF!+#REF!+#REF!+#REF!+#REF!+#REF!+#REF!+#REF!</f>
        <v>#REF!</v>
      </c>
      <c r="V7" s="767" t="s">
        <v>21</v>
      </c>
      <c r="W7" s="688" t="e">
        <f>G7-U7</f>
        <v>#REF!</v>
      </c>
      <c r="X7" s="809"/>
      <c r="Y7" s="885"/>
      <c r="Z7" s="886"/>
      <c r="AA7" s="887"/>
      <c r="AB7" s="888"/>
    </row>
    <row r="8" spans="1:28">
      <c r="A8" s="925"/>
      <c r="B8" s="742">
        <f>DATA!E2</f>
        <v>1</v>
      </c>
      <c r="C8" s="692" t="str">
        <f>DATA!F2</f>
        <v>Kementerian Pekerjaan Umum dan Perumahan Rakyat</v>
      </c>
      <c r="D8" s="692"/>
      <c r="E8" s="693"/>
      <c r="F8" s="694"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P9+P15+P17</f>
        <v>764880000</v>
      </c>
      <c r="Q8" s="772"/>
      <c r="R8" s="790"/>
      <c r="S8" s="810"/>
      <c r="T8" s="811"/>
      <c r="U8" s="771" t="e">
        <f>+#REF!+#REF!+#REF!+#REF!+U9+#REF!+#REF!+#REF!+#REF!+#REF!+#REF!+#REF!+#REF!+#REF!+#REF!</f>
        <v>#REF!</v>
      </c>
      <c r="V8" s="772" t="s">
        <v>21</v>
      </c>
      <c r="W8" s="694"/>
      <c r="X8" s="812"/>
      <c r="Y8" s="889"/>
      <c r="Z8" s="890"/>
      <c r="AA8" s="891"/>
      <c r="AB8" s="892"/>
    </row>
    <row r="9" spans="1:28" ht="27" customHeight="1">
      <c r="A9" s="926"/>
      <c r="C9" s="873" t="str">
        <f>'ALL-USD40.1M'!L20</f>
        <v>C</v>
      </c>
      <c r="D9" s="3728" t="str">
        <f>'ALL-USD40.1M'!N24</f>
        <v>National Road Improvement in West and South Kalimantan</v>
      </c>
      <c r="E9" s="3730"/>
      <c r="F9" s="699"/>
      <c r="G9" s="699"/>
      <c r="H9" s="699"/>
      <c r="I9" s="699"/>
      <c r="J9" s="699"/>
      <c r="K9" s="699"/>
      <c r="L9" s="699"/>
      <c r="M9" s="699"/>
      <c r="N9" s="699"/>
      <c r="O9" s="699"/>
      <c r="P9" s="945">
        <f>P10+P11</f>
        <v>375000000</v>
      </c>
      <c r="Q9" s="873"/>
      <c r="R9" s="873"/>
      <c r="S9" s="873"/>
      <c r="T9" s="873"/>
    </row>
    <row r="10" spans="1:28" s="668" customFormat="1" ht="45">
      <c r="A10" s="927"/>
      <c r="C10" s="715"/>
      <c r="D10" s="839">
        <v>1</v>
      </c>
      <c r="E10" s="668" t="str">
        <f>'ALL-USD40.1M'!N24</f>
        <v>National Road Improvement in West and South Kalimantan</v>
      </c>
      <c r="P10" s="946">
        <f>'ALL-USD40.1M'!Y25</f>
        <v>125000000</v>
      </c>
      <c r="Q10" s="833"/>
      <c r="R10" s="963" t="str">
        <f>'ALL-USD40.1M'!Z25</f>
        <v>SFD</v>
      </c>
      <c r="S10" s="784" t="str">
        <f>'ALL-USD40.1M'!AA25</f>
        <v>Belum proses</v>
      </c>
      <c r="T10" s="842" t="str">
        <f>'ALL-USD40.1M'!AG24</f>
        <v>- Terdapat dalam dokumen MCPS IDB
- Co-financing sebagian dengan SFD dengan (Nominal pinjaman belum dikonfirmasi antara IDB-SFD)</v>
      </c>
    </row>
    <row r="11" spans="1:28" s="668" customFormat="1">
      <c r="A11" s="927"/>
      <c r="C11" s="700"/>
      <c r="D11" s="717">
        <v>2</v>
      </c>
      <c r="E11" s="718" t="str">
        <f>'ALL-USD40.1M'!N27</f>
        <v>National Road Improvement in North and East Kalimantan</v>
      </c>
      <c r="P11" s="946">
        <f>'ALL-USD40.1M'!Y27</f>
        <v>250000000</v>
      </c>
      <c r="Q11" s="824"/>
      <c r="R11" s="963" t="str">
        <f>'ALL-USD40.1M'!Z35</f>
        <v>AIIB</v>
      </c>
      <c r="S11" s="846" t="str">
        <f>'ALL-USD40.1M'!AA27</f>
        <v>Belum proses</v>
      </c>
      <c r="T11" s="844" t="str">
        <f>'ALL-USD40.1M'!AG28</f>
        <v>Terdapat dalam dokumen MCPS</v>
      </c>
    </row>
    <row r="12" spans="1:28" s="668" customFormat="1">
      <c r="A12" s="927"/>
      <c r="C12" s="873" t="s">
        <v>72</v>
      </c>
      <c r="D12" s="928" t="s">
        <v>73</v>
      </c>
      <c r="E12" s="929"/>
      <c r="F12" s="873"/>
      <c r="G12" s="873"/>
      <c r="H12" s="873"/>
      <c r="I12" s="873"/>
      <c r="J12" s="873"/>
      <c r="K12" s="873"/>
      <c r="L12" s="873"/>
      <c r="M12" s="873"/>
      <c r="N12" s="873"/>
      <c r="O12" s="873"/>
      <c r="P12" s="873"/>
      <c r="Q12" s="873"/>
      <c r="R12" s="945"/>
      <c r="S12" s="873"/>
      <c r="T12" s="873"/>
    </row>
    <row r="13" spans="1:28" s="668" customFormat="1">
      <c r="A13" s="927"/>
      <c r="C13" s="712"/>
      <c r="D13" s="712">
        <v>1</v>
      </c>
      <c r="E13" s="712" t="s">
        <v>663</v>
      </c>
      <c r="F13" s="857"/>
      <c r="G13" s="738"/>
      <c r="H13" s="857"/>
      <c r="I13" s="738"/>
      <c r="J13" s="857"/>
      <c r="K13" s="738"/>
      <c r="L13" s="857"/>
      <c r="M13" s="738"/>
      <c r="N13" s="857"/>
      <c r="O13" s="947"/>
      <c r="P13" s="712"/>
      <c r="Q13" s="712"/>
      <c r="R13" s="964" t="str">
        <f>'ALL-USD40.1M'!Z35</f>
        <v>AIIB</v>
      </c>
      <c r="S13" s="712">
        <f>'ALL-USD40.1M'!AA29</f>
        <v>0</v>
      </c>
      <c r="T13" s="947"/>
    </row>
    <row r="14" spans="1:28" s="668" customFormat="1" ht="30">
      <c r="A14" s="927"/>
      <c r="C14" s="712"/>
      <c r="D14" s="712">
        <v>2</v>
      </c>
      <c r="E14" s="712" t="s">
        <v>685</v>
      </c>
      <c r="F14" s="857"/>
      <c r="G14" s="738"/>
      <c r="H14" s="857"/>
      <c r="I14" s="738"/>
      <c r="J14" s="857"/>
      <c r="K14" s="738"/>
      <c r="L14" s="857"/>
      <c r="M14" s="738"/>
      <c r="N14" s="857"/>
      <c r="O14" s="947"/>
      <c r="P14" s="712"/>
      <c r="Q14" s="712"/>
      <c r="R14" s="964" t="str">
        <f>'ALL-USD40.1M'!Z41</f>
        <v>AIIB</v>
      </c>
      <c r="S14" s="712"/>
      <c r="T14" s="947"/>
    </row>
    <row r="15" spans="1:28">
      <c r="A15" s="926"/>
      <c r="C15" s="733" t="str">
        <f>DATA!I56</f>
        <v>G</v>
      </c>
      <c r="D15" s="3722" t="str">
        <f>DATA!J56</f>
        <v>Program Penanganan Kumuh</v>
      </c>
      <c r="E15" s="3815"/>
      <c r="F15" s="3728"/>
      <c r="G15" s="3730"/>
      <c r="H15" s="3728"/>
      <c r="I15" s="3730"/>
      <c r="J15" s="3728"/>
      <c r="K15" s="3730"/>
      <c r="L15" s="3728"/>
      <c r="M15" s="3730"/>
      <c r="N15" s="3728"/>
      <c r="O15" s="3726"/>
      <c r="P15" s="3724">
        <f>P16</f>
        <v>289880000</v>
      </c>
      <c r="Q15" s="3726"/>
      <c r="R15" s="733"/>
      <c r="S15" s="3726"/>
      <c r="T15" s="3725"/>
    </row>
    <row r="16" spans="1:28">
      <c r="A16" s="926"/>
      <c r="C16" s="702"/>
      <c r="D16">
        <v>3</v>
      </c>
      <c r="E16" s="896" t="str">
        <f>'ALL-USD40.1M'!N59</f>
        <v>National Slum Upgrading</v>
      </c>
      <c r="P16" s="780">
        <f>'ALL-USD40.1M'!Y59</f>
        <v>289880000</v>
      </c>
      <c r="Q16" s="965"/>
      <c r="R16" s="966" t="str">
        <f>'ALL-USD40.1M'!Z59</f>
        <v>SFD</v>
      </c>
      <c r="S16" s="535" t="str">
        <f>'ALL-USD40.1M'!AA59</f>
        <v>Belum proses</v>
      </c>
      <c r="T16" s="820">
        <f>'ALL-USD40.1M'!AG59</f>
        <v>0</v>
      </c>
    </row>
    <row r="17" spans="1:28">
      <c r="A17" s="926"/>
      <c r="C17" s="733" t="str">
        <f>'ALL-USD40.1M'!L65</f>
        <v>I</v>
      </c>
      <c r="D17" s="3726" t="str">
        <f>'ALL-USD40.1M'!M65</f>
        <v>Program Pengembangan dan Pengelolaan Irigasi</v>
      </c>
      <c r="E17" s="3735"/>
      <c r="F17" s="3728"/>
      <c r="G17" s="3730"/>
      <c r="H17" s="3728"/>
      <c r="I17" s="3730"/>
      <c r="J17" s="3728"/>
      <c r="K17" s="3730"/>
      <c r="L17" s="3728"/>
      <c r="M17" s="3730"/>
      <c r="N17" s="3728"/>
      <c r="O17" s="3726"/>
      <c r="P17" s="3724">
        <f>P18</f>
        <v>100000000</v>
      </c>
      <c r="Q17" s="3726"/>
      <c r="R17" s="733"/>
      <c r="S17" s="3726"/>
      <c r="T17" s="3725"/>
    </row>
    <row r="18" spans="1:28" s="668" customFormat="1" ht="51">
      <c r="A18" s="930"/>
      <c r="C18" s="700"/>
      <c r="D18" s="668">
        <v>4</v>
      </c>
      <c r="E18" s="712" t="str">
        <f>'ALL-USD40.1M'!N67</f>
        <v>Integrated Participatory Development and Management of Irrigation Project - Phase II</v>
      </c>
      <c r="P18" s="948">
        <f>'ALL-USD40.1M'!Y68</f>
        <v>100000000</v>
      </c>
      <c r="Q18" s="845"/>
      <c r="R18" s="967" t="str">
        <f>'ALL-USD40.1M'!Z68</f>
        <v>IFAD</v>
      </c>
      <c r="S18" s="968" t="str">
        <f>'ALL-USD40.1M'!AA68</f>
        <v>Belum proses</v>
      </c>
      <c r="T18" s="969" t="str">
        <f>'ALL-USD40.1M'!AG68</f>
        <v>- Co-financing dengan ADB
- Nilai pinjaman dari IFAD belum tentu USD 100 juta, karena ada rencana penambahan pinjaman dari IFAD dengan total nilai (USD 150 juta) untuk 3 kegiatan</v>
      </c>
    </row>
    <row r="19" spans="1:28">
      <c r="A19" s="925"/>
      <c r="B19" s="742">
        <v>2</v>
      </c>
      <c r="C19" s="692" t="s">
        <v>255</v>
      </c>
      <c r="D19" s="692"/>
      <c r="E19" s="693"/>
      <c r="F19" s="694" t="e">
        <f>#REF!+#REF!+#REF!+#REF!+F23+#REF!+#REF!+#REF!+#REF!+#REF!+#REF!+#REF!+#REF!+#REF!+#REF!</f>
        <v>#REF!</v>
      </c>
      <c r="G19" s="695" t="e">
        <f>+#REF!+#REF!+#REF!+#REF!+G23+#REF!+#REF!+#REF!+#REF!+#REF!+#REF!+#REF!+#REF!+#REF!+#REF!</f>
        <v>#REF!</v>
      </c>
      <c r="H19" s="695" t="e">
        <f>+#REF!+#REF!+#REF!+#REF!+H23+#REF!+#REF!+#REF!+#REF!+#REF!+#REF!+#REF!+#REF!+#REF!+#REF!</f>
        <v>#REF!</v>
      </c>
      <c r="I19" s="695" t="e">
        <f>+#REF!+#REF!+#REF!+#REF!+I23+#REF!+#REF!+#REF!+#REF!+#REF!+#REF!+#REF!+#REF!+#REF!+#REF!</f>
        <v>#REF!</v>
      </c>
      <c r="J19" s="769" t="e">
        <f>+#REF!+#REF!+#REF!+#REF!+J23+#REF!+#REF!+#REF!+#REF!+#REF!+#REF!+#REF!+#REF!+#REF!+#REF!</f>
        <v>#REF!</v>
      </c>
      <c r="K19" s="770"/>
      <c r="L19" s="771"/>
      <c r="M19" s="772" t="e">
        <f>+#REF!+#REF!+#REF!+#REF!+M23+#REF!+#REF!+#REF!+#REF!+#REF!+#REF!+#REF!+#REF!+#REF!+#REF!</f>
        <v>#REF!</v>
      </c>
      <c r="N19" s="772" t="e">
        <f>+#REF!+#REF!+#REF!+#REF!+N23+#REF!+#REF!+#REF!+#REF!+#REF!+#REF!+#REF!+#REF!+#REF!+#REF!</f>
        <v>#REF!</v>
      </c>
      <c r="O19" s="773" t="e">
        <f>+#REF!+#REF!+#REF!+#REF!+O23+#REF!+#REF!+#REF!+#REF!+#REF!+#REF!+#REF!+#REF!</f>
        <v>#REF!</v>
      </c>
      <c r="P19" s="772">
        <f>P22+P21</f>
        <v>904644400</v>
      </c>
      <c r="Q19" s="772"/>
      <c r="R19" s="790"/>
      <c r="S19" s="810"/>
      <c r="T19" s="811"/>
      <c r="U19" s="771" t="e">
        <f>+#REF!+#REF!+#REF!+#REF!+U23+#REF!+#REF!+#REF!+#REF!+#REF!+#REF!+#REF!+#REF!+#REF!+#REF!</f>
        <v>#REF!</v>
      </c>
      <c r="V19" s="772" t="s">
        <v>21</v>
      </c>
      <c r="W19" s="694"/>
      <c r="X19" s="812"/>
      <c r="Y19" s="889"/>
      <c r="Z19" s="890"/>
      <c r="AA19" s="891"/>
      <c r="AB19" s="892"/>
    </row>
    <row r="20" spans="1:28">
      <c r="A20" s="931"/>
      <c r="B20" s="932"/>
      <c r="C20" s="933" t="s">
        <v>23</v>
      </c>
      <c r="D20" s="934" t="s">
        <v>258</v>
      </c>
      <c r="E20" s="935"/>
      <c r="F20" s="773"/>
      <c r="G20" s="936"/>
      <c r="H20" s="936"/>
      <c r="I20" s="936"/>
      <c r="J20" s="771"/>
      <c r="K20" s="936"/>
      <c r="L20" s="771"/>
      <c r="M20" s="772"/>
      <c r="N20" s="772"/>
      <c r="O20" s="773"/>
      <c r="P20" s="949"/>
      <c r="Q20" s="970"/>
      <c r="R20" s="971"/>
      <c r="S20" s="972"/>
      <c r="T20" s="973"/>
      <c r="U20" s="974"/>
      <c r="V20" s="974"/>
      <c r="W20" s="974"/>
      <c r="X20" s="975"/>
      <c r="Y20" s="997"/>
      <c r="Z20" s="997"/>
      <c r="AA20" s="997"/>
      <c r="AB20" s="998"/>
    </row>
    <row r="21" spans="1:28">
      <c r="A21" s="931"/>
      <c r="B21" s="932"/>
      <c r="C21" s="933"/>
      <c r="D21" s="712">
        <v>1</v>
      </c>
      <c r="E21" s="712" t="str">
        <f>'ALL-USD40.1M'!N119</f>
        <v>Construction of Railway line for Bitung - Gorontalo - Isimu</v>
      </c>
      <c r="F21" s="773"/>
      <c r="G21" s="936"/>
      <c r="H21" s="936"/>
      <c r="I21" s="936"/>
      <c r="J21" s="771"/>
      <c r="K21" s="936"/>
      <c r="L21" s="771"/>
      <c r="M21" s="772"/>
      <c r="N21" s="772"/>
      <c r="O21" s="773"/>
      <c r="P21" s="948">
        <f>'ALL-USD40.1M'!Y119</f>
        <v>505476800</v>
      </c>
      <c r="Q21" s="712"/>
      <c r="R21" s="976" t="str">
        <f>'ALL-USD40.1M'!Z119</f>
        <v>AIIB</v>
      </c>
      <c r="S21" s="968" t="s">
        <v>879</v>
      </c>
      <c r="T21" s="712"/>
      <c r="U21" s="974"/>
      <c r="V21" s="974"/>
      <c r="W21" s="974"/>
      <c r="X21" s="975"/>
      <c r="Y21" s="997"/>
      <c r="Z21" s="997"/>
      <c r="AA21" s="997"/>
      <c r="AB21" s="998"/>
    </row>
    <row r="22" spans="1:28">
      <c r="A22" s="931"/>
      <c r="B22" s="932"/>
      <c r="C22" s="933"/>
      <c r="D22" s="712">
        <v>2</v>
      </c>
      <c r="E22" s="712" t="str">
        <f>'ALL-USD40.1M'!N120</f>
        <v>Construction of Railway line for Pare-pare - Mamuju</v>
      </c>
      <c r="F22" s="773"/>
      <c r="G22" s="936"/>
      <c r="H22" s="936"/>
      <c r="I22" s="936"/>
      <c r="J22" s="771"/>
      <c r="K22" s="936"/>
      <c r="L22" s="771"/>
      <c r="M22" s="772"/>
      <c r="N22" s="772"/>
      <c r="O22" s="773"/>
      <c r="P22" s="948">
        <f>'ALL-USD40.1M'!Y120</f>
        <v>399167600</v>
      </c>
      <c r="Q22" s="712"/>
      <c r="R22" s="976" t="str">
        <f>'ALL-USD40.1M'!Z120</f>
        <v>AIIB</v>
      </c>
      <c r="S22" s="968" t="s">
        <v>879</v>
      </c>
      <c r="T22" s="712"/>
      <c r="U22" s="974"/>
      <c r="V22" s="974"/>
      <c r="W22" s="974"/>
      <c r="X22" s="975"/>
      <c r="Y22" s="997"/>
      <c r="Z22" s="997"/>
      <c r="AA22" s="997"/>
      <c r="AB22" s="998"/>
    </row>
    <row r="23" spans="1:28" ht="15.75">
      <c r="A23" s="685" t="s">
        <v>960</v>
      </c>
      <c r="B23" s="865" t="str">
        <f>DATA!D160</f>
        <v>NON-INFRASTRUKTUR</v>
      </c>
      <c r="C23" s="746"/>
      <c r="D23" s="747"/>
      <c r="E23" s="937"/>
      <c r="F23" s="686"/>
      <c r="G23" s="686"/>
      <c r="H23" s="686"/>
      <c r="I23" s="686"/>
      <c r="J23" s="686"/>
      <c r="K23" s="686"/>
      <c r="L23" s="686"/>
      <c r="M23" s="686"/>
      <c r="N23" s="686"/>
      <c r="O23" s="865"/>
      <c r="P23" s="950">
        <f>P24+P28+P31</f>
        <v>1298665700</v>
      </c>
      <c r="Q23" s="937"/>
      <c r="R23" s="977"/>
      <c r="S23" s="747"/>
      <c r="T23" s="867"/>
    </row>
    <row r="24" spans="1:28">
      <c r="B24" s="938">
        <f>'ALL-USD40.1M'!K157</f>
        <v>10</v>
      </c>
      <c r="C24" s="872" t="str">
        <f>'ALL-USD40.1M'!L157</f>
        <v>Kementerian Riset, Teknologi, dan Pendidikan Tinggi</v>
      </c>
      <c r="D24" s="729"/>
      <c r="E24" s="748"/>
      <c r="P24" s="951">
        <f>P25</f>
        <v>42987600</v>
      </c>
      <c r="Q24" s="729"/>
      <c r="R24" s="978"/>
      <c r="S24" s="729"/>
      <c r="T24" s="741"/>
    </row>
    <row r="25" spans="1:28" ht="25.5" customHeight="1">
      <c r="B25" s="939"/>
      <c r="C25" s="733" t="str">
        <f>'ALL-USD40.1M'!L158</f>
        <v>A</v>
      </c>
      <c r="D25" s="3734" t="str">
        <f>'ALL-USD40.1M'!M158</f>
        <v xml:space="preserve">Program Peningkatan Akses, Kualitas, Relevansi, dan Daya Saing Pendidikan Tinggi </v>
      </c>
      <c r="E25" s="3735"/>
      <c r="F25" s="873"/>
      <c r="G25" s="873"/>
      <c r="H25" s="873"/>
      <c r="I25" s="873"/>
      <c r="J25" s="873"/>
      <c r="K25" s="873"/>
      <c r="L25" s="873"/>
      <c r="M25" s="873"/>
      <c r="N25" s="873"/>
      <c r="O25" s="857"/>
      <c r="P25" s="791">
        <f>P26+P27</f>
        <v>42987600</v>
      </c>
      <c r="Q25" s="873"/>
      <c r="R25" s="979"/>
      <c r="S25" s="947"/>
      <c r="T25" s="818"/>
    </row>
    <row r="26" spans="1:28" s="669" customFormat="1" ht="38.25" customHeight="1">
      <c r="B26" s="940"/>
      <c r="C26" s="703"/>
      <c r="D26" s="941">
        <v>5</v>
      </c>
      <c r="E26" s="712" t="str">
        <f>'ALL-USD40.1M'!N161</f>
        <v>Establishment of University of Bengkulu’s Hospital</v>
      </c>
      <c r="F26" s="713"/>
      <c r="G26" s="713"/>
      <c r="H26" s="713"/>
      <c r="I26" s="713"/>
      <c r="J26" s="713"/>
      <c r="K26" s="713"/>
      <c r="L26" s="713"/>
      <c r="M26" s="713"/>
      <c r="N26" s="713"/>
      <c r="O26" s="713"/>
      <c r="P26" s="841">
        <f>'ALL-USD40.1M'!Y161</f>
        <v>10278200</v>
      </c>
      <c r="Q26" s="713"/>
      <c r="R26" s="980" t="str">
        <f>'ALL-USD40.1M'!Z161</f>
        <v>SFD</v>
      </c>
      <c r="S26" s="981" t="str">
        <f>'ALL-USD40.1M'!AA161</f>
        <v>Sudah terdapat RC</v>
      </c>
      <c r="T26" s="841">
        <f>'ALL-USD40.1M'!AG161</f>
        <v>0</v>
      </c>
    </row>
    <row r="27" spans="1:28">
      <c r="B27" s="915"/>
      <c r="C27" s="875"/>
      <c r="D27">
        <v>6</v>
      </c>
      <c r="E27" s="702" t="str">
        <f>'ALL-USD40.1M'!N165</f>
        <v>Development and Upgrading of the State University of Jakarta - Phase 2</v>
      </c>
      <c r="P27" s="952">
        <f>'ALL-USD40.1M'!Y165</f>
        <v>32709400</v>
      </c>
      <c r="R27" s="982" t="str">
        <f>'ALL-USD40.1M'!Z165</f>
        <v>SFD</v>
      </c>
      <c r="S27" s="983" t="str">
        <f>'ALL-USD40.1M'!AA165</f>
        <v>Sudah terdapat RC</v>
      </c>
      <c r="T27" s="926"/>
    </row>
    <row r="28" spans="1:28">
      <c r="B28" s="728">
        <f>'ALL-USD40.1M'!K168</f>
        <v>11</v>
      </c>
      <c r="C28" s="736" t="str">
        <f>'ALL-USD40.1M'!L168</f>
        <v>Kementerian Agama</v>
      </c>
      <c r="D28" s="729"/>
      <c r="E28" s="753"/>
      <c r="P28" s="953">
        <f>P29</f>
        <v>59935500</v>
      </c>
      <c r="Q28" s="729"/>
      <c r="R28" s="978"/>
      <c r="S28" s="872"/>
      <c r="T28" s="984"/>
    </row>
    <row r="29" spans="1:28" ht="25.5" customHeight="1">
      <c r="B29" s="702"/>
      <c r="C29" s="697" t="str">
        <f>'ALL-USD40.1M'!L169</f>
        <v>A</v>
      </c>
      <c r="D29" s="3728" t="str">
        <f>'ALL-USD40.1M'!M169</f>
        <v>Program Peningkatan Akses, Kualitas, Relevansi, dan Daya Saing Pendidikan Tinggi Islam</v>
      </c>
      <c r="E29" s="3815"/>
      <c r="F29" s="699"/>
      <c r="G29" s="699"/>
      <c r="H29" s="699"/>
      <c r="I29" s="699"/>
      <c r="J29" s="699"/>
      <c r="K29" s="699"/>
      <c r="L29" s="699"/>
      <c r="M29" s="699"/>
      <c r="N29" s="699"/>
      <c r="O29" s="817"/>
      <c r="P29" s="954">
        <f>P30</f>
        <v>59935500</v>
      </c>
      <c r="Q29" s="699"/>
      <c r="R29" s="979"/>
      <c r="S29" s="733"/>
      <c r="T29" s="985"/>
    </row>
    <row r="30" spans="1:28">
      <c r="B30" s="702"/>
      <c r="D30" s="896">
        <v>7</v>
      </c>
      <c r="E30" s="895" t="str">
        <f>'ALL-USD40.1M'!N178</f>
        <v>The Development of UIN Maulana Malik Ibrahim Malang - Phase II</v>
      </c>
      <c r="P30" s="826">
        <f>'ALL-USD40.1M'!Y178</f>
        <v>59935500</v>
      </c>
      <c r="R30" s="986" t="str">
        <f>'ALL-USD40.1M'!Z178</f>
        <v>SFD</v>
      </c>
      <c r="S30" s="952" t="str">
        <f>'ALL-USD40.1M'!AA178</f>
        <v>Belum proses</v>
      </c>
      <c r="T30" s="926"/>
    </row>
    <row r="31" spans="1:28">
      <c r="B31" s="728">
        <f>'ALL-USD40.1M'!K202</f>
        <v>15</v>
      </c>
      <c r="C31" s="729" t="str">
        <f>'ALL-USD40.1M'!L202</f>
        <v>Kementerian Pertanian</v>
      </c>
      <c r="D31" s="740"/>
      <c r="E31" s="942"/>
      <c r="P31" s="955">
        <f>P32+P35</f>
        <v>1195742600</v>
      </c>
      <c r="Q31" s="740"/>
      <c r="R31" s="900"/>
      <c r="S31" s="987"/>
      <c r="T31" s="741"/>
    </row>
    <row r="32" spans="1:28" ht="25.5" customHeight="1">
      <c r="B32" s="702"/>
      <c r="C32" s="720" t="str">
        <f>'ALL-USD40.1M'!L203</f>
        <v>A</v>
      </c>
      <c r="D32" s="3819" t="str">
        <f>'ALL-USD40.1M'!M203</f>
        <v>Program Penyediaan dan Pengembangan Prasarana dan Sarana Pertanian</v>
      </c>
      <c r="E32" s="3856"/>
      <c r="F32" s="943"/>
      <c r="G32" s="943"/>
      <c r="H32" s="943"/>
      <c r="I32" s="943"/>
      <c r="J32" s="943"/>
      <c r="K32" s="943"/>
      <c r="L32" s="943"/>
      <c r="M32" s="943"/>
      <c r="N32" s="943"/>
      <c r="O32" s="956"/>
      <c r="P32" s="957">
        <f>P33+P34</f>
        <v>1096842600</v>
      </c>
      <c r="Q32" s="956"/>
      <c r="R32" s="988"/>
      <c r="S32" s="989"/>
      <c r="T32" s="990"/>
    </row>
    <row r="33" spans="2:20">
      <c r="B33" s="702"/>
      <c r="D33" s="708">
        <v>8</v>
      </c>
      <c r="E33" s="898" t="str">
        <f>'ALL-USD40.1M'!N204</f>
        <v>Extensification of New Paddy Field Area</v>
      </c>
      <c r="F33" s="897"/>
      <c r="G33" s="897"/>
      <c r="H33" s="897"/>
      <c r="I33" s="897"/>
      <c r="J33" s="897"/>
      <c r="K33" s="897"/>
      <c r="L33" s="897"/>
      <c r="M33" s="897"/>
      <c r="N33" s="897"/>
      <c r="O33" s="897"/>
      <c r="P33" s="920">
        <f>'ALL-USD40.1M'!Y204</f>
        <v>686166600</v>
      </c>
      <c r="Q33" s="897"/>
      <c r="R33" s="991" t="str">
        <f>'ALL-USD40.1M'!Z204</f>
        <v>SFD</v>
      </c>
      <c r="S33" s="992" t="str">
        <f>'ALL-USD40.1M'!AA204</f>
        <v>Proses penyusunan RC/FS</v>
      </c>
      <c r="T33" s="792" t="str">
        <f>'ALL-USD40.1M'!AG204</f>
        <v xml:space="preserve"> Co-financing sebagian dengan IDB (USD 125 juta)</v>
      </c>
    </row>
    <row r="34" spans="2:20">
      <c r="B34" s="702"/>
      <c r="D34" s="893">
        <v>9</v>
      </c>
      <c r="E34" s="926" t="str">
        <f>'ALL-USD40.1M'!N206</f>
        <v>Upland Development for National Food Security</v>
      </c>
      <c r="P34" s="826">
        <f>'ALL-USD40.1M'!Y206</f>
        <v>410676000</v>
      </c>
      <c r="R34" s="966" t="str">
        <f>'ALL-USD40.1M'!Z206</f>
        <v>SFD</v>
      </c>
      <c r="S34" s="750" t="str">
        <f>'ALL-USD40.1M'!AA206</f>
        <v>Proses penyusunan RC/FS</v>
      </c>
      <c r="T34" s="952" t="str">
        <f>'ALL-USD40.1M'!AG206</f>
        <v>Co-financing dengan IDB (USD 125 juta)</v>
      </c>
    </row>
    <row r="35" spans="2:20" ht="25.5" customHeight="1">
      <c r="B35" s="702"/>
      <c r="C35" s="720" t="str">
        <f>'ALL-USD40.1M'!L208</f>
        <v>B</v>
      </c>
      <c r="D35" s="3817" t="str">
        <f>'ALL-USD40.1M'!M208</f>
        <v>Program Peningkatan Penyuluhan, Pendidikan, dan Pelatihan Pertanian</v>
      </c>
      <c r="E35" s="3818"/>
      <c r="F35" s="697"/>
      <c r="G35" s="699"/>
      <c r="H35" s="699"/>
      <c r="I35" s="699"/>
      <c r="J35" s="699"/>
      <c r="K35" s="699"/>
      <c r="L35" s="699"/>
      <c r="M35" s="699"/>
      <c r="N35" s="699"/>
      <c r="O35" s="817"/>
      <c r="P35" s="954">
        <f>P36+P37</f>
        <v>98900000</v>
      </c>
      <c r="Q35" s="817"/>
      <c r="R35" s="858"/>
      <c r="S35" s="947"/>
      <c r="T35" s="858"/>
    </row>
    <row r="36" spans="2:20" ht="30">
      <c r="B36" s="702"/>
      <c r="D36" s="875">
        <v>10</v>
      </c>
      <c r="E36" s="944" t="str">
        <f>'ALL-USD40.1M'!N209</f>
        <v>Young Enterpreneur Growth and Development for Sustainable Agricultural Development</v>
      </c>
      <c r="P36" s="826">
        <f>'ALL-USD40.1M'!Y209</f>
        <v>68900000</v>
      </c>
      <c r="R36" s="993" t="str">
        <f>'ALL-USD40.1M'!Z209</f>
        <v>IFAD</v>
      </c>
      <c r="S36" s="778" t="str">
        <f>'ALL-USD40.1M'!AA209</f>
        <v>Proses penyusunan RC</v>
      </c>
      <c r="T36" s="841" t="str">
        <f>'ALL-USD40.1M'!AG209</f>
        <v>Dalam tahapan Design Mission / Project Identifcation</v>
      </c>
    </row>
    <row r="37" spans="2:20" s="668" customFormat="1" ht="75">
      <c r="B37" s="700"/>
      <c r="D37" s="700">
        <v>11</v>
      </c>
      <c r="E37" s="703" t="str">
        <f>'ALL-USD40.1M'!N210</f>
        <v>Rural Empowerment and Agricultural Development (READ) Programme in Sulawesi Island – Phase II</v>
      </c>
      <c r="F37" s="719"/>
      <c r="G37" s="719"/>
      <c r="H37" s="719"/>
      <c r="I37" s="719"/>
      <c r="J37" s="719"/>
      <c r="K37" s="719"/>
      <c r="L37" s="719"/>
      <c r="M37" s="719"/>
      <c r="N37" s="719"/>
      <c r="O37" s="719"/>
      <c r="P37" s="784">
        <f>'ALL-USD40.1M'!Y210</f>
        <v>30000000</v>
      </c>
      <c r="R37" s="994" t="str">
        <f>'ALL-USD40.1M'!Z210</f>
        <v>IFAD</v>
      </c>
      <c r="S37" s="669" t="str">
        <f>'ALL-USD40.1M'!AA210</f>
        <v>- GB 2017 (USD 39,8 juta)
- Proses Daftar Kegiatan</v>
      </c>
      <c r="T37" s="995" t="str">
        <f>'ALL-USD40.1M'!AG210</f>
        <v>-Terdapat pergantian nama menjadi Rural Empowerment and Agricultural Development (READ) Programme 
– Phase II karena dilakukan tidak di Sulawesi
- Kekurangan USD 9,8 juta mengambil alokasi dari pinjaman kegiatan YESS</v>
      </c>
    </row>
    <row r="38" spans="2:20">
      <c r="B38" s="3800" t="s">
        <v>477</v>
      </c>
      <c r="C38" s="3801"/>
      <c r="D38" s="3801"/>
      <c r="E38" s="3802"/>
      <c r="F38" s="907"/>
      <c r="G38" s="907"/>
      <c r="H38" s="907"/>
      <c r="I38" s="907"/>
      <c r="J38" s="907"/>
      <c r="K38" s="907"/>
      <c r="L38" s="907"/>
      <c r="M38" s="907"/>
      <c r="N38" s="907"/>
      <c r="O38" s="907"/>
      <c r="P38" s="958">
        <f>P23+P7</f>
        <v>2063545700</v>
      </c>
      <c r="Q38" s="907"/>
      <c r="R38" s="996"/>
      <c r="S38" s="907"/>
      <c r="T38" s="924"/>
    </row>
    <row r="39" spans="2:20">
      <c r="P39" s="535"/>
    </row>
    <row r="40" spans="2:20">
      <c r="P40" s="535"/>
    </row>
    <row r="41" spans="2:20">
      <c r="P41" s="535"/>
    </row>
    <row r="42" spans="2:20">
      <c r="P42" s="535"/>
    </row>
    <row r="43" spans="2:20">
      <c r="P43" s="535"/>
    </row>
    <row r="44" spans="2:20">
      <c r="P44" s="535"/>
    </row>
    <row r="45" spans="2:20">
      <c r="P45" s="535"/>
    </row>
    <row r="46" spans="2:20">
      <c r="P46" s="535"/>
    </row>
    <row r="47" spans="2:20">
      <c r="P47" s="535"/>
    </row>
    <row r="48" spans="2:20">
      <c r="P48" s="535"/>
    </row>
    <row r="49" spans="16:16">
      <c r="P49" s="535"/>
    </row>
    <row r="50" spans="16:16">
      <c r="P50" s="535"/>
    </row>
    <row r="51" spans="16:16">
      <c r="P51" s="535"/>
    </row>
    <row r="52" spans="16:16">
      <c r="P52" s="535"/>
    </row>
    <row r="53" spans="16:16">
      <c r="P53" s="535"/>
    </row>
  </sheetData>
  <mergeCells count="38">
    <mergeCell ref="D25:E25"/>
    <mergeCell ref="D29:E29"/>
    <mergeCell ref="D32:E32"/>
    <mergeCell ref="D35:E35"/>
    <mergeCell ref="B38:E38"/>
    <mergeCell ref="L15:M15"/>
    <mergeCell ref="N15:O15"/>
    <mergeCell ref="P15:Q15"/>
    <mergeCell ref="S15:T15"/>
    <mergeCell ref="D17:E17"/>
    <mergeCell ref="F17:G17"/>
    <mergeCell ref="H17:I17"/>
    <mergeCell ref="J17:K17"/>
    <mergeCell ref="L17:M17"/>
    <mergeCell ref="N17:O17"/>
    <mergeCell ref="P17:Q17"/>
    <mergeCell ref="S17:T17"/>
    <mergeCell ref="D9:E9"/>
    <mergeCell ref="D15:E15"/>
    <mergeCell ref="F15:G15"/>
    <mergeCell ref="H15:I15"/>
    <mergeCell ref="J15:K15"/>
    <mergeCell ref="A1:AB1"/>
    <mergeCell ref="A2:T2"/>
    <mergeCell ref="L4:O4"/>
    <mergeCell ref="U4:W4"/>
    <mergeCell ref="X4:AB4"/>
    <mergeCell ref="F4:F5"/>
    <mergeCell ref="G4:G5"/>
    <mergeCell ref="H4:H5"/>
    <mergeCell ref="I4:I5"/>
    <mergeCell ref="J4:J5"/>
    <mergeCell ref="K4:K5"/>
    <mergeCell ref="P4:P5"/>
    <mergeCell ref="Q4:Q5"/>
    <mergeCell ref="S4:S5"/>
    <mergeCell ref="T4:T5"/>
    <mergeCell ref="A4:E5"/>
  </mergeCells>
  <pageMargins left="0.69930555555555596" right="0.69930555555555596" top="0.75" bottom="0.75" header="0.3" footer="0.3"/>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2"/>
  <sheetViews>
    <sheetView topLeftCell="A69" zoomScale="70" zoomScaleNormal="70" workbookViewId="0">
      <selection activeCell="AE107" sqref="AE107"/>
    </sheetView>
  </sheetViews>
  <sheetFormatPr defaultColWidth="9" defaultRowHeight="15"/>
  <cols>
    <col min="1" max="1" width="2.85546875" customWidth="1"/>
    <col min="2" max="2" width="4.7109375" customWidth="1"/>
    <col min="3" max="3" width="2.85546875" customWidth="1"/>
    <col min="4" max="4" width="4.85546875" customWidth="1"/>
    <col min="5" max="5" width="68.140625" customWidth="1"/>
    <col min="6" max="15" width="9" hidden="1" customWidth="1"/>
    <col min="16" max="16" width="24" customWidth="1"/>
    <col min="17" max="17" width="5.140625" hidden="1" customWidth="1"/>
    <col min="18" max="18" width="32.28515625" customWidth="1"/>
    <col min="19" max="19" width="25" customWidth="1"/>
    <col min="20" max="20" width="54.28515625" customWidth="1"/>
    <col min="21" max="28" width="9" hidden="1" customWidth="1"/>
  </cols>
  <sheetData>
    <row r="1" spans="1:28" ht="18">
      <c r="A1" s="3708"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c r="AB1" s="3697"/>
    </row>
    <row r="2" spans="1:28" ht="18">
      <c r="A2" s="3708" t="s">
        <v>1393</v>
      </c>
      <c r="B2" s="3697"/>
      <c r="C2" s="3697"/>
      <c r="D2" s="3697"/>
      <c r="E2" s="3697"/>
      <c r="F2" s="3697"/>
      <c r="G2" s="3697"/>
      <c r="H2" s="3697"/>
      <c r="I2" s="3697"/>
      <c r="J2" s="3697"/>
      <c r="K2" s="3697"/>
      <c r="L2" s="3697"/>
      <c r="M2" s="3697"/>
      <c r="N2" s="3697"/>
      <c r="O2" s="3697"/>
      <c r="P2" s="3697"/>
      <c r="Q2" s="3697"/>
      <c r="R2" s="3697"/>
      <c r="S2" s="3697"/>
      <c r="T2" s="3697"/>
      <c r="U2" s="671"/>
      <c r="V2" s="671"/>
      <c r="W2" s="671"/>
      <c r="X2" s="671"/>
      <c r="Y2" s="671"/>
      <c r="Z2" s="671"/>
      <c r="AA2" s="671"/>
      <c r="AB2" s="671"/>
    </row>
    <row r="3" spans="1:28">
      <c r="A3" s="672"/>
      <c r="B3" s="673"/>
      <c r="C3" s="673"/>
      <c r="D3" s="673"/>
      <c r="E3" s="674"/>
      <c r="F3" s="675"/>
      <c r="G3" s="675"/>
      <c r="H3" s="676"/>
      <c r="I3" s="676"/>
      <c r="J3" s="675"/>
      <c r="K3" s="675"/>
      <c r="L3" s="754"/>
      <c r="M3" s="675"/>
      <c r="N3" s="675"/>
      <c r="O3" s="675"/>
      <c r="P3" s="675"/>
      <c r="Q3" s="675"/>
      <c r="R3" s="675"/>
      <c r="S3" s="675"/>
      <c r="T3" s="675"/>
      <c r="U3" s="674"/>
      <c r="V3" s="674"/>
      <c r="W3" s="674"/>
      <c r="X3" s="754"/>
      <c r="Y3" s="754"/>
      <c r="Z3" s="754"/>
      <c r="AA3" s="754"/>
      <c r="AB3" s="878"/>
    </row>
    <row r="4" spans="1:28" ht="16.5" customHeight="1">
      <c r="A4" s="3811" t="s">
        <v>2</v>
      </c>
      <c r="B4" s="3812"/>
      <c r="C4" s="3812"/>
      <c r="D4" s="3812"/>
      <c r="E4" s="3812"/>
      <c r="F4" s="3807" t="s">
        <v>1382</v>
      </c>
      <c r="G4" s="3804" t="s">
        <v>1383</v>
      </c>
      <c r="H4" s="3808" t="s">
        <v>1082</v>
      </c>
      <c r="I4" s="3808" t="s">
        <v>1083</v>
      </c>
      <c r="J4" s="3809" t="s">
        <v>1384</v>
      </c>
      <c r="K4" s="3810" t="s">
        <v>1085</v>
      </c>
      <c r="L4" s="3803" t="s">
        <v>1088</v>
      </c>
      <c r="M4" s="3768"/>
      <c r="N4" s="3768"/>
      <c r="O4" s="3769"/>
      <c r="P4" s="3804" t="s">
        <v>1136</v>
      </c>
      <c r="Q4" s="3804" t="s">
        <v>7</v>
      </c>
      <c r="R4" s="677" t="s">
        <v>7</v>
      </c>
      <c r="S4" s="3804" t="s">
        <v>1137</v>
      </c>
      <c r="T4" s="3805" t="s">
        <v>10</v>
      </c>
      <c r="U4" s="3713" t="s">
        <v>1089</v>
      </c>
      <c r="V4" s="3768"/>
      <c r="W4" s="3769"/>
      <c r="X4" s="3716" t="s">
        <v>1086</v>
      </c>
      <c r="Y4" s="3768"/>
      <c r="Z4" s="3768"/>
      <c r="AA4" s="3768"/>
      <c r="AB4" s="3770"/>
    </row>
    <row r="5" spans="1:28" ht="0.75" customHeight="1">
      <c r="A5" s="3813"/>
      <c r="B5" s="3786"/>
      <c r="C5" s="3786"/>
      <c r="D5" s="3786"/>
      <c r="E5" s="3786"/>
      <c r="F5" s="3772"/>
      <c r="G5" s="3774"/>
      <c r="H5" s="3774"/>
      <c r="I5" s="3774"/>
      <c r="J5" s="3777"/>
      <c r="K5" s="3779"/>
      <c r="L5" s="755" t="s">
        <v>11</v>
      </c>
      <c r="M5" s="756" t="s">
        <v>507</v>
      </c>
      <c r="N5" s="756" t="s">
        <v>1090</v>
      </c>
      <c r="O5" s="757" t="s">
        <v>509</v>
      </c>
      <c r="P5" s="3774"/>
      <c r="Q5" s="3774"/>
      <c r="R5" s="678"/>
      <c r="S5" s="3774"/>
      <c r="T5" s="3806"/>
      <c r="U5" s="755" t="s">
        <v>507</v>
      </c>
      <c r="V5" s="802" t="s">
        <v>510</v>
      </c>
      <c r="W5" s="757" t="s">
        <v>511</v>
      </c>
      <c r="X5" s="803" t="s">
        <v>550</v>
      </c>
      <c r="Y5" s="755" t="s">
        <v>1091</v>
      </c>
      <c r="Z5" s="802" t="s">
        <v>15</v>
      </c>
      <c r="AA5" s="879" t="s">
        <v>1092</v>
      </c>
      <c r="AB5" s="880" t="s">
        <v>511</v>
      </c>
    </row>
    <row r="6" spans="1:28">
      <c r="A6" s="679"/>
      <c r="B6" s="680"/>
      <c r="C6" s="680"/>
      <c r="D6" s="680"/>
      <c r="E6" s="681"/>
      <c r="F6" s="682"/>
      <c r="G6" s="683"/>
      <c r="H6" s="684"/>
      <c r="I6" s="684"/>
      <c r="J6" s="758"/>
      <c r="K6" s="759"/>
      <c r="L6" s="760"/>
      <c r="M6" s="761"/>
      <c r="N6" s="761"/>
      <c r="O6" s="762"/>
      <c r="P6" s="763"/>
      <c r="Q6" s="763"/>
      <c r="R6" s="763"/>
      <c r="S6" s="763"/>
      <c r="T6" s="804"/>
      <c r="U6" s="805"/>
      <c r="V6" s="761"/>
      <c r="W6" s="762"/>
      <c r="X6" s="806"/>
      <c r="Y6" s="881"/>
      <c r="Z6" s="882"/>
      <c r="AA6" s="883"/>
      <c r="AB6" s="884"/>
    </row>
    <row r="7" spans="1:28" ht="15.75">
      <c r="A7" s="685" t="str">
        <f>DATA!B2</f>
        <v>I</v>
      </c>
      <c r="B7" s="686" t="str">
        <f>DATA!D2</f>
        <v>INFRASTRUKTUR</v>
      </c>
      <c r="C7" s="686"/>
      <c r="D7" s="686"/>
      <c r="E7" s="687"/>
      <c r="F7" s="688" t="e">
        <f>F8+#REF!+#REF!+#REF!+#REF!+#REF!+#REF!+#REF!+#REF!+#REF!</f>
        <v>#REF!</v>
      </c>
      <c r="G7" s="689" t="e">
        <f>G8+#REF!+#REF!+#REF!+#REF!+#REF!+#REF!+#REF!+#REF!+#REF!</f>
        <v>#REF!</v>
      </c>
      <c r="H7" s="689" t="e">
        <f>+H8+#REF!+#REF!+#REF!+#REF!+#REF!+#REF!+#REF!+#REF!</f>
        <v>#REF!</v>
      </c>
      <c r="I7" s="689" t="e">
        <f>+I8+#REF!+#REF!+#REF!+#REF!+#REF!+#REF!+#REF!+#REF!</f>
        <v>#REF!</v>
      </c>
      <c r="J7" s="764" t="e">
        <f>+J8+#REF!+#REF!+#REF!+#REF!+#REF!+#REF!+#REF!+#REF!</f>
        <v>#REF!</v>
      </c>
      <c r="K7" s="765"/>
      <c r="L7" s="766"/>
      <c r="M7" s="767" t="e">
        <f>+M8+#REF!+#REF!+#REF!+#REF!+#REF!+#REF!+#REF!+#REF!</f>
        <v>#REF!</v>
      </c>
      <c r="N7" s="767" t="e">
        <f>+N8+#REF!+#REF!+#REF!+#REF!+#REF!+#REF!+#REF!+#REF!</f>
        <v>#REF!</v>
      </c>
      <c r="O7" s="768" t="e">
        <f>+O8+#REF!+#REF!+#REF!+#REF!+#REF!</f>
        <v>#REF!</v>
      </c>
      <c r="P7" s="767">
        <f>P8+P38+P43+P46+P49</f>
        <v>5207429120</v>
      </c>
      <c r="Q7" s="767"/>
      <c r="R7" s="767"/>
      <c r="S7" s="807"/>
      <c r="T7" s="808"/>
      <c r="U7" s="766" t="e">
        <f>+U8+#REF!+#REF!+#REF!+#REF!+#REF!+#REF!+#REF!+#REF!</f>
        <v>#REF!</v>
      </c>
      <c r="V7" s="767" t="s">
        <v>21</v>
      </c>
      <c r="W7" s="688" t="e">
        <f>G7-U7</f>
        <v>#REF!</v>
      </c>
      <c r="X7" s="809"/>
      <c r="Y7" s="885"/>
      <c r="Z7" s="886"/>
      <c r="AA7" s="887"/>
      <c r="AB7" s="888"/>
    </row>
    <row r="8" spans="1:28">
      <c r="A8" s="690"/>
      <c r="B8" s="691">
        <f>DATA!E2</f>
        <v>1</v>
      </c>
      <c r="C8" s="692" t="str">
        <f>DATA!F2</f>
        <v>Kementerian Pekerjaan Umum dan Perumahan Rakyat</v>
      </c>
      <c r="D8" s="692"/>
      <c r="E8" s="693"/>
      <c r="F8" s="694"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P9+P11+P13+P15+P18+P20+P24+P27+P34+P36</f>
        <v>3754762620</v>
      </c>
      <c r="Q8" s="772"/>
      <c r="R8" s="772"/>
      <c r="S8" s="810"/>
      <c r="T8" s="811"/>
      <c r="U8" s="771" t="e">
        <f>+#REF!+#REF!+#REF!+#REF!+U9+#REF!+#REF!+#REF!+#REF!+#REF!+#REF!+#REF!+#REF!+#REF!+#REF!</f>
        <v>#REF!</v>
      </c>
      <c r="V8" s="772" t="s">
        <v>21</v>
      </c>
      <c r="W8" s="694"/>
      <c r="X8" s="812"/>
      <c r="Y8" s="889"/>
      <c r="Z8" s="890"/>
      <c r="AA8" s="891"/>
      <c r="AB8" s="892"/>
    </row>
    <row r="9" spans="1:28" ht="27" customHeight="1">
      <c r="B9" s="696"/>
      <c r="C9" s="697" t="str">
        <f>'ALL-USD40.1M'!L10</f>
        <v>A</v>
      </c>
      <c r="D9" s="3728" t="str">
        <f>'ALL-USD40.1M'!M10</f>
        <v xml:space="preserve">Program Pembangunan Jalan Tol </v>
      </c>
      <c r="E9" s="3730"/>
      <c r="F9" s="699"/>
      <c r="G9" s="699"/>
      <c r="H9" s="699"/>
      <c r="I9" s="699"/>
      <c r="J9" s="699"/>
      <c r="K9" s="699"/>
      <c r="L9" s="699"/>
      <c r="M9" s="699"/>
      <c r="N9" s="699"/>
      <c r="O9" s="699"/>
      <c r="P9" s="774">
        <f>P10</f>
        <v>844000000</v>
      </c>
      <c r="Q9" s="699"/>
      <c r="R9" s="699"/>
      <c r="S9" s="699"/>
      <c r="T9" s="699"/>
    </row>
    <row r="10" spans="1:28" s="668" customFormat="1">
      <c r="B10" s="700"/>
      <c r="D10" s="701">
        <v>1</v>
      </c>
      <c r="E10" s="668" t="str">
        <f>'ALL-USD40.1M'!N11</f>
        <v>Toll Road Development in Kalimantan, Sumatera, and Java Islands</v>
      </c>
      <c r="P10" s="775">
        <f>'ALL-USD40.1M'!Y12</f>
        <v>844000000</v>
      </c>
      <c r="R10" s="813" t="str">
        <f>'ALL-USD40.1M'!Z12</f>
        <v>Belum Ada Indikasi</v>
      </c>
      <c r="S10" s="813" t="str">
        <f>'ALL-USD40.1M'!AA12</f>
        <v>Belum proses</v>
      </c>
      <c r="T10" s="814">
        <f>'ALL-USD40.1M'!AG12</f>
        <v>0</v>
      </c>
    </row>
    <row r="11" spans="1:28" ht="27" customHeight="1">
      <c r="B11" s="702"/>
      <c r="C11" s="697" t="str">
        <f>'ALL-USD40.1M'!L14</f>
        <v>B</v>
      </c>
      <c r="D11" s="3728" t="str">
        <f>'ALL-USD40.1M'!M14</f>
        <v xml:space="preserve">Program Pembangunan / Peningkatan Jembatan </v>
      </c>
      <c r="E11" s="3730"/>
      <c r="F11" s="699"/>
      <c r="G11" s="699"/>
      <c r="H11" s="699"/>
      <c r="I11" s="699"/>
      <c r="J11" s="699"/>
      <c r="K11" s="699"/>
      <c r="L11" s="699"/>
      <c r="M11" s="699"/>
      <c r="N11" s="699"/>
      <c r="O11" s="699"/>
      <c r="P11" s="774">
        <f>P12</f>
        <v>355000000</v>
      </c>
      <c r="Q11" s="699"/>
      <c r="R11" s="699"/>
      <c r="S11" s="699"/>
      <c r="T11" s="699"/>
    </row>
    <row r="12" spans="1:28" s="669" customFormat="1">
      <c r="B12" s="703"/>
      <c r="D12" s="704">
        <v>2</v>
      </c>
      <c r="E12" s="705" t="str">
        <f>'ALL-USD40.1M'!N19</f>
        <v>Long Span Bridge Development for Selected Area</v>
      </c>
      <c r="P12" s="776">
        <f>'ALL-USD40.1M'!Y19</f>
        <v>355000000</v>
      </c>
      <c r="R12" s="815" t="str">
        <f>'ALL-USD40.1M'!Z19</f>
        <v>Belum Ada Indikasi</v>
      </c>
      <c r="S12" s="816" t="str">
        <f>'ALL-USD40.1M'!AA19</f>
        <v>Belum proses</v>
      </c>
      <c r="T12" s="776"/>
    </row>
    <row r="13" spans="1:28" ht="27" customHeight="1">
      <c r="B13" s="702"/>
      <c r="C13" s="697" t="str">
        <f>'ALL-USD40.1M'!L20</f>
        <v>C</v>
      </c>
      <c r="D13" s="3728" t="str">
        <f>'ALL-USD40.1M'!M20</f>
        <v>Program Pembangunan / Peningkatan Jalan</v>
      </c>
      <c r="E13" s="3730"/>
      <c r="F13" s="699"/>
      <c r="G13" s="699"/>
      <c r="H13" s="699"/>
      <c r="I13" s="699"/>
      <c r="J13" s="699"/>
      <c r="K13" s="699"/>
      <c r="L13" s="699"/>
      <c r="M13" s="699"/>
      <c r="N13" s="699"/>
      <c r="O13" s="699"/>
      <c r="P13" s="774">
        <f>P14</f>
        <v>250000000</v>
      </c>
      <c r="Q13" s="699"/>
      <c r="R13" s="817"/>
      <c r="S13" s="818"/>
      <c r="T13" s="819"/>
    </row>
    <row r="14" spans="1:28" ht="16.5" customHeight="1">
      <c r="B14" s="702"/>
      <c r="D14" s="706">
        <v>3</v>
      </c>
      <c r="E14" t="str">
        <f>'ALL-USD40.1M'!N26</f>
        <v>National Road Improvement in Central Kalimantan</v>
      </c>
      <c r="P14" s="777">
        <f>'ALL-USD40.1M'!Y26</f>
        <v>250000000</v>
      </c>
      <c r="R14" s="820" t="str">
        <f>'ALL-USD40.1M'!Z26</f>
        <v>Belum Ada Indikasi</v>
      </c>
      <c r="S14" s="821" t="str">
        <f>'ALL-USD40.1M'!AA26</f>
        <v>Belum proses</v>
      </c>
      <c r="T14" s="822"/>
    </row>
    <row r="15" spans="1:28">
      <c r="B15" s="702"/>
      <c r="C15" s="697" t="str">
        <f>DATA!I24</f>
        <v>D</v>
      </c>
      <c r="D15" s="3718" t="str">
        <f>DATA!J24</f>
        <v>Program Pembangunan Air Minum</v>
      </c>
      <c r="E15" s="3730"/>
      <c r="P15" s="3845">
        <f>P16+P17</f>
        <v>128780000</v>
      </c>
      <c r="Q15" s="3730"/>
      <c r="R15" s="710"/>
      <c r="S15" s="3741"/>
      <c r="T15" s="3725"/>
    </row>
    <row r="16" spans="1:28">
      <c r="B16" s="702"/>
      <c r="D16" s="3862"/>
      <c r="E16" s="708" t="str">
        <f>'ALL-USD40.1M'!N36</f>
        <v>The Development of Regional Water Supply System of Petanglong</v>
      </c>
      <c r="F16" s="709"/>
      <c r="G16" s="709"/>
      <c r="H16" s="709"/>
      <c r="I16" s="709"/>
      <c r="J16" s="709"/>
      <c r="K16" s="709"/>
      <c r="L16" s="709"/>
      <c r="M16" s="709"/>
      <c r="N16" s="709"/>
      <c r="O16" s="709"/>
      <c r="P16" s="778">
        <f>'ALL-USD40.1M'!Y36</f>
        <v>95380000</v>
      </c>
      <c r="Q16" s="709"/>
      <c r="R16" s="792" t="str">
        <f>'ALL-USD40.1M'!Z36</f>
        <v>World Bank</v>
      </c>
      <c r="S16" s="792" t="str">
        <f>'ALL-USD40.1M'!AA36</f>
        <v>Belum proses</v>
      </c>
      <c r="T16" s="823"/>
    </row>
    <row r="17" spans="2:20">
      <c r="B17" s="702"/>
      <c r="D17" s="3863"/>
      <c r="E17" s="708" t="str">
        <f>'ALL-USD40.1M'!N37</f>
        <v xml:space="preserve">The Development of Regional Water Supply System of Durolis </v>
      </c>
      <c r="F17" s="709"/>
      <c r="G17" s="709"/>
      <c r="H17" s="709"/>
      <c r="I17" s="709"/>
      <c r="J17" s="709"/>
      <c r="K17" s="709"/>
      <c r="L17" s="709"/>
      <c r="M17" s="709"/>
      <c r="N17" s="709"/>
      <c r="O17" s="709"/>
      <c r="P17" s="778">
        <f>'ALL-USD40.1M'!Y37</f>
        <v>33400000</v>
      </c>
      <c r="Q17" s="709"/>
      <c r="R17" s="792" t="str">
        <f>'ALL-USD40.1M'!Z37</f>
        <v>AFD/World Bank</v>
      </c>
      <c r="S17" s="792" t="str">
        <f>'ALL-USD40.1M'!AA37</f>
        <v>Belum proses</v>
      </c>
      <c r="T17" s="823"/>
    </row>
    <row r="18" spans="2:20">
      <c r="B18" s="702"/>
      <c r="C18" s="697" t="str">
        <f>'ALL-USD40.1M'!L62</f>
        <v>H</v>
      </c>
      <c r="D18" s="3814" t="str">
        <f>'ALL-USD40.1M'!M62</f>
        <v>Program Pembangunan Kota Berkelanjutan</v>
      </c>
      <c r="E18" s="3725"/>
      <c r="F18" s="3726"/>
      <c r="G18" s="3730"/>
      <c r="H18" s="3728"/>
      <c r="I18" s="3730"/>
      <c r="J18" s="3728"/>
      <c r="K18" s="3730"/>
      <c r="L18" s="3728"/>
      <c r="M18" s="3730"/>
      <c r="N18" s="3728"/>
      <c r="O18" s="3730"/>
      <c r="P18" s="3789">
        <f>P19</f>
        <v>175390000</v>
      </c>
      <c r="Q18" s="3730"/>
      <c r="R18" s="710"/>
      <c r="S18" s="3741"/>
      <c r="T18" s="3725"/>
    </row>
    <row r="19" spans="2:20" s="668" customFormat="1">
      <c r="B19" s="700"/>
      <c r="D19" s="711">
        <v>6</v>
      </c>
      <c r="E19" s="711" t="str">
        <f>'ALL-USD40.1M'!N63</f>
        <v>National Urban Development Project</v>
      </c>
      <c r="P19" s="779">
        <f>'ALL-USD40.1M'!Y64</f>
        <v>175390000</v>
      </c>
      <c r="Q19" s="824"/>
      <c r="R19" s="701"/>
      <c r="S19" s="785" t="str">
        <f>'ALL-USD40.1M'!AA64</f>
        <v>Belum proses</v>
      </c>
      <c r="T19" s="825"/>
    </row>
    <row r="20" spans="2:20">
      <c r="B20" s="702"/>
      <c r="C20" s="697" t="str">
        <f>'ALL-USD40.1M'!L65</f>
        <v>I</v>
      </c>
      <c r="D20" s="3834" t="str">
        <f>'ALL-USD40.1M'!M65</f>
        <v>Program Pengembangan dan Pengelolaan Irigasi</v>
      </c>
      <c r="E20" s="3857"/>
      <c r="F20" s="3728"/>
      <c r="G20" s="3730"/>
      <c r="H20" s="3728"/>
      <c r="I20" s="3730"/>
      <c r="J20" s="3728"/>
      <c r="K20" s="3730"/>
      <c r="L20" s="3728"/>
      <c r="M20" s="3730"/>
      <c r="N20" s="3728"/>
      <c r="O20" s="3730"/>
      <c r="P20" s="3789">
        <f>P21+P22+P23</f>
        <v>573198000</v>
      </c>
      <c r="Q20" s="3730"/>
      <c r="R20" s="710"/>
      <c r="S20" s="3817"/>
      <c r="T20" s="3818"/>
    </row>
    <row r="21" spans="2:20">
      <c r="B21" s="702"/>
      <c r="D21" s="696">
        <v>7</v>
      </c>
      <c r="E21" t="str">
        <f>'ALL-USD40.1M'!N70</f>
        <v>Irrigation Development in North Sumatera</v>
      </c>
      <c r="P21" s="780">
        <f>'ALL-USD40.1M'!Y70</f>
        <v>350000000</v>
      </c>
      <c r="R21" s="731"/>
      <c r="S21" s="826" t="str">
        <f>'ALL-USD40.1M'!AA75</f>
        <v>Belum proses</v>
      </c>
      <c r="T21" s="827"/>
    </row>
    <row r="22" spans="2:20" s="669" customFormat="1" ht="39.75" customHeight="1">
      <c r="B22" s="703"/>
      <c r="D22" s="712">
        <v>8</v>
      </c>
      <c r="E22" s="713" t="str">
        <f>'ALL-USD40.1M'!N71</f>
        <v>Integrated Participatory Development and Management of Lhok Guci and Peureulak Irrigation Project</v>
      </c>
      <c r="F22" s="713"/>
      <c r="G22" s="713"/>
      <c r="H22" s="713"/>
      <c r="I22" s="713"/>
      <c r="J22" s="713"/>
      <c r="K22" s="713"/>
      <c r="L22" s="713"/>
      <c r="M22" s="713"/>
      <c r="N22" s="713"/>
      <c r="O22" s="713"/>
      <c r="P22" s="781">
        <f>'ALL-USD40.1M'!Y71</f>
        <v>161298000</v>
      </c>
      <c r="Q22" s="713"/>
      <c r="R22" s="712"/>
      <c r="S22" s="828" t="str">
        <f>'ALL-USD40.1M'!AA71</f>
        <v>Belum proses</v>
      </c>
      <c r="T22" s="829"/>
    </row>
    <row r="23" spans="2:20" s="669" customFormat="1" ht="16.5" customHeight="1">
      <c r="B23" s="703"/>
      <c r="D23" s="714">
        <v>9</v>
      </c>
      <c r="E23" s="669" t="str">
        <f>'ALL-USD40.1M'!N75</f>
        <v>Engineering Service for Irrigation and Low Land Development Project</v>
      </c>
      <c r="P23" s="782">
        <f>'ALL-USD40.1M'!Y75</f>
        <v>61900000</v>
      </c>
      <c r="R23" s="830"/>
      <c r="S23" s="831" t="str">
        <f>'ALL-USD40.1M'!AA75</f>
        <v>Belum proses</v>
      </c>
      <c r="T23" s="832"/>
    </row>
    <row r="24" spans="2:20">
      <c r="B24" s="702"/>
      <c r="C24" s="697" t="str">
        <f>DATA!I84</f>
        <v>J</v>
      </c>
      <c r="D24" s="3816" t="str">
        <f>DATA!J84</f>
        <v xml:space="preserve">Program Pembangunan Waduk </v>
      </c>
      <c r="E24" s="3735"/>
      <c r="F24" s="3728"/>
      <c r="G24" s="3730"/>
      <c r="H24" s="3728"/>
      <c r="I24" s="3730"/>
      <c r="J24" s="3728"/>
      <c r="K24" s="3730"/>
      <c r="L24" s="3728"/>
      <c r="M24" s="3730"/>
      <c r="N24" s="3728"/>
      <c r="O24" s="3730"/>
      <c r="P24" s="3799">
        <f>P25+P26</f>
        <v>248000000</v>
      </c>
      <c r="Q24" s="3735"/>
      <c r="R24" s="734"/>
      <c r="S24" s="3741"/>
      <c r="T24" s="3725"/>
    </row>
    <row r="25" spans="2:20" s="668" customFormat="1">
      <c r="B25" s="700"/>
      <c r="D25" s="715">
        <v>10</v>
      </c>
      <c r="E25" s="716" t="str">
        <f>'ALL-USD40.1M'!N77</f>
        <v>Integrated Citarum Water Resources Management Investment Program II</v>
      </c>
      <c r="P25" s="783">
        <f>'ALL-USD40.1M'!Y77</f>
        <v>200000000</v>
      </c>
      <c r="Q25" s="833"/>
      <c r="R25" s="716"/>
      <c r="S25" s="834" t="str">
        <f>'ALL-USD40.1M'!AA79</f>
        <v>Belum proses</v>
      </c>
      <c r="T25" s="835"/>
    </row>
    <row r="26" spans="2:20" s="668" customFormat="1">
      <c r="B26" s="700"/>
      <c r="D26" s="717">
        <v>11</v>
      </c>
      <c r="E26" s="718" t="str">
        <f>'ALL-USD40.1M'!N79</f>
        <v>Engineering Service for Bulk Water and Water Supply Development Project</v>
      </c>
      <c r="F26" s="719"/>
      <c r="G26" s="719"/>
      <c r="H26" s="719"/>
      <c r="I26" s="719"/>
      <c r="J26" s="719"/>
      <c r="K26" s="719"/>
      <c r="L26" s="719"/>
      <c r="M26" s="719"/>
      <c r="N26" s="719"/>
      <c r="O26" s="719"/>
      <c r="P26" s="784">
        <f>'ALL-USD40.1M'!Y79</f>
        <v>48000000</v>
      </c>
      <c r="Q26" s="719"/>
      <c r="R26" s="718"/>
      <c r="S26" s="836"/>
      <c r="T26" s="837"/>
    </row>
    <row r="27" spans="2:20">
      <c r="B27" s="702"/>
      <c r="C27" s="720" t="str">
        <f>DATA!I98</f>
        <v>K</v>
      </c>
      <c r="D27" s="3851" t="str">
        <f>'ALL-USD40.1M'!M80</f>
        <v xml:space="preserve">Program Pembangunan Waduk </v>
      </c>
      <c r="E27" s="3852"/>
      <c r="F27" s="3722"/>
      <c r="G27" s="3815"/>
      <c r="H27" s="3814"/>
      <c r="I27" s="3815"/>
      <c r="J27" s="3814"/>
      <c r="K27" s="3815"/>
      <c r="L27" s="3814"/>
      <c r="M27" s="3815"/>
      <c r="N27" s="3814"/>
      <c r="O27" s="3722"/>
      <c r="P27" s="3858">
        <f>P28+P29+P30+P31+P32+P33</f>
        <v>1100109020</v>
      </c>
      <c r="Q27" s="3815"/>
      <c r="R27" s="838"/>
      <c r="S27" s="3720"/>
      <c r="T27" s="3721"/>
    </row>
    <row r="28" spans="2:20" s="668" customFormat="1" ht="37.5" customHeight="1">
      <c r="B28" s="700"/>
      <c r="D28" s="715">
        <v>11</v>
      </c>
      <c r="E28" s="669" t="str">
        <f>'ALL-USD40.1M'!N81</f>
        <v>Jambo Aye Multipurpose Dam Project</v>
      </c>
      <c r="P28" s="785">
        <f>'ALL-USD40.1M'!Y81</f>
        <v>662200000</v>
      </c>
      <c r="Q28" s="824"/>
      <c r="R28" s="839"/>
      <c r="S28" s="783" t="str">
        <f>'ALL-USD40.1M'!AA81</f>
        <v>Belum proses</v>
      </c>
      <c r="T28" s="840"/>
    </row>
    <row r="29" spans="2:20" s="668" customFormat="1" ht="32.25" customHeight="1">
      <c r="B29" s="700"/>
      <c r="D29" s="717">
        <v>12</v>
      </c>
      <c r="E29" s="722" t="str">
        <f>'ALL-USD40.1M'!N86</f>
        <v>Bonehulu Dam Construction Project</v>
      </c>
      <c r="P29" s="786">
        <f>'ALL-USD40.1M'!Y86</f>
        <v>128250000</v>
      </c>
      <c r="Q29" s="719"/>
      <c r="R29" s="717"/>
      <c r="S29" s="784" t="str">
        <f>'ALL-USD40.1M'!AA86</f>
        <v>Belum proses</v>
      </c>
      <c r="T29" s="841"/>
    </row>
    <row r="30" spans="2:20" s="668" customFormat="1" ht="27.75" customHeight="1">
      <c r="B30" s="700"/>
      <c r="D30" s="700">
        <v>13</v>
      </c>
      <c r="E30" s="712" t="str">
        <f>'ALL-USD40.1M'!N87</f>
        <v>Ladongi Dam Construction Project</v>
      </c>
      <c r="P30" s="785">
        <f>'ALL-USD40.1M'!Y87</f>
        <v>70000000</v>
      </c>
      <c r="Q30" s="824"/>
      <c r="R30" s="723"/>
      <c r="S30" s="784" t="str">
        <f>'ALL-USD40.1M'!AA87</f>
        <v>Belum proses</v>
      </c>
      <c r="T30" s="842"/>
    </row>
    <row r="31" spans="2:20" s="668" customFormat="1" ht="32.25" customHeight="1">
      <c r="B31" s="700"/>
      <c r="D31" s="717">
        <v>14</v>
      </c>
      <c r="E31" s="718" t="str">
        <f>'ALL-USD40.1M'!N88</f>
        <v>Kuwil Kawangkoan Dam Construction Project</v>
      </c>
      <c r="P31" s="784">
        <f>'ALL-USD40.1M'!Y88</f>
        <v>110000000</v>
      </c>
      <c r="Q31" s="824"/>
      <c r="R31" s="700"/>
      <c r="S31" s="843" t="str">
        <f>'ALL-USD40.1M'!AA88</f>
        <v>Belum proses</v>
      </c>
      <c r="T31" s="844" t="str">
        <f>'ALL-USD40.1M'!AG88</f>
        <v>Diindikasaikan menggunakan Rupiah Murni</v>
      </c>
    </row>
    <row r="32" spans="2:20" s="668" customFormat="1" ht="32.25" customHeight="1">
      <c r="B32" s="700"/>
      <c r="D32" s="717">
        <v>15</v>
      </c>
      <c r="E32" s="718" t="str">
        <f>'ALL-USD40.1M'!N90</f>
        <v>Additional Loan for Jatigede Dam Project 2</v>
      </c>
      <c r="P32" s="784">
        <f>'ALL-USD40.1M'!Y90</f>
        <v>53200000</v>
      </c>
      <c r="Q32" s="824"/>
      <c r="R32" s="717"/>
      <c r="S32" s="784" t="str">
        <f>'ALL-USD40.1M'!AA90</f>
        <v>Belum proses</v>
      </c>
      <c r="T32" s="841"/>
    </row>
    <row r="33" spans="2:20" s="668" customFormat="1" ht="32.25" customHeight="1">
      <c r="B33" s="700"/>
      <c r="D33" s="723">
        <v>16</v>
      </c>
      <c r="E33" s="668" t="str">
        <f>'ALL-USD40.1M'!N91</f>
        <v>Engineering Service for Dam Multipurpose Development Project</v>
      </c>
      <c r="P33" s="787">
        <f>'ALL-USD40.1M'!Y92</f>
        <v>76459020</v>
      </c>
      <c r="Q33" s="845"/>
      <c r="R33" s="723"/>
      <c r="S33" s="846" t="str">
        <f>'ALL-USD40.1M'!AA92</f>
        <v>Belum proses</v>
      </c>
      <c r="T33" s="844"/>
    </row>
    <row r="34" spans="2:20">
      <c r="B34" s="702"/>
      <c r="C34" s="697" t="str">
        <f>'ALL-USD40.1M'!L93</f>
        <v>L</v>
      </c>
      <c r="D34" s="3814" t="str">
        <f>'ALL-USD40.1M'!M93</f>
        <v>Program Mitigasi Terhadap Daya Rusak Air</v>
      </c>
      <c r="E34" s="3730"/>
      <c r="F34" s="3728"/>
      <c r="G34" s="3730"/>
      <c r="H34" s="3728"/>
      <c r="I34" s="3730"/>
      <c r="J34" s="3728"/>
      <c r="K34" s="3730"/>
      <c r="L34" s="3728"/>
      <c r="M34" s="3730"/>
      <c r="N34" s="3728"/>
      <c r="O34" s="3730"/>
      <c r="P34" s="3845">
        <f>P35</f>
        <v>30285600</v>
      </c>
      <c r="Q34" s="3815"/>
      <c r="R34" s="721"/>
      <c r="S34" s="3741"/>
      <c r="T34" s="3725"/>
    </row>
    <row r="35" spans="2:20" s="668" customFormat="1" ht="45">
      <c r="B35" s="700"/>
      <c r="D35" s="724">
        <v>17</v>
      </c>
      <c r="E35" s="725" t="str">
        <f>'ALL-USD40.1M'!N99</f>
        <v>Engineering Service for Coastal and River Development Project</v>
      </c>
      <c r="P35" s="788">
        <f>'ALL-USD40.1M'!Y100</f>
        <v>30285600</v>
      </c>
      <c r="R35" s="813" t="str">
        <f>'ALL-USD40.1M'!Z100</f>
        <v>Belum Ada Indikasi</v>
      </c>
      <c r="S35" s="813" t="str">
        <f>'ALL-USD40.1M'!AA100</f>
        <v>Belum proses</v>
      </c>
      <c r="T35" s="847" t="str">
        <f>'ALL-USD40.1M'!AG100</f>
        <v>- Sebelum nya berada dalam indikasi lender ADB
- Dalam dokumen rencana pendanaan ADB (COBP) tidak tercantum kegiatan ini</v>
      </c>
    </row>
    <row r="36" spans="2:20">
      <c r="B36" s="702"/>
      <c r="C36" s="697" t="str">
        <f>'ALL-USD40.1M'!L101</f>
        <v>M</v>
      </c>
      <c r="D36" s="3728" t="str">
        <f>'ALL-USD40.1M'!M101</f>
        <v xml:space="preserve">Program Pengelolaan Infrastruktur Sumber Daya Air </v>
      </c>
      <c r="E36" s="3730"/>
      <c r="F36" s="3728"/>
      <c r="G36" s="3730"/>
      <c r="H36" s="3728"/>
      <c r="I36" s="3730"/>
      <c r="J36" s="3728"/>
      <c r="K36" s="3730"/>
      <c r="L36" s="3728"/>
      <c r="M36" s="3730"/>
      <c r="N36" s="3728"/>
      <c r="O36" s="3730"/>
      <c r="P36" s="3789">
        <f>P37</f>
        <v>50000000</v>
      </c>
      <c r="Q36" s="3730"/>
      <c r="R36" s="710"/>
      <c r="S36" s="3741"/>
      <c r="T36" s="3725"/>
    </row>
    <row r="37" spans="2:20" s="670" customFormat="1" ht="45">
      <c r="B37" s="707"/>
      <c r="D37" s="726">
        <v>18</v>
      </c>
      <c r="E37" s="727" t="str">
        <f>'ALL-USD40.1M'!N103</f>
        <v>Engineering Service for Water Resources Infrastructure Management</v>
      </c>
      <c r="P37" s="789">
        <f>'ALL-USD40.1M'!Y103</f>
        <v>50000000</v>
      </c>
      <c r="R37" s="848" t="str">
        <f>'ALL-USD40.1M'!Z103</f>
        <v>Belum Ada Indikasi</v>
      </c>
      <c r="S37" s="848" t="str">
        <f>'ALL-USD40.1M'!AA103</f>
        <v>Belum proses</v>
      </c>
      <c r="T37" s="849" t="str">
        <f>'ALL-USD40.1M'!AG103</f>
        <v>- Sebelum nya berada dalam indikasi lender ADB
- Dalam dokumen rencana pendanaan ADB (COBP) tidak tercantum kegiatan ini</v>
      </c>
    </row>
    <row r="38" spans="2:20">
      <c r="B38" s="728">
        <f>'ALL-USD40.1M'!K111</f>
        <v>3</v>
      </c>
      <c r="C38" s="3738" t="str">
        <f>'ALL-USD40.1M'!L111</f>
        <v>Kementerian Perhubungan</v>
      </c>
      <c r="D38" s="3738"/>
      <c r="E38" s="3794"/>
      <c r="F38" s="730"/>
      <c r="G38" s="730"/>
      <c r="H38" s="730"/>
      <c r="I38" s="730"/>
      <c r="J38" s="730"/>
      <c r="K38" s="730"/>
      <c r="L38" s="730"/>
      <c r="M38" s="730"/>
      <c r="N38" s="730"/>
      <c r="O38" s="730"/>
      <c r="P38" s="790">
        <f>P39+P41</f>
        <v>647666500</v>
      </c>
      <c r="Q38" s="730"/>
      <c r="R38" s="850"/>
      <c r="S38" s="851"/>
      <c r="T38" s="852"/>
    </row>
    <row r="39" spans="2:20">
      <c r="B39" s="702"/>
      <c r="C39" s="697" t="str">
        <f>'ALL-USD40.1M'!L112</f>
        <v>A</v>
      </c>
      <c r="D39" s="3859" t="str">
        <f>'ALL-USD40.1M'!M112</f>
        <v>Program Pengembangan Perkeretaapian</v>
      </c>
      <c r="E39" s="3860"/>
      <c r="P39" s="774">
        <f>P40</f>
        <v>461428600</v>
      </c>
      <c r="Q39" s="699"/>
      <c r="R39" s="817"/>
      <c r="S39" s="853"/>
      <c r="T39" s="854"/>
    </row>
    <row r="40" spans="2:20">
      <c r="B40" s="702"/>
      <c r="C40" s="731"/>
      <c r="D40" s="732">
        <v>19</v>
      </c>
      <c r="E40" t="str">
        <f>'ALL-USD40.1M'!N118</f>
        <v>Development of Railway Quality Assurance Facility</v>
      </c>
      <c r="P40" s="780">
        <f>'ALL-USD40.1M'!Y118</f>
        <v>461428600</v>
      </c>
      <c r="R40" s="855" t="str">
        <f>'ALL-USD40.1M'!Z118</f>
        <v>Belum Ada Indikasi</v>
      </c>
      <c r="S40" s="855" t="str">
        <f>'ALL-USD40.1M'!AA118</f>
        <v>Belum proses</v>
      </c>
      <c r="T40" s="856"/>
    </row>
    <row r="41" spans="2:20">
      <c r="B41" s="702"/>
      <c r="C41" s="733" t="str">
        <f>'ALL-USD40.1M'!L121</f>
        <v>B</v>
      </c>
      <c r="D41" s="3838" t="str">
        <f>'ALL-USD40.1M'!M121</f>
        <v xml:space="preserve">Program Pengembangan Transportasi Laut </v>
      </c>
      <c r="E41" s="3734"/>
      <c r="P41" s="791">
        <f>P42</f>
        <v>186237900</v>
      </c>
      <c r="Q41" s="857"/>
      <c r="R41" s="858"/>
      <c r="S41" s="858"/>
      <c r="T41" s="859"/>
    </row>
    <row r="42" spans="2:20">
      <c r="B42" s="702"/>
      <c r="C42" s="735"/>
      <c r="D42" s="732">
        <v>23</v>
      </c>
      <c r="E42" s="708" t="str">
        <f>'ALL-USD40.1M'!N123</f>
        <v>Procurement of Navigation First Class Vessels</v>
      </c>
      <c r="F42" s="709"/>
      <c r="G42" s="709"/>
      <c r="H42" s="709"/>
      <c r="I42" s="709"/>
      <c r="J42" s="709"/>
      <c r="K42" s="709"/>
      <c r="L42" s="709"/>
      <c r="M42" s="709"/>
      <c r="N42" s="709"/>
      <c r="O42" s="709"/>
      <c r="P42" s="792">
        <f>'ALL-USD40.1M'!Y123</f>
        <v>186237900</v>
      </c>
      <c r="Q42" s="709"/>
      <c r="R42" s="860"/>
      <c r="S42" s="860"/>
      <c r="T42" s="708"/>
    </row>
    <row r="43" spans="2:20">
      <c r="B43" s="728">
        <f>'ALL-USD40.1M'!K134</f>
        <v>6</v>
      </c>
      <c r="C43" s="3738" t="str">
        <f>'ALL-USD40.1M'!L134</f>
        <v xml:space="preserve">PT. PLN    </v>
      </c>
      <c r="D43" s="3743"/>
      <c r="E43" s="3861"/>
      <c r="F43" s="737"/>
      <c r="G43" s="737"/>
      <c r="H43" s="737"/>
      <c r="I43" s="737"/>
      <c r="J43" s="737"/>
      <c r="K43" s="737"/>
      <c r="L43" s="737"/>
      <c r="M43" s="737"/>
      <c r="N43" s="737"/>
      <c r="O43" s="793"/>
      <c r="P43" s="794">
        <f>P44</f>
        <v>280000000</v>
      </c>
      <c r="Q43" s="737"/>
      <c r="R43" s="861"/>
      <c r="S43" s="862"/>
      <c r="T43" s="863"/>
    </row>
    <row r="44" spans="2:20">
      <c r="B44" s="702"/>
      <c r="C44" s="738" t="str">
        <f>'ALL-USD40.1M'!L135</f>
        <v>A</v>
      </c>
      <c r="D44" s="3718" t="str">
        <f>'ALL-USD40.1M'!M135</f>
        <v>Program Pembangunan Infrastruktur Ketenagalistrikan</v>
      </c>
      <c r="E44" s="3734"/>
      <c r="P44" s="774">
        <f>P45</f>
        <v>280000000</v>
      </c>
      <c r="Q44" s="699"/>
      <c r="R44" s="854"/>
      <c r="S44" s="853"/>
      <c r="T44" s="854"/>
    </row>
    <row r="45" spans="2:20" s="668" customFormat="1" ht="30">
      <c r="B45" s="700"/>
      <c r="C45" s="717"/>
      <c r="D45" s="717">
        <v>24</v>
      </c>
      <c r="E45" s="718" t="str">
        <f>'ALL-USD40.1M'!N138</f>
        <v>Bakaru II Hydro Electrical Power Plant (2x63MW)</v>
      </c>
      <c r="P45" s="795">
        <f>'ALL-USD40.1M'!Y138</f>
        <v>280000000</v>
      </c>
      <c r="R45" s="795" t="str">
        <f>'ALL-USD40.1M'!Z138</f>
        <v>Belum Ada Indikasi</v>
      </c>
      <c r="S45" s="864" t="str">
        <f>'ALL-USD40.1M'!AA138</f>
        <v>Belum proses</v>
      </c>
      <c r="T45" s="844" t="str">
        <f>'ALL-USD40.1M'!AG138</f>
        <v>-Direct lending
- Sebelumnya berada dalam indikasi Jerman (KfW)</v>
      </c>
    </row>
    <row r="46" spans="2:20">
      <c r="B46" s="728">
        <f>'ALL-USD40.1M'!K148</f>
        <v>8</v>
      </c>
      <c r="C46" s="3738" t="str">
        <f>'ALL-USD40.1M'!L148</f>
        <v>Pemprov. Lampung</v>
      </c>
      <c r="D46" s="3738"/>
      <c r="E46" s="3794"/>
      <c r="F46" s="730"/>
      <c r="G46" s="730"/>
      <c r="H46" s="730"/>
      <c r="I46" s="730"/>
      <c r="J46" s="730"/>
      <c r="K46" s="730"/>
      <c r="L46" s="730"/>
      <c r="M46" s="730"/>
      <c r="N46" s="730"/>
      <c r="O46" s="730"/>
      <c r="P46" s="790">
        <f>P47</f>
        <v>225000000</v>
      </c>
      <c r="Q46" s="730"/>
      <c r="R46" s="850"/>
      <c r="S46" s="851"/>
      <c r="T46" s="852"/>
    </row>
    <row r="47" spans="2:20">
      <c r="B47" s="702"/>
      <c r="C47" s="697" t="str">
        <f>'ALL-USD40.1M'!L149</f>
        <v>A</v>
      </c>
      <c r="D47" s="3859" t="str">
        <f>'ALL-USD40.1M'!M149</f>
        <v>Program Pengembangan dan Peningkatan Jalan Subnasional</v>
      </c>
      <c r="E47" s="3818"/>
      <c r="P47" s="774">
        <f>P48</f>
        <v>225000000</v>
      </c>
      <c r="Q47" s="699"/>
      <c r="R47" s="817"/>
      <c r="S47" s="853"/>
      <c r="T47" s="854"/>
    </row>
    <row r="48" spans="2:20" s="668" customFormat="1">
      <c r="B48" s="700"/>
      <c r="D48" s="739">
        <v>26</v>
      </c>
      <c r="E48" s="739" t="str">
        <f>'ALL-USD40.1M'!N150</f>
        <v>Development and Improvement of Lampung Provincial Roads Project</v>
      </c>
      <c r="P48" s="796">
        <f>'ALL-USD40.1M'!Y150</f>
        <v>225000000</v>
      </c>
      <c r="S48" s="785"/>
      <c r="T48" s="815"/>
    </row>
    <row r="49" spans="1:20">
      <c r="B49" s="728">
        <f>'ALL-USD40.1M'!K151</f>
        <v>9</v>
      </c>
      <c r="C49" s="3738" t="str">
        <f>'ALL-USD40.1M'!L151</f>
        <v>PT. Sarana Multi Infrastruktur (PT. SMI)</v>
      </c>
      <c r="D49" s="3825"/>
      <c r="E49" s="3866"/>
      <c r="F49" s="742"/>
      <c r="G49" s="730"/>
      <c r="H49" s="730"/>
      <c r="I49" s="730"/>
      <c r="J49" s="730"/>
      <c r="K49" s="730"/>
      <c r="L49" s="730"/>
      <c r="M49" s="730"/>
      <c r="N49" s="730"/>
      <c r="O49" s="730"/>
      <c r="P49" s="790">
        <f>P50</f>
        <v>300000000</v>
      </c>
      <c r="Q49" s="730"/>
      <c r="R49" s="850"/>
      <c r="S49" s="851"/>
      <c r="T49" s="852"/>
    </row>
    <row r="50" spans="1:20">
      <c r="B50" s="702"/>
      <c r="C50" s="720" t="str">
        <f>'ALL-USD40.1M'!L152</f>
        <v>A</v>
      </c>
      <c r="D50" s="3846" t="str">
        <f>'ALL-USD40.1M'!M152</f>
        <v xml:space="preserve">Program Pembiayaan Pembangunan Infrastruktur </v>
      </c>
      <c r="E50" s="3847"/>
      <c r="P50" s="774">
        <f>P51</f>
        <v>300000000</v>
      </c>
      <c r="Q50" s="699"/>
      <c r="R50" s="817"/>
      <c r="S50" s="853"/>
      <c r="T50" s="854"/>
    </row>
    <row r="51" spans="1:20" s="668" customFormat="1" ht="30">
      <c r="B51" s="700"/>
      <c r="D51" s="743">
        <v>27</v>
      </c>
      <c r="E51" s="744" t="str">
        <f>'ALL-USD40.1M'!N155</f>
        <v>Financial Regional Infrastructure Projects through Regional Infrastructure Development Fund (RIDF)</v>
      </c>
      <c r="P51" s="788">
        <f>'ALL-USD40.1M'!Y155</f>
        <v>300000000</v>
      </c>
      <c r="R51" s="813" t="str">
        <f>'ALL-USD40.1M'!Z155</f>
        <v>Belum Ada Indikasi</v>
      </c>
      <c r="S51" s="785" t="str">
        <f>'ALL-USD40.1M'!AA155</f>
        <v>Belum proses</v>
      </c>
      <c r="T51" s="815"/>
    </row>
    <row r="52" spans="1:20" ht="15.75">
      <c r="A52" s="745" t="s">
        <v>960</v>
      </c>
      <c r="B52" s="746" t="str">
        <f>DATA!D160</f>
        <v>NON-INFRASTRUKTUR</v>
      </c>
      <c r="C52" s="747"/>
      <c r="D52" s="686"/>
      <c r="E52" s="686"/>
      <c r="F52" s="686"/>
      <c r="G52" s="686"/>
      <c r="H52" s="686"/>
      <c r="I52" s="686"/>
      <c r="J52" s="686"/>
      <c r="K52" s="686"/>
      <c r="L52" s="686"/>
      <c r="M52" s="686"/>
      <c r="N52" s="686"/>
      <c r="O52" s="686"/>
      <c r="P52" s="767">
        <f>P53+P56+P63+P67+P74+P77+P80+P85+P88</f>
        <v>1018401200</v>
      </c>
      <c r="Q52" s="686"/>
      <c r="R52" s="865"/>
      <c r="S52" s="866"/>
      <c r="T52" s="867"/>
    </row>
    <row r="53" spans="1:20">
      <c r="B53" s="728">
        <f>'ALL-USD40.1M'!K157</f>
        <v>10</v>
      </c>
      <c r="C53" s="729" t="str">
        <f>'ALL-USD40.1M'!L157</f>
        <v>Kementerian Riset, Teknologi, dan Pendidikan Tinggi</v>
      </c>
      <c r="D53" s="729"/>
      <c r="E53" s="748"/>
      <c r="P53" s="797">
        <f>P54</f>
        <v>45800</v>
      </c>
      <c r="Q53" s="729"/>
      <c r="R53" s="729"/>
      <c r="S53" s="868"/>
      <c r="T53" s="869"/>
    </row>
    <row r="54" spans="1:20" ht="25.5" customHeight="1">
      <c r="B54" s="702"/>
      <c r="C54" s="697" t="str">
        <f>'ALL-USD40.1M'!L158</f>
        <v>A</v>
      </c>
      <c r="D54" s="3718" t="str">
        <f>'ALL-USD40.1M'!M158</f>
        <v xml:space="preserve">Program Peningkatan Akses, Kualitas, Relevansi, dan Daya Saing Pendidikan Tinggi </v>
      </c>
      <c r="E54" s="3730"/>
      <c r="F54" s="699"/>
      <c r="G54" s="699"/>
      <c r="H54" s="699"/>
      <c r="I54" s="699"/>
      <c r="J54" s="699"/>
      <c r="K54" s="699"/>
      <c r="L54" s="699"/>
      <c r="M54" s="699"/>
      <c r="N54" s="699"/>
      <c r="O54" s="699"/>
      <c r="P54" s="774">
        <f>P55</f>
        <v>45800</v>
      </c>
      <c r="Q54" s="699"/>
      <c r="R54" s="699"/>
      <c r="S54" s="870"/>
      <c r="T54" s="871"/>
    </row>
    <row r="55" spans="1:20" s="669" customFormat="1" ht="38.25" customHeight="1">
      <c r="B55" s="703"/>
      <c r="D55" s="712">
        <v>28</v>
      </c>
      <c r="E55" s="704" t="str">
        <f>'ALL-USD40.1M'!N159</f>
        <v>The Plan of Hasanuddin University Hospital Development</v>
      </c>
      <c r="P55" s="798">
        <f>'ALL-USD40.1M'!Y160</f>
        <v>45800</v>
      </c>
      <c r="R55" s="776" t="str">
        <f>'ALL-USD40.1M'!Z160</f>
        <v>Belum Ada Indikasi</v>
      </c>
      <c r="S55" s="704" t="str">
        <f>'ALL-USD40.1M'!AA160</f>
        <v>Belum proses</v>
      </c>
      <c r="T55" s="840"/>
    </row>
    <row r="56" spans="1:20">
      <c r="B56" s="728">
        <f>'ALL-USD40.1M'!K168</f>
        <v>11</v>
      </c>
      <c r="C56" s="729" t="str">
        <f>'ALL-USD40.1M'!L168</f>
        <v>Kementerian Agama</v>
      </c>
      <c r="D56" s="736"/>
      <c r="E56" s="748"/>
      <c r="P56" s="797">
        <f>P57</f>
        <v>116205400</v>
      </c>
      <c r="Q56" s="729"/>
      <c r="R56" s="729"/>
      <c r="S56" s="729"/>
      <c r="T56" s="872"/>
    </row>
    <row r="57" spans="1:20" ht="25.5" customHeight="1">
      <c r="B57" s="702"/>
      <c r="C57" s="697" t="str">
        <f>'ALL-USD40.1M'!L169</f>
        <v>A</v>
      </c>
      <c r="D57" s="3864" t="str">
        <f>'ALL-USD40.1M'!M169</f>
        <v>Program Peningkatan Akses, Kualitas, Relevansi, dan Daya Saing Pendidikan Tinggi Islam</v>
      </c>
      <c r="E57" s="3824"/>
      <c r="F57" s="699"/>
      <c r="G57" s="699"/>
      <c r="H57" s="699"/>
      <c r="I57" s="699"/>
      <c r="J57" s="699"/>
      <c r="K57" s="699"/>
      <c r="L57" s="699"/>
      <c r="M57" s="699"/>
      <c r="N57" s="699"/>
      <c r="O57" s="699"/>
      <c r="P57" s="774">
        <f>P58+P59+P60+P61+P62</f>
        <v>116205400</v>
      </c>
      <c r="Q57" s="699"/>
      <c r="R57" s="873"/>
      <c r="S57" s="857"/>
      <c r="T57" s="733"/>
    </row>
    <row r="58" spans="1:20" ht="30">
      <c r="B58" s="702"/>
      <c r="D58" s="3821">
        <v>28</v>
      </c>
      <c r="E58" s="749" t="str">
        <f>'ALL-USD40.1M'!N179</f>
        <v>The Development of Ar-Raniry State Islamic University (UIN Ar-Raniry) Phase II Project in Aceh</v>
      </c>
      <c r="P58" s="780">
        <f>'ALL-USD40.1M'!Y179</f>
        <v>41328200</v>
      </c>
      <c r="R58" s="708"/>
      <c r="S58" s="799" t="str">
        <f>'ALL-USD40.1M'!AA179</f>
        <v>Belum proses</v>
      </c>
      <c r="T58" s="874"/>
    </row>
    <row r="59" spans="1:20" ht="30">
      <c r="B59" s="702"/>
      <c r="D59" s="3862"/>
      <c r="E59" s="750" t="str">
        <f>'ALL-USD40.1M'!N180</f>
        <v>The Development and Upgrading of State Islamic University Sunan Gunung Djati, Bandung, Phase 2 Project</v>
      </c>
      <c r="P59" s="799">
        <f>'ALL-USD40.1M'!Y180</f>
        <v>33442700</v>
      </c>
      <c r="R59" s="708"/>
      <c r="S59" s="827" t="str">
        <f>'ALL-USD40.1M'!AA180</f>
        <v>Belum proses</v>
      </c>
      <c r="T59" s="708"/>
    </row>
    <row r="60" spans="1:20" ht="30">
      <c r="B60" s="702"/>
      <c r="D60" s="3862"/>
      <c r="E60" s="751" t="str">
        <f>'ALL-USD40.1M'!N181</f>
        <v>The Development of Faculty of Medicine - Health Sciences and Post Graduates of The Islamic State University of Alaudin, Makassar Project</v>
      </c>
      <c r="P60" s="799">
        <f>'ALL-USD40.1M'!Y181</f>
        <v>41224500</v>
      </c>
      <c r="R60" s="702"/>
      <c r="S60" s="827" t="str">
        <f>'ALL-USD40.1M'!AA181</f>
        <v>Belum proses</v>
      </c>
      <c r="T60" s="708"/>
    </row>
    <row r="61" spans="1:20" ht="30">
      <c r="B61" s="702"/>
      <c r="D61" s="3862"/>
      <c r="E61" s="750" t="str">
        <f>'ALL-USD40.1M'!N172</f>
        <v xml:space="preserve">Development and Quality Improvement  of Antasari State Islamic Institute </v>
      </c>
      <c r="P61" s="800">
        <f>'ALL-USD40.1M'!Y173</f>
        <v>100000</v>
      </c>
      <c r="R61" s="708"/>
      <c r="S61" s="252" t="s">
        <v>1237</v>
      </c>
      <c r="T61" s="708"/>
    </row>
    <row r="62" spans="1:20" ht="25.5">
      <c r="B62" s="702"/>
      <c r="D62" s="3822"/>
      <c r="E62" s="752" t="str">
        <f>'ALL-USD40.1M'!N176</f>
        <v xml:space="preserve">Development of Imam Bonjol State Islamic Institute Project </v>
      </c>
      <c r="P62" s="801">
        <f>'ALL-USD40.1M'!Y177</f>
        <v>110000</v>
      </c>
      <c r="R62" s="875"/>
      <c r="S62" s="252" t="s">
        <v>1237</v>
      </c>
      <c r="T62" s="702"/>
    </row>
    <row r="63" spans="1:20">
      <c r="B63" s="728">
        <f>'ALL-USD40.1M'!K182</f>
        <v>12</v>
      </c>
      <c r="C63" s="729" t="str">
        <f>'ALL-USD40.1M'!L182</f>
        <v>Kementerian PPN/Bappenas</v>
      </c>
      <c r="D63" s="753"/>
      <c r="E63" s="729"/>
      <c r="P63" s="797">
        <f>P64</f>
        <v>150000000</v>
      </c>
      <c r="Q63" s="729"/>
      <c r="R63" s="736"/>
      <c r="S63" s="876"/>
      <c r="T63" s="872"/>
    </row>
    <row r="64" spans="1:20" ht="25.5" customHeight="1">
      <c r="B64" s="702"/>
      <c r="C64" s="697" t="str">
        <f>'ALL-USD40.1M'!L183</f>
        <v>A</v>
      </c>
      <c r="D64" s="3814" t="str">
        <f>'ALL-USD40.1M'!M183</f>
        <v>Program Pengembangan Sumber Daya Aparatur  dalam Rangka Reformasi Birokrasi</v>
      </c>
      <c r="E64" s="3730"/>
      <c r="F64" s="699"/>
      <c r="G64" s="699"/>
      <c r="H64" s="699"/>
      <c r="I64" s="699"/>
      <c r="J64" s="699"/>
      <c r="K64" s="699"/>
      <c r="L64" s="699"/>
      <c r="M64" s="699"/>
      <c r="N64" s="699"/>
      <c r="O64" s="699"/>
      <c r="P64" s="774">
        <f>P65</f>
        <v>150000000</v>
      </c>
      <c r="Q64" s="699"/>
      <c r="R64" s="817"/>
      <c r="S64" s="877"/>
      <c r="T64" s="733"/>
    </row>
    <row r="65" spans="2:20" ht="33" customHeight="1">
      <c r="B65" s="702"/>
      <c r="D65" s="731">
        <v>29</v>
      </c>
      <c r="E65" s="750" t="str">
        <f>'ALL-USD40.1M'!N184</f>
        <v>Development of Capacity, Quality, and Competency of Human Resources for Government Officer</v>
      </c>
      <c r="P65" s="780">
        <f>'ALL-USD40.1M'!Y185</f>
        <v>150000000</v>
      </c>
      <c r="R65" s="731"/>
      <c r="S65" s="915"/>
      <c r="T65" s="702"/>
    </row>
    <row r="66" spans="2:20" ht="13.5" hidden="1" customHeight="1">
      <c r="B66" s="702"/>
      <c r="C66" s="893"/>
      <c r="S66" s="915"/>
      <c r="T66" s="702"/>
    </row>
    <row r="67" spans="2:20">
      <c r="B67" s="728">
        <f>'ALL-USD40.1M'!K188</f>
        <v>13</v>
      </c>
      <c r="C67" s="729" t="str">
        <f>'ALL-USD40.1M'!L188</f>
        <v>Kementerian Kesehatan</v>
      </c>
      <c r="D67" s="729"/>
      <c r="E67" s="748"/>
      <c r="P67" s="797">
        <f>P68+P72</f>
        <v>350400000</v>
      </c>
      <c r="Q67" s="729"/>
      <c r="R67" s="916"/>
      <c r="S67" s="876"/>
      <c r="T67" s="872"/>
    </row>
    <row r="68" spans="2:20" ht="25.5" customHeight="1">
      <c r="B68" s="702"/>
      <c r="C68" s="697" t="str">
        <f>'ALL-USD40.1M'!L193</f>
        <v>C</v>
      </c>
      <c r="D68" s="3864" t="str">
        <f>'ALL-USD40.1M'!M193</f>
        <v>Program Pengendalian Penyakit, Penyehatan Lingkungan, dan Penguatan Litbang Kesehatan</v>
      </c>
      <c r="E68" s="3865"/>
      <c r="F68" s="873"/>
      <c r="G68" s="873"/>
      <c r="H68" s="873"/>
      <c r="I68" s="873"/>
      <c r="J68" s="873"/>
      <c r="K68" s="873"/>
      <c r="L68" s="873"/>
      <c r="M68" s="873"/>
      <c r="N68" s="873"/>
      <c r="O68" s="857"/>
      <c r="P68" s="791">
        <f>P69</f>
        <v>100400000</v>
      </c>
      <c r="Q68" s="873"/>
      <c r="R68" s="857"/>
      <c r="S68" s="917"/>
      <c r="T68" s="858"/>
    </row>
    <row r="69" spans="2:20" ht="30">
      <c r="B69" s="702"/>
      <c r="D69" s="860">
        <v>30</v>
      </c>
      <c r="E69" s="894" t="str">
        <f>'ALL-USD40.1M'!N194</f>
        <v>Improvement of Capacity on Disease Control, Environmental Health, and Strengthening Health’s Research and Development</v>
      </c>
      <c r="F69" s="709"/>
      <c r="G69" s="709"/>
      <c r="H69" s="709"/>
      <c r="I69" s="709"/>
      <c r="J69" s="709"/>
      <c r="K69" s="709"/>
      <c r="L69" s="709"/>
      <c r="M69" s="709"/>
      <c r="N69" s="709"/>
      <c r="O69" s="709"/>
      <c r="P69" s="800">
        <f>'ALL-USD40.1M'!Y194</f>
        <v>100400000</v>
      </c>
      <c r="Q69" s="709"/>
      <c r="R69" s="708"/>
      <c r="S69" s="800" t="str">
        <f>'ALL-USD40.1M'!AA194</f>
        <v>Belum proses</v>
      </c>
      <c r="T69" s="708"/>
    </row>
    <row r="70" spans="2:20" hidden="1">
      <c r="B70" s="702"/>
      <c r="E70" s="750"/>
      <c r="P70" s="535"/>
      <c r="S70" s="826"/>
      <c r="T70" s="702"/>
    </row>
    <row r="71" spans="2:20" hidden="1">
      <c r="B71" s="702"/>
      <c r="E71" s="750"/>
      <c r="P71" s="535"/>
      <c r="S71" s="826"/>
      <c r="T71" s="702"/>
    </row>
    <row r="72" spans="2:20" ht="25.5" customHeight="1">
      <c r="B72" s="702"/>
      <c r="C72" s="697" t="str">
        <f>'ALL-USD40.1M'!L195</f>
        <v>D</v>
      </c>
      <c r="D72" s="3728" t="str">
        <f>'ALL-USD40.1M'!M195</f>
        <v>Program Pelayanan Kesehatan Rujukan</v>
      </c>
      <c r="E72" s="3730"/>
      <c r="F72" s="699"/>
      <c r="G72" s="699"/>
      <c r="H72" s="699"/>
      <c r="I72" s="699"/>
      <c r="J72" s="699"/>
      <c r="K72" s="699"/>
      <c r="L72" s="699"/>
      <c r="M72" s="699"/>
      <c r="N72" s="699"/>
      <c r="O72" s="699"/>
      <c r="P72" s="774">
        <f>P73</f>
        <v>250000000</v>
      </c>
      <c r="Q72" s="699"/>
      <c r="R72" s="857"/>
      <c r="S72" s="917"/>
      <c r="T72" s="733"/>
    </row>
    <row r="73" spans="2:20" ht="30">
      <c r="B73" s="702"/>
      <c r="D73" s="706">
        <v>31</v>
      </c>
      <c r="E73" s="895" t="str">
        <f>'ALL-USD40.1M'!N196</f>
        <v>Strengthening of National Referral Hospitals, Province Referral Hospital and Vertical Technical Units</v>
      </c>
      <c r="P73" s="908">
        <f>'ALL-USD40.1M'!Y197</f>
        <v>250000000</v>
      </c>
      <c r="R73" s="708"/>
      <c r="S73" s="827" t="str">
        <f>'ALL-USD40.1M'!AA197</f>
        <v>Belum proses</v>
      </c>
      <c r="T73" s="702"/>
    </row>
    <row r="74" spans="2:20">
      <c r="B74" s="728">
        <f>'ALL-USD40.1M'!K199</f>
        <v>14</v>
      </c>
      <c r="C74" s="729" t="str">
        <f>'ALL-USD40.1M'!L199</f>
        <v>Pemprov. Aceh</v>
      </c>
      <c r="D74" s="729"/>
      <c r="E74" s="748"/>
      <c r="P74" s="797">
        <f>P75</f>
        <v>106800000</v>
      </c>
      <c r="Q74" s="729"/>
      <c r="R74" s="753"/>
      <c r="S74" s="753"/>
      <c r="T74" s="872"/>
    </row>
    <row r="75" spans="2:20" ht="25.5" customHeight="1">
      <c r="B75" s="702"/>
      <c r="C75" s="697" t="str">
        <f>'ALL-USD40.1M'!L200</f>
        <v>A</v>
      </c>
      <c r="D75" s="3728" t="str">
        <f>'ALL-USD40.1M'!M200</f>
        <v>Program Pelayanan Kesehatan Rujukan</v>
      </c>
      <c r="E75" s="3730"/>
      <c r="F75" s="699"/>
      <c r="G75" s="699"/>
      <c r="H75" s="699"/>
      <c r="I75" s="699"/>
      <c r="J75" s="699"/>
      <c r="K75" s="699"/>
      <c r="L75" s="699"/>
      <c r="M75" s="699"/>
      <c r="N75" s="699"/>
      <c r="O75" s="699"/>
      <c r="P75" s="774">
        <f>P76</f>
        <v>106800000</v>
      </c>
      <c r="Q75" s="699"/>
      <c r="R75" s="857"/>
      <c r="S75" s="918"/>
      <c r="T75" s="733"/>
    </row>
    <row r="76" spans="2:20" ht="30">
      <c r="B76" s="702"/>
      <c r="D76" s="896">
        <v>32</v>
      </c>
      <c r="E76" s="895" t="str">
        <f>'ALL-USD40.1M'!N201</f>
        <v>Reengineering and Improving The Hospital and Referral System in Selected Aceh Districts</v>
      </c>
      <c r="P76" s="820">
        <f>'ALL-USD40.1M'!Y201</f>
        <v>106800000</v>
      </c>
      <c r="R76" s="822"/>
      <c r="S76" s="826" t="str">
        <f>'ALL-USD40.1M'!AA201</f>
        <v>Belum proses</v>
      </c>
      <c r="T76" s="702"/>
    </row>
    <row r="77" spans="2:20">
      <c r="B77" s="728">
        <f>'ALL-USD40.1M'!K214</f>
        <v>17</v>
      </c>
      <c r="C77" s="729" t="str">
        <f>'ALL-USD40.1M'!L214</f>
        <v>Kementerian Kelautan dan Perikanan</v>
      </c>
      <c r="D77" s="729"/>
      <c r="E77" s="748"/>
      <c r="P77" s="797">
        <f>P78</f>
        <v>107000000</v>
      </c>
      <c r="Q77" s="729"/>
      <c r="R77" s="753"/>
      <c r="S77" s="876"/>
      <c r="T77" s="872"/>
    </row>
    <row r="78" spans="2:20" ht="25.5" customHeight="1">
      <c r="B78" s="702"/>
      <c r="C78" s="697" t="str">
        <f>'ALL-USD40.1M'!L203</f>
        <v>A</v>
      </c>
      <c r="D78" s="3728" t="str">
        <f>'ALL-USD40.1M'!M215</f>
        <v>Program Peningkatan Fasilitas Perikanan</v>
      </c>
      <c r="E78" s="3730"/>
      <c r="F78" s="699"/>
      <c r="G78" s="699"/>
      <c r="H78" s="699"/>
      <c r="I78" s="699"/>
      <c r="J78" s="699"/>
      <c r="K78" s="699"/>
      <c r="L78" s="699"/>
      <c r="M78" s="699"/>
      <c r="N78" s="699"/>
      <c r="O78" s="699"/>
      <c r="P78" s="774">
        <f>P79</f>
        <v>107000000</v>
      </c>
      <c r="Q78" s="699"/>
      <c r="R78" s="857"/>
      <c r="S78" s="919"/>
      <c r="T78" s="733"/>
    </row>
    <row r="79" spans="2:20">
      <c r="B79" s="702"/>
      <c r="D79" s="896">
        <v>33</v>
      </c>
      <c r="E79" s="896" t="str">
        <f>'ALL-USD40.1M'!N216</f>
        <v xml:space="preserve">Outer Ring Fishing Ports Development - Phase I </v>
      </c>
      <c r="P79" s="908">
        <f>'ALL-USD40.1M'!Y216</f>
        <v>107000000</v>
      </c>
      <c r="R79" s="708"/>
      <c r="S79" s="799" t="str">
        <f>'ALL-USD40.1M'!AA216</f>
        <v>Belum proses</v>
      </c>
      <c r="T79" s="702"/>
    </row>
    <row r="80" spans="2:20">
      <c r="B80" s="728">
        <f>'ALL-USD40.1M'!K217</f>
        <v>18</v>
      </c>
      <c r="C80" s="729" t="str">
        <f>'ALL-USD40.1M'!L217</f>
        <v>Kementerian Pertahanan</v>
      </c>
      <c r="D80" s="729"/>
      <c r="E80" s="748"/>
      <c r="P80" s="909">
        <f>P81</f>
        <v>80000000</v>
      </c>
      <c r="Q80" s="729"/>
      <c r="R80" s="753"/>
      <c r="S80" s="876"/>
      <c r="T80" s="872"/>
    </row>
    <row r="81" spans="1:20" ht="25.5" customHeight="1">
      <c r="B81" s="702"/>
      <c r="C81" s="697" t="str">
        <f>'ALL-USD40.1M'!L218</f>
        <v>A</v>
      </c>
      <c r="D81" s="3728" t="str">
        <f>'ALL-USD40.1M'!M218</f>
        <v xml:space="preserve">Program Pembangunan Rumah Sakit Militer </v>
      </c>
      <c r="E81" s="3730"/>
      <c r="F81" s="699"/>
      <c r="G81" s="699"/>
      <c r="H81" s="699"/>
      <c r="I81" s="699"/>
      <c r="J81" s="699"/>
      <c r="K81" s="699"/>
      <c r="L81" s="699"/>
      <c r="M81" s="699"/>
      <c r="N81" s="699"/>
      <c r="O81" s="699"/>
      <c r="P81" s="910">
        <f>P82+P83+P84</f>
        <v>80000000</v>
      </c>
      <c r="Q81" s="699"/>
      <c r="R81" s="857"/>
      <c r="S81" s="877"/>
      <c r="T81" s="733"/>
    </row>
    <row r="82" spans="1:20">
      <c r="B82" s="702"/>
      <c r="C82" s="731"/>
      <c r="D82" s="874">
        <v>34</v>
      </c>
      <c r="E82" s="897" t="str">
        <f>'ALL-USD40.1M'!N220</f>
        <v>Upgrading Medical Equipments for Army Hospitals</v>
      </c>
      <c r="F82" s="897"/>
      <c r="G82" s="897"/>
      <c r="H82" s="897"/>
      <c r="I82" s="897"/>
      <c r="J82" s="897"/>
      <c r="K82" s="897"/>
      <c r="L82" s="897"/>
      <c r="M82" s="897"/>
      <c r="N82" s="897"/>
      <c r="O82" s="897"/>
      <c r="P82" s="777">
        <f>'ALL-USD40.1M'!Y221</f>
        <v>25000000</v>
      </c>
      <c r="Q82" s="897"/>
      <c r="R82" s="708"/>
      <c r="S82" s="920" t="str">
        <f>'ALL-USD40.1M'!AA221</f>
        <v>Belum proses</v>
      </c>
      <c r="T82" s="875"/>
    </row>
    <row r="83" spans="1:20">
      <c r="B83" s="702"/>
      <c r="C83" s="702"/>
      <c r="D83" s="874">
        <v>35</v>
      </c>
      <c r="E83" t="str">
        <f>'ALL-USD40.1M'!N222</f>
        <v>Upgrading Medical Equipments for Naval Hospitals</v>
      </c>
      <c r="P83" s="826">
        <f>'ALL-USD40.1M'!Y223</f>
        <v>30000000</v>
      </c>
      <c r="R83" s="702"/>
      <c r="S83" s="826" t="str">
        <f>S76</f>
        <v>Belum proses</v>
      </c>
      <c r="T83" s="702"/>
    </row>
    <row r="84" spans="1:20">
      <c r="B84" s="702"/>
      <c r="C84" s="893"/>
      <c r="D84" s="874">
        <v>36</v>
      </c>
      <c r="E84" s="898" t="str">
        <f>'ALL-USD40.1M'!N224</f>
        <v>Upgrading Medical Equipments for Air Force Hospitals</v>
      </c>
      <c r="P84" s="800">
        <f>'ALL-USD40.1M'!Y225</f>
        <v>25000000</v>
      </c>
      <c r="Q84" s="709"/>
      <c r="R84" s="708"/>
      <c r="S84" s="826" t="str">
        <f>'ALL-USD40.1M'!AA225</f>
        <v>Belum proses</v>
      </c>
      <c r="T84" s="702"/>
    </row>
    <row r="85" spans="1:20">
      <c r="B85" s="728">
        <f>'ALL-USD40.1M'!K233</f>
        <v>21</v>
      </c>
      <c r="C85" s="729" t="str">
        <f>'ALL-USD40.1M'!L233</f>
        <v>Kementerian ATR/BPN</v>
      </c>
      <c r="D85" s="736"/>
      <c r="E85" s="899"/>
      <c r="P85" s="911"/>
      <c r="Q85" s="736"/>
      <c r="R85" s="753"/>
      <c r="S85" s="876"/>
      <c r="T85" s="872"/>
    </row>
    <row r="86" spans="1:20" ht="25.5" customHeight="1">
      <c r="B86" s="702"/>
      <c r="C86" s="738" t="str">
        <f>'ALL-USD40.1M'!L234</f>
        <v>A</v>
      </c>
      <c r="D86" s="3728" t="str">
        <f>'ALL-USD40.1M'!M234</f>
        <v xml:space="preserve">Program Implementasi Informasi Geospasial dan Infrastruktur Keagrariaan </v>
      </c>
      <c r="E86" s="3735"/>
      <c r="F86" s="699"/>
      <c r="G86" s="699"/>
      <c r="H86" s="699"/>
      <c r="I86" s="699"/>
      <c r="J86" s="699"/>
      <c r="K86" s="699"/>
      <c r="L86" s="699"/>
      <c r="M86" s="699"/>
      <c r="N86" s="699"/>
      <c r="O86" s="699"/>
      <c r="P86" s="774">
        <f>P87</f>
        <v>200000000</v>
      </c>
      <c r="Q86" s="699"/>
      <c r="R86" s="857"/>
      <c r="S86" s="877"/>
      <c r="T86" s="733"/>
    </row>
    <row r="87" spans="1:20" ht="45">
      <c r="B87" s="702"/>
      <c r="C87" s="708"/>
      <c r="D87">
        <v>37</v>
      </c>
      <c r="E87" s="708" t="str">
        <f>'ALL-USD40.1M'!N235</f>
        <v xml:space="preserve">Program to Accelerate Agrarian Reform </v>
      </c>
      <c r="P87" s="535">
        <f>'ALL-USD40.1M'!Y235</f>
        <v>200000000</v>
      </c>
      <c r="R87" s="860"/>
      <c r="S87" s="920" t="str">
        <f>'ALL-USD40.1M'!AA235</f>
        <v>Sudah ada RC (versi BIG)</v>
      </c>
      <c r="T87" s="921" t="str">
        <f>'ALL-USD40.1M'!AG235</f>
        <v>- Masuk dalam dokumen CPF
- Terdapat perubahan instansi pengusul yang sebelumnya Badan Informasi Geospasial (BIG)</v>
      </c>
    </row>
    <row r="88" spans="1:20">
      <c r="B88" s="900">
        <f>'ALL-USD40.1M'!K236</f>
        <v>22</v>
      </c>
      <c r="C88" s="901" t="str">
        <f>'ALL-USD40.1M'!L236</f>
        <v>Lembaga Ilmu Pengetahuan Indonesia (LIPI)</v>
      </c>
      <c r="D88" s="740"/>
      <c r="E88" s="902"/>
      <c r="P88" s="912">
        <f>P89</f>
        <v>107950000</v>
      </c>
      <c r="Q88" s="740"/>
      <c r="R88" s="753"/>
      <c r="S88" s="901"/>
      <c r="T88" s="753"/>
    </row>
    <row r="89" spans="1:20" ht="25.5" customHeight="1">
      <c r="B89" s="708"/>
      <c r="C89" s="903" t="str">
        <f>'ALL-USD40.1M'!L237</f>
        <v>A</v>
      </c>
      <c r="D89" s="3846" t="str">
        <f>'ALL-USD40.1M'!M237</f>
        <v xml:space="preserve">Program Pengembangan Penelitian Kelautan </v>
      </c>
      <c r="E89" s="3847"/>
      <c r="F89" s="904"/>
      <c r="G89" s="905"/>
      <c r="H89" s="905"/>
      <c r="I89" s="905"/>
      <c r="J89" s="905"/>
      <c r="K89" s="905"/>
      <c r="L89" s="905"/>
      <c r="M89" s="905"/>
      <c r="N89" s="905"/>
      <c r="O89" s="905"/>
      <c r="P89" s="913">
        <f>P90</f>
        <v>107950000</v>
      </c>
      <c r="Q89" s="905"/>
      <c r="R89" s="857"/>
      <c r="S89" s="905"/>
      <c r="T89" s="922"/>
    </row>
    <row r="90" spans="1:20">
      <c r="B90" s="702"/>
      <c r="C90" s="860"/>
      <c r="D90" s="708">
        <v>38</v>
      </c>
      <c r="E90" s="898" t="str">
        <f>'ALL-USD40.1M'!N238</f>
        <v>Procurement Multi Purposes Research Vessel</v>
      </c>
      <c r="F90" s="709"/>
      <c r="G90" s="709"/>
      <c r="H90" s="709"/>
      <c r="I90" s="709"/>
      <c r="J90" s="709"/>
      <c r="K90" s="709"/>
      <c r="L90" s="709"/>
      <c r="M90" s="709"/>
      <c r="N90" s="709"/>
      <c r="O90" s="709"/>
      <c r="P90" s="823">
        <f>'ALL-USD40.1M'!Y238</f>
        <v>107950000</v>
      </c>
      <c r="Q90" s="709"/>
      <c r="R90" s="898"/>
      <c r="S90" s="823" t="str">
        <f>'ALL-USD40.1M'!AA238</f>
        <v>Belum proses</v>
      </c>
      <c r="T90" s="708"/>
    </row>
    <row r="91" spans="1:20" hidden="1">
      <c r="B91" s="702"/>
      <c r="S91" s="923"/>
    </row>
    <row r="92" spans="1:20">
      <c r="A92" s="708"/>
      <c r="B92" s="3800" t="s">
        <v>477</v>
      </c>
      <c r="C92" s="3801"/>
      <c r="D92" s="3801"/>
      <c r="E92" s="3802"/>
      <c r="F92" s="906"/>
      <c r="G92" s="907"/>
      <c r="H92" s="907"/>
      <c r="I92" s="907"/>
      <c r="J92" s="907"/>
      <c r="K92" s="907"/>
      <c r="L92" s="907"/>
      <c r="M92" s="907"/>
      <c r="N92" s="907"/>
      <c r="O92" s="907"/>
      <c r="P92" s="914">
        <f>P7+P52</f>
        <v>6225830320</v>
      </c>
      <c r="Q92" s="907"/>
      <c r="R92" s="924"/>
      <c r="S92" s="906"/>
      <c r="T92" s="924"/>
    </row>
  </sheetData>
  <mergeCells count="92">
    <mergeCell ref="D86:E86"/>
    <mergeCell ref="D89:E89"/>
    <mergeCell ref="B92:E92"/>
    <mergeCell ref="D16:D17"/>
    <mergeCell ref="D58:D62"/>
    <mergeCell ref="D68:E68"/>
    <mergeCell ref="D72:E72"/>
    <mergeCell ref="D75:E75"/>
    <mergeCell ref="D78:E78"/>
    <mergeCell ref="D81:E81"/>
    <mergeCell ref="C49:E49"/>
    <mergeCell ref="D50:E50"/>
    <mergeCell ref="D54:E54"/>
    <mergeCell ref="D57:E57"/>
    <mergeCell ref="D64:E64"/>
    <mergeCell ref="D41:E41"/>
    <mergeCell ref="C43:E43"/>
    <mergeCell ref="D44:E44"/>
    <mergeCell ref="C46:E46"/>
    <mergeCell ref="D47:E47"/>
    <mergeCell ref="N36:O36"/>
    <mergeCell ref="P36:Q36"/>
    <mergeCell ref="S36:T36"/>
    <mergeCell ref="C38:E38"/>
    <mergeCell ref="D39:E39"/>
    <mergeCell ref="D36:E36"/>
    <mergeCell ref="F36:G36"/>
    <mergeCell ref="H36:I36"/>
    <mergeCell ref="J36:K36"/>
    <mergeCell ref="L36:M36"/>
    <mergeCell ref="N27:O27"/>
    <mergeCell ref="P27:Q27"/>
    <mergeCell ref="S27:T27"/>
    <mergeCell ref="D34:E34"/>
    <mergeCell ref="F34:G34"/>
    <mergeCell ref="H34:I34"/>
    <mergeCell ref="J34:K34"/>
    <mergeCell ref="L34:M34"/>
    <mergeCell ref="N34:O34"/>
    <mergeCell ref="P34:Q34"/>
    <mergeCell ref="S34:T34"/>
    <mergeCell ref="D27:E27"/>
    <mergeCell ref="F27:G27"/>
    <mergeCell ref="H27:I27"/>
    <mergeCell ref="J27:K27"/>
    <mergeCell ref="L27:M27"/>
    <mergeCell ref="N20:O20"/>
    <mergeCell ref="P20:Q20"/>
    <mergeCell ref="S20:T20"/>
    <mergeCell ref="D24:E24"/>
    <mergeCell ref="F24:G24"/>
    <mergeCell ref="H24:I24"/>
    <mergeCell ref="J24:K24"/>
    <mergeCell ref="L24:M24"/>
    <mergeCell ref="N24:O24"/>
    <mergeCell ref="P24:Q24"/>
    <mergeCell ref="S24:T24"/>
    <mergeCell ref="D20:E20"/>
    <mergeCell ref="F20:G20"/>
    <mergeCell ref="H20:I20"/>
    <mergeCell ref="J20:K20"/>
    <mergeCell ref="L20:M20"/>
    <mergeCell ref="S15:T15"/>
    <mergeCell ref="D18:E18"/>
    <mergeCell ref="F18:G18"/>
    <mergeCell ref="H18:I18"/>
    <mergeCell ref="J18:K18"/>
    <mergeCell ref="L18:M18"/>
    <mergeCell ref="N18:O18"/>
    <mergeCell ref="P18:Q18"/>
    <mergeCell ref="S18:T18"/>
    <mergeCell ref="D9:E9"/>
    <mergeCell ref="D11:E11"/>
    <mergeCell ref="D13:E13"/>
    <mergeCell ref="D15:E15"/>
    <mergeCell ref="P15:Q15"/>
    <mergeCell ref="A1:AB1"/>
    <mergeCell ref="A2:T2"/>
    <mergeCell ref="L4:O4"/>
    <mergeCell ref="U4:W4"/>
    <mergeCell ref="X4:AB4"/>
    <mergeCell ref="F4:F5"/>
    <mergeCell ref="G4:G5"/>
    <mergeCell ref="H4:H5"/>
    <mergeCell ref="I4:I5"/>
    <mergeCell ref="J4:J5"/>
    <mergeCell ref="K4:K5"/>
    <mergeCell ref="P4:P5"/>
    <mergeCell ref="Q4:Q5"/>
    <mergeCell ref="S4:S5"/>
    <mergeCell ref="T4:T5"/>
    <mergeCell ref="A4:E5"/>
  </mergeCells>
  <pageMargins left="0.69930555555555596" right="0.69930555555555596" top="0.75" bottom="0.75" header="0.3" footer="0.3"/>
  <pageSetup paperSize="9" orientation="portrai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39994506668294322"/>
  </sheetPr>
  <dimension ref="A1:F59"/>
  <sheetViews>
    <sheetView zoomScale="70" zoomScaleNormal="70" workbookViewId="0">
      <selection activeCell="K43" sqref="K43"/>
    </sheetView>
  </sheetViews>
  <sheetFormatPr defaultColWidth="9" defaultRowHeight="15"/>
  <cols>
    <col min="1" max="1" width="5.7109375" customWidth="1"/>
    <col min="2" max="2" width="91.28515625" customWidth="1"/>
    <col min="3" max="3" width="23.42578125" customWidth="1"/>
    <col min="4" max="4" width="27.7109375" customWidth="1"/>
    <col min="5" max="5" width="18.28515625" customWidth="1"/>
    <col min="6" max="6" width="15.28515625" customWidth="1"/>
  </cols>
  <sheetData>
    <row r="1" spans="1:6">
      <c r="A1" s="3873" t="s">
        <v>1280</v>
      </c>
      <c r="B1" s="3548"/>
      <c r="C1" s="3548"/>
      <c r="D1" s="3548"/>
      <c r="E1" s="3548"/>
      <c r="F1" s="3548"/>
    </row>
    <row r="2" spans="1:6">
      <c r="A2" s="3548"/>
      <c r="B2" s="3548"/>
      <c r="C2" s="3548"/>
      <c r="D2" s="3548"/>
      <c r="E2" s="3548"/>
      <c r="F2" s="3548"/>
    </row>
    <row r="3" spans="1:6">
      <c r="A3" s="3874" t="s">
        <v>1394</v>
      </c>
      <c r="B3" s="3874"/>
      <c r="C3" s="3874"/>
      <c r="D3" s="3874"/>
      <c r="E3" s="3874"/>
      <c r="F3" s="3874"/>
    </row>
    <row r="5" spans="1:6" ht="25.5">
      <c r="A5" s="583" t="s">
        <v>1284</v>
      </c>
      <c r="B5" s="583" t="s">
        <v>523</v>
      </c>
      <c r="C5" s="584" t="s">
        <v>1395</v>
      </c>
      <c r="D5" s="584" t="s">
        <v>1286</v>
      </c>
      <c r="E5" s="584" t="s">
        <v>11</v>
      </c>
      <c r="F5" s="628" t="s">
        <v>1287</v>
      </c>
    </row>
    <row r="6" spans="1:6">
      <c r="A6" s="3875" t="str">
        <f>'ALL-USD40.1M'!L9</f>
        <v>Kementerian Pekerjaan Umum dan Perumahan Rakyat</v>
      </c>
      <c r="B6" s="3875"/>
      <c r="C6" s="629">
        <f>SUM(C7:C33)</f>
        <v>4573690000</v>
      </c>
      <c r="D6" s="630">
        <f>SUM(D7:D33)</f>
        <v>4189328134.6999998</v>
      </c>
      <c r="E6" s="631"/>
      <c r="F6" s="631"/>
    </row>
    <row r="7" spans="1:6">
      <c r="A7" s="632">
        <v>1</v>
      </c>
      <c r="B7" s="633" t="s">
        <v>579</v>
      </c>
      <c r="C7" s="634">
        <v>330000000</v>
      </c>
      <c r="D7" s="635">
        <v>219398580.06</v>
      </c>
      <c r="E7" s="636" t="s">
        <v>27</v>
      </c>
      <c r="F7" s="637">
        <v>2016</v>
      </c>
    </row>
    <row r="8" spans="1:6">
      <c r="A8" s="632">
        <v>2</v>
      </c>
      <c r="B8" s="633" t="s">
        <v>588</v>
      </c>
      <c r="C8" s="634">
        <v>65000000</v>
      </c>
      <c r="D8" s="635">
        <v>53405755.75</v>
      </c>
      <c r="E8" s="636" t="s">
        <v>27</v>
      </c>
      <c r="F8" s="637">
        <v>2015</v>
      </c>
    </row>
    <row r="9" spans="1:6">
      <c r="A9" s="632">
        <v>3</v>
      </c>
      <c r="B9" s="633" t="s">
        <v>593</v>
      </c>
      <c r="C9" s="634">
        <v>80000000</v>
      </c>
      <c r="D9" s="635">
        <v>78099963</v>
      </c>
      <c r="E9" s="636" t="s">
        <v>27</v>
      </c>
      <c r="F9" s="638">
        <v>2016</v>
      </c>
    </row>
    <row r="10" spans="1:6">
      <c r="A10" s="632">
        <v>4</v>
      </c>
      <c r="B10" s="633" t="s">
        <v>597</v>
      </c>
      <c r="C10" s="634">
        <v>300000000</v>
      </c>
      <c r="D10" s="635">
        <v>198772234.88999999</v>
      </c>
      <c r="E10" s="636" t="s">
        <v>27</v>
      </c>
      <c r="F10" s="637">
        <v>2015</v>
      </c>
    </row>
    <row r="11" spans="1:6">
      <c r="A11" s="632">
        <v>5</v>
      </c>
      <c r="B11" s="639" t="s">
        <v>643</v>
      </c>
      <c r="C11" s="636">
        <v>45000000</v>
      </c>
      <c r="D11" s="635">
        <v>45000000</v>
      </c>
      <c r="E11" s="640" t="s">
        <v>117</v>
      </c>
      <c r="F11" s="638">
        <v>2016</v>
      </c>
    </row>
    <row r="12" spans="1:6">
      <c r="A12" s="632">
        <v>6</v>
      </c>
      <c r="B12" s="639" t="s">
        <v>75</v>
      </c>
      <c r="C12" s="634">
        <v>300000000</v>
      </c>
      <c r="D12" s="635">
        <v>300000000</v>
      </c>
      <c r="E12" s="636" t="s">
        <v>62</v>
      </c>
      <c r="F12" s="641">
        <v>2016</v>
      </c>
    </row>
    <row r="13" spans="1:6">
      <c r="A13" s="642">
        <v>7</v>
      </c>
      <c r="B13" s="633" t="s">
        <v>685</v>
      </c>
      <c r="C13" s="634">
        <v>50000000</v>
      </c>
      <c r="D13" s="635">
        <v>36443330</v>
      </c>
      <c r="E13" s="636" t="s">
        <v>108</v>
      </c>
      <c r="F13" s="3289" t="s">
        <v>1294</v>
      </c>
    </row>
    <row r="14" spans="1:6">
      <c r="A14" s="643">
        <v>8</v>
      </c>
      <c r="B14" s="639" t="s">
        <v>692</v>
      </c>
      <c r="C14" s="636">
        <v>26380000</v>
      </c>
      <c r="D14" s="635">
        <v>26380000</v>
      </c>
      <c r="E14" s="640" t="s">
        <v>117</v>
      </c>
      <c r="F14" s="3289" t="s">
        <v>1294</v>
      </c>
    </row>
    <row r="15" spans="1:6">
      <c r="A15" s="643">
        <v>9</v>
      </c>
      <c r="B15" s="639" t="s">
        <v>721</v>
      </c>
      <c r="C15" s="636">
        <v>25200000</v>
      </c>
      <c r="D15" s="635">
        <v>25200000</v>
      </c>
      <c r="E15" s="640" t="s">
        <v>117</v>
      </c>
      <c r="F15" s="3289" t="s">
        <v>1294</v>
      </c>
    </row>
    <row r="16" spans="1:6">
      <c r="A16" s="3867">
        <v>10</v>
      </c>
      <c r="B16" s="3870" t="s">
        <v>146</v>
      </c>
      <c r="C16" s="634">
        <v>329760000</v>
      </c>
      <c r="D16" s="635">
        <v>329760000</v>
      </c>
      <c r="E16" s="636" t="s">
        <v>58</v>
      </c>
      <c r="F16" s="3289" t="s">
        <v>1294</v>
      </c>
    </row>
    <row r="17" spans="1:6">
      <c r="A17" s="3868"/>
      <c r="B17" s="3871"/>
      <c r="C17" s="634">
        <f>433000000/2</f>
        <v>216500000</v>
      </c>
      <c r="D17" s="634">
        <f>433000000/2</f>
        <v>216500000</v>
      </c>
      <c r="E17" s="636" t="s">
        <v>636</v>
      </c>
      <c r="F17" s="3289" t="s">
        <v>1294</v>
      </c>
    </row>
    <row r="18" spans="1:6">
      <c r="A18" s="3869"/>
      <c r="B18" s="3872"/>
      <c r="C18" s="634">
        <f>433000000/2</f>
        <v>216500000</v>
      </c>
      <c r="D18" s="634">
        <f>433000000/2</f>
        <v>216500000</v>
      </c>
      <c r="E18" s="636" t="s">
        <v>62</v>
      </c>
      <c r="F18" s="641">
        <v>2016</v>
      </c>
    </row>
    <row r="19" spans="1:6">
      <c r="A19" s="643">
        <v>11</v>
      </c>
      <c r="B19" s="639" t="s">
        <v>182</v>
      </c>
      <c r="C19" s="634">
        <v>38100000</v>
      </c>
      <c r="D19" s="635">
        <v>38100000</v>
      </c>
      <c r="E19" s="636" t="s">
        <v>117</v>
      </c>
      <c r="F19" s="3289" t="s">
        <v>1294</v>
      </c>
    </row>
    <row r="20" spans="1:6">
      <c r="A20" s="643">
        <v>12</v>
      </c>
      <c r="B20" s="639" t="s">
        <v>192</v>
      </c>
      <c r="C20" s="634">
        <v>2000000</v>
      </c>
      <c r="D20" s="635">
        <v>2000000</v>
      </c>
      <c r="E20" s="636" t="s">
        <v>117</v>
      </c>
      <c r="F20" s="3289" t="s">
        <v>1294</v>
      </c>
    </row>
    <row r="21" spans="1:6">
      <c r="A21" s="643">
        <v>13</v>
      </c>
      <c r="B21" s="639" t="s">
        <v>214</v>
      </c>
      <c r="C21" s="634">
        <v>1930000</v>
      </c>
      <c r="D21" s="635">
        <v>1930000</v>
      </c>
      <c r="E21" s="636" t="s">
        <v>117</v>
      </c>
      <c r="F21" s="3264" t="s">
        <v>1294</v>
      </c>
    </row>
    <row r="22" spans="1:6">
      <c r="A22" s="643">
        <v>14</v>
      </c>
      <c r="B22" s="639" t="s">
        <v>231</v>
      </c>
      <c r="C22" s="634">
        <v>9620000</v>
      </c>
      <c r="D22" s="635">
        <v>9620000</v>
      </c>
      <c r="E22" s="636" t="s">
        <v>117</v>
      </c>
      <c r="F22" s="3264" t="s">
        <v>1294</v>
      </c>
    </row>
    <row r="23" spans="1:6">
      <c r="A23" s="643">
        <v>15</v>
      </c>
      <c r="B23" s="639" t="s">
        <v>233</v>
      </c>
      <c r="C23" s="634">
        <v>108700000</v>
      </c>
      <c r="D23" s="635">
        <v>108700000</v>
      </c>
      <c r="E23" s="636" t="s">
        <v>117</v>
      </c>
      <c r="F23" s="3264" t="s">
        <v>1294</v>
      </c>
    </row>
    <row r="24" spans="1:6">
      <c r="A24" s="643">
        <v>16</v>
      </c>
      <c r="B24" s="639" t="s">
        <v>681</v>
      </c>
      <c r="C24" s="634">
        <v>25000000</v>
      </c>
      <c r="D24" s="645">
        <v>15000000</v>
      </c>
      <c r="E24" s="636" t="s">
        <v>105</v>
      </c>
      <c r="F24" s="638">
        <v>2016</v>
      </c>
    </row>
    <row r="25" spans="1:6">
      <c r="A25" s="643">
        <v>17</v>
      </c>
      <c r="B25" s="639" t="s">
        <v>174</v>
      </c>
      <c r="C25" s="634">
        <v>480000000</v>
      </c>
      <c r="D25" s="634">
        <v>400639534</v>
      </c>
      <c r="E25" s="636" t="s">
        <v>55</v>
      </c>
      <c r="F25" s="638">
        <v>2016</v>
      </c>
    </row>
    <row r="26" spans="1:6">
      <c r="A26" s="643">
        <v>18</v>
      </c>
      <c r="B26" s="639" t="s">
        <v>175</v>
      </c>
      <c r="C26" s="634">
        <v>120000000</v>
      </c>
      <c r="D26" s="634">
        <v>132026578</v>
      </c>
      <c r="E26" s="636" t="s">
        <v>55</v>
      </c>
      <c r="F26" s="638" t="s">
        <v>1299</v>
      </c>
    </row>
    <row r="27" spans="1:6">
      <c r="A27" s="643">
        <v>19</v>
      </c>
      <c r="B27" s="639" t="s">
        <v>225</v>
      </c>
      <c r="C27" s="634">
        <v>150000000</v>
      </c>
      <c r="D27" s="634">
        <v>81852159</v>
      </c>
      <c r="E27" s="636" t="s">
        <v>55</v>
      </c>
      <c r="F27" s="638" t="s">
        <v>1299</v>
      </c>
    </row>
    <row r="28" spans="1:6">
      <c r="A28" s="643">
        <v>20</v>
      </c>
      <c r="B28" s="639" t="s">
        <v>1300</v>
      </c>
      <c r="C28" s="634">
        <v>4000000</v>
      </c>
      <c r="D28" s="634">
        <v>4000000</v>
      </c>
      <c r="E28" s="636" t="s">
        <v>62</v>
      </c>
      <c r="F28" s="638" t="s">
        <v>1299</v>
      </c>
    </row>
    <row r="29" spans="1:6">
      <c r="A29" s="3867">
        <v>21</v>
      </c>
      <c r="B29" s="3870" t="s">
        <v>1301</v>
      </c>
      <c r="C29" s="634">
        <v>100000000</v>
      </c>
      <c r="D29" s="634">
        <v>100000000</v>
      </c>
      <c r="E29" s="636" t="s">
        <v>62</v>
      </c>
      <c r="F29" s="638" t="s">
        <v>1299</v>
      </c>
    </row>
    <row r="30" spans="1:6">
      <c r="A30" s="3869"/>
      <c r="B30" s="3872"/>
      <c r="C30" s="634">
        <v>600000000</v>
      </c>
      <c r="D30" s="634">
        <v>600000000</v>
      </c>
      <c r="E30" s="636" t="s">
        <v>117</v>
      </c>
      <c r="F30" s="638" t="s">
        <v>1396</v>
      </c>
    </row>
    <row r="31" spans="1:6">
      <c r="A31" s="643">
        <v>22</v>
      </c>
      <c r="B31" s="639" t="s">
        <v>1302</v>
      </c>
      <c r="C31" s="634">
        <v>250000000</v>
      </c>
      <c r="D31" s="634">
        <v>250000000</v>
      </c>
      <c r="E31" s="636" t="s">
        <v>1303</v>
      </c>
      <c r="F31" s="638" t="s">
        <v>1299</v>
      </c>
    </row>
    <row r="32" spans="1:6">
      <c r="A32" s="643">
        <v>23</v>
      </c>
      <c r="B32" s="639" t="s">
        <v>1304</v>
      </c>
      <c r="C32" s="634">
        <v>250000000</v>
      </c>
      <c r="D32" s="634">
        <v>250000000</v>
      </c>
      <c r="E32" s="636" t="s">
        <v>58</v>
      </c>
      <c r="F32" s="638" t="s">
        <v>1299</v>
      </c>
    </row>
    <row r="33" spans="1:6">
      <c r="A33" s="642">
        <v>24</v>
      </c>
      <c r="B33" s="639" t="str">
        <f>'ALL-USD40.1M'!N107</f>
        <v>National Affordable Housing Project</v>
      </c>
      <c r="C33" s="634">
        <f>'ALL-USD40.1M'!Y107</f>
        <v>450000000</v>
      </c>
      <c r="D33" s="634">
        <f>'ALL-USD40.1M'!Y107</f>
        <v>450000000</v>
      </c>
      <c r="E33" s="636" t="str">
        <f>'ALL-USD40.1M'!Z107</f>
        <v>Bank Dunia</v>
      </c>
      <c r="F33" s="646" t="s">
        <v>1397</v>
      </c>
    </row>
    <row r="34" spans="1:6">
      <c r="A34" s="647" t="s">
        <v>255</v>
      </c>
      <c r="B34" s="647"/>
      <c r="C34" s="648">
        <f>C35+C36+C37</f>
        <v>1248052000</v>
      </c>
      <c r="D34" s="648">
        <f>D35+D36+D37</f>
        <v>1215754848.25</v>
      </c>
      <c r="E34" s="636"/>
      <c r="F34" s="638"/>
    </row>
    <row r="35" spans="1:6">
      <c r="A35" s="632">
        <v>25</v>
      </c>
      <c r="B35" s="3290" t="s">
        <v>869</v>
      </c>
      <c r="C35" s="634">
        <v>200000000</v>
      </c>
      <c r="D35" s="635">
        <v>175056055</v>
      </c>
      <c r="E35" s="640" t="s">
        <v>27</v>
      </c>
      <c r="F35" s="3267" t="s">
        <v>1294</v>
      </c>
    </row>
    <row r="36" spans="1:6">
      <c r="A36" s="632">
        <v>26</v>
      </c>
      <c r="B36" s="639" t="s">
        <v>274</v>
      </c>
      <c r="C36" s="634">
        <v>23000000</v>
      </c>
      <c r="D36" s="635">
        <v>15646793.25</v>
      </c>
      <c r="E36" s="640" t="s">
        <v>55</v>
      </c>
      <c r="F36" s="637">
        <v>2015</v>
      </c>
    </row>
    <row r="37" spans="1:6">
      <c r="A37" s="632">
        <v>27</v>
      </c>
      <c r="B37" s="639" t="str">
        <f>'ALL-USD40.1M'!_Toc450667043</f>
        <v>The Development of Patimban Port - Stage I</v>
      </c>
      <c r="C37" s="634">
        <f>'ALL-USD40.1M'!Y125</f>
        <v>1025052000</v>
      </c>
      <c r="D37" s="635">
        <f>'ALL-USD40.1M'!Y125</f>
        <v>1025052000</v>
      </c>
      <c r="E37" s="640" t="str">
        <f>'ALL-USD40.1M'!Z125</f>
        <v>JICA</v>
      </c>
      <c r="F37" s="637">
        <v>2017</v>
      </c>
    </row>
    <row r="38" spans="1:6">
      <c r="A38" s="647" t="s">
        <v>891</v>
      </c>
      <c r="B38" s="647"/>
      <c r="C38" s="649">
        <f>C39</f>
        <v>1050000000</v>
      </c>
      <c r="D38" s="649">
        <f>D39</f>
        <v>613298850.72000003</v>
      </c>
      <c r="E38" s="650"/>
      <c r="F38" s="638"/>
    </row>
    <row r="39" spans="1:6">
      <c r="A39" s="632">
        <v>28</v>
      </c>
      <c r="B39" s="639" t="s">
        <v>281</v>
      </c>
      <c r="C39" s="636">
        <v>1050000000</v>
      </c>
      <c r="D39" s="635">
        <v>613298850.72000003</v>
      </c>
      <c r="E39" s="640" t="s">
        <v>55</v>
      </c>
      <c r="F39" s="637">
        <v>2015</v>
      </c>
    </row>
    <row r="40" spans="1:6">
      <c r="A40" s="647" t="s">
        <v>1306</v>
      </c>
      <c r="B40" s="647"/>
      <c r="C40" s="648">
        <f>C41+C42</f>
        <v>635600000</v>
      </c>
      <c r="D40" s="648">
        <f>D41+D42</f>
        <v>519051416.05000001</v>
      </c>
      <c r="E40" s="636"/>
      <c r="F40" s="638"/>
    </row>
    <row r="41" spans="1:6">
      <c r="A41" s="632">
        <v>29</v>
      </c>
      <c r="B41" s="639" t="s">
        <v>915</v>
      </c>
      <c r="C41" s="634">
        <v>629000000</v>
      </c>
      <c r="D41" s="635">
        <v>513687070.98000002</v>
      </c>
      <c r="E41" s="636" t="s">
        <v>55</v>
      </c>
      <c r="F41" s="637">
        <v>2015</v>
      </c>
    </row>
    <row r="42" spans="1:6">
      <c r="A42" s="632">
        <v>30</v>
      </c>
      <c r="B42" s="639" t="s">
        <v>925</v>
      </c>
      <c r="C42" s="634">
        <v>6600000</v>
      </c>
      <c r="D42" s="635">
        <v>5364345.07</v>
      </c>
      <c r="E42" s="636" t="s">
        <v>55</v>
      </c>
      <c r="F42" s="637">
        <v>2015</v>
      </c>
    </row>
    <row r="43" spans="1:6">
      <c r="A43" s="647" t="s">
        <v>1307</v>
      </c>
      <c r="B43" s="647"/>
      <c r="C43" s="648">
        <f>C44+C45+C46+C47+C48+C49</f>
        <v>279987500</v>
      </c>
      <c r="D43" s="648">
        <f>D44+D45+D46+D47+D48+D49</f>
        <v>279700000</v>
      </c>
      <c r="E43" s="640"/>
      <c r="F43" s="638"/>
    </row>
    <row r="44" spans="1:6">
      <c r="A44" s="3867">
        <v>31</v>
      </c>
      <c r="B44" s="3290" t="s">
        <v>963</v>
      </c>
      <c r="C44" s="634">
        <v>49882300</v>
      </c>
      <c r="D44" s="3664">
        <v>176486000</v>
      </c>
      <c r="E44" s="640" t="s">
        <v>58</v>
      </c>
      <c r="F44" s="644">
        <v>2016</v>
      </c>
    </row>
    <row r="45" spans="1:6">
      <c r="A45" s="3868"/>
      <c r="B45" s="3290" t="s">
        <v>966</v>
      </c>
      <c r="C45" s="634">
        <v>38400000</v>
      </c>
      <c r="D45" s="3665"/>
      <c r="E45" s="640" t="s">
        <v>58</v>
      </c>
      <c r="F45" s="644">
        <v>2016</v>
      </c>
    </row>
    <row r="46" spans="1:6">
      <c r="A46" s="3868"/>
      <c r="B46" s="3290" t="s">
        <v>968</v>
      </c>
      <c r="C46" s="634">
        <v>44400000</v>
      </c>
      <c r="D46" s="3665"/>
      <c r="E46" s="640" t="s">
        <v>58</v>
      </c>
      <c r="F46" s="644">
        <v>2016</v>
      </c>
    </row>
    <row r="47" spans="1:6" ht="25.5">
      <c r="A47" s="3869"/>
      <c r="B47" s="3291" t="s">
        <v>970</v>
      </c>
      <c r="C47" s="634">
        <v>44091200</v>
      </c>
      <c r="D47" s="3666"/>
      <c r="E47" s="640" t="s">
        <v>58</v>
      </c>
      <c r="F47" s="638">
        <v>2016</v>
      </c>
    </row>
    <row r="48" spans="1:6">
      <c r="A48" s="651">
        <v>32</v>
      </c>
      <c r="B48" s="3291" t="str">
        <f>'ALL-USD40.1M'!N162</f>
        <v>University of Gadjah Mada Achieving World Class University with Socio-Entrepreneurial Spirit</v>
      </c>
      <c r="C48" s="634">
        <f>'ALL-USD40.1M'!Y162</f>
        <v>71694000</v>
      </c>
      <c r="D48" s="652">
        <f>'ALL-USD40.1M'!Y162</f>
        <v>71694000</v>
      </c>
      <c r="E48" s="640" t="str">
        <f>'ALL-USD40.1M'!Z162</f>
        <v>JICA</v>
      </c>
      <c r="F48" s="638" t="s">
        <v>1398</v>
      </c>
    </row>
    <row r="49" spans="1:6">
      <c r="A49" s="651">
        <v>33</v>
      </c>
      <c r="B49" s="3291" t="s">
        <v>972</v>
      </c>
      <c r="C49" s="634">
        <v>31520000</v>
      </c>
      <c r="D49" s="634">
        <v>31520000</v>
      </c>
      <c r="E49" s="652" t="s">
        <v>91</v>
      </c>
      <c r="F49" s="638" t="s">
        <v>1398</v>
      </c>
    </row>
    <row r="50" spans="1:6">
      <c r="A50" s="647" t="s">
        <v>1313</v>
      </c>
      <c r="B50" s="653"/>
      <c r="C50" s="654">
        <f>C51+C52</f>
        <v>400000000</v>
      </c>
      <c r="D50" s="654">
        <f>D51+D52</f>
        <v>400000000</v>
      </c>
      <c r="E50" s="655"/>
      <c r="F50" s="656"/>
    </row>
    <row r="51" spans="1:6">
      <c r="A51" s="632">
        <v>34</v>
      </c>
      <c r="B51" s="657" t="s">
        <v>956</v>
      </c>
      <c r="C51" s="658">
        <v>200000000</v>
      </c>
      <c r="D51" s="658">
        <v>200000000</v>
      </c>
      <c r="E51" s="659" t="s">
        <v>62</v>
      </c>
      <c r="F51" s="638" t="s">
        <v>1299</v>
      </c>
    </row>
    <row r="52" spans="1:6" ht="25.5">
      <c r="A52" s="632">
        <v>35</v>
      </c>
      <c r="B52" s="660" t="str">
        <f>'ALL-USD40.1M'!N153</f>
        <v>Increasing PT Indonesia Infrastructure Finance Financing Capacity in Accelerating Infrastructure Development in Indonesia</v>
      </c>
      <c r="C52" s="658">
        <f>'ALL-USD40.1M'!Y153</f>
        <v>200000000</v>
      </c>
      <c r="D52" s="661">
        <f>'ALL-USD40.1M'!Y153</f>
        <v>200000000</v>
      </c>
      <c r="E52" s="659" t="str">
        <f>'ALL-USD40.1M'!Z153</f>
        <v>Bank Dunia</v>
      </c>
      <c r="F52" s="638" t="s">
        <v>1397</v>
      </c>
    </row>
    <row r="53" spans="1:6">
      <c r="A53" s="647" t="s">
        <v>430</v>
      </c>
      <c r="B53" s="653"/>
      <c r="C53" s="654">
        <f>C54</f>
        <v>39850000</v>
      </c>
      <c r="D53" s="654">
        <f>C53</f>
        <v>39850000</v>
      </c>
      <c r="E53" s="655"/>
      <c r="F53" s="656"/>
    </row>
    <row r="54" spans="1:6">
      <c r="A54" s="632">
        <v>36</v>
      </c>
      <c r="B54" s="657" t="s">
        <v>442</v>
      </c>
      <c r="C54" s="658">
        <v>39850000</v>
      </c>
      <c r="D54" s="535">
        <f>D53</f>
        <v>39850000</v>
      </c>
      <c r="E54" s="662" t="s">
        <v>170</v>
      </c>
      <c r="F54" s="659" t="s">
        <v>1399</v>
      </c>
    </row>
    <row r="55" spans="1:6">
      <c r="A55" s="663" t="s">
        <v>477</v>
      </c>
      <c r="B55" s="663"/>
      <c r="C55" s="664">
        <f>C50+C43+C40+C38+C34+C6+C53</f>
        <v>8227179500</v>
      </c>
      <c r="D55" s="665">
        <f>D50+D43+D40+D38+D34+D6+D53</f>
        <v>7256983249.7199993</v>
      </c>
      <c r="E55" s="666"/>
      <c r="F55" s="667"/>
    </row>
    <row r="57" spans="1:6">
      <c r="C57" s="535"/>
    </row>
    <row r="58" spans="1:6">
      <c r="C58" s="535">
        <f>'Signed di Cek SK'!C55+'Sudah DK'!C18+'Sudah GB'!C25+'PROSES - sudah ada RC'!C32+'PROSES - penyusunan RC FS'!C34+'BELUM PROSES'!C109</f>
        <v>43430020170</v>
      </c>
    </row>
    <row r="59" spans="1:6">
      <c r="C59" s="535">
        <f>C58-'ALL-USD40.1M'!Y239</f>
        <v>3293559070</v>
      </c>
    </row>
  </sheetData>
  <mergeCells count="9">
    <mergeCell ref="A44:A47"/>
    <mergeCell ref="B16:B18"/>
    <mergeCell ref="B29:B30"/>
    <mergeCell ref="D44:D47"/>
    <mergeCell ref="A1:F2"/>
    <mergeCell ref="A3:F3"/>
    <mergeCell ref="A6:B6"/>
    <mergeCell ref="A16:A18"/>
    <mergeCell ref="A29:A30"/>
  </mergeCells>
  <pageMargins left="0.69930555555555596" right="0.69930555555555596" top="0.75" bottom="0.75" header="0.3" footer="0.3"/>
  <pageSetup paperSize="9" orientation="portrait"/>
  <legacy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4506668294322"/>
  </sheetPr>
  <dimension ref="A1:E21"/>
  <sheetViews>
    <sheetView workbookViewId="0">
      <selection activeCell="B29" sqref="B29"/>
    </sheetView>
  </sheetViews>
  <sheetFormatPr defaultColWidth="9" defaultRowHeight="15"/>
  <cols>
    <col min="1" max="1" width="5.7109375" customWidth="1"/>
    <col min="2" max="2" width="80.28515625" customWidth="1"/>
    <col min="3" max="3" width="22.5703125" customWidth="1"/>
    <col min="4" max="4" width="16" customWidth="1"/>
    <col min="5" max="5" width="18.140625" customWidth="1"/>
  </cols>
  <sheetData>
    <row r="1" spans="1:5">
      <c r="A1" s="3873" t="s">
        <v>1400</v>
      </c>
      <c r="B1" s="3873"/>
      <c r="C1" s="3873"/>
      <c r="D1" s="3873"/>
    </row>
    <row r="2" spans="1:5">
      <c r="A2" s="3873"/>
      <c r="B2" s="3873"/>
      <c r="C2" s="3873"/>
      <c r="D2" s="3873"/>
    </row>
    <row r="3" spans="1:5">
      <c r="A3" s="582"/>
      <c r="B3" s="582"/>
      <c r="C3" s="582"/>
      <c r="D3" s="582"/>
    </row>
    <row r="4" spans="1:5" ht="38.25">
      <c r="A4" s="583" t="s">
        <v>1284</v>
      </c>
      <c r="B4" s="583" t="s">
        <v>523</v>
      </c>
      <c r="C4" s="584" t="s">
        <v>1285</v>
      </c>
      <c r="D4" s="584" t="s">
        <v>11</v>
      </c>
      <c r="E4" s="584" t="s">
        <v>1401</v>
      </c>
    </row>
    <row r="5" spans="1:5" ht="15.75">
      <c r="A5" s="3876" t="str">
        <f>'ALL-USD40.1M'!L9</f>
        <v>Kementerian Pekerjaan Umum dan Perumahan Rakyat</v>
      </c>
      <c r="B5" s="3876"/>
      <c r="C5" s="615">
        <f>SUM(C6:C7)</f>
        <v>31705380</v>
      </c>
      <c r="D5" s="616"/>
      <c r="E5" s="616"/>
    </row>
    <row r="6" spans="1:5">
      <c r="A6" s="617">
        <v>1</v>
      </c>
      <c r="B6" s="588" t="str">
        <f>'ALL-USD40.1M'!N91</f>
        <v>Engineering Service for Dam Multipurpose Development Project</v>
      </c>
      <c r="C6" s="586">
        <f>'ALL-USD40.1M'!Y91</f>
        <v>21610980</v>
      </c>
      <c r="D6" s="586" t="str">
        <f>'ALL-USD40.1M'!Z91</f>
        <v>Korea</v>
      </c>
      <c r="E6" s="623">
        <v>42767</v>
      </c>
    </row>
    <row r="7" spans="1:5">
      <c r="A7" s="617">
        <v>2</v>
      </c>
      <c r="B7" s="588" t="str">
        <f>'ALL-USD40.1M'!N99</f>
        <v>Engineering Service for Coastal and River Development Project</v>
      </c>
      <c r="C7" s="586">
        <f>'ALL-USD40.1M'!Y99</f>
        <v>10094400</v>
      </c>
      <c r="D7" s="586" t="str">
        <f>'ALL-USD40.1M'!Z99</f>
        <v>Korea</v>
      </c>
      <c r="E7" s="623">
        <v>42767</v>
      </c>
    </row>
    <row r="8" spans="1:5" s="582" customFormat="1" ht="14.25">
      <c r="A8" s="617">
        <v>3</v>
      </c>
      <c r="B8" s="588" t="str">
        <f>'ALL-USD40.1M'!N69</f>
        <v>The Urgent Rehabilitation of Strategic Irrigation for Western Region of Indonesia</v>
      </c>
      <c r="C8" s="586">
        <f>'ALL-USD40.1M'!Y69</f>
        <v>195778000</v>
      </c>
      <c r="D8" s="586" t="str">
        <f>'ALL-USD40.1M'!Z69</f>
        <v>Korea</v>
      </c>
      <c r="E8" s="624">
        <v>43118</v>
      </c>
    </row>
    <row r="9" spans="1:5" ht="15.75">
      <c r="A9" s="3876" t="s">
        <v>377</v>
      </c>
      <c r="B9" s="3876"/>
      <c r="C9" s="615">
        <f>SUM(C10:C15)</f>
        <v>238000000</v>
      </c>
      <c r="D9" s="616"/>
      <c r="E9" s="616"/>
    </row>
    <row r="10" spans="1:5">
      <c r="A10" s="3877">
        <v>4</v>
      </c>
      <c r="B10" s="590" t="s">
        <v>986</v>
      </c>
      <c r="C10" s="592">
        <v>40000000</v>
      </c>
      <c r="D10" s="592" t="s">
        <v>58</v>
      </c>
      <c r="E10" s="625" t="s">
        <v>1402</v>
      </c>
    </row>
    <row r="11" spans="1:5" ht="29.25" customHeight="1">
      <c r="A11" s="3878"/>
      <c r="B11" s="590" t="s">
        <v>989</v>
      </c>
      <c r="C11" s="592">
        <v>40000000</v>
      </c>
      <c r="D11" s="592" t="s">
        <v>58</v>
      </c>
      <c r="E11" s="625" t="s">
        <v>1402</v>
      </c>
    </row>
    <row r="12" spans="1:5">
      <c r="A12" s="3878"/>
      <c r="B12" s="590" t="s">
        <v>992</v>
      </c>
      <c r="C12" s="592">
        <v>39800000</v>
      </c>
      <c r="D12" s="592" t="s">
        <v>58</v>
      </c>
      <c r="E12" s="625" t="s">
        <v>1402</v>
      </c>
    </row>
    <row r="13" spans="1:5" ht="29.25" customHeight="1">
      <c r="A13" s="3878"/>
      <c r="B13" s="590" t="s">
        <v>995</v>
      </c>
      <c r="C13" s="592">
        <v>40000000</v>
      </c>
      <c r="D13" s="592" t="s">
        <v>58</v>
      </c>
      <c r="E13" s="625" t="s">
        <v>1402</v>
      </c>
    </row>
    <row r="14" spans="1:5" ht="29.25" customHeight="1">
      <c r="A14" s="3878"/>
      <c r="B14" s="590" t="s">
        <v>997</v>
      </c>
      <c r="C14" s="592">
        <v>40000000</v>
      </c>
      <c r="D14" s="592" t="s">
        <v>58</v>
      </c>
      <c r="E14" s="625" t="s">
        <v>1402</v>
      </c>
    </row>
    <row r="15" spans="1:5">
      <c r="A15" s="3879"/>
      <c r="B15" s="590" t="s">
        <v>1000</v>
      </c>
      <c r="C15" s="592">
        <v>38200000</v>
      </c>
      <c r="D15" s="592" t="s">
        <v>58</v>
      </c>
      <c r="E15" s="625" t="s">
        <v>1402</v>
      </c>
    </row>
    <row r="16" spans="1:5" ht="15.75">
      <c r="A16" s="3876" t="s">
        <v>1403</v>
      </c>
      <c r="B16" s="3876"/>
      <c r="C16" s="615">
        <f>C17</f>
        <v>78900000</v>
      </c>
      <c r="D16" s="616"/>
      <c r="E16" s="616"/>
    </row>
    <row r="17" spans="1:5">
      <c r="A17" s="605">
        <v>5</v>
      </c>
      <c r="B17" s="590" t="s">
        <v>1404</v>
      </c>
      <c r="C17" s="592">
        <v>78900000</v>
      </c>
      <c r="D17" s="592" t="s">
        <v>1405</v>
      </c>
      <c r="E17" s="625" t="s">
        <v>1406</v>
      </c>
    </row>
    <row r="18" spans="1:5">
      <c r="A18" s="583"/>
      <c r="B18" s="583" t="s">
        <v>477</v>
      </c>
      <c r="C18" s="626">
        <f>C5+C9+C16</f>
        <v>348605380</v>
      </c>
      <c r="D18" s="583"/>
      <c r="E18" s="583"/>
    </row>
    <row r="20" spans="1:5">
      <c r="C20" s="535">
        <f>C8+C6</f>
        <v>217388980</v>
      </c>
    </row>
    <row r="21" spans="1:5">
      <c r="C21" s="535"/>
    </row>
  </sheetData>
  <mergeCells count="5">
    <mergeCell ref="A5:B5"/>
    <mergeCell ref="A9:B9"/>
    <mergeCell ref="A16:B16"/>
    <mergeCell ref="A10:A15"/>
    <mergeCell ref="A1:D2"/>
  </mergeCells>
  <pageMargins left="0.69930555555555596" right="0.69930555555555596"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2" tint="-0.499984740745262"/>
  </sheetPr>
  <dimension ref="A1:F35"/>
  <sheetViews>
    <sheetView view="pageBreakPreview" zoomScale="85" zoomScaleNormal="70" zoomScaleSheetLayoutView="85" workbookViewId="0">
      <selection activeCell="B34" sqref="B34"/>
    </sheetView>
  </sheetViews>
  <sheetFormatPr defaultColWidth="9.140625" defaultRowHeight="14.25"/>
  <cols>
    <col min="1" max="1" width="5.7109375" style="582" customWidth="1"/>
    <col min="2" max="2" width="80.28515625" style="582" customWidth="1"/>
    <col min="3" max="3" width="22.5703125" style="582" customWidth="1"/>
    <col min="4" max="4" width="16" style="582" customWidth="1"/>
    <col min="5" max="5" width="18.28515625" style="582" customWidth="1"/>
    <col min="6" max="6" width="12" style="582" customWidth="1"/>
    <col min="7" max="16384" width="9.140625" style="582"/>
  </cols>
  <sheetData>
    <row r="1" spans="1:6" ht="14.25" customHeight="1">
      <c r="A1" s="3873" t="s">
        <v>1407</v>
      </c>
      <c r="B1" s="3873"/>
      <c r="C1" s="3873"/>
      <c r="D1" s="3873"/>
      <c r="E1" s="4"/>
      <c r="F1" s="4"/>
    </row>
    <row r="2" spans="1:6" ht="32.25" customHeight="1">
      <c r="A2" s="3873"/>
      <c r="B2" s="3873"/>
      <c r="C2" s="3873"/>
      <c r="D2" s="3873"/>
      <c r="E2" s="4"/>
      <c r="F2" s="4"/>
    </row>
    <row r="4" spans="1:6" ht="38.25">
      <c r="A4" s="583" t="s">
        <v>1284</v>
      </c>
      <c r="B4" s="583" t="s">
        <v>523</v>
      </c>
      <c r="C4" s="584" t="s">
        <v>1285</v>
      </c>
      <c r="D4" s="584" t="s">
        <v>11</v>
      </c>
    </row>
    <row r="5" spans="1:6" s="614" customFormat="1" ht="15.75">
      <c r="A5" s="3876" t="str">
        <f>'ALL-USD40.1M'!L9</f>
        <v>Kementerian Pekerjaan Umum dan Perumahan Rakyat</v>
      </c>
      <c r="B5" s="3876"/>
      <c r="C5" s="615">
        <f>SUM(C6:C9)</f>
        <v>506610000</v>
      </c>
      <c r="D5" s="616"/>
    </row>
    <row r="6" spans="1:6">
      <c r="A6" s="617">
        <v>1</v>
      </c>
      <c r="B6" s="588" t="str">
        <f>'ALL-USD40.1M'!N11</f>
        <v>Toll Road Development in Kalimantan, Sumatera, and Java Islands</v>
      </c>
      <c r="C6" s="586">
        <f>'ALL-USD40.1M'!Y11</f>
        <v>156000000</v>
      </c>
      <c r="D6" s="586" t="str">
        <f>'ALL-USD40.1M'!Z11</f>
        <v>RRT</v>
      </c>
      <c r="E6" s="618">
        <v>156000000</v>
      </c>
      <c r="F6" s="582">
        <v>156</v>
      </c>
    </row>
    <row r="7" spans="1:6">
      <c r="A7" s="619">
        <v>2</v>
      </c>
      <c r="B7" s="588" t="str">
        <f>'ALL-USD40.1M'!N30</f>
        <v>National Urban Water Supply</v>
      </c>
      <c r="C7" s="586">
        <f>'ALL-USD40.1M'!Y30</f>
        <v>100000000</v>
      </c>
      <c r="D7" s="586" t="str">
        <f>'ALL-USD40.1M'!Z30</f>
        <v>Bank Dunia</v>
      </c>
      <c r="E7" s="109">
        <v>100000000</v>
      </c>
      <c r="F7" s="582">
        <v>100</v>
      </c>
    </row>
    <row r="8" spans="1:6">
      <c r="A8" s="619">
        <v>3</v>
      </c>
      <c r="B8" s="588" t="str">
        <f>'ALL-USD40.1M'!N60</f>
        <v>Rural Settlement Infrastructure Development (RSID)</v>
      </c>
      <c r="C8" s="586">
        <f>'ALL-USD40.1M'!Y60</f>
        <v>201000000</v>
      </c>
      <c r="D8" s="586" t="str">
        <f>'ALL-USD40.1M'!Z60</f>
        <v>JICA</v>
      </c>
      <c r="E8" s="109">
        <v>201000000</v>
      </c>
      <c r="F8" s="582">
        <v>201</v>
      </c>
    </row>
    <row r="9" spans="1:6">
      <c r="A9" s="619">
        <v>4</v>
      </c>
      <c r="B9" s="588" t="str">
        <f>'ALL-USD40.1M'!N63</f>
        <v>National Urban Development Project</v>
      </c>
      <c r="C9" s="586">
        <f>'ALL-USD40.1M'!Y63</f>
        <v>49610000</v>
      </c>
      <c r="D9" s="586" t="str">
        <f>'ALL-USD40.1M'!Z63</f>
        <v>Bank Dunia</v>
      </c>
      <c r="E9" s="618">
        <v>49610000</v>
      </c>
    </row>
    <row r="10" spans="1:6" s="614" customFormat="1" ht="15.75">
      <c r="A10" s="616" t="str">
        <f>'ALL-USD40.1M'!L111</f>
        <v>Kementerian Perhubungan</v>
      </c>
      <c r="B10" s="616"/>
      <c r="C10" s="615">
        <f>C11</f>
        <v>1869000000</v>
      </c>
      <c r="D10" s="616"/>
      <c r="E10" s="109"/>
    </row>
    <row r="11" spans="1:6" ht="28.5">
      <c r="A11" s="588">
        <v>5</v>
      </c>
      <c r="B11" s="590" t="str">
        <f>'ALL-USD40.1M'!N115</f>
        <v xml:space="preserve">Construction of Jakarta Mass Rapid Transit North-South Line Project (Lebak Bulus-Kampung Bandan) </v>
      </c>
      <c r="C11" s="586">
        <f>'ALL-USD40.1M'!Y115</f>
        <v>1869000000</v>
      </c>
      <c r="D11" s="586" t="str">
        <f>'ALL-USD40.1M'!Z115</f>
        <v>JICA</v>
      </c>
      <c r="E11" s="77">
        <v>1869000000</v>
      </c>
    </row>
    <row r="12" spans="1:6" s="614" customFormat="1" ht="15.75">
      <c r="A12" s="616" t="str">
        <f>'ALL-USD40.1M'!L134</f>
        <v xml:space="preserve">PT. PLN    </v>
      </c>
      <c r="B12" s="616"/>
      <c r="C12" s="615">
        <f>C13</f>
        <v>300000000</v>
      </c>
      <c r="D12" s="616"/>
      <c r="E12" s="618"/>
    </row>
    <row r="13" spans="1:6">
      <c r="A13" s="588">
        <v>6</v>
      </c>
      <c r="B13" s="588" t="str">
        <f>'ALL-USD40.1M'!N140</f>
        <v>Indramayu Coal Fired Power Plant  #4 (1x1000MW)</v>
      </c>
      <c r="C13" s="586">
        <f>'ALL-USD40.1M'!Y140</f>
        <v>300000000</v>
      </c>
      <c r="D13" s="586" t="str">
        <f>'ALL-USD40.1M'!Z140</f>
        <v>JICA</v>
      </c>
      <c r="E13" s="618">
        <v>300000000</v>
      </c>
    </row>
    <row r="14" spans="1:6" s="614" customFormat="1" ht="15.75">
      <c r="A14" s="616" t="str">
        <f>'ALL-USD40.1M'!L182</f>
        <v>Kementerian PPN/Bappenas</v>
      </c>
      <c r="B14" s="616"/>
      <c r="C14" s="615">
        <f>C15</f>
        <v>150000000</v>
      </c>
      <c r="D14" s="616"/>
      <c r="E14" s="109"/>
    </row>
    <row r="15" spans="1:6" ht="28.5">
      <c r="A15" s="597">
        <v>7</v>
      </c>
      <c r="B15" s="590" t="str">
        <f>'ALL-USD40.1M'!N184</f>
        <v>Development of Capacity, Quality, and Competency of Human Resources for Government Officer</v>
      </c>
      <c r="C15" s="586">
        <f>'ALL-USD40.1M'!Y184</f>
        <v>150000000</v>
      </c>
      <c r="D15" s="586" t="str">
        <f>'ALL-USD40.1M'!Z184</f>
        <v>Bank Dunia</v>
      </c>
      <c r="E15" s="109">
        <v>150000000</v>
      </c>
    </row>
    <row r="16" spans="1:6" s="614" customFormat="1" ht="15.75">
      <c r="A16" s="616" t="str">
        <f>'ALL-USD40.1M'!L188</f>
        <v>Kementerian Kesehatan</v>
      </c>
      <c r="B16" s="616"/>
      <c r="C16" s="615">
        <f>C17</f>
        <v>150000000</v>
      </c>
      <c r="D16" s="616"/>
      <c r="E16" s="109"/>
    </row>
    <row r="17" spans="1:5">
      <c r="A17" s="588">
        <v>8</v>
      </c>
      <c r="B17" s="588" t="str">
        <f>'ALL-USD40.1M'!N190</f>
        <v>Improvement of Primary Health Care</v>
      </c>
      <c r="C17" s="586">
        <f>'ALL-USD40.1M'!Y190</f>
        <v>150000000</v>
      </c>
      <c r="D17" s="586" t="str">
        <f>'ALL-USD40.1M'!Z190</f>
        <v>Bank Dunia</v>
      </c>
      <c r="E17" s="109">
        <v>150000000</v>
      </c>
    </row>
    <row r="18" spans="1:5" s="614" customFormat="1" ht="15.75">
      <c r="A18" s="616" t="str">
        <f>'ALL-USD40.1M'!L217</f>
        <v>Kementerian Pertahanan</v>
      </c>
      <c r="B18" s="616"/>
      <c r="C18" s="615">
        <f>C19+C20+C21</f>
        <v>60000000</v>
      </c>
      <c r="D18" s="616"/>
      <c r="E18" s="618"/>
    </row>
    <row r="19" spans="1:5">
      <c r="A19" s="588">
        <v>9</v>
      </c>
      <c r="B19" s="588" t="str">
        <f>'ALL-USD40.1M'!N220</f>
        <v>Upgrading Medical Equipments for Army Hospitals</v>
      </c>
      <c r="C19" s="586">
        <f>'ALL-USD40.1M'!Y220</f>
        <v>30000000</v>
      </c>
      <c r="D19" s="586" t="str">
        <f>'ALL-USD40.1M'!Z220</f>
        <v>Austria</v>
      </c>
      <c r="E19" s="618">
        <v>30000000</v>
      </c>
    </row>
    <row r="20" spans="1:5">
      <c r="A20" s="588">
        <v>10</v>
      </c>
      <c r="B20" s="588" t="str">
        <f>'ALL-USD40.1M'!N222</f>
        <v>Upgrading Medical Equipments for Naval Hospitals</v>
      </c>
      <c r="C20" s="586">
        <f>'ALL-USD40.1M'!Y222</f>
        <v>15000000</v>
      </c>
      <c r="D20" s="586" t="str">
        <f>'ALL-USD40.1M'!Z222</f>
        <v>Austria</v>
      </c>
      <c r="E20" s="618">
        <v>15000000</v>
      </c>
    </row>
    <row r="21" spans="1:5">
      <c r="A21" s="588">
        <v>11</v>
      </c>
      <c r="B21" s="588" t="str">
        <f>'ALL-USD40.1M'!N224</f>
        <v>Upgrading Medical Equipments for Air Force Hospitals</v>
      </c>
      <c r="C21" s="586">
        <f>'ALL-USD40.1M'!Y224</f>
        <v>15000000</v>
      </c>
      <c r="D21" s="586" t="str">
        <f>'ALL-USD40.1M'!Z224</f>
        <v>Austria</v>
      </c>
      <c r="E21" s="618">
        <v>15000000</v>
      </c>
    </row>
    <row r="22" spans="1:5" s="614" customFormat="1" ht="15.75">
      <c r="A22" s="616" t="str">
        <f>'ALL-USD40.1M'!L226</f>
        <v>Badan Meteorologi, Klimatologi dan Geofisika (BMKG)</v>
      </c>
      <c r="B22" s="616"/>
      <c r="C22" s="615">
        <f>+C23</f>
        <v>71100000</v>
      </c>
      <c r="D22" s="616"/>
      <c r="E22" s="618"/>
    </row>
    <row r="23" spans="1:5" ht="36.75" customHeight="1">
      <c r="A23" s="3877">
        <v>12</v>
      </c>
      <c r="B23" s="3884" t="str">
        <f>'ALL-USD40.1M'!N228</f>
        <v xml:space="preserve">Strengthening Climate and Weather Service Capacity – Phase II:
a) Kegiatan lanjutan dari kegiatan Strengthening BMKG Climate and Weather Services Capacity Phase I
b) Kegiatan pengembangan sistem Layanan Informasi Meteorologi Maritim </v>
      </c>
      <c r="C23" s="3880">
        <f>'ALL-USD40.1M'!Y229</f>
        <v>71100000</v>
      </c>
      <c r="D23" s="3880" t="str">
        <f>'ALL-USD40.1M'!Z229</f>
        <v>US EXIM</v>
      </c>
      <c r="E23" s="618">
        <v>78900000</v>
      </c>
    </row>
    <row r="24" spans="1:5" ht="27" customHeight="1">
      <c r="A24" s="3879"/>
      <c r="B24" s="3884"/>
      <c r="C24" s="3881"/>
      <c r="D24" s="3881"/>
      <c r="E24" s="614"/>
    </row>
    <row r="25" spans="1:5" s="614" customFormat="1" ht="15.75">
      <c r="A25" s="3882" t="s">
        <v>477</v>
      </c>
      <c r="B25" s="3883"/>
      <c r="C25" s="620">
        <f>C22+C18+C16+C14+C12+C10+C5</f>
        <v>3106710000</v>
      </c>
      <c r="D25" s="621"/>
      <c r="E25" s="582"/>
    </row>
    <row r="26" spans="1:5" ht="15.75">
      <c r="E26" s="614"/>
    </row>
    <row r="27" spans="1:5">
      <c r="C27" s="601">
        <f>C7+C8+C9</f>
        <v>350610000</v>
      </c>
      <c r="D27" s="601">
        <f>C27/1000</f>
        <v>350610</v>
      </c>
    </row>
    <row r="28" spans="1:5" ht="15.75">
      <c r="C28" s="601"/>
      <c r="D28" s="601">
        <f>D27-6069199</f>
        <v>-5718589</v>
      </c>
      <c r="E28" s="614"/>
    </row>
    <row r="29" spans="1:5">
      <c r="C29" s="601"/>
    </row>
    <row r="31" spans="1:5">
      <c r="C31" s="622">
        <f>C25+'PROSES - sudah ada RC'!C32+'PROSES - penyusunan RC FS'!C34+'BELUM PROSES'!C109</f>
        <v>34854235290</v>
      </c>
    </row>
    <row r="32" spans="1:5" ht="15.75">
      <c r="C32" s="622">
        <v>40136416100</v>
      </c>
      <c r="E32" s="614"/>
    </row>
    <row r="35" spans="5:5" ht="15.75">
      <c r="E35" s="614"/>
    </row>
  </sheetData>
  <mergeCells count="7">
    <mergeCell ref="D23:D24"/>
    <mergeCell ref="A1:D2"/>
    <mergeCell ref="A5:B5"/>
    <mergeCell ref="A25:B25"/>
    <mergeCell ref="A23:A24"/>
    <mergeCell ref="B23:B24"/>
    <mergeCell ref="C23:C24"/>
  </mergeCells>
  <pageMargins left="0.69930555555555596" right="0.69930555555555596" top="0.75" bottom="0.75" header="0.3" footer="0.3"/>
  <pageSetup paperSize="9" scale="70" orientation="portrait" r:id="rId1"/>
  <colBreaks count="1" manualBreakCount="1">
    <brk id="4" max="1048575" man="1"/>
  </colBreaks>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D36"/>
  <sheetViews>
    <sheetView view="pageBreakPreview" zoomScale="85" zoomScaleNormal="85" zoomScaleSheetLayoutView="85" workbookViewId="0">
      <selection activeCell="M23" sqref="M23"/>
    </sheetView>
  </sheetViews>
  <sheetFormatPr defaultColWidth="9" defaultRowHeight="15"/>
  <cols>
    <col min="1" max="1" width="5.7109375" style="609" customWidth="1"/>
    <col min="2" max="2" width="80.28515625" customWidth="1"/>
    <col min="3" max="3" width="22.5703125" customWidth="1"/>
    <col min="4" max="4" width="17.85546875" customWidth="1"/>
  </cols>
  <sheetData>
    <row r="1" spans="1:4">
      <c r="A1" s="3873" t="s">
        <v>1408</v>
      </c>
      <c r="B1" s="3873"/>
      <c r="C1" s="3873"/>
      <c r="D1" s="3873"/>
    </row>
    <row r="2" spans="1:4">
      <c r="A2" s="3873"/>
      <c r="B2" s="3873"/>
      <c r="C2" s="3873"/>
      <c r="D2" s="3873"/>
    </row>
    <row r="3" spans="1:4">
      <c r="A3" s="610"/>
      <c r="B3" s="582"/>
      <c r="C3" s="582"/>
      <c r="D3" s="582"/>
    </row>
    <row r="4" spans="1:4" ht="38.25">
      <c r="A4" s="611" t="s">
        <v>1284</v>
      </c>
      <c r="B4" s="583" t="s">
        <v>523</v>
      </c>
      <c r="C4" s="584" t="s">
        <v>1285</v>
      </c>
      <c r="D4" s="584" t="s">
        <v>11</v>
      </c>
    </row>
    <row r="5" spans="1:4" s="602" customFormat="1">
      <c r="A5" s="612" t="str">
        <f>'ALL-USD40.1M'!L9</f>
        <v>Kementerian Pekerjaan Umum dan Perumahan Rakyat</v>
      </c>
      <c r="B5" s="594"/>
      <c r="C5" s="595">
        <f>SUM(C6:C11)</f>
        <v>3008255000</v>
      </c>
      <c r="D5" s="594"/>
    </row>
    <row r="6" spans="1:4">
      <c r="A6" s="603">
        <v>1</v>
      </c>
      <c r="B6" s="588" t="str">
        <f>'ALL-USD40.1M'!N32</f>
        <v xml:space="preserve">Mamminasata Water Supply Development Project </v>
      </c>
      <c r="C6" s="586">
        <f>'ALL-USD40.1M'!Y32</f>
        <v>100000000</v>
      </c>
      <c r="D6" s="586" t="str">
        <f>'ALL-USD40.1M'!Z32</f>
        <v>JICA</v>
      </c>
    </row>
    <row r="7" spans="1:4">
      <c r="A7" s="603">
        <v>2</v>
      </c>
      <c r="B7" s="588" t="str">
        <f>'ALL-USD40.1M'!N48</f>
        <v>Sewerage System Development in Indonesia</v>
      </c>
      <c r="C7" s="586">
        <f>'ALL-USD40.1M'!Y49</f>
        <v>24800000</v>
      </c>
      <c r="D7" s="586" t="str">
        <f>'ALL-USD40.1M'!Z49</f>
        <v xml:space="preserve">Perancis (AFD)  </v>
      </c>
    </row>
    <row r="8" spans="1:4">
      <c r="A8" s="603">
        <v>3</v>
      </c>
      <c r="B8" s="588" t="str">
        <f>'ALL-USD40.1M'!N52</f>
        <v>Denpasar Sewerage Development Project - Phase III</v>
      </c>
      <c r="C8" s="586">
        <f>'ALL-USD40.1M'!Y52</f>
        <v>233000000</v>
      </c>
      <c r="D8" s="586" t="str">
        <f>'ALL-USD40.1M'!Z52</f>
        <v>JICA</v>
      </c>
    </row>
    <row r="9" spans="1:4">
      <c r="A9" s="603">
        <v>4</v>
      </c>
      <c r="B9" s="588" t="str">
        <f>'ALL-USD40.1M'!N58</f>
        <v>Slum Improvement in Strategic Human Settlements Area (SISHA)</v>
      </c>
      <c r="C9" s="586">
        <f>'ALL-USD40.1M'!Y58</f>
        <v>2100000000</v>
      </c>
      <c r="D9" s="586" t="str">
        <f>'ALL-USD40.1M'!Z58</f>
        <v xml:space="preserve">Perancis (AFD)  </v>
      </c>
    </row>
    <row r="10" spans="1:4">
      <c r="A10" s="604">
        <v>5</v>
      </c>
      <c r="B10" s="588" t="str">
        <f>'ALL-USD40.1M'!N73</f>
        <v>Urgent Rehabilitation of  Irrigation Project in Indonesia (URIP)</v>
      </c>
      <c r="C10" s="586">
        <f>'ALL-USD40.1M'!Y73</f>
        <v>272100000</v>
      </c>
      <c r="D10" s="586" t="str">
        <f>'ALL-USD40.1M'!Z72</f>
        <v>Bank Dunia</v>
      </c>
    </row>
    <row r="11" spans="1:4">
      <c r="A11" s="604">
        <v>6</v>
      </c>
      <c r="B11" s="588" t="str">
        <f>'ALL-USD40.1M'!N72</f>
        <v>Modernization Strategic Irrigation Project (MSIP)</v>
      </c>
      <c r="C11" s="586">
        <f>'ALL-USD40.1M'!Y72</f>
        <v>278355000</v>
      </c>
      <c r="D11" s="586" t="str">
        <f>'ALL-USD40.1M'!Z72</f>
        <v>Bank Dunia</v>
      </c>
    </row>
    <row r="12" spans="1:4" s="582" customFormat="1" ht="14.25">
      <c r="A12" s="603">
        <v>7</v>
      </c>
      <c r="B12" s="588" t="str">
        <f>'ALL-USD40.1M'!N45</f>
        <v>Jakarta Sewerage Development Project - Zone 1 and Zone 6</v>
      </c>
      <c r="C12" s="586">
        <f>'ALL-USD40.1M'!Y45</f>
        <v>1537500000</v>
      </c>
      <c r="D12" s="586" t="str">
        <f>'ALL-USD40.1M'!Z46</f>
        <v>JICA</v>
      </c>
    </row>
    <row r="13" spans="1:4" s="602" customFormat="1">
      <c r="A13" s="612" t="str">
        <f>'ALL-USD40.1M'!L111</f>
        <v>Kementerian Perhubungan</v>
      </c>
      <c r="B13" s="594"/>
      <c r="C13" s="595">
        <f>C14</f>
        <v>292336700</v>
      </c>
      <c r="D13" s="594"/>
    </row>
    <row r="14" spans="1:4">
      <c r="A14" s="613">
        <v>8</v>
      </c>
      <c r="B14" s="588" t="str">
        <f>'ALL-USD40.1M'!N113</f>
        <v>Procurement of Track Material and Turn Out - Phase III</v>
      </c>
      <c r="C14" s="586">
        <f>'ALL-USD40.1M'!Y113</f>
        <v>292336700</v>
      </c>
      <c r="D14" s="586" t="str">
        <f>'ALL-USD40.1M'!Z113</f>
        <v>RRT</v>
      </c>
    </row>
    <row r="15" spans="1:4" s="602" customFormat="1">
      <c r="A15" s="612" t="str">
        <f>'ALL-USD40.1M'!L134</f>
        <v xml:space="preserve">PT. PLN    </v>
      </c>
      <c r="B15" s="594"/>
      <c r="C15" s="595">
        <f>C16+C17+C18</f>
        <v>1853000000</v>
      </c>
      <c r="D15" s="594"/>
    </row>
    <row r="16" spans="1:4">
      <c r="A16" s="613">
        <v>9</v>
      </c>
      <c r="B16" s="588" t="str">
        <f>'ALL-USD40.1M'!N137</f>
        <v>Hululais Geothermal Power Plant  1&amp;2 (2x55MW)</v>
      </c>
      <c r="C16" s="586">
        <f>'ALL-USD40.1M'!Y137</f>
        <v>204000000</v>
      </c>
      <c r="D16" s="586" t="str">
        <f>'ALL-USD40.1M'!Z137</f>
        <v>JICA</v>
      </c>
    </row>
    <row r="17" spans="1:4">
      <c r="A17" s="613">
        <v>10</v>
      </c>
      <c r="B17" s="588" t="str">
        <f>'ALL-USD40.1M'!N139</f>
        <v>Tulehu Geothermal Power Plant Project Unit 1&amp;2 (2x10MW)</v>
      </c>
      <c r="C17" s="586">
        <f>'ALL-USD40.1M'!Y139</f>
        <v>104000000</v>
      </c>
      <c r="D17" s="586" t="str">
        <f>'ALL-USD40.1M'!Z139</f>
        <v>JICA</v>
      </c>
    </row>
    <row r="18" spans="1:4">
      <c r="A18" s="613">
        <v>11</v>
      </c>
      <c r="B18" s="588" t="str">
        <f>'ALL-USD40.1M'!N140</f>
        <v>Indramayu Coal Fired Power Plant  #4 (1x1000MW)</v>
      </c>
      <c r="C18" s="586">
        <f>'ALL-USD40.1M'!Y141</f>
        <v>1545000000</v>
      </c>
      <c r="D18" s="586" t="str">
        <f>'ALL-USD40.1M'!Z141</f>
        <v>JICA</v>
      </c>
    </row>
    <row r="19" spans="1:4" s="602" customFormat="1">
      <c r="A19" s="612" t="str">
        <f>'ALL-USD40.1M'!L157</f>
        <v>Kementerian Riset, Teknologi, dan Pendidikan Tinggi</v>
      </c>
      <c r="B19" s="594"/>
      <c r="C19" s="595">
        <f>SUM(C20:C23)</f>
        <v>204150200</v>
      </c>
      <c r="D19" s="594"/>
    </row>
    <row r="20" spans="1:4">
      <c r="A20" s="613">
        <v>12</v>
      </c>
      <c r="B20" s="588" t="str">
        <f>'ALL-USD40.1M'!N163</f>
        <v>Capacity Building Programmes for Infrastructure in Malikussaleh University</v>
      </c>
      <c r="C20" s="586">
        <f>'ALL-USD40.1M'!Y163</f>
        <v>48543100</v>
      </c>
      <c r="D20" s="586" t="str">
        <f>'ALL-USD40.1M'!Z163</f>
        <v>ADB</v>
      </c>
    </row>
    <row r="21" spans="1:4">
      <c r="A21" s="613">
        <v>13</v>
      </c>
      <c r="B21" s="588" t="str">
        <f>'ALL-USD40.1M'!N164</f>
        <v>Development and Upgrading of University of Jambi</v>
      </c>
      <c r="C21" s="586">
        <f>'ALL-USD40.1M'!Y164</f>
        <v>53879300</v>
      </c>
      <c r="D21" s="586" t="str">
        <f>'ALL-USD40.1M'!Z164</f>
        <v>ADB</v>
      </c>
    </row>
    <row r="22" spans="1:4" ht="29.25">
      <c r="A22" s="613">
        <v>14</v>
      </c>
      <c r="B22" s="590" t="str">
        <f>'ALL-USD40.1M'!N166</f>
        <v xml:space="preserve">Integrated Multi Campus-University for Tomorrow’s Education in Indonesia University of Education </v>
      </c>
      <c r="C22" s="586">
        <f>'ALL-USD40.1M'!Y166</f>
        <v>51777700</v>
      </c>
      <c r="D22" s="586" t="str">
        <f>'ALL-USD40.1M'!Z166</f>
        <v>ADB</v>
      </c>
    </row>
    <row r="23" spans="1:4">
      <c r="A23" s="613">
        <v>15</v>
      </c>
      <c r="B23" s="588" t="str">
        <f>'ALL-USD40.1M'!N167</f>
        <v xml:space="preserve">Higher Education Quality Improvement of the University of Riau </v>
      </c>
      <c r="C23" s="586">
        <f>'ALL-USD40.1M'!Y167</f>
        <v>49950100</v>
      </c>
      <c r="D23" s="586" t="str">
        <f>'ALL-USD40.1M'!Z167</f>
        <v>ADB</v>
      </c>
    </row>
    <row r="24" spans="1:4" s="582" customFormat="1" ht="14.25">
      <c r="A24" s="606">
        <v>16</v>
      </c>
      <c r="B24" s="588" t="str">
        <f>'ALL-USD40.1M'!N161</f>
        <v>Establishment of University of Bengkulu’s Hospital</v>
      </c>
      <c r="C24" s="586">
        <f>'ALL-USD40.1M'!Y161</f>
        <v>10278200</v>
      </c>
      <c r="D24" s="586" t="str">
        <f>'ALL-USD40.1M'!Z161</f>
        <v>SFD</v>
      </c>
    </row>
    <row r="25" spans="1:4" s="582" customFormat="1" ht="14.25">
      <c r="A25" s="606">
        <v>17</v>
      </c>
      <c r="B25" s="588" t="str">
        <f>'ALL-USD40.1M'!N165</f>
        <v>Development and Upgrading of the State University of Jakarta - Phase 2</v>
      </c>
      <c r="C25" s="586">
        <f>'ALL-USD40.1M'!Y165</f>
        <v>32709400</v>
      </c>
      <c r="D25" s="586" t="str">
        <f>'ALL-USD40.1M'!Z165</f>
        <v>SFD</v>
      </c>
    </row>
    <row r="26" spans="1:4" s="602" customFormat="1">
      <c r="A26" s="612" t="str">
        <f>'ALL-USD40.1M'!L233</f>
        <v>Kementerian ATR/BPN</v>
      </c>
      <c r="B26" s="594"/>
      <c r="C26" s="595">
        <f>C27</f>
        <v>200000000</v>
      </c>
      <c r="D26" s="594"/>
    </row>
    <row r="27" spans="1:4">
      <c r="A27" s="613">
        <v>18</v>
      </c>
      <c r="B27" s="588" t="str">
        <f>'ALL-USD40.1M'!N235</f>
        <v xml:space="preserve">Program to Accelerate Agrarian Reform </v>
      </c>
      <c r="C27" s="586">
        <f>'ALL-USD40.1M'!Y235</f>
        <v>200000000</v>
      </c>
      <c r="D27" s="586" t="str">
        <f>'ALL-USD40.1M'!Z235</f>
        <v>Bank Dunia</v>
      </c>
    </row>
    <row r="28" spans="1:4" s="602" customFormat="1">
      <c r="A28" s="612" t="s">
        <v>377</v>
      </c>
      <c r="B28" s="594"/>
      <c r="C28" s="595">
        <f>C29</f>
        <v>59935500</v>
      </c>
      <c r="D28" s="594"/>
    </row>
    <row r="29" spans="1:4" s="582" customFormat="1" ht="14.25">
      <c r="A29" s="606">
        <v>19</v>
      </c>
      <c r="B29" s="588" t="str">
        <f>'ALL-USD40.1M'!N178</f>
        <v>The Development of UIN Maulana Malik Ibrahim Malang - Phase II</v>
      </c>
      <c r="C29" s="586">
        <f>'ALL-USD40.1M'!Y178</f>
        <v>59935500</v>
      </c>
      <c r="D29" s="586" t="str">
        <f>'ALL-USD40.1M'!Z178</f>
        <v>SFD</v>
      </c>
    </row>
    <row r="30" spans="1:4" s="602" customFormat="1">
      <c r="A30" s="612" t="s">
        <v>406</v>
      </c>
      <c r="B30" s="594"/>
      <c r="C30" s="595">
        <f>C31</f>
        <v>204000000</v>
      </c>
      <c r="D30" s="594"/>
    </row>
    <row r="31" spans="1:4" ht="29.25">
      <c r="A31" s="606">
        <v>20</v>
      </c>
      <c r="B31" s="590" t="s">
        <v>1409</v>
      </c>
      <c r="C31" s="592">
        <v>204000000</v>
      </c>
      <c r="D31" s="586" t="s">
        <v>58</v>
      </c>
    </row>
    <row r="32" spans="1:4" s="602" customFormat="1">
      <c r="A32" s="3885" t="s">
        <v>477</v>
      </c>
      <c r="B32" s="3885"/>
      <c r="C32" s="599">
        <f>C26+C19+C15+C13+C5</f>
        <v>5557741900</v>
      </c>
      <c r="D32" s="600"/>
    </row>
    <row r="33" spans="1:4">
      <c r="A33" s="610"/>
      <c r="B33" s="582"/>
      <c r="C33" s="582"/>
      <c r="D33" s="582"/>
    </row>
    <row r="34" spans="1:4">
      <c r="A34" s="610"/>
      <c r="B34" s="582"/>
      <c r="C34" s="601">
        <f>C6+C7+C8+C9+C12</f>
        <v>3995300000</v>
      </c>
      <c r="D34" s="582"/>
    </row>
    <row r="35" spans="1:4">
      <c r="C35" s="535"/>
    </row>
    <row r="36" spans="1:4">
      <c r="C36" s="535"/>
    </row>
  </sheetData>
  <mergeCells count="2">
    <mergeCell ref="A32:B32"/>
    <mergeCell ref="A1:D2"/>
  </mergeCells>
  <pageMargins left="0.69930555555555596" right="0.69930555555555596" top="0.75" bottom="0.75" header="0.3" footer="0.3"/>
  <pageSetup paperSize="9" scale="6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36"/>
  <sheetViews>
    <sheetView view="pageBreakPreview" zoomScale="85" zoomScaleNormal="85" zoomScaleSheetLayoutView="85" workbookViewId="0">
      <selection activeCell="C36" sqref="C36"/>
    </sheetView>
  </sheetViews>
  <sheetFormatPr defaultColWidth="9" defaultRowHeight="15"/>
  <cols>
    <col min="1" max="1" width="5.7109375" customWidth="1"/>
    <col min="2" max="2" width="80.28515625" customWidth="1"/>
    <col min="3" max="3" width="22.5703125" customWidth="1"/>
    <col min="4" max="4" width="16" customWidth="1"/>
  </cols>
  <sheetData>
    <row r="1" spans="1:4">
      <c r="A1" s="3873" t="s">
        <v>1410</v>
      </c>
      <c r="B1" s="3873"/>
      <c r="C1" s="3873"/>
      <c r="D1" s="3873"/>
    </row>
    <row r="2" spans="1:4">
      <c r="A2" s="3873"/>
      <c r="B2" s="3873"/>
      <c r="C2" s="3873"/>
      <c r="D2" s="3873"/>
    </row>
    <row r="3" spans="1:4">
      <c r="A3" s="582"/>
      <c r="B3" s="582"/>
      <c r="C3" s="582"/>
      <c r="D3" s="582"/>
    </row>
    <row r="4" spans="1:4" ht="38.25">
      <c r="A4" s="583" t="s">
        <v>1284</v>
      </c>
      <c r="B4" s="583" t="s">
        <v>523</v>
      </c>
      <c r="C4" s="584" t="s">
        <v>1285</v>
      </c>
      <c r="D4" s="584" t="s">
        <v>11</v>
      </c>
    </row>
    <row r="5" spans="1:4" s="602" customFormat="1">
      <c r="A5" s="3886" t="str">
        <f>'ALL-USD40.1M'!L9</f>
        <v>Kementerian Pekerjaan Umum dan Perumahan Rakyat</v>
      </c>
      <c r="B5" s="3886"/>
      <c r="C5" s="595">
        <f>SUM(C6:C19)</f>
        <v>2386720000</v>
      </c>
      <c r="D5" s="594"/>
    </row>
    <row r="6" spans="1:4">
      <c r="A6" s="603">
        <v>1</v>
      </c>
      <c r="B6" s="588" t="str">
        <f>'ALL-USD40.1M'!N33</f>
        <v xml:space="preserve">The Development of Regional Water Supply System in Benteng Kobema </v>
      </c>
      <c r="C6" s="586">
        <f>'ALL-USD40.1M'!Y33</f>
        <v>74300000</v>
      </c>
      <c r="D6" s="586" t="str">
        <f>'ALL-USD40.1M'!Z33</f>
        <v>AFD</v>
      </c>
    </row>
    <row r="7" spans="1:4">
      <c r="A7" s="603">
        <v>2</v>
      </c>
      <c r="B7" s="588" t="str">
        <f>'ALL-USD40.1M'!N39</f>
        <v xml:space="preserve">The Development of Regional Water Supply System of Mebidang </v>
      </c>
      <c r="C7" s="586">
        <f>'ALL-USD40.1M'!Y39</f>
        <v>56400000</v>
      </c>
      <c r="D7" s="586" t="str">
        <f>'ALL-USD40.1M'!Z39</f>
        <v>Jerman (KfW)</v>
      </c>
    </row>
    <row r="8" spans="1:4" s="582" customFormat="1" ht="14.25">
      <c r="A8" s="603">
        <v>3</v>
      </c>
      <c r="B8" s="588" t="str">
        <f>'ALL-USD40.1M'!N34</f>
        <v xml:space="preserve">The Development of Regional Water Supply System in Wosusokas </v>
      </c>
      <c r="C8" s="586">
        <f>'ALL-USD40.1M'!Y34</f>
        <v>106200000</v>
      </c>
      <c r="D8" s="586" t="str">
        <f>'ALL-USD40.1M'!Z34</f>
        <v>Jerman (KfW)</v>
      </c>
    </row>
    <row r="9" spans="1:4" s="582" customFormat="1" ht="14.25">
      <c r="A9" s="603">
        <v>4</v>
      </c>
      <c r="B9" s="588" t="str">
        <f>'ALL-USD40.1M'!N35</f>
        <v xml:space="preserve">The Development of Regional Water Supply System of Jatigede </v>
      </c>
      <c r="C9" s="586">
        <f>'ALL-USD40.1M'!Y35</f>
        <v>140620000</v>
      </c>
      <c r="D9" s="586" t="str">
        <f>'ALL-USD40.1M'!Z35</f>
        <v>AIIB</v>
      </c>
    </row>
    <row r="10" spans="1:4">
      <c r="A10" s="603">
        <v>5</v>
      </c>
      <c r="B10" s="588" t="str">
        <f>'ALL-USD40.1M'!N48</f>
        <v>Sewerage System Development in Indonesia</v>
      </c>
      <c r="C10" s="586">
        <f>'ALL-USD40.1M'!Y48</f>
        <v>400000000</v>
      </c>
      <c r="D10" s="586" t="str">
        <f>'ALL-USD40.1M'!Z48</f>
        <v>ADB</v>
      </c>
    </row>
    <row r="11" spans="1:4">
      <c r="A11" s="603">
        <v>6</v>
      </c>
      <c r="B11" s="590" t="str">
        <f>'ALL-USD40.1M'!N53</f>
        <v>The Development and Optimization of Wastewater Treatment in Greater Bandung</v>
      </c>
      <c r="C11" s="586">
        <f>'ALL-USD40.1M'!Y53</f>
        <v>100000000</v>
      </c>
      <c r="D11" s="586" t="str">
        <f>'ALL-USD40.1M'!Z53</f>
        <v>Jerman (KfW)</v>
      </c>
    </row>
    <row r="12" spans="1:4" ht="29.25">
      <c r="A12" s="603">
        <v>7</v>
      </c>
      <c r="B12" s="590" t="str">
        <f>'ALL-USD40.1M'!N55</f>
        <v xml:space="preserve">Advanced Solid Waste Management for Sustainable Urban Development (Advance SWM-SUD) </v>
      </c>
      <c r="C12" s="586">
        <f>'ALL-USD40.1M'!Y55</f>
        <v>150000000</v>
      </c>
      <c r="D12" s="586" t="str">
        <f>'ALL-USD40.1M'!Z55</f>
        <v>Jerman (KfW)</v>
      </c>
    </row>
    <row r="13" spans="1:4">
      <c r="A13" s="603">
        <v>8</v>
      </c>
      <c r="B13" s="588" t="str">
        <f>'ALL-USD40.1M'!N105</f>
        <v>Integrated Infrastructure Development for National Tourism Strategic Areas</v>
      </c>
      <c r="C13" s="586">
        <f>'ALL-USD40.1M'!Y105</f>
        <v>296000000</v>
      </c>
      <c r="D13" s="586" t="str">
        <f>'ALL-USD40.1M'!Z105</f>
        <v>Bank Dunia</v>
      </c>
    </row>
    <row r="14" spans="1:4" s="582" customFormat="1" ht="14.25">
      <c r="A14" s="3889">
        <v>9</v>
      </c>
      <c r="B14" s="3893" t="str">
        <f>'ALL-USD40.1M'!N43</f>
        <v>Community Based Sanitation Program (SANIMAS)</v>
      </c>
      <c r="C14" s="586">
        <f>'ALL-USD40.1M'!Y43</f>
        <v>125000000</v>
      </c>
      <c r="D14" s="586" t="str">
        <f>'ALL-USD40.1M'!Z43</f>
        <v>ADB</v>
      </c>
    </row>
    <row r="15" spans="1:4" s="582" customFormat="1" ht="14.25">
      <c r="A15" s="3890"/>
      <c r="B15" s="3893"/>
      <c r="C15" s="586">
        <f>'ALL-USD40.1M'!Y44</f>
        <v>125000000</v>
      </c>
      <c r="D15" s="586" t="str">
        <f>'ALL-USD40.1M'!Z44</f>
        <v>IDB</v>
      </c>
    </row>
    <row r="16" spans="1:4" s="582" customFormat="1" ht="14.25">
      <c r="A16" s="604">
        <v>10</v>
      </c>
      <c r="B16" s="588" t="str">
        <f>'ALL-USD40.1M'!N83</f>
        <v>Pelosika Multipurpose Dam Construction Project</v>
      </c>
      <c r="C16" s="586">
        <f>'ALL-USD40.1M'!Y83</f>
        <v>200000000</v>
      </c>
      <c r="D16" s="586" t="str">
        <f>'ALL-USD40.1M'!Z83</f>
        <v>RRT</v>
      </c>
    </row>
    <row r="17" spans="1:4" s="582" customFormat="1" ht="14.25">
      <c r="A17" s="604">
        <v>11</v>
      </c>
      <c r="B17" s="588" t="str">
        <f>'ALL-USD40.1M'!N85</f>
        <v>Jenelata Dam Construction Project</v>
      </c>
      <c r="C17" s="586">
        <f>'ALL-USD40.1M'!Y85</f>
        <v>200000000</v>
      </c>
      <c r="D17" s="586" t="str">
        <f>'ALL-USD40.1M'!Z85</f>
        <v>RRT</v>
      </c>
    </row>
    <row r="18" spans="1:4" s="582" customFormat="1" ht="14.25">
      <c r="A18" s="604">
        <v>12</v>
      </c>
      <c r="B18" s="588" t="str">
        <f>'ALL-USD40.1M'!N89</f>
        <v>Lompatan Harimau Dam Construction Project (Rokan Kiri Dam Construction Project)</v>
      </c>
      <c r="C18" s="586">
        <f>'ALL-USD40.1M'!Y89</f>
        <v>152100000</v>
      </c>
      <c r="D18" s="586" t="str">
        <f>'ALL-USD40.1M'!Z89</f>
        <v>RRT</v>
      </c>
    </row>
    <row r="19" spans="1:4" s="582" customFormat="1" ht="14.25">
      <c r="A19" s="604">
        <v>13</v>
      </c>
      <c r="B19" s="588" t="str">
        <f>'ALL-USD40.1M'!N61</f>
        <v>Building Administration and Capacity Enforcement Development for Seismic Resilience</v>
      </c>
      <c r="C19" s="586">
        <f>'ALL-USD40.1M'!Y61</f>
        <v>261100000</v>
      </c>
      <c r="D19" s="586" t="str">
        <f>'ALL-USD40.1M'!Z61</f>
        <v>JICA</v>
      </c>
    </row>
    <row r="20" spans="1:4" s="602" customFormat="1">
      <c r="A20" s="594" t="str">
        <f>'ALL-USD40.1M'!L188</f>
        <v>Kementerian Kesehatan</v>
      </c>
      <c r="B20" s="594"/>
      <c r="C20" s="595">
        <f>SUM(C21:C23)</f>
        <v>1255600000</v>
      </c>
      <c r="D20" s="595"/>
    </row>
    <row r="21" spans="1:4" s="582" customFormat="1" ht="15.75" customHeight="1">
      <c r="A21" s="3877">
        <v>14</v>
      </c>
      <c r="B21" s="3884" t="str">
        <f>'ALL-USD40.1M'!N196</f>
        <v>Strengthening of National Referral Hospitals, Province Referral Hospital and Vertical Technical Units</v>
      </c>
      <c r="C21" s="586">
        <f>'ALL-USD40.1M'!Y196</f>
        <v>250000000</v>
      </c>
      <c r="D21" s="586" t="str">
        <f>'ALL-USD40.1M'!Z196</f>
        <v>IDB</v>
      </c>
    </row>
    <row r="22" spans="1:4" s="582" customFormat="1" ht="14.25">
      <c r="A22" s="3878"/>
      <c r="B22" s="3884"/>
      <c r="C22" s="586">
        <f>'ALL-USD40.1M'!Y197</f>
        <v>250000000</v>
      </c>
      <c r="D22" s="586" t="str">
        <f>'ALL-USD40.1M'!Z197</f>
        <v>IDB</v>
      </c>
    </row>
    <row r="23" spans="1:4" s="582" customFormat="1" ht="14.25">
      <c r="A23" s="3879"/>
      <c r="B23" s="3884"/>
      <c r="C23" s="586">
        <f>'ALL-USD40.1M'!Y198</f>
        <v>755600000</v>
      </c>
      <c r="D23" s="586" t="str">
        <f>'ALL-USD40.1M'!Z198</f>
        <v>IDB</v>
      </c>
    </row>
    <row r="24" spans="1:4" s="602" customFormat="1">
      <c r="A24" s="594" t="str">
        <f>'ALL-USD40.1M'!L202</f>
        <v>Kementerian Pertanian</v>
      </c>
      <c r="B24" s="596"/>
      <c r="C24" s="595">
        <f>C29+C28+C27+C26+C25</f>
        <v>1415742600</v>
      </c>
      <c r="D24" s="595"/>
    </row>
    <row r="25" spans="1:4" s="602" customFormat="1">
      <c r="A25" s="3891">
        <v>15</v>
      </c>
      <c r="B25" s="3884" t="str">
        <f>'ALL-USD40.1M'!N204</f>
        <v>Extensification of New Paddy Field Area</v>
      </c>
      <c r="C25" s="586">
        <f>'ALL-USD40.1M'!Y204</f>
        <v>686166600</v>
      </c>
      <c r="D25" s="586" t="str">
        <f>'ALL-USD40.1M'!Z204</f>
        <v>SFD</v>
      </c>
    </row>
    <row r="26" spans="1:4" s="602" customFormat="1">
      <c r="A26" s="3892"/>
      <c r="B26" s="3884"/>
      <c r="C26" s="586">
        <f>'ALL-USD40.1M'!Y205</f>
        <v>125000000</v>
      </c>
      <c r="D26" s="586" t="str">
        <f>'ALL-USD40.1M'!Z205</f>
        <v>IDB</v>
      </c>
    </row>
    <row r="27" spans="1:4" s="602" customFormat="1">
      <c r="A27" s="3877">
        <v>16</v>
      </c>
      <c r="B27" s="3884" t="str">
        <f>'ALL-USD40.1M'!N206</f>
        <v>Upland Development for National Food Security</v>
      </c>
      <c r="C27" s="586">
        <f>'ALL-USD40.1M'!Y206</f>
        <v>410676000</v>
      </c>
      <c r="D27" s="586" t="str">
        <f>'ALL-USD40.1M'!Z206</f>
        <v>SFD</v>
      </c>
    </row>
    <row r="28" spans="1:4" s="602" customFormat="1">
      <c r="A28" s="3879"/>
      <c r="B28" s="3884"/>
      <c r="C28" s="586">
        <f>'ALL-USD40.1M'!Y207</f>
        <v>125000000</v>
      </c>
      <c r="D28" s="586" t="str">
        <f>'ALL-USD40.1M'!Z207</f>
        <v>IDB</v>
      </c>
    </row>
    <row r="29" spans="1:4" ht="28.5">
      <c r="A29" s="597">
        <v>17</v>
      </c>
      <c r="B29" s="3294" t="str">
        <f>'ALL-USD40.1M'!N209</f>
        <v>Young Enterpreneur Growth and Development for Sustainable Agricultural Development</v>
      </c>
      <c r="C29" s="592">
        <f>'ALL-USD40.1M'!Y209</f>
        <v>68900000</v>
      </c>
      <c r="D29" s="592" t="str">
        <f>'ALL-USD40.1M'!Z209</f>
        <v>IFAD</v>
      </c>
    </row>
    <row r="30" spans="1:4" s="580" customFormat="1" ht="14.25">
      <c r="A30" s="594" t="str">
        <f>'ALL-USD40.1M'!L182</f>
        <v>Kementerian PPN/Bappenas</v>
      </c>
      <c r="B30" s="594"/>
      <c r="C30" s="595">
        <f>C31</f>
        <v>25000000</v>
      </c>
      <c r="D30" s="594"/>
    </row>
    <row r="31" spans="1:4" s="582" customFormat="1" ht="28.5">
      <c r="A31" s="606">
        <v>18</v>
      </c>
      <c r="B31" s="590" t="str">
        <f>'ALL-USD40.1M'!N187</f>
        <v>Promoting Sharia Finance in Indonesia through Technical Assistance and Financial Support for the National Committee on Sharia Finance</v>
      </c>
      <c r="C31" s="592">
        <f>'ALL-USD40.1M'!Y187</f>
        <v>25000000</v>
      </c>
      <c r="D31" s="592" t="str">
        <f>'ALL-USD40.1M'!Z187</f>
        <v>IDB</v>
      </c>
    </row>
    <row r="32" spans="1:4" s="602" customFormat="1">
      <c r="A32" s="594" t="str">
        <f>'ALL-USD40.1M'!L230</f>
        <v>Badan Pengkajian dan Penerapan Teknologi (BPPT)</v>
      </c>
      <c r="B32" s="596"/>
      <c r="C32" s="595">
        <f>C33</f>
        <v>114400000</v>
      </c>
      <c r="D32" s="595"/>
    </row>
    <row r="33" spans="1:4" ht="29.25">
      <c r="A33" s="597">
        <v>19</v>
      </c>
      <c r="B33" s="590" t="str">
        <f>'ALL-USD40.1M'!N232</f>
        <v>Development of Maritime National Science and Technology Park (NTSP) in the Northern Penajam Paser and Revitalization Infrastructure Marine Survey</v>
      </c>
      <c r="C33" s="592">
        <f>'ALL-USD40.1M'!Y232</f>
        <v>114400000</v>
      </c>
      <c r="D33" s="592" t="str">
        <f>'ALL-USD40.1M'!Z232</f>
        <v xml:space="preserve">Perancis (AFD)  </v>
      </c>
    </row>
    <row r="34" spans="1:4">
      <c r="A34" s="3887" t="s">
        <v>477</v>
      </c>
      <c r="B34" s="3888"/>
      <c r="C34" s="607">
        <f>C5+C20+C24+C32+C30</f>
        <v>5197462600</v>
      </c>
      <c r="D34" s="608"/>
    </row>
    <row r="36" spans="1:4">
      <c r="C36" s="535"/>
    </row>
  </sheetData>
  <mergeCells count="11">
    <mergeCell ref="A1:D2"/>
    <mergeCell ref="A5:B5"/>
    <mergeCell ref="A34:B34"/>
    <mergeCell ref="A14:A15"/>
    <mergeCell ref="A21:A23"/>
    <mergeCell ref="A25:A26"/>
    <mergeCell ref="A27:A28"/>
    <mergeCell ref="B14:B15"/>
    <mergeCell ref="B21:B23"/>
    <mergeCell ref="B25:B26"/>
    <mergeCell ref="B27:B28"/>
  </mergeCells>
  <pageMargins left="0.69930555555555596" right="0.69930555555555596"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3"/>
  <sheetViews>
    <sheetView topLeftCell="A79" zoomScale="70" zoomScaleNormal="70" workbookViewId="0">
      <selection activeCell="C32" sqref="C32"/>
    </sheetView>
  </sheetViews>
  <sheetFormatPr defaultColWidth="9.140625" defaultRowHeight="14.25"/>
  <cols>
    <col min="1" max="1" width="5.7109375" style="581" customWidth="1"/>
    <col min="2" max="2" width="80.28515625" style="582" customWidth="1"/>
    <col min="3" max="3" width="22.5703125" style="582" customWidth="1"/>
    <col min="4" max="4" width="24.140625" style="582" customWidth="1"/>
    <col min="5" max="16384" width="9.140625" style="582"/>
  </cols>
  <sheetData>
    <row r="1" spans="1:4">
      <c r="A1" s="3873" t="s">
        <v>1411</v>
      </c>
      <c r="B1" s="3873"/>
      <c r="C1" s="3873"/>
      <c r="D1" s="3873"/>
    </row>
    <row r="2" spans="1:4">
      <c r="A2" s="3873"/>
      <c r="B2" s="3873"/>
      <c r="C2" s="3873"/>
      <c r="D2" s="3873"/>
    </row>
    <row r="4" spans="1:4" ht="38.25">
      <c r="A4" s="583" t="s">
        <v>1284</v>
      </c>
      <c r="B4" s="583" t="s">
        <v>523</v>
      </c>
      <c r="C4" s="584" t="s">
        <v>1285</v>
      </c>
      <c r="D4" s="584" t="s">
        <v>11</v>
      </c>
    </row>
    <row r="5" spans="1:4" s="580" customFormat="1">
      <c r="A5" s="3295" t="str">
        <f>'ALL-USD40.1M'!L9</f>
        <v>Kementerian Pekerjaan Umum dan Perumahan Rakyat</v>
      </c>
      <c r="B5" s="3296"/>
      <c r="C5" s="3297">
        <f>SUM(C6:C55)</f>
        <v>10273997290</v>
      </c>
      <c r="D5" s="585"/>
    </row>
    <row r="6" spans="1:4">
      <c r="A6" s="3896">
        <v>1</v>
      </c>
      <c r="B6" s="3893" t="str">
        <f>'ALL-USD40.1M'!N11</f>
        <v>Toll Road Development in Kalimantan, Sumatera, and Java Islands</v>
      </c>
      <c r="C6" s="586">
        <f>'ALL-USD40.1M'!Y12</f>
        <v>844000000</v>
      </c>
      <c r="D6" s="586" t="str">
        <f>'ALL-USD40.1M'!Z12</f>
        <v>Belum Ada Indikasi</v>
      </c>
    </row>
    <row r="7" spans="1:4">
      <c r="A7" s="3897"/>
      <c r="B7" s="3893"/>
      <c r="C7" s="586">
        <f>'ALL-USD40.1M'!Y13</f>
        <v>250000000</v>
      </c>
      <c r="D7" s="586" t="str">
        <f>'ALL-USD40.1M'!Z13</f>
        <v>Korea</v>
      </c>
    </row>
    <row r="8" spans="1:4">
      <c r="A8" s="587">
        <v>2</v>
      </c>
      <c r="B8" s="588" t="str">
        <f>'ALL-USD40.1M'!N15</f>
        <v>Material Procurement for Construction and Bridge Rehabilitation</v>
      </c>
      <c r="C8" s="586">
        <f>'ALL-USD40.1M'!Y15</f>
        <v>450000000</v>
      </c>
      <c r="D8" s="586" t="str">
        <f>'ALL-USD40.1M'!Z15</f>
        <v>Spanyol/RRT</v>
      </c>
    </row>
    <row r="9" spans="1:4">
      <c r="A9" s="587">
        <v>3</v>
      </c>
      <c r="B9" s="588" t="str">
        <f>'ALL-USD40.1M'!N16</f>
        <v>Development of Fly Over/ Under Pass for Railways Crossing</v>
      </c>
      <c r="C9" s="586">
        <f>'ALL-USD40.1M'!Y16</f>
        <v>250000000</v>
      </c>
      <c r="D9" s="586" t="str">
        <f>'ALL-USD40.1M'!Z16</f>
        <v>JICA</v>
      </c>
    </row>
    <row r="10" spans="1:4">
      <c r="A10" s="587">
        <v>4</v>
      </c>
      <c r="B10" s="588" t="str">
        <f>'ALL-USD40.1M'!N17</f>
        <v>Development of Fly Over/ Under Pass in Major Cities</v>
      </c>
      <c r="C10" s="586">
        <f>'ALL-USD40.1M'!Y17</f>
        <v>270000000</v>
      </c>
      <c r="D10" s="586" t="str">
        <f>'ALL-USD40.1M'!Z17</f>
        <v>JICA</v>
      </c>
    </row>
    <row r="11" spans="1:4">
      <c r="A11" s="587">
        <v>5</v>
      </c>
      <c r="B11" s="588" t="str">
        <f>'ALL-USD40.1M'!N18</f>
        <v>Balinka - Matur - Ngarai Sianok Tunnel Construction</v>
      </c>
      <c r="C11" s="586">
        <f>'ALL-USD40.1M'!Y18</f>
        <v>175000000</v>
      </c>
      <c r="D11" s="586" t="str">
        <f>'ALL-USD40.1M'!Z18</f>
        <v>Korea/RRT</v>
      </c>
    </row>
    <row r="12" spans="1:4">
      <c r="A12" s="587">
        <v>6</v>
      </c>
      <c r="B12" s="588" t="str">
        <f>'ALL-USD40.1M'!N19</f>
        <v>Long Span Bridge Development for Selected Area</v>
      </c>
      <c r="C12" s="586">
        <f>'ALL-USD40.1M'!Y19</f>
        <v>355000000</v>
      </c>
      <c r="D12" s="586" t="str">
        <f>'ALL-USD40.1M'!Z19</f>
        <v>Belum Ada Indikasi</v>
      </c>
    </row>
    <row r="13" spans="1:4">
      <c r="A13" s="587">
        <v>7</v>
      </c>
      <c r="B13" s="588" t="str">
        <f>'ALL-USD40.1M'!N21</f>
        <v>Urban Arterial Road Improvement Project</v>
      </c>
      <c r="C13" s="586">
        <f>'ALL-USD40.1M'!Y21</f>
        <v>205000000</v>
      </c>
      <c r="D13" s="586" t="str">
        <f>'ALL-USD40.1M'!Z21</f>
        <v>JICA</v>
      </c>
    </row>
    <row r="14" spans="1:4">
      <c r="A14" s="587">
        <v>8</v>
      </c>
      <c r="B14" s="588" t="str">
        <f>'ALL-USD40.1M'!N22</f>
        <v>Road Improvement Project to Support Integrated Land and Sea Toll Way - Northern Area</v>
      </c>
      <c r="C14" s="586">
        <f>'ALL-USD40.1M'!Y22</f>
        <v>250000000</v>
      </c>
      <c r="D14" s="586" t="str">
        <f>'ALL-USD40.1M'!Z22</f>
        <v>Bank Dunia</v>
      </c>
    </row>
    <row r="15" spans="1:4">
      <c r="A15" s="587">
        <v>9</v>
      </c>
      <c r="B15" s="588" t="str">
        <f>'ALL-USD40.1M'!N23</f>
        <v>Road Improvement Project to Support Integrated Land and Sea Toll Way - Southern Area</v>
      </c>
      <c r="C15" s="586">
        <f>'ALL-USD40.1M'!Y23</f>
        <v>250000000</v>
      </c>
      <c r="D15" s="586" t="str">
        <f>'ALL-USD40.1M'!Z23</f>
        <v>Bank Dunia</v>
      </c>
    </row>
    <row r="16" spans="1:4">
      <c r="A16" s="3896">
        <v>10</v>
      </c>
      <c r="B16" s="3893" t="str">
        <f>'ALL-USD40.1M'!N24</f>
        <v>National Road Improvement in West and South Kalimantan</v>
      </c>
      <c r="C16" s="586">
        <f>'ALL-USD40.1M'!Y24</f>
        <v>125000000</v>
      </c>
      <c r="D16" s="586" t="str">
        <f>'ALL-USD40.1M'!Z24</f>
        <v>IDB</v>
      </c>
    </row>
    <row r="17" spans="1:4">
      <c r="A17" s="3897"/>
      <c r="B17" s="3893"/>
      <c r="C17" s="586">
        <f>'ALL-USD40.1M'!Y25</f>
        <v>125000000</v>
      </c>
      <c r="D17" s="586" t="str">
        <f>'ALL-USD40.1M'!Z25</f>
        <v>SFD</v>
      </c>
    </row>
    <row r="18" spans="1:4">
      <c r="A18" s="587">
        <v>11</v>
      </c>
      <c r="B18" s="588" t="str">
        <f>'ALL-USD40.1M'!N26</f>
        <v>National Road Improvement in Central Kalimantan</v>
      </c>
      <c r="C18" s="586">
        <f>'ALL-USD40.1M'!Y26</f>
        <v>250000000</v>
      </c>
      <c r="D18" s="586" t="str">
        <f>'ALL-USD40.1M'!Z26</f>
        <v>Belum Ada Indikasi</v>
      </c>
    </row>
    <row r="19" spans="1:4">
      <c r="A19" s="587">
        <v>12</v>
      </c>
      <c r="B19" s="588" t="str">
        <f>'ALL-USD40.1M'!N27</f>
        <v>National Road Improvement in North and East Kalimantan</v>
      </c>
      <c r="C19" s="586">
        <f>'ALL-USD40.1M'!Y27</f>
        <v>250000000</v>
      </c>
      <c r="D19" s="586" t="str">
        <f>'ALL-USD40.1M'!Z27</f>
        <v>AIIB</v>
      </c>
    </row>
    <row r="20" spans="1:4">
      <c r="A20" s="587">
        <v>13</v>
      </c>
      <c r="B20" s="588" t="str">
        <f>'ALL-USD40.1M'!N28</f>
        <v>Road Improvement Project in Sulawesi Island and Major Cities</v>
      </c>
      <c r="C20" s="586">
        <f>'ALL-USD40.1M'!Y28</f>
        <v>250000000</v>
      </c>
      <c r="D20" s="586" t="str">
        <f>'ALL-USD40.1M'!Z28</f>
        <v>IDB</v>
      </c>
    </row>
    <row r="21" spans="1:4">
      <c r="A21" s="587">
        <v>14</v>
      </c>
      <c r="B21" s="588" t="str">
        <f>'ALL-USD40.1M'!N36</f>
        <v>The Development of Regional Water Supply System of Petanglong</v>
      </c>
      <c r="C21" s="586">
        <f>'ALL-USD40.1M'!Y36</f>
        <v>95380000</v>
      </c>
      <c r="D21" s="586" t="str">
        <f>'ALL-USD40.1M'!Z36</f>
        <v>World Bank</v>
      </c>
    </row>
    <row r="22" spans="1:4">
      <c r="A22" s="587">
        <v>15</v>
      </c>
      <c r="B22" s="588" t="str">
        <f>'ALL-USD40.1M'!N37</f>
        <v xml:space="preserve">The Development of Regional Water Supply System of Durolis </v>
      </c>
      <c r="C22" s="586">
        <f>'ALL-USD40.1M'!Y37</f>
        <v>33400000</v>
      </c>
      <c r="D22" s="586" t="str">
        <f>'ALL-USD40.1M'!Z37</f>
        <v>AFD/World Bank</v>
      </c>
    </row>
    <row r="23" spans="1:4" ht="13.5" customHeight="1">
      <c r="A23" s="587">
        <v>16</v>
      </c>
      <c r="B23" s="590" t="str">
        <f>'ALL-USD40.1M'!N38</f>
        <v xml:space="preserve">The Development of Regional Water Supply System of  Banten - Jakarta from Karian Dam </v>
      </c>
      <c r="C23" s="586">
        <f>'ALL-USD40.1M'!Y38</f>
        <v>40000000</v>
      </c>
      <c r="D23" s="586" t="str">
        <f>'ALL-USD40.1M'!Z41</f>
        <v>AIIB</v>
      </c>
    </row>
    <row r="24" spans="1:4">
      <c r="A24" s="587">
        <v>17</v>
      </c>
      <c r="B24" s="590" t="str">
        <f>'ALL-USD40.1M'!N41</f>
        <v>IKK Water Supply Program and Small Water Treatment Plant for Water Scarcity Area</v>
      </c>
      <c r="C24" s="586">
        <f>'ALL-USD40.1M'!Y41-'Signed di Cek SK'!D13</f>
        <v>13556670</v>
      </c>
      <c r="D24" s="586" t="s">
        <v>633</v>
      </c>
    </row>
    <row r="25" spans="1:4">
      <c r="A25" s="587">
        <v>18</v>
      </c>
      <c r="B25" s="588" t="str">
        <f>'ALL-USD40.1M'!N47</f>
        <v>The Development of Sewage Treatment Plant Facility in Priority Area</v>
      </c>
      <c r="C25" s="586">
        <f>'ALL-USD40.1M'!Y47</f>
        <v>75000000</v>
      </c>
      <c r="D25" s="586" t="str">
        <f>'ALL-USD40.1M'!Z47</f>
        <v>Bank Dunia</v>
      </c>
    </row>
    <row r="26" spans="1:4">
      <c r="A26" s="3898">
        <v>19</v>
      </c>
      <c r="B26" s="3893" t="str">
        <f>'ALL-USD40.1M'!N48</f>
        <v>Sewerage System Development in Indonesia</v>
      </c>
      <c r="C26" s="586">
        <f>'ALL-USD40.1M'!Y50</f>
        <v>325000000</v>
      </c>
      <c r="D26" s="586" t="str">
        <f>'ALL-USD40.1M'!Z50</f>
        <v>IDB</v>
      </c>
    </row>
    <row r="27" spans="1:4">
      <c r="A27" s="3899"/>
      <c r="B27" s="3893"/>
      <c r="C27" s="586">
        <f>'ALL-USD40.1M'!Y51</f>
        <v>200000000</v>
      </c>
      <c r="D27" s="586" t="str">
        <f>'ALL-USD40.1M'!Z51</f>
        <v>Bank Dunia</v>
      </c>
    </row>
    <row r="28" spans="1:4" s="581" customFormat="1" ht="28.5">
      <c r="A28" s="589">
        <v>20</v>
      </c>
      <c r="B28" s="591" t="str">
        <f>'ALL-USD40.1M'!N56</f>
        <v>The Improvement of Solid Waste Management to Support Regional Area and Metropolitan Cities</v>
      </c>
      <c r="C28" s="592">
        <f>'ALL-USD40.1M'!Y56</f>
        <v>100000000</v>
      </c>
      <c r="D28" s="592" t="str">
        <f>'ALL-USD40.1M'!Z56</f>
        <v>Bank Dunia</v>
      </c>
    </row>
    <row r="29" spans="1:4">
      <c r="A29" s="589">
        <v>21</v>
      </c>
      <c r="B29" s="588" t="str">
        <f>'ALL-USD40.1M'!N59</f>
        <v>National Slum Upgrading</v>
      </c>
      <c r="C29" s="586">
        <f>'ALL-USD40.1M'!Y59</f>
        <v>289880000</v>
      </c>
      <c r="D29" s="586" t="str">
        <f>'ALL-USD40.1M'!Z59</f>
        <v>SFD</v>
      </c>
    </row>
    <row r="30" spans="1:4">
      <c r="A30" s="589">
        <v>22</v>
      </c>
      <c r="B30" s="588" t="str">
        <f>'ALL-USD40.1M'!N63</f>
        <v>National Urban Development Project</v>
      </c>
      <c r="C30" s="586">
        <f>'ALL-USD40.1M'!Y64</f>
        <v>175390000</v>
      </c>
      <c r="D30" s="586" t="str">
        <f>'ALL-USD40.1M'!Z64</f>
        <v>Bank Dunia</v>
      </c>
    </row>
    <row r="31" spans="1:4">
      <c r="A31" s="3896">
        <v>23</v>
      </c>
      <c r="B31" s="3893" t="str">
        <f>'ALL-USD40.1M'!N67</f>
        <v>Integrated Participatory Development and Management of Irrigation Project - Phase II</v>
      </c>
      <c r="C31" s="586">
        <f>'ALL-USD40.1M'!Y67</f>
        <v>400000000</v>
      </c>
      <c r="D31" s="586" t="str">
        <f>'ALL-USD40.1M'!Z67</f>
        <v>ADB</v>
      </c>
    </row>
    <row r="32" spans="1:4">
      <c r="A32" s="3897"/>
      <c r="B32" s="3893"/>
      <c r="C32" s="586">
        <f>'ALL-USD40.1M'!Y68</f>
        <v>100000000</v>
      </c>
      <c r="D32" s="586" t="str">
        <f>'ALL-USD40.1M'!Z68</f>
        <v>IFAD</v>
      </c>
    </row>
    <row r="33" spans="1:4">
      <c r="A33" s="587">
        <v>24</v>
      </c>
      <c r="B33" s="588" t="str">
        <f>'ALL-USD40.1M'!N70</f>
        <v>Irrigation Development in North Sumatera</v>
      </c>
      <c r="C33" s="586">
        <f>'ALL-USD40.1M'!Y70</f>
        <v>350000000</v>
      </c>
      <c r="D33" s="586" t="str">
        <f>'ALL-USD40.1M'!Z70</f>
        <v>Belum Ada Indikasi</v>
      </c>
    </row>
    <row r="34" spans="1:4" ht="28.5">
      <c r="A34" s="587">
        <v>25</v>
      </c>
      <c r="B34" s="590" t="str">
        <f>'ALL-USD40.1M'!N71</f>
        <v>Integrated Participatory Development and Management of Lhok Guci and Peureulak Irrigation Project</v>
      </c>
      <c r="C34" s="586">
        <f>'ALL-USD40.1M'!Y71</f>
        <v>161298000</v>
      </c>
      <c r="D34" s="586" t="str">
        <f>'ALL-USD40.1M'!Z71</f>
        <v>Belum Ada Indikasi</v>
      </c>
    </row>
    <row r="35" spans="1:4">
      <c r="A35" s="587">
        <v>26</v>
      </c>
      <c r="B35" s="588" t="str">
        <f>'ALL-USD40.1M'!N74</f>
        <v>Revitalization Groundwater Irrigation in Indonesia</v>
      </c>
      <c r="C35" s="586">
        <f>'ALL-USD40.1M'!Y74</f>
        <v>100000000</v>
      </c>
      <c r="D35" s="586" t="str">
        <f>'ALL-USD40.1M'!Z74</f>
        <v>Korea</v>
      </c>
    </row>
    <row r="36" spans="1:4">
      <c r="A36" s="587">
        <v>27</v>
      </c>
      <c r="B36" s="588" t="str">
        <f>'ALL-USD40.1M'!N75</f>
        <v>Engineering Service for Irrigation and Low Land Development Project</v>
      </c>
      <c r="C36" s="586">
        <f>'ALL-USD40.1M'!Y75</f>
        <v>61900000</v>
      </c>
      <c r="D36" s="586" t="str">
        <f>'ALL-USD40.1M'!Z75</f>
        <v>Belum Ada Indikasi</v>
      </c>
    </row>
    <row r="37" spans="1:4">
      <c r="A37" s="587">
        <v>28</v>
      </c>
      <c r="B37" s="588" t="str">
        <f>'ALL-USD40.1M'!N77</f>
        <v>Integrated Citarum Water Resources Management Investment Program II</v>
      </c>
      <c r="C37" s="586">
        <f>'ALL-USD40.1M'!Y77</f>
        <v>200000000</v>
      </c>
      <c r="D37" s="586" t="str">
        <f>'ALL-USD40.1M'!Z77</f>
        <v>Belum Ada Indikasi</v>
      </c>
    </row>
    <row r="38" spans="1:4">
      <c r="A38" s="587">
        <v>29</v>
      </c>
      <c r="B38" s="588" t="str">
        <f>'ALL-USD40.1M'!N78</f>
        <v>Karian Dam-Serpong Water Conveyance and Supply System Project</v>
      </c>
      <c r="C38" s="586">
        <f>'ALL-USD40.1M'!Y78</f>
        <v>373862000</v>
      </c>
      <c r="D38" s="586" t="str">
        <f>'ALL-USD40.1M'!Z78</f>
        <v>Korea</v>
      </c>
    </row>
    <row r="39" spans="1:4">
      <c r="A39" s="587">
        <v>30</v>
      </c>
      <c r="B39" s="588" t="str">
        <f>'ALL-USD40.1M'!N79</f>
        <v>Engineering Service for Bulk Water and Water Supply Development Project</v>
      </c>
      <c r="C39" s="586">
        <f>'ALL-USD40.1M'!Y79</f>
        <v>48000000</v>
      </c>
      <c r="D39" s="586" t="str">
        <f>'ALL-USD40.1M'!Z79</f>
        <v>Belum Ada Indikasi</v>
      </c>
    </row>
    <row r="40" spans="1:4">
      <c r="A40" s="587">
        <v>31</v>
      </c>
      <c r="B40" s="588" t="str">
        <f>'ALL-USD40.1M'!N81</f>
        <v>Jambo Aye Multipurpose Dam Project</v>
      </c>
      <c r="C40" s="586">
        <f>'ALL-USD40.1M'!Y81</f>
        <v>662200000</v>
      </c>
      <c r="D40" s="586" t="str">
        <f>'ALL-USD40.1M'!Z81</f>
        <v>Belum Ada Indikasi</v>
      </c>
    </row>
    <row r="41" spans="1:4">
      <c r="A41" s="587">
        <v>32</v>
      </c>
      <c r="B41" s="588" t="str">
        <f>'ALL-USD40.1M'!N82</f>
        <v>Komering Multipurpose Dam Project - Phase II</v>
      </c>
      <c r="C41" s="586">
        <f>'ALL-USD40.1M'!Y82</f>
        <v>200000000</v>
      </c>
      <c r="D41" s="586" t="str">
        <f>'ALL-USD40.1M'!Z82</f>
        <v>JICA</v>
      </c>
    </row>
    <row r="42" spans="1:4">
      <c r="A42" s="587">
        <v>33</v>
      </c>
      <c r="B42" s="588" t="str">
        <f>'ALL-USD40.1M'!N84</f>
        <v>Lambakan  Dam Project</v>
      </c>
      <c r="C42" s="586">
        <f>'ALL-USD40.1M'!Y84</f>
        <v>258000000</v>
      </c>
      <c r="D42" s="586" t="str">
        <f>'ALL-USD40.1M'!Z84</f>
        <v>IDB</v>
      </c>
    </row>
    <row r="43" spans="1:4">
      <c r="A43" s="587">
        <v>34</v>
      </c>
      <c r="B43" s="588" t="str">
        <f>'ALL-USD40.1M'!N86</f>
        <v>Bonehulu Dam Construction Project</v>
      </c>
      <c r="C43" s="586">
        <f>'ALL-USD40.1M'!Y86</f>
        <v>128250000</v>
      </c>
      <c r="D43" s="586" t="str">
        <f>'ALL-USD40.1M'!Z86</f>
        <v>Belum Ada Indikasi</v>
      </c>
    </row>
    <row r="44" spans="1:4">
      <c r="A44" s="587">
        <v>35</v>
      </c>
      <c r="B44" s="588" t="str">
        <f>'ALL-USD40.1M'!N87</f>
        <v>Ladongi Dam Construction Project</v>
      </c>
      <c r="C44" s="586">
        <f>'ALL-USD40.1M'!Y87</f>
        <v>70000000</v>
      </c>
      <c r="D44" s="586" t="str">
        <f>'ALL-USD40.1M'!Z87</f>
        <v>Belum Ada Indikasi</v>
      </c>
    </row>
    <row r="45" spans="1:4">
      <c r="A45" s="587">
        <v>36</v>
      </c>
      <c r="B45" s="588" t="str">
        <f>'ALL-USD40.1M'!N88</f>
        <v>Kuwil Kawangkoan Dam Construction Project</v>
      </c>
      <c r="C45" s="586">
        <f>'ALL-USD40.1M'!Y88</f>
        <v>110000000</v>
      </c>
      <c r="D45" s="586" t="str">
        <f>'ALL-USD40.1M'!Z88</f>
        <v>Belum Ada Indikasi</v>
      </c>
    </row>
    <row r="46" spans="1:4">
      <c r="A46" s="587">
        <v>37</v>
      </c>
      <c r="B46" s="588" t="str">
        <f>'ALL-USD40.1M'!N90</f>
        <v>Additional Loan for Jatigede Dam Project 2</v>
      </c>
      <c r="C46" s="586">
        <f>'ALL-USD40.1M'!Y90</f>
        <v>53200000</v>
      </c>
      <c r="D46" s="586" t="str">
        <f>'ALL-USD40.1M'!Z90</f>
        <v>Belum Ada Indikasi</v>
      </c>
    </row>
    <row r="47" spans="1:4">
      <c r="A47" s="587">
        <v>38</v>
      </c>
      <c r="B47" s="588" t="str">
        <f>'ALL-USD40.1M'!N91</f>
        <v>Engineering Service for Dam Multipurpose Development Project</v>
      </c>
      <c r="C47" s="586">
        <f>'ALL-USD40.1M'!Y92</f>
        <v>76459020</v>
      </c>
      <c r="D47" s="586" t="str">
        <f>'ALL-USD40.1M'!Z92</f>
        <v>Belum Ada Indikasi</v>
      </c>
    </row>
    <row r="48" spans="1:4">
      <c r="A48" s="587">
        <v>39</v>
      </c>
      <c r="B48" s="588" t="str">
        <f>'ALL-USD40.1M'!N94</f>
        <v>Lower Solo River Improvement Project - Phase II</v>
      </c>
      <c r="C48" s="586">
        <f>'ALL-USD40.1M'!Y94</f>
        <v>155836000</v>
      </c>
      <c r="D48" s="586" t="str">
        <f>'ALL-USD40.1M'!Z94</f>
        <v>JICA</v>
      </c>
    </row>
    <row r="49" spans="1:4" ht="28.5">
      <c r="A49" s="587">
        <v>40</v>
      </c>
      <c r="B49" s="590" t="str">
        <f>'ALL-USD40.1M'!N95</f>
        <v>Comprehensive Countermeasure for Sediment &amp; Flood Problems in South Sulawesi Province</v>
      </c>
      <c r="C49" s="586">
        <f>'ALL-USD40.1M'!Y95</f>
        <v>108100000</v>
      </c>
      <c r="D49" s="586" t="str">
        <f>'ALL-USD40.1M'!Z95</f>
        <v>JICA</v>
      </c>
    </row>
    <row r="50" spans="1:4" ht="28.5">
      <c r="A50" s="587">
        <v>41</v>
      </c>
      <c r="B50" s="590" t="str">
        <f>'ALL-USD40.1M'!N96</f>
        <v xml:space="preserve">Urgent Disaster Reduction of Mt. Sinabung, Mt. Semeru, Mt. Kelud Mt. Lokon, and Mt. Gamalama </v>
      </c>
      <c r="C50" s="586">
        <f>'ALL-USD40.1M'!Y96</f>
        <v>260000000</v>
      </c>
      <c r="D50" s="586" t="str">
        <f>'ALL-USD40.1M'!Z96</f>
        <v>JICA</v>
      </c>
    </row>
    <row r="51" spans="1:4">
      <c r="A51" s="587">
        <v>42</v>
      </c>
      <c r="B51" s="588" t="str">
        <f>'ALL-USD40.1M'!N97</f>
        <v xml:space="preserve">Urban Flood Control System Improvement in Selected Cities -Phase II  </v>
      </c>
      <c r="C51" s="586">
        <f>'ALL-USD40.1M'!Y97</f>
        <v>120000000</v>
      </c>
      <c r="D51" s="586" t="str">
        <f>'ALL-USD40.1M'!Z97</f>
        <v>JICA</v>
      </c>
    </row>
    <row r="52" spans="1:4">
      <c r="A52" s="587">
        <v>43</v>
      </c>
      <c r="B52" s="588" t="str">
        <f>'ALL-USD40.1M'!N98</f>
        <v>Flood Management in Selected River Basins Sector Project (Additional Financing)</v>
      </c>
      <c r="C52" s="586">
        <f>'ALL-USD40.1M'!Y98</f>
        <v>200000000</v>
      </c>
      <c r="D52" s="586" t="str">
        <f>'ALL-USD40.1M'!Z98</f>
        <v>ADB</v>
      </c>
    </row>
    <row r="53" spans="1:4">
      <c r="A53" s="587">
        <v>44</v>
      </c>
      <c r="B53" s="588" t="str">
        <f>'ALL-USD40.1M'!N99</f>
        <v>Engineering Service for Coastal and River Development Project</v>
      </c>
      <c r="C53" s="586">
        <f>'ALL-USD40.1M'!Y100</f>
        <v>30285600</v>
      </c>
      <c r="D53" s="586" t="str">
        <f>'ALL-USD40.1M'!Z100</f>
        <v>Belum Ada Indikasi</v>
      </c>
    </row>
    <row r="54" spans="1:4">
      <c r="A54" s="587">
        <v>45</v>
      </c>
      <c r="B54" s="588" t="str">
        <f>'ALL-USD40.1M'!N102</f>
        <v xml:space="preserve">Enhanced Water Security Investment Program    </v>
      </c>
      <c r="C54" s="586">
        <f>'ALL-USD40.1M'!Y102</f>
        <v>350000000</v>
      </c>
      <c r="D54" s="586" t="str">
        <f>'ALL-USD40.1M'!Z102</f>
        <v>ADB</v>
      </c>
    </row>
    <row r="55" spans="1:4">
      <c r="A55" s="587">
        <v>46</v>
      </c>
      <c r="B55" s="588" t="str">
        <f>'ALL-USD40.1M'!N103</f>
        <v>Engineering Service for Water Resources Infrastructure Management</v>
      </c>
      <c r="C55" s="586">
        <f>'ALL-USD40.1M'!Y103</f>
        <v>50000000</v>
      </c>
      <c r="D55" s="586" t="str">
        <f>'ALL-USD40.1M'!Z103</f>
        <v>Belum Ada Indikasi</v>
      </c>
    </row>
    <row r="56" spans="1:4" s="580" customFormat="1">
      <c r="A56" s="593" t="str">
        <f>'ALL-USD40.1M'!L108</f>
        <v>PERUMNAS</v>
      </c>
      <c r="B56" s="594"/>
      <c r="C56" s="595">
        <f>C57</f>
        <v>200000000</v>
      </c>
      <c r="D56" s="595"/>
    </row>
    <row r="57" spans="1:4">
      <c r="A57" s="589">
        <v>47</v>
      </c>
      <c r="B57" s="588" t="str">
        <f>'ALL-USD40.1M'!N110</f>
        <v>Support for National Housing and Urban Development Cooperation</v>
      </c>
      <c r="C57" s="586">
        <f>'ALL-USD40.1M'!Y110</f>
        <v>200000000</v>
      </c>
      <c r="D57" s="586" t="str">
        <f>'ALL-USD40.1M'!Z110</f>
        <v>JICA</v>
      </c>
    </row>
    <row r="58" spans="1:4" s="580" customFormat="1">
      <c r="A58" s="593" t="str">
        <f>'ALL-USD40.1M'!L111</f>
        <v>Kementerian Perhubungan</v>
      </c>
      <c r="B58" s="594"/>
      <c r="C58" s="595">
        <f>SUM(C59:C68)</f>
        <v>6127224300</v>
      </c>
      <c r="D58" s="595"/>
    </row>
    <row r="59" spans="1:4">
      <c r="A59" s="587">
        <v>48</v>
      </c>
      <c r="B59" s="588" t="str">
        <f>'ALL-USD40.1M'!N114</f>
        <v>Procurement of Track Material and Turn Out - Phase IV</v>
      </c>
      <c r="C59" s="586">
        <f>'ALL-USD40.1M'!Y114</f>
        <v>126830200</v>
      </c>
      <c r="D59" s="586" t="str">
        <f>'ALL-USD40.1M'!Z114</f>
        <v>RRT</v>
      </c>
    </row>
    <row r="60" spans="1:4">
      <c r="A60" s="587">
        <v>49</v>
      </c>
      <c r="B60" s="588" t="str">
        <f>'ALL-USD40.1M'!N116</f>
        <v>Construction of Jakarta Mass Rapid Transit East-West Line Project - Phase I</v>
      </c>
      <c r="C60" s="586">
        <f>'ALL-USD40.1M'!Y116</f>
        <v>3572000000</v>
      </c>
      <c r="D60" s="586" t="str">
        <f>'ALL-USD40.1M'!Z116</f>
        <v>JICA</v>
      </c>
    </row>
    <row r="61" spans="1:4">
      <c r="A61" s="587">
        <v>50</v>
      </c>
      <c r="B61" s="588" t="str">
        <f>'ALL-USD40.1M'!N117</f>
        <v>Surabaya Regional Railway Line - Phase I</v>
      </c>
      <c r="C61" s="586">
        <f>'ALL-USD40.1M'!Y117</f>
        <v>100000000</v>
      </c>
      <c r="D61" s="586" t="str">
        <f>'ALL-USD40.1M'!Z117</f>
        <v>Jerman (KfW)</v>
      </c>
    </row>
    <row r="62" spans="1:4">
      <c r="A62" s="587">
        <v>51</v>
      </c>
      <c r="B62" s="588" t="str">
        <f>'ALL-USD40.1M'!N118</f>
        <v>Development of Railway Quality Assurance Facility</v>
      </c>
      <c r="C62" s="586">
        <f>'ALL-USD40.1M'!Y118</f>
        <v>461428600</v>
      </c>
      <c r="D62" s="586" t="str">
        <f>'ALL-USD40.1M'!Z118</f>
        <v>Belum Ada Indikasi</v>
      </c>
    </row>
    <row r="63" spans="1:4">
      <c r="A63" s="587">
        <v>52</v>
      </c>
      <c r="B63" s="588" t="str">
        <f>'ALL-USD40.1M'!N119</f>
        <v>Construction of Railway line for Bitung - Gorontalo - Isimu</v>
      </c>
      <c r="C63" s="586">
        <f>'ALL-USD40.1M'!Y119</f>
        <v>505476800</v>
      </c>
      <c r="D63" s="586" t="str">
        <f>'ALL-USD40.1M'!Z119</f>
        <v>AIIB</v>
      </c>
    </row>
    <row r="64" spans="1:4">
      <c r="A64" s="587">
        <v>53</v>
      </c>
      <c r="B64" s="588" t="str">
        <f>'ALL-USD40.1M'!N120</f>
        <v>Construction of Railway line for Pare-pare - Mamuju</v>
      </c>
      <c r="C64" s="586">
        <f>'ALL-USD40.1M'!Y120</f>
        <v>399167600</v>
      </c>
      <c r="D64" s="586" t="str">
        <f>'ALL-USD40.1M'!Z120</f>
        <v>AIIB</v>
      </c>
    </row>
    <row r="65" spans="1:4">
      <c r="A65" s="587">
        <v>54</v>
      </c>
      <c r="B65" s="588" t="str">
        <f>'ALL-USD40.1M'!N122</f>
        <v>Development and Improvement of Indonesian Aids to Navigation</v>
      </c>
      <c r="C65" s="586">
        <f>'ALL-USD40.1M'!Y122</f>
        <v>27402600</v>
      </c>
      <c r="D65" s="586" t="str">
        <f>'ALL-USD40.1M'!Z122</f>
        <v>KOREA</v>
      </c>
    </row>
    <row r="66" spans="1:4">
      <c r="A66" s="587">
        <v>55</v>
      </c>
      <c r="B66" s="588" t="str">
        <f>'ALL-USD40.1M'!N123</f>
        <v>Procurement of Navigation First Class Vessels</v>
      </c>
      <c r="C66" s="586">
        <f>'ALL-USD40.1M'!Y123</f>
        <v>186237900</v>
      </c>
      <c r="D66" s="586" t="str">
        <f>'ALL-USD40.1M'!AA123</f>
        <v>Belum proses</v>
      </c>
    </row>
    <row r="67" spans="1:4">
      <c r="A67" s="587">
        <v>56</v>
      </c>
      <c r="B67" s="588" t="str">
        <f>'ALL-USD40.1M'!N124</f>
        <v>Procurement of Navigation Carrier Vessels</v>
      </c>
      <c r="C67" s="586">
        <f>'ALL-USD40.1M'!Y124</f>
        <v>73732600</v>
      </c>
      <c r="D67" s="586" t="str">
        <f>'ALL-USD40.1M'!Z124</f>
        <v>Korea</v>
      </c>
    </row>
    <row r="68" spans="1:4">
      <c r="A68" s="587">
        <v>57</v>
      </c>
      <c r="B68" s="588" t="str">
        <f>'ALL-USD40.1M'!_Toc450667043</f>
        <v>The Development of Patimban Port - Stage I</v>
      </c>
      <c r="C68" s="586">
        <f>'ALL-USD40.1M'!Y126</f>
        <v>674948000</v>
      </c>
      <c r="D68" s="586" t="str">
        <f>'ALL-USD40.1M'!AA126</f>
        <v>Belum proses</v>
      </c>
    </row>
    <row r="69" spans="1:4" s="580" customFormat="1">
      <c r="A69" s="593" t="str">
        <f>'ALL-USD40.1M'!L127</f>
        <v>Kementerian Komunikasi dan Informatika</v>
      </c>
      <c r="B69" s="594"/>
      <c r="C69" s="595">
        <f>SUM(C70:C71)</f>
        <v>556000000</v>
      </c>
      <c r="D69" s="595"/>
    </row>
    <row r="70" spans="1:4">
      <c r="A70" s="587">
        <v>58</v>
      </c>
      <c r="B70" s="588" t="str">
        <f>'ALL-USD40.1M'!N129</f>
        <v>Improvement on TV Transmitting Stations (Digitalization of TVRI) - Phase III</v>
      </c>
      <c r="C70" s="586">
        <f>'ALL-USD40.1M'!Y129</f>
        <v>411000000</v>
      </c>
      <c r="D70" s="586" t="str">
        <f>'ALL-USD40.1M'!Z129</f>
        <v>US EXIM/Perancis</v>
      </c>
    </row>
    <row r="71" spans="1:4">
      <c r="A71" s="587">
        <v>59</v>
      </c>
      <c r="B71" s="588" t="str">
        <f>'ALL-USD40.1M'!N130</f>
        <v>Strengthening of e-Government Infrastructure</v>
      </c>
      <c r="C71" s="586">
        <f>'ALL-USD40.1M'!Y130</f>
        <v>145000000</v>
      </c>
      <c r="D71" s="586" t="str">
        <f>'ALL-USD40.1M'!Z130</f>
        <v>Korea</v>
      </c>
    </row>
    <row r="72" spans="1:4" s="580" customFormat="1">
      <c r="A72" s="593" t="str">
        <f>'ALL-USD40.1M'!L131</f>
        <v>Kepolisian RI</v>
      </c>
      <c r="B72" s="594"/>
      <c r="C72" s="595">
        <f>C73</f>
        <v>20000000</v>
      </c>
      <c r="D72" s="595"/>
    </row>
    <row r="73" spans="1:4">
      <c r="A73" s="587">
        <v>60</v>
      </c>
      <c r="B73" s="588" t="str">
        <f>'ALL-USD40.1M'!N133</f>
        <v>National Criminal Information Center for Indonesian National Police - Phase II</v>
      </c>
      <c r="C73" s="586">
        <f>'ALL-USD40.1M'!Y133</f>
        <v>20000000</v>
      </c>
      <c r="D73" s="586" t="str">
        <f>'ALL-USD40.1M'!Z133</f>
        <v>Korea</v>
      </c>
    </row>
    <row r="74" spans="1:4" s="580" customFormat="1">
      <c r="A74" s="593" t="str">
        <f>'ALL-USD40.1M'!L134</f>
        <v xml:space="preserve">PT. PLN    </v>
      </c>
      <c r="B74" s="594"/>
      <c r="C74" s="595">
        <f>SUM(C75:C79)</f>
        <v>2118000000</v>
      </c>
      <c r="D74" s="594"/>
    </row>
    <row r="75" spans="1:4">
      <c r="A75" s="587">
        <v>61</v>
      </c>
      <c r="B75" s="588" t="str">
        <f>'ALL-USD40.1M'!N136</f>
        <v>Construction of Java Sumatera Interconnection 500 kV (HVDC-Phase 3 &amp; 4)</v>
      </c>
      <c r="C75" s="586">
        <f>'ALL-USD40.1M'!Y136</f>
        <v>933000000</v>
      </c>
      <c r="D75" s="586" t="str">
        <f>'ALL-USD40.1M'!Z136</f>
        <v>JICA</v>
      </c>
    </row>
    <row r="76" spans="1:4">
      <c r="A76" s="587">
        <v>62</v>
      </c>
      <c r="B76" s="588" t="str">
        <f>'ALL-USD40.1M'!N138</f>
        <v>Bakaru II Hydro Electrical Power Plant (2x63MW)</v>
      </c>
      <c r="C76" s="586">
        <f>'ALL-USD40.1M'!Y138</f>
        <v>280000000</v>
      </c>
      <c r="D76" s="586" t="str">
        <f>'ALL-USD40.1M'!Z138</f>
        <v>Belum Ada Indikasi</v>
      </c>
    </row>
    <row r="77" spans="1:4" ht="28.5">
      <c r="A77" s="587">
        <v>63</v>
      </c>
      <c r="B77" s="590" t="str">
        <f>'ALL-USD40.1M'!N142</f>
        <v>Additional Loan for Upper Cisokan Pumped Storage Hydro Electrical Power Plant (4x260MW)</v>
      </c>
      <c r="C77" s="586">
        <f>'ALL-USD40.1M'!Y142</f>
        <v>200000000</v>
      </c>
      <c r="D77" s="586" t="str">
        <f>'ALL-USD40.1M'!Z142</f>
        <v>Bank Dunia</v>
      </c>
    </row>
    <row r="78" spans="1:4">
      <c r="A78" s="587">
        <v>64</v>
      </c>
      <c r="B78" s="588" t="str">
        <f>'ALL-USD40.1M'!N143</f>
        <v>Sungai Penuh Geothermal Power Plant 1&amp;2 (2x55MW)</v>
      </c>
      <c r="C78" s="586">
        <f>'ALL-USD40.1M'!Y143</f>
        <v>205000000</v>
      </c>
      <c r="D78" s="586" t="str">
        <f>'ALL-USD40.1M'!Z143</f>
        <v>ADB</v>
      </c>
    </row>
    <row r="79" spans="1:4" customFormat="1" ht="15">
      <c r="A79" s="587">
        <v>65</v>
      </c>
      <c r="B79" s="588" t="str">
        <f>'ALL-USD40.1M'!N144</f>
        <v>Matenggeng Pumped Storage Hydro Electrical Power Plant (4x225MW)</v>
      </c>
      <c r="C79" s="586">
        <f>'ALL-USD40.1M'!Y144</f>
        <v>500000000</v>
      </c>
      <c r="D79" s="586" t="str">
        <f>'ALL-USD40.1M'!Z144</f>
        <v>Bank Dunia</v>
      </c>
    </row>
    <row r="80" spans="1:4" s="580" customFormat="1">
      <c r="A80" s="593" t="str">
        <f>'ALL-USD40.1M'!L145</f>
        <v>Pemprov. Aceh</v>
      </c>
      <c r="B80" s="594"/>
      <c r="C80" s="595">
        <f>SUM(C81)</f>
        <v>61600000</v>
      </c>
      <c r="D80" s="595"/>
    </row>
    <row r="81" spans="1:4" ht="28.5">
      <c r="A81" s="587">
        <v>66</v>
      </c>
      <c r="B81" s="590" t="str">
        <f>'ALL-USD40.1M'!N147</f>
        <v>Development of Seulawah Agam Geothermal Working Area for 55 MW-Capacity Geothermal Power Plant in Aceh</v>
      </c>
      <c r="C81" s="586">
        <f>'ALL-USD40.1M'!Y147</f>
        <v>61600000</v>
      </c>
      <c r="D81" s="586" t="str">
        <f>'ALL-USD40.1M'!Z147</f>
        <v>Jerman (KfW)</v>
      </c>
    </row>
    <row r="82" spans="1:4" s="580" customFormat="1">
      <c r="A82" s="593" t="str">
        <f>'ALL-USD40.1M'!L148</f>
        <v>Pemprov. Lampung</v>
      </c>
      <c r="B82" s="596"/>
      <c r="C82" s="595">
        <f>C83</f>
        <v>225000000</v>
      </c>
      <c r="D82" s="595"/>
    </row>
    <row r="83" spans="1:4" ht="15" customHeight="1">
      <c r="A83" s="587">
        <v>67</v>
      </c>
      <c r="B83" s="588" t="str">
        <f>'ALL-USD40.1M'!N150</f>
        <v>Development and Improvement of Lampung Provincial Roads Project</v>
      </c>
      <c r="C83" s="586">
        <f>'ALL-USD40.1M'!Y150</f>
        <v>225000000</v>
      </c>
      <c r="D83" s="586" t="str">
        <f>'ALL-USD40.1M'!Z150</f>
        <v>Belum Ada Indikasi</v>
      </c>
    </row>
    <row r="84" spans="1:4" s="580" customFormat="1">
      <c r="A84" s="593" t="str">
        <f>'ALL-USD40.1M'!L151</f>
        <v>PT. Sarana Multi Infrastruktur (PT. SMI)</v>
      </c>
      <c r="B84" s="594"/>
      <c r="C84" s="595">
        <f>C85+C86</f>
        <v>400000000</v>
      </c>
      <c r="D84" s="595"/>
    </row>
    <row r="85" spans="1:4" ht="28.5">
      <c r="A85" s="587">
        <v>68</v>
      </c>
      <c r="B85" s="590" t="str">
        <f>'ALL-USD40.1M'!N153</f>
        <v>Increasing PT Indonesia Infrastructure Finance Financing Capacity in Accelerating Infrastructure Development in Indonesia</v>
      </c>
      <c r="C85" s="586">
        <f>'ALL-USD40.1M'!Y154</f>
        <v>100000000</v>
      </c>
      <c r="D85" s="586" t="str">
        <f>'ALL-USD40.1M'!Z154</f>
        <v>ADB</v>
      </c>
    </row>
    <row r="86" spans="1:4" ht="28.5">
      <c r="A86" s="587">
        <v>69</v>
      </c>
      <c r="B86" s="590" t="str">
        <f>'ALL-USD40.1M'!N155</f>
        <v>Financial Regional Infrastructure Projects through Regional Infrastructure Development Fund (RIDF)</v>
      </c>
      <c r="C86" s="586">
        <f>'ALL-USD40.1M'!Y155</f>
        <v>300000000</v>
      </c>
      <c r="D86" s="586" t="str">
        <f>'ALL-USD40.1M'!Z155</f>
        <v>Belum Ada Indikasi</v>
      </c>
    </row>
    <row r="87" spans="1:4" s="580" customFormat="1">
      <c r="A87" s="593" t="str">
        <f>'ALL-USD40.1M'!L157</f>
        <v>Kementerian Riset, Teknologi, dan Pendidikan Tinggi</v>
      </c>
      <c r="B87" s="594"/>
      <c r="C87" s="595">
        <f>C88</f>
        <v>45800</v>
      </c>
      <c r="D87" s="595"/>
    </row>
    <row r="88" spans="1:4">
      <c r="A88" s="587">
        <v>70</v>
      </c>
      <c r="B88" s="588" t="str">
        <f>'Signed di Cek SK'!B49</f>
        <v>The Plan of Hasanuddin University Hospital Development</v>
      </c>
      <c r="C88" s="586">
        <f>'ALL-USD40.1M'!Y160</f>
        <v>45800</v>
      </c>
      <c r="D88" s="588" t="s">
        <v>633</v>
      </c>
    </row>
    <row r="89" spans="1:4" s="580" customFormat="1">
      <c r="A89" s="593" t="s">
        <v>377</v>
      </c>
      <c r="B89" s="594"/>
      <c r="C89" s="595">
        <f>C90+C91+C92+C93</f>
        <v>265995400</v>
      </c>
      <c r="D89" s="595"/>
    </row>
    <row r="90" spans="1:4" ht="28.5">
      <c r="A90" s="587">
        <v>71</v>
      </c>
      <c r="B90" s="590" t="str">
        <f>'ALL-USD40.1M'!N179</f>
        <v>The Development of Ar-Raniry State Islamic University (UIN Ar-Raniry) Phase II Project in Aceh</v>
      </c>
      <c r="C90" s="586">
        <f>'ALL-USD40.1M'!Y179</f>
        <v>41328200</v>
      </c>
      <c r="D90" s="586" t="str">
        <f>'ALL-USD40.1M'!Z179</f>
        <v>Belum Ada Indikasi</v>
      </c>
    </row>
    <row r="91" spans="1:4" ht="28.5">
      <c r="A91" s="587">
        <v>72</v>
      </c>
      <c r="B91" s="590" t="str">
        <f>'ALL-USD40.1M'!N180</f>
        <v>The Development and Upgrading of State Islamic University Sunan Gunung Djati, Bandung, Phase 2 Project</v>
      </c>
      <c r="C91" s="586">
        <f>'ALL-USD40.1M'!Y180</f>
        <v>33442700</v>
      </c>
      <c r="D91" s="586" t="str">
        <f>'ALL-USD40.1M'!Z180</f>
        <v>Belum Ada Indikasi</v>
      </c>
    </row>
    <row r="92" spans="1:4" ht="28.5" customHeight="1">
      <c r="A92" s="3896">
        <v>73</v>
      </c>
      <c r="B92" s="3884" t="str">
        <f>'ALL-USD40.1M'!N181</f>
        <v>The Development of Faculty of Medicine - Health Sciences and Post Graduates of The Islamic State University of Alaudin, Makassar Project</v>
      </c>
      <c r="C92" s="586">
        <f>'ALL-USD40.1M'!Y181</f>
        <v>41224500</v>
      </c>
      <c r="D92" s="586" t="str">
        <f>'ALL-USD40.1M'!Z181</f>
        <v>Belum Ada Indikasi</v>
      </c>
    </row>
    <row r="93" spans="1:4">
      <c r="A93" s="3897"/>
      <c r="B93" s="3884"/>
      <c r="C93" s="586">
        <f>'ALL-USD40.1M'!Y185</f>
        <v>150000000</v>
      </c>
      <c r="D93" s="586" t="str">
        <f>'ALL-USD40.1M'!Z185</f>
        <v>Belum Ada Indikasi</v>
      </c>
    </row>
    <row r="94" spans="1:4" s="580" customFormat="1">
      <c r="A94" s="593" t="str">
        <f>'ALL-USD40.1M'!L188</f>
        <v>Kementerian Kesehatan</v>
      </c>
      <c r="B94" s="596"/>
      <c r="C94" s="595">
        <f>SUM(C95:C95)</f>
        <v>100400000</v>
      </c>
      <c r="D94" s="595"/>
    </row>
    <row r="95" spans="1:4" ht="28.5">
      <c r="A95" s="587">
        <v>74</v>
      </c>
      <c r="B95" s="590" t="str">
        <f>'ALL-USD40.1M'!N194</f>
        <v>Improvement of Capacity on Disease Control, Environmental Health, and Strengthening Health’s Research and Development</v>
      </c>
      <c r="C95" s="586">
        <f>'ALL-USD40.1M'!Y194</f>
        <v>100400000</v>
      </c>
      <c r="D95" s="586" t="str">
        <f>'ALL-USD40.1M'!Z194</f>
        <v>Belum Ada Indikasi</v>
      </c>
    </row>
    <row r="96" spans="1:4" s="580" customFormat="1">
      <c r="A96" s="593" t="str">
        <f>'ALL-USD40.1M'!L199</f>
        <v>Pemprov. Aceh</v>
      </c>
      <c r="B96" s="598"/>
      <c r="C96" s="595">
        <f>C97</f>
        <v>106800000</v>
      </c>
      <c r="D96" s="595"/>
    </row>
    <row r="97" spans="1:4" ht="28.5">
      <c r="A97" s="587">
        <v>75</v>
      </c>
      <c r="B97" s="591" t="str">
        <f>'ALL-USD40.1M'!N201</f>
        <v>Reengineering and Improving The Hospital and Referral System in Selected Aceh Districts</v>
      </c>
      <c r="C97" s="586">
        <f>'ALL-USD40.1M'!Y201</f>
        <v>106800000</v>
      </c>
      <c r="D97" s="586" t="str">
        <f>'ALL-USD40.1M'!Z201</f>
        <v>Belum Ada Indikasi</v>
      </c>
    </row>
    <row r="98" spans="1:4" s="580" customFormat="1">
      <c r="A98" s="593" t="str">
        <f>'ALL-USD40.1M'!L211</f>
        <v>Kementerian Ketenagakerjaan</v>
      </c>
      <c r="B98" s="594"/>
      <c r="C98" s="595">
        <f>C99</f>
        <v>92308000</v>
      </c>
      <c r="D98" s="595"/>
    </row>
    <row r="99" spans="1:4">
      <c r="A99" s="587">
        <v>76</v>
      </c>
      <c r="B99" s="588" t="str">
        <f>'ALL-USD40.1M'!N213</f>
        <v>Development of Maritime Vocational Training Centers</v>
      </c>
      <c r="C99" s="586">
        <f>'ALL-USD40.1M'!Y213</f>
        <v>92308000</v>
      </c>
      <c r="D99" s="586" t="str">
        <f>'ALL-USD40.1M'!Z213</f>
        <v>Austria/ Jerman (KfW)</v>
      </c>
    </row>
    <row r="100" spans="1:4" s="580" customFormat="1">
      <c r="A100" s="593" t="str">
        <f>'ALL-USD40.1M'!L214</f>
        <v>Kementerian Kelautan dan Perikanan</v>
      </c>
      <c r="B100" s="594"/>
      <c r="C100" s="595">
        <f>C101</f>
        <v>107000000</v>
      </c>
      <c r="D100" s="595"/>
    </row>
    <row r="101" spans="1:4">
      <c r="A101" s="587">
        <v>77</v>
      </c>
      <c r="B101" s="588" t="str">
        <f>'ALL-USD40.1M'!N216</f>
        <v xml:space="preserve">Outer Ring Fishing Ports Development - Phase I </v>
      </c>
      <c r="C101" s="586">
        <f>'ALL-USD40.1M'!Y216</f>
        <v>107000000</v>
      </c>
      <c r="D101" s="586" t="str">
        <f>'ALL-USD40.1M'!Z216</f>
        <v>Belum Ada Indikasi</v>
      </c>
    </row>
    <row r="102" spans="1:4" s="580" customFormat="1">
      <c r="A102" s="593" t="str">
        <f>'ALL-USD40.1M'!L217</f>
        <v>Kementerian Pertahanan</v>
      </c>
      <c r="B102" s="594"/>
      <c r="C102" s="595">
        <f>SUM(C103:C106)</f>
        <v>230000000</v>
      </c>
      <c r="D102" s="595"/>
    </row>
    <row r="103" spans="1:4">
      <c r="A103" s="587">
        <v>78</v>
      </c>
      <c r="B103" s="588" t="str">
        <f>'ALL-USD40.1M'!N219</f>
        <v>Upgrading Medical Equipments for Army Hospital of Gatot Subroto</v>
      </c>
      <c r="C103" s="586">
        <f>'ALL-USD40.1M'!Y219</f>
        <v>150000000</v>
      </c>
      <c r="D103" s="586" t="str">
        <f>'ALL-USD40.1M'!Z219</f>
        <v>Austria</v>
      </c>
    </row>
    <row r="104" spans="1:4">
      <c r="A104" s="587">
        <v>79</v>
      </c>
      <c r="B104" s="588" t="str">
        <f>'ALL-USD40.1M'!N220</f>
        <v>Upgrading Medical Equipments for Army Hospitals</v>
      </c>
      <c r="C104" s="586">
        <f>'ALL-USD40.1M'!Y221</f>
        <v>25000000</v>
      </c>
      <c r="D104" s="586" t="str">
        <f>'ALL-USD40.1M'!Z221</f>
        <v>Belum Ada Indikasi</v>
      </c>
    </row>
    <row r="105" spans="1:4">
      <c r="A105" s="587">
        <v>80</v>
      </c>
      <c r="B105" s="588" t="str">
        <f>'ALL-USD40.1M'!N222</f>
        <v>Upgrading Medical Equipments for Naval Hospitals</v>
      </c>
      <c r="C105" s="586">
        <f>'ALL-USD40.1M'!Y223</f>
        <v>30000000</v>
      </c>
      <c r="D105" s="586" t="str">
        <f>'ALL-USD40.1M'!Z223</f>
        <v>Belum Ada Indikasi</v>
      </c>
    </row>
    <row r="106" spans="1:4">
      <c r="A106" s="587">
        <v>81</v>
      </c>
      <c r="B106" s="588" t="str">
        <f>'ALL-USD40.1M'!N224</f>
        <v>Upgrading Medical Equipments for Air Force Hospitals</v>
      </c>
      <c r="C106" s="586">
        <f>'ALL-USD40.1M'!Y225</f>
        <v>25000000</v>
      </c>
      <c r="D106" s="586" t="str">
        <f>'ALL-USD40.1M'!Z225</f>
        <v>Belum Ada Indikasi</v>
      </c>
    </row>
    <row r="107" spans="1:4" s="580" customFormat="1">
      <c r="A107" s="593" t="str">
        <f>'ALL-USD40.1M'!L236</f>
        <v>Lembaga Ilmu Pengetahuan Indonesia (LIPI)</v>
      </c>
      <c r="B107" s="594"/>
      <c r="C107" s="595">
        <f>C108</f>
        <v>107950000</v>
      </c>
      <c r="D107" s="595"/>
    </row>
    <row r="108" spans="1:4">
      <c r="A108" s="587">
        <v>82</v>
      </c>
      <c r="B108" s="588" t="str">
        <f>'ALL-USD40.1M'!N238</f>
        <v>Procurement Multi Purposes Research Vessel</v>
      </c>
      <c r="C108" s="586">
        <f>'ALL-USD40.1M'!Y238</f>
        <v>107950000</v>
      </c>
      <c r="D108" s="586" t="str">
        <f>'ALL-USD40.1M'!Z238</f>
        <v>Belum Ada Indikasi</v>
      </c>
    </row>
    <row r="109" spans="1:4" ht="15" customHeight="1">
      <c r="A109" s="3894" t="s">
        <v>477</v>
      </c>
      <c r="B109" s="3895"/>
      <c r="C109" s="599">
        <f>C5+C56+C58+C69+C72+C74+C80+C82+C84+C87+C89+C94+C96+C98+C100+C102+C107</f>
        <v>20992320790</v>
      </c>
      <c r="D109" s="600"/>
    </row>
    <row r="111" spans="1:4">
      <c r="C111" s="601"/>
    </row>
    <row r="113" spans="4:4">
      <c r="D113" s="3293">
        <v>21157940790</v>
      </c>
    </row>
  </sheetData>
  <mergeCells count="12">
    <mergeCell ref="A1:D2"/>
    <mergeCell ref="A109:B109"/>
    <mergeCell ref="A6:A7"/>
    <mergeCell ref="A16:A17"/>
    <mergeCell ref="A26:A27"/>
    <mergeCell ref="A31:A32"/>
    <mergeCell ref="A92:A93"/>
    <mergeCell ref="B6:B7"/>
    <mergeCell ref="B16:B17"/>
    <mergeCell ref="B26:B27"/>
    <mergeCell ref="B31:B32"/>
    <mergeCell ref="B92:B93"/>
  </mergeCells>
  <pageMargins left="0.69930555555555596" right="0.69930555555555596" top="0.75" bottom="0.75" header="0.3" footer="0.3"/>
  <pageSetup paperSize="9"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L28"/>
  <sheetViews>
    <sheetView zoomScale="80" zoomScaleNormal="80" workbookViewId="0">
      <selection activeCell="S24" sqref="S24"/>
    </sheetView>
  </sheetViews>
  <sheetFormatPr defaultColWidth="9" defaultRowHeight="15"/>
  <cols>
    <col min="1" max="1" width="6.85546875" customWidth="1"/>
    <col min="2" max="2" width="38.7109375" customWidth="1"/>
    <col min="3" max="3" width="25.140625" customWidth="1"/>
    <col min="4" max="4" width="29.140625" customWidth="1"/>
    <col min="5" max="5" width="34" customWidth="1"/>
    <col min="6" max="6" width="71.42578125" hidden="1" customWidth="1"/>
    <col min="7" max="7" width="58" hidden="1" customWidth="1"/>
    <col min="10" max="10" width="14.42578125" customWidth="1"/>
    <col min="12" max="12" width="21.42578125" customWidth="1"/>
  </cols>
  <sheetData>
    <row r="1" spans="1:12" ht="20.25">
      <c r="A1" s="3696" t="s">
        <v>1412</v>
      </c>
      <c r="B1" s="3697"/>
      <c r="C1" s="3697"/>
      <c r="D1" s="3697"/>
      <c r="E1" s="3697"/>
      <c r="F1" s="3697"/>
      <c r="G1" s="3697"/>
    </row>
    <row r="2" spans="1:12" ht="18">
      <c r="A2" s="3698"/>
      <c r="B2" s="3697"/>
      <c r="C2" s="3697"/>
      <c r="D2" s="3697"/>
      <c r="E2" s="3697"/>
      <c r="F2" s="3697"/>
      <c r="G2" s="3697"/>
    </row>
    <row r="3" spans="1:12" ht="18">
      <c r="A3" s="504"/>
      <c r="B3" s="505"/>
      <c r="C3" s="505"/>
      <c r="D3" s="505"/>
      <c r="E3" s="506" t="s">
        <v>1323</v>
      </c>
      <c r="F3" s="507"/>
      <c r="G3" s="507"/>
    </row>
    <row r="4" spans="1:12" ht="15" customHeight="1">
      <c r="A4" s="3704" t="s">
        <v>1324</v>
      </c>
      <c r="B4" s="3706" t="s">
        <v>1325</v>
      </c>
      <c r="C4" s="3706" t="s">
        <v>17</v>
      </c>
      <c r="D4" s="3706" t="s">
        <v>1413</v>
      </c>
      <c r="E4" s="3706" t="s">
        <v>477</v>
      </c>
      <c r="F4" s="3702" t="s">
        <v>1360</v>
      </c>
      <c r="G4" s="3703"/>
    </row>
    <row r="5" spans="1:12" ht="18">
      <c r="A5" s="3705"/>
      <c r="B5" s="3707"/>
      <c r="C5" s="3901"/>
      <c r="D5" s="3901"/>
      <c r="E5" s="3901"/>
      <c r="F5" s="510" t="s">
        <v>1361</v>
      </c>
      <c r="G5" s="511" t="s">
        <v>487</v>
      </c>
    </row>
    <row r="6" spans="1:12" ht="18">
      <c r="A6" s="512" t="s">
        <v>23</v>
      </c>
      <c r="B6" s="513" t="s">
        <v>1414</v>
      </c>
      <c r="C6" s="569">
        <f>SUM(C7:C13)</f>
        <v>20448.283480000002</v>
      </c>
      <c r="D6" s="569">
        <f>SUM(D7:D13)</f>
        <v>669.92200000000003</v>
      </c>
      <c r="E6" s="516">
        <f>SUM(E7:E13)</f>
        <v>21118.205480000004</v>
      </c>
      <c r="F6" s="517">
        <f>SUM(F7:F13)</f>
        <v>20374644000</v>
      </c>
      <c r="G6" s="517">
        <f>SUM(G7:G13)</f>
        <v>777300000</v>
      </c>
    </row>
    <row r="7" spans="1:12" ht="18">
      <c r="A7" s="570">
        <v>1</v>
      </c>
      <c r="B7" s="519" t="s">
        <v>55</v>
      </c>
      <c r="C7" s="571">
        <f>JICA!P7/1000000</f>
        <v>14328.536</v>
      </c>
      <c r="D7" s="572">
        <f>JICA!P47/1000000</f>
        <v>71.694000000000003</v>
      </c>
      <c r="E7" s="573">
        <f t="shared" ref="E7:E13" si="0">C7+D7</f>
        <v>14400.23</v>
      </c>
      <c r="F7" s="522">
        <v>7326239900</v>
      </c>
      <c r="G7" s="522" t="s">
        <v>1362</v>
      </c>
      <c r="J7" s="535"/>
      <c r="L7" s="535"/>
    </row>
    <row r="8" spans="1:12" ht="18">
      <c r="A8" s="574">
        <v>2</v>
      </c>
      <c r="B8" s="519" t="s">
        <v>27</v>
      </c>
      <c r="C8" s="572">
        <f>RRT!P7/1000000</f>
        <v>1302.2669000000001</v>
      </c>
      <c r="D8" s="575">
        <v>0</v>
      </c>
      <c r="E8" s="573">
        <f t="shared" si="0"/>
        <v>1302.2669000000001</v>
      </c>
      <c r="F8" s="522" t="s">
        <v>1362</v>
      </c>
      <c r="G8" s="522" t="s">
        <v>1362</v>
      </c>
      <c r="J8" s="535"/>
      <c r="L8" s="535"/>
    </row>
    <row r="9" spans="1:12" ht="18" customHeight="1">
      <c r="A9" s="574">
        <v>3</v>
      </c>
      <c r="B9" s="519" t="s">
        <v>28</v>
      </c>
      <c r="C9" s="572">
        <f>KOREA!P7/1000000</f>
        <v>1257.4805799999999</v>
      </c>
      <c r="D9" s="575">
        <v>0</v>
      </c>
      <c r="E9" s="573">
        <f t="shared" si="0"/>
        <v>1257.4805799999999</v>
      </c>
      <c r="F9" s="522">
        <v>3557800000</v>
      </c>
      <c r="G9" s="522">
        <v>175000000</v>
      </c>
      <c r="J9" s="535"/>
      <c r="L9" s="535"/>
    </row>
    <row r="10" spans="1:12" ht="18">
      <c r="A10" s="574">
        <v>4</v>
      </c>
      <c r="B10" s="519" t="s">
        <v>1415</v>
      </c>
      <c r="C10" s="572">
        <f>(EROPA!P10+EROPA!P11+EROPA!P14+EROPA!P16+EROPA!P21+EROPA!P24)/1000000</f>
        <v>574.20000000000005</v>
      </c>
      <c r="D10" s="572">
        <f>EROPA!P28/1000000</f>
        <v>31.52</v>
      </c>
      <c r="E10" s="573">
        <f t="shared" si="0"/>
        <v>605.72</v>
      </c>
      <c r="F10" s="522">
        <v>2851980000</v>
      </c>
      <c r="G10" s="522" t="s">
        <v>1362</v>
      </c>
      <c r="J10" s="535"/>
      <c r="L10" s="535"/>
    </row>
    <row r="11" spans="1:12" ht="18">
      <c r="A11" s="574">
        <v>5</v>
      </c>
      <c r="B11" s="519" t="s">
        <v>1051</v>
      </c>
      <c r="C11" s="572">
        <v>0</v>
      </c>
      <c r="D11" s="572">
        <f>(EROPA!P31+EROPA!P32+EROPA!P33+EROPA!P34)/1000000</f>
        <v>210</v>
      </c>
      <c r="E11" s="573">
        <f t="shared" si="0"/>
        <v>210</v>
      </c>
      <c r="F11" s="522">
        <v>2519431000</v>
      </c>
      <c r="G11" s="522" t="s">
        <v>1362</v>
      </c>
      <c r="J11" s="535"/>
      <c r="L11" s="535"/>
    </row>
    <row r="12" spans="1:12" ht="18">
      <c r="A12" s="574">
        <v>6</v>
      </c>
      <c r="B12" s="519" t="s">
        <v>1416</v>
      </c>
      <c r="C12" s="572">
        <f>(EROPA!P13+EROPA!P18)/1000000</f>
        <v>2124.8000000000002</v>
      </c>
      <c r="D12" s="572">
        <f>EROPA!P37/1000000</f>
        <v>114.4</v>
      </c>
      <c r="E12" s="573">
        <f t="shared" si="0"/>
        <v>2239.2000000000003</v>
      </c>
      <c r="F12" s="522">
        <v>2131820000</v>
      </c>
      <c r="G12" s="522" t="s">
        <v>1362</v>
      </c>
      <c r="J12" s="535"/>
      <c r="L12" s="535"/>
    </row>
    <row r="13" spans="1:12" ht="18">
      <c r="A13" s="574">
        <v>7</v>
      </c>
      <c r="B13" s="519" t="s">
        <v>1417</v>
      </c>
      <c r="C13" s="572">
        <f>'BILA-LAIN'!P7/1000000</f>
        <v>861</v>
      </c>
      <c r="D13" s="572">
        <f>'BILA-LAIN'!P14/1000000</f>
        <v>242.30799999999999</v>
      </c>
      <c r="E13" s="573">
        <f t="shared" si="0"/>
        <v>1103.308</v>
      </c>
      <c r="F13" s="522">
        <v>1987373100</v>
      </c>
      <c r="G13" s="522">
        <v>602300000</v>
      </c>
      <c r="J13" s="535"/>
      <c r="L13" s="535"/>
    </row>
    <row r="14" spans="1:12" ht="18">
      <c r="A14" s="512" t="s">
        <v>40</v>
      </c>
      <c r="B14" s="513" t="s">
        <v>1418</v>
      </c>
      <c r="C14" s="569">
        <f>SUM(C15:C20)</f>
        <v>7523.2449999999999</v>
      </c>
      <c r="D14" s="569">
        <f>SUM(D15:D20)</f>
        <v>3761.4159</v>
      </c>
      <c r="E14" s="516">
        <f>SUM(E15:E20)</f>
        <v>11284.660900000001</v>
      </c>
      <c r="F14" s="517">
        <f>SUM(F15:F22)</f>
        <v>1760983500</v>
      </c>
      <c r="G14" s="524">
        <f>SUM(G15:G22)</f>
        <v>84413300</v>
      </c>
    </row>
    <row r="15" spans="1:12" ht="18">
      <c r="A15" s="574">
        <v>1</v>
      </c>
      <c r="B15" s="519" t="s">
        <v>62</v>
      </c>
      <c r="C15" s="572">
        <f>BD!P7/1000000</f>
        <v>3295.3649999999998</v>
      </c>
      <c r="D15" s="572">
        <f>BD!P36/1000000</f>
        <v>1255.5999999999999</v>
      </c>
      <c r="E15" s="573">
        <f t="shared" ref="E15:E22" si="1">C15+D15</f>
        <v>4550.9650000000001</v>
      </c>
      <c r="F15" s="525" t="s">
        <v>1362</v>
      </c>
      <c r="G15" s="525" t="s">
        <v>1362</v>
      </c>
      <c r="J15" s="535"/>
      <c r="L15" s="535"/>
    </row>
    <row r="16" spans="1:12" ht="18">
      <c r="A16" s="574">
        <v>2</v>
      </c>
      <c r="B16" s="519" t="s">
        <v>117</v>
      </c>
      <c r="C16" s="572">
        <f>ADB!P7/1000000</f>
        <v>2380</v>
      </c>
      <c r="D16" s="572">
        <f>ADB!P25/1000000</f>
        <v>204.15020000000001</v>
      </c>
      <c r="E16" s="573">
        <f t="shared" si="1"/>
        <v>2584.1502</v>
      </c>
      <c r="F16" s="525">
        <v>1346842600</v>
      </c>
      <c r="G16" s="525" t="s">
        <v>1362</v>
      </c>
      <c r="J16" s="535"/>
      <c r="L16" s="535"/>
    </row>
    <row r="17" spans="1:12" ht="18">
      <c r="A17" s="574">
        <v>3</v>
      </c>
      <c r="B17" s="519" t="s">
        <v>58</v>
      </c>
      <c r="C17" s="572">
        <f>IDB!P7/1000000</f>
        <v>1083</v>
      </c>
      <c r="D17" s="572">
        <f>IDB!P17/1000000</f>
        <v>1003</v>
      </c>
      <c r="E17" s="573">
        <f t="shared" si="1"/>
        <v>2086</v>
      </c>
      <c r="F17" s="525">
        <v>414140900</v>
      </c>
      <c r="G17" s="525">
        <f>(60851400+23561900)</f>
        <v>84413300</v>
      </c>
      <c r="J17" s="535"/>
      <c r="L17" s="535"/>
    </row>
    <row r="18" spans="1:12" ht="18">
      <c r="A18" s="574">
        <v>4</v>
      </c>
      <c r="B18" s="519" t="s">
        <v>1154</v>
      </c>
      <c r="C18" s="572">
        <f>('MULTI-Lain'!P10+'MULTI-Lain'!P16)/1000000</f>
        <v>414.88</v>
      </c>
      <c r="D18" s="572">
        <f>('MULTI-Lain'!P26+'MULTI-Lain'!P27+'MULTI-Lain'!P30+'MULTI-Lain'!P33+'MULTI-Lain'!P34)/1000000</f>
        <v>1199.7656999999999</v>
      </c>
      <c r="E18" s="573">
        <f t="shared" si="1"/>
        <v>1614.6457</v>
      </c>
      <c r="F18" s="525" t="s">
        <v>1362</v>
      </c>
      <c r="G18" s="525" t="s">
        <v>1362</v>
      </c>
      <c r="J18" s="535"/>
      <c r="L18" s="535"/>
    </row>
    <row r="19" spans="1:12" ht="18">
      <c r="A19" s="574">
        <v>5</v>
      </c>
      <c r="B19" s="519" t="s">
        <v>636</v>
      </c>
      <c r="C19" s="572">
        <f>'MULTI-Lain'!P11/1000000</f>
        <v>250</v>
      </c>
      <c r="D19" s="575">
        <v>0</v>
      </c>
      <c r="E19" s="573">
        <f t="shared" si="1"/>
        <v>250</v>
      </c>
      <c r="F19" s="525" t="s">
        <v>1362</v>
      </c>
      <c r="G19" s="525" t="s">
        <v>1362</v>
      </c>
      <c r="J19" s="535"/>
      <c r="L19" s="535"/>
    </row>
    <row r="20" spans="1:12" ht="18">
      <c r="A20" s="574">
        <v>6</v>
      </c>
      <c r="B20" s="519" t="s">
        <v>170</v>
      </c>
      <c r="C20" s="572">
        <f>'MULTI-Lain'!P18/1000000</f>
        <v>100</v>
      </c>
      <c r="D20" s="572">
        <f>('MULTI-Lain'!P36+'MULTI-Lain'!P37)/1000000</f>
        <v>98.9</v>
      </c>
      <c r="E20" s="573">
        <f t="shared" si="1"/>
        <v>198.9</v>
      </c>
      <c r="F20" s="525" t="s">
        <v>1362</v>
      </c>
      <c r="G20" s="525" t="s">
        <v>1362</v>
      </c>
      <c r="J20" s="535"/>
      <c r="L20" s="535"/>
    </row>
    <row r="21" spans="1:12" ht="18">
      <c r="A21" s="512" t="s">
        <v>51</v>
      </c>
      <c r="B21" s="513" t="s">
        <v>1419</v>
      </c>
      <c r="C21" s="569">
        <f>C22</f>
        <v>5207.4291199999998</v>
      </c>
      <c r="D21" s="576">
        <f>D22</f>
        <v>1018.4012</v>
      </c>
      <c r="E21" s="516">
        <f t="shared" si="1"/>
        <v>6225.83032</v>
      </c>
      <c r="F21" s="525" t="s">
        <v>1362</v>
      </c>
      <c r="G21" s="525" t="s">
        <v>1362</v>
      </c>
      <c r="J21" s="535"/>
      <c r="L21" s="535"/>
    </row>
    <row r="22" spans="1:12" ht="18">
      <c r="A22" s="574">
        <v>1</v>
      </c>
      <c r="B22" s="519" t="s">
        <v>1420</v>
      </c>
      <c r="C22" s="577">
        <f>'NO LENDER'!P7/1000000</f>
        <v>5207.4291199999998</v>
      </c>
      <c r="D22" s="578">
        <f>'NO LENDER'!P52/1000000</f>
        <v>1018.4012</v>
      </c>
      <c r="E22" s="573">
        <f t="shared" si="1"/>
        <v>6225.83032</v>
      </c>
      <c r="F22" s="525" t="s">
        <v>1362</v>
      </c>
      <c r="G22" s="525" t="s">
        <v>1362</v>
      </c>
      <c r="J22" s="535"/>
      <c r="L22" s="535"/>
    </row>
    <row r="23" spans="1:12" ht="18">
      <c r="A23" s="528"/>
      <c r="B23" s="529" t="s">
        <v>477</v>
      </c>
      <c r="C23" s="579">
        <f>C6+C14+C21</f>
        <v>33178.957600000002</v>
      </c>
      <c r="D23" s="531">
        <f>D6+D14+D21</f>
        <v>5449.7391000000007</v>
      </c>
      <c r="E23" s="532">
        <f>E6+E14+E21</f>
        <v>38628.696700000008</v>
      </c>
      <c r="F23" s="533">
        <f>F6+F14</f>
        <v>22135627500</v>
      </c>
      <c r="G23" s="534">
        <f>G6+G14</f>
        <v>861713300</v>
      </c>
    </row>
    <row r="25" spans="1:12">
      <c r="A25" t="s">
        <v>1330</v>
      </c>
    </row>
    <row r="26" spans="1:12">
      <c r="A26" t="s">
        <v>1421</v>
      </c>
      <c r="E26" s="544">
        <f>'REKAP KL'!D42-'REKAP LENDER'!E23</f>
        <v>1507.7643999999927</v>
      </c>
    </row>
    <row r="27" spans="1:12">
      <c r="A27" t="s">
        <v>1422</v>
      </c>
    </row>
    <row r="28" spans="1:12" ht="30.75" customHeight="1">
      <c r="A28" s="3900" t="s">
        <v>1423</v>
      </c>
      <c r="B28" s="3900"/>
      <c r="C28" s="3900"/>
      <c r="D28" s="3900"/>
      <c r="E28" s="3900"/>
    </row>
  </sheetData>
  <mergeCells count="9">
    <mergeCell ref="A1:G1"/>
    <mergeCell ref="A2:G2"/>
    <mergeCell ref="F4:G4"/>
    <mergeCell ref="A28:E28"/>
    <mergeCell ref="A4:A5"/>
    <mergeCell ref="B4:B5"/>
    <mergeCell ref="C4:C5"/>
    <mergeCell ref="D4:D5"/>
    <mergeCell ref="E4:E5"/>
  </mergeCells>
  <pageMargins left="0.69930555555555596" right="0.69930555555555596" top="0.75" bottom="0.75" header="0.3" footer="0.3"/>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2:N42"/>
  <sheetViews>
    <sheetView zoomScale="60" zoomScaleNormal="60" workbookViewId="0">
      <selection activeCell="N39" sqref="N39"/>
    </sheetView>
  </sheetViews>
  <sheetFormatPr defaultColWidth="9" defaultRowHeight="15"/>
  <cols>
    <col min="1" max="1" width="8.28515625" customWidth="1"/>
    <col min="2" max="2" width="63.7109375" customWidth="1"/>
    <col min="3" max="3" width="13.5703125" customWidth="1"/>
    <col min="4" max="4" width="17" customWidth="1"/>
    <col min="5" max="6" width="16.85546875" customWidth="1"/>
    <col min="8" max="8" width="11.28515625" customWidth="1"/>
    <col min="9" max="10" width="9.140625" customWidth="1"/>
    <col min="11" max="11" width="15.5703125" customWidth="1"/>
    <col min="12" max="12" width="18.28515625" customWidth="1"/>
    <col min="14" max="14" width="19.140625" customWidth="1"/>
  </cols>
  <sheetData>
    <row r="2" spans="1:14" ht="20.25">
      <c r="A2" s="3696" t="s">
        <v>1424</v>
      </c>
      <c r="B2" s="3697"/>
      <c r="C2" s="3697"/>
      <c r="D2" s="3697"/>
      <c r="E2" s="3697"/>
      <c r="F2" s="3697"/>
    </row>
    <row r="3" spans="1:14" ht="18">
      <c r="A3" s="3698" t="s">
        <v>1425</v>
      </c>
      <c r="B3" s="3697"/>
      <c r="C3" s="3697"/>
      <c r="D3" s="3697"/>
      <c r="E3" s="3697"/>
      <c r="F3" s="3697"/>
    </row>
    <row r="4" spans="1:14" ht="18">
      <c r="A4" s="3698" t="s">
        <v>1357</v>
      </c>
      <c r="B4" s="3697"/>
      <c r="C4" s="3697"/>
      <c r="D4" s="3697"/>
      <c r="E4" s="3697"/>
      <c r="F4" s="3697"/>
    </row>
    <row r="5" spans="1:14" ht="18">
      <c r="A5" s="536"/>
      <c r="B5" s="536"/>
      <c r="C5" s="536"/>
      <c r="D5" s="506"/>
      <c r="E5" s="506"/>
      <c r="F5" s="506"/>
    </row>
    <row r="6" spans="1:14" ht="18">
      <c r="A6" s="3906" t="s">
        <v>517</v>
      </c>
      <c r="B6" s="3907"/>
      <c r="C6" s="3905" t="s">
        <v>1426</v>
      </c>
      <c r="D6" s="3902" t="s">
        <v>1360</v>
      </c>
      <c r="E6" s="3700"/>
      <c r="F6" s="3701"/>
    </row>
    <row r="7" spans="1:14" ht="18">
      <c r="A7" s="3908"/>
      <c r="B7" s="3909"/>
      <c r="C7" s="3707"/>
      <c r="D7" s="537" t="s">
        <v>493</v>
      </c>
      <c r="E7" s="537" t="s">
        <v>487</v>
      </c>
      <c r="F7" s="538" t="s">
        <v>477</v>
      </c>
    </row>
    <row r="8" spans="1:14" ht="18">
      <c r="A8" s="3903" t="s">
        <v>17</v>
      </c>
      <c r="B8" s="3904"/>
      <c r="C8" s="539">
        <f>C9+C19+C23</f>
        <v>88</v>
      </c>
      <c r="D8" s="540">
        <f t="shared" ref="D8:E8" si="0">D9+D19+D23</f>
        <v>34686.721999999994</v>
      </c>
      <c r="E8" s="540">
        <f t="shared" si="0"/>
        <v>5193.1602000000003</v>
      </c>
      <c r="F8" s="541">
        <f>E8+D8</f>
        <v>39879.882199999993</v>
      </c>
    </row>
    <row r="9" spans="1:14" ht="18">
      <c r="A9" s="3910" t="s">
        <v>1427</v>
      </c>
      <c r="B9" s="3904"/>
      <c r="C9" s="542">
        <f>C10+C16+C17+C18</f>
        <v>75</v>
      </c>
      <c r="D9" s="543">
        <f>D10+D16+D17+D18</f>
        <v>29329.121999999996</v>
      </c>
      <c r="E9" s="543">
        <f>E10+E16+E17+E18</f>
        <v>4223.6502</v>
      </c>
      <c r="F9" s="541">
        <f t="shared" ref="F9:F41" si="1">E9+D9</f>
        <v>33552.772199999992</v>
      </c>
      <c r="H9" s="544">
        <v>19439.508999999998</v>
      </c>
    </row>
    <row r="10" spans="1:14" ht="18">
      <c r="A10" s="545">
        <v>1</v>
      </c>
      <c r="B10" s="546" t="str">
        <f>'ALL-USD40.1M'!L9</f>
        <v>Kementerian Pekerjaan Umum dan Perumahan Rakyat</v>
      </c>
      <c r="C10" s="547">
        <f>SUM(C11:C15)</f>
        <v>61</v>
      </c>
      <c r="D10" s="548">
        <f t="shared" ref="D10:D42" si="2">H9</f>
        <v>19439.508999999998</v>
      </c>
      <c r="E10" s="549">
        <f>SUM(E11:E15)</f>
        <v>2680.3125</v>
      </c>
      <c r="F10" s="541">
        <f t="shared" si="1"/>
        <v>22119.821499999998</v>
      </c>
      <c r="H10" s="544">
        <v>4455</v>
      </c>
      <c r="J10" s="544">
        <f t="shared" ref="J10:J42" si="3">D10/1000000</f>
        <v>1.9439508999999997E-2</v>
      </c>
    </row>
    <row r="11" spans="1:14" ht="18">
      <c r="A11" s="550"/>
      <c r="B11" s="551" t="s">
        <v>1428</v>
      </c>
      <c r="C11" s="552">
        <v>13</v>
      </c>
      <c r="D11" s="553">
        <f t="shared" si="2"/>
        <v>4455</v>
      </c>
      <c r="E11" s="554">
        <f>L11/1000000</f>
        <v>577.75</v>
      </c>
      <c r="F11" s="541">
        <f t="shared" si="1"/>
        <v>5032.75</v>
      </c>
      <c r="H11" s="544">
        <v>7681.08</v>
      </c>
      <c r="J11" s="544">
        <f t="shared" si="3"/>
        <v>4.4549999999999998E-3</v>
      </c>
      <c r="L11" s="535">
        <f>'ALL-USD40.1M'!Q10+'ALL-USD40.1M'!Q14+'ALL-USD40.1M'!Q20</f>
        <v>577750000</v>
      </c>
      <c r="N11" s="535">
        <f>'ALL-USD40.1M'!Q10+'ALL-USD40.1M'!Q14+'ALL-USD40.1M'!Q20</f>
        <v>577750000</v>
      </c>
    </row>
    <row r="12" spans="1:14" ht="18">
      <c r="A12" s="555"/>
      <c r="B12" s="551" t="s">
        <v>1429</v>
      </c>
      <c r="C12" s="552">
        <v>16</v>
      </c>
      <c r="D12" s="553">
        <f t="shared" si="2"/>
        <v>7681.08</v>
      </c>
      <c r="E12" s="554">
        <f t="shared" ref="E12:E41" si="4">L12/1000000</f>
        <v>376.73899999999998</v>
      </c>
      <c r="F12" s="541">
        <f t="shared" si="1"/>
        <v>8057.8189999999995</v>
      </c>
      <c r="H12" s="544">
        <v>6557.4290000000001</v>
      </c>
      <c r="J12" s="544">
        <f t="shared" si="3"/>
        <v>7.6810799999999999E-3</v>
      </c>
      <c r="L12" s="535">
        <f>'ALL-USD40.1M'!Q29+'ALL-USD40.1M'!Q42+'ALL-USD40.1M'!Q54+'ALL-USD40.1M'!Q57+'ALL-USD40.1M'!Q62</f>
        <v>376739000</v>
      </c>
    </row>
    <row r="13" spans="1:14" ht="18">
      <c r="A13" s="555"/>
      <c r="B13" s="551" t="s">
        <v>1430</v>
      </c>
      <c r="C13" s="552">
        <v>30</v>
      </c>
      <c r="D13" s="553">
        <f t="shared" si="2"/>
        <v>6557.4290000000001</v>
      </c>
      <c r="E13" s="554">
        <f t="shared" si="4"/>
        <v>1685.8235</v>
      </c>
      <c r="F13" s="541">
        <f t="shared" si="1"/>
        <v>8243.2525000000005</v>
      </c>
      <c r="H13" s="544">
        <v>296</v>
      </c>
      <c r="J13" s="544">
        <f t="shared" si="3"/>
        <v>6.557429E-3</v>
      </c>
      <c r="L13" s="535">
        <f>'ALL-USD40.1M'!Q65+'ALL-USD40.1M'!Q76+'ALL-USD40.1M'!Q80+'ALL-USD40.1M'!Q93+'ALL-USD40.1M'!Q101</f>
        <v>1685823500</v>
      </c>
    </row>
    <row r="14" spans="1:14" ht="18">
      <c r="A14" s="556"/>
      <c r="B14" s="551" t="s">
        <v>1431</v>
      </c>
      <c r="C14" s="552">
        <v>1</v>
      </c>
      <c r="D14" s="553">
        <f t="shared" si="2"/>
        <v>296</v>
      </c>
      <c r="E14" s="554">
        <f t="shared" si="4"/>
        <v>40</v>
      </c>
      <c r="F14" s="541">
        <f t="shared" si="1"/>
        <v>336</v>
      </c>
      <c r="H14" s="544">
        <v>450</v>
      </c>
      <c r="J14" s="544">
        <f t="shared" si="3"/>
        <v>2.9599999999999998E-4</v>
      </c>
      <c r="L14" s="535">
        <f>'ALL-USD40.1M'!Q104</f>
        <v>40000000</v>
      </c>
    </row>
    <row r="15" spans="1:14" ht="36">
      <c r="A15" s="556"/>
      <c r="B15" s="557" t="s">
        <v>1432</v>
      </c>
      <c r="C15" s="552">
        <v>1</v>
      </c>
      <c r="D15" s="553">
        <f t="shared" si="2"/>
        <v>450</v>
      </c>
      <c r="E15" s="554">
        <f t="shared" si="4"/>
        <v>0</v>
      </c>
      <c r="F15" s="541">
        <f t="shared" si="1"/>
        <v>450</v>
      </c>
      <c r="H15" s="544">
        <v>9313.6129999999994</v>
      </c>
      <c r="J15" s="544">
        <f t="shared" si="3"/>
        <v>4.4999999999999999E-4</v>
      </c>
      <c r="L15" s="535">
        <f>'ALL-USD40.1M'!Q106</f>
        <v>0</v>
      </c>
    </row>
    <row r="16" spans="1:14" ht="18">
      <c r="A16" s="545">
        <v>2</v>
      </c>
      <c r="B16" s="546" t="s">
        <v>255</v>
      </c>
      <c r="C16" s="547">
        <v>11</v>
      </c>
      <c r="D16" s="548">
        <f t="shared" si="2"/>
        <v>9313.6129999999994</v>
      </c>
      <c r="E16" s="554">
        <f t="shared" si="4"/>
        <v>1478.8377</v>
      </c>
      <c r="F16" s="541">
        <f t="shared" si="1"/>
        <v>10792.450699999999</v>
      </c>
      <c r="H16" s="544">
        <v>556</v>
      </c>
      <c r="J16" s="544">
        <f t="shared" si="3"/>
        <v>9.3136130000000001E-3</v>
      </c>
      <c r="L16" s="535">
        <f>'ALL-USD40.1M'!Q111</f>
        <v>1478837700</v>
      </c>
    </row>
    <row r="17" spans="1:12" ht="18">
      <c r="A17" s="545">
        <v>3</v>
      </c>
      <c r="B17" s="546" t="s">
        <v>285</v>
      </c>
      <c r="C17" s="547">
        <v>2</v>
      </c>
      <c r="D17" s="548">
        <f t="shared" si="2"/>
        <v>556</v>
      </c>
      <c r="E17" s="554">
        <f t="shared" si="4"/>
        <v>61</v>
      </c>
      <c r="F17" s="541">
        <f t="shared" si="1"/>
        <v>617</v>
      </c>
      <c r="H17" s="544">
        <v>20</v>
      </c>
      <c r="J17" s="544">
        <f t="shared" si="3"/>
        <v>5.5599999999999996E-4</v>
      </c>
      <c r="L17" s="535">
        <f>'ALL-USD40.1M'!Q127</f>
        <v>61000000</v>
      </c>
    </row>
    <row r="18" spans="1:12" ht="18">
      <c r="A18" s="545">
        <v>4</v>
      </c>
      <c r="B18" s="546" t="s">
        <v>304</v>
      </c>
      <c r="C18" s="547">
        <v>1</v>
      </c>
      <c r="D18" s="548">
        <f t="shared" si="2"/>
        <v>20</v>
      </c>
      <c r="E18" s="554">
        <f t="shared" si="4"/>
        <v>3.5</v>
      </c>
      <c r="F18" s="541">
        <f t="shared" si="1"/>
        <v>23.5</v>
      </c>
      <c r="H18" s="544">
        <v>5071</v>
      </c>
      <c r="J18" s="544">
        <f t="shared" si="3"/>
        <v>2.0000000000000002E-5</v>
      </c>
      <c r="L18" s="535">
        <f>'ALL-USD40.1M'!Q131</f>
        <v>3500000</v>
      </c>
    </row>
    <row r="19" spans="1:12" ht="18">
      <c r="A19" s="3910" t="s">
        <v>1433</v>
      </c>
      <c r="B19" s="3904"/>
      <c r="C19" s="558">
        <f>C20+C21+C22</f>
        <v>11</v>
      </c>
      <c r="D19" s="559">
        <f t="shared" si="2"/>
        <v>5071</v>
      </c>
      <c r="E19" s="554">
        <f>SUM(E20:E22)</f>
        <v>863</v>
      </c>
      <c r="F19" s="541">
        <f t="shared" si="1"/>
        <v>5934</v>
      </c>
      <c r="H19" s="544">
        <v>4271</v>
      </c>
      <c r="J19" s="544">
        <f t="shared" si="3"/>
        <v>5.071E-3</v>
      </c>
    </row>
    <row r="20" spans="1:12" ht="18">
      <c r="A20" s="545">
        <v>1</v>
      </c>
      <c r="B20" s="546" t="s">
        <v>311</v>
      </c>
      <c r="C20" s="547">
        <v>8</v>
      </c>
      <c r="D20" s="548">
        <f t="shared" si="2"/>
        <v>4271</v>
      </c>
      <c r="E20" s="554">
        <f t="shared" si="4"/>
        <v>843</v>
      </c>
      <c r="F20" s="541">
        <f t="shared" si="1"/>
        <v>5114</v>
      </c>
      <c r="H20" s="544">
        <v>600</v>
      </c>
      <c r="J20" s="544">
        <f t="shared" si="3"/>
        <v>4.2709999999999996E-3</v>
      </c>
      <c r="L20" s="535">
        <f>'ALL-USD40.1M'!Q134</f>
        <v>843000000</v>
      </c>
    </row>
    <row r="21" spans="1:12" ht="18">
      <c r="A21" s="545">
        <v>2</v>
      </c>
      <c r="B21" s="560" t="s">
        <v>950</v>
      </c>
      <c r="C21" s="547">
        <v>2</v>
      </c>
      <c r="D21" s="548">
        <f t="shared" si="2"/>
        <v>600</v>
      </c>
      <c r="E21" s="554">
        <f t="shared" si="4"/>
        <v>0</v>
      </c>
      <c r="F21" s="541">
        <f t="shared" si="1"/>
        <v>600</v>
      </c>
      <c r="H21" s="544">
        <v>200</v>
      </c>
      <c r="J21" s="544">
        <f t="shared" si="3"/>
        <v>5.9999999999999995E-4</v>
      </c>
      <c r="L21" s="535">
        <f>'ALL-USD40.1M'!Q151</f>
        <v>0</v>
      </c>
    </row>
    <row r="22" spans="1:12" ht="18">
      <c r="A22" s="545">
        <v>3</v>
      </c>
      <c r="B22" s="546" t="s">
        <v>249</v>
      </c>
      <c r="C22" s="547">
        <v>1</v>
      </c>
      <c r="D22" s="548">
        <f t="shared" si="2"/>
        <v>200</v>
      </c>
      <c r="E22" s="554">
        <f t="shared" si="4"/>
        <v>20</v>
      </c>
      <c r="F22" s="541">
        <f t="shared" si="1"/>
        <v>220</v>
      </c>
      <c r="H22" s="544">
        <v>286.60000000000002</v>
      </c>
      <c r="J22" s="544">
        <f t="shared" si="3"/>
        <v>2.0000000000000001E-4</v>
      </c>
      <c r="L22" s="535">
        <f>'ALL-USD40.1M'!Q108</f>
        <v>20000000</v>
      </c>
    </row>
    <row r="23" spans="1:12" ht="18">
      <c r="A23" s="3910" t="s">
        <v>1434</v>
      </c>
      <c r="B23" s="3904"/>
      <c r="C23" s="542">
        <f>C24+C25</f>
        <v>2</v>
      </c>
      <c r="D23" s="561">
        <f t="shared" si="2"/>
        <v>286.60000000000002</v>
      </c>
      <c r="E23" s="554">
        <f>E24+E25</f>
        <v>106.51</v>
      </c>
      <c r="F23" s="541">
        <f t="shared" si="1"/>
        <v>393.11</v>
      </c>
      <c r="H23" s="544">
        <v>225</v>
      </c>
      <c r="J23" s="544">
        <f t="shared" si="3"/>
        <v>2.8660000000000003E-4</v>
      </c>
    </row>
    <row r="24" spans="1:12" ht="18">
      <c r="A24" s="545">
        <v>1</v>
      </c>
      <c r="B24" s="546" t="s">
        <v>946</v>
      </c>
      <c r="C24" s="547">
        <v>1</v>
      </c>
      <c r="D24" s="548">
        <f t="shared" si="2"/>
        <v>225</v>
      </c>
      <c r="E24" s="554">
        <f t="shared" si="4"/>
        <v>0</v>
      </c>
      <c r="F24" s="541">
        <f t="shared" si="1"/>
        <v>225</v>
      </c>
      <c r="H24" s="544">
        <v>61.6</v>
      </c>
      <c r="J24" s="544">
        <f t="shared" si="3"/>
        <v>2.2499999999999999E-4</v>
      </c>
      <c r="L24" s="535">
        <f>'ALL-USD40.1M'!Q148</f>
        <v>0</v>
      </c>
    </row>
    <row r="25" spans="1:12" ht="18">
      <c r="A25" s="545">
        <v>2</v>
      </c>
      <c r="B25" s="546" t="s">
        <v>426</v>
      </c>
      <c r="C25" s="547">
        <v>1</v>
      </c>
      <c r="D25" s="548">
        <f t="shared" si="2"/>
        <v>61.6</v>
      </c>
      <c r="E25" s="554">
        <f t="shared" si="4"/>
        <v>106.51</v>
      </c>
      <c r="F25" s="541">
        <f t="shared" si="1"/>
        <v>168.11</v>
      </c>
      <c r="H25" s="544">
        <v>5449.7390999999998</v>
      </c>
      <c r="J25" s="544">
        <f t="shared" si="3"/>
        <v>6.1600000000000007E-5</v>
      </c>
      <c r="L25" s="535">
        <f>'ALL-USD40.1M'!Q145</f>
        <v>106510000</v>
      </c>
    </row>
    <row r="26" spans="1:12" ht="18">
      <c r="A26" s="562" t="s">
        <v>352</v>
      </c>
      <c r="B26" s="563"/>
      <c r="C26" s="564">
        <f>C27+C40</f>
        <v>23</v>
      </c>
      <c r="D26" s="541">
        <f t="shared" si="2"/>
        <v>5449.7390999999998</v>
      </c>
      <c r="E26" s="541">
        <f>E27+E40</f>
        <v>475.45910000000003</v>
      </c>
      <c r="F26" s="541">
        <f t="shared" si="1"/>
        <v>5925.1981999999998</v>
      </c>
      <c r="H26" s="544">
        <v>5342.9390999999996</v>
      </c>
      <c r="J26" s="544">
        <f t="shared" si="3"/>
        <v>5.4497390999999999E-3</v>
      </c>
    </row>
    <row r="27" spans="1:12" ht="18">
      <c r="A27" s="3910" t="s">
        <v>1427</v>
      </c>
      <c r="B27" s="3904"/>
      <c r="C27" s="542">
        <f>SUM(C28:C39)</f>
        <v>22</v>
      </c>
      <c r="D27" s="561">
        <f t="shared" si="2"/>
        <v>5342.9390999999996</v>
      </c>
      <c r="E27" s="561">
        <f>SUM(E28:E39)</f>
        <v>464.75910000000005</v>
      </c>
      <c r="F27" s="541">
        <f t="shared" si="1"/>
        <v>5807.6981999999998</v>
      </c>
      <c r="H27" s="544">
        <v>1746</v>
      </c>
      <c r="J27" s="544">
        <f t="shared" si="3"/>
        <v>5.3429390999999993E-3</v>
      </c>
    </row>
    <row r="28" spans="1:12" ht="18">
      <c r="A28" s="545">
        <v>1</v>
      </c>
      <c r="B28" s="546" t="s">
        <v>406</v>
      </c>
      <c r="C28" s="547">
        <v>4</v>
      </c>
      <c r="D28" s="548">
        <f t="shared" si="2"/>
        <v>1746</v>
      </c>
      <c r="E28" s="554">
        <f t="shared" si="4"/>
        <v>174.6</v>
      </c>
      <c r="F28" s="541">
        <f t="shared" si="1"/>
        <v>1920.6</v>
      </c>
      <c r="H28" s="544">
        <v>1445.7426</v>
      </c>
      <c r="J28" s="544">
        <f t="shared" si="3"/>
        <v>1.7459999999999999E-3</v>
      </c>
      <c r="L28" s="535">
        <f>'ALL-USD40.1M'!Q188</f>
        <v>174600000</v>
      </c>
    </row>
    <row r="29" spans="1:12" ht="18">
      <c r="A29" s="545">
        <v>2</v>
      </c>
      <c r="B29" s="546" t="s">
        <v>430</v>
      </c>
      <c r="C29" s="547">
        <v>4</v>
      </c>
      <c r="D29" s="548">
        <f t="shared" si="2"/>
        <v>1445.7426</v>
      </c>
      <c r="E29" s="554">
        <f t="shared" si="4"/>
        <v>154.46430000000001</v>
      </c>
      <c r="F29" s="541">
        <f t="shared" si="1"/>
        <v>1600.2069000000001</v>
      </c>
      <c r="H29" s="544">
        <v>414.14089999999999</v>
      </c>
      <c r="J29" s="544">
        <f t="shared" si="3"/>
        <v>1.4457426000000001E-3</v>
      </c>
      <c r="L29" s="535">
        <f>'ALL-USD40.1M'!Q202</f>
        <v>154464300</v>
      </c>
    </row>
    <row r="30" spans="1:12" ht="18">
      <c r="A30" s="545">
        <v>3</v>
      </c>
      <c r="B30" s="546" t="s">
        <v>377</v>
      </c>
      <c r="C30" s="547">
        <v>1</v>
      </c>
      <c r="D30" s="548">
        <f t="shared" si="2"/>
        <v>414.14089999999999</v>
      </c>
      <c r="E30" s="554">
        <f t="shared" si="4"/>
        <v>60.851399999999998</v>
      </c>
      <c r="F30" s="541">
        <f t="shared" si="1"/>
        <v>474.9923</v>
      </c>
      <c r="H30" s="544">
        <v>350.39760000000001</v>
      </c>
      <c r="J30" s="544">
        <f t="shared" si="3"/>
        <v>4.141409E-4</v>
      </c>
      <c r="L30" s="535">
        <f>'ALL-USD40.1M'!Q168</f>
        <v>60851400</v>
      </c>
    </row>
    <row r="31" spans="1:12" ht="18">
      <c r="A31" s="545">
        <v>4</v>
      </c>
      <c r="B31" s="546" t="s">
        <v>354</v>
      </c>
      <c r="C31" s="547">
        <v>1</v>
      </c>
      <c r="D31" s="548">
        <f t="shared" si="2"/>
        <v>350.39760000000001</v>
      </c>
      <c r="E31" s="554">
        <f t="shared" si="4"/>
        <v>38.932400000000001</v>
      </c>
      <c r="F31" s="541">
        <f t="shared" si="1"/>
        <v>389.33000000000004</v>
      </c>
      <c r="H31" s="544">
        <v>325</v>
      </c>
      <c r="J31" s="544">
        <f t="shared" si="3"/>
        <v>3.503976E-4</v>
      </c>
      <c r="L31" s="535">
        <f>'ALL-USD40.1M'!Q157</f>
        <v>38932400</v>
      </c>
    </row>
    <row r="32" spans="1:12" ht="18">
      <c r="A32" s="545">
        <v>5</v>
      </c>
      <c r="B32" s="546" t="s">
        <v>400</v>
      </c>
      <c r="C32" s="547">
        <v>2</v>
      </c>
      <c r="D32" s="548">
        <f t="shared" si="2"/>
        <v>325</v>
      </c>
      <c r="E32" s="554">
        <f t="shared" si="4"/>
        <v>0</v>
      </c>
      <c r="F32" s="541">
        <f t="shared" si="1"/>
        <v>325</v>
      </c>
      <c r="H32" s="544">
        <v>290</v>
      </c>
      <c r="J32" s="544">
        <f t="shared" si="3"/>
        <v>3.2499999999999999E-4</v>
      </c>
      <c r="L32" s="535">
        <f>'ALL-USD40.1M'!Q182</f>
        <v>0</v>
      </c>
    </row>
    <row r="33" spans="1:12" ht="18">
      <c r="A33" s="545">
        <v>6</v>
      </c>
      <c r="B33" s="546" t="s">
        <v>1047</v>
      </c>
      <c r="C33" s="547">
        <v>4</v>
      </c>
      <c r="D33" s="548">
        <f t="shared" si="2"/>
        <v>290</v>
      </c>
      <c r="E33" s="554">
        <f t="shared" si="4"/>
        <v>0</v>
      </c>
      <c r="F33" s="541">
        <f t="shared" si="1"/>
        <v>290</v>
      </c>
      <c r="H33" s="544">
        <v>200</v>
      </c>
      <c r="J33" s="544">
        <f t="shared" si="3"/>
        <v>2.9E-4</v>
      </c>
      <c r="L33" s="535">
        <f>'ALL-USD40.1M'!Q217</f>
        <v>0</v>
      </c>
    </row>
    <row r="34" spans="1:12" ht="18">
      <c r="A34" s="545">
        <v>7</v>
      </c>
      <c r="B34" s="546" t="s">
        <v>1435</v>
      </c>
      <c r="C34" s="547">
        <v>1</v>
      </c>
      <c r="D34" s="548">
        <f t="shared" si="2"/>
        <v>200</v>
      </c>
      <c r="E34" s="554">
        <f t="shared" si="4"/>
        <v>0</v>
      </c>
      <c r="F34" s="541">
        <f t="shared" si="1"/>
        <v>200</v>
      </c>
      <c r="H34" s="544">
        <v>150</v>
      </c>
      <c r="J34" s="544">
        <f t="shared" si="3"/>
        <v>2.0000000000000001E-4</v>
      </c>
      <c r="L34" s="535">
        <f>'ALL-USD40.1M'!Q233</f>
        <v>0</v>
      </c>
    </row>
    <row r="35" spans="1:12" ht="18">
      <c r="A35" s="545">
        <v>8</v>
      </c>
      <c r="B35" s="546" t="s">
        <v>1055</v>
      </c>
      <c r="C35" s="547">
        <v>1</v>
      </c>
      <c r="D35" s="548">
        <f t="shared" si="2"/>
        <v>150</v>
      </c>
      <c r="E35" s="554">
        <f t="shared" si="4"/>
        <v>9</v>
      </c>
      <c r="F35" s="541">
        <f t="shared" si="1"/>
        <v>159</v>
      </c>
      <c r="H35" s="544">
        <v>114.4</v>
      </c>
      <c r="J35" s="544">
        <f t="shared" si="3"/>
        <v>1.4999999999999999E-4</v>
      </c>
      <c r="L35" s="535">
        <f>'ALL-USD40.1M'!Q227</f>
        <v>9000000</v>
      </c>
    </row>
    <row r="36" spans="1:12" ht="18">
      <c r="A36" s="545">
        <v>9</v>
      </c>
      <c r="B36" s="546" t="s">
        <v>1062</v>
      </c>
      <c r="C36" s="547">
        <v>1</v>
      </c>
      <c r="D36" s="548">
        <f t="shared" si="2"/>
        <v>114.4</v>
      </c>
      <c r="E36" s="554">
        <f t="shared" si="4"/>
        <v>17.2</v>
      </c>
      <c r="F36" s="541">
        <f t="shared" si="1"/>
        <v>131.6</v>
      </c>
      <c r="H36" s="544">
        <v>107.95</v>
      </c>
      <c r="J36" s="544">
        <f t="shared" si="3"/>
        <v>1.144E-4</v>
      </c>
      <c r="L36" s="535">
        <f>'ALL-USD40.1M'!Q230</f>
        <v>17200000</v>
      </c>
    </row>
    <row r="37" spans="1:12" ht="18">
      <c r="A37" s="545">
        <v>10</v>
      </c>
      <c r="B37" s="546" t="s">
        <v>1436</v>
      </c>
      <c r="C37" s="547">
        <v>1</v>
      </c>
      <c r="D37" s="548">
        <f t="shared" si="2"/>
        <v>107.95</v>
      </c>
      <c r="E37" s="554">
        <f t="shared" si="4"/>
        <v>2.95</v>
      </c>
      <c r="F37" s="541">
        <f t="shared" si="1"/>
        <v>110.9</v>
      </c>
      <c r="H37" s="544">
        <v>107</v>
      </c>
      <c r="J37" s="544">
        <f t="shared" si="3"/>
        <v>1.0795000000000001E-4</v>
      </c>
      <c r="L37" s="535">
        <f>'ALL-USD40.1M'!Q236</f>
        <v>2950000</v>
      </c>
    </row>
    <row r="38" spans="1:12" ht="18">
      <c r="A38" s="545">
        <v>11</v>
      </c>
      <c r="B38" s="546" t="s">
        <v>449</v>
      </c>
      <c r="C38" s="547">
        <v>1</v>
      </c>
      <c r="D38" s="548">
        <f t="shared" si="2"/>
        <v>107</v>
      </c>
      <c r="E38" s="554">
        <f t="shared" si="4"/>
        <v>4.2610000000000001</v>
      </c>
      <c r="F38" s="541">
        <f t="shared" si="1"/>
        <v>111.261</v>
      </c>
      <c r="H38" s="544">
        <v>92.308000000000007</v>
      </c>
      <c r="J38" s="544">
        <f t="shared" si="3"/>
        <v>1.07E-4</v>
      </c>
      <c r="L38" s="535">
        <f>'ALL-USD40.1M'!Q214</f>
        <v>4261000</v>
      </c>
    </row>
    <row r="39" spans="1:12" ht="18">
      <c r="A39" s="545">
        <v>12</v>
      </c>
      <c r="B39" s="546" t="s">
        <v>1037</v>
      </c>
      <c r="C39" s="547">
        <v>1</v>
      </c>
      <c r="D39" s="548">
        <f t="shared" si="2"/>
        <v>92.308000000000007</v>
      </c>
      <c r="E39" s="554">
        <f t="shared" si="4"/>
        <v>2.5</v>
      </c>
      <c r="F39" s="541">
        <f t="shared" si="1"/>
        <v>94.808000000000007</v>
      </c>
      <c r="H39" s="544">
        <v>106.8</v>
      </c>
      <c r="J39" s="544">
        <f t="shared" si="3"/>
        <v>9.2308000000000011E-5</v>
      </c>
      <c r="L39" s="535">
        <f>'ALL-USD40.1M'!Q211</f>
        <v>2500000</v>
      </c>
    </row>
    <row r="40" spans="1:12" ht="18">
      <c r="A40" s="541" t="s">
        <v>1434</v>
      </c>
      <c r="B40" s="541"/>
      <c r="C40" s="564">
        <f>C41</f>
        <v>1</v>
      </c>
      <c r="D40" s="541">
        <f t="shared" si="2"/>
        <v>106.8</v>
      </c>
      <c r="E40" s="541">
        <f>E41</f>
        <v>10.7</v>
      </c>
      <c r="F40" s="541">
        <f t="shared" si="1"/>
        <v>117.5</v>
      </c>
      <c r="H40" s="544">
        <v>106.8</v>
      </c>
      <c r="J40" s="544">
        <f t="shared" si="3"/>
        <v>1.0679999999999999E-4</v>
      </c>
    </row>
    <row r="41" spans="1:12" ht="18">
      <c r="A41" s="545">
        <v>1</v>
      </c>
      <c r="B41" s="546" t="s">
        <v>1437</v>
      </c>
      <c r="C41" s="547">
        <v>1</v>
      </c>
      <c r="D41" s="548">
        <f t="shared" si="2"/>
        <v>106.8</v>
      </c>
      <c r="E41" s="554">
        <f t="shared" si="4"/>
        <v>10.7</v>
      </c>
      <c r="F41" s="541">
        <f t="shared" si="1"/>
        <v>117.5</v>
      </c>
      <c r="H41" s="544">
        <v>40136.4611</v>
      </c>
      <c r="J41" s="544">
        <f t="shared" si="3"/>
        <v>1.0679999999999999E-4</v>
      </c>
      <c r="L41" s="535">
        <f>'ALL-USD40.1M'!Q199</f>
        <v>10700000</v>
      </c>
    </row>
    <row r="42" spans="1:12" ht="18">
      <c r="A42" s="3911" t="s">
        <v>477</v>
      </c>
      <c r="B42" s="3912"/>
      <c r="C42" s="565">
        <f>C26+C8</f>
        <v>111</v>
      </c>
      <c r="D42" s="566">
        <f t="shared" si="2"/>
        <v>40136.4611</v>
      </c>
      <c r="E42" s="567">
        <f t="shared" ref="E42:F42" si="5">E26+E8</f>
        <v>5668.6193000000003</v>
      </c>
      <c r="F42" s="568">
        <f t="shared" si="5"/>
        <v>45805.080399999992</v>
      </c>
      <c r="J42" s="544">
        <f t="shared" si="3"/>
        <v>4.01364611E-2</v>
      </c>
    </row>
  </sheetData>
  <mergeCells count="12">
    <mergeCell ref="A9:B9"/>
    <mergeCell ref="A19:B19"/>
    <mergeCell ref="A23:B23"/>
    <mergeCell ref="A27:B27"/>
    <mergeCell ref="A42:B42"/>
    <mergeCell ref="A2:F2"/>
    <mergeCell ref="A3:F3"/>
    <mergeCell ref="A4:F4"/>
    <mergeCell ref="D6:F6"/>
    <mergeCell ref="A8:B8"/>
    <mergeCell ref="C6:C7"/>
    <mergeCell ref="A6:B7"/>
  </mergeCells>
  <pageMargins left="0.69930555555555596" right="0.69930555555555596" top="0.75" bottom="0.75" header="0.3" footer="0.3"/>
  <pageSetup paperSize="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M47"/>
  <sheetViews>
    <sheetView topLeftCell="A2" zoomScale="60" zoomScaleNormal="60" workbookViewId="0">
      <selection activeCell="A34" sqref="A34"/>
    </sheetView>
  </sheetViews>
  <sheetFormatPr defaultColWidth="9" defaultRowHeight="15"/>
  <cols>
    <col min="1" max="1" width="6.85546875" customWidth="1"/>
    <col min="2" max="2" width="58.140625" customWidth="1"/>
    <col min="3" max="3" width="16.5703125" customWidth="1"/>
    <col min="4" max="4" width="24.7109375" customWidth="1"/>
    <col min="5" max="5" width="19" customWidth="1"/>
    <col min="6" max="6" width="21.7109375" customWidth="1"/>
    <col min="7" max="8" width="9" hidden="1" customWidth="1"/>
    <col min="11" max="11" width="21.28515625" customWidth="1"/>
    <col min="13" max="13" width="21.42578125" customWidth="1"/>
  </cols>
  <sheetData>
    <row r="1" spans="1:13" ht="20.25">
      <c r="A1" s="3696" t="s">
        <v>1355</v>
      </c>
      <c r="B1" s="3697"/>
      <c r="C1" s="3697"/>
      <c r="D1" s="3697"/>
      <c r="E1" s="3697"/>
      <c r="F1" s="3697"/>
      <c r="G1" s="3697"/>
      <c r="H1" s="3697"/>
    </row>
    <row r="2" spans="1:13" ht="18">
      <c r="A2" s="3698" t="s">
        <v>1356</v>
      </c>
      <c r="B2" s="3697"/>
      <c r="C2" s="3697"/>
      <c r="D2" s="3697"/>
      <c r="E2" s="3697"/>
      <c r="F2" s="3697"/>
      <c r="G2" s="3697"/>
      <c r="H2" s="3697"/>
    </row>
    <row r="3" spans="1:13" ht="18">
      <c r="A3" s="3698" t="s">
        <v>1357</v>
      </c>
      <c r="B3" s="3697"/>
      <c r="C3" s="3697"/>
      <c r="D3" s="3697"/>
      <c r="E3" s="3697"/>
      <c r="F3" s="3697"/>
      <c r="G3" s="3697"/>
      <c r="H3" s="3697"/>
    </row>
    <row r="4" spans="1:13" ht="18">
      <c r="A4" s="504"/>
      <c r="B4" s="505"/>
      <c r="C4" s="505"/>
      <c r="D4" s="506"/>
      <c r="E4" s="506"/>
      <c r="F4" s="506"/>
      <c r="G4" s="507"/>
      <c r="H4" s="507"/>
    </row>
    <row r="5" spans="1:13">
      <c r="A5" s="3704" t="s">
        <v>1324</v>
      </c>
      <c r="B5" s="3706" t="s">
        <v>1358</v>
      </c>
      <c r="C5" s="3706" t="s">
        <v>1359</v>
      </c>
      <c r="D5" s="3699" t="s">
        <v>1360</v>
      </c>
      <c r="E5" s="3700"/>
      <c r="F5" s="3701"/>
      <c r="G5" s="3702" t="s">
        <v>1360</v>
      </c>
      <c r="H5" s="3703"/>
    </row>
    <row r="6" spans="1:13" ht="72">
      <c r="A6" s="3705"/>
      <c r="B6" s="3707"/>
      <c r="C6" s="3707"/>
      <c r="D6" s="508" t="s">
        <v>1361</v>
      </c>
      <c r="E6" s="508" t="s">
        <v>487</v>
      </c>
      <c r="F6" s="509" t="s">
        <v>477</v>
      </c>
      <c r="G6" s="510" t="s">
        <v>1361</v>
      </c>
      <c r="H6" s="511" t="s">
        <v>487</v>
      </c>
    </row>
    <row r="7" spans="1:13" ht="18">
      <c r="A7" s="512" t="s">
        <v>185</v>
      </c>
      <c r="B7" s="513" t="s">
        <v>17</v>
      </c>
      <c r="C7" s="514"/>
      <c r="D7" s="515">
        <f>SUM(D8:D28)</f>
        <v>34686.721999999994</v>
      </c>
      <c r="E7" s="515">
        <f>SUM(E8:E28)</f>
        <v>5193.1601999999993</v>
      </c>
      <c r="F7" s="516">
        <f>E7+D7</f>
        <v>39879.882199999993</v>
      </c>
      <c r="G7" s="517">
        <f t="shared" ref="G7:H7" si="0">SUM(G8:G28)</f>
        <v>26904122000</v>
      </c>
      <c r="H7" s="517">
        <f t="shared" si="0"/>
        <v>1062874000</v>
      </c>
    </row>
    <row r="8" spans="1:13" ht="18">
      <c r="A8" s="518">
        <v>1</v>
      </c>
      <c r="B8" s="519" t="s">
        <v>258</v>
      </c>
      <c r="C8" s="520">
        <v>7</v>
      </c>
      <c r="D8" s="521">
        <f>K8/1000000</f>
        <v>7326.2398999999996</v>
      </c>
      <c r="E8" s="521">
        <f>M8/1000000</f>
        <v>876.53769999999997</v>
      </c>
      <c r="F8" s="516">
        <f t="shared" ref="F8:F47" si="1">E8+D8</f>
        <v>8202.7775999999994</v>
      </c>
      <c r="G8" s="522">
        <v>7326239900</v>
      </c>
      <c r="H8" s="522" t="s">
        <v>1362</v>
      </c>
      <c r="K8" s="535">
        <f>'ALL-USD40.1M'!Y112</f>
        <v>7326239900</v>
      </c>
      <c r="M8" s="535">
        <f>'ALL-USD40.1M'!Q112</f>
        <v>876537700</v>
      </c>
    </row>
    <row r="9" spans="1:13" ht="33">
      <c r="A9" s="523">
        <v>2</v>
      </c>
      <c r="B9" s="519" t="s">
        <v>314</v>
      </c>
      <c r="C9" s="520">
        <v>9</v>
      </c>
      <c r="D9" s="521">
        <f t="shared" ref="D9:D46" si="2">K9/1000000</f>
        <v>4332.6000000000004</v>
      </c>
      <c r="E9" s="521">
        <f t="shared" ref="E9:E46" si="3">M9/1000000</f>
        <v>949.51</v>
      </c>
      <c r="F9" s="516">
        <f t="shared" si="1"/>
        <v>5282.1100000000006</v>
      </c>
      <c r="G9" s="522" t="s">
        <v>1362</v>
      </c>
      <c r="H9" s="522" t="s">
        <v>1362</v>
      </c>
      <c r="K9" s="535">
        <f>'ALL-USD40.1M'!Y135+'ALL-USD40.1M'!Y146</f>
        <v>4332600000</v>
      </c>
      <c r="M9" s="535">
        <f>'ALL-USD40.1M'!Q135+'ALL-USD40.1M'!Q146</f>
        <v>949510000</v>
      </c>
    </row>
    <row r="10" spans="1:13" ht="33">
      <c r="A10" s="523">
        <v>3</v>
      </c>
      <c r="B10" s="519" t="s">
        <v>114</v>
      </c>
      <c r="C10" s="520">
        <v>6</v>
      </c>
      <c r="D10" s="521">
        <f t="shared" si="2"/>
        <v>3557.8</v>
      </c>
      <c r="E10" s="521">
        <f t="shared" si="3"/>
        <v>167.5</v>
      </c>
      <c r="F10" s="516">
        <f t="shared" si="1"/>
        <v>3725.3</v>
      </c>
      <c r="G10" s="522">
        <v>3557800000</v>
      </c>
      <c r="H10" s="522">
        <v>175000000</v>
      </c>
      <c r="K10" s="535">
        <f>'ALL-USD40.1M'!Y42</f>
        <v>3557800000</v>
      </c>
      <c r="M10" s="535">
        <f>'ALL-USD40.1M'!Q42</f>
        <v>167500000</v>
      </c>
    </row>
    <row r="11" spans="1:13" ht="18">
      <c r="A11" s="523">
        <v>4</v>
      </c>
      <c r="B11" s="519" t="s">
        <v>140</v>
      </c>
      <c r="C11" s="520">
        <v>4</v>
      </c>
      <c r="D11" s="521">
        <f t="shared" si="2"/>
        <v>2851.98</v>
      </c>
      <c r="E11" s="521">
        <f t="shared" si="3"/>
        <v>128.10499999999999</v>
      </c>
      <c r="F11" s="516">
        <f t="shared" si="1"/>
        <v>2980.085</v>
      </c>
      <c r="G11" s="522">
        <v>2851980000</v>
      </c>
      <c r="H11" s="522" t="s">
        <v>1362</v>
      </c>
      <c r="K11" s="535">
        <f>'ALL-USD40.1M'!Y57</f>
        <v>2851980000</v>
      </c>
      <c r="M11" s="535">
        <f>'ALL-USD40.1M'!Q57</f>
        <v>128105000</v>
      </c>
    </row>
    <row r="12" spans="1:13" ht="18">
      <c r="A12" s="523">
        <v>5</v>
      </c>
      <c r="B12" s="519" t="s">
        <v>162</v>
      </c>
      <c r="C12" s="520">
        <v>8</v>
      </c>
      <c r="D12" s="521">
        <f t="shared" si="2"/>
        <v>2519.431</v>
      </c>
      <c r="E12" s="521">
        <f t="shared" si="3"/>
        <v>357.14949999999999</v>
      </c>
      <c r="F12" s="516">
        <f t="shared" si="1"/>
        <v>2876.5805</v>
      </c>
      <c r="G12" s="522">
        <v>2519431000</v>
      </c>
      <c r="H12" s="522" t="s">
        <v>1362</v>
      </c>
      <c r="K12" s="535">
        <f>'ALL-USD40.1M'!Y65</f>
        <v>2519431000</v>
      </c>
      <c r="M12" s="535">
        <f>'ALL-USD40.1M'!Q65</f>
        <v>357149500</v>
      </c>
    </row>
    <row r="13" spans="1:13" ht="18">
      <c r="A13" s="523">
        <v>6</v>
      </c>
      <c r="B13" s="519" t="s">
        <v>195</v>
      </c>
      <c r="C13" s="520">
        <v>11</v>
      </c>
      <c r="D13" s="521">
        <f t="shared" si="2"/>
        <v>2131.8200000000002</v>
      </c>
      <c r="E13" s="521">
        <f t="shared" si="3"/>
        <v>963.2</v>
      </c>
      <c r="F13" s="516">
        <f t="shared" si="1"/>
        <v>3095.0200000000004</v>
      </c>
      <c r="G13" s="522">
        <v>2131820000</v>
      </c>
      <c r="H13" s="522" t="s">
        <v>1362</v>
      </c>
      <c r="K13" s="535">
        <f>'ALL-USD40.1M'!Y80</f>
        <v>2131820000</v>
      </c>
      <c r="M13" s="535">
        <f>'ALL-USD40.1M'!Q80</f>
        <v>963200000</v>
      </c>
    </row>
    <row r="14" spans="1:13" ht="18">
      <c r="A14" s="523">
        <v>7</v>
      </c>
      <c r="B14" s="519" t="s">
        <v>896</v>
      </c>
      <c r="C14" s="520">
        <v>4</v>
      </c>
      <c r="D14" s="521">
        <f t="shared" si="2"/>
        <v>1987.3731</v>
      </c>
      <c r="E14" s="521">
        <f t="shared" si="3"/>
        <v>602.29999999999995</v>
      </c>
      <c r="F14" s="516">
        <f t="shared" si="1"/>
        <v>2589.6731</v>
      </c>
      <c r="G14" s="522">
        <v>1987373100</v>
      </c>
      <c r="H14" s="522">
        <v>602300000</v>
      </c>
      <c r="K14" s="535">
        <f>'ALL-USD40.1M'!Y121</f>
        <v>1987373100</v>
      </c>
      <c r="M14" s="535">
        <f>'ALL-USD40.1M'!Q121</f>
        <v>602300000</v>
      </c>
    </row>
    <row r="15" spans="1:13" ht="18">
      <c r="A15" s="523">
        <v>8</v>
      </c>
      <c r="B15" s="519" t="s">
        <v>52</v>
      </c>
      <c r="C15" s="520">
        <v>7</v>
      </c>
      <c r="D15" s="521">
        <f t="shared" si="2"/>
        <v>1705</v>
      </c>
      <c r="E15" s="521">
        <f t="shared" si="3"/>
        <v>350</v>
      </c>
      <c r="F15" s="516">
        <f t="shared" si="1"/>
        <v>2055</v>
      </c>
      <c r="G15" s="522">
        <v>1705000000</v>
      </c>
      <c r="H15" s="522" t="s">
        <v>1362</v>
      </c>
      <c r="K15" s="535">
        <f>'ALL-USD40.1M'!Y20</f>
        <v>1705000000</v>
      </c>
      <c r="M15" s="535">
        <f>'ALL-USD40.1M'!Q20</f>
        <v>350000000</v>
      </c>
    </row>
    <row r="16" spans="1:13" ht="18">
      <c r="A16" s="523">
        <v>9</v>
      </c>
      <c r="B16" s="519" t="s">
        <v>41</v>
      </c>
      <c r="C16" s="520">
        <v>5</v>
      </c>
      <c r="D16" s="521">
        <f t="shared" si="2"/>
        <v>1500</v>
      </c>
      <c r="E16" s="521">
        <f t="shared" si="3"/>
        <v>126.5</v>
      </c>
      <c r="F16" s="516">
        <f t="shared" si="1"/>
        <v>1626.5</v>
      </c>
      <c r="G16" s="522" t="s">
        <v>1362</v>
      </c>
      <c r="H16" s="522" t="s">
        <v>1362</v>
      </c>
      <c r="K16" s="535">
        <f>'ALL-USD40.1M'!Y14</f>
        <v>1500000000</v>
      </c>
      <c r="M16" s="535">
        <f>'ALL-USD40.1M'!Q14</f>
        <v>126500000</v>
      </c>
    </row>
    <row r="17" spans="1:13" ht="18">
      <c r="A17" s="523">
        <v>10</v>
      </c>
      <c r="B17" s="519" t="s">
        <v>24</v>
      </c>
      <c r="C17" s="520">
        <v>1</v>
      </c>
      <c r="D17" s="521">
        <f t="shared" si="2"/>
        <v>1250</v>
      </c>
      <c r="E17" s="521">
        <f t="shared" si="3"/>
        <v>101.25</v>
      </c>
      <c r="F17" s="516">
        <f t="shared" si="1"/>
        <v>1351.25</v>
      </c>
      <c r="G17" s="522" t="s">
        <v>1362</v>
      </c>
      <c r="H17" s="522" t="s">
        <v>1362</v>
      </c>
      <c r="K17" s="535">
        <f>'ALL-USD40.1M'!Y10</f>
        <v>1250000000</v>
      </c>
      <c r="M17" s="535">
        <f>'ALL-USD40.1M'!Q10</f>
        <v>101250000</v>
      </c>
    </row>
    <row r="18" spans="1:13" ht="18">
      <c r="A18" s="523">
        <v>11</v>
      </c>
      <c r="B18" s="519" t="s">
        <v>220</v>
      </c>
      <c r="C18" s="520">
        <v>6</v>
      </c>
      <c r="D18" s="521">
        <f t="shared" si="2"/>
        <v>884.31600000000003</v>
      </c>
      <c r="E18" s="521">
        <f t="shared" si="3"/>
        <v>84.4</v>
      </c>
      <c r="F18" s="516">
        <f t="shared" si="1"/>
        <v>968.71600000000001</v>
      </c>
      <c r="G18" s="522">
        <v>884316000</v>
      </c>
      <c r="H18" s="522" t="s">
        <v>1362</v>
      </c>
      <c r="K18" s="535">
        <f>'ALL-USD40.1M'!Y93</f>
        <v>884316000</v>
      </c>
      <c r="M18" s="535">
        <f>'ALL-USD40.1M'!Q93</f>
        <v>84400000</v>
      </c>
    </row>
    <row r="19" spans="1:13" ht="18">
      <c r="A19" s="523">
        <v>12</v>
      </c>
      <c r="B19" s="519" t="s">
        <v>73</v>
      </c>
      <c r="C19" s="520">
        <v>3</v>
      </c>
      <c r="D19" s="521">
        <f t="shared" si="2"/>
        <v>796.3</v>
      </c>
      <c r="E19" s="521">
        <f t="shared" si="3"/>
        <v>43.634</v>
      </c>
      <c r="F19" s="516">
        <f t="shared" si="1"/>
        <v>839.93399999999997</v>
      </c>
      <c r="G19" s="522">
        <v>796300000</v>
      </c>
      <c r="H19" s="522" t="s">
        <v>1362</v>
      </c>
      <c r="K19" s="535">
        <f>'ALL-USD40.1M'!Y29</f>
        <v>796300000</v>
      </c>
      <c r="M19" s="535">
        <f>'ALL-USD40.1M'!Q29</f>
        <v>43634000</v>
      </c>
    </row>
    <row r="20" spans="1:13" ht="18">
      <c r="A20" s="523">
        <v>13</v>
      </c>
      <c r="B20" s="519" t="s">
        <v>245</v>
      </c>
      <c r="C20" s="520">
        <v>2</v>
      </c>
      <c r="D20" s="521">
        <f t="shared" si="2"/>
        <v>650</v>
      </c>
      <c r="E20" s="521">
        <f t="shared" si="3"/>
        <v>20</v>
      </c>
      <c r="F20" s="516">
        <f t="shared" si="1"/>
        <v>670</v>
      </c>
      <c r="G20" s="522">
        <v>650000000</v>
      </c>
      <c r="H20" s="522">
        <v>20000000</v>
      </c>
      <c r="K20" s="535">
        <f>'ALL-USD40.1M'!Y106+'ALL-USD40.1M'!Y109</f>
        <v>650000000</v>
      </c>
      <c r="M20" s="535">
        <f>'ALL-USD40.1M'!Q106+'ALL-USD40.1M'!Q109</f>
        <v>20000000</v>
      </c>
    </row>
    <row r="21" spans="1:13" ht="18">
      <c r="A21" s="523">
        <v>14</v>
      </c>
      <c r="B21" s="519" t="s">
        <v>186</v>
      </c>
      <c r="C21" s="520">
        <v>3</v>
      </c>
      <c r="D21" s="521">
        <f t="shared" si="2"/>
        <v>621.86199999999997</v>
      </c>
      <c r="E21" s="521">
        <f t="shared" si="3"/>
        <v>201.07400000000001</v>
      </c>
      <c r="F21" s="516">
        <f t="shared" si="1"/>
        <v>822.93599999999992</v>
      </c>
      <c r="G21" s="522">
        <v>621862000</v>
      </c>
      <c r="H21" s="522">
        <v>201074000</v>
      </c>
      <c r="K21" s="535">
        <f>'ALL-USD40.1M'!Y76</f>
        <v>621862000</v>
      </c>
      <c r="M21" s="535">
        <f>'ALL-USD40.1M'!Q76</f>
        <v>201074000</v>
      </c>
    </row>
    <row r="22" spans="1:13" ht="18">
      <c r="A22" s="523">
        <v>15</v>
      </c>
      <c r="B22" s="519" t="s">
        <v>1371</v>
      </c>
      <c r="C22" s="520">
        <v>2</v>
      </c>
      <c r="D22" s="521">
        <f t="shared" si="2"/>
        <v>600</v>
      </c>
      <c r="E22" s="521">
        <f t="shared" si="3"/>
        <v>0</v>
      </c>
      <c r="F22" s="516">
        <f t="shared" si="1"/>
        <v>600</v>
      </c>
      <c r="G22" s="522">
        <v>600000000</v>
      </c>
      <c r="H22" s="522" t="s">
        <v>1362</v>
      </c>
      <c r="K22" s="535">
        <f>'ALL-USD40.1M'!Y152</f>
        <v>600000000</v>
      </c>
      <c r="M22" s="535">
        <f>'ALL-USD40.1M'!Q152</f>
        <v>0</v>
      </c>
    </row>
    <row r="23" spans="1:13" ht="33">
      <c r="A23" s="523">
        <v>16</v>
      </c>
      <c r="B23" s="519" t="s">
        <v>288</v>
      </c>
      <c r="C23" s="520">
        <v>3</v>
      </c>
      <c r="D23" s="521">
        <f t="shared" si="2"/>
        <v>576</v>
      </c>
      <c r="E23" s="521">
        <f t="shared" si="3"/>
        <v>64.5</v>
      </c>
      <c r="F23" s="516">
        <f t="shared" si="1"/>
        <v>640.5</v>
      </c>
      <c r="G23" s="522">
        <v>576000000</v>
      </c>
      <c r="H23" s="522">
        <v>64500000</v>
      </c>
      <c r="K23" s="535">
        <f>'ALL-USD40.1M'!Y128+'ALL-USD40.1M'!Y132</f>
        <v>576000000</v>
      </c>
      <c r="M23" s="535">
        <f>'ALL-USD40.1M'!Q128+'ALL-USD40.1M'!Q132</f>
        <v>64500000</v>
      </c>
    </row>
    <row r="24" spans="1:13" ht="18">
      <c r="A24" s="523">
        <v>17</v>
      </c>
      <c r="B24" s="519" t="s">
        <v>239</v>
      </c>
      <c r="C24" s="520">
        <v>2</v>
      </c>
      <c r="D24" s="521">
        <f t="shared" si="2"/>
        <v>400</v>
      </c>
      <c r="E24" s="521">
        <f t="shared" si="3"/>
        <v>80</v>
      </c>
      <c r="F24" s="516">
        <f t="shared" si="1"/>
        <v>480</v>
      </c>
      <c r="G24" s="522">
        <v>400000000</v>
      </c>
      <c r="H24" s="522" t="s">
        <v>1362</v>
      </c>
      <c r="K24" s="535">
        <f>'ALL-USD40.1M'!Y101</f>
        <v>400000000</v>
      </c>
      <c r="M24" s="535">
        <f>'ALL-USD40.1M'!Q101</f>
        <v>80000000</v>
      </c>
    </row>
    <row r="25" spans="1:13" ht="33">
      <c r="A25" s="523">
        <v>18</v>
      </c>
      <c r="B25" s="519" t="s">
        <v>1375</v>
      </c>
      <c r="C25" s="520">
        <v>1</v>
      </c>
      <c r="D25" s="521">
        <f t="shared" si="2"/>
        <v>296</v>
      </c>
      <c r="E25" s="521">
        <f t="shared" si="3"/>
        <v>40</v>
      </c>
      <c r="F25" s="516">
        <f t="shared" si="1"/>
        <v>336</v>
      </c>
      <c r="G25" s="522">
        <v>296000000</v>
      </c>
      <c r="H25" s="522" t="s">
        <v>1362</v>
      </c>
      <c r="K25" s="535">
        <f>'ALL-USD40.1M'!Y104</f>
        <v>296000000</v>
      </c>
      <c r="M25" s="535">
        <f>'ALL-USD40.1M'!Q104</f>
        <v>40000000</v>
      </c>
    </row>
    <row r="26" spans="1:13" ht="33">
      <c r="A26" s="523">
        <v>19</v>
      </c>
      <c r="B26" s="519" t="s">
        <v>132</v>
      </c>
      <c r="C26" s="520">
        <v>2</v>
      </c>
      <c r="D26" s="521">
        <f t="shared" si="2"/>
        <v>250</v>
      </c>
      <c r="E26" s="521">
        <f t="shared" si="3"/>
        <v>12.5</v>
      </c>
      <c r="F26" s="516">
        <f t="shared" si="1"/>
        <v>262.5</v>
      </c>
      <c r="G26" s="522" t="s">
        <v>1362</v>
      </c>
      <c r="H26" s="522" t="s">
        <v>1362</v>
      </c>
      <c r="K26" s="535">
        <f>'ALL-USD40.1M'!Y54</f>
        <v>250000000</v>
      </c>
      <c r="M26" s="535">
        <f>'ALL-USD40.1M'!Q54</f>
        <v>12500000</v>
      </c>
    </row>
    <row r="27" spans="1:13" ht="33">
      <c r="A27" s="523">
        <v>20</v>
      </c>
      <c r="B27" s="519" t="s">
        <v>948</v>
      </c>
      <c r="C27" s="520">
        <v>1</v>
      </c>
      <c r="D27" s="521">
        <f t="shared" si="2"/>
        <v>225</v>
      </c>
      <c r="E27" s="521">
        <f t="shared" si="3"/>
        <v>0</v>
      </c>
      <c r="F27" s="516">
        <f t="shared" si="1"/>
        <v>225</v>
      </c>
      <c r="G27" s="522" t="s">
        <v>1362</v>
      </c>
      <c r="H27" s="522" t="s">
        <v>1362</v>
      </c>
      <c r="K27" s="535">
        <f>'ALL-USD40.1M'!Y149</f>
        <v>225000000</v>
      </c>
      <c r="M27" s="535">
        <f>'ALL-USD40.1M'!Q149</f>
        <v>0</v>
      </c>
    </row>
    <row r="28" spans="1:13" ht="18">
      <c r="A28" s="523">
        <v>21</v>
      </c>
      <c r="B28" s="519" t="s">
        <v>750</v>
      </c>
      <c r="C28" s="520">
        <v>1</v>
      </c>
      <c r="D28" s="521">
        <f t="shared" si="2"/>
        <v>225</v>
      </c>
      <c r="E28" s="521">
        <f t="shared" si="3"/>
        <v>25</v>
      </c>
      <c r="F28" s="516">
        <f t="shared" si="1"/>
        <v>250</v>
      </c>
      <c r="G28" s="522" t="s">
        <v>1362</v>
      </c>
      <c r="H28" s="522" t="s">
        <v>1362</v>
      </c>
      <c r="K28" s="535">
        <f>'ALL-USD40.1M'!Y62</f>
        <v>225000000</v>
      </c>
      <c r="M28" s="535">
        <f>'ALL-USD40.1M'!Q62</f>
        <v>25000000</v>
      </c>
    </row>
    <row r="29" spans="1:13" ht="18">
      <c r="A29" s="512" t="s">
        <v>960</v>
      </c>
      <c r="B29" s="513" t="s">
        <v>352</v>
      </c>
      <c r="C29" s="516"/>
      <c r="D29" s="516">
        <f>SUM(D30:D46)</f>
        <v>5449.7390999999989</v>
      </c>
      <c r="E29" s="516">
        <f>SUM(E30:E46)</f>
        <v>475.45910000000003</v>
      </c>
      <c r="F29" s="516">
        <f t="shared" si="1"/>
        <v>5925.1981999999989</v>
      </c>
      <c r="G29" s="517">
        <f t="shared" ref="G29:H29" si="4">SUM(G30:G46)</f>
        <v>2200383500</v>
      </c>
      <c r="H29" s="524">
        <f t="shared" si="4"/>
        <v>125613300</v>
      </c>
    </row>
    <row r="30" spans="1:13" ht="18">
      <c r="A30" s="523">
        <v>22</v>
      </c>
      <c r="B30" s="519" t="s">
        <v>422</v>
      </c>
      <c r="C30" s="520">
        <v>2</v>
      </c>
      <c r="D30" s="521">
        <f t="shared" si="2"/>
        <v>1362.4</v>
      </c>
      <c r="E30" s="521">
        <f t="shared" si="3"/>
        <v>136.26</v>
      </c>
      <c r="F30" s="516">
        <f t="shared" si="1"/>
        <v>1498.66</v>
      </c>
      <c r="G30" s="525" t="s">
        <v>1362</v>
      </c>
      <c r="H30" s="525" t="s">
        <v>1362</v>
      </c>
      <c r="K30" s="535">
        <f>'ALL-USD40.1M'!Y195+'ALL-USD40.1M'!Y200</f>
        <v>1362400000</v>
      </c>
      <c r="M30" s="535">
        <f>'ALL-USD40.1M'!Q195+'ALL-USD40.1M'!Q200</f>
        <v>136260000</v>
      </c>
    </row>
    <row r="31" spans="1:13" ht="33">
      <c r="A31" s="523">
        <v>23</v>
      </c>
      <c r="B31" s="519" t="s">
        <v>433</v>
      </c>
      <c r="C31" s="520">
        <v>2</v>
      </c>
      <c r="D31" s="521">
        <f t="shared" si="2"/>
        <v>1346.8425999999999</v>
      </c>
      <c r="E31" s="521">
        <f t="shared" si="3"/>
        <v>134.68430000000001</v>
      </c>
      <c r="F31" s="516">
        <f t="shared" si="1"/>
        <v>1481.5268999999998</v>
      </c>
      <c r="G31" s="525">
        <v>1346842600</v>
      </c>
      <c r="H31" s="525" t="s">
        <v>1362</v>
      </c>
      <c r="K31" s="535">
        <f>'ALL-USD40.1M'!Y203</f>
        <v>1346842600</v>
      </c>
      <c r="M31" s="535">
        <f>'ALL-USD40.1M'!Q203</f>
        <v>134684300</v>
      </c>
    </row>
    <row r="32" spans="1:13" ht="33">
      <c r="A32" s="523">
        <v>24</v>
      </c>
      <c r="B32" s="519" t="s">
        <v>380</v>
      </c>
      <c r="C32" s="520">
        <v>1</v>
      </c>
      <c r="D32" s="521">
        <f t="shared" si="2"/>
        <v>414.14089999999999</v>
      </c>
      <c r="E32" s="521">
        <f t="shared" si="3"/>
        <v>60.851399999999998</v>
      </c>
      <c r="F32" s="516">
        <f t="shared" si="1"/>
        <v>474.9923</v>
      </c>
      <c r="G32" s="525">
        <v>414140900</v>
      </c>
      <c r="H32" s="525">
        <f>(60851400+23561900)</f>
        <v>84413300</v>
      </c>
      <c r="K32" s="535">
        <f>'ALL-USD40.1M'!Y169</f>
        <v>414140900</v>
      </c>
      <c r="M32" s="535">
        <f>'ALL-USD40.1M'!Q169</f>
        <v>60851400</v>
      </c>
    </row>
    <row r="33" spans="1:13" ht="33">
      <c r="A33" s="523">
        <v>25</v>
      </c>
      <c r="B33" s="519" t="s">
        <v>357</v>
      </c>
      <c r="C33" s="520">
        <v>1</v>
      </c>
      <c r="D33" s="521">
        <f t="shared" si="2"/>
        <v>350.39760000000001</v>
      </c>
      <c r="E33" s="521">
        <f t="shared" si="3"/>
        <v>38.932400000000001</v>
      </c>
      <c r="F33" s="516">
        <f t="shared" si="1"/>
        <v>389.33000000000004</v>
      </c>
      <c r="G33" s="525" t="s">
        <v>1362</v>
      </c>
      <c r="H33" s="525" t="s">
        <v>1362</v>
      </c>
      <c r="K33" s="535">
        <f>'ALL-USD40.1M'!Y158</f>
        <v>350397600</v>
      </c>
      <c r="M33" s="535">
        <f>'ALL-USD40.1M'!Q158</f>
        <v>38932400</v>
      </c>
    </row>
    <row r="34" spans="1:13" ht="33">
      <c r="A34" s="523">
        <v>26</v>
      </c>
      <c r="B34" s="519" t="s">
        <v>1003</v>
      </c>
      <c r="C34" s="520">
        <v>1</v>
      </c>
      <c r="D34" s="521">
        <f t="shared" si="2"/>
        <v>300</v>
      </c>
      <c r="E34" s="521">
        <f t="shared" si="3"/>
        <v>0</v>
      </c>
      <c r="F34" s="516">
        <f t="shared" si="1"/>
        <v>300</v>
      </c>
      <c r="G34" s="525" t="s">
        <v>1362</v>
      </c>
      <c r="H34" s="525" t="s">
        <v>1362</v>
      </c>
      <c r="K34" s="535">
        <f>'ALL-USD40.1M'!Y183</f>
        <v>300000000</v>
      </c>
      <c r="M34" s="535">
        <f>'ALL-USD40.1M'!Q183</f>
        <v>0</v>
      </c>
    </row>
    <row r="35" spans="1:13" ht="18">
      <c r="A35" s="523">
        <v>27</v>
      </c>
      <c r="B35" s="519" t="s">
        <v>1378</v>
      </c>
      <c r="C35" s="520">
        <v>4</v>
      </c>
      <c r="D35" s="521">
        <f t="shared" si="2"/>
        <v>290</v>
      </c>
      <c r="E35" s="521">
        <f t="shared" si="3"/>
        <v>0</v>
      </c>
      <c r="F35" s="516">
        <f t="shared" si="1"/>
        <v>290</v>
      </c>
      <c r="G35" s="525" t="s">
        <v>1362</v>
      </c>
      <c r="H35" s="525" t="s">
        <v>1362</v>
      </c>
      <c r="K35" s="535">
        <f>'ALL-USD40.1M'!Y218</f>
        <v>290000000</v>
      </c>
      <c r="M35" s="535">
        <f>'ALL-USD40.1M'!Q218</f>
        <v>0</v>
      </c>
    </row>
    <row r="36" spans="1:13" ht="33">
      <c r="A36" s="523">
        <v>28</v>
      </c>
      <c r="B36" s="519" t="s">
        <v>412</v>
      </c>
      <c r="C36" s="520">
        <v>1</v>
      </c>
      <c r="D36" s="521">
        <f t="shared" si="2"/>
        <v>240</v>
      </c>
      <c r="E36" s="521">
        <f t="shared" si="3"/>
        <v>24</v>
      </c>
      <c r="F36" s="516">
        <f t="shared" si="1"/>
        <v>264</v>
      </c>
      <c r="G36" s="525" t="s">
        <v>1362</v>
      </c>
      <c r="H36" s="525" t="s">
        <v>1362</v>
      </c>
      <c r="K36" s="535">
        <f>'ALL-USD40.1M'!Y191</f>
        <v>240000000</v>
      </c>
      <c r="M36" s="535">
        <f>'ALL-USD40.1M'!Q191</f>
        <v>24000000</v>
      </c>
    </row>
    <row r="37" spans="1:13" ht="33">
      <c r="A37" s="523">
        <v>29</v>
      </c>
      <c r="B37" s="519" t="s">
        <v>1379</v>
      </c>
      <c r="C37" s="520">
        <v>1</v>
      </c>
      <c r="D37" s="521">
        <f t="shared" si="2"/>
        <v>200</v>
      </c>
      <c r="E37" s="521">
        <f t="shared" si="3"/>
        <v>0</v>
      </c>
      <c r="F37" s="516">
        <f t="shared" si="1"/>
        <v>200</v>
      </c>
      <c r="G37" s="525" t="s">
        <v>1362</v>
      </c>
      <c r="H37" s="525" t="s">
        <v>1362</v>
      </c>
      <c r="K37" s="535">
        <f>'ALL-USD40.1M'!Y234</f>
        <v>200000000</v>
      </c>
      <c r="M37" s="535">
        <f>'ALL-USD40.1M'!Q234</f>
        <v>0</v>
      </c>
    </row>
    <row r="38" spans="1:13" ht="33">
      <c r="A38" s="523">
        <v>30</v>
      </c>
      <c r="B38" s="519" t="s">
        <v>459</v>
      </c>
      <c r="C38" s="520">
        <v>1</v>
      </c>
      <c r="D38" s="521">
        <f t="shared" si="2"/>
        <v>150</v>
      </c>
      <c r="E38" s="521">
        <f t="shared" si="3"/>
        <v>9</v>
      </c>
      <c r="F38" s="516">
        <f t="shared" si="1"/>
        <v>159</v>
      </c>
      <c r="G38" s="525">
        <v>150000000</v>
      </c>
      <c r="H38" s="525">
        <v>9000000</v>
      </c>
      <c r="K38" s="535">
        <f>'ALL-USD40.1M'!Y227</f>
        <v>150000000</v>
      </c>
      <c r="M38" s="535">
        <f>'ALL-USD40.1M'!Q226</f>
        <v>9000000</v>
      </c>
    </row>
    <row r="39" spans="1:13" ht="18">
      <c r="A39" s="523">
        <v>31</v>
      </c>
      <c r="B39" s="519" t="s">
        <v>408</v>
      </c>
      <c r="C39" s="520">
        <v>1</v>
      </c>
      <c r="D39" s="521">
        <f t="shared" si="2"/>
        <v>150</v>
      </c>
      <c r="E39" s="521">
        <f t="shared" si="3"/>
        <v>15</v>
      </c>
      <c r="F39" s="516">
        <f t="shared" si="1"/>
        <v>165</v>
      </c>
      <c r="G39" s="525">
        <v>150000000</v>
      </c>
      <c r="H39" s="525">
        <v>15000000</v>
      </c>
      <c r="K39" s="535">
        <f>'ALL-USD40.1M'!Y189</f>
        <v>150000000</v>
      </c>
      <c r="M39" s="535">
        <f>'ALL-USD40.1M'!Q189</f>
        <v>15000000</v>
      </c>
    </row>
    <row r="40" spans="1:13" ht="18">
      <c r="A40" s="523">
        <v>32</v>
      </c>
      <c r="B40" s="519" t="s">
        <v>469</v>
      </c>
      <c r="C40" s="520">
        <v>1</v>
      </c>
      <c r="D40" s="521">
        <f t="shared" si="2"/>
        <v>114.4</v>
      </c>
      <c r="E40" s="521">
        <f t="shared" si="3"/>
        <v>17.2</v>
      </c>
      <c r="F40" s="516">
        <f t="shared" si="1"/>
        <v>131.6</v>
      </c>
      <c r="G40" s="525">
        <v>114400000</v>
      </c>
      <c r="H40" s="525">
        <v>17200000</v>
      </c>
      <c r="K40" s="535">
        <f>'ALL-USD40.1M'!Y231</f>
        <v>114400000</v>
      </c>
      <c r="M40" s="535">
        <f>'ALL-USD40.1M'!Q231</f>
        <v>17200000</v>
      </c>
    </row>
    <row r="41" spans="1:13" ht="18">
      <c r="A41" s="523">
        <v>33</v>
      </c>
      <c r="B41" s="519" t="s">
        <v>1380</v>
      </c>
      <c r="C41" s="520">
        <v>1</v>
      </c>
      <c r="D41" s="521">
        <f t="shared" si="2"/>
        <v>107.95</v>
      </c>
      <c r="E41" s="521">
        <f t="shared" si="3"/>
        <v>2.95</v>
      </c>
      <c r="F41" s="516">
        <f t="shared" si="1"/>
        <v>110.9</v>
      </c>
      <c r="G41" s="525" t="s">
        <v>1362</v>
      </c>
      <c r="H41" s="525" t="s">
        <v>1362</v>
      </c>
      <c r="K41" s="535">
        <f>'ALL-USD40.1M'!Y237</f>
        <v>107950000</v>
      </c>
      <c r="M41" s="535">
        <f>'ALL-USD40.1M'!Q237</f>
        <v>2950000</v>
      </c>
    </row>
    <row r="42" spans="1:13" ht="18">
      <c r="A42" s="523">
        <v>34</v>
      </c>
      <c r="B42" s="519" t="s">
        <v>451</v>
      </c>
      <c r="C42" s="520">
        <v>1</v>
      </c>
      <c r="D42" s="521">
        <f t="shared" si="2"/>
        <v>107</v>
      </c>
      <c r="E42" s="521">
        <f t="shared" si="3"/>
        <v>4.2610000000000001</v>
      </c>
      <c r="F42" s="516">
        <f t="shared" si="1"/>
        <v>111.261</v>
      </c>
      <c r="G42" s="525" t="s">
        <v>1362</v>
      </c>
      <c r="H42" s="525" t="s">
        <v>1362</v>
      </c>
      <c r="K42" s="535">
        <f>'ALL-USD40.1M'!Y215</f>
        <v>107000000</v>
      </c>
      <c r="M42" s="535">
        <f>'ALL-USD40.1M'!Q215</f>
        <v>4261000</v>
      </c>
    </row>
    <row r="43" spans="1:13" ht="33">
      <c r="A43" s="523">
        <v>35</v>
      </c>
      <c r="B43" s="519" t="s">
        <v>417</v>
      </c>
      <c r="C43" s="520">
        <v>1</v>
      </c>
      <c r="D43" s="521">
        <f t="shared" si="2"/>
        <v>100.4</v>
      </c>
      <c r="E43" s="521">
        <f t="shared" si="3"/>
        <v>10.039999999999999</v>
      </c>
      <c r="F43" s="516">
        <f t="shared" si="1"/>
        <v>110.44</v>
      </c>
      <c r="G43" s="525" t="s">
        <v>1362</v>
      </c>
      <c r="H43" s="525" t="s">
        <v>1362</v>
      </c>
      <c r="K43" s="535">
        <f>'ALL-USD40.1M'!Y193</f>
        <v>100400000</v>
      </c>
      <c r="M43" s="535">
        <f>'ALL-USD40.1M'!Q193</f>
        <v>10040000</v>
      </c>
    </row>
    <row r="44" spans="1:13" ht="33">
      <c r="A44" s="523">
        <v>36</v>
      </c>
      <c r="B44" s="519" t="s">
        <v>438</v>
      </c>
      <c r="C44" s="520">
        <v>2</v>
      </c>
      <c r="D44" s="521">
        <f t="shared" si="2"/>
        <v>98.9</v>
      </c>
      <c r="E44" s="521">
        <f t="shared" si="3"/>
        <v>19.78</v>
      </c>
      <c r="F44" s="516">
        <f t="shared" si="1"/>
        <v>118.68</v>
      </c>
      <c r="G44" s="525" t="s">
        <v>1362</v>
      </c>
      <c r="H44" s="525" t="s">
        <v>1362</v>
      </c>
      <c r="K44" s="535">
        <f>'ALL-USD40.1M'!Y208</f>
        <v>98900000</v>
      </c>
      <c r="M44" s="535">
        <f>'ALL-USD40.1M'!Q208</f>
        <v>19780000</v>
      </c>
    </row>
    <row r="45" spans="1:13" ht="18">
      <c r="A45" s="523">
        <v>37</v>
      </c>
      <c r="B45" s="519" t="s">
        <v>446</v>
      </c>
      <c r="C45" s="520">
        <v>1</v>
      </c>
      <c r="D45" s="521">
        <f t="shared" si="2"/>
        <v>92.308000000000007</v>
      </c>
      <c r="E45" s="521">
        <f t="shared" si="3"/>
        <v>2.5</v>
      </c>
      <c r="F45" s="516">
        <f t="shared" si="1"/>
        <v>94.808000000000007</v>
      </c>
      <c r="G45" s="525" t="s">
        <v>1362</v>
      </c>
      <c r="H45" s="525" t="s">
        <v>1362</v>
      </c>
      <c r="K45" s="535">
        <f>'ALL-USD40.1M'!Y212</f>
        <v>92308000</v>
      </c>
      <c r="M45" s="535">
        <f>'ALL-USD40.1M'!Q212</f>
        <v>2500000</v>
      </c>
    </row>
    <row r="46" spans="1:13" ht="18">
      <c r="A46" s="523">
        <v>38</v>
      </c>
      <c r="B46" s="526" t="s">
        <v>1243</v>
      </c>
      <c r="C46" s="520">
        <v>1</v>
      </c>
      <c r="D46" s="521">
        <f t="shared" si="2"/>
        <v>25</v>
      </c>
      <c r="E46" s="521">
        <f t="shared" si="3"/>
        <v>0</v>
      </c>
      <c r="F46" s="516">
        <f t="shared" si="1"/>
        <v>25</v>
      </c>
      <c r="G46" s="525">
        <v>25000000</v>
      </c>
      <c r="H46" s="527">
        <v>0</v>
      </c>
      <c r="K46" s="535">
        <f>'ALL-USD40.1M'!Y186</f>
        <v>25000000</v>
      </c>
      <c r="M46" s="535">
        <f>'ALL-USD40.1M'!Q186</f>
        <v>0</v>
      </c>
    </row>
    <row r="47" spans="1:13" ht="18">
      <c r="A47" s="528"/>
      <c r="B47" s="529" t="s">
        <v>477</v>
      </c>
      <c r="C47" s="530">
        <f>SUM(C8:C46)</f>
        <v>111</v>
      </c>
      <c r="D47" s="531">
        <f>D29+D7</f>
        <v>40136.461099999993</v>
      </c>
      <c r="E47" s="531">
        <f>E29+E7</f>
        <v>5668.6192999999994</v>
      </c>
      <c r="F47" s="532">
        <f t="shared" si="1"/>
        <v>45805.080399999992</v>
      </c>
      <c r="G47" s="533">
        <f t="shared" ref="G47:H47" si="5">G7+G29</f>
        <v>29104505500</v>
      </c>
      <c r="H47" s="534">
        <f t="shared" si="5"/>
        <v>1188487300</v>
      </c>
    </row>
  </sheetData>
  <mergeCells count="8">
    <mergeCell ref="A1:H1"/>
    <mergeCell ref="A2:H2"/>
    <mergeCell ref="A3:H3"/>
    <mergeCell ref="D5:F5"/>
    <mergeCell ref="G5:H5"/>
    <mergeCell ref="A5:A6"/>
    <mergeCell ref="B5:B6"/>
    <mergeCell ref="C5:C6"/>
  </mergeCells>
  <pageMargins left="0.69930555555555596" right="0.69930555555555596" top="0.75" bottom="0.75" header="0.3" footer="0.3"/>
  <pageSetup paperSize="9"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AF69"/>
  <sheetViews>
    <sheetView topLeftCell="J1" zoomScale="77" zoomScaleNormal="77" workbookViewId="0">
      <pane ySplit="8" topLeftCell="A9" activePane="bottomLeft" state="frozen"/>
      <selection pane="bottomLeft" activeCell="AI7" sqref="AI7"/>
    </sheetView>
  </sheetViews>
  <sheetFormatPr defaultColWidth="9.140625" defaultRowHeight="12.75"/>
  <cols>
    <col min="1" max="2" width="9.140625" style="297" hidden="1" customWidth="1"/>
    <col min="3" max="3" width="20.28515625" style="297" hidden="1" customWidth="1"/>
    <col min="4" max="4" width="9.140625" style="297" hidden="1" customWidth="1"/>
    <col min="5" max="5" width="20.28515625" style="297" hidden="1" customWidth="1"/>
    <col min="6" max="6" width="14.5703125" style="297" hidden="1" customWidth="1"/>
    <col min="7" max="7" width="3.28515625" style="297" hidden="1" customWidth="1"/>
    <col min="8" max="8" width="55.7109375" style="297" hidden="1" customWidth="1"/>
    <col min="9" max="9" width="9.140625" style="297" hidden="1" customWidth="1"/>
    <col min="10" max="10" width="3.28515625" style="298" customWidth="1"/>
    <col min="11" max="11" width="4.140625" style="297" customWidth="1"/>
    <col min="12" max="12" width="3.28515625" style="297" customWidth="1"/>
    <col min="13" max="13" width="5.5703125" style="297" customWidth="1"/>
    <col min="14" max="14" width="43.7109375" style="296" customWidth="1"/>
    <col min="15" max="16" width="9.140625" style="297" hidden="1" customWidth="1"/>
    <col min="17" max="17" width="19.85546875" style="297" hidden="1" customWidth="1"/>
    <col min="18" max="18" width="21" style="299" hidden="1" customWidth="1"/>
    <col min="19" max="19" width="18.7109375" style="300" hidden="1" customWidth="1"/>
    <col min="20" max="20" width="21.85546875" style="299" hidden="1" customWidth="1"/>
    <col min="21" max="21" width="21" style="299" hidden="1" customWidth="1"/>
    <col min="22" max="22" width="28.5703125" style="299" hidden="1" customWidth="1"/>
    <col min="23" max="24" width="21.42578125" style="296" hidden="1" customWidth="1"/>
    <col min="25" max="25" width="18.5703125" style="296" hidden="1" customWidth="1"/>
    <col min="26" max="26" width="28.42578125" style="296" hidden="1" customWidth="1"/>
    <col min="27" max="27" width="21.5703125" style="300" hidden="1" customWidth="1"/>
    <col min="28" max="28" width="22.42578125" style="300" hidden="1" customWidth="1"/>
    <col min="29" max="29" width="21.5703125" style="300" hidden="1" customWidth="1"/>
    <col min="30" max="30" width="20.42578125" style="297" customWidth="1"/>
    <col min="31" max="31" width="26.42578125" style="297" customWidth="1"/>
    <col min="32" max="32" width="29.7109375" style="297" customWidth="1"/>
    <col min="33" max="16384" width="9.140625" style="297"/>
  </cols>
  <sheetData>
    <row r="1" spans="1:32" s="290" customFormat="1" ht="18.75">
      <c r="J1" s="3913" t="s">
        <v>1438</v>
      </c>
      <c r="K1" s="3913"/>
      <c r="L1" s="3913"/>
      <c r="M1" s="3913"/>
      <c r="N1" s="3913"/>
      <c r="O1" s="3913"/>
      <c r="P1" s="3913"/>
      <c r="Q1" s="3913"/>
      <c r="R1" s="3913"/>
      <c r="S1" s="3913"/>
      <c r="T1" s="3913"/>
      <c r="U1" s="3913"/>
      <c r="V1" s="3913"/>
      <c r="W1" s="3913"/>
      <c r="X1" s="3913"/>
      <c r="Y1" s="3913"/>
      <c r="Z1" s="3913"/>
      <c r="AA1" s="3913"/>
      <c r="AB1" s="3913"/>
      <c r="AC1" s="3913"/>
      <c r="AD1" s="3913"/>
      <c r="AE1" s="3913"/>
      <c r="AF1" s="3913"/>
    </row>
    <row r="2" spans="1:32" s="290" customFormat="1" ht="15.75" customHeight="1">
      <c r="J2" s="3914" t="s">
        <v>1439</v>
      </c>
      <c r="K2" s="3914"/>
      <c r="L2" s="3914"/>
      <c r="M2" s="3914"/>
      <c r="N2" s="3914"/>
      <c r="O2" s="3914"/>
      <c r="P2" s="3914"/>
      <c r="Q2" s="3914"/>
      <c r="R2" s="3914"/>
      <c r="S2" s="3914"/>
      <c r="T2" s="3914"/>
      <c r="U2" s="3914"/>
      <c r="V2" s="3914"/>
      <c r="W2" s="3914"/>
      <c r="X2" s="3914"/>
      <c r="Y2" s="3914"/>
      <c r="Z2" s="3914"/>
      <c r="AA2" s="3914"/>
      <c r="AB2" s="3914"/>
      <c r="AC2" s="3914"/>
      <c r="AD2" s="3914"/>
      <c r="AE2" s="3914"/>
      <c r="AF2" s="3914"/>
    </row>
    <row r="3" spans="1:32" s="290" customFormat="1" ht="15.75" customHeight="1">
      <c r="J3" s="301"/>
      <c r="K3" s="301"/>
      <c r="L3" s="301"/>
      <c r="M3" s="301"/>
      <c r="N3" s="301"/>
      <c r="O3" s="301"/>
      <c r="P3" s="301"/>
      <c r="Q3" s="301"/>
      <c r="R3" s="301"/>
      <c r="S3" s="301"/>
      <c r="T3" s="301"/>
      <c r="U3" s="301"/>
      <c r="V3" s="301"/>
      <c r="W3" s="301"/>
      <c r="X3" s="301"/>
      <c r="Y3" s="301"/>
      <c r="Z3" s="301"/>
      <c r="AA3" s="301"/>
      <c r="AB3" s="301"/>
      <c r="AC3" s="301"/>
      <c r="AD3" s="301"/>
      <c r="AE3" s="301"/>
      <c r="AF3" s="301"/>
    </row>
    <row r="4" spans="1:32">
      <c r="AF4" s="382" t="s">
        <v>483</v>
      </c>
    </row>
    <row r="5" spans="1:32" s="291" customFormat="1" ht="24.95" customHeight="1">
      <c r="J5" s="3951" t="s">
        <v>2</v>
      </c>
      <c r="K5" s="3945"/>
      <c r="L5" s="3945"/>
      <c r="M5" s="3945"/>
      <c r="N5" s="3945"/>
      <c r="O5" s="302"/>
      <c r="P5" s="302"/>
      <c r="Q5" s="337"/>
      <c r="R5" s="3920" t="s">
        <v>485</v>
      </c>
      <c r="S5" s="338" t="s">
        <v>7</v>
      </c>
      <c r="T5" s="339"/>
      <c r="U5" s="339"/>
      <c r="V5" s="339"/>
      <c r="W5" s="3955" t="s">
        <v>1440</v>
      </c>
      <c r="X5" s="3955"/>
      <c r="Y5" s="3955"/>
      <c r="Z5" s="3956"/>
      <c r="AA5" s="3959" t="s">
        <v>1086</v>
      </c>
      <c r="AB5" s="3960"/>
      <c r="AC5" s="3961"/>
      <c r="AD5" s="3944" t="s">
        <v>1441</v>
      </c>
      <c r="AE5" s="3945"/>
      <c r="AF5" s="3946"/>
    </row>
    <row r="6" spans="1:32" s="291" customFormat="1" ht="24.95" customHeight="1">
      <c r="J6" s="3952"/>
      <c r="K6" s="3953"/>
      <c r="L6" s="3953"/>
      <c r="M6" s="3953"/>
      <c r="N6" s="3953"/>
      <c r="O6" s="303"/>
      <c r="P6" s="303"/>
      <c r="Q6" s="340"/>
      <c r="R6" s="3921"/>
      <c r="S6" s="3915" t="s">
        <v>1088</v>
      </c>
      <c r="T6" s="3916"/>
      <c r="U6" s="3916"/>
      <c r="V6" s="3917"/>
      <c r="W6" s="3957"/>
      <c r="X6" s="3957"/>
      <c r="Y6" s="3957"/>
      <c r="Z6" s="3958"/>
      <c r="AA6" s="3962"/>
      <c r="AB6" s="3963"/>
      <c r="AC6" s="3964"/>
      <c r="AD6" s="3947"/>
      <c r="AE6" s="3948"/>
      <c r="AF6" s="3949"/>
    </row>
    <row r="7" spans="1:32" s="291" customFormat="1" ht="68.25" customHeight="1">
      <c r="J7" s="3954"/>
      <c r="K7" s="3948"/>
      <c r="L7" s="3948"/>
      <c r="M7" s="3948"/>
      <c r="N7" s="3948"/>
      <c r="O7" s="304"/>
      <c r="P7" s="304"/>
      <c r="Q7" s="341"/>
      <c r="R7" s="3922"/>
      <c r="S7" s="342" t="s">
        <v>11</v>
      </c>
      <c r="T7" s="343" t="s">
        <v>1115</v>
      </c>
      <c r="U7" s="343" t="s">
        <v>1116</v>
      </c>
      <c r="V7" s="344" t="s">
        <v>509</v>
      </c>
      <c r="W7" s="342" t="s">
        <v>1115</v>
      </c>
      <c r="X7" s="345" t="s">
        <v>1116</v>
      </c>
      <c r="Y7" s="387" t="s">
        <v>510</v>
      </c>
      <c r="Z7" s="344" t="s">
        <v>511</v>
      </c>
      <c r="AA7" s="342" t="s">
        <v>1091</v>
      </c>
      <c r="AB7" s="387" t="s">
        <v>15</v>
      </c>
      <c r="AC7" s="388" t="s">
        <v>511</v>
      </c>
      <c r="AD7" s="342" t="s">
        <v>1442</v>
      </c>
      <c r="AE7" s="387" t="s">
        <v>541</v>
      </c>
      <c r="AF7" s="385" t="s">
        <v>10</v>
      </c>
    </row>
    <row r="8" spans="1:32">
      <c r="J8" s="305"/>
      <c r="K8" s="306"/>
      <c r="L8" s="306"/>
      <c r="M8" s="306"/>
      <c r="N8" s="307"/>
      <c r="O8" s="308"/>
      <c r="P8" s="308"/>
      <c r="Q8" s="346"/>
      <c r="R8" s="347"/>
      <c r="S8" s="348"/>
      <c r="T8" s="349"/>
      <c r="U8" s="349"/>
      <c r="V8" s="350"/>
      <c r="W8" s="349"/>
      <c r="X8" s="349"/>
      <c r="Y8" s="349"/>
      <c r="Z8" s="350"/>
      <c r="AA8" s="491"/>
      <c r="AB8" s="392"/>
      <c r="AC8" s="393"/>
      <c r="AD8" s="394"/>
      <c r="AE8" s="370"/>
      <c r="AF8" s="395"/>
    </row>
    <row r="9" spans="1:32" s="292" customFormat="1" ht="30" customHeight="1">
      <c r="A9" s="292" t="s">
        <v>21</v>
      </c>
      <c r="B9" s="292" t="s">
        <v>21</v>
      </c>
      <c r="C9" s="292" t="s">
        <v>21</v>
      </c>
      <c r="D9" s="292" t="s">
        <v>21</v>
      </c>
      <c r="E9" s="292" t="s">
        <v>21</v>
      </c>
      <c r="F9" s="292" t="s">
        <v>21</v>
      </c>
      <c r="G9" s="292" t="s">
        <v>21</v>
      </c>
      <c r="H9" s="292" t="s">
        <v>21</v>
      </c>
      <c r="I9" s="292" t="s">
        <v>21</v>
      </c>
      <c r="J9" s="309" t="str">
        <f>DATA!B2</f>
        <v>I</v>
      </c>
      <c r="K9" s="310" t="str">
        <f>DATA!D2</f>
        <v>INFRASTRUKTUR</v>
      </c>
      <c r="L9" s="310"/>
      <c r="M9" s="310"/>
      <c r="N9" s="311"/>
      <c r="O9" s="310"/>
      <c r="P9" s="310"/>
      <c r="Q9" s="351"/>
      <c r="R9" s="352" t="e">
        <f>+R10+#REF!+R40+R44+#REF!+R47+R50</f>
        <v>#REF!</v>
      </c>
      <c r="S9" s="353"/>
      <c r="T9" s="354" t="e">
        <f>+T10+#REF!+T40+T44+#REF!+T47+T50</f>
        <v>#REF!</v>
      </c>
      <c r="U9" s="354" t="e">
        <f>+U10+#REF!+U40+U44+#REF!+U47+U50</f>
        <v>#REF!</v>
      </c>
      <c r="V9" s="355" t="e">
        <f>+V10+#REF!+V40+V44+#REF!+V47+V50</f>
        <v>#REF!</v>
      </c>
      <c r="W9" s="353" t="e">
        <f>+W10+#REF!+W40+W44+#REF!+W47+W50</f>
        <v>#REF!</v>
      </c>
      <c r="X9" s="356" t="e">
        <f>+X10+#REF!+X40+X44+#REF!+X47+X50</f>
        <v>#REF!</v>
      </c>
      <c r="Y9" s="354"/>
      <c r="Z9" s="355"/>
      <c r="AA9" s="492"/>
      <c r="AB9" s="399"/>
      <c r="AC9" s="400"/>
      <c r="AD9" s="353"/>
      <c r="AE9" s="354"/>
      <c r="AF9" s="396"/>
    </row>
    <row r="10" spans="1:32" s="293" customFormat="1" ht="24.95" customHeight="1">
      <c r="J10" s="312"/>
      <c r="K10" s="313">
        <f>DATA!E2</f>
        <v>1</v>
      </c>
      <c r="L10" s="314" t="str">
        <f>DATA!F2</f>
        <v>Kementerian Pekerjaan Umum dan Perumahan Rakyat</v>
      </c>
      <c r="M10" s="314"/>
      <c r="N10" s="315"/>
      <c r="O10" s="314"/>
      <c r="P10" s="314"/>
      <c r="Q10" s="357"/>
      <c r="R10" s="358" t="e">
        <f>+R11+#REF!+R16+R18+R24+#REF!+#REF!+R26+R31+#REF!+R37+#REF!+#REF!</f>
        <v>#REF!</v>
      </c>
      <c r="S10" s="359"/>
      <c r="T10" s="360" t="e">
        <f>+T11+#REF!+T16+T18+T24+#REF!+#REF!+T26+T31+#REF!+T37+#REF!+#REF!</f>
        <v>#REF!</v>
      </c>
      <c r="U10" s="360" t="e">
        <f>+U11+#REF!+U16+U18+U24+#REF!+#REF!+U26+U31+#REF!+U37+#REF!+#REF!</f>
        <v>#REF!</v>
      </c>
      <c r="V10" s="361" t="e">
        <f>+V11+#REF!+V16+V18+V24+#REF!+#REF!+V26+V31+#REF!+V37+#REF!+#REF!</f>
        <v>#REF!</v>
      </c>
      <c r="W10" s="359" t="e">
        <f>+W11+#REF!+W16+W18+W24+#REF!+#REF!+W26+W31+#REF!+W37+#REF!+#REF!</f>
        <v>#REF!</v>
      </c>
      <c r="X10" s="362" t="e">
        <f>+X11+#REF!+X16+X18+X24+#REF!+#REF!+X26+X31+#REF!+X37+#REF!+#REF!</f>
        <v>#REF!</v>
      </c>
      <c r="Y10" s="360"/>
      <c r="Z10" s="361"/>
      <c r="AA10" s="493"/>
      <c r="AB10" s="404"/>
      <c r="AC10" s="405"/>
      <c r="AD10" s="359">
        <f>SUM(AD11:AD39)</f>
        <v>2160901000</v>
      </c>
      <c r="AE10" s="360">
        <f>SUM(AE11:AE39)</f>
        <v>252177990.63999999</v>
      </c>
      <c r="AF10" s="401"/>
    </row>
    <row r="11" spans="1:32" s="294" customFormat="1" ht="24.95" customHeight="1">
      <c r="J11" s="316"/>
      <c r="K11" s="317"/>
      <c r="L11" s="318" t="str">
        <f>DATA!I2</f>
        <v>A</v>
      </c>
      <c r="M11" s="319" t="str">
        <f>DATA!J2</f>
        <v xml:space="preserve">Program Pembangunan Jalan Tol </v>
      </c>
      <c r="N11" s="320"/>
      <c r="O11" s="319"/>
      <c r="P11" s="319"/>
      <c r="Q11" s="363"/>
      <c r="R11" s="364" t="e">
        <f>#REF!+R12+R13+R14+R15</f>
        <v>#REF!</v>
      </c>
      <c r="S11" s="365"/>
      <c r="T11" s="366" t="e">
        <f>#REF!+T12+T13+T14+T15</f>
        <v>#REF!</v>
      </c>
      <c r="U11" s="366" t="e">
        <f>#REF!+U12+U13+U14+U15</f>
        <v>#REF!</v>
      </c>
      <c r="V11" s="367"/>
      <c r="W11" s="365" t="e">
        <f>#REF!+#REF!+W12+W13+W14+W15</f>
        <v>#REF!</v>
      </c>
      <c r="X11" s="368"/>
      <c r="Y11" s="366"/>
      <c r="Z11" s="367"/>
      <c r="AA11" s="494"/>
      <c r="AB11" s="409"/>
      <c r="AC11" s="410"/>
      <c r="AD11" s="365"/>
      <c r="AE11" s="366"/>
      <c r="AF11" s="406"/>
    </row>
    <row r="12" spans="1:32" s="295" customFormat="1" ht="37.5" customHeight="1">
      <c r="A12" s="295">
        <f>DATA!A6</f>
        <v>4</v>
      </c>
      <c r="B12" s="295">
        <f>DATA!B6</f>
        <v>0</v>
      </c>
      <c r="C12" s="295" t="str">
        <f>DATA!D6</f>
        <v>INFRASTRUKTUR</v>
      </c>
      <c r="D12" s="295">
        <f>DATA!E6</f>
        <v>1</v>
      </c>
      <c r="E12" s="295" t="str">
        <f>DATA!F6</f>
        <v>Kementerian Pekerjaan Umum dan Perumahan Rakyat</v>
      </c>
      <c r="F12" s="295" t="str">
        <f>DATA!H6</f>
        <v>Toll Road Development Program</v>
      </c>
      <c r="G12" s="295" t="str">
        <f>DATA!I6</f>
        <v>A</v>
      </c>
      <c r="H12" s="295" t="str">
        <f>DATA!J6</f>
        <v xml:space="preserve">Program Pembangunan Jalan Tol </v>
      </c>
      <c r="I12" s="295">
        <f>DATA!K6</f>
        <v>2</v>
      </c>
      <c r="J12" s="438"/>
      <c r="K12" s="480"/>
      <c r="L12" s="480"/>
      <c r="M12" s="441">
        <v>1</v>
      </c>
      <c r="N12" s="481" t="str">
        <f>DATA!L6</f>
        <v>Development of Cileunyi - Sumedang - Dawuan Toll Road Phase II</v>
      </c>
      <c r="O12" s="440">
        <f>DATA!Q6</f>
        <v>1</v>
      </c>
      <c r="P12" s="440">
        <f>DATA!R6</f>
        <v>1</v>
      </c>
      <c r="Q12" s="445">
        <f>DATA!S6</f>
        <v>2</v>
      </c>
      <c r="R12" s="446">
        <f>DATA!T6</f>
        <v>330000000</v>
      </c>
      <c r="S12" s="447" t="str">
        <f>DATA!Y6</f>
        <v>RRT</v>
      </c>
      <c r="T12" s="448">
        <f>DATA!AA6</f>
        <v>330000000</v>
      </c>
      <c r="U12" s="448">
        <v>0</v>
      </c>
      <c r="V12" s="486" t="str">
        <f>DATA!Y6</f>
        <v>RRT</v>
      </c>
      <c r="W12" s="449">
        <f>DATA!AT6</f>
        <v>330000000</v>
      </c>
      <c r="X12" s="450"/>
      <c r="Y12" s="495" t="str">
        <f>DATA!AU6</f>
        <v>RRT</v>
      </c>
      <c r="Z12" s="496" t="str">
        <f>DATA!AW6</f>
        <v>-</v>
      </c>
      <c r="AA12" s="497" t="str">
        <f>DATA!AN6</f>
        <v>(memiliki FS dan DED)</v>
      </c>
      <c r="AB12" s="435" t="str">
        <f>DATA!AO6</f>
        <v>dalam proses
(pelaksanaan 80%)</v>
      </c>
      <c r="AC12" s="436" t="e">
        <f>DATA!#REF!</f>
        <v>#REF!</v>
      </c>
      <c r="AD12" s="455">
        <f>DATA!AC6</f>
        <v>235000000</v>
      </c>
      <c r="AE12" s="440"/>
      <c r="AF12" s="498" t="s">
        <v>1443</v>
      </c>
    </row>
    <row r="13" spans="1:32" s="295" customFormat="1" ht="34.5" customHeight="1">
      <c r="A13" s="295">
        <f>DATA!A7</f>
        <v>5</v>
      </c>
      <c r="B13" s="295">
        <f>DATA!B7</f>
        <v>0</v>
      </c>
      <c r="C13" s="295" t="str">
        <f>DATA!D7</f>
        <v>INFRASTRUKTUR</v>
      </c>
      <c r="D13" s="295">
        <f>DATA!E7</f>
        <v>1</v>
      </c>
      <c r="E13" s="295" t="str">
        <f>DATA!F7</f>
        <v>Kementerian Pekerjaan Umum dan Perumahan Rakyat</v>
      </c>
      <c r="F13" s="295" t="str">
        <f>DATA!H7</f>
        <v>Toll Road Development Program</v>
      </c>
      <c r="G13" s="295" t="str">
        <f>DATA!I7</f>
        <v>A</v>
      </c>
      <c r="H13" s="295" t="str">
        <f>DATA!J7</f>
        <v xml:space="preserve">Program Pembangunan Jalan Tol </v>
      </c>
      <c r="I13" s="295">
        <f>DATA!K7</f>
        <v>2</v>
      </c>
      <c r="J13" s="438"/>
      <c r="K13" s="480"/>
      <c r="L13" s="480"/>
      <c r="M13" s="441">
        <v>2</v>
      </c>
      <c r="N13" s="481" t="str">
        <f>DATA!L7</f>
        <v xml:space="preserve">Toll Road Development of Balikpapan - Samarinda </v>
      </c>
      <c r="O13" s="440">
        <f>DATA!Q7</f>
        <v>1</v>
      </c>
      <c r="P13" s="440">
        <f>DATA!R7</f>
        <v>1</v>
      </c>
      <c r="Q13" s="445">
        <f>DATA!S7</f>
        <v>3</v>
      </c>
      <c r="R13" s="446">
        <f>DATA!T7</f>
        <v>65000000</v>
      </c>
      <c r="S13" s="447" t="str">
        <f>DATA!Y7</f>
        <v>RRT</v>
      </c>
      <c r="T13" s="448">
        <f>DATA!AA7</f>
        <v>65000000</v>
      </c>
      <c r="U13" s="448">
        <v>0</v>
      </c>
      <c r="V13" s="486" t="str">
        <f>DATA!Y7</f>
        <v>RRT</v>
      </c>
      <c r="W13" s="449">
        <f>DATA!AT7</f>
        <v>65000000</v>
      </c>
      <c r="X13" s="450"/>
      <c r="Y13" s="495" t="str">
        <f>DATA!AU7</f>
        <v>RRT</v>
      </c>
      <c r="Z13" s="496" t="str">
        <f>DATA!AW7</f>
        <v>-</v>
      </c>
      <c r="AA13" s="497" t="str">
        <f>DATA!AN7</f>
        <v>(memiliki FS dan DED)</v>
      </c>
      <c r="AB13" s="435" t="str">
        <f>DATA!AO7</f>
        <v>dalam proses
(pelaksanaan 55%)</v>
      </c>
      <c r="AC13" s="436" t="e">
        <f>DATA!#REF!</f>
        <v>#REF!</v>
      </c>
      <c r="AD13" s="455">
        <f>DATA!AC7</f>
        <v>65000000</v>
      </c>
      <c r="AE13" s="456">
        <f>DATA!AD7</f>
        <v>53405755.75</v>
      </c>
      <c r="AF13" s="498" t="s">
        <v>1444</v>
      </c>
    </row>
    <row r="14" spans="1:32" s="295" customFormat="1" ht="37.5" customHeight="1">
      <c r="A14" s="295">
        <f>DATA!A8</f>
        <v>6</v>
      </c>
      <c r="B14" s="295">
        <f>DATA!B8</f>
        <v>0</v>
      </c>
      <c r="C14" s="295" t="str">
        <f>DATA!D8</f>
        <v>INFRASTRUKTUR</v>
      </c>
      <c r="D14" s="295">
        <f>DATA!E8</f>
        <v>1</v>
      </c>
      <c r="E14" s="295" t="str">
        <f>DATA!F8</f>
        <v>Kementerian Pekerjaan Umum dan Perumahan Rakyat</v>
      </c>
      <c r="F14" s="295" t="str">
        <f>DATA!H8</f>
        <v>Toll Road Development Program</v>
      </c>
      <c r="G14" s="295" t="str">
        <f>DATA!I8</f>
        <v>A</v>
      </c>
      <c r="H14" s="295" t="str">
        <f>DATA!J8</f>
        <v xml:space="preserve">Program Pembangunan Jalan Tol </v>
      </c>
      <c r="I14" s="295">
        <f>DATA!K8</f>
        <v>2</v>
      </c>
      <c r="J14" s="438"/>
      <c r="K14" s="480"/>
      <c r="L14" s="480"/>
      <c r="M14" s="441">
        <v>3</v>
      </c>
      <c r="N14" s="481" t="str">
        <f>DATA!L8</f>
        <v xml:space="preserve">Toll Road Development of Manado - Bitung </v>
      </c>
      <c r="O14" s="440">
        <f>DATA!Q8</f>
        <v>1</v>
      </c>
      <c r="P14" s="440">
        <f>DATA!R8</f>
        <v>1</v>
      </c>
      <c r="Q14" s="445">
        <f>DATA!S8</f>
        <v>4</v>
      </c>
      <c r="R14" s="446">
        <f>DATA!T8</f>
        <v>80000000</v>
      </c>
      <c r="S14" s="447" t="str">
        <f>DATA!Y8</f>
        <v>RRT</v>
      </c>
      <c r="T14" s="448">
        <f>DATA!AA8</f>
        <v>80000000</v>
      </c>
      <c r="U14" s="448">
        <v>0</v>
      </c>
      <c r="V14" s="486" t="str">
        <f>DATA!Y8</f>
        <v>RRT</v>
      </c>
      <c r="W14" s="449">
        <f>DATA!AT8</f>
        <v>80000000</v>
      </c>
      <c r="X14" s="450"/>
      <c r="Y14" s="495" t="str">
        <f>DATA!AU8</f>
        <v>RRT</v>
      </c>
      <c r="Z14" s="496" t="str">
        <f>DATA!AW8</f>
        <v>-</v>
      </c>
      <c r="AA14" s="497" t="str">
        <f>DATA!AN8</f>
        <v>(memiliki FS dan DED)</v>
      </c>
      <c r="AB14" s="435" t="str">
        <f>DATA!AO8</f>
        <v>dalam proses
(pelaksanaan 94%)</v>
      </c>
      <c r="AC14" s="436" t="e">
        <f>DATA!#REF!</f>
        <v>#REF!</v>
      </c>
      <c r="AD14" s="455">
        <f>DATA!AC8</f>
        <v>80000000</v>
      </c>
      <c r="AE14" s="440"/>
      <c r="AF14" s="498" t="s">
        <v>1443</v>
      </c>
    </row>
    <row r="15" spans="1:32" s="295" customFormat="1" ht="32.25" customHeight="1">
      <c r="A15" s="295">
        <f>DATA!A9</f>
        <v>7</v>
      </c>
      <c r="B15" s="295">
        <f>DATA!B9</f>
        <v>0</v>
      </c>
      <c r="C15" s="295" t="str">
        <f>DATA!D9</f>
        <v>INFRASTRUKTUR</v>
      </c>
      <c r="D15" s="295">
        <f>DATA!E9</f>
        <v>1</v>
      </c>
      <c r="E15" s="295" t="str">
        <f>DATA!F9</f>
        <v>Kementerian Pekerjaan Umum dan Perumahan Rakyat</v>
      </c>
      <c r="F15" s="295" t="str">
        <f>DATA!H9</f>
        <v>Toll Road Development Program</v>
      </c>
      <c r="G15" s="295" t="str">
        <f>DATA!I9</f>
        <v>A</v>
      </c>
      <c r="H15" s="295" t="str">
        <f>DATA!J9</f>
        <v xml:space="preserve">Program Pembangunan Jalan Tol </v>
      </c>
      <c r="I15" s="295">
        <f>DATA!K9</f>
        <v>2</v>
      </c>
      <c r="J15" s="438"/>
      <c r="K15" s="480"/>
      <c r="L15" s="480"/>
      <c r="M15" s="482">
        <v>4</v>
      </c>
      <c r="N15" s="483" t="str">
        <f>DATA!L9</f>
        <v xml:space="preserve">Toll Road Development of Solo - Kertosono </v>
      </c>
      <c r="O15" s="440">
        <f>DATA!Q9</f>
        <v>1</v>
      </c>
      <c r="P15" s="440">
        <f>DATA!R9</f>
        <v>1</v>
      </c>
      <c r="Q15" s="445">
        <f>DATA!S9</f>
        <v>5</v>
      </c>
      <c r="R15" s="446">
        <f>DATA!T9</f>
        <v>300000000</v>
      </c>
      <c r="S15" s="447" t="str">
        <f>DATA!Y9</f>
        <v>RRT</v>
      </c>
      <c r="T15" s="448">
        <f>DATA!AA9</f>
        <v>300000000</v>
      </c>
      <c r="U15" s="448">
        <v>0</v>
      </c>
      <c r="V15" s="486" t="str">
        <f>DATA!Y9</f>
        <v>RRT</v>
      </c>
      <c r="W15" s="449">
        <f>DATA!AT9</f>
        <v>300000000</v>
      </c>
      <c r="X15" s="450"/>
      <c r="Y15" s="495" t="str">
        <f>DATA!AU9</f>
        <v>RRT</v>
      </c>
      <c r="Z15" s="496" t="str">
        <f>DATA!AW9</f>
        <v>-</v>
      </c>
      <c r="AA15" s="497" t="str">
        <f>DATA!AN9</f>
        <v>(memiliki FS dan DED)</v>
      </c>
      <c r="AB15" s="435" t="str">
        <f>DATA!AO9</f>
        <v>dalam proses
(pelaksanaan 62%)</v>
      </c>
      <c r="AC15" s="436" t="e">
        <f>DATA!#REF!</f>
        <v>#REF!</v>
      </c>
      <c r="AD15" s="455">
        <f>DATA!AC9</f>
        <v>200000000</v>
      </c>
      <c r="AE15" s="456">
        <f>DATA!AD9</f>
        <v>198772234.88999999</v>
      </c>
      <c r="AF15" s="498" t="s">
        <v>1444</v>
      </c>
    </row>
    <row r="16" spans="1:32" s="294" customFormat="1" ht="33.75" customHeight="1">
      <c r="J16" s="316"/>
      <c r="K16" s="328"/>
      <c r="L16" s="318" t="str">
        <f>DATA!I15</f>
        <v>C</v>
      </c>
      <c r="M16" s="319" t="str">
        <f>DATA!J16</f>
        <v>Program Pembangunan / Peningkatan Jalan</v>
      </c>
      <c r="N16" s="329"/>
      <c r="O16" s="319"/>
      <c r="P16" s="319"/>
      <c r="Q16" s="363"/>
      <c r="R16" s="364">
        <f>SUM(R17:R17)</f>
        <v>0</v>
      </c>
      <c r="S16" s="365"/>
      <c r="T16" s="366">
        <f>SUM(T17:T17)</f>
        <v>45000000</v>
      </c>
      <c r="U16" s="366">
        <f>SUM(U17:U17)</f>
        <v>0</v>
      </c>
      <c r="V16" s="367">
        <f>SUM(V17:V17)</f>
        <v>0</v>
      </c>
      <c r="W16" s="365">
        <f>SUM(W17:W17)</f>
        <v>45000000</v>
      </c>
      <c r="X16" s="368">
        <f>SUM(X17:X17)</f>
        <v>0</v>
      </c>
      <c r="Y16" s="366"/>
      <c r="Z16" s="367">
        <f>SUM(Z17:Z17)</f>
        <v>0</v>
      </c>
      <c r="AA16" s="499"/>
      <c r="AB16" s="420"/>
      <c r="AC16" s="421"/>
      <c r="AD16" s="365"/>
      <c r="AE16" s="366"/>
      <c r="AF16" s="406"/>
    </row>
    <row r="17" spans="1:32" s="295" customFormat="1" ht="44.25" customHeight="1">
      <c r="J17" s="438"/>
      <c r="K17" s="480"/>
      <c r="L17" s="439"/>
      <c r="M17" s="441">
        <v>5</v>
      </c>
      <c r="N17" s="481" t="str">
        <f>DATA!L23</f>
        <v>Engineering Service for National Roads Development Project</v>
      </c>
      <c r="O17" s="441">
        <f>DATA!Q23</f>
        <v>0</v>
      </c>
      <c r="P17" s="441">
        <f>DATA!R23</f>
        <v>1</v>
      </c>
      <c r="Q17" s="487">
        <f>DATA!S23</f>
        <v>0</v>
      </c>
      <c r="R17" s="488">
        <f>DATA!T23</f>
        <v>0</v>
      </c>
      <c r="S17" s="489" t="str">
        <f>DATA!Y23</f>
        <v>ADB</v>
      </c>
      <c r="T17" s="490">
        <f>DATA!AA23</f>
        <v>45000000</v>
      </c>
      <c r="U17" s="490">
        <v>0</v>
      </c>
      <c r="V17" s="486" t="str">
        <f>DATA!Y23</f>
        <v>ADB</v>
      </c>
      <c r="W17" s="449">
        <f>DATA!AT23</f>
        <v>45000000</v>
      </c>
      <c r="X17" s="450"/>
      <c r="Y17" s="495" t="str">
        <f>DATA!AU23</f>
        <v>ADB</v>
      </c>
      <c r="Z17" s="496" t="str">
        <f>DATA!AW23</f>
        <v>-</v>
      </c>
      <c r="AA17" s="497" t="str">
        <f>DATA!AN23</f>
        <v>siap</v>
      </c>
      <c r="AB17" s="435" t="str">
        <f>DATA!AO23</f>
        <v>tidak butuh lahan</v>
      </c>
      <c r="AC17" s="436" t="str">
        <f>DATA!AR23</f>
        <v>-</v>
      </c>
      <c r="AD17" s="455">
        <f>DATA!AC23</f>
        <v>45000000</v>
      </c>
      <c r="AE17" s="440"/>
      <c r="AF17" s="498" t="s">
        <v>1443</v>
      </c>
    </row>
    <row r="18" spans="1:32" s="294" customFormat="1" ht="33.75" customHeight="1">
      <c r="J18" s="316"/>
      <c r="K18" s="328"/>
      <c r="L18" s="318" t="str">
        <f>DATA!I24</f>
        <v>D</v>
      </c>
      <c r="M18" s="319" t="str">
        <f>DATA!J24</f>
        <v>Program Pembangunan Air Minum</v>
      </c>
      <c r="N18" s="329"/>
      <c r="O18" s="319"/>
      <c r="P18" s="319"/>
      <c r="Q18" s="363"/>
      <c r="R18" s="364" t="e">
        <f>+R19+#REF!+#REF!+#REF!+#REF!+#REF!+#REF!+#REF!+#REF!+#REF!+R20+R21+R23</f>
        <v>#REF!</v>
      </c>
      <c r="S18" s="365"/>
      <c r="T18" s="366" t="e">
        <f>+T19+#REF!+#REF!+#REF!+#REF!+#REF!+#REF!+#REF!+#REF!+#REF!+T20+T21+T22+T23</f>
        <v>#REF!</v>
      </c>
      <c r="U18" s="366" t="e">
        <f>+U19+#REF!+#REF!+#REF!+#REF!+#REF!+#REF!+#REF!+#REF!+#REF!+U20+U21+U23</f>
        <v>#REF!</v>
      </c>
      <c r="V18" s="367"/>
      <c r="W18" s="365" t="e">
        <f>+W19+#REF!+#REF!+#REF!+#REF!+#REF!+#REF!+#REF!+#REF!+#REF!+W20+W21+W22+W23</f>
        <v>#REF!</v>
      </c>
      <c r="X18" s="368" t="e">
        <f>+X19+#REF!+#REF!+#REF!+#REF!+#REF!+#REF!+#REF!+#REF!+#REF!+X20+X21+X22+X23</f>
        <v>#REF!</v>
      </c>
      <c r="Y18" s="366"/>
      <c r="Z18" s="367"/>
      <c r="AA18" s="499"/>
      <c r="AB18" s="420"/>
      <c r="AC18" s="421"/>
      <c r="AD18" s="365"/>
      <c r="AE18" s="366"/>
      <c r="AF18" s="422"/>
    </row>
    <row r="19" spans="1:32" s="295" customFormat="1" ht="42" customHeight="1">
      <c r="A19" s="295">
        <f>DATA!A24</f>
        <v>21</v>
      </c>
      <c r="B19" s="295">
        <f>DATA!B24</f>
        <v>0</v>
      </c>
      <c r="C19" s="295" t="str">
        <f>DATA!D24</f>
        <v>INFRASTRUKTUR</v>
      </c>
      <c r="D19" s="295">
        <f>DATA!E24</f>
        <v>1</v>
      </c>
      <c r="E19" s="295" t="str">
        <f>DATA!F24</f>
        <v>Kementerian Pekerjaan Umum dan Perumahan Rakyat</v>
      </c>
      <c r="F19" s="295" t="str">
        <f>DATA!H24</f>
        <v>Drinking Water Development Program</v>
      </c>
      <c r="G19" s="295" t="str">
        <f>DATA!I24</f>
        <v>D</v>
      </c>
      <c r="H19" s="295" t="str">
        <f>DATA!J24</f>
        <v>Program Pembangunan Air Minum</v>
      </c>
      <c r="I19" s="295">
        <f>DATA!K24</f>
        <v>1</v>
      </c>
      <c r="J19" s="438"/>
      <c r="K19" s="480"/>
      <c r="L19" s="484"/>
      <c r="M19" s="441">
        <v>6</v>
      </c>
      <c r="N19" s="442" t="str">
        <f>DATA!L24</f>
        <v>Community Based Water and Sanitation Program  (PAMSIMAS)</v>
      </c>
      <c r="O19" s="440">
        <f>DATA!Q24</f>
        <v>1</v>
      </c>
      <c r="P19" s="440">
        <f>DATA!R24</f>
        <v>1</v>
      </c>
      <c r="Q19" s="445">
        <f>DATA!S24</f>
        <v>19</v>
      </c>
      <c r="R19" s="446">
        <f>DATA!T24</f>
        <v>300000000</v>
      </c>
      <c r="S19" s="447" t="str">
        <f>DATA!Y24</f>
        <v>Bank Dunia</v>
      </c>
      <c r="T19" s="448">
        <f>DATA!AA24</f>
        <v>300000000</v>
      </c>
      <c r="U19" s="448">
        <v>0</v>
      </c>
      <c r="V19" s="486" t="str">
        <f>DATA!Y24</f>
        <v>Bank Dunia</v>
      </c>
      <c r="W19" s="449">
        <f>DATA!AT24</f>
        <v>300000000</v>
      </c>
      <c r="X19" s="450"/>
      <c r="Y19" s="495" t="str">
        <f>DATA!AU24</f>
        <v>Bank Dunia</v>
      </c>
      <c r="Z19" s="496" t="str">
        <f>DATA!AW24</f>
        <v>-</v>
      </c>
      <c r="AA19" s="497" t="str">
        <f>DATA!AN24</f>
        <v>dalam proses
(memiliki FS dan DED)</v>
      </c>
      <c r="AB19" s="435" t="str">
        <f>DATA!AO24</f>
        <v>belum ada keterangan</v>
      </c>
      <c r="AC19" s="436" t="e">
        <f>DATA!#REF!</f>
        <v>#REF!</v>
      </c>
      <c r="AD19" s="455">
        <f>DATA!AC24</f>
        <v>300000000</v>
      </c>
      <c r="AE19" s="495"/>
      <c r="AF19" s="498" t="s">
        <v>1443</v>
      </c>
    </row>
    <row r="20" spans="1:32" s="295" customFormat="1" ht="40.5" customHeight="1">
      <c r="A20" s="295">
        <f>DATA!A36</f>
        <v>33</v>
      </c>
      <c r="B20" s="295">
        <f>DATA!B36</f>
        <v>0</v>
      </c>
      <c r="C20" s="295" t="str">
        <f>DATA!D36</f>
        <v>INFRASTRUKTUR</v>
      </c>
      <c r="D20" s="295">
        <f>DATA!E36</f>
        <v>1</v>
      </c>
      <c r="E20" s="295" t="str">
        <f>DATA!F36</f>
        <v>Kementerian Pekerjaan Umum dan Perumahan Rakyat</v>
      </c>
      <c r="F20" s="295" t="str">
        <f>DATA!H36</f>
        <v>Drinking Water Development Program</v>
      </c>
      <c r="G20" s="295" t="str">
        <f>DATA!I36</f>
        <v>D</v>
      </c>
      <c r="H20" s="295" t="str">
        <f>DATA!J36</f>
        <v>Program Pembangunan Air Minum</v>
      </c>
      <c r="I20" s="295">
        <f>DATA!K36</f>
        <v>4</v>
      </c>
      <c r="J20" s="438"/>
      <c r="K20" s="480"/>
      <c r="L20" s="480"/>
      <c r="M20" s="441">
        <v>7</v>
      </c>
      <c r="N20" s="442" t="str">
        <f>DATA!L36</f>
        <v xml:space="preserve">Small Scale Water Treatment Plants for Emergency Relief </v>
      </c>
      <c r="O20" s="440">
        <f>DATA!Q36</f>
        <v>1</v>
      </c>
      <c r="P20" s="440">
        <f>DATA!R36</f>
        <v>1</v>
      </c>
      <c r="Q20" s="445">
        <f>DATA!S36</f>
        <v>29</v>
      </c>
      <c r="R20" s="446">
        <f>DATA!T36</f>
        <v>25000000</v>
      </c>
      <c r="S20" s="447" t="str">
        <f>DATA!Y36</f>
        <v>Spanyol</v>
      </c>
      <c r="T20" s="448">
        <f>DATA!AA36</f>
        <v>25000000</v>
      </c>
      <c r="U20" s="448">
        <v>0</v>
      </c>
      <c r="V20" s="486" t="str">
        <f>DATA!Y36</f>
        <v>Spanyol</v>
      </c>
      <c r="W20" s="449">
        <f>DATA!AT36</f>
        <v>25000000</v>
      </c>
      <c r="X20" s="450"/>
      <c r="Y20" s="495" t="str">
        <f>DATA!AU36</f>
        <v>Spanyol</v>
      </c>
      <c r="Z20" s="496" t="str">
        <f>DATA!AW36</f>
        <v>-</v>
      </c>
      <c r="AA20" s="497" t="str">
        <f>DATA!AN36</f>
        <v>siap</v>
      </c>
      <c r="AB20" s="435" t="str">
        <f>DATA!AO36</f>
        <v>dalam proses
(persiapan)</v>
      </c>
      <c r="AC20" s="436" t="str">
        <f>DATA!AR36</f>
        <v>Nilai pinjaman di:
- GB 16 USD 14.848 ribu
- GB 15 USD 25.000 ribu</v>
      </c>
      <c r="AD20" s="455">
        <f>DATA!AC36</f>
        <v>25000000</v>
      </c>
      <c r="AE20" s="440"/>
      <c r="AF20" s="498" t="s">
        <v>1443</v>
      </c>
    </row>
    <row r="21" spans="1:32" s="295" customFormat="1" ht="41.25" customHeight="1">
      <c r="A21" s="295">
        <f>DATA!A38</f>
        <v>34</v>
      </c>
      <c r="B21" s="295">
        <f>DATA!B38</f>
        <v>0</v>
      </c>
      <c r="C21" s="295" t="str">
        <f>DATA!D38</f>
        <v>INFRASTRUKTUR</v>
      </c>
      <c r="D21" s="295">
        <f>DATA!E38</f>
        <v>1</v>
      </c>
      <c r="E21" s="295" t="str">
        <f>DATA!F38</f>
        <v>Kementerian Pekerjaan Umum dan Perumahan Rakyat</v>
      </c>
      <c r="F21" s="295" t="str">
        <f>DATA!H38</f>
        <v>Drinking Water Development Program</v>
      </c>
      <c r="G21" s="295" t="str">
        <f>DATA!I38</f>
        <v>D</v>
      </c>
      <c r="H21" s="295" t="str">
        <f>DATA!J38</f>
        <v>Program Pembangunan Air Minum</v>
      </c>
      <c r="I21" s="295">
        <f>DATA!K38</f>
        <v>4</v>
      </c>
      <c r="J21" s="438"/>
      <c r="K21" s="480"/>
      <c r="L21" s="480"/>
      <c r="M21" s="3937">
        <v>8</v>
      </c>
      <c r="N21" s="3941" t="str">
        <f>DATA!L38</f>
        <v>IKK Water Supply Program and Small Water Treatment Plant for Water Scarcity Area</v>
      </c>
      <c r="O21" s="440">
        <f>DATA!Q38</f>
        <v>0.5</v>
      </c>
      <c r="P21" s="440">
        <f>DATA!R38</f>
        <v>0</v>
      </c>
      <c r="Q21" s="445">
        <f>DATA!S38</f>
        <v>0</v>
      </c>
      <c r="R21" s="3923">
        <f>DATA!T37</f>
        <v>100000000</v>
      </c>
      <c r="S21" s="447" t="str">
        <f>DATA!Y38</f>
        <v>Hungaria</v>
      </c>
      <c r="T21" s="448">
        <f>DATA!AA38</f>
        <v>50000000</v>
      </c>
      <c r="U21" s="448">
        <v>0</v>
      </c>
      <c r="V21" s="486" t="str">
        <f>DATA!Y38</f>
        <v>Hungaria</v>
      </c>
      <c r="W21" s="449">
        <f>DATA!AT38</f>
        <v>50000000</v>
      </c>
      <c r="X21" s="450"/>
      <c r="Y21" s="495" t="str">
        <f>DATA!AU38</f>
        <v>Hungaria</v>
      </c>
      <c r="Z21" s="496" t="str">
        <f>DATA!AW38</f>
        <v>-</v>
      </c>
      <c r="AA21" s="3926" t="str">
        <f>DATA!AN38</f>
        <v>siap</v>
      </c>
      <c r="AB21" s="3929" t="str">
        <f>DATA!AO38</f>
        <v>dalam proses
(pelaksanaan &lt;50%)</v>
      </c>
      <c r="AC21" s="3932" t="str">
        <f>DATA!AR37</f>
        <v>-</v>
      </c>
      <c r="AD21" s="455">
        <f>DATA!AC38</f>
        <v>50000000</v>
      </c>
      <c r="AE21" s="440"/>
      <c r="AF21" s="498" t="s">
        <v>1443</v>
      </c>
    </row>
    <row r="22" spans="1:32" s="295" customFormat="1" ht="26.25" customHeight="1">
      <c r="J22" s="438"/>
      <c r="K22" s="480"/>
      <c r="L22" s="439"/>
      <c r="M22" s="3937"/>
      <c r="N22" s="3942"/>
      <c r="O22" s="440">
        <f>DATA!Q39</f>
        <v>0.5</v>
      </c>
      <c r="P22" s="440">
        <f>DATA!R39</f>
        <v>0</v>
      </c>
      <c r="Q22" s="445">
        <f>DATA!S39</f>
        <v>0</v>
      </c>
      <c r="R22" s="3924"/>
      <c r="S22" s="447" t="str">
        <f>DATA!Y39</f>
        <v>IDB</v>
      </c>
      <c r="T22" s="448">
        <f>DATA!AA39</f>
        <v>50000000</v>
      </c>
      <c r="U22" s="448">
        <v>0</v>
      </c>
      <c r="V22" s="486" t="str">
        <f>DATA!Y39</f>
        <v>IDB</v>
      </c>
      <c r="W22" s="449"/>
      <c r="X22" s="450">
        <f>DATA!AT39</f>
        <v>50000000</v>
      </c>
      <c r="Y22" s="495" t="str">
        <f>DATA!AU39</f>
        <v>Belum Ada Indikasi</v>
      </c>
      <c r="Z22" s="496" t="str">
        <f>DATA!AW39</f>
        <v>- usulan K/L lender:IDB.
- pihak IDB tidak berminat mendanai kegiatan ini, diusulkan kepada AIIB.
- Indikasi Lender AIIB menjadi belum ada indikasi (konfirmasi tgl 29 Jan'16)</v>
      </c>
      <c r="AA22" s="3927"/>
      <c r="AB22" s="3930"/>
      <c r="AC22" s="3933"/>
      <c r="AD22" s="449">
        <v>0</v>
      </c>
      <c r="AE22" s="495">
        <v>0</v>
      </c>
      <c r="AF22" s="453">
        <v>0</v>
      </c>
    </row>
    <row r="23" spans="1:32" s="295" customFormat="1" ht="48" customHeight="1">
      <c r="J23" s="438"/>
      <c r="K23" s="480"/>
      <c r="L23" s="439"/>
      <c r="M23" s="441">
        <v>9</v>
      </c>
      <c r="N23" s="442" t="str">
        <f>DATA!L40</f>
        <v>Engineering Service for Water Supply Development Project</v>
      </c>
      <c r="O23" s="440">
        <f>DATA!Q40</f>
        <v>0</v>
      </c>
      <c r="P23" s="440">
        <f>DATA!R40</f>
        <v>1</v>
      </c>
      <c r="Q23" s="445">
        <f>DATA!S40</f>
        <v>0</v>
      </c>
      <c r="R23" s="446">
        <f>DATA!T40</f>
        <v>0</v>
      </c>
      <c r="S23" s="447" t="str">
        <f>DATA!Y40</f>
        <v>ADB</v>
      </c>
      <c r="T23" s="448">
        <f>DATA!AA40</f>
        <v>26380000</v>
      </c>
      <c r="U23" s="448">
        <v>0</v>
      </c>
      <c r="V23" s="486" t="str">
        <f>DATA!Y40</f>
        <v>ADB</v>
      </c>
      <c r="W23" s="449">
        <f>DATA!AT40</f>
        <v>26380000</v>
      </c>
      <c r="X23" s="450"/>
      <c r="Y23" s="495" t="str">
        <f>DATA!AU40</f>
        <v>ADB</v>
      </c>
      <c r="Z23" s="496" t="str">
        <f>DATA!AW40</f>
        <v>-</v>
      </c>
      <c r="AA23" s="497" t="str">
        <f>DATA!AN40</f>
        <v>siap</v>
      </c>
      <c r="AB23" s="435" t="str">
        <f>DATA!AO40</f>
        <v>tidak butuh lahan</v>
      </c>
      <c r="AC23" s="436" t="str">
        <f>DATA!AR40</f>
        <v>-</v>
      </c>
      <c r="AD23" s="455">
        <f>DATA!AC40</f>
        <v>26380000</v>
      </c>
      <c r="AE23" s="440"/>
      <c r="AF23" s="498" t="s">
        <v>1443</v>
      </c>
    </row>
    <row r="24" spans="1:32" s="294" customFormat="1" ht="39.75" customHeight="1">
      <c r="J24" s="316"/>
      <c r="K24" s="328"/>
      <c r="L24" s="318" t="str">
        <f>DATA!I41</f>
        <v>E</v>
      </c>
      <c r="M24" s="3918" t="str">
        <f>DATA!J41</f>
        <v xml:space="preserve">Program Pembangunan Sistem Pengelolaan Air Limbah </v>
      </c>
      <c r="N24" s="3919"/>
      <c r="O24" s="319"/>
      <c r="P24" s="319"/>
      <c r="Q24" s="363"/>
      <c r="R24" s="364" t="e">
        <f>#REF!+#REF!+#REF!+#REF!+#REF!+#REF!+R25</f>
        <v>#REF!</v>
      </c>
      <c r="S24" s="365"/>
      <c r="T24" s="366">
        <f>SUM(T25:T25)</f>
        <v>25200000</v>
      </c>
      <c r="U24" s="366">
        <f>SUM(U25:U25)</f>
        <v>0</v>
      </c>
      <c r="V24" s="367">
        <f>SUM(V25:V25)</f>
        <v>0</v>
      </c>
      <c r="W24" s="365">
        <f>SUM(W25:W25)</f>
        <v>25200000</v>
      </c>
      <c r="X24" s="368">
        <f>SUM(X25:X25)</f>
        <v>0</v>
      </c>
      <c r="Y24" s="366"/>
      <c r="Z24" s="367">
        <f>SUM(Z25:Z25)</f>
        <v>0</v>
      </c>
      <c r="AA24" s="499"/>
      <c r="AB24" s="420"/>
      <c r="AC24" s="421"/>
      <c r="AD24" s="365"/>
      <c r="AE24" s="366"/>
      <c r="AF24" s="406"/>
    </row>
    <row r="25" spans="1:32" s="295" customFormat="1" ht="48" customHeight="1">
      <c r="J25" s="438"/>
      <c r="K25" s="480"/>
      <c r="L25" s="439"/>
      <c r="M25" s="441">
        <v>10</v>
      </c>
      <c r="N25" s="481" t="str">
        <f>DATA!L53</f>
        <v>Engineering Service for Sanitation Improvement Project</v>
      </c>
      <c r="O25" s="441">
        <f>DATA!Q53</f>
        <v>0</v>
      </c>
      <c r="P25" s="441">
        <f>DATA!R53</f>
        <v>0</v>
      </c>
      <c r="Q25" s="487">
        <f>DATA!S53</f>
        <v>0</v>
      </c>
      <c r="R25" s="488">
        <f>DATA!T53</f>
        <v>0</v>
      </c>
      <c r="S25" s="489" t="str">
        <f>DATA!Y53</f>
        <v>ADB</v>
      </c>
      <c r="T25" s="490">
        <f>DATA!AA53</f>
        <v>25200000</v>
      </c>
      <c r="U25" s="490">
        <v>0</v>
      </c>
      <c r="V25" s="486" t="str">
        <f>DATA!Y53</f>
        <v>ADB</v>
      </c>
      <c r="W25" s="449">
        <f>DATA!AT53</f>
        <v>25200000</v>
      </c>
      <c r="X25" s="450"/>
      <c r="Y25" s="495" t="str">
        <f>DATA!AU53</f>
        <v>ADB</v>
      </c>
      <c r="Z25" s="496" t="str">
        <f>DATA!AW53</f>
        <v xml:space="preserve">pada konfirmasi K/L nilai ES sebesar USD 26,38 juta, seharusnya USD 25,2 juta. </v>
      </c>
      <c r="AA25" s="497" t="str">
        <f>DATA!AN53</f>
        <v>siap</v>
      </c>
      <c r="AB25" s="435" t="str">
        <f>DATA!AO53</f>
        <v>tidak butuh lahan</v>
      </c>
      <c r="AC25" s="436" t="str">
        <f>DATA!AR53</f>
        <v>-</v>
      </c>
      <c r="AD25" s="455">
        <f>DATA!AC53</f>
        <v>25200000</v>
      </c>
      <c r="AE25" s="440"/>
      <c r="AF25" s="498" t="s">
        <v>1443</v>
      </c>
    </row>
    <row r="26" spans="1:32" s="294" customFormat="1" ht="33.75" customHeight="1">
      <c r="J26" s="316"/>
      <c r="K26" s="328"/>
      <c r="L26" s="318" t="str">
        <f>DATA!I67</f>
        <v>I</v>
      </c>
      <c r="M26" s="319" t="str">
        <f>DATA!J67</f>
        <v>Program Pengembangan dan Pengelolaan Irigasi</v>
      </c>
      <c r="N26" s="329"/>
      <c r="O26" s="319"/>
      <c r="P26" s="319"/>
      <c r="Q26" s="363"/>
      <c r="R26" s="364">
        <f>SUM(R27:R30)</f>
        <v>295778000</v>
      </c>
      <c r="S26" s="365"/>
      <c r="T26" s="366">
        <f t="shared" ref="T26:Z26" si="0">SUM(T27:T30)</f>
        <v>995778000</v>
      </c>
      <c r="U26" s="366">
        <f t="shared" si="0"/>
        <v>0</v>
      </c>
      <c r="V26" s="367">
        <f t="shared" si="0"/>
        <v>0</v>
      </c>
      <c r="W26" s="365">
        <f t="shared" si="0"/>
        <v>995778000</v>
      </c>
      <c r="X26" s="368">
        <f t="shared" si="0"/>
        <v>0</v>
      </c>
      <c r="Y26" s="366">
        <f t="shared" si="0"/>
        <v>0</v>
      </c>
      <c r="Z26" s="367">
        <f t="shared" si="0"/>
        <v>0</v>
      </c>
      <c r="AA26" s="499"/>
      <c r="AB26" s="420"/>
      <c r="AC26" s="421"/>
      <c r="AD26" s="365"/>
      <c r="AE26" s="366"/>
      <c r="AF26" s="406"/>
    </row>
    <row r="27" spans="1:32" s="295" customFormat="1" ht="30" customHeight="1">
      <c r="A27" s="295">
        <f>DATA!A67</f>
        <v>51</v>
      </c>
      <c r="B27" s="295">
        <f>DATA!B67</f>
        <v>0</v>
      </c>
      <c r="C27" s="295" t="str">
        <f>DATA!D67</f>
        <v>INFRASTRUKTUR</v>
      </c>
      <c r="D27" s="295">
        <f>DATA!E67</f>
        <v>1</v>
      </c>
      <c r="E27" s="295" t="str">
        <f>DATA!F67</f>
        <v>Kementerian Pekerjaan Umum dan Perumahan Rakyat</v>
      </c>
      <c r="F27" s="295" t="str">
        <f>DATA!H67</f>
        <v xml:space="preserve">Development and Management of Irrigation Program </v>
      </c>
      <c r="G27" s="295" t="str">
        <f>DATA!I67</f>
        <v>I</v>
      </c>
      <c r="H27" s="295" t="str">
        <f>DATA!J67</f>
        <v>Program Pengembangan dan Pengelolaan Irigasi</v>
      </c>
      <c r="I27" s="295">
        <f>DATA!K67</f>
        <v>1</v>
      </c>
      <c r="J27" s="438"/>
      <c r="K27" s="480"/>
      <c r="L27" s="480"/>
      <c r="M27" s="3938">
        <v>11</v>
      </c>
      <c r="N27" s="3941" t="str">
        <f>DATA!L67</f>
        <v>Integrated Participatory Development and Management of Irrigation Project - Phase I</v>
      </c>
      <c r="O27" s="440">
        <f>DATA!Q67</f>
        <v>0.5</v>
      </c>
      <c r="P27" s="440">
        <f>DATA!R67</f>
        <v>0</v>
      </c>
      <c r="Q27" s="445">
        <f>DATA!S67</f>
        <v>43</v>
      </c>
      <c r="R27" s="3923">
        <f>DATA!T67</f>
        <v>0</v>
      </c>
      <c r="S27" s="447" t="str">
        <f>DATA!Y67</f>
        <v>ADB</v>
      </c>
      <c r="T27" s="448">
        <f>DATA!AA67</f>
        <v>600000000</v>
      </c>
      <c r="U27" s="448">
        <v>0</v>
      </c>
      <c r="V27" s="486" t="str">
        <f>DATA!Y67</f>
        <v>ADB</v>
      </c>
      <c r="W27" s="449">
        <f>DATA!AT67</f>
        <v>600000000</v>
      </c>
      <c r="X27" s="450"/>
      <c r="Y27" s="495" t="str">
        <f>DATA!AU67</f>
        <v>ADB</v>
      </c>
      <c r="Z27" s="496" t="str">
        <f>DATA!AW67</f>
        <v>-</v>
      </c>
      <c r="AA27" s="3926" t="str">
        <f>DATA!AN67</f>
        <v>siap</v>
      </c>
      <c r="AB27" s="3929" t="str">
        <f>DATA!AO67</f>
        <v>belum ada keterangan</v>
      </c>
      <c r="AC27" s="3932" t="str">
        <f>DATA!AR67</f>
        <v>-</v>
      </c>
      <c r="AD27" s="455">
        <f>DATA!AC67</f>
        <v>600000000</v>
      </c>
      <c r="AE27" s="440"/>
      <c r="AF27" s="498" t="s">
        <v>1443</v>
      </c>
    </row>
    <row r="28" spans="1:32" s="295" customFormat="1" ht="32.25" customHeight="1">
      <c r="A28" s="295">
        <f>DATA!A68</f>
        <v>52</v>
      </c>
      <c r="B28" s="295">
        <f>DATA!B68</f>
        <v>0</v>
      </c>
      <c r="C28" s="295" t="str">
        <f>DATA!D68</f>
        <v>INFRASTRUKTUR</v>
      </c>
      <c r="D28" s="295">
        <f>DATA!E68</f>
        <v>1</v>
      </c>
      <c r="E28" s="295" t="str">
        <f>DATA!F68</f>
        <v>Kementerian Pekerjaan Umum dan Perumahan Rakyat</v>
      </c>
      <c r="F28" s="295" t="str">
        <f>DATA!H68</f>
        <v xml:space="preserve">Development and Management of Irrigation Program </v>
      </c>
      <c r="G28" s="295" t="str">
        <f>DATA!I68</f>
        <v>I</v>
      </c>
      <c r="H28" s="295" t="str">
        <f>DATA!J68</f>
        <v>Program Pengembangan dan Pengelolaan Irigasi</v>
      </c>
      <c r="I28" s="295">
        <f>DATA!K68</f>
        <v>1</v>
      </c>
      <c r="J28" s="438"/>
      <c r="K28" s="480"/>
      <c r="L28" s="480"/>
      <c r="M28" s="3939"/>
      <c r="N28" s="3942"/>
      <c r="O28" s="440"/>
      <c r="P28" s="440"/>
      <c r="Q28" s="445"/>
      <c r="R28" s="3924"/>
      <c r="S28" s="447" t="str">
        <f>DATA!Y68</f>
        <v>IFAD</v>
      </c>
      <c r="T28" s="448">
        <f>DATA!AA68</f>
        <v>100000000</v>
      </c>
      <c r="U28" s="448">
        <v>0</v>
      </c>
      <c r="V28" s="486" t="str">
        <f>DATA!Y68</f>
        <v>IFAD</v>
      </c>
      <c r="W28" s="449">
        <f>DATA!AT68</f>
        <v>100000000</v>
      </c>
      <c r="X28" s="450"/>
      <c r="Y28" s="495" t="str">
        <f>DATA!AU68</f>
        <v>IFAD</v>
      </c>
      <c r="Z28" s="496" t="str">
        <f>DATA!AW68</f>
        <v>-</v>
      </c>
      <c r="AA28" s="3927"/>
      <c r="AB28" s="3930"/>
      <c r="AC28" s="3933"/>
      <c r="AD28" s="455">
        <f>DATA!AC68</f>
        <v>100000000</v>
      </c>
      <c r="AE28" s="440"/>
      <c r="AF28" s="498" t="s">
        <v>1443</v>
      </c>
    </row>
    <row r="29" spans="1:32" s="295" customFormat="1" ht="47.25" customHeight="1">
      <c r="A29" s="295">
        <f>DATA!A72</f>
        <v>54</v>
      </c>
      <c r="B29" s="295">
        <f>DATA!B72</f>
        <v>0</v>
      </c>
      <c r="C29" s="295" t="str">
        <f>DATA!D72</f>
        <v>INFRASTRUKTUR</v>
      </c>
      <c r="D29" s="295">
        <f>DATA!E72</f>
        <v>1</v>
      </c>
      <c r="E29" s="295" t="str">
        <f>DATA!F72</f>
        <v>Kementerian Pekerjaan Umum dan Perumahan Rakyat</v>
      </c>
      <c r="F29" s="295" t="str">
        <f>DATA!H72</f>
        <v xml:space="preserve">Development and Management of Irrigation Program </v>
      </c>
      <c r="G29" s="295" t="str">
        <f>DATA!I72</f>
        <v>I</v>
      </c>
      <c r="H29" s="295" t="str">
        <f>DATA!J72</f>
        <v>Program Pengembangan dan Pengelolaan Irigasi</v>
      </c>
      <c r="I29" s="295">
        <f>DATA!K72</f>
        <v>2</v>
      </c>
      <c r="J29" s="438"/>
      <c r="K29" s="480"/>
      <c r="L29" s="480"/>
      <c r="M29" s="441">
        <v>12</v>
      </c>
      <c r="N29" s="442" t="str">
        <f>DATA!L72</f>
        <v>The Urgent Rehabilitation of Strategic Irrigation for Western Region of Indonesia</v>
      </c>
      <c r="O29" s="440">
        <f>DATA!Q72</f>
        <v>1</v>
      </c>
      <c r="P29" s="440">
        <f>DATA!R72</f>
        <v>1</v>
      </c>
      <c r="Q29" s="445">
        <f>DATA!S72</f>
        <v>45</v>
      </c>
      <c r="R29" s="446">
        <f>DATA!T72</f>
        <v>195778000</v>
      </c>
      <c r="S29" s="447" t="str">
        <f>DATA!Y72</f>
        <v>Korea</v>
      </c>
      <c r="T29" s="448">
        <f>DATA!AA72</f>
        <v>195778000</v>
      </c>
      <c r="U29" s="448">
        <v>0</v>
      </c>
      <c r="V29" s="486" t="str">
        <f>DATA!Y72</f>
        <v>Korea</v>
      </c>
      <c r="W29" s="449">
        <f>DATA!AT72</f>
        <v>195778000</v>
      </c>
      <c r="X29" s="450"/>
      <c r="Y29" s="495" t="str">
        <f>DATA!AU72</f>
        <v>Korea</v>
      </c>
      <c r="Z29" s="496" t="str">
        <f>DATA!AW72</f>
        <v>masuk rolling plan EDCF (Korea)</v>
      </c>
      <c r="AA29" s="497" t="str">
        <f>DATA!AN72</f>
        <v>belum ada keterangan</v>
      </c>
      <c r="AB29" s="435" t="str">
        <f>DATA!AO72</f>
        <v>belum ada keterangan</v>
      </c>
      <c r="AC29" s="436" t="e">
        <f>DATA!#REF!</f>
        <v>#REF!</v>
      </c>
      <c r="AD29" s="455">
        <f>DATA!AC72</f>
        <v>195778000</v>
      </c>
      <c r="AE29" s="440"/>
      <c r="AF29" s="498" t="s">
        <v>1443</v>
      </c>
    </row>
    <row r="30" spans="1:32" s="295" customFormat="1" ht="47.25" customHeight="1">
      <c r="A30" s="295">
        <f>DATA!A80</f>
        <v>62</v>
      </c>
      <c r="B30" s="295">
        <f>DATA!B80</f>
        <v>0</v>
      </c>
      <c r="C30" s="295" t="str">
        <f>DATA!D80</f>
        <v>INFRASTRUKTUR</v>
      </c>
      <c r="D30" s="295">
        <f>DATA!E80</f>
        <v>1</v>
      </c>
      <c r="E30" s="295" t="str">
        <f>DATA!F80</f>
        <v>Kementerian Pekerjaan Umum dan Perumahan Rakyat</v>
      </c>
      <c r="F30" s="295" t="str">
        <f>DATA!H80</f>
        <v xml:space="preserve">Development and Management of Irrigation Program </v>
      </c>
      <c r="G30" s="295" t="str">
        <f>DATA!I80</f>
        <v>I</v>
      </c>
      <c r="H30" s="295" t="str">
        <f>DATA!J80</f>
        <v>Program Pengembangan dan Pengelolaan Irigasi</v>
      </c>
      <c r="I30" s="295">
        <f>DATA!K80</f>
        <v>10</v>
      </c>
      <c r="J30" s="438"/>
      <c r="K30" s="480"/>
      <c r="L30" s="439"/>
      <c r="M30" s="441">
        <v>13</v>
      </c>
      <c r="N30" s="442" t="str">
        <f>DATA!L80</f>
        <v>Engineering Service for Irrigation and Low Land Development Project</v>
      </c>
      <c r="O30" s="440">
        <f>DATA!Q80</f>
        <v>1</v>
      </c>
      <c r="P30" s="440">
        <f>DATA!R80</f>
        <v>1</v>
      </c>
      <c r="Q30" s="445">
        <f>DATA!S80</f>
        <v>53</v>
      </c>
      <c r="R30" s="446">
        <f>DATA!T80</f>
        <v>100000000</v>
      </c>
      <c r="S30" s="447" t="str">
        <f>DATA!Y80</f>
        <v>ADB</v>
      </c>
      <c r="T30" s="448">
        <f>DATA!AA80</f>
        <v>100000000</v>
      </c>
      <c r="U30" s="448">
        <v>0</v>
      </c>
      <c r="V30" s="486" t="str">
        <f>DATA!Y80</f>
        <v>ADB</v>
      </c>
      <c r="W30" s="449">
        <f>DATA!AT80</f>
        <v>100000000</v>
      </c>
      <c r="X30" s="450"/>
      <c r="Y30" s="495" t="str">
        <f>DATA!AU80</f>
        <v>ADB</v>
      </c>
      <c r="Z30" s="496" t="str">
        <f>DATA!AW80</f>
        <v>-</v>
      </c>
      <c r="AA30" s="497" t="str">
        <f>DATA!AN80</f>
        <v>siap</v>
      </c>
      <c r="AB30" s="435" t="str">
        <f>DATA!AO80</f>
        <v>tidak butuh lahan</v>
      </c>
      <c r="AC30" s="436" t="e">
        <f>DATA!#REF!</f>
        <v>#REF!</v>
      </c>
      <c r="AD30" s="455">
        <f>DATA!AC80</f>
        <v>38093000</v>
      </c>
      <c r="AE30" s="440"/>
      <c r="AF30" s="498" t="s">
        <v>1443</v>
      </c>
    </row>
    <row r="31" spans="1:32" s="294" customFormat="1" ht="33.75" customHeight="1">
      <c r="J31" s="316"/>
      <c r="K31" s="328"/>
      <c r="L31" s="318" t="str">
        <f>DATA!I81</f>
        <v>J</v>
      </c>
      <c r="M31" s="319" t="str">
        <f>DATA!J81</f>
        <v xml:space="preserve">Program Penyediaan dan Pengelolaan Air Baku </v>
      </c>
      <c r="N31" s="329"/>
      <c r="O31" s="319"/>
      <c r="P31" s="319"/>
      <c r="Q31" s="363"/>
      <c r="R31" s="364">
        <f>SUM(R32:R32)</f>
        <v>50000000</v>
      </c>
      <c r="S31" s="365"/>
      <c r="T31" s="366">
        <f>SUM(T32:T32)</f>
        <v>50000000</v>
      </c>
      <c r="U31" s="366">
        <f>SUM(U32:U32)</f>
        <v>0</v>
      </c>
      <c r="V31" s="367">
        <f>SUM(V32:V32)</f>
        <v>0</v>
      </c>
      <c r="W31" s="365">
        <f>SUM(W32:W32)</f>
        <v>50000000</v>
      </c>
      <c r="X31" s="368"/>
      <c r="Y31" s="366"/>
      <c r="Z31" s="367"/>
      <c r="AA31" s="499"/>
      <c r="AB31" s="420"/>
      <c r="AC31" s="421"/>
      <c r="AD31" s="365"/>
      <c r="AE31" s="366"/>
      <c r="AF31" s="406"/>
    </row>
    <row r="32" spans="1:32" s="295" customFormat="1" ht="57.75" customHeight="1">
      <c r="A32" s="295">
        <f>DATA!A83</f>
        <v>65</v>
      </c>
      <c r="B32" s="295">
        <f>DATA!B83</f>
        <v>0</v>
      </c>
      <c r="C32" s="295" t="str">
        <f>DATA!D83</f>
        <v>INFRASTRUKTUR</v>
      </c>
      <c r="D32" s="295">
        <f>DATA!E83</f>
        <v>1</v>
      </c>
      <c r="E32" s="295" t="str">
        <f>DATA!F83</f>
        <v>Kementerian Pekerjaan Umum dan Perumahan Rakyat</v>
      </c>
      <c r="F32" s="295" t="str">
        <f>DATA!H83</f>
        <v>Provision and Management of Bulk Water Supply Program</v>
      </c>
      <c r="G32" s="295" t="str">
        <f>DATA!I83</f>
        <v>I</v>
      </c>
      <c r="H32" s="295" t="str">
        <f>DATA!J83</f>
        <v xml:space="preserve">Program Penyediaan dan Pengelolaan Air Baku </v>
      </c>
      <c r="I32" s="295">
        <f>DATA!K83</f>
        <v>3</v>
      </c>
      <c r="J32" s="438"/>
      <c r="K32" s="480"/>
      <c r="L32" s="439"/>
      <c r="M32" s="441">
        <v>14</v>
      </c>
      <c r="N32" s="442" t="str">
        <f>DATA!L83</f>
        <v>Engineering Service for Bulk Water and Water Supply Development Project</v>
      </c>
      <c r="O32" s="440">
        <f>DATA!Q83</f>
        <v>1</v>
      </c>
      <c r="P32" s="440">
        <f>DATA!R83</f>
        <v>1</v>
      </c>
      <c r="Q32" s="445">
        <f>DATA!S83</f>
        <v>56</v>
      </c>
      <c r="R32" s="446">
        <f>DATA!T83</f>
        <v>50000000</v>
      </c>
      <c r="S32" s="447" t="str">
        <f>DATA!Y83</f>
        <v>ADB</v>
      </c>
      <c r="T32" s="448">
        <f>DATA!AA83</f>
        <v>50000000</v>
      </c>
      <c r="U32" s="448">
        <v>0</v>
      </c>
      <c r="V32" s="486" t="str">
        <f>DATA!Y83</f>
        <v>ADB</v>
      </c>
      <c r="W32" s="449">
        <f>DATA!AT83</f>
        <v>50000000</v>
      </c>
      <c r="X32" s="450"/>
      <c r="Y32" s="495" t="str">
        <f>DATA!AU83</f>
        <v>ADB</v>
      </c>
      <c r="Z32" s="496" t="str">
        <f>DATA!AW83</f>
        <v>-</v>
      </c>
      <c r="AA32" s="497" t="str">
        <f>DATA!AN83</f>
        <v>siap</v>
      </c>
      <c r="AB32" s="435" t="str">
        <f>DATA!AO83</f>
        <v>tidak butuh lahan</v>
      </c>
      <c r="AC32" s="436" t="e">
        <f>DATA!#REF!</f>
        <v>#REF!</v>
      </c>
      <c r="AD32" s="455">
        <f>DATA!AC83</f>
        <v>2000000</v>
      </c>
      <c r="AE32" s="440"/>
      <c r="AF32" s="498" t="s">
        <v>1443</v>
      </c>
    </row>
    <row r="33" spans="1:32" s="295" customFormat="1" ht="41.25" customHeight="1">
      <c r="J33" s="438"/>
      <c r="K33" s="480"/>
      <c r="L33" s="480"/>
      <c r="M33" s="3938">
        <v>15</v>
      </c>
      <c r="N33" s="3941" t="str">
        <f>DATA!L94</f>
        <v>Engineering Service for Dam Multipurpose Development Project</v>
      </c>
      <c r="O33" s="440">
        <f>DATA!Q94</f>
        <v>0.33333333333333298</v>
      </c>
      <c r="P33" s="440">
        <f>DATA!R94</f>
        <v>0</v>
      </c>
      <c r="Q33" s="445">
        <f>DATA!S94</f>
        <v>66</v>
      </c>
      <c r="R33" s="3923">
        <f>DATA!T93</f>
        <v>100000000</v>
      </c>
      <c r="S33" s="447" t="str">
        <f>DATA!Y94</f>
        <v>ADB</v>
      </c>
      <c r="T33" s="448">
        <f>DATA!AA94</f>
        <v>1930000</v>
      </c>
      <c r="U33" s="448">
        <v>0</v>
      </c>
      <c r="V33" s="486" t="str">
        <f>DATA!Y94</f>
        <v>ADB</v>
      </c>
      <c r="W33" s="449">
        <f>DATA!AT94</f>
        <v>1930000</v>
      </c>
      <c r="X33" s="450"/>
      <c r="Y33" s="495" t="str">
        <f>DATA!AU94</f>
        <v>ADB</v>
      </c>
      <c r="Z33" s="496" t="str">
        <f>DATA!AW94</f>
        <v>co-financing dengan Korea (USD 21,7 juta) dan belum ada indikasi (USD 76,4 juta)</v>
      </c>
      <c r="AA33" s="3926" t="str">
        <f>DATA!AN94</f>
        <v>siap</v>
      </c>
      <c r="AB33" s="3929" t="str">
        <f>DATA!AO94</f>
        <v>tidak butuh lahan</v>
      </c>
      <c r="AC33" s="3932" t="str">
        <f>DATA!AR94</f>
        <v>-</v>
      </c>
      <c r="AD33" s="455">
        <f>DATA!AC93</f>
        <v>1930000</v>
      </c>
      <c r="AE33" s="440"/>
      <c r="AF33" s="498" t="s">
        <v>1443</v>
      </c>
    </row>
    <row r="34" spans="1:32" s="295" customFormat="1" ht="25.5" hidden="1" customHeight="1">
      <c r="J34" s="438"/>
      <c r="K34" s="480"/>
      <c r="L34" s="480"/>
      <c r="M34" s="3940"/>
      <c r="N34" s="3943"/>
      <c r="O34" s="440"/>
      <c r="P34" s="440"/>
      <c r="Q34" s="445"/>
      <c r="R34" s="3925"/>
      <c r="S34" s="447" t="str">
        <f>DATA!Y95</f>
        <v>Korea</v>
      </c>
      <c r="T34" s="448">
        <f>DATA!AA95</f>
        <v>21678596</v>
      </c>
      <c r="U34" s="448">
        <v>0</v>
      </c>
      <c r="V34" s="486" t="str">
        <f>DATA!Y95</f>
        <v>Korea</v>
      </c>
      <c r="W34" s="449">
        <f>DATA!AT95</f>
        <v>21678596</v>
      </c>
      <c r="X34" s="450"/>
      <c r="Y34" s="495" t="str">
        <f>DATA!AU95</f>
        <v>Korea</v>
      </c>
      <c r="Z34" s="496" t="str">
        <f>DATA!AW95</f>
        <v>- co-financing dengan ADB (USD 1,9 juta) dan belum ada indikasi (USD 76,4 juta)
- masuk rolling plan EDCF (Korea)</v>
      </c>
      <c r="AA34" s="3928"/>
      <c r="AB34" s="3931"/>
      <c r="AC34" s="3950"/>
      <c r="AD34" s="449"/>
      <c r="AE34" s="495"/>
      <c r="AF34" s="453"/>
    </row>
    <row r="35" spans="1:32" s="295" customFormat="1" ht="7.5" hidden="1" customHeight="1">
      <c r="J35" s="438"/>
      <c r="K35" s="480"/>
      <c r="L35" s="480"/>
      <c r="M35" s="3939"/>
      <c r="N35" s="3942"/>
      <c r="O35" s="440"/>
      <c r="P35" s="440"/>
      <c r="Q35" s="445"/>
      <c r="R35" s="3924"/>
      <c r="S35" s="447" t="str">
        <f>DATA!Y96</f>
        <v>Belum Ada Indikasi</v>
      </c>
      <c r="T35" s="448">
        <v>0</v>
      </c>
      <c r="U35" s="448">
        <f>DATA!AA96</f>
        <v>76391404</v>
      </c>
      <c r="V35" s="486" t="str">
        <f>DATA!Y96</f>
        <v>Belum Ada Indikasi</v>
      </c>
      <c r="W35" s="449"/>
      <c r="X35" s="450">
        <f>DATA!AT96</f>
        <v>76391404</v>
      </c>
      <c r="Y35" s="495" t="str">
        <f>DATA!AU96</f>
        <v>Belum Ada Indikasi</v>
      </c>
      <c r="Z35" s="496" t="str">
        <f>DATA!AW96</f>
        <v>co-financing dengan Korea (USD 21,7 juta) dan ADB (USD 1,9 juta)</v>
      </c>
      <c r="AA35" s="3927"/>
      <c r="AB35" s="3930"/>
      <c r="AC35" s="3933"/>
      <c r="AD35" s="449"/>
      <c r="AE35" s="495"/>
      <c r="AF35" s="453"/>
    </row>
    <row r="36" spans="1:32" s="295" customFormat="1" ht="43.5" customHeight="1">
      <c r="A36" s="295">
        <f>DATA!A97</f>
        <v>76</v>
      </c>
      <c r="B36" s="295">
        <f>DATA!B97</f>
        <v>0</v>
      </c>
      <c r="C36" s="295" t="str">
        <f>DATA!D97</f>
        <v>INFRASTRUKTUR</v>
      </c>
      <c r="D36" s="295">
        <f>DATA!E97</f>
        <v>1</v>
      </c>
      <c r="E36" s="295" t="str">
        <f>DATA!F97</f>
        <v>Kementerian Pekerjaan Umum dan Perumahan Rakyat</v>
      </c>
      <c r="F36" s="295" t="str">
        <f>DATA!H97</f>
        <v>Dam Development Program</v>
      </c>
      <c r="G36" s="295" t="str">
        <f>DATA!I97</f>
        <v>J</v>
      </c>
      <c r="H36" s="295" t="str">
        <f>DATA!J97</f>
        <v xml:space="preserve">Program Pembangunan Waduk </v>
      </c>
      <c r="I36" s="295">
        <f>DATA!K97</f>
        <v>11</v>
      </c>
      <c r="J36" s="438"/>
      <c r="K36" s="480"/>
      <c r="L36" s="439"/>
      <c r="M36" s="441">
        <v>16</v>
      </c>
      <c r="N36" s="442" t="str">
        <f>DATA!L97</f>
        <v>Additional Loan for Jatigede Dam Project 2</v>
      </c>
      <c r="O36" s="440">
        <f>DATA!Q97</f>
        <v>1</v>
      </c>
      <c r="P36" s="440">
        <f>DATA!R97</f>
        <v>1</v>
      </c>
      <c r="Q36" s="445">
        <f>DATA!S97</f>
        <v>67</v>
      </c>
      <c r="R36" s="446">
        <f>DATA!T97</f>
        <v>53200000</v>
      </c>
      <c r="S36" s="447" t="str">
        <f>DATA!Y97</f>
        <v>RRT</v>
      </c>
      <c r="T36" s="448">
        <f>DATA!AA97</f>
        <v>53200000</v>
      </c>
      <c r="U36" s="448">
        <v>0</v>
      </c>
      <c r="V36" s="486" t="str">
        <f>DATA!Y97</f>
        <v>RRT</v>
      </c>
      <c r="W36" s="449">
        <f>DATA!AT97</f>
        <v>53200000</v>
      </c>
      <c r="X36" s="450"/>
      <c r="Y36" s="495" t="str">
        <f>DATA!AU97</f>
        <v>RRT</v>
      </c>
      <c r="Z36" s="496" t="str">
        <f>DATA!AW97</f>
        <v>-</v>
      </c>
      <c r="AA36" s="497" t="str">
        <f>DATA!AN97</f>
        <v>dalam proses
(memiliki FS dan DED)</v>
      </c>
      <c r="AB36" s="435" t="str">
        <f>DATA!AO97</f>
        <v>dalam proses
(persiapan)</v>
      </c>
      <c r="AC36" s="436" t="e">
        <f>DATA!#REF!</f>
        <v>#REF!</v>
      </c>
      <c r="AD36" s="455">
        <f>DATA!AC97</f>
        <v>53200000</v>
      </c>
      <c r="AE36" s="440"/>
      <c r="AF36" s="498" t="s">
        <v>1443</v>
      </c>
    </row>
    <row r="37" spans="1:32" s="294" customFormat="1" ht="33.75" customHeight="1">
      <c r="J37" s="316"/>
      <c r="K37" s="328"/>
      <c r="L37" s="318" t="str">
        <f>DATA!I98</f>
        <v>K</v>
      </c>
      <c r="M37" s="319" t="str">
        <f>DATA!J98</f>
        <v>Program Mitigasi Terhadap Daya Rusak Air</v>
      </c>
      <c r="N37" s="329"/>
      <c r="O37" s="319"/>
      <c r="P37" s="319"/>
      <c r="Q37" s="363"/>
      <c r="R37" s="364" t="e">
        <f>+#REF!+#REF!+#REF!+#REF!+#REF!+R38+#REF!+R39</f>
        <v>#REF!</v>
      </c>
      <c r="S37" s="365"/>
      <c r="T37" s="366" t="e">
        <f>+#REF!+#REF!+#REF!+#REF!+#REF!+T38+#REF!+T39</f>
        <v>#REF!</v>
      </c>
      <c r="U37" s="366" t="e">
        <f>+#REF!+#REF!+#REF!+#REF!+#REF!+U38+#REF!+U39</f>
        <v>#REF!</v>
      </c>
      <c r="V37" s="367"/>
      <c r="W37" s="365" t="e">
        <f>+#REF!+#REF!+#REF!+#REF!+#REF!+W38+#REF!+W39</f>
        <v>#REF!</v>
      </c>
      <c r="X37" s="368"/>
      <c r="Y37" s="366"/>
      <c r="Z37" s="367"/>
      <c r="AA37" s="499"/>
      <c r="AB37" s="420"/>
      <c r="AC37" s="421"/>
      <c r="AD37" s="365"/>
      <c r="AE37" s="366"/>
      <c r="AF37" s="406"/>
    </row>
    <row r="38" spans="1:32" s="295" customFormat="1" ht="46.5" customHeight="1">
      <c r="A38" s="295">
        <f>DATA!A104</f>
        <v>0</v>
      </c>
      <c r="B38" s="295">
        <f>DATA!B104</f>
        <v>0</v>
      </c>
      <c r="C38" s="295" t="str">
        <f>DATA!D104</f>
        <v>INFRASTRUKTUR</v>
      </c>
      <c r="D38" s="295">
        <f>DATA!E104</f>
        <v>1</v>
      </c>
      <c r="E38" s="295" t="str">
        <f>DATA!F104</f>
        <v>Kementerian Pekerjaan Umum dan Perumahan Rakyat</v>
      </c>
      <c r="F38" s="295" t="str">
        <f>DATA!H104</f>
        <v>Mitigation of Water Hazards Program</v>
      </c>
      <c r="G38" s="295" t="str">
        <f>DATA!I104</f>
        <v>K</v>
      </c>
      <c r="H38" s="295" t="str">
        <f>DATA!J104</f>
        <v>Program Mitigasi Terhadap Daya Rusak Air</v>
      </c>
      <c r="I38" s="295">
        <f>DATA!K104</f>
        <v>6</v>
      </c>
      <c r="J38" s="438"/>
      <c r="K38" s="480"/>
      <c r="L38" s="480"/>
      <c r="M38" s="441">
        <v>17</v>
      </c>
      <c r="N38" s="442" t="str">
        <f>DATA!L104</f>
        <v>Engineering Service for Coastal and River Development Project</v>
      </c>
      <c r="O38" s="440">
        <f>DATA!Q104</f>
        <v>1</v>
      </c>
      <c r="P38" s="440">
        <f>DATA!R104</f>
        <v>1</v>
      </c>
      <c r="Q38" s="445">
        <f>DATA!S104</f>
        <v>73</v>
      </c>
      <c r="R38" s="446">
        <f>DATA!T104</f>
        <v>50000000</v>
      </c>
      <c r="S38" s="447" t="str">
        <f>DATA!Y104</f>
        <v>ADB</v>
      </c>
      <c r="T38" s="448">
        <f>DATA!AA104</f>
        <v>9620000</v>
      </c>
      <c r="U38" s="448">
        <v>0</v>
      </c>
      <c r="V38" s="486" t="str">
        <f>DATA!Y104</f>
        <v>ADB</v>
      </c>
      <c r="W38" s="449">
        <f>DATA!AT104</f>
        <v>9620000</v>
      </c>
      <c r="X38" s="450"/>
      <c r="Y38" s="495" t="str">
        <f>DATA!AU104</f>
        <v>ADB</v>
      </c>
      <c r="Z38" s="496" t="str">
        <f>DATA!AW104</f>
        <v>co-financing dengan Korea (USD 10,5 juta) dan belum ada indikasi (USD 29,9 juta)</v>
      </c>
      <c r="AA38" s="497" t="str">
        <f>DATA!AN104</f>
        <v>siap</v>
      </c>
      <c r="AB38" s="435" t="str">
        <f>DATA!AO104</f>
        <v>tidak butuh lahan</v>
      </c>
      <c r="AC38" s="436" t="str">
        <f>DATA!AR104</f>
        <v>-</v>
      </c>
      <c r="AD38" s="455">
        <f>DATA!AC104</f>
        <v>9620000</v>
      </c>
      <c r="AE38" s="440"/>
      <c r="AF38" s="498" t="s">
        <v>1443</v>
      </c>
    </row>
    <row r="39" spans="1:32" s="295" customFormat="1" ht="36" customHeight="1">
      <c r="A39" s="295">
        <f>DATA!A109</f>
        <v>84</v>
      </c>
      <c r="B39" s="295">
        <f>DATA!B109</f>
        <v>0</v>
      </c>
      <c r="C39" s="295" t="str">
        <f>DATA!D109</f>
        <v>INFRASTRUKTUR</v>
      </c>
      <c r="D39" s="295">
        <f>DATA!E109</f>
        <v>1</v>
      </c>
      <c r="E39" s="295" t="str">
        <f>DATA!F109</f>
        <v>Kementerian Pekerjaan Umum dan Perumahan Rakyat</v>
      </c>
      <c r="F39" s="295" t="str">
        <f>DATA!H109</f>
        <v>Mitigation of Water Hazards Program</v>
      </c>
      <c r="G39" s="295" t="str">
        <f>DATA!I109</f>
        <v>K</v>
      </c>
      <c r="H39" s="295" t="str">
        <f>DATA!J109</f>
        <v>Program Mitigasi Terhadap Daya Rusak Air</v>
      </c>
      <c r="I39" s="295">
        <f>DATA!K109</f>
        <v>7</v>
      </c>
      <c r="J39" s="438"/>
      <c r="K39" s="480"/>
      <c r="L39" s="439"/>
      <c r="M39" s="441">
        <v>18</v>
      </c>
      <c r="N39" s="442" t="str">
        <f>DATA!L109</f>
        <v>Flood Management in Selected River Basins</v>
      </c>
      <c r="O39" s="440">
        <f>DATA!Q109</f>
        <v>1</v>
      </c>
      <c r="P39" s="440">
        <f>DATA!R109</f>
        <v>1</v>
      </c>
      <c r="Q39" s="445">
        <f>DATA!S109</f>
        <v>75</v>
      </c>
      <c r="R39" s="446">
        <f>DATA!T109</f>
        <v>108700000</v>
      </c>
      <c r="S39" s="447" t="str">
        <f>DATA!Y109</f>
        <v>ADB</v>
      </c>
      <c r="T39" s="448">
        <f>DATA!AA109</f>
        <v>108700000</v>
      </c>
      <c r="U39" s="448">
        <v>0</v>
      </c>
      <c r="V39" s="486" t="str">
        <f>DATA!Y109</f>
        <v>ADB</v>
      </c>
      <c r="W39" s="449">
        <f>DATA!AT109</f>
        <v>108700000</v>
      </c>
      <c r="X39" s="450"/>
      <c r="Y39" s="495" t="str">
        <f>DATA!AU109</f>
        <v>ADB</v>
      </c>
      <c r="Z39" s="496" t="str">
        <f>DATA!AW109</f>
        <v>-</v>
      </c>
      <c r="AA39" s="497" t="str">
        <f>DATA!AN109</f>
        <v>dalam proses
(memiliki FS dan DED)</v>
      </c>
      <c r="AB39" s="435" t="str">
        <f>DATA!AO109</f>
        <v>dalam proses
(persiapan)</v>
      </c>
      <c r="AC39" s="436" t="e">
        <f>DATA!#REF!</f>
        <v>#REF!</v>
      </c>
      <c r="AD39" s="455">
        <f>DATA!AC109</f>
        <v>108700000</v>
      </c>
      <c r="AE39" s="440"/>
      <c r="AF39" s="498" t="s">
        <v>1443</v>
      </c>
    </row>
    <row r="40" spans="1:32" s="293" customFormat="1" ht="24.95" customHeight="1">
      <c r="J40" s="425"/>
      <c r="K40" s="313">
        <v>2</v>
      </c>
      <c r="L40" s="426" t="str">
        <f>DATA!F119</f>
        <v>Kementerian Perhubungan</v>
      </c>
      <c r="M40" s="313"/>
      <c r="N40" s="315"/>
      <c r="O40" s="314"/>
      <c r="P40" s="314"/>
      <c r="Q40" s="357"/>
      <c r="R40" s="358" t="e">
        <f>+R41</f>
        <v>#REF!</v>
      </c>
      <c r="S40" s="428"/>
      <c r="T40" s="360" t="e">
        <f>+T41</f>
        <v>#REF!</v>
      </c>
      <c r="U40" s="360" t="e">
        <f>+U41</f>
        <v>#REF!</v>
      </c>
      <c r="V40" s="361"/>
      <c r="W40" s="359" t="e">
        <f>+W41</f>
        <v>#REF!</v>
      </c>
      <c r="X40" s="362"/>
      <c r="Y40" s="360"/>
      <c r="Z40" s="361"/>
      <c r="AA40" s="500"/>
      <c r="AB40" s="431"/>
      <c r="AC40" s="432"/>
      <c r="AD40" s="359">
        <f>SUM(AD41:AD43)</f>
        <v>204670000</v>
      </c>
      <c r="AE40" s="360">
        <f>SUM(AE41:AE43)</f>
        <v>15646793.25</v>
      </c>
      <c r="AF40" s="433"/>
    </row>
    <row r="41" spans="1:32" s="294" customFormat="1" ht="33.75" customHeight="1">
      <c r="J41" s="316"/>
      <c r="K41" s="317"/>
      <c r="L41" s="318" t="str">
        <f>DATA!I119</f>
        <v>A</v>
      </c>
      <c r="M41" s="319" t="str">
        <f>DATA!J119</f>
        <v>Program Pengembangan Perkeretaapian</v>
      </c>
      <c r="N41" s="329"/>
      <c r="O41" s="319"/>
      <c r="P41" s="319"/>
      <c r="Q41" s="363"/>
      <c r="R41" s="364" t="e">
        <f>R42+#REF!+#REF!+#REF!+R43</f>
        <v>#REF!</v>
      </c>
      <c r="S41" s="427"/>
      <c r="T41" s="366" t="e">
        <f>T42+#REF!+#REF!+#REF!+T43</f>
        <v>#REF!</v>
      </c>
      <c r="U41" s="366" t="e">
        <f>U42+#REF!+#REF!+#REF!+U43</f>
        <v>#REF!</v>
      </c>
      <c r="V41" s="367"/>
      <c r="W41" s="365" t="e">
        <f>W42+#REF!+#REF!+#REF!+W43</f>
        <v>#REF!</v>
      </c>
      <c r="X41" s="368"/>
      <c r="Y41" s="366"/>
      <c r="Z41" s="367"/>
      <c r="AA41" s="499"/>
      <c r="AB41" s="420"/>
      <c r="AC41" s="421"/>
      <c r="AD41" s="365"/>
      <c r="AE41" s="366"/>
      <c r="AF41" s="422"/>
    </row>
    <row r="42" spans="1:32" s="295" customFormat="1" ht="45.75" customHeight="1">
      <c r="A42" s="295">
        <f>DATA!A120</f>
        <v>91</v>
      </c>
      <c r="B42" s="295">
        <f>DATA!B120</f>
        <v>0</v>
      </c>
      <c r="C42" s="295" t="str">
        <f>DATA!D120</f>
        <v>INFRASTRUKTUR</v>
      </c>
      <c r="D42" s="295">
        <f>DATA!E120</f>
        <v>3</v>
      </c>
      <c r="E42" s="295" t="str">
        <f>DATA!F120</f>
        <v>Kementerian Perhubungan</v>
      </c>
      <c r="F42" s="295" t="str">
        <f>DATA!H120</f>
        <v>Railway Development Program</v>
      </c>
      <c r="G42" s="295" t="str">
        <f>DATA!I120</f>
        <v>A</v>
      </c>
      <c r="H42" s="295" t="str">
        <f>DATA!J120</f>
        <v>Program Pengembangan Perkeretaapian</v>
      </c>
      <c r="I42" s="295">
        <f>DATA!K120</f>
        <v>1</v>
      </c>
      <c r="J42" s="438"/>
      <c r="K42" s="480"/>
      <c r="L42" s="480"/>
      <c r="M42" s="482">
        <v>19</v>
      </c>
      <c r="N42" s="442" t="str">
        <f>DATA!L120</f>
        <v>Procurement of Track Material and Turn Out - Phase II</v>
      </c>
      <c r="O42" s="440">
        <f>DATA!Q120</f>
        <v>1</v>
      </c>
      <c r="P42" s="440">
        <f>DATA!R120</f>
        <v>1</v>
      </c>
      <c r="Q42" s="445">
        <f>DATA!S120</f>
        <v>81</v>
      </c>
      <c r="R42" s="446">
        <f>DATA!T120</f>
        <v>200000000</v>
      </c>
      <c r="S42" s="447" t="str">
        <f>DATA!Y120</f>
        <v>RRT</v>
      </c>
      <c r="T42" s="448">
        <f>DATA!AA120</f>
        <v>200000000</v>
      </c>
      <c r="U42" s="448">
        <v>0</v>
      </c>
      <c r="V42" s="486" t="str">
        <f>DATA!Y120</f>
        <v>RRT</v>
      </c>
      <c r="W42" s="449">
        <f>DATA!AT120</f>
        <v>200000000</v>
      </c>
      <c r="X42" s="450"/>
      <c r="Y42" s="495" t="str">
        <f>DATA!AU120</f>
        <v>RRT</v>
      </c>
      <c r="Z42" s="496" t="str">
        <f>DATA!AW120</f>
        <v>sudah kontrak</v>
      </c>
      <c r="AA42" s="497" t="str">
        <f>DATA!AN120</f>
        <v>dalam proses</v>
      </c>
      <c r="AB42" s="435" t="str">
        <f>DATA!AO120</f>
        <v>tidak butuh lahan</v>
      </c>
      <c r="AC42" s="436" t="e">
        <f>DATA!#REF!</f>
        <v>#REF!</v>
      </c>
      <c r="AD42" s="455">
        <f>DATA!AC120</f>
        <v>185470000</v>
      </c>
      <c r="AE42" s="440"/>
      <c r="AF42" s="498" t="s">
        <v>1443</v>
      </c>
    </row>
    <row r="43" spans="1:32" s="295" customFormat="1" ht="48" customHeight="1">
      <c r="A43" s="295">
        <f>DATA!A125</f>
        <v>95</v>
      </c>
      <c r="B43" s="295">
        <f>DATA!B125</f>
        <v>0</v>
      </c>
      <c r="C43" s="295" t="str">
        <f>DATA!D125</f>
        <v>INFRASTRUKTUR</v>
      </c>
      <c r="D43" s="295">
        <f>DATA!E125</f>
        <v>3</v>
      </c>
      <c r="E43" s="295" t="str">
        <f>DATA!F125</f>
        <v>Kementerian Perhubungan</v>
      </c>
      <c r="F43" s="295" t="str">
        <f>DATA!H125</f>
        <v>Railway Development Program</v>
      </c>
      <c r="G43" s="295" t="str">
        <f>DATA!I125</f>
        <v>A</v>
      </c>
      <c r="H43" s="295" t="str">
        <f>DATA!J125</f>
        <v>Program Pengembangan Perkeretaapian</v>
      </c>
      <c r="I43" s="295">
        <f>DATA!K125</f>
        <v>4</v>
      </c>
      <c r="J43" s="438"/>
      <c r="K43" s="439"/>
      <c r="L43" s="439"/>
      <c r="M43" s="482">
        <v>20</v>
      </c>
      <c r="N43" s="442" t="str">
        <f>DATA!L125</f>
        <v xml:space="preserve">Engineering Services Jakarta Mass Rapid Transit (MRT) East West Line Project - Phase I </v>
      </c>
      <c r="O43" s="440">
        <f>DATA!Q125</f>
        <v>1</v>
      </c>
      <c r="P43" s="440">
        <f>DATA!R125</f>
        <v>1</v>
      </c>
      <c r="Q43" s="445">
        <f>DATA!S125</f>
        <v>86</v>
      </c>
      <c r="R43" s="446">
        <f>DATA!T125</f>
        <v>23000000</v>
      </c>
      <c r="S43" s="447" t="str">
        <f>DATA!Y125</f>
        <v>JICA</v>
      </c>
      <c r="T43" s="448">
        <f>DATA!AA125</f>
        <v>23000000</v>
      </c>
      <c r="U43" s="448">
        <v>0</v>
      </c>
      <c r="V43" s="486" t="str">
        <f>DATA!Y125</f>
        <v>JICA</v>
      </c>
      <c r="W43" s="449">
        <f>DATA!AT125</f>
        <v>23000000</v>
      </c>
      <c r="X43" s="450"/>
      <c r="Y43" s="495" t="str">
        <f>DATA!AU125</f>
        <v>JICA</v>
      </c>
      <c r="Z43" s="496" t="str">
        <f>DATA!AW125</f>
        <v>LA sudah ditandatangani</v>
      </c>
      <c r="AA43" s="497" t="str">
        <f>DATA!AN125</f>
        <v>siap</v>
      </c>
      <c r="AB43" s="435" t="str">
        <f>DATA!AO125</f>
        <v>tidak butuh lahan</v>
      </c>
      <c r="AC43" s="436" t="e">
        <f>DATA!#REF!</f>
        <v>#REF!</v>
      </c>
      <c r="AD43" s="455">
        <f>DATA!AC125</f>
        <v>19200000</v>
      </c>
      <c r="AE43" s="456">
        <f>DATA!AD125</f>
        <v>15646793.25</v>
      </c>
      <c r="AF43" s="498" t="s">
        <v>1445</v>
      </c>
    </row>
    <row r="44" spans="1:32" s="293" customFormat="1" ht="24.95" customHeight="1">
      <c r="J44" s="425"/>
      <c r="K44" s="313">
        <v>3</v>
      </c>
      <c r="L44" s="426" t="str">
        <f>DATA!F130</f>
        <v>Pemprov. DKI Jakarta</v>
      </c>
      <c r="M44" s="313"/>
      <c r="N44" s="315"/>
      <c r="O44" s="314"/>
      <c r="P44" s="314"/>
      <c r="Q44" s="357"/>
      <c r="R44" s="358">
        <f>+R45</f>
        <v>1050000000</v>
      </c>
      <c r="S44" s="428"/>
      <c r="T44" s="360">
        <f t="shared" ref="T44:Z45" si="1">+T45</f>
        <v>1050000000</v>
      </c>
      <c r="U44" s="360">
        <f t="shared" si="1"/>
        <v>0</v>
      </c>
      <c r="V44" s="361"/>
      <c r="W44" s="359">
        <f t="shared" si="1"/>
        <v>1050000000</v>
      </c>
      <c r="X44" s="362"/>
      <c r="Y44" s="360"/>
      <c r="Z44" s="361" t="str">
        <f t="shared" si="1"/>
        <v>-</v>
      </c>
      <c r="AA44" s="500"/>
      <c r="AB44" s="431"/>
      <c r="AC44" s="432"/>
      <c r="AD44" s="359">
        <f>SUM(AD45:AD46)</f>
        <v>752200000</v>
      </c>
      <c r="AE44" s="360">
        <f>SUM(AE45:AE46)</f>
        <v>613298850.72000003</v>
      </c>
      <c r="AF44" s="437"/>
    </row>
    <row r="45" spans="1:32" s="294" customFormat="1" ht="33.75" customHeight="1">
      <c r="J45" s="316"/>
      <c r="K45" s="317"/>
      <c r="L45" s="318" t="str">
        <f>DATA!I130</f>
        <v>A</v>
      </c>
      <c r="M45" s="319" t="str">
        <f>DATA!J130</f>
        <v>Program Pengembangan Perkeretaapian</v>
      </c>
      <c r="N45" s="329"/>
      <c r="O45" s="319"/>
      <c r="P45" s="319"/>
      <c r="Q45" s="363"/>
      <c r="R45" s="364">
        <f>+R46</f>
        <v>1050000000</v>
      </c>
      <c r="S45" s="427"/>
      <c r="T45" s="366">
        <f t="shared" si="1"/>
        <v>1050000000</v>
      </c>
      <c r="U45" s="366">
        <f t="shared" si="1"/>
        <v>0</v>
      </c>
      <c r="V45" s="367"/>
      <c r="W45" s="365">
        <f t="shared" si="1"/>
        <v>1050000000</v>
      </c>
      <c r="X45" s="368"/>
      <c r="Y45" s="366"/>
      <c r="Z45" s="367" t="str">
        <f t="shared" si="1"/>
        <v>-</v>
      </c>
      <c r="AA45" s="499"/>
      <c r="AB45" s="420"/>
      <c r="AC45" s="421"/>
      <c r="AD45" s="365"/>
      <c r="AE45" s="366"/>
      <c r="AF45" s="422"/>
    </row>
    <row r="46" spans="1:32" s="295" customFormat="1" ht="48" customHeight="1">
      <c r="A46" s="295">
        <f>DATA!A130</f>
        <v>96</v>
      </c>
      <c r="B46" s="295">
        <f>DATA!B130</f>
        <v>0</v>
      </c>
      <c r="C46" s="295" t="str">
        <f>DATA!D130</f>
        <v>INFRASTRUKTUR</v>
      </c>
      <c r="D46" s="295">
        <f>DATA!E130</f>
        <v>4</v>
      </c>
      <c r="E46" s="295" t="str">
        <f>DATA!F130</f>
        <v>Pemprov. DKI Jakarta</v>
      </c>
      <c r="F46" s="295" t="str">
        <f>DATA!H130</f>
        <v>Railway Development Program</v>
      </c>
      <c r="G46" s="295" t="str">
        <f>DATA!I130</f>
        <v>A</v>
      </c>
      <c r="H46" s="295" t="str">
        <f>DATA!J130</f>
        <v>Program Pengembangan Perkeretaapian</v>
      </c>
      <c r="I46" s="295">
        <f>DATA!K130</f>
        <v>1</v>
      </c>
      <c r="J46" s="438"/>
      <c r="K46" s="439"/>
      <c r="L46" s="440"/>
      <c r="M46" s="441">
        <v>21</v>
      </c>
      <c r="N46" s="442" t="s">
        <v>1446</v>
      </c>
      <c r="O46" s="440">
        <f>DATA!Q130</f>
        <v>1</v>
      </c>
      <c r="P46" s="440">
        <f>DATA!R130</f>
        <v>1</v>
      </c>
      <c r="Q46" s="445">
        <f>DATA!S130</f>
        <v>85</v>
      </c>
      <c r="R46" s="446">
        <f>DATA!T130</f>
        <v>1050000000</v>
      </c>
      <c r="S46" s="447" t="str">
        <f>DATA!Y130</f>
        <v>JICA</v>
      </c>
      <c r="T46" s="448">
        <f>DATA!AA130</f>
        <v>1050000000</v>
      </c>
      <c r="U46" s="448">
        <v>0</v>
      </c>
      <c r="V46" s="486" t="str">
        <f>DATA!Y130</f>
        <v>JICA</v>
      </c>
      <c r="W46" s="449">
        <f>DATA!AT130</f>
        <v>1050000000</v>
      </c>
      <c r="X46" s="450"/>
      <c r="Y46" s="495" t="str">
        <f>DATA!AU130</f>
        <v>JICA</v>
      </c>
      <c r="Z46" s="486" t="str">
        <f>DATA!AW130</f>
        <v>-</v>
      </c>
      <c r="AA46" s="497" t="str">
        <f>DATA!AN130</f>
        <v>siap</v>
      </c>
      <c r="AB46" s="435" t="str">
        <f>DATA!AO130</f>
        <v>siap</v>
      </c>
      <c r="AC46" s="436" t="e">
        <f>DATA!#REF!</f>
        <v>#REF!</v>
      </c>
      <c r="AD46" s="455">
        <f>DATA!AC130</f>
        <v>752200000</v>
      </c>
      <c r="AE46" s="456">
        <f>DATA!AD130</f>
        <v>613298850.72000003</v>
      </c>
      <c r="AF46" s="498" t="s">
        <v>1445</v>
      </c>
    </row>
    <row r="47" spans="1:32" s="293" customFormat="1" ht="24.95" customHeight="1">
      <c r="J47" s="425"/>
      <c r="K47" s="313">
        <v>4</v>
      </c>
      <c r="L47" s="426" t="str">
        <f>DATA!F138</f>
        <v>Kepolisian RI</v>
      </c>
      <c r="M47" s="313"/>
      <c r="N47" s="315"/>
      <c r="O47" s="314"/>
      <c r="P47" s="314"/>
      <c r="Q47" s="357"/>
      <c r="R47" s="358">
        <f>+R48</f>
        <v>20000000</v>
      </c>
      <c r="S47" s="428"/>
      <c r="T47" s="360">
        <f t="shared" ref="T47:W48" si="2">+T48</f>
        <v>20000000</v>
      </c>
      <c r="U47" s="360">
        <f t="shared" si="2"/>
        <v>0</v>
      </c>
      <c r="V47" s="361"/>
      <c r="W47" s="359">
        <f t="shared" si="2"/>
        <v>20000000</v>
      </c>
      <c r="X47" s="362"/>
      <c r="Y47" s="360"/>
      <c r="Z47" s="361"/>
      <c r="AA47" s="500"/>
      <c r="AB47" s="431"/>
      <c r="AC47" s="432"/>
      <c r="AD47" s="359">
        <f>SUM(AD48:AD49)</f>
        <v>20000000</v>
      </c>
      <c r="AE47" s="360"/>
      <c r="AF47" s="401"/>
    </row>
    <row r="48" spans="1:32" s="294" customFormat="1" ht="33.75" customHeight="1">
      <c r="J48" s="316"/>
      <c r="K48" s="317"/>
      <c r="L48" s="318" t="str">
        <f>DATA!I138</f>
        <v>A</v>
      </c>
      <c r="M48" s="3918" t="str">
        <f>DATA!J138</f>
        <v>Program Pengembangan Infrastruktur TIK dan Penyiaran</v>
      </c>
      <c r="N48" s="3919"/>
      <c r="O48" s="319"/>
      <c r="P48" s="319"/>
      <c r="Q48" s="363"/>
      <c r="R48" s="364">
        <f>+R49</f>
        <v>20000000</v>
      </c>
      <c r="S48" s="427"/>
      <c r="T48" s="366">
        <f t="shared" si="2"/>
        <v>20000000</v>
      </c>
      <c r="U48" s="366">
        <f t="shared" si="2"/>
        <v>0</v>
      </c>
      <c r="V48" s="367"/>
      <c r="W48" s="365">
        <f t="shared" si="2"/>
        <v>20000000</v>
      </c>
      <c r="X48" s="368"/>
      <c r="Y48" s="366"/>
      <c r="Z48" s="367"/>
      <c r="AA48" s="499"/>
      <c r="AB48" s="420"/>
      <c r="AC48" s="421"/>
      <c r="AD48" s="365"/>
      <c r="AE48" s="366"/>
      <c r="AF48" s="406"/>
    </row>
    <row r="49" spans="1:32" s="295" customFormat="1" ht="47.25" customHeight="1">
      <c r="A49" s="295">
        <f>DATA!A138</f>
        <v>100</v>
      </c>
      <c r="B49" s="295">
        <f>DATA!B138</f>
        <v>0</v>
      </c>
      <c r="C49" s="295" t="str">
        <f>DATA!D138</f>
        <v>INFRASTRUKTUR</v>
      </c>
      <c r="D49" s="295">
        <f>DATA!E138</f>
        <v>6</v>
      </c>
      <c r="E49" s="295" t="str">
        <f>DATA!F138</f>
        <v>Kepolisian RI</v>
      </c>
      <c r="F49" s="295" t="str">
        <f>DATA!H138</f>
        <v>Information Communication And Technology (ICT) And Broadcasting Infrastructure Development Program</v>
      </c>
      <c r="G49" s="295" t="str">
        <f>DATA!I138</f>
        <v>A</v>
      </c>
      <c r="H49" s="295" t="str">
        <f>DATA!J138</f>
        <v>Program Pengembangan Infrastruktur TIK dan Penyiaran</v>
      </c>
      <c r="I49" s="295">
        <f>DATA!K138</f>
        <v>1</v>
      </c>
      <c r="J49" s="438"/>
      <c r="K49" s="439"/>
      <c r="L49" s="440"/>
      <c r="M49" s="441">
        <v>22</v>
      </c>
      <c r="N49" s="442" t="s">
        <v>307</v>
      </c>
      <c r="O49" s="440">
        <f>DATA!Q138</f>
        <v>1</v>
      </c>
      <c r="P49" s="440">
        <f>DATA!R138</f>
        <v>1</v>
      </c>
      <c r="Q49" s="445">
        <f>DATA!S138</f>
        <v>90</v>
      </c>
      <c r="R49" s="446">
        <f>DATA!T138</f>
        <v>20000000</v>
      </c>
      <c r="S49" s="447" t="str">
        <f>DATA!Y138</f>
        <v>Korea</v>
      </c>
      <c r="T49" s="451">
        <f>DATA!AA138</f>
        <v>20000000</v>
      </c>
      <c r="U49" s="448">
        <v>0</v>
      </c>
      <c r="V49" s="452" t="str">
        <f>DATA!Y138</f>
        <v>Korea</v>
      </c>
      <c r="W49" s="449">
        <f>DATA!AT138</f>
        <v>20000000</v>
      </c>
      <c r="X49" s="450"/>
      <c r="Y49" s="495" t="str">
        <f>DATA!AU138</f>
        <v>Korea</v>
      </c>
      <c r="Z49" s="501" t="str">
        <f>DATA!AW138</f>
        <v>masuk rolling plan EDCF (Korea)</v>
      </c>
      <c r="AA49" s="497" t="str">
        <f>DATA!AN138</f>
        <v>siap</v>
      </c>
      <c r="AB49" s="435" t="str">
        <f>DATA!AO138</f>
        <v>tidak butuh lahan</v>
      </c>
      <c r="AC49" s="436" t="str">
        <f>DATA!AR138</f>
        <v>-</v>
      </c>
      <c r="AD49" s="455">
        <f>DATA!AC138</f>
        <v>20000000</v>
      </c>
      <c r="AE49" s="440"/>
      <c r="AF49" s="498" t="s">
        <v>1443</v>
      </c>
    </row>
    <row r="50" spans="1:32" s="293" customFormat="1" ht="24.95" customHeight="1">
      <c r="J50" s="425"/>
      <c r="K50" s="313">
        <v>5</v>
      </c>
      <c r="L50" s="426" t="str">
        <f>DATA!F139</f>
        <v xml:space="preserve">PT. PLN    </v>
      </c>
      <c r="M50" s="313"/>
      <c r="N50" s="315"/>
      <c r="O50" s="314"/>
      <c r="P50" s="314"/>
      <c r="Q50" s="357"/>
      <c r="R50" s="358" t="e">
        <f>+R51</f>
        <v>#REF!</v>
      </c>
      <c r="S50" s="428"/>
      <c r="T50" s="360" t="e">
        <f>+T51</f>
        <v>#REF!</v>
      </c>
      <c r="U50" s="360" t="e">
        <f>+U51</f>
        <v>#REF!</v>
      </c>
      <c r="V50" s="361"/>
      <c r="W50" s="359" t="e">
        <f>+W51</f>
        <v>#REF!</v>
      </c>
      <c r="X50" s="362"/>
      <c r="Y50" s="360"/>
      <c r="Z50" s="361"/>
      <c r="AA50" s="500"/>
      <c r="AB50" s="431"/>
      <c r="AC50" s="432"/>
      <c r="AD50" s="359">
        <f>SUM(AD51:AD53)</f>
        <v>635710000</v>
      </c>
      <c r="AE50" s="360">
        <f>SUM(AE51:AE53)</f>
        <v>519051416.05000001</v>
      </c>
      <c r="AF50" s="401"/>
    </row>
    <row r="51" spans="1:32" s="294" customFormat="1" ht="33.75" customHeight="1">
      <c r="J51" s="316"/>
      <c r="K51" s="317"/>
      <c r="L51" s="318" t="str">
        <f>DATA!I139</f>
        <v>A</v>
      </c>
      <c r="M51" s="3918" t="str">
        <f>DATA!J139</f>
        <v>Program Pembangunan Infrastruktur Ketenagalistrikan</v>
      </c>
      <c r="N51" s="3919"/>
      <c r="O51" s="319"/>
      <c r="P51" s="319"/>
      <c r="Q51" s="363"/>
      <c r="R51" s="364" t="e">
        <f>R52+#REF!+R53+#REF!+#REF!+#REF!+#REF!+#REF!+#REF!+#REF!</f>
        <v>#REF!</v>
      </c>
      <c r="S51" s="427"/>
      <c r="T51" s="366" t="e">
        <f>T52+#REF!+T53+#REF!+#REF!+#REF!+#REF!+#REF!+#REF!+#REF!</f>
        <v>#REF!</v>
      </c>
      <c r="U51" s="366" t="e">
        <f>U52+#REF!+U53+#REF!+#REF!+#REF!+#REF!+#REF!+#REF!+#REF!</f>
        <v>#REF!</v>
      </c>
      <c r="V51" s="367"/>
      <c r="W51" s="365" t="e">
        <f>W52+#REF!+W53+#REF!+#REF!+#REF!+#REF!+#REF!+#REF!+#REF!</f>
        <v>#REF!</v>
      </c>
      <c r="X51" s="368"/>
      <c r="Y51" s="366"/>
      <c r="Z51" s="367"/>
      <c r="AA51" s="499"/>
      <c r="AB51" s="420"/>
      <c r="AC51" s="421"/>
      <c r="AD51" s="365"/>
      <c r="AE51" s="366"/>
      <c r="AF51" s="406"/>
    </row>
    <row r="52" spans="1:32" s="295" customFormat="1" ht="42.75" customHeight="1">
      <c r="A52" s="295">
        <f>DATA!A140</f>
        <v>102</v>
      </c>
      <c r="B52" s="295">
        <f>DATA!B140</f>
        <v>0</v>
      </c>
      <c r="C52" s="295" t="str">
        <f>DATA!D140</f>
        <v>INFRASTRUKTUR</v>
      </c>
      <c r="D52" s="295">
        <f>DATA!E140</f>
        <v>7</v>
      </c>
      <c r="E52" s="295" t="str">
        <f>DATA!F140</f>
        <v xml:space="preserve">PT. PLN    </v>
      </c>
      <c r="F52" s="295" t="str">
        <f>DATA!H140</f>
        <v>Electricity Infrastructure Development Program</v>
      </c>
      <c r="G52" s="295" t="str">
        <f>DATA!I140</f>
        <v>A</v>
      </c>
      <c r="H52" s="295" t="str">
        <f>DATA!J140</f>
        <v>Program Pembangunan Infrastruktur Ketenagalistrikan</v>
      </c>
      <c r="I52" s="295">
        <f>DATA!K140</f>
        <v>1</v>
      </c>
      <c r="J52" s="438"/>
      <c r="K52" s="480"/>
      <c r="L52" s="480"/>
      <c r="M52" s="441">
        <v>23</v>
      </c>
      <c r="N52" s="442" t="str">
        <f>DATA!L140</f>
        <v>Java-Sumatera Interconnection Transmission Line (HVDC) 500 kV (Phase II)</v>
      </c>
      <c r="O52" s="440">
        <f>DATA!Q140</f>
        <v>1</v>
      </c>
      <c r="P52" s="440">
        <f>DATA!R140</f>
        <v>1</v>
      </c>
      <c r="Q52" s="445">
        <f>DATA!S140</f>
        <v>91</v>
      </c>
      <c r="R52" s="446">
        <f>DATA!T140</f>
        <v>629000000</v>
      </c>
      <c r="S52" s="447" t="str">
        <f>DATA!Y140</f>
        <v>JICA</v>
      </c>
      <c r="T52" s="448">
        <f>DATA!AA140</f>
        <v>629000000</v>
      </c>
      <c r="U52" s="448">
        <v>0</v>
      </c>
      <c r="V52" s="486" t="str">
        <f>DATA!Y140</f>
        <v>JICA</v>
      </c>
      <c r="W52" s="449">
        <f>DATA!AT140</f>
        <v>629000000</v>
      </c>
      <c r="X52" s="450"/>
      <c r="Y52" s="495" t="str">
        <f>DATA!AU140</f>
        <v>JICA</v>
      </c>
      <c r="Z52" s="486" t="str">
        <f>DATA!AW140</f>
        <v>-</v>
      </c>
      <c r="AA52" s="497" t="str">
        <f>DATA!AN140</f>
        <v>siap</v>
      </c>
      <c r="AB52" s="435" t="str">
        <f>DATA!AO140</f>
        <v>dalam proses
(pelaksanaan 30%)</v>
      </c>
      <c r="AC52" s="436" t="e">
        <f>DATA!#REF!</f>
        <v>#REF!</v>
      </c>
      <c r="AD52" s="455">
        <f>DATA!AC140</f>
        <v>629140000</v>
      </c>
      <c r="AE52" s="456">
        <f>DATA!AD140</f>
        <v>513687070.98000002</v>
      </c>
      <c r="AF52" s="498" t="s">
        <v>1447</v>
      </c>
    </row>
    <row r="53" spans="1:32" s="295" customFormat="1" ht="47.25" customHeight="1">
      <c r="A53" s="295">
        <f>DATA!A143</f>
        <v>105</v>
      </c>
      <c r="B53" s="295">
        <f>DATA!B143</f>
        <v>0</v>
      </c>
      <c r="C53" s="295" t="str">
        <f>DATA!D143</f>
        <v>INFRASTRUKTUR</v>
      </c>
      <c r="D53" s="295">
        <f>DATA!E143</f>
        <v>7</v>
      </c>
      <c r="E53" s="295" t="str">
        <f>DATA!F143</f>
        <v xml:space="preserve">PT. PLN    </v>
      </c>
      <c r="F53" s="295" t="str">
        <f>DATA!H143</f>
        <v>Electricity Infrastructure Development Program</v>
      </c>
      <c r="G53" s="295" t="str">
        <f>DATA!I143</f>
        <v>A</v>
      </c>
      <c r="H53" s="295" t="str">
        <f>DATA!J143</f>
        <v>Program Pembangunan Infrastruktur Ketenagalistrikan</v>
      </c>
      <c r="I53" s="295">
        <f>DATA!K143</f>
        <v>2</v>
      </c>
      <c r="J53" s="438"/>
      <c r="K53" s="480"/>
      <c r="L53" s="480"/>
      <c r="M53" s="485">
        <v>24</v>
      </c>
      <c r="N53" s="442" t="str">
        <f>DATA!L143</f>
        <v>Engineering Service for Hululais 1&amp;2 Geothermal Power Plant Project (2x55 MW)</v>
      </c>
      <c r="O53" s="440">
        <f>DATA!Q143</f>
        <v>1</v>
      </c>
      <c r="P53" s="440">
        <f>DATA!R143</f>
        <v>1</v>
      </c>
      <c r="Q53" s="445">
        <f>DATA!S143</f>
        <v>93</v>
      </c>
      <c r="R53" s="446">
        <f>DATA!T143</f>
        <v>6600000</v>
      </c>
      <c r="S53" s="447" t="str">
        <f>DATA!Y143</f>
        <v>JICA</v>
      </c>
      <c r="T53" s="448">
        <f>DATA!AA143</f>
        <v>6600000</v>
      </c>
      <c r="U53" s="448">
        <v>0</v>
      </c>
      <c r="V53" s="486" t="str">
        <f>DATA!Y143</f>
        <v>JICA</v>
      </c>
      <c r="W53" s="449">
        <f>DATA!AT143</f>
        <v>6600000</v>
      </c>
      <c r="X53" s="450"/>
      <c r="Y53" s="495" t="str">
        <f>DATA!AU143</f>
        <v>JICA</v>
      </c>
      <c r="Z53" s="486" t="str">
        <f>DATA!AW143</f>
        <v>-</v>
      </c>
      <c r="AA53" s="497" t="str">
        <f>DATA!AN143</f>
        <v>siap</v>
      </c>
      <c r="AB53" s="435" t="str">
        <f>DATA!AO143</f>
        <v>tidak butuh lahan</v>
      </c>
      <c r="AC53" s="436" t="e">
        <f>DATA!#REF!</f>
        <v>#REF!</v>
      </c>
      <c r="AD53" s="455">
        <f>DATA!AC143</f>
        <v>6570000</v>
      </c>
      <c r="AE53" s="456">
        <f>DATA!AD143</f>
        <v>5364345.07</v>
      </c>
      <c r="AF53" s="498" t="s">
        <v>1447</v>
      </c>
    </row>
    <row r="54" spans="1:32" s="292" customFormat="1" ht="30" customHeight="1">
      <c r="J54" s="309" t="str">
        <f>DATA!B160</f>
        <v>II</v>
      </c>
      <c r="K54" s="444" t="str">
        <f>DATA!D160</f>
        <v>NON-INFRASTRUKTUR</v>
      </c>
      <c r="L54" s="310"/>
      <c r="M54" s="310"/>
      <c r="N54" s="311"/>
      <c r="O54" s="310"/>
      <c r="P54" s="310"/>
      <c r="Q54" s="351"/>
      <c r="R54" s="352" t="e">
        <f>+#REF!+#REF!+#REF!+#REF!+R55+#REF!+#REF!+#REF!+#REF!+#REF!</f>
        <v>#REF!</v>
      </c>
      <c r="S54" s="353"/>
      <c r="T54" s="354" t="e">
        <f>+#REF!+#REF!+#REF!+#REF!+T55+#REF!+#REF!+#REF!+#REF!+#REF!</f>
        <v>#REF!</v>
      </c>
      <c r="U54" s="354" t="e">
        <f>+#REF!+#REF!+#REF!+#REF!+U55+#REF!+#REF!+#REF!+#REF!+#REF!</f>
        <v>#REF!</v>
      </c>
      <c r="V54" s="355"/>
      <c r="W54" s="353" t="e">
        <f>+#REF!+#REF!+#REF!+#REF!+W55+#REF!+#REF!+#REF!+#REF!+#REF!</f>
        <v>#REF!</v>
      </c>
      <c r="X54" s="356" t="e">
        <f>+#REF!+#REF!+#REF!+#REF!+X55+#REF!+#REF!+#REF!+#REF!+#REF!</f>
        <v>#REF!</v>
      </c>
      <c r="Y54" s="354"/>
      <c r="Z54" s="355"/>
      <c r="AA54" s="502"/>
      <c r="AB54" s="459"/>
      <c r="AC54" s="460"/>
      <c r="AD54" s="353"/>
      <c r="AE54" s="354"/>
      <c r="AF54" s="396"/>
    </row>
    <row r="55" spans="1:32" s="293" customFormat="1" ht="24.95" customHeight="1">
      <c r="J55" s="425"/>
      <c r="K55" s="313">
        <v>6</v>
      </c>
      <c r="L55" s="426" t="str">
        <f>DATA!F189</f>
        <v>Pemprov. Aceh</v>
      </c>
      <c r="M55" s="313"/>
      <c r="N55" s="315"/>
      <c r="O55" s="314"/>
      <c r="P55" s="314"/>
      <c r="Q55" s="357"/>
      <c r="R55" s="358">
        <f>+R56</f>
        <v>106800000</v>
      </c>
      <c r="S55" s="359"/>
      <c r="T55" s="360">
        <f t="shared" ref="T55:W56" si="3">+T56</f>
        <v>106800000</v>
      </c>
      <c r="U55" s="360">
        <f t="shared" si="3"/>
        <v>0</v>
      </c>
      <c r="V55" s="361">
        <f t="shared" si="3"/>
        <v>0</v>
      </c>
      <c r="W55" s="359">
        <f t="shared" si="3"/>
        <v>106800000</v>
      </c>
      <c r="X55" s="362"/>
      <c r="Y55" s="360"/>
      <c r="Z55" s="361"/>
      <c r="AA55" s="500"/>
      <c r="AB55" s="431"/>
      <c r="AC55" s="432"/>
      <c r="AD55" s="359">
        <f>SUM(AD56:AD57)</f>
        <v>106800000</v>
      </c>
      <c r="AE55" s="360"/>
      <c r="AF55" s="401"/>
    </row>
    <row r="56" spans="1:32" s="294" customFormat="1" ht="33.75" customHeight="1">
      <c r="J56" s="316"/>
      <c r="K56" s="317"/>
      <c r="L56" s="318" t="str">
        <f>DATA!I189</f>
        <v>A</v>
      </c>
      <c r="M56" s="319" t="str">
        <f>DATA!J189</f>
        <v>Program Pelayanan Kesehatan Rujukan</v>
      </c>
      <c r="N56" s="329"/>
      <c r="O56" s="319"/>
      <c r="P56" s="319"/>
      <c r="Q56" s="363"/>
      <c r="R56" s="364">
        <f>+R57</f>
        <v>106800000</v>
      </c>
      <c r="S56" s="365"/>
      <c r="T56" s="366">
        <f t="shared" si="3"/>
        <v>106800000</v>
      </c>
      <c r="U56" s="366">
        <f t="shared" si="3"/>
        <v>0</v>
      </c>
      <c r="V56" s="367"/>
      <c r="W56" s="365">
        <f t="shared" si="3"/>
        <v>106800000</v>
      </c>
      <c r="X56" s="368"/>
      <c r="Y56" s="366"/>
      <c r="Z56" s="367"/>
      <c r="AA56" s="499"/>
      <c r="AB56" s="420"/>
      <c r="AC56" s="421"/>
      <c r="AD56" s="365"/>
      <c r="AE56" s="366"/>
      <c r="AF56" s="406"/>
    </row>
    <row r="57" spans="1:32" s="295" customFormat="1" ht="51" customHeight="1">
      <c r="A57" s="295">
        <f>DATA!A189</f>
        <v>136</v>
      </c>
      <c r="B57" s="295">
        <f>DATA!B189</f>
        <v>0</v>
      </c>
      <c r="C57" s="295" t="str">
        <f>DATA!D189</f>
        <v>NON-INFRASTRUKTUR</v>
      </c>
      <c r="D57" s="295">
        <f>DATA!E189</f>
        <v>12</v>
      </c>
      <c r="E57" s="295" t="str">
        <f>DATA!F189</f>
        <v>Pemprov. Aceh</v>
      </c>
      <c r="F57" s="295" t="str">
        <f>DATA!H189</f>
        <v>Health Services Referral Program</v>
      </c>
      <c r="G57" s="295" t="str">
        <f>DATA!I189</f>
        <v>A</v>
      </c>
      <c r="H57" s="295" t="str">
        <f>DATA!J189</f>
        <v>Program Pelayanan Kesehatan Rujukan</v>
      </c>
      <c r="I57" s="295">
        <f>DATA!K189</f>
        <v>1</v>
      </c>
      <c r="J57" s="438"/>
      <c r="K57" s="439"/>
      <c r="L57" s="440"/>
      <c r="M57" s="441">
        <v>25</v>
      </c>
      <c r="N57" s="442" t="str">
        <f>DATA!L189</f>
        <v>Reengineering and Improving The Hospital and Referral System in Selected Aceh Districts</v>
      </c>
      <c r="O57" s="440">
        <f>DATA!Q189</f>
        <v>1</v>
      </c>
      <c r="P57" s="440">
        <f>DATA!R189</f>
        <v>1</v>
      </c>
      <c r="Q57" s="445">
        <f>DATA!S189</f>
        <v>108</v>
      </c>
      <c r="R57" s="446">
        <f>DATA!T189</f>
        <v>106800000</v>
      </c>
      <c r="S57" s="447" t="str">
        <f>DATA!Y189</f>
        <v>Jerman (KfW)</v>
      </c>
      <c r="T57" s="448">
        <f>DATA!AA189</f>
        <v>106800000</v>
      </c>
      <c r="U57" s="448">
        <v>0</v>
      </c>
      <c r="V57" s="486" t="str">
        <f>DATA!Y189</f>
        <v>Jerman (KfW)</v>
      </c>
      <c r="W57" s="449">
        <f>DATA!AT189</f>
        <v>106800000</v>
      </c>
      <c r="X57" s="450"/>
      <c r="Y57" s="495" t="str">
        <f>DATA!AU189</f>
        <v>Jerman (KfW)</v>
      </c>
      <c r="Z57" s="486" t="str">
        <f>DATA!AW189</f>
        <v>-</v>
      </c>
      <c r="AA57" s="497" t="str">
        <f>DATA!AN189</f>
        <v>dalam proses
(memiliki FS dan DED)</v>
      </c>
      <c r="AB57" s="435" t="str">
        <f>DATA!AO189</f>
        <v>siap</v>
      </c>
      <c r="AC57" s="436" t="str">
        <f>DATA!AR189</f>
        <v>-</v>
      </c>
      <c r="AD57" s="455">
        <f>DATA!AC189</f>
        <v>106800000</v>
      </c>
      <c r="AE57" s="456"/>
      <c r="AF57" s="498" t="s">
        <v>1443</v>
      </c>
    </row>
    <row r="58" spans="1:32" s="292" customFormat="1" ht="30" customHeight="1">
      <c r="J58" s="3934" t="s">
        <v>477</v>
      </c>
      <c r="K58" s="3935"/>
      <c r="L58" s="3935"/>
      <c r="M58" s="3935"/>
      <c r="N58" s="3936"/>
      <c r="O58" s="462"/>
      <c r="P58" s="462"/>
      <c r="Q58" s="467"/>
      <c r="R58" s="468" t="e">
        <f>+R9+R54</f>
        <v>#REF!</v>
      </c>
      <c r="S58" s="469"/>
      <c r="T58" s="470" t="e">
        <f>+T9+T54</f>
        <v>#REF!</v>
      </c>
      <c r="U58" s="470" t="e">
        <f>+U9+U54</f>
        <v>#REF!</v>
      </c>
      <c r="V58" s="471" t="e">
        <f>+V9+V54</f>
        <v>#REF!</v>
      </c>
      <c r="W58" s="469" t="e">
        <f>+W9+W54</f>
        <v>#REF!</v>
      </c>
      <c r="X58" s="472" t="e">
        <f>+X9+X54</f>
        <v>#REF!</v>
      </c>
      <c r="Y58" s="470"/>
      <c r="Z58" s="471">
        <f>+Z9+Z54</f>
        <v>0</v>
      </c>
      <c r="AA58" s="503"/>
      <c r="AB58" s="478"/>
      <c r="AC58" s="479"/>
      <c r="AD58" s="469">
        <f>AD10+AD40+AD44+AD47+AD50+AD55</f>
        <v>3880281000</v>
      </c>
      <c r="AE58" s="469">
        <f>AE10+AE40+AE44+AE47+AE50+AE55</f>
        <v>1400175050.6600001</v>
      </c>
      <c r="AF58" s="475"/>
    </row>
    <row r="59" spans="1:32" s="296" customFormat="1">
      <c r="A59" s="297"/>
      <c r="B59" s="297"/>
      <c r="C59" s="297"/>
      <c r="D59" s="297"/>
      <c r="E59" s="297"/>
      <c r="F59" s="297"/>
      <c r="G59" s="297"/>
      <c r="H59" s="297"/>
      <c r="I59" s="297"/>
      <c r="J59" s="298"/>
      <c r="K59" s="297"/>
      <c r="L59" s="297"/>
      <c r="M59" s="297"/>
      <c r="O59" s="297"/>
      <c r="P59" s="297"/>
      <c r="Q59" s="297"/>
      <c r="R59" s="299"/>
      <c r="S59" s="300"/>
      <c r="T59" s="299"/>
      <c r="U59" s="299"/>
      <c r="V59" s="299"/>
      <c r="AA59" s="300"/>
      <c r="AB59" s="300"/>
      <c r="AC59" s="300"/>
    </row>
    <row r="60" spans="1:32" s="296" customFormat="1">
      <c r="A60" s="297"/>
      <c r="B60" s="297"/>
      <c r="C60" s="297"/>
      <c r="D60" s="297"/>
      <c r="E60" s="297"/>
      <c r="F60" s="297"/>
      <c r="G60" s="297"/>
      <c r="H60" s="297"/>
      <c r="I60" s="297"/>
      <c r="J60" s="298"/>
      <c r="K60" s="297"/>
      <c r="L60" s="297"/>
      <c r="M60" s="297"/>
      <c r="O60" s="297"/>
      <c r="P60" s="297"/>
      <c r="Q60" s="297"/>
      <c r="R60" s="299"/>
      <c r="S60" s="300"/>
      <c r="T60" s="299"/>
      <c r="U60" s="299"/>
      <c r="V60" s="299"/>
      <c r="AA60" s="300"/>
      <c r="AB60" s="300"/>
      <c r="AC60" s="300"/>
    </row>
    <row r="61" spans="1:32" s="296" customFormat="1">
      <c r="A61" s="297"/>
      <c r="B61" s="297"/>
      <c r="C61" s="297"/>
      <c r="D61" s="297"/>
      <c r="E61" s="297"/>
      <c r="F61" s="297"/>
      <c r="G61" s="297"/>
      <c r="H61" s="297"/>
      <c r="I61" s="297"/>
      <c r="J61" s="298"/>
      <c r="K61" s="297"/>
      <c r="L61" s="297"/>
      <c r="M61" s="297"/>
      <c r="O61" s="297"/>
      <c r="P61" s="297"/>
      <c r="Q61" s="297"/>
      <c r="R61" s="299"/>
      <c r="S61" s="300"/>
      <c r="T61" s="299"/>
      <c r="U61" s="299"/>
      <c r="V61" s="299"/>
      <c r="AA61" s="300"/>
      <c r="AB61" s="300"/>
      <c r="AC61" s="300"/>
    </row>
    <row r="62" spans="1:32" s="296" customFormat="1">
      <c r="A62" s="297"/>
      <c r="B62" s="297"/>
      <c r="C62" s="297"/>
      <c r="D62" s="297"/>
      <c r="E62" s="297"/>
      <c r="F62" s="297"/>
      <c r="G62" s="297"/>
      <c r="H62" s="297"/>
      <c r="I62" s="297"/>
      <c r="J62" s="298"/>
      <c r="K62" s="297"/>
      <c r="L62" s="297"/>
      <c r="M62" s="297"/>
      <c r="O62" s="297"/>
      <c r="P62" s="297"/>
      <c r="Q62" s="297"/>
      <c r="R62" s="299"/>
      <c r="S62" s="300"/>
      <c r="T62" s="299"/>
      <c r="U62" s="299"/>
      <c r="V62" s="299"/>
      <c r="AA62" s="300"/>
      <c r="AB62" s="300"/>
      <c r="AC62" s="300"/>
    </row>
    <row r="64" spans="1:32">
      <c r="X64" s="473" t="e">
        <f>W58+X58</f>
        <v>#REF!</v>
      </c>
    </row>
    <row r="67" spans="1:29" s="296" customFormat="1">
      <c r="A67" s="297"/>
      <c r="B67" s="297"/>
      <c r="C67" s="297"/>
      <c r="D67" s="297"/>
      <c r="E67" s="297"/>
      <c r="F67" s="297"/>
      <c r="G67" s="297"/>
      <c r="H67" s="297"/>
      <c r="I67" s="297"/>
      <c r="J67" s="298"/>
      <c r="K67" s="297"/>
      <c r="L67" s="297"/>
      <c r="M67" s="297"/>
      <c r="O67" s="297"/>
      <c r="P67" s="297"/>
      <c r="Q67" s="297"/>
      <c r="R67" s="299"/>
      <c r="S67" s="300"/>
      <c r="T67" s="299"/>
      <c r="U67" s="299"/>
      <c r="V67" s="299"/>
      <c r="Y67" s="473" t="e">
        <f>R58-W58</f>
        <v>#REF!</v>
      </c>
      <c r="AA67" s="300"/>
      <c r="AB67" s="300"/>
      <c r="AC67" s="300"/>
    </row>
    <row r="68" spans="1:29" s="296" customFormat="1">
      <c r="A68" s="297"/>
      <c r="B68" s="297"/>
      <c r="C68" s="297"/>
      <c r="D68" s="297"/>
      <c r="E68" s="297"/>
      <c r="F68" s="297"/>
      <c r="G68" s="297"/>
      <c r="H68" s="297"/>
      <c r="I68" s="297"/>
      <c r="J68" s="298"/>
      <c r="K68" s="297"/>
      <c r="L68" s="297"/>
      <c r="M68" s="297"/>
      <c r="O68" s="297"/>
      <c r="P68" s="297"/>
      <c r="Q68" s="297"/>
      <c r="R68" s="299"/>
      <c r="S68" s="300"/>
      <c r="T68" s="299" t="e">
        <f>T58+U58</f>
        <v>#REF!</v>
      </c>
      <c r="U68" s="299"/>
      <c r="V68" s="299"/>
      <c r="W68" s="473" t="e">
        <f>#REF!+#REF!</f>
        <v>#REF!</v>
      </c>
      <c r="X68" s="473"/>
      <c r="AA68" s="300"/>
      <c r="AB68" s="300"/>
      <c r="AC68" s="300"/>
    </row>
    <row r="69" spans="1:29" s="296" customFormat="1">
      <c r="A69" s="297"/>
      <c r="B69" s="297"/>
      <c r="C69" s="297"/>
      <c r="D69" s="297"/>
      <c r="E69" s="297"/>
      <c r="F69" s="297"/>
      <c r="G69" s="297"/>
      <c r="H69" s="297"/>
      <c r="I69" s="297"/>
      <c r="J69" s="298"/>
      <c r="K69" s="297"/>
      <c r="L69" s="297"/>
      <c r="M69" s="297"/>
      <c r="O69" s="297"/>
      <c r="P69" s="297"/>
      <c r="Q69" s="297"/>
      <c r="R69" s="299"/>
      <c r="S69" s="300"/>
      <c r="T69" s="299" t="e">
        <f>T68+#REF!</f>
        <v>#REF!</v>
      </c>
      <c r="U69" s="299"/>
      <c r="V69" s="299"/>
      <c r="AA69" s="300"/>
      <c r="AB69" s="300"/>
      <c r="AC69" s="300"/>
    </row>
  </sheetData>
  <autoFilter ref="J8:AF58"/>
  <mergeCells count="30">
    <mergeCell ref="AD5:AF6"/>
    <mergeCell ref="AC27:AC28"/>
    <mergeCell ref="AC33:AC35"/>
    <mergeCell ref="J5:N7"/>
    <mergeCell ref="W5:Z6"/>
    <mergeCell ref="AA5:AC6"/>
    <mergeCell ref="M51:N51"/>
    <mergeCell ref="J58:N58"/>
    <mergeCell ref="M21:M22"/>
    <mergeCell ref="M27:M28"/>
    <mergeCell ref="M33:M35"/>
    <mergeCell ref="N21:N22"/>
    <mergeCell ref="N27:N28"/>
    <mergeCell ref="N33:N35"/>
    <mergeCell ref="J1:AF1"/>
    <mergeCell ref="J2:AF2"/>
    <mergeCell ref="S6:V6"/>
    <mergeCell ref="M24:N24"/>
    <mergeCell ref="M48:N48"/>
    <mergeCell ref="R5:R7"/>
    <mergeCell ref="R21:R22"/>
    <mergeCell ref="R27:R28"/>
    <mergeCell ref="R33:R35"/>
    <mergeCell ref="AA21:AA22"/>
    <mergeCell ref="AA27:AA28"/>
    <mergeCell ref="AA33:AA35"/>
    <mergeCell ref="AB21:AB22"/>
    <mergeCell ref="AB27:AB28"/>
    <mergeCell ref="AB33:AB35"/>
    <mergeCell ref="AC21:AC22"/>
  </mergeCells>
  <printOptions horizontalCentered="1"/>
  <pageMargins left="0.39305555555555599" right="0.39305555555555599" top="0.39305555555555599" bottom="0.39305555555555599" header="0.31458333333333299" footer="0.196527777777778"/>
  <pageSetup paperSize="9" scale="69" fitToHeight="0" orientation="portrait"/>
  <headerFooter>
    <oddFooter>&amp;R&amp;"Cambria,Italic"&amp;9&amp;P/&amp;N</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AM220"/>
  <sheetViews>
    <sheetView topLeftCell="J1" zoomScale="77" zoomScaleNormal="77" workbookViewId="0">
      <pane ySplit="8" topLeftCell="A9" activePane="bottomLeft" state="frozen"/>
      <selection pane="bottomLeft" activeCell="AJ34" sqref="AJ34:AM34"/>
    </sheetView>
  </sheetViews>
  <sheetFormatPr defaultColWidth="9.140625" defaultRowHeight="12.75"/>
  <cols>
    <col min="1" max="2" width="9.140625" style="297" hidden="1" customWidth="1"/>
    <col min="3" max="3" width="20.28515625" style="297" hidden="1" customWidth="1"/>
    <col min="4" max="4" width="9.140625" style="297" hidden="1" customWidth="1"/>
    <col min="5" max="5" width="20.28515625" style="297" hidden="1" customWidth="1"/>
    <col min="6" max="6" width="14.5703125" style="297" hidden="1" customWidth="1"/>
    <col min="7" max="7" width="3.28515625" style="297" hidden="1" customWidth="1"/>
    <col min="8" max="8" width="55.7109375" style="297" hidden="1" customWidth="1"/>
    <col min="9" max="9" width="9.140625" style="297" hidden="1" customWidth="1"/>
    <col min="10" max="10" width="3.28515625" style="298" customWidth="1"/>
    <col min="11" max="11" width="4.140625" style="297" customWidth="1"/>
    <col min="12" max="12" width="3.28515625" style="297" customWidth="1"/>
    <col min="13" max="13" width="5.5703125" style="297" customWidth="1"/>
    <col min="14" max="14" width="43.7109375" style="296" customWidth="1"/>
    <col min="15" max="16" width="9.140625" style="297" hidden="1" customWidth="1"/>
    <col min="17" max="17" width="19.85546875" style="297" hidden="1" customWidth="1"/>
    <col min="18" max="18" width="21" style="299" customWidth="1"/>
    <col min="19" max="19" width="18.7109375" style="300" hidden="1" customWidth="1"/>
    <col min="20" max="20" width="21.85546875" style="299" hidden="1" customWidth="1"/>
    <col min="21" max="21" width="21" style="299" hidden="1" customWidth="1"/>
    <col min="22" max="22" width="28.5703125" style="299" hidden="1" customWidth="1"/>
    <col min="23" max="24" width="21.42578125" style="296" customWidth="1"/>
    <col min="25" max="25" width="18.5703125" style="296" customWidth="1"/>
    <col min="26" max="26" width="28.42578125" style="296" hidden="1" customWidth="1"/>
    <col min="27" max="27" width="21.5703125" style="300" hidden="1" customWidth="1"/>
    <col min="28" max="28" width="22.42578125" style="300" hidden="1" customWidth="1"/>
    <col min="29" max="29" width="21.5703125" style="300" hidden="1" customWidth="1"/>
    <col min="30" max="30" width="20.42578125" style="297" hidden="1" customWidth="1"/>
    <col min="31" max="31" width="26.42578125" style="297" hidden="1" customWidth="1"/>
    <col min="32" max="32" width="27.85546875" style="297" hidden="1" customWidth="1"/>
    <col min="33" max="35" width="9.140625" style="297"/>
    <col min="36" max="39" width="15.28515625" style="297" customWidth="1"/>
    <col min="40" max="16384" width="9.140625" style="297"/>
  </cols>
  <sheetData>
    <row r="1" spans="1:32" s="290" customFormat="1" ht="18.75">
      <c r="J1" s="3913" t="s">
        <v>1448</v>
      </c>
      <c r="K1" s="3913"/>
      <c r="L1" s="3913"/>
      <c r="M1" s="3913"/>
      <c r="N1" s="3913"/>
      <c r="O1" s="3913"/>
      <c r="P1" s="3913"/>
      <c r="Q1" s="3913"/>
      <c r="R1" s="3913"/>
      <c r="S1" s="3913"/>
      <c r="T1" s="3913"/>
      <c r="U1" s="3913"/>
      <c r="V1" s="3913"/>
      <c r="W1" s="3913"/>
      <c r="X1" s="3913"/>
      <c r="Y1" s="3913"/>
      <c r="Z1" s="3913"/>
      <c r="AA1" s="3913"/>
      <c r="AB1" s="3913"/>
      <c r="AC1" s="3913"/>
      <c r="AD1" s="3913"/>
      <c r="AE1" s="3913"/>
      <c r="AF1" s="3913"/>
    </row>
    <row r="2" spans="1:32" s="290" customFormat="1" ht="15.75" customHeight="1">
      <c r="J2" s="3914" t="s">
        <v>1439</v>
      </c>
      <c r="K2" s="3914"/>
      <c r="L2" s="3914"/>
      <c r="M2" s="3914"/>
      <c r="N2" s="3914"/>
      <c r="O2" s="3914"/>
      <c r="P2" s="3914"/>
      <c r="Q2" s="3914"/>
      <c r="R2" s="3914"/>
      <c r="S2" s="3914"/>
      <c r="T2" s="3914"/>
      <c r="U2" s="3914"/>
      <c r="V2" s="3914"/>
      <c r="W2" s="3914"/>
      <c r="X2" s="3914"/>
      <c r="Y2" s="3914"/>
      <c r="Z2" s="3914"/>
      <c r="AA2" s="3914"/>
      <c r="AB2" s="3914"/>
      <c r="AC2" s="3914"/>
      <c r="AD2" s="3914"/>
      <c r="AE2" s="3914"/>
      <c r="AF2" s="3914"/>
    </row>
    <row r="3" spans="1:32" s="290" customFormat="1" ht="15.75" customHeight="1">
      <c r="J3" s="301"/>
      <c r="K3" s="301"/>
      <c r="L3" s="301"/>
      <c r="M3" s="301"/>
      <c r="N3" s="301"/>
      <c r="O3" s="301"/>
      <c r="P3" s="301"/>
      <c r="Q3" s="301"/>
      <c r="R3" s="301"/>
      <c r="S3" s="301"/>
      <c r="T3" s="301"/>
      <c r="U3" s="301"/>
      <c r="V3" s="301"/>
      <c r="W3" s="301"/>
      <c r="X3" s="301"/>
      <c r="Y3" s="301"/>
      <c r="Z3" s="301"/>
      <c r="AA3" s="301"/>
      <c r="AB3" s="301"/>
      <c r="AC3" s="301"/>
      <c r="AD3" s="301"/>
      <c r="AE3" s="301"/>
      <c r="AF3" s="301"/>
    </row>
    <row r="4" spans="1:32">
      <c r="Y4" s="382" t="s">
        <v>483</v>
      </c>
    </row>
    <row r="5" spans="1:32" s="291" customFormat="1" ht="24.95" customHeight="1">
      <c r="J5" s="3951" t="s">
        <v>2</v>
      </c>
      <c r="K5" s="3945"/>
      <c r="L5" s="3945"/>
      <c r="M5" s="3945"/>
      <c r="N5" s="3945"/>
      <c r="O5" s="302"/>
      <c r="P5" s="302"/>
      <c r="Q5" s="337"/>
      <c r="R5" s="3920" t="s">
        <v>485</v>
      </c>
      <c r="S5" s="338" t="s">
        <v>7</v>
      </c>
      <c r="T5" s="339"/>
      <c r="U5" s="339"/>
      <c r="V5" s="339"/>
      <c r="W5" s="3955" t="s">
        <v>1440</v>
      </c>
      <c r="X5" s="3955"/>
      <c r="Y5" s="4007"/>
      <c r="Z5" s="383"/>
      <c r="AA5" s="4009" t="s">
        <v>1086</v>
      </c>
      <c r="AB5" s="3960"/>
      <c r="AC5" s="3961"/>
      <c r="AD5" s="3944" t="s">
        <v>1441</v>
      </c>
      <c r="AE5" s="3945"/>
      <c r="AF5" s="3946"/>
    </row>
    <row r="6" spans="1:32" s="291" customFormat="1" ht="24.95" customHeight="1">
      <c r="J6" s="3952"/>
      <c r="K6" s="3953"/>
      <c r="L6" s="3953"/>
      <c r="M6" s="3953"/>
      <c r="N6" s="3953"/>
      <c r="O6" s="303"/>
      <c r="P6" s="303"/>
      <c r="Q6" s="340"/>
      <c r="R6" s="3921"/>
      <c r="S6" s="3915" t="s">
        <v>1088</v>
      </c>
      <c r="T6" s="3916"/>
      <c r="U6" s="3916"/>
      <c r="V6" s="3917"/>
      <c r="W6" s="3957"/>
      <c r="X6" s="3957"/>
      <c r="Y6" s="4008"/>
      <c r="Z6" s="384"/>
      <c r="AA6" s="4010"/>
      <c r="AB6" s="3963"/>
      <c r="AC6" s="3964"/>
      <c r="AD6" s="3947"/>
      <c r="AE6" s="3948"/>
      <c r="AF6" s="3949"/>
    </row>
    <row r="7" spans="1:32" s="291" customFormat="1" ht="68.25" customHeight="1">
      <c r="J7" s="3954"/>
      <c r="K7" s="3948"/>
      <c r="L7" s="3948"/>
      <c r="M7" s="3948"/>
      <c r="N7" s="3948"/>
      <c r="O7" s="304"/>
      <c r="P7" s="304"/>
      <c r="Q7" s="341"/>
      <c r="R7" s="3922"/>
      <c r="S7" s="342" t="s">
        <v>11</v>
      </c>
      <c r="T7" s="343" t="s">
        <v>1115</v>
      </c>
      <c r="U7" s="343" t="s">
        <v>1116</v>
      </c>
      <c r="V7" s="344" t="s">
        <v>509</v>
      </c>
      <c r="W7" s="342" t="s">
        <v>1449</v>
      </c>
      <c r="X7" s="345" t="s">
        <v>1450</v>
      </c>
      <c r="Y7" s="385" t="s">
        <v>510</v>
      </c>
      <c r="Z7" s="386" t="s">
        <v>511</v>
      </c>
      <c r="AA7" s="345" t="s">
        <v>1091</v>
      </c>
      <c r="AB7" s="387" t="s">
        <v>15</v>
      </c>
      <c r="AC7" s="388" t="s">
        <v>511</v>
      </c>
      <c r="AD7" s="342" t="s">
        <v>1442</v>
      </c>
      <c r="AE7" s="387" t="s">
        <v>541</v>
      </c>
      <c r="AF7" s="385" t="s">
        <v>10</v>
      </c>
    </row>
    <row r="8" spans="1:32">
      <c r="J8" s="305"/>
      <c r="K8" s="306"/>
      <c r="L8" s="306"/>
      <c r="M8" s="306"/>
      <c r="N8" s="307"/>
      <c r="O8" s="308"/>
      <c r="P8" s="308"/>
      <c r="Q8" s="346"/>
      <c r="R8" s="347"/>
      <c r="S8" s="348"/>
      <c r="T8" s="349"/>
      <c r="U8" s="349"/>
      <c r="V8" s="350"/>
      <c r="W8" s="349"/>
      <c r="X8" s="349"/>
      <c r="Y8" s="389"/>
      <c r="Z8" s="390"/>
      <c r="AA8" s="391"/>
      <c r="AB8" s="392"/>
      <c r="AC8" s="393"/>
      <c r="AD8" s="394"/>
      <c r="AE8" s="370"/>
      <c r="AF8" s="395"/>
    </row>
    <row r="9" spans="1:32" s="292" customFormat="1" ht="30" customHeight="1">
      <c r="A9" s="292" t="s">
        <v>21</v>
      </c>
      <c r="B9" s="292" t="s">
        <v>21</v>
      </c>
      <c r="C9" s="292" t="s">
        <v>21</v>
      </c>
      <c r="D9" s="292" t="s">
        <v>21</v>
      </c>
      <c r="E9" s="292" t="s">
        <v>21</v>
      </c>
      <c r="F9" s="292" t="s">
        <v>21</v>
      </c>
      <c r="G9" s="292" t="s">
        <v>21</v>
      </c>
      <c r="H9" s="292" t="s">
        <v>21</v>
      </c>
      <c r="I9" s="292" t="s">
        <v>21</v>
      </c>
      <c r="J9" s="309" t="str">
        <f>DATA!B2</f>
        <v>I</v>
      </c>
      <c r="K9" s="310" t="str">
        <f>DATA!D2</f>
        <v>INFRASTRUKTUR</v>
      </c>
      <c r="L9" s="310"/>
      <c r="M9" s="310"/>
      <c r="N9" s="311"/>
      <c r="O9" s="310"/>
      <c r="P9" s="310"/>
      <c r="Q9" s="351"/>
      <c r="R9" s="352">
        <f t="shared" ref="R9:X9" si="0">+R10+R118+R121+R128+R131+R136+R139</f>
        <v>35286135700</v>
      </c>
      <c r="S9" s="353"/>
      <c r="T9" s="354">
        <f t="shared" si="0"/>
        <v>33709647596</v>
      </c>
      <c r="U9" s="354">
        <f t="shared" si="0"/>
        <v>1029728104</v>
      </c>
      <c r="V9" s="355">
        <f t="shared" si="0"/>
        <v>0</v>
      </c>
      <c r="W9" s="353">
        <f t="shared" si="0"/>
        <v>30646486296</v>
      </c>
      <c r="X9" s="356">
        <f t="shared" si="0"/>
        <v>4082769404</v>
      </c>
      <c r="Y9" s="396"/>
      <c r="Z9" s="397"/>
      <c r="AA9" s="398"/>
      <c r="AB9" s="399"/>
      <c r="AC9" s="400"/>
      <c r="AD9" s="353"/>
      <c r="AE9" s="354"/>
      <c r="AF9" s="396"/>
    </row>
    <row r="10" spans="1:32" s="293" customFormat="1" ht="24.95" customHeight="1">
      <c r="J10" s="312"/>
      <c r="K10" s="313">
        <f>DATA!E2</f>
        <v>1</v>
      </c>
      <c r="L10" s="314" t="str">
        <f>DATA!F2</f>
        <v>Kementerian Pekerjaan Umum dan Perumahan Rakyat</v>
      </c>
      <c r="M10" s="314"/>
      <c r="N10" s="315"/>
      <c r="O10" s="314"/>
      <c r="P10" s="314"/>
      <c r="Q10" s="357"/>
      <c r="R10" s="358">
        <f t="shared" ref="R10:X10" si="1">+R11+R18+R24+R34+R49+R61+R64+R71+R85+R89+R103+R112+R116</f>
        <v>22288199000</v>
      </c>
      <c r="S10" s="359"/>
      <c r="T10" s="360">
        <f t="shared" si="1"/>
        <v>21415047596</v>
      </c>
      <c r="U10" s="360">
        <f t="shared" si="1"/>
        <v>326391404</v>
      </c>
      <c r="V10" s="361">
        <f t="shared" si="1"/>
        <v>0</v>
      </c>
      <c r="W10" s="359">
        <f t="shared" si="1"/>
        <v>18059549596</v>
      </c>
      <c r="X10" s="362">
        <f t="shared" si="1"/>
        <v>3671769404</v>
      </c>
      <c r="Y10" s="401"/>
      <c r="Z10" s="402"/>
      <c r="AA10" s="403"/>
      <c r="AB10" s="404"/>
      <c r="AC10" s="405"/>
      <c r="AD10" s="359">
        <f>SUM(AD11:AD117)</f>
        <v>2160901000</v>
      </c>
      <c r="AE10" s="360">
        <f>SUM(AE11:AE117)</f>
        <v>252177990.63999999</v>
      </c>
      <c r="AF10" s="401"/>
    </row>
    <row r="11" spans="1:32" s="294" customFormat="1" ht="24.95" customHeight="1">
      <c r="J11" s="316"/>
      <c r="K11" s="317"/>
      <c r="L11" s="318" t="str">
        <f>DATA!I2</f>
        <v>A</v>
      </c>
      <c r="M11" s="319" t="str">
        <f>DATA!J2</f>
        <v xml:space="preserve">Program Pembangunan Jalan Tol </v>
      </c>
      <c r="N11" s="320"/>
      <c r="O11" s="319"/>
      <c r="P11" s="319"/>
      <c r="Q11" s="363"/>
      <c r="R11" s="364">
        <f>R12+R14+R15+R16+R17</f>
        <v>2025000000</v>
      </c>
      <c r="S11" s="365"/>
      <c r="T11" s="366">
        <f>T12+T14+T15+T16+T17</f>
        <v>2025000000</v>
      </c>
      <c r="U11" s="366">
        <f>U12+U14+U15+U16+U17</f>
        <v>0</v>
      </c>
      <c r="V11" s="367"/>
      <c r="W11" s="365">
        <f>W12+W13+W14+W15+W16+W17</f>
        <v>2025000000</v>
      </c>
      <c r="X11" s="368"/>
      <c r="Y11" s="406"/>
      <c r="Z11" s="407"/>
      <c r="AA11" s="408"/>
      <c r="AB11" s="409"/>
      <c r="AC11" s="410"/>
      <c r="AD11" s="365"/>
      <c r="AE11" s="366"/>
      <c r="AF11" s="406"/>
    </row>
    <row r="12" spans="1:32" ht="27.75" customHeight="1">
      <c r="A12" s="297">
        <f>DATA!A3</f>
        <v>1</v>
      </c>
      <c r="B12" s="297">
        <f>DATA!B3</f>
        <v>0</v>
      </c>
      <c r="C12" s="297" t="str">
        <f>DATA!D3</f>
        <v>INFRASTRUKTUR</v>
      </c>
      <c r="D12" s="297">
        <f>DATA!E3</f>
        <v>1</v>
      </c>
      <c r="E12" s="297" t="str">
        <f>DATA!F3</f>
        <v>Kementerian Pekerjaan Umum dan Perumahan Rakyat</v>
      </c>
      <c r="F12" s="297" t="str">
        <f>DATA!H3</f>
        <v>Toll Road Development Program</v>
      </c>
      <c r="G12" s="297" t="str">
        <f>DATA!I3</f>
        <v>A</v>
      </c>
      <c r="H12" s="297" t="str">
        <f>DATA!J3</f>
        <v xml:space="preserve">Program Pembangunan Jalan Tol </v>
      </c>
      <c r="I12" s="297">
        <f>DATA!K3</f>
        <v>1</v>
      </c>
      <c r="J12" s="321"/>
      <c r="K12" s="322"/>
      <c r="L12" s="322"/>
      <c r="M12" s="3979">
        <v>1</v>
      </c>
      <c r="N12" s="3987" t="str">
        <f>DATA!L2</f>
        <v>Toll Road Development in Kalimantan, Sumatera, and Java Islands</v>
      </c>
      <c r="O12" s="308">
        <f>DATA!Q3</f>
        <v>0.5</v>
      </c>
      <c r="P12" s="308">
        <f>DATA!R3</f>
        <v>0</v>
      </c>
      <c r="Q12" s="346">
        <f>DATA!S3</f>
        <v>0</v>
      </c>
      <c r="R12" s="3970">
        <f>DATA!T2</f>
        <v>1250000000</v>
      </c>
      <c r="S12" s="369" t="str">
        <f>DATA!Y3</f>
        <v>RRT</v>
      </c>
      <c r="T12" s="3965">
        <f>DATA!AA2</f>
        <v>1250000000</v>
      </c>
      <c r="U12" s="370">
        <v>0</v>
      </c>
      <c r="V12" s="371" t="str">
        <f>DATA!Y3</f>
        <v>RRT</v>
      </c>
      <c r="W12" s="372">
        <f>DATA!AT3</f>
        <v>1000000000</v>
      </c>
      <c r="X12" s="373"/>
      <c r="Y12" s="411" t="str">
        <f>DATA!AU3</f>
        <v>RRT</v>
      </c>
      <c r="Z12" s="412" t="str">
        <f>DATA!AW3</f>
        <v xml:space="preserve">co-financing dengan Korea (USD 250 juta) </v>
      </c>
      <c r="AA12" s="3999" t="str">
        <f>DATA!AN3</f>
        <v>siap</v>
      </c>
      <c r="AB12" s="3996" t="str">
        <f>DATA!AO3</f>
        <v>dalam proses
(pelaksanaan &lt; 50%)</v>
      </c>
      <c r="AC12" s="4004" t="str">
        <f>DATA!AR3</f>
        <v>belum ada dokumen R/C</v>
      </c>
      <c r="AD12" s="372"/>
      <c r="AE12" s="413"/>
      <c r="AF12" s="411"/>
    </row>
    <row r="13" spans="1:32" ht="39" customHeight="1">
      <c r="A13" s="297">
        <f>DATA!A4</f>
        <v>2</v>
      </c>
      <c r="B13" s="297">
        <f>DATA!B4</f>
        <v>0</v>
      </c>
      <c r="C13" s="297" t="str">
        <f>DATA!D4</f>
        <v>INFRASTRUKTUR</v>
      </c>
      <c r="D13" s="297">
        <f>DATA!E4</f>
        <v>1</v>
      </c>
      <c r="E13" s="297" t="str">
        <f>DATA!F4</f>
        <v>Kementerian Pekerjaan Umum dan Perumahan Rakyat</v>
      </c>
      <c r="F13" s="297" t="str">
        <f>DATA!H4</f>
        <v>Toll Road Development Program</v>
      </c>
      <c r="G13" s="297" t="str">
        <f>DATA!I4</f>
        <v>A</v>
      </c>
      <c r="H13" s="297" t="str">
        <f>DATA!J4</f>
        <v xml:space="preserve">Program Pembangunan Jalan Tol </v>
      </c>
      <c r="I13" s="297">
        <f>DATA!K4</f>
        <v>1</v>
      </c>
      <c r="J13" s="321"/>
      <c r="K13" s="322"/>
      <c r="L13" s="322"/>
      <c r="M13" s="3980"/>
      <c r="N13" s="3988"/>
      <c r="O13" s="308">
        <f>DATA!Q4</f>
        <v>0.5</v>
      </c>
      <c r="P13" s="308">
        <f>DATA!R4</f>
        <v>0</v>
      </c>
      <c r="Q13" s="346">
        <f>DATA!S4</f>
        <v>0</v>
      </c>
      <c r="R13" s="3971"/>
      <c r="S13" s="369" t="str">
        <f>DATA!Y4</f>
        <v>Korea</v>
      </c>
      <c r="T13" s="3966"/>
      <c r="U13" s="370">
        <v>0</v>
      </c>
      <c r="V13" s="371" t="str">
        <f>DATA!Y4</f>
        <v>Korea</v>
      </c>
      <c r="W13" s="372">
        <f>DATA!AT4</f>
        <v>250000000</v>
      </c>
      <c r="X13" s="373"/>
      <c r="Y13" s="411" t="str">
        <f>DATA!AU4</f>
        <v>Korea</v>
      </c>
      <c r="Z13" s="412" t="str">
        <f>DATA!AW4</f>
        <v>- co-financing dengan RRT (USD 1 Miliar) 
- belum masuk rolling plan EDCF (Korea)</v>
      </c>
      <c r="AA13" s="4000"/>
      <c r="AB13" s="3983"/>
      <c r="AC13" s="4011"/>
      <c r="AD13" s="372"/>
      <c r="AE13" s="413"/>
      <c r="AF13" s="411"/>
    </row>
    <row r="14" spans="1:32" ht="28.5" customHeight="1">
      <c r="A14" s="297">
        <f>DATA!A6</f>
        <v>4</v>
      </c>
      <c r="B14" s="297">
        <f>DATA!B6</f>
        <v>0</v>
      </c>
      <c r="C14" s="297" t="str">
        <f>DATA!D6</f>
        <v>INFRASTRUKTUR</v>
      </c>
      <c r="D14" s="297">
        <f>DATA!E6</f>
        <v>1</v>
      </c>
      <c r="E14" s="297" t="str">
        <f>DATA!F6</f>
        <v>Kementerian Pekerjaan Umum dan Perumahan Rakyat</v>
      </c>
      <c r="F14" s="297" t="str">
        <f>DATA!H6</f>
        <v>Toll Road Development Program</v>
      </c>
      <c r="G14" s="297" t="str">
        <f>DATA!I6</f>
        <v>A</v>
      </c>
      <c r="H14" s="297" t="str">
        <f>DATA!J6</f>
        <v xml:space="preserve">Program Pembangunan Jalan Tol </v>
      </c>
      <c r="I14" s="297">
        <f>DATA!K6</f>
        <v>2</v>
      </c>
      <c r="J14" s="321"/>
      <c r="K14" s="322"/>
      <c r="L14" s="322"/>
      <c r="M14" s="326">
        <v>2</v>
      </c>
      <c r="N14" s="327" t="str">
        <f>DATA!L6</f>
        <v>Development of Cileunyi - Sumedang - Dawuan Toll Road Phase II</v>
      </c>
      <c r="O14" s="308">
        <f>DATA!Q6</f>
        <v>1</v>
      </c>
      <c r="P14" s="308">
        <f>DATA!R6</f>
        <v>1</v>
      </c>
      <c r="Q14" s="346">
        <f>DATA!S6</f>
        <v>2</v>
      </c>
      <c r="R14" s="347">
        <f>DATA!T6</f>
        <v>330000000</v>
      </c>
      <c r="S14" s="369" t="str">
        <f>DATA!Y6</f>
        <v>RRT</v>
      </c>
      <c r="T14" s="370">
        <f>DATA!AA6</f>
        <v>330000000</v>
      </c>
      <c r="U14" s="370">
        <v>0</v>
      </c>
      <c r="V14" s="371" t="str">
        <f>DATA!Y6</f>
        <v>RRT</v>
      </c>
      <c r="W14" s="372">
        <f>DATA!AT6</f>
        <v>330000000</v>
      </c>
      <c r="X14" s="373"/>
      <c r="Y14" s="411" t="str">
        <f>DATA!AU6</f>
        <v>RRT</v>
      </c>
      <c r="Z14" s="412" t="str">
        <f>DATA!AW6</f>
        <v>-</v>
      </c>
      <c r="AA14" s="414" t="str">
        <f>DATA!AN6</f>
        <v>(memiliki FS dan DED)</v>
      </c>
      <c r="AB14" s="415" t="str">
        <f>DATA!AO6</f>
        <v>dalam proses
(pelaksanaan 80%)</v>
      </c>
      <c r="AC14" s="416" t="e">
        <f>DATA!#REF!</f>
        <v>#REF!</v>
      </c>
      <c r="AD14" s="417">
        <f>DATA!AC6</f>
        <v>235000000</v>
      </c>
      <c r="AE14" s="308"/>
      <c r="AF14" s="395" t="s">
        <v>1443</v>
      </c>
    </row>
    <row r="15" spans="1:32" ht="28.5" customHeight="1">
      <c r="A15" s="297">
        <f>DATA!A7</f>
        <v>5</v>
      </c>
      <c r="B15" s="297">
        <f>DATA!B7</f>
        <v>0</v>
      </c>
      <c r="C15" s="297" t="str">
        <f>DATA!D7</f>
        <v>INFRASTRUKTUR</v>
      </c>
      <c r="D15" s="297">
        <f>DATA!E7</f>
        <v>1</v>
      </c>
      <c r="E15" s="297" t="str">
        <f>DATA!F7</f>
        <v>Kementerian Pekerjaan Umum dan Perumahan Rakyat</v>
      </c>
      <c r="F15" s="297" t="str">
        <f>DATA!H7</f>
        <v>Toll Road Development Program</v>
      </c>
      <c r="G15" s="297" t="str">
        <f>DATA!I7</f>
        <v>A</v>
      </c>
      <c r="H15" s="297" t="str">
        <f>DATA!J7</f>
        <v xml:space="preserve">Program Pembangunan Jalan Tol </v>
      </c>
      <c r="I15" s="297">
        <f>DATA!K7</f>
        <v>2</v>
      </c>
      <c r="J15" s="321"/>
      <c r="K15" s="322"/>
      <c r="L15" s="322"/>
      <c r="M15" s="326">
        <v>3</v>
      </c>
      <c r="N15" s="327" t="str">
        <f>DATA!L7</f>
        <v xml:space="preserve">Toll Road Development of Balikpapan - Samarinda </v>
      </c>
      <c r="O15" s="308">
        <f>DATA!Q7</f>
        <v>1</v>
      </c>
      <c r="P15" s="308">
        <f>DATA!R7</f>
        <v>1</v>
      </c>
      <c r="Q15" s="346">
        <f>DATA!S7</f>
        <v>3</v>
      </c>
      <c r="R15" s="347">
        <f>DATA!T7</f>
        <v>65000000</v>
      </c>
      <c r="S15" s="369" t="str">
        <f>DATA!Y7</f>
        <v>RRT</v>
      </c>
      <c r="T15" s="370">
        <f>DATA!AA7</f>
        <v>65000000</v>
      </c>
      <c r="U15" s="370">
        <v>0</v>
      </c>
      <c r="V15" s="371" t="str">
        <f>DATA!Y7</f>
        <v>RRT</v>
      </c>
      <c r="W15" s="372">
        <f>DATA!AT7</f>
        <v>65000000</v>
      </c>
      <c r="X15" s="373"/>
      <c r="Y15" s="411" t="str">
        <f>DATA!AU7</f>
        <v>RRT</v>
      </c>
      <c r="Z15" s="412" t="str">
        <f>DATA!AW7</f>
        <v>-</v>
      </c>
      <c r="AA15" s="414" t="str">
        <f>DATA!AN7</f>
        <v>(memiliki FS dan DED)</v>
      </c>
      <c r="AB15" s="415" t="str">
        <f>DATA!AO7</f>
        <v>dalam proses
(pelaksanaan 55%)</v>
      </c>
      <c r="AC15" s="416" t="e">
        <f>DATA!#REF!</f>
        <v>#REF!</v>
      </c>
      <c r="AD15" s="417">
        <f>DATA!AC7</f>
        <v>65000000</v>
      </c>
      <c r="AE15" s="418">
        <f>DATA!AD7</f>
        <v>53405755.75</v>
      </c>
      <c r="AF15" s="395" t="s">
        <v>1444</v>
      </c>
    </row>
    <row r="16" spans="1:32" ht="31.5" customHeight="1">
      <c r="A16" s="297">
        <f>DATA!A8</f>
        <v>6</v>
      </c>
      <c r="B16" s="297">
        <f>DATA!B8</f>
        <v>0</v>
      </c>
      <c r="C16" s="297" t="str">
        <f>DATA!D8</f>
        <v>INFRASTRUKTUR</v>
      </c>
      <c r="D16" s="297">
        <f>DATA!E8</f>
        <v>1</v>
      </c>
      <c r="E16" s="297" t="str">
        <f>DATA!F8</f>
        <v>Kementerian Pekerjaan Umum dan Perumahan Rakyat</v>
      </c>
      <c r="F16" s="297" t="str">
        <f>DATA!H8</f>
        <v>Toll Road Development Program</v>
      </c>
      <c r="G16" s="297" t="str">
        <f>DATA!I8</f>
        <v>A</v>
      </c>
      <c r="H16" s="297" t="str">
        <f>DATA!J8</f>
        <v xml:space="preserve">Program Pembangunan Jalan Tol </v>
      </c>
      <c r="I16" s="297">
        <f>DATA!K8</f>
        <v>2</v>
      </c>
      <c r="J16" s="321"/>
      <c r="K16" s="322"/>
      <c r="L16" s="322"/>
      <c r="M16" s="326">
        <v>4</v>
      </c>
      <c r="N16" s="327" t="str">
        <f>DATA!L8</f>
        <v xml:space="preserve">Toll Road Development of Manado - Bitung </v>
      </c>
      <c r="O16" s="308">
        <f>DATA!Q8</f>
        <v>1</v>
      </c>
      <c r="P16" s="308">
        <f>DATA!R8</f>
        <v>1</v>
      </c>
      <c r="Q16" s="346">
        <f>DATA!S8</f>
        <v>4</v>
      </c>
      <c r="R16" s="347">
        <f>DATA!T8</f>
        <v>80000000</v>
      </c>
      <c r="S16" s="369" t="str">
        <f>DATA!Y8</f>
        <v>RRT</v>
      </c>
      <c r="T16" s="370">
        <f>DATA!AA8</f>
        <v>80000000</v>
      </c>
      <c r="U16" s="370">
        <v>0</v>
      </c>
      <c r="V16" s="371" t="str">
        <f>DATA!Y8</f>
        <v>RRT</v>
      </c>
      <c r="W16" s="372">
        <f>DATA!AT8</f>
        <v>80000000</v>
      </c>
      <c r="X16" s="373"/>
      <c r="Y16" s="411" t="str">
        <f>DATA!AU8</f>
        <v>RRT</v>
      </c>
      <c r="Z16" s="412" t="str">
        <f>DATA!AW8</f>
        <v>-</v>
      </c>
      <c r="AA16" s="414" t="str">
        <f>DATA!AN8</f>
        <v>(memiliki FS dan DED)</v>
      </c>
      <c r="AB16" s="415" t="str">
        <f>DATA!AO8</f>
        <v>dalam proses
(pelaksanaan 94%)</v>
      </c>
      <c r="AC16" s="416" t="e">
        <f>DATA!#REF!</f>
        <v>#REF!</v>
      </c>
      <c r="AD16" s="417">
        <f>DATA!AC8</f>
        <v>80000000</v>
      </c>
      <c r="AE16" s="308"/>
      <c r="AF16" s="395" t="s">
        <v>1443</v>
      </c>
    </row>
    <row r="17" spans="1:32" ht="32.25" customHeight="1">
      <c r="A17" s="297">
        <f>DATA!A9</f>
        <v>7</v>
      </c>
      <c r="B17" s="297">
        <f>DATA!B9</f>
        <v>0</v>
      </c>
      <c r="C17" s="297" t="str">
        <f>DATA!D9</f>
        <v>INFRASTRUKTUR</v>
      </c>
      <c r="D17" s="297">
        <f>DATA!E9</f>
        <v>1</v>
      </c>
      <c r="E17" s="297" t="str">
        <f>DATA!F9</f>
        <v>Kementerian Pekerjaan Umum dan Perumahan Rakyat</v>
      </c>
      <c r="F17" s="297" t="str">
        <f>DATA!H9</f>
        <v>Toll Road Development Program</v>
      </c>
      <c r="G17" s="297" t="str">
        <f>DATA!I9</f>
        <v>A</v>
      </c>
      <c r="H17" s="297" t="str">
        <f>DATA!J9</f>
        <v xml:space="preserve">Program Pembangunan Jalan Tol </v>
      </c>
      <c r="I17" s="297">
        <f>DATA!K9</f>
        <v>2</v>
      </c>
      <c r="J17" s="321"/>
      <c r="K17" s="322"/>
      <c r="L17" s="322"/>
      <c r="M17" s="323">
        <v>5</v>
      </c>
      <c r="N17" s="324" t="str">
        <f>DATA!L9</f>
        <v xml:space="preserve">Toll Road Development of Solo - Kertosono </v>
      </c>
      <c r="O17" s="308">
        <f>DATA!Q9</f>
        <v>1</v>
      </c>
      <c r="P17" s="308">
        <f>DATA!R9</f>
        <v>1</v>
      </c>
      <c r="Q17" s="346">
        <f>DATA!S9</f>
        <v>5</v>
      </c>
      <c r="R17" s="347">
        <f>DATA!T9</f>
        <v>300000000</v>
      </c>
      <c r="S17" s="369" t="str">
        <f>DATA!Y9</f>
        <v>RRT</v>
      </c>
      <c r="T17" s="370">
        <f>DATA!AA9</f>
        <v>300000000</v>
      </c>
      <c r="U17" s="370">
        <v>0</v>
      </c>
      <c r="V17" s="371" t="str">
        <f>DATA!Y9</f>
        <v>RRT</v>
      </c>
      <c r="W17" s="372">
        <f>DATA!AT9</f>
        <v>300000000</v>
      </c>
      <c r="X17" s="373"/>
      <c r="Y17" s="411" t="str">
        <f>DATA!AU9</f>
        <v>RRT</v>
      </c>
      <c r="Z17" s="412" t="str">
        <f>DATA!AW9</f>
        <v>-</v>
      </c>
      <c r="AA17" s="414" t="str">
        <f>DATA!AN9</f>
        <v>(memiliki FS dan DED)</v>
      </c>
      <c r="AB17" s="415" t="str">
        <f>DATA!AO9</f>
        <v>dalam proses
(pelaksanaan 62%)</v>
      </c>
      <c r="AC17" s="416" t="e">
        <f>DATA!#REF!</f>
        <v>#REF!</v>
      </c>
      <c r="AD17" s="417">
        <f>DATA!AC9</f>
        <v>200000000</v>
      </c>
      <c r="AE17" s="418">
        <f>DATA!AD9</f>
        <v>198772234.88999999</v>
      </c>
      <c r="AF17" s="395" t="s">
        <v>1444</v>
      </c>
    </row>
    <row r="18" spans="1:32" s="294" customFormat="1" ht="33.75" customHeight="1">
      <c r="J18" s="316"/>
      <c r="K18" s="328"/>
      <c r="L18" s="318" t="str">
        <f>DATA!I10</f>
        <v>B</v>
      </c>
      <c r="M18" s="319" t="str">
        <f>DATA!J10</f>
        <v xml:space="preserve">Program Pembangunan / Peningkatan Jembatan </v>
      </c>
      <c r="N18" s="329"/>
      <c r="O18" s="319"/>
      <c r="P18" s="319"/>
      <c r="Q18" s="363"/>
      <c r="R18" s="364">
        <f>SUM(R19:R23)</f>
        <v>1500000000</v>
      </c>
      <c r="S18" s="365"/>
      <c r="T18" s="366">
        <f>SUM(T19:T23)</f>
        <v>1500000000</v>
      </c>
      <c r="U18" s="366">
        <f>SUM(U19:U23)</f>
        <v>0</v>
      </c>
      <c r="V18" s="367">
        <f>SUM(V19:V23)</f>
        <v>0</v>
      </c>
      <c r="W18" s="365">
        <f>SUM(W19:W23)</f>
        <v>1500000000</v>
      </c>
      <c r="X18" s="368"/>
      <c r="Y18" s="406"/>
      <c r="Z18" s="407"/>
      <c r="AA18" s="419"/>
      <c r="AB18" s="420"/>
      <c r="AC18" s="421"/>
      <c r="AD18" s="365"/>
      <c r="AE18" s="366"/>
      <c r="AF18" s="406"/>
    </row>
    <row r="19" spans="1:32" ht="73.5" customHeight="1">
      <c r="A19" s="297">
        <f>DATA!A10</f>
        <v>8</v>
      </c>
      <c r="B19" s="297">
        <f>DATA!B10</f>
        <v>0</v>
      </c>
      <c r="C19" s="297" t="str">
        <f>DATA!D10</f>
        <v>INFRASTRUKTUR</v>
      </c>
      <c r="D19" s="297">
        <f>DATA!E10</f>
        <v>1</v>
      </c>
      <c r="E19" s="297" t="str">
        <f>DATA!F10</f>
        <v>Kementerian Pekerjaan Umum dan Perumahan Rakyat</v>
      </c>
      <c r="F19" s="297" t="str">
        <f>DATA!H10</f>
        <v>Development and Improvement of National Bridges Program</v>
      </c>
      <c r="G19" s="297" t="str">
        <f>DATA!I10</f>
        <v>B</v>
      </c>
      <c r="H19" s="297" t="str">
        <f>DATA!J10</f>
        <v xml:space="preserve">Program Pembangunan / Peningkatan Jembatan </v>
      </c>
      <c r="I19" s="297">
        <f>DATA!K10</f>
        <v>1</v>
      </c>
      <c r="J19" s="321"/>
      <c r="K19" s="322"/>
      <c r="L19" s="330"/>
      <c r="M19" s="325">
        <v>6</v>
      </c>
      <c r="N19" s="331" t="str">
        <f>DATA!L10</f>
        <v>Material Procurement for Construction and Bridge Rehabilitation</v>
      </c>
      <c r="O19" s="308">
        <f>DATA!Q10</f>
        <v>1</v>
      </c>
      <c r="P19" s="308">
        <f>DATA!R10</f>
        <v>1</v>
      </c>
      <c r="Q19" s="346">
        <f>DATA!S10</f>
        <v>6</v>
      </c>
      <c r="R19" s="347">
        <f>DATA!T10</f>
        <v>450000000</v>
      </c>
      <c r="S19" s="369" t="str">
        <f>DATA!Y10</f>
        <v>Spanyol/RRT</v>
      </c>
      <c r="T19" s="370">
        <f>DATA!AA10</f>
        <v>450000000</v>
      </c>
      <c r="U19" s="370">
        <v>0</v>
      </c>
      <c r="V19" s="371" t="str">
        <f>DATA!Y10</f>
        <v>Spanyol/RRT</v>
      </c>
      <c r="W19" s="372">
        <f>DATA!AT10</f>
        <v>450000000</v>
      </c>
      <c r="X19" s="373"/>
      <c r="Y19" s="411" t="str">
        <f>DATA!AU10</f>
        <v>Spanyol/RRT</v>
      </c>
      <c r="Z19" s="412" t="str">
        <f>DATA!AW10</f>
        <v>- Spanyol berminat mendanai sebagian (USD 50-100 juta), tetapi setelah permasalahan proyek LIPI selesai.
- RRT belum ada keputusan.</v>
      </c>
      <c r="AA19" s="414" t="str">
        <f>DATA!AN10</f>
        <v>belum ada keterangan</v>
      </c>
      <c r="AB19" s="415" t="str">
        <f>DATA!AO10</f>
        <v>belum ada keterangan</v>
      </c>
      <c r="AC19" s="416" t="e">
        <f>DATA!#REF!</f>
        <v>#REF!</v>
      </c>
      <c r="AD19" s="372"/>
      <c r="AE19" s="413"/>
      <c r="AF19" s="411"/>
    </row>
    <row r="20" spans="1:32" ht="31.5" customHeight="1">
      <c r="A20" s="297">
        <f>DATA!A11</f>
        <v>9</v>
      </c>
      <c r="B20" s="297">
        <f>DATA!B11</f>
        <v>0</v>
      </c>
      <c r="C20" s="297" t="str">
        <f>DATA!D11</f>
        <v>INFRASTRUKTUR</v>
      </c>
      <c r="D20" s="297">
        <f>DATA!E11</f>
        <v>1</v>
      </c>
      <c r="E20" s="297" t="str">
        <f>DATA!F11</f>
        <v>Kementerian Pekerjaan Umum dan Perumahan Rakyat</v>
      </c>
      <c r="F20" s="297" t="str">
        <f>DATA!H11</f>
        <v>Development and Improvement of National Bridges Program</v>
      </c>
      <c r="G20" s="297" t="str">
        <f>DATA!I11</f>
        <v>B</v>
      </c>
      <c r="H20" s="297" t="str">
        <f>DATA!J11</f>
        <v xml:space="preserve">Program Pembangunan / Peningkatan Jembatan </v>
      </c>
      <c r="I20" s="297">
        <f>DATA!K11</f>
        <v>2</v>
      </c>
      <c r="J20" s="321"/>
      <c r="K20" s="322"/>
      <c r="L20" s="322"/>
      <c r="M20" s="325">
        <v>7</v>
      </c>
      <c r="N20" s="332" t="str">
        <f>DATA!L11</f>
        <v>Development of Fly Over/ Under Pass for Railways Crossing</v>
      </c>
      <c r="O20" s="308">
        <f>DATA!Q11</f>
        <v>1</v>
      </c>
      <c r="P20" s="308">
        <f>DATA!R11</f>
        <v>1</v>
      </c>
      <c r="Q20" s="346">
        <f>DATA!S11</f>
        <v>7</v>
      </c>
      <c r="R20" s="347">
        <f>DATA!T11</f>
        <v>250000000</v>
      </c>
      <c r="S20" s="369" t="str">
        <f>DATA!Y11</f>
        <v>JICA</v>
      </c>
      <c r="T20" s="370">
        <f>DATA!AA11</f>
        <v>250000000</v>
      </c>
      <c r="U20" s="370">
        <v>0</v>
      </c>
      <c r="V20" s="371" t="str">
        <f>DATA!Y11</f>
        <v>JICA</v>
      </c>
      <c r="W20" s="372">
        <f>DATA!AT11</f>
        <v>250000000</v>
      </c>
      <c r="X20" s="373"/>
      <c r="Y20" s="411" t="str">
        <f>DATA!AU11</f>
        <v>JICA</v>
      </c>
      <c r="Z20" s="412" t="str">
        <f>DATA!AW11</f>
        <v>-</v>
      </c>
      <c r="AA20" s="414" t="str">
        <f>DATA!AN11</f>
        <v>dalam proses
(penyusunan FS)</v>
      </c>
      <c r="AB20" s="415" t="str">
        <f>DATA!AO11</f>
        <v>belum ada keterangan</v>
      </c>
      <c r="AC20" s="416" t="e">
        <f>DATA!#REF!</f>
        <v>#REF!</v>
      </c>
      <c r="AD20" s="372"/>
      <c r="AE20" s="413"/>
      <c r="AF20" s="411"/>
    </row>
    <row r="21" spans="1:32" ht="36" customHeight="1">
      <c r="A21" s="297">
        <f>DATA!A12</f>
        <v>10</v>
      </c>
      <c r="B21" s="297">
        <f>DATA!B12</f>
        <v>0</v>
      </c>
      <c r="C21" s="297" t="str">
        <f>DATA!D12</f>
        <v>INFRASTRUKTUR</v>
      </c>
      <c r="D21" s="297">
        <f>DATA!E12</f>
        <v>1</v>
      </c>
      <c r="E21" s="297" t="str">
        <f>DATA!F12</f>
        <v>Kementerian Pekerjaan Umum dan Perumahan Rakyat</v>
      </c>
      <c r="F21" s="297" t="str">
        <f>DATA!H12</f>
        <v>Development and Improvement of National Bridges Program</v>
      </c>
      <c r="G21" s="297" t="str">
        <f>DATA!I12</f>
        <v>B</v>
      </c>
      <c r="H21" s="297" t="str">
        <f>DATA!J12</f>
        <v xml:space="preserve">Program Pembangunan / Peningkatan Jembatan </v>
      </c>
      <c r="I21" s="297">
        <f>DATA!K12</f>
        <v>3</v>
      </c>
      <c r="J21" s="321"/>
      <c r="K21" s="322"/>
      <c r="L21" s="322"/>
      <c r="M21" s="325">
        <v>8</v>
      </c>
      <c r="N21" s="332" t="str">
        <f>DATA!L12</f>
        <v>Development of Fly Over/ Under Pass in Major Cities</v>
      </c>
      <c r="O21" s="308">
        <f>DATA!Q12</f>
        <v>1</v>
      </c>
      <c r="P21" s="308">
        <f>DATA!R12</f>
        <v>1</v>
      </c>
      <c r="Q21" s="346">
        <f>DATA!S12</f>
        <v>8</v>
      </c>
      <c r="R21" s="347">
        <f>DATA!T12</f>
        <v>270000000</v>
      </c>
      <c r="S21" s="369" t="str">
        <f>DATA!Y12</f>
        <v>JICA</v>
      </c>
      <c r="T21" s="370">
        <f>DATA!AA12</f>
        <v>270000000</v>
      </c>
      <c r="U21" s="370">
        <v>0</v>
      </c>
      <c r="V21" s="371" t="str">
        <f>DATA!Y12</f>
        <v>JICA</v>
      </c>
      <c r="W21" s="372">
        <f>DATA!AT12</f>
        <v>270000000</v>
      </c>
      <c r="X21" s="373"/>
      <c r="Y21" s="411" t="str">
        <f>DATA!AU12</f>
        <v>JICA</v>
      </c>
      <c r="Z21" s="412" t="str">
        <f>DATA!AW12</f>
        <v>-</v>
      </c>
      <c r="AA21" s="414" t="str">
        <f>DATA!AN12</f>
        <v>dalam proses
 (penyusunan FS)</v>
      </c>
      <c r="AB21" s="415" t="str">
        <f>DATA!AO12</f>
        <v>belum ada keterangan</v>
      </c>
      <c r="AC21" s="416" t="e">
        <f>DATA!#REF!</f>
        <v>#REF!</v>
      </c>
      <c r="AD21" s="372"/>
      <c r="AE21" s="413"/>
      <c r="AF21" s="411"/>
    </row>
    <row r="22" spans="1:32" ht="35.25" customHeight="1">
      <c r="A22" s="297">
        <f>DATA!A13</f>
        <v>11</v>
      </c>
      <c r="B22" s="297">
        <f>DATA!B13</f>
        <v>0</v>
      </c>
      <c r="C22" s="297" t="str">
        <f>DATA!D13</f>
        <v>INFRASTRUKTUR</v>
      </c>
      <c r="D22" s="297">
        <f>DATA!E13</f>
        <v>1</v>
      </c>
      <c r="E22" s="297" t="str">
        <f>DATA!F13</f>
        <v>Kementerian Pekerjaan Umum dan Perumahan Rakyat</v>
      </c>
      <c r="F22" s="297" t="str">
        <f>DATA!H13</f>
        <v>Development and Improvement of National Bridges Program</v>
      </c>
      <c r="G22" s="297" t="str">
        <f>DATA!I13</f>
        <v>B</v>
      </c>
      <c r="H22" s="297" t="str">
        <f>DATA!J13</f>
        <v xml:space="preserve">Program Pembangunan / Peningkatan Jembatan </v>
      </c>
      <c r="I22" s="297">
        <f>DATA!K13</f>
        <v>4</v>
      </c>
      <c r="J22" s="321"/>
      <c r="K22" s="322"/>
      <c r="L22" s="322"/>
      <c r="M22" s="325">
        <v>9</v>
      </c>
      <c r="N22" s="332" t="str">
        <f>DATA!L13</f>
        <v>Balinka - Matur - Ngarai Sianok Tunnel Construction</v>
      </c>
      <c r="O22" s="308">
        <f>DATA!Q13</f>
        <v>1</v>
      </c>
      <c r="P22" s="308">
        <f>DATA!R13</f>
        <v>1</v>
      </c>
      <c r="Q22" s="346">
        <f>DATA!S13</f>
        <v>9</v>
      </c>
      <c r="R22" s="347">
        <f>DATA!T13</f>
        <v>175000000</v>
      </c>
      <c r="S22" s="369" t="str">
        <f>DATA!Y13</f>
        <v>Korea/RRT</v>
      </c>
      <c r="T22" s="370">
        <f>DATA!AA13</f>
        <v>175000000</v>
      </c>
      <c r="U22" s="370">
        <v>0</v>
      </c>
      <c r="V22" s="371" t="str">
        <f>DATA!Y13</f>
        <v>Korea/RRT</v>
      </c>
      <c r="W22" s="372">
        <f>DATA!AT13</f>
        <v>175000000</v>
      </c>
      <c r="X22" s="373"/>
      <c r="Y22" s="411" t="str">
        <f>DATA!AU13</f>
        <v>Korea/RRT</v>
      </c>
      <c r="Z22" s="412" t="str">
        <f>DATA!AW13</f>
        <v>- RRT dan Korea belum ada keputusan</v>
      </c>
      <c r="AA22" s="414" t="str">
        <f>DATA!AN13</f>
        <v>dalam proses
(memiliki FS dan DED)</v>
      </c>
      <c r="AB22" s="415" t="str">
        <f>DATA!AO13</f>
        <v>belum ada keterangan</v>
      </c>
      <c r="AC22" s="416" t="e">
        <f>DATA!#REF!</f>
        <v>#REF!</v>
      </c>
      <c r="AD22" s="372"/>
      <c r="AE22" s="413"/>
      <c r="AF22" s="411"/>
    </row>
    <row r="23" spans="1:32" ht="30.75" customHeight="1">
      <c r="A23" s="297">
        <f>DATA!A14</f>
        <v>12</v>
      </c>
      <c r="B23" s="297">
        <f>DATA!B14</f>
        <v>0</v>
      </c>
      <c r="C23" s="297" t="str">
        <f>DATA!D14</f>
        <v>INFRASTRUKTUR</v>
      </c>
      <c r="D23" s="297">
        <f>DATA!E14</f>
        <v>1</v>
      </c>
      <c r="E23" s="297" t="str">
        <f>DATA!F14</f>
        <v>Kementerian Pekerjaan Umum dan Perumahan Rakyat</v>
      </c>
      <c r="F23" s="297" t="str">
        <f>DATA!H14</f>
        <v>Development and Improvement of National Bridges Program</v>
      </c>
      <c r="G23" s="297" t="str">
        <f>DATA!I14</f>
        <v>B</v>
      </c>
      <c r="H23" s="297" t="str">
        <f>DATA!J14</f>
        <v xml:space="preserve">Program Pembangunan / Peningkatan Jembatan </v>
      </c>
      <c r="I23" s="297">
        <f>DATA!K14</f>
        <v>5</v>
      </c>
      <c r="J23" s="321"/>
      <c r="K23" s="322"/>
      <c r="L23" s="333"/>
      <c r="M23" s="325">
        <v>10</v>
      </c>
      <c r="N23" s="332" t="str">
        <f>DATA!L14</f>
        <v>Long Span Bridge Development for Selected Area</v>
      </c>
      <c r="O23" s="308">
        <f>DATA!Q14</f>
        <v>1</v>
      </c>
      <c r="P23" s="308">
        <f>DATA!R14</f>
        <v>1</v>
      </c>
      <c r="Q23" s="346">
        <f>DATA!S14</f>
        <v>10</v>
      </c>
      <c r="R23" s="347">
        <f>DATA!T14</f>
        <v>355000000</v>
      </c>
      <c r="S23" s="369" t="str">
        <f>DATA!Y14</f>
        <v>Korea/RRT</v>
      </c>
      <c r="T23" s="370">
        <f>DATA!AA14</f>
        <v>355000000</v>
      </c>
      <c r="U23" s="370">
        <v>0</v>
      </c>
      <c r="V23" s="371" t="str">
        <f>DATA!Y14</f>
        <v>Korea/RRT</v>
      </c>
      <c r="W23" s="372">
        <f>DATA!AT14</f>
        <v>355000000</v>
      </c>
      <c r="X23" s="373"/>
      <c r="Y23" s="411" t="str">
        <f>DATA!AU14</f>
        <v>Korea/RRT</v>
      </c>
      <c r="Z23" s="412" t="str">
        <f>DATA!AW14</f>
        <v>- RRT dan Korea belum ada keputusan</v>
      </c>
      <c r="AA23" s="414" t="str">
        <f>DATA!AN14</f>
        <v>belum ada keterangan</v>
      </c>
      <c r="AB23" s="415" t="str">
        <f>DATA!AO14</f>
        <v>belum ada keterangan</v>
      </c>
      <c r="AC23" s="416" t="e">
        <f>DATA!#REF!</f>
        <v>#REF!</v>
      </c>
      <c r="AD23" s="372"/>
      <c r="AE23" s="413"/>
      <c r="AF23" s="411"/>
    </row>
    <row r="24" spans="1:32" s="294" customFormat="1" ht="33.75" customHeight="1">
      <c r="J24" s="316"/>
      <c r="K24" s="328"/>
      <c r="L24" s="318" t="str">
        <f>DATA!I15</f>
        <v>C</v>
      </c>
      <c r="M24" s="319" t="str">
        <f>DATA!J16</f>
        <v>Program Pembangunan / Peningkatan Jalan</v>
      </c>
      <c r="N24" s="329"/>
      <c r="O24" s="319"/>
      <c r="P24" s="319"/>
      <c r="Q24" s="363"/>
      <c r="R24" s="364">
        <f>SUM(R25:R33)</f>
        <v>2000000000</v>
      </c>
      <c r="S24" s="365"/>
      <c r="T24" s="366">
        <f>SUM(T25:T33)</f>
        <v>2000000000</v>
      </c>
      <c r="U24" s="366">
        <f t="shared" ref="U24:Z24" si="2">SUM(U25:U33)</f>
        <v>0</v>
      </c>
      <c r="V24" s="367">
        <f t="shared" si="2"/>
        <v>0</v>
      </c>
      <c r="W24" s="365">
        <f t="shared" si="2"/>
        <v>1750000000</v>
      </c>
      <c r="X24" s="368">
        <f t="shared" si="2"/>
        <v>250000000</v>
      </c>
      <c r="Y24" s="406"/>
      <c r="Z24" s="407">
        <f t="shared" si="2"/>
        <v>0</v>
      </c>
      <c r="AA24" s="419"/>
      <c r="AB24" s="420"/>
      <c r="AC24" s="421"/>
      <c r="AD24" s="365"/>
      <c r="AE24" s="366"/>
      <c r="AF24" s="406"/>
    </row>
    <row r="25" spans="1:32" s="294" customFormat="1" ht="63.75">
      <c r="J25" s="316"/>
      <c r="K25" s="328"/>
      <c r="L25" s="334"/>
      <c r="M25" s="326">
        <v>11</v>
      </c>
      <c r="N25" s="332" t="str">
        <f>DATA!L15</f>
        <v>Urban Arterial Road Improvement Project</v>
      </c>
      <c r="O25" s="332">
        <f>DATA!Q15</f>
        <v>1</v>
      </c>
      <c r="P25" s="332">
        <f>DATA!R15</f>
        <v>1</v>
      </c>
      <c r="Q25" s="374">
        <f>DATA!S15</f>
        <v>0</v>
      </c>
      <c r="R25" s="375">
        <f>DATA!T15</f>
        <v>250000000</v>
      </c>
      <c r="S25" s="369" t="str">
        <f>DATA!Y15</f>
        <v>JICA</v>
      </c>
      <c r="T25" s="376">
        <f>DATA!AA15</f>
        <v>205000000</v>
      </c>
      <c r="U25" s="376">
        <v>0</v>
      </c>
      <c r="V25" s="371" t="str">
        <f>DATA!Y15</f>
        <v>JICA</v>
      </c>
      <c r="W25" s="372">
        <f>DATA!AT15</f>
        <v>205000000</v>
      </c>
      <c r="X25" s="373"/>
      <c r="Y25" s="411" t="str">
        <f>DATA!AU15</f>
        <v>JICA</v>
      </c>
      <c r="Z25" s="412" t="str">
        <f>DATA!AW15</f>
        <v>-</v>
      </c>
      <c r="AA25" s="414" t="str">
        <f>DATA!AN15</f>
        <v>siap</v>
      </c>
      <c r="AB25" s="415" t="str">
        <f>DATA!AO15</f>
        <v>belum ada keterangan</v>
      </c>
      <c r="AC25" s="416" t="str">
        <f>DATA!AR15</f>
        <v>- nilai proyek berkurang USD 45 juta, dialihkan untuk kegiatan ESP
- belum ada dokumen R/C</v>
      </c>
      <c r="AD25" s="372"/>
      <c r="AE25" s="413"/>
      <c r="AF25" s="411"/>
    </row>
    <row r="26" spans="1:32" ht="33.75" customHeight="1">
      <c r="A26" s="297">
        <f>DATA!A16</f>
        <v>14</v>
      </c>
      <c r="B26" s="297">
        <f>DATA!B16</f>
        <v>0</v>
      </c>
      <c r="C26" s="297" t="str">
        <f>DATA!D16</f>
        <v>INFRASTRUKTUR</v>
      </c>
      <c r="D26" s="297">
        <f>DATA!E16</f>
        <v>1</v>
      </c>
      <c r="E26" s="297" t="str">
        <f>DATA!F16</f>
        <v>Kementerian Pekerjaan Umum dan Perumahan Rakyat</v>
      </c>
      <c r="F26" s="297" t="str">
        <f>DATA!H16</f>
        <v>Development and Improvement of National Roads Program</v>
      </c>
      <c r="G26" s="297" t="str">
        <f>DATA!I16</f>
        <v>C</v>
      </c>
      <c r="H26" s="297" t="str">
        <f>DATA!J16</f>
        <v>Program Pembangunan / Peningkatan Jalan</v>
      </c>
      <c r="I26" s="297">
        <f>DATA!K16</f>
        <v>2</v>
      </c>
      <c r="J26" s="321"/>
      <c r="K26" s="322"/>
      <c r="L26" s="322"/>
      <c r="M26" s="326">
        <v>12</v>
      </c>
      <c r="N26" s="332" t="str">
        <f>DATA!L16</f>
        <v>Construction of Development of Trans South-South, Eastern Java</v>
      </c>
      <c r="O26" s="308">
        <f>DATA!Q16</f>
        <v>1</v>
      </c>
      <c r="P26" s="308">
        <f>DATA!R16</f>
        <v>1</v>
      </c>
      <c r="Q26" s="346">
        <f>DATA!S16</f>
        <v>12</v>
      </c>
      <c r="R26" s="347">
        <f>DATA!T16</f>
        <v>250000000</v>
      </c>
      <c r="S26" s="377" t="str">
        <f>DATA!Y16</f>
        <v>IDB</v>
      </c>
      <c r="T26" s="370">
        <f>DATA!AA16</f>
        <v>250000000</v>
      </c>
      <c r="U26" s="370">
        <v>0</v>
      </c>
      <c r="V26" s="371" t="str">
        <f>DATA!Y16</f>
        <v>IDB</v>
      </c>
      <c r="W26" s="372">
        <f>DATA!AT16</f>
        <v>250000000</v>
      </c>
      <c r="X26" s="373"/>
      <c r="Y26" s="411" t="str">
        <f>DATA!AU16</f>
        <v>IDB</v>
      </c>
      <c r="Z26" s="412" t="str">
        <f>DATA!AW16</f>
        <v>-</v>
      </c>
      <c r="AA26" s="414" t="str">
        <f>DATA!AN16</f>
        <v>siap</v>
      </c>
      <c r="AB26" s="415" t="str">
        <f>DATA!AO16</f>
        <v>belum ada keterangan</v>
      </c>
      <c r="AC26" s="416" t="str">
        <f>DATA!AR16</f>
        <v>-</v>
      </c>
      <c r="AD26" s="372"/>
      <c r="AE26" s="413"/>
      <c r="AF26" s="411"/>
    </row>
    <row r="27" spans="1:32" ht="39.75" customHeight="1">
      <c r="A27" s="297">
        <f>DATA!A17</f>
        <v>15</v>
      </c>
      <c r="B27" s="297">
        <f>DATA!B17</f>
        <v>0</v>
      </c>
      <c r="C27" s="297" t="str">
        <f>DATA!D17</f>
        <v>INFRASTRUKTUR</v>
      </c>
      <c r="D27" s="297">
        <f>DATA!E17</f>
        <v>1</v>
      </c>
      <c r="E27" s="297" t="str">
        <f>DATA!F17</f>
        <v>Kementerian Pekerjaan Umum dan Perumahan Rakyat</v>
      </c>
      <c r="F27" s="297" t="str">
        <f>DATA!H17</f>
        <v>Development and Improvement of National Roads Program</v>
      </c>
      <c r="G27" s="297" t="str">
        <f>DATA!I17</f>
        <v>C</v>
      </c>
      <c r="H27" s="297" t="str">
        <f>DATA!J17</f>
        <v>Program Pembangunan / Peningkatan Jalan</v>
      </c>
      <c r="I27" s="297">
        <f>DATA!K17</f>
        <v>3</v>
      </c>
      <c r="J27" s="321"/>
      <c r="K27" s="322"/>
      <c r="L27" s="322"/>
      <c r="M27" s="326">
        <v>13</v>
      </c>
      <c r="N27" s="332" t="str">
        <f>DATA!L17</f>
        <v>Road Improvement Project to Support Integrated Land and Sea Toll Way - Northern Area</v>
      </c>
      <c r="O27" s="308">
        <f>DATA!Q17</f>
        <v>1</v>
      </c>
      <c r="P27" s="308">
        <f>DATA!R17</f>
        <v>1</v>
      </c>
      <c r="Q27" s="346">
        <f>DATA!S17</f>
        <v>13</v>
      </c>
      <c r="R27" s="347">
        <f>DATA!T17</f>
        <v>250000000</v>
      </c>
      <c r="S27" s="369" t="str">
        <f>DATA!Y17</f>
        <v>Bank Dunia</v>
      </c>
      <c r="T27" s="370">
        <f>DATA!AA17</f>
        <v>250000000</v>
      </c>
      <c r="U27" s="370">
        <v>0</v>
      </c>
      <c r="V27" s="371" t="str">
        <f>DATA!Y17</f>
        <v>Bank Dunia</v>
      </c>
      <c r="W27" s="372">
        <f>DATA!AT17</f>
        <v>250000000</v>
      </c>
      <c r="X27" s="373"/>
      <c r="Y27" s="411" t="str">
        <f>DATA!AU17</f>
        <v>Bank Dunia</v>
      </c>
      <c r="Z27" s="412" t="str">
        <f>DATA!AW17</f>
        <v>-</v>
      </c>
      <c r="AA27" s="414" t="str">
        <f>DATA!AN17</f>
        <v>belum ada keterangan</v>
      </c>
      <c r="AB27" s="415" t="str">
        <f>DATA!AO17</f>
        <v>belum ada keterangan</v>
      </c>
      <c r="AC27" s="416" t="str">
        <f>DATA!AR17</f>
        <v>belum ada dokumen R/C</v>
      </c>
      <c r="AD27" s="372"/>
      <c r="AE27" s="413"/>
      <c r="AF27" s="411"/>
    </row>
    <row r="28" spans="1:32" ht="38.25" customHeight="1">
      <c r="A28" s="297">
        <f>DATA!A18</f>
        <v>16</v>
      </c>
      <c r="B28" s="297">
        <f>DATA!B18</f>
        <v>0</v>
      </c>
      <c r="C28" s="297" t="str">
        <f>DATA!D18</f>
        <v>INFRASTRUKTUR</v>
      </c>
      <c r="D28" s="297">
        <f>DATA!E18</f>
        <v>1</v>
      </c>
      <c r="E28" s="297" t="str">
        <f>DATA!F18</f>
        <v>Kementerian Pekerjaan Umum dan Perumahan Rakyat</v>
      </c>
      <c r="F28" s="297" t="str">
        <f>DATA!H18</f>
        <v>Development and Improvement of National Roads Program</v>
      </c>
      <c r="G28" s="297" t="str">
        <f>DATA!I18</f>
        <v>C</v>
      </c>
      <c r="H28" s="297" t="str">
        <f>DATA!J18</f>
        <v>Program Pembangunan / Peningkatan Jalan</v>
      </c>
      <c r="I28" s="297">
        <f>DATA!K18</f>
        <v>4</v>
      </c>
      <c r="J28" s="321"/>
      <c r="K28" s="322"/>
      <c r="L28" s="322"/>
      <c r="M28" s="326">
        <v>14</v>
      </c>
      <c r="N28" s="332" t="str">
        <f>DATA!L18</f>
        <v>Road Improvement Project to Support Integrated Land and Sea Toll Way - Southern Area</v>
      </c>
      <c r="O28" s="308">
        <f>DATA!Q18</f>
        <v>1</v>
      </c>
      <c r="P28" s="308">
        <f>DATA!R18</f>
        <v>1</v>
      </c>
      <c r="Q28" s="346">
        <f>DATA!S18</f>
        <v>14</v>
      </c>
      <c r="R28" s="347">
        <f>DATA!T18</f>
        <v>250000000</v>
      </c>
      <c r="S28" s="369" t="str">
        <f>DATA!Y18</f>
        <v>Bank Dunia/ADB</v>
      </c>
      <c r="T28" s="370">
        <f>DATA!AA18</f>
        <v>250000000</v>
      </c>
      <c r="U28" s="370">
        <v>0</v>
      </c>
      <c r="V28" s="371" t="str">
        <f>DATA!Y18</f>
        <v>Bank Dunia/ADB</v>
      </c>
      <c r="W28" s="372">
        <f>DATA!AT18</f>
        <v>250000000</v>
      </c>
      <c r="X28" s="373"/>
      <c r="Y28" s="411" t="str">
        <f>DATA!AU18</f>
        <v>Bank Dunia</v>
      </c>
      <c r="Z28" s="412" t="str">
        <f>DATA!AW18</f>
        <v>- usulan K/L lender: Bank Dunia/ADB. 
- Hanya Bank Dunia saja yang berminat.</v>
      </c>
      <c r="AA28" s="414" t="str">
        <f>DATA!AN18</f>
        <v>belum ada keterangan</v>
      </c>
      <c r="AB28" s="415" t="str">
        <f>DATA!AO18</f>
        <v>belum ada keterangan</v>
      </c>
      <c r="AC28" s="416" t="e">
        <f>DATA!#REF!</f>
        <v>#REF!</v>
      </c>
      <c r="AD28" s="372"/>
      <c r="AE28" s="413"/>
      <c r="AF28" s="411"/>
    </row>
    <row r="29" spans="1:32" ht="46.5" customHeight="1">
      <c r="A29" s="297">
        <f>DATA!A19</f>
        <v>17</v>
      </c>
      <c r="B29" s="297">
        <f>DATA!B19</f>
        <v>0</v>
      </c>
      <c r="C29" s="297" t="str">
        <f>DATA!D19</f>
        <v>INFRASTRUKTUR</v>
      </c>
      <c r="D29" s="297">
        <f>DATA!E19</f>
        <v>1</v>
      </c>
      <c r="E29" s="297" t="str">
        <f>DATA!F19</f>
        <v>Kementerian Pekerjaan Umum dan Perumahan Rakyat</v>
      </c>
      <c r="F29" s="297" t="str">
        <f>DATA!H19</f>
        <v>Development and Improvement of National Roads Program</v>
      </c>
      <c r="G29" s="297" t="str">
        <f>DATA!I19</f>
        <v>C</v>
      </c>
      <c r="H29" s="297" t="str">
        <f>DATA!J19</f>
        <v>Program Pembangunan / Peningkatan Jalan</v>
      </c>
      <c r="I29" s="297">
        <f>DATA!K19</f>
        <v>5</v>
      </c>
      <c r="J29" s="321"/>
      <c r="K29" s="322"/>
      <c r="L29" s="322"/>
      <c r="M29" s="326">
        <v>15</v>
      </c>
      <c r="N29" s="332" t="str">
        <f>DATA!L19</f>
        <v>National Road Improvement in West and South Kalimantan</v>
      </c>
      <c r="O29" s="308">
        <f>DATA!Q19</f>
        <v>1</v>
      </c>
      <c r="P29" s="308">
        <f>DATA!R19</f>
        <v>1</v>
      </c>
      <c r="Q29" s="346">
        <f>DATA!S19</f>
        <v>15</v>
      </c>
      <c r="R29" s="347">
        <f>DATA!T19</f>
        <v>250000000</v>
      </c>
      <c r="S29" s="369" t="str">
        <f>DATA!Y19</f>
        <v>IDB</v>
      </c>
      <c r="T29" s="370">
        <f>DATA!AA19</f>
        <v>250000000</v>
      </c>
      <c r="U29" s="370">
        <v>0</v>
      </c>
      <c r="V29" s="371" t="str">
        <f>DATA!Y19</f>
        <v>IDB</v>
      </c>
      <c r="W29" s="372">
        <f>DATA!AT19</f>
        <v>250000000</v>
      </c>
      <c r="X29" s="373"/>
      <c r="Y29" s="411" t="str">
        <f>DATA!AU19</f>
        <v>IDB</v>
      </c>
      <c r="Z29" s="412" t="str">
        <f>DATA!AW19</f>
        <v>-</v>
      </c>
      <c r="AA29" s="414" t="str">
        <f>DATA!AN19</f>
        <v>belum ada keterangan</v>
      </c>
      <c r="AB29" s="415" t="str">
        <f>DATA!AO19</f>
        <v>belum ada keterangan</v>
      </c>
      <c r="AC29" s="416" t="e">
        <f>DATA!#REF!</f>
        <v>#REF!</v>
      </c>
      <c r="AD29" s="372"/>
      <c r="AE29" s="413"/>
      <c r="AF29" s="411"/>
    </row>
    <row r="30" spans="1:32" ht="47.25" customHeight="1">
      <c r="A30" s="297">
        <f>DATA!A20</f>
        <v>18</v>
      </c>
      <c r="B30" s="297">
        <f>DATA!B20</f>
        <v>0</v>
      </c>
      <c r="C30" s="297" t="str">
        <f>DATA!D20</f>
        <v>INFRASTRUKTUR</v>
      </c>
      <c r="D30" s="297">
        <f>DATA!E20</f>
        <v>1</v>
      </c>
      <c r="E30" s="297" t="str">
        <f>DATA!F20</f>
        <v>Kementerian Pekerjaan Umum dan Perumahan Rakyat</v>
      </c>
      <c r="F30" s="297" t="str">
        <f>DATA!H20</f>
        <v>Development and Improvement of National Roads Program</v>
      </c>
      <c r="G30" s="297" t="str">
        <f>DATA!I20</f>
        <v>C</v>
      </c>
      <c r="H30" s="297" t="str">
        <f>DATA!J20</f>
        <v>Program Pembangunan / Peningkatan Jalan</v>
      </c>
      <c r="I30" s="297">
        <f>DATA!K20</f>
        <v>6</v>
      </c>
      <c r="J30" s="321"/>
      <c r="K30" s="322"/>
      <c r="L30" s="322"/>
      <c r="M30" s="326">
        <v>16</v>
      </c>
      <c r="N30" s="332" t="str">
        <f>DATA!L20</f>
        <v>National Road Improvement in Central Kalimantan</v>
      </c>
      <c r="O30" s="308">
        <f>DATA!Q20</f>
        <v>1</v>
      </c>
      <c r="P30" s="308">
        <f>DATA!R20</f>
        <v>1</v>
      </c>
      <c r="Q30" s="346">
        <f>DATA!S20</f>
        <v>16</v>
      </c>
      <c r="R30" s="347">
        <f>DATA!T20</f>
        <v>250000000</v>
      </c>
      <c r="S30" s="369" t="str">
        <f>DATA!Y20</f>
        <v>Bank Dunia/ADB</v>
      </c>
      <c r="T30" s="370">
        <f>DATA!AA20</f>
        <v>250000000</v>
      </c>
      <c r="U30" s="370">
        <v>0</v>
      </c>
      <c r="V30" s="371" t="str">
        <f>DATA!Y20</f>
        <v>Bank Dunia/ADB</v>
      </c>
      <c r="W30" s="372"/>
      <c r="X30" s="373">
        <f>DATA!AT20</f>
        <v>250000000</v>
      </c>
      <c r="Y30" s="411" t="str">
        <f>DATA!AU20</f>
        <v>Belum Ada Indikasi</v>
      </c>
      <c r="Z30" s="412" t="str">
        <f>DATA!AW20</f>
        <v>usulan K/L lender: Bank Dunia/ADB. Kedua calon lender tidak berminat mendanai proyek ini.</v>
      </c>
      <c r="AA30" s="414" t="str">
        <f>DATA!AN20</f>
        <v>siap</v>
      </c>
      <c r="AB30" s="415" t="str">
        <f>DATA!AO20</f>
        <v>belum ada keterangan</v>
      </c>
      <c r="AC30" s="416" t="e">
        <f>DATA!#REF!</f>
        <v>#REF!</v>
      </c>
      <c r="AD30" s="372"/>
      <c r="AE30" s="413"/>
      <c r="AF30" s="411"/>
    </row>
    <row r="31" spans="1:32" ht="63" customHeight="1">
      <c r="A31" s="297">
        <f>DATA!A21</f>
        <v>19</v>
      </c>
      <c r="B31" s="297">
        <f>DATA!B21</f>
        <v>0</v>
      </c>
      <c r="C31" s="297" t="str">
        <f>DATA!D21</f>
        <v>INFRASTRUKTUR</v>
      </c>
      <c r="D31" s="297">
        <f>DATA!E21</f>
        <v>1</v>
      </c>
      <c r="E31" s="297" t="str">
        <f>DATA!F21</f>
        <v>Kementerian Pekerjaan Umum dan Perumahan Rakyat</v>
      </c>
      <c r="F31" s="297" t="str">
        <f>DATA!H21</f>
        <v>Development and Improvement of National Roads Program</v>
      </c>
      <c r="G31" s="297" t="str">
        <f>DATA!I21</f>
        <v>C</v>
      </c>
      <c r="H31" s="297" t="str">
        <f>DATA!J21</f>
        <v>Program Pembangunan / Peningkatan Jalan</v>
      </c>
      <c r="I31" s="297">
        <f>DATA!K21</f>
        <v>7</v>
      </c>
      <c r="J31" s="321"/>
      <c r="K31" s="322"/>
      <c r="L31" s="322"/>
      <c r="M31" s="326">
        <v>17</v>
      </c>
      <c r="N31" s="332" t="str">
        <f>DATA!L21</f>
        <v>National Road Improvement in North and East Kalimantan</v>
      </c>
      <c r="O31" s="308">
        <f>DATA!Q21</f>
        <v>1</v>
      </c>
      <c r="P31" s="308">
        <f>DATA!R21</f>
        <v>1</v>
      </c>
      <c r="Q31" s="346">
        <f>DATA!S21</f>
        <v>17</v>
      </c>
      <c r="R31" s="347">
        <f>DATA!T21</f>
        <v>250000000</v>
      </c>
      <c r="S31" s="369" t="str">
        <f>DATA!Y21</f>
        <v>IDB</v>
      </c>
      <c r="T31" s="370">
        <f>DATA!AA21</f>
        <v>250000000</v>
      </c>
      <c r="U31" s="370">
        <v>0</v>
      </c>
      <c r="V31" s="371" t="str">
        <f>DATA!Y21</f>
        <v>IDB</v>
      </c>
      <c r="W31" s="372">
        <f>DATA!AT21</f>
        <v>250000000</v>
      </c>
      <c r="X31" s="373"/>
      <c r="Y31" s="411" t="str">
        <f>DATA!AU21</f>
        <v>AIIB</v>
      </c>
      <c r="Z31" s="412" t="str">
        <f>DATA!AW21</f>
        <v>- usulan K/L semula lender: IDB. 
- Pihak IDB tidak berminat mendanai kegiatan ini, diusulkan kepada AIIB.</v>
      </c>
      <c r="AA31" s="414" t="str">
        <f>DATA!AN21</f>
        <v>siap</v>
      </c>
      <c r="AB31" s="415" t="str">
        <f>DATA!AO21</f>
        <v>belum ada keterangan</v>
      </c>
      <c r="AC31" s="416" t="e">
        <f>DATA!#REF!</f>
        <v>#REF!</v>
      </c>
      <c r="AD31" s="372"/>
      <c r="AE31" s="413"/>
      <c r="AF31" s="411"/>
    </row>
    <row r="32" spans="1:32" ht="36" customHeight="1">
      <c r="A32" s="297">
        <f>DATA!A22</f>
        <v>20</v>
      </c>
      <c r="B32" s="297">
        <f>DATA!B22</f>
        <v>0</v>
      </c>
      <c r="C32" s="297" t="str">
        <f>DATA!D22</f>
        <v>INFRASTRUKTUR</v>
      </c>
      <c r="D32" s="297">
        <f>DATA!E22</f>
        <v>1</v>
      </c>
      <c r="E32" s="297" t="str">
        <f>DATA!F22</f>
        <v>Kementerian Pekerjaan Umum dan Perumahan Rakyat</v>
      </c>
      <c r="F32" s="297" t="str">
        <f>DATA!H22</f>
        <v>Development and Improvement of National Roads Program</v>
      </c>
      <c r="G32" s="297" t="str">
        <f>DATA!I22</f>
        <v>C</v>
      </c>
      <c r="H32" s="297" t="str">
        <f>DATA!J22</f>
        <v>Program Pembangunan / Peningkatan Jalan</v>
      </c>
      <c r="I32" s="297">
        <f>DATA!K22</f>
        <v>8</v>
      </c>
      <c r="J32" s="321"/>
      <c r="K32" s="322"/>
      <c r="L32" s="333"/>
      <c r="M32" s="326">
        <v>18</v>
      </c>
      <c r="N32" s="332" t="str">
        <f>DATA!L22</f>
        <v>Road Improvement Project in Sulawesi Island and Major Cities</v>
      </c>
      <c r="O32" s="308">
        <f>DATA!Q22</f>
        <v>1</v>
      </c>
      <c r="P32" s="308">
        <f>DATA!R22</f>
        <v>1</v>
      </c>
      <c r="Q32" s="346">
        <f>DATA!S22</f>
        <v>18</v>
      </c>
      <c r="R32" s="347">
        <f>DATA!T22</f>
        <v>250000000</v>
      </c>
      <c r="S32" s="369" t="str">
        <f>DATA!Y22</f>
        <v>IDB</v>
      </c>
      <c r="T32" s="370">
        <f>DATA!AA22</f>
        <v>250000000</v>
      </c>
      <c r="U32" s="370">
        <v>0</v>
      </c>
      <c r="V32" s="371" t="str">
        <f>DATA!Y22</f>
        <v>IDB</v>
      </c>
      <c r="W32" s="372">
        <f>DATA!AT22</f>
        <v>250000000</v>
      </c>
      <c r="X32" s="373"/>
      <c r="Y32" s="411" t="str">
        <f>DATA!AU22</f>
        <v>IDB</v>
      </c>
      <c r="Z32" s="412" t="str">
        <f>DATA!AW22</f>
        <v>-</v>
      </c>
      <c r="AA32" s="414" t="str">
        <f>DATA!AN22</f>
        <v>siap</v>
      </c>
      <c r="AB32" s="415" t="str">
        <f>DATA!AO22</f>
        <v>belum ada keterangan</v>
      </c>
      <c r="AC32" s="416" t="e">
        <f>DATA!#REF!</f>
        <v>#REF!</v>
      </c>
      <c r="AD32" s="372"/>
      <c r="AE32" s="413"/>
      <c r="AF32" s="411"/>
    </row>
    <row r="33" spans="1:39" ht="38.25" customHeight="1">
      <c r="J33" s="321"/>
      <c r="K33" s="322"/>
      <c r="L33" s="333"/>
      <c r="M33" s="326">
        <v>19</v>
      </c>
      <c r="N33" s="327" t="str">
        <f>DATA!L23</f>
        <v>Engineering Service for National Roads Development Project</v>
      </c>
      <c r="O33" s="326">
        <f>DATA!Q23</f>
        <v>0</v>
      </c>
      <c r="P33" s="326">
        <f>DATA!R23</f>
        <v>1</v>
      </c>
      <c r="Q33" s="378">
        <f>DATA!S23</f>
        <v>0</v>
      </c>
      <c r="R33" s="379">
        <f>DATA!T23</f>
        <v>0</v>
      </c>
      <c r="S33" s="377" t="str">
        <f>DATA!Y23</f>
        <v>ADB</v>
      </c>
      <c r="T33" s="380">
        <f>DATA!AA23</f>
        <v>45000000</v>
      </c>
      <c r="U33" s="380">
        <v>0</v>
      </c>
      <c r="V33" s="371" t="str">
        <f>DATA!Y23</f>
        <v>ADB</v>
      </c>
      <c r="W33" s="372">
        <f>DATA!AT23</f>
        <v>45000000</v>
      </c>
      <c r="X33" s="373"/>
      <c r="Y33" s="411" t="str">
        <f>DATA!AU23</f>
        <v>ADB</v>
      </c>
      <c r="Z33" s="412" t="str">
        <f>DATA!AW23</f>
        <v>-</v>
      </c>
      <c r="AA33" s="414" t="str">
        <f>DATA!AN23</f>
        <v>siap</v>
      </c>
      <c r="AB33" s="415" t="str">
        <f>DATA!AO23</f>
        <v>tidak butuh lahan</v>
      </c>
      <c r="AC33" s="416" t="str">
        <f>DATA!AR23</f>
        <v>-</v>
      </c>
      <c r="AD33" s="417">
        <f>DATA!AC23</f>
        <v>45000000</v>
      </c>
      <c r="AE33" s="308"/>
      <c r="AF33" s="395" t="s">
        <v>1443</v>
      </c>
    </row>
    <row r="34" spans="1:39" s="294" customFormat="1" ht="33.75" customHeight="1">
      <c r="J34" s="316"/>
      <c r="K34" s="328"/>
      <c r="L34" s="318" t="str">
        <f>DATA!I24</f>
        <v>D</v>
      </c>
      <c r="M34" s="319" t="str">
        <f>DATA!J24</f>
        <v>Program Pembangunan Air Minum</v>
      </c>
      <c r="N34" s="329"/>
      <c r="O34" s="319"/>
      <c r="P34" s="319"/>
      <c r="Q34" s="363"/>
      <c r="R34" s="364">
        <f>+R35+R36+R37+R38+R39+R40+R41+R42+R43+R44+R45+R46+R48</f>
        <v>1197680000</v>
      </c>
      <c r="S34" s="365"/>
      <c r="T34" s="366">
        <f>+T35+T36+T37+T38+T39+T40+T41+T42+T43+T44+T45+T46+T47+T48</f>
        <v>1197680000</v>
      </c>
      <c r="U34" s="366">
        <f>+U35+U36+U37+U38+U39+U40+U41+U42+U43+U44+U45+U46+U48</f>
        <v>0</v>
      </c>
      <c r="V34" s="367"/>
      <c r="W34" s="365">
        <f>+W35+W36+W37+W38+W39+W40+W41+W42+W43+W44+W45+W46+W47+W48</f>
        <v>878280000</v>
      </c>
      <c r="X34" s="368">
        <f>+X35+X36+X37+X38+X39+X40+X41+X42+X43+X44+X45+X46+X47+X48</f>
        <v>319400000</v>
      </c>
      <c r="Y34" s="406"/>
      <c r="Z34" s="407"/>
      <c r="AA34" s="419"/>
      <c r="AB34" s="420"/>
      <c r="AC34" s="421"/>
      <c r="AD34" s="365"/>
      <c r="AE34" s="366"/>
      <c r="AF34" s="422"/>
      <c r="AJ34" s="424"/>
      <c r="AK34" s="424"/>
      <c r="AL34" s="424"/>
      <c r="AM34" s="424"/>
    </row>
    <row r="35" spans="1:39" ht="42" customHeight="1">
      <c r="A35" s="297">
        <f>DATA!A24</f>
        <v>21</v>
      </c>
      <c r="B35" s="297">
        <f>DATA!B24</f>
        <v>0</v>
      </c>
      <c r="C35" s="297" t="str">
        <f>DATA!D24</f>
        <v>INFRASTRUKTUR</v>
      </c>
      <c r="D35" s="297">
        <f>DATA!E24</f>
        <v>1</v>
      </c>
      <c r="E35" s="297" t="str">
        <f>DATA!F24</f>
        <v>Kementerian Pekerjaan Umum dan Perumahan Rakyat</v>
      </c>
      <c r="F35" s="297" t="str">
        <f>DATA!H24</f>
        <v>Drinking Water Development Program</v>
      </c>
      <c r="G35" s="297" t="str">
        <f>DATA!I24</f>
        <v>D</v>
      </c>
      <c r="H35" s="297" t="str">
        <f>DATA!J24</f>
        <v>Program Pembangunan Air Minum</v>
      </c>
      <c r="I35" s="297">
        <f>DATA!K24</f>
        <v>1</v>
      </c>
      <c r="J35" s="321"/>
      <c r="K35" s="322"/>
      <c r="L35" s="330"/>
      <c r="M35" s="326">
        <v>20</v>
      </c>
      <c r="N35" s="332" t="str">
        <f>DATA!L24</f>
        <v>Community Based Water and Sanitation Program  (PAMSIMAS)</v>
      </c>
      <c r="O35" s="308">
        <f>DATA!Q24</f>
        <v>1</v>
      </c>
      <c r="P35" s="308">
        <f>DATA!R24</f>
        <v>1</v>
      </c>
      <c r="Q35" s="346">
        <f>DATA!S24</f>
        <v>19</v>
      </c>
      <c r="R35" s="347">
        <f>DATA!T24</f>
        <v>300000000</v>
      </c>
      <c r="S35" s="369" t="str">
        <f>DATA!Y24</f>
        <v>Bank Dunia</v>
      </c>
      <c r="T35" s="370">
        <f>DATA!AA24</f>
        <v>300000000</v>
      </c>
      <c r="U35" s="370">
        <v>0</v>
      </c>
      <c r="V35" s="371" t="str">
        <f>DATA!Y24</f>
        <v>Bank Dunia</v>
      </c>
      <c r="W35" s="372">
        <f>DATA!AT24</f>
        <v>300000000</v>
      </c>
      <c r="X35" s="373"/>
      <c r="Y35" s="411" t="str">
        <f>DATA!AU24</f>
        <v>Bank Dunia</v>
      </c>
      <c r="Z35" s="412" t="str">
        <f>DATA!AW24</f>
        <v>-</v>
      </c>
      <c r="AA35" s="414" t="str">
        <f>DATA!AN24</f>
        <v>dalam proses
(memiliki FS dan DED)</v>
      </c>
      <c r="AB35" s="415" t="str">
        <f>DATA!AO24</f>
        <v>belum ada keterangan</v>
      </c>
      <c r="AC35" s="416" t="e">
        <f>DATA!#REF!</f>
        <v>#REF!</v>
      </c>
      <c r="AD35" s="417">
        <f>DATA!AC24</f>
        <v>300000000</v>
      </c>
      <c r="AE35" s="413"/>
      <c r="AF35" s="395" t="s">
        <v>1443</v>
      </c>
    </row>
    <row r="36" spans="1:39" ht="31.5" customHeight="1">
      <c r="A36" s="297">
        <f>DATA!A25</f>
        <v>22</v>
      </c>
      <c r="B36" s="297">
        <f>DATA!B25</f>
        <v>0</v>
      </c>
      <c r="C36" s="297" t="str">
        <f>DATA!D25</f>
        <v>INFRASTRUKTUR</v>
      </c>
      <c r="D36" s="297">
        <f>DATA!E25</f>
        <v>1</v>
      </c>
      <c r="E36" s="297" t="str">
        <f>DATA!F25</f>
        <v>Kementerian Pekerjaan Umum dan Perumahan Rakyat</v>
      </c>
      <c r="F36" s="297" t="str">
        <f>DATA!H25</f>
        <v>Drinking Water Development Program</v>
      </c>
      <c r="G36" s="297" t="str">
        <f>DATA!I25</f>
        <v>D</v>
      </c>
      <c r="H36" s="297" t="str">
        <f>DATA!J25</f>
        <v>Program Pembangunan Air Minum</v>
      </c>
      <c r="I36" s="297">
        <f>DATA!K25</f>
        <v>2</v>
      </c>
      <c r="J36" s="321"/>
      <c r="K36" s="322"/>
      <c r="L36" s="322"/>
      <c r="M36" s="326">
        <v>21</v>
      </c>
      <c r="N36" s="332" t="str">
        <f>DATA!L25</f>
        <v>National Urban Water Supply</v>
      </c>
      <c r="O36" s="308">
        <f>DATA!Q25</f>
        <v>1</v>
      </c>
      <c r="P36" s="308">
        <f>DATA!R25</f>
        <v>1</v>
      </c>
      <c r="Q36" s="346">
        <f>DATA!S25</f>
        <v>20</v>
      </c>
      <c r="R36" s="347">
        <f>DATA!T25</f>
        <v>100000000</v>
      </c>
      <c r="S36" s="369" t="str">
        <f>DATA!Y25</f>
        <v>Bank Dunia</v>
      </c>
      <c r="T36" s="370">
        <f>DATA!AA25</f>
        <v>100000000</v>
      </c>
      <c r="U36" s="370">
        <v>0</v>
      </c>
      <c r="V36" s="371" t="str">
        <f>DATA!Y25</f>
        <v>Bank Dunia</v>
      </c>
      <c r="W36" s="372">
        <f>DATA!AT25</f>
        <v>100000000</v>
      </c>
      <c r="X36" s="373"/>
      <c r="Y36" s="411" t="str">
        <f>DATA!AU25</f>
        <v>Bank Dunia</v>
      </c>
      <c r="Z36" s="412" t="str">
        <f>DATA!AW25</f>
        <v>-</v>
      </c>
      <c r="AA36" s="414" t="str">
        <f>DATA!AN25</f>
        <v>belum ada keterangan</v>
      </c>
      <c r="AB36" s="415" t="str">
        <f>DATA!AO25</f>
        <v>belum ada keterangan</v>
      </c>
      <c r="AC36" s="416" t="e">
        <f>DATA!#REF!</f>
        <v>#REF!</v>
      </c>
      <c r="AD36" s="372"/>
      <c r="AE36" s="413"/>
      <c r="AF36" s="411"/>
    </row>
    <row r="37" spans="1:39" ht="33.75" customHeight="1">
      <c r="A37" s="297">
        <f>DATA!A27</f>
        <v>24</v>
      </c>
      <c r="B37" s="297">
        <f>DATA!B27</f>
        <v>0</v>
      </c>
      <c r="C37" s="297" t="str">
        <f>DATA!D27</f>
        <v>INFRASTRUKTUR</v>
      </c>
      <c r="D37" s="297">
        <f>DATA!E27</f>
        <v>1</v>
      </c>
      <c r="E37" s="297" t="str">
        <f>DATA!F27</f>
        <v>Kementerian Pekerjaan Umum dan Perumahan Rakyat</v>
      </c>
      <c r="F37" s="297" t="str">
        <f>DATA!H27</f>
        <v>Drinking Water Development Program</v>
      </c>
      <c r="G37" s="297" t="str">
        <f>DATA!I27</f>
        <v>D</v>
      </c>
      <c r="H37" s="297" t="str">
        <f>DATA!J27</f>
        <v>Program Pembangunan Air Minum</v>
      </c>
      <c r="I37" s="297">
        <f>DATA!K27</f>
        <v>3</v>
      </c>
      <c r="J37" s="321"/>
      <c r="K37" s="322"/>
      <c r="L37" s="322"/>
      <c r="M37" s="326">
        <v>22</v>
      </c>
      <c r="N37" s="332" t="str">
        <f>DATA!L27</f>
        <v xml:space="preserve">Mamminasata Water Supply Development Project </v>
      </c>
      <c r="O37" s="308">
        <f>DATA!Q27</f>
        <v>1</v>
      </c>
      <c r="P37" s="308">
        <f>DATA!R27</f>
        <v>1</v>
      </c>
      <c r="Q37" s="346">
        <f>DATA!S27</f>
        <v>21</v>
      </c>
      <c r="R37" s="347">
        <f>DATA!T27</f>
        <v>100000000</v>
      </c>
      <c r="S37" s="369" t="str">
        <f>DATA!Y27</f>
        <v>JICA</v>
      </c>
      <c r="T37" s="370">
        <f>DATA!AA27</f>
        <v>100000000</v>
      </c>
      <c r="U37" s="370">
        <v>0</v>
      </c>
      <c r="V37" s="371" t="str">
        <f>DATA!Y27</f>
        <v>JICA</v>
      </c>
      <c r="W37" s="372">
        <f>DATA!AT27</f>
        <v>100000000</v>
      </c>
      <c r="X37" s="373"/>
      <c r="Y37" s="411" t="str">
        <f>DATA!AU27</f>
        <v>JICA</v>
      </c>
      <c r="Z37" s="412" t="str">
        <f>DATA!AW27</f>
        <v>-</v>
      </c>
      <c r="AA37" s="414" t="str">
        <f>DATA!AN27</f>
        <v>siap</v>
      </c>
      <c r="AB37" s="415" t="str">
        <f>DATA!AO27</f>
        <v>dalam proses
(persiapan)</v>
      </c>
      <c r="AC37" s="416" t="str">
        <f>DATA!AR27</f>
        <v>belum ada dokumen R/C</v>
      </c>
      <c r="AD37" s="372"/>
      <c r="AE37" s="413"/>
      <c r="AF37" s="411"/>
    </row>
    <row r="38" spans="1:39" ht="51">
      <c r="A38" s="297">
        <f>DATA!A28</f>
        <v>25</v>
      </c>
      <c r="B38" s="297">
        <f>DATA!B28</f>
        <v>0</v>
      </c>
      <c r="C38" s="297" t="str">
        <f>DATA!D28</f>
        <v>INFRASTRUKTUR</v>
      </c>
      <c r="D38" s="297">
        <f>DATA!E28</f>
        <v>1</v>
      </c>
      <c r="E38" s="297" t="str">
        <f>DATA!F28</f>
        <v>Kementerian Pekerjaan Umum dan Perumahan Rakyat</v>
      </c>
      <c r="F38" s="297" t="str">
        <f>DATA!H28</f>
        <v>Drinking Water Development Program</v>
      </c>
      <c r="G38" s="297" t="str">
        <f>DATA!I28</f>
        <v>D</v>
      </c>
      <c r="H38" s="297" t="str">
        <f>DATA!J28</f>
        <v>Program Pembangunan Air Minum</v>
      </c>
      <c r="I38" s="297">
        <f>DATA!K28</f>
        <v>3</v>
      </c>
      <c r="J38" s="321"/>
      <c r="K38" s="322"/>
      <c r="L38" s="322"/>
      <c r="M38" s="325">
        <v>23</v>
      </c>
      <c r="N38" s="332" t="str">
        <f>DATA!L28</f>
        <v xml:space="preserve">The Development of Regional Water Supply System in Benteng Kobema </v>
      </c>
      <c r="O38" s="308">
        <f>DATA!Q28</f>
        <v>1</v>
      </c>
      <c r="P38" s="308">
        <f>DATA!R28</f>
        <v>1</v>
      </c>
      <c r="Q38" s="346">
        <f>DATA!S28</f>
        <v>22</v>
      </c>
      <c r="R38" s="347">
        <f>DATA!T28</f>
        <v>74300000</v>
      </c>
      <c r="S38" s="369" t="str">
        <f>DATA!Y28</f>
        <v>Bank Dunia/JICA/ADB</v>
      </c>
      <c r="T38" s="370">
        <f>DATA!AA28</f>
        <v>74300000</v>
      </c>
      <c r="U38" s="370">
        <v>0</v>
      </c>
      <c r="V38" s="371" t="str">
        <f>DATA!Y28</f>
        <v>Bank Dunia/JICA/ADB</v>
      </c>
      <c r="W38" s="372">
        <f>DATA!AT28</f>
        <v>74300000</v>
      </c>
      <c r="X38" s="373"/>
      <c r="Y38" s="411" t="str">
        <f>DATA!AU28</f>
        <v>Bank Dunia</v>
      </c>
      <c r="Z38" s="412" t="str">
        <f>DATA!AW28</f>
        <v>- usulan K/L lender: Bank Dunia/JICA/ADB. 
- Pihak Bank Dunia berminat, ADB dan JICA tidak minat.</v>
      </c>
      <c r="AA38" s="414" t="str">
        <f>DATA!AN28</f>
        <v>dalam proses
(penyusunan FS)</v>
      </c>
      <c r="AB38" s="415" t="str">
        <f>DATA!AO28</f>
        <v>dalam proses
(persiapan)</v>
      </c>
      <c r="AC38" s="416" t="str">
        <f>DATA!AR28</f>
        <v>belum ada dokumen R/C</v>
      </c>
      <c r="AD38" s="372"/>
      <c r="AE38" s="413"/>
      <c r="AF38" s="411"/>
    </row>
    <row r="39" spans="1:39" ht="40.5" customHeight="1">
      <c r="A39" s="297">
        <f>DATA!A29</f>
        <v>26</v>
      </c>
      <c r="B39" s="297">
        <f>DATA!B29</f>
        <v>0</v>
      </c>
      <c r="C39" s="297" t="str">
        <f>DATA!D29</f>
        <v>INFRASTRUKTUR</v>
      </c>
      <c r="D39" s="297">
        <f>DATA!E29</f>
        <v>1</v>
      </c>
      <c r="E39" s="297" t="str">
        <f>DATA!F29</f>
        <v>Kementerian Pekerjaan Umum dan Perumahan Rakyat</v>
      </c>
      <c r="F39" s="297" t="str">
        <f>DATA!H29</f>
        <v>Drinking Water Development Program</v>
      </c>
      <c r="G39" s="297" t="str">
        <f>DATA!I29</f>
        <v>D</v>
      </c>
      <c r="H39" s="297" t="str">
        <f>DATA!J29</f>
        <v>Program Pembangunan Air Minum</v>
      </c>
      <c r="I39" s="297">
        <f>DATA!K29</f>
        <v>3</v>
      </c>
      <c r="J39" s="321"/>
      <c r="K39" s="322"/>
      <c r="L39" s="322"/>
      <c r="M39" s="326">
        <v>24</v>
      </c>
      <c r="N39" s="332" t="str">
        <f>DATA!L29</f>
        <v xml:space="preserve">The Development of Regional Water Supply System in Wosusokas </v>
      </c>
      <c r="O39" s="308">
        <f>DATA!Q29</f>
        <v>1</v>
      </c>
      <c r="P39" s="308">
        <f>DATA!R29</f>
        <v>1</v>
      </c>
      <c r="Q39" s="346">
        <f>DATA!S29</f>
        <v>23</v>
      </c>
      <c r="R39" s="347">
        <f>DATA!T29</f>
        <v>106200000</v>
      </c>
      <c r="S39" s="369" t="str">
        <f>DATA!Y29</f>
        <v>Jerman (KfW)</v>
      </c>
      <c r="T39" s="370">
        <f>DATA!AA29</f>
        <v>106200000</v>
      </c>
      <c r="U39" s="370">
        <v>0</v>
      </c>
      <c r="V39" s="371" t="str">
        <f>DATA!Y29</f>
        <v>Jerman (KfW)</v>
      </c>
      <c r="W39" s="372">
        <f>DATA!AT29</f>
        <v>106200000</v>
      </c>
      <c r="X39" s="373"/>
      <c r="Y39" s="411" t="str">
        <f>DATA!AU29</f>
        <v>Jerman (KfW)</v>
      </c>
      <c r="Z39" s="412" t="str">
        <f>DATA!AW29</f>
        <v>-</v>
      </c>
      <c r="AA39" s="414" t="str">
        <f>DATA!AN29</f>
        <v>dalam proses
(penyusunan FS)</v>
      </c>
      <c r="AB39" s="415" t="str">
        <f>DATA!AO29</f>
        <v>dalam proses
(persiapan)</v>
      </c>
      <c r="AC39" s="416" t="str">
        <f>DATA!AR29</f>
        <v>belum ada dokumen R/C</v>
      </c>
      <c r="AD39" s="372"/>
      <c r="AE39" s="413"/>
      <c r="AF39" s="411"/>
    </row>
    <row r="40" spans="1:39" ht="48" customHeight="1">
      <c r="A40" s="297">
        <f>DATA!A30</f>
        <v>27</v>
      </c>
      <c r="B40" s="297">
        <f>DATA!B30</f>
        <v>0</v>
      </c>
      <c r="C40" s="297" t="str">
        <f>DATA!D30</f>
        <v>INFRASTRUKTUR</v>
      </c>
      <c r="D40" s="297">
        <f>DATA!E30</f>
        <v>1</v>
      </c>
      <c r="E40" s="297" t="str">
        <f>DATA!F30</f>
        <v>Kementerian Pekerjaan Umum dan Perumahan Rakyat</v>
      </c>
      <c r="F40" s="297" t="str">
        <f>DATA!H30</f>
        <v>Drinking Water Development Program</v>
      </c>
      <c r="G40" s="297" t="str">
        <f>DATA!I30</f>
        <v>D</v>
      </c>
      <c r="H40" s="297" t="str">
        <f>DATA!J30</f>
        <v>Program Pembangunan Air Minum</v>
      </c>
      <c r="I40" s="297">
        <f>DATA!K30</f>
        <v>3</v>
      </c>
      <c r="J40" s="321"/>
      <c r="K40" s="322"/>
      <c r="L40" s="322"/>
      <c r="M40" s="326">
        <v>25</v>
      </c>
      <c r="N40" s="332" t="str">
        <f>DATA!L30</f>
        <v xml:space="preserve">The Development of Regional Water Supply System of Jatigede </v>
      </c>
      <c r="O40" s="308">
        <f>DATA!Q30</f>
        <v>1</v>
      </c>
      <c r="P40" s="308">
        <f>DATA!R30</f>
        <v>1</v>
      </c>
      <c r="Q40" s="346">
        <f>DATA!S30</f>
        <v>24</v>
      </c>
      <c r="R40" s="347">
        <f>DATA!T30</f>
        <v>167000000</v>
      </c>
      <c r="S40" s="369" t="str">
        <f>DATA!Y30</f>
        <v>Bank Dunia/JICA/ADB</v>
      </c>
      <c r="T40" s="370">
        <f>DATA!AA30</f>
        <v>140620000</v>
      </c>
      <c r="U40" s="370">
        <v>0</v>
      </c>
      <c r="V40" s="371" t="str">
        <f>DATA!Y30</f>
        <v>Bank Dunia/JICA/ADB</v>
      </c>
      <c r="W40" s="372"/>
      <c r="X40" s="373">
        <f>DATA!AT30</f>
        <v>140620000</v>
      </c>
      <c r="Y40" s="411" t="str">
        <f>DATA!AU30</f>
        <v>Belum Ada Indikasi</v>
      </c>
      <c r="Z40" s="412" t="str">
        <f>DATA!AW30</f>
        <v xml:space="preserve">- terdapat pengurangan nilai pinjaman sebesar USD 26,38 juta yang dialihkan untuk membiayai kegiatan ES.
- usulan K/L lender: Bank Dunia/JICA/ADB. 
- Pihak Bank Dunia, ADB, dan JICA tidak berminat. </v>
      </c>
      <c r="AA40" s="414" t="str">
        <f>DATA!AN30</f>
        <v>belum ada keterangan</v>
      </c>
      <c r="AB40" s="415" t="str">
        <f>DATA!AO30</f>
        <v>belum ada keterangan</v>
      </c>
      <c r="AC40" s="416" t="str">
        <f>DATA!AR30</f>
        <v>- nilai pinjaman berkurang sebesar USD 26,38 juta untuk kegiatan ES
- belum ada dokumen R/C</v>
      </c>
      <c r="AD40" s="372"/>
      <c r="AE40" s="413"/>
      <c r="AF40" s="411"/>
    </row>
    <row r="41" spans="1:39" ht="51">
      <c r="A41" s="297">
        <f>DATA!A31</f>
        <v>28</v>
      </c>
      <c r="B41" s="297">
        <f>DATA!B31</f>
        <v>0</v>
      </c>
      <c r="C41" s="297" t="str">
        <f>DATA!D31</f>
        <v>INFRASTRUKTUR</v>
      </c>
      <c r="D41" s="297">
        <f>DATA!E31</f>
        <v>1</v>
      </c>
      <c r="E41" s="297" t="str">
        <f>DATA!F31</f>
        <v>Kementerian Pekerjaan Umum dan Perumahan Rakyat</v>
      </c>
      <c r="F41" s="297" t="str">
        <f>DATA!H31</f>
        <v>Drinking Water Development Program</v>
      </c>
      <c r="G41" s="297" t="str">
        <f>DATA!I31</f>
        <v>D</v>
      </c>
      <c r="H41" s="297" t="str">
        <f>DATA!J31</f>
        <v>Program Pembangunan Air Minum</v>
      </c>
      <c r="I41" s="297">
        <f>DATA!K31</f>
        <v>3</v>
      </c>
      <c r="J41" s="321"/>
      <c r="K41" s="322"/>
      <c r="L41" s="322"/>
      <c r="M41" s="326">
        <v>26</v>
      </c>
      <c r="N41" s="332" t="str">
        <f>DATA!L31</f>
        <v>The Development of Regional Water Supply System of Petanglong</v>
      </c>
      <c r="O41" s="308">
        <f>DATA!Q31</f>
        <v>1</v>
      </c>
      <c r="P41" s="308">
        <f>DATA!R31</f>
        <v>1</v>
      </c>
      <c r="Q41" s="346">
        <f>DATA!S31</f>
        <v>25</v>
      </c>
      <c r="R41" s="347">
        <f>DATA!T31</f>
        <v>95380000</v>
      </c>
      <c r="S41" s="369" t="str">
        <f>DATA!Y31</f>
        <v>Bank Dunia/JICA/ADB</v>
      </c>
      <c r="T41" s="370">
        <f>DATA!AA31</f>
        <v>95380000</v>
      </c>
      <c r="U41" s="370">
        <v>0</v>
      </c>
      <c r="V41" s="371" t="str">
        <f>DATA!Y31</f>
        <v>Bank Dunia/JICA/ADB</v>
      </c>
      <c r="W41" s="372"/>
      <c r="X41" s="373">
        <f>DATA!AT31</f>
        <v>95380000</v>
      </c>
      <c r="Y41" s="411" t="str">
        <f>DATA!AU31</f>
        <v>Belum Ada Indikasi</v>
      </c>
      <c r="Z41" s="412" t="str">
        <f>DATA!AW31</f>
        <v xml:space="preserve">- usulan K/L lender: Bank Dunia/JICA/ADB. 
- Pihak Bank Dunia, ADB, dan JICA tidak berminat. </v>
      </c>
      <c r="AA41" s="414" t="str">
        <f>DATA!AN31</f>
        <v>belum ada keterangan</v>
      </c>
      <c r="AB41" s="415" t="str">
        <f>DATA!AO31</f>
        <v>belum ada keterangan</v>
      </c>
      <c r="AC41" s="416" t="str">
        <f>DATA!AR31</f>
        <v>belum ada dokumen R/C</v>
      </c>
      <c r="AD41" s="372"/>
      <c r="AE41" s="413"/>
      <c r="AF41" s="411"/>
    </row>
    <row r="42" spans="1:39" ht="51">
      <c r="A42" s="297">
        <f>DATA!A32</f>
        <v>29</v>
      </c>
      <c r="B42" s="297">
        <f>DATA!B32</f>
        <v>0</v>
      </c>
      <c r="C42" s="297" t="str">
        <f>DATA!D32</f>
        <v>INFRASTRUKTUR</v>
      </c>
      <c r="D42" s="297">
        <f>DATA!E32</f>
        <v>1</v>
      </c>
      <c r="E42" s="297" t="str">
        <f>DATA!F32</f>
        <v>Kementerian Pekerjaan Umum dan Perumahan Rakyat</v>
      </c>
      <c r="F42" s="297" t="str">
        <f>DATA!H32</f>
        <v>Drinking Water Development Program</v>
      </c>
      <c r="G42" s="297" t="str">
        <f>DATA!I32</f>
        <v>D</v>
      </c>
      <c r="H42" s="297" t="str">
        <f>DATA!J32</f>
        <v>Program Pembangunan Air Minum</v>
      </c>
      <c r="I42" s="297">
        <f>DATA!K32</f>
        <v>3</v>
      </c>
      <c r="J42" s="321"/>
      <c r="K42" s="322"/>
      <c r="L42" s="322"/>
      <c r="M42" s="326">
        <v>27</v>
      </c>
      <c r="N42" s="332" t="str">
        <f>DATA!L32</f>
        <v xml:space="preserve">The Development of Regional Water Supply System of Durolis </v>
      </c>
      <c r="O42" s="308">
        <f>DATA!Q32</f>
        <v>1</v>
      </c>
      <c r="P42" s="308">
        <f>DATA!R32</f>
        <v>1</v>
      </c>
      <c r="Q42" s="346">
        <f>DATA!S32</f>
        <v>26</v>
      </c>
      <c r="R42" s="347">
        <f>DATA!T32</f>
        <v>33400000</v>
      </c>
      <c r="S42" s="369" t="str">
        <f>DATA!Y32</f>
        <v>Bank Dunia/JICA/ADB</v>
      </c>
      <c r="T42" s="370">
        <f>DATA!AA32</f>
        <v>33400000</v>
      </c>
      <c r="U42" s="370">
        <v>0</v>
      </c>
      <c r="V42" s="371" t="str">
        <f>DATA!Y32</f>
        <v>Bank Dunia/JICA/ADB</v>
      </c>
      <c r="W42" s="372"/>
      <c r="X42" s="373">
        <f>DATA!AT32</f>
        <v>33400000</v>
      </c>
      <c r="Y42" s="411" t="str">
        <f>DATA!AU32</f>
        <v>Belum Ada Indikasi</v>
      </c>
      <c r="Z42" s="412" t="str">
        <f>DATA!AW32</f>
        <v xml:space="preserve">- usulan K/L lender: Bank Dunia/JICA/ADB.
- Pihak Bank Dunia, ADB, dan JICA tidak berminat. </v>
      </c>
      <c r="AA42" s="414" t="str">
        <f>DATA!AN32</f>
        <v>siap</v>
      </c>
      <c r="AB42" s="415" t="str">
        <f>DATA!AO32</f>
        <v>siap</v>
      </c>
      <c r="AC42" s="416" t="str">
        <f>DATA!AR32</f>
        <v>belum ada dokumen R/C</v>
      </c>
      <c r="AD42" s="372"/>
      <c r="AE42" s="413"/>
      <c r="AF42" s="411"/>
    </row>
    <row r="43" spans="1:39" ht="38.25" customHeight="1">
      <c r="A43" s="297">
        <f>DATA!A33</f>
        <v>30</v>
      </c>
      <c r="B43" s="297">
        <f>DATA!B33</f>
        <v>0</v>
      </c>
      <c r="C43" s="297" t="str">
        <f>DATA!D33</f>
        <v>INFRASTRUKTUR</v>
      </c>
      <c r="D43" s="297">
        <f>DATA!E33</f>
        <v>1</v>
      </c>
      <c r="E43" s="297" t="str">
        <f>DATA!F33</f>
        <v>Kementerian Pekerjaan Umum dan Perumahan Rakyat</v>
      </c>
      <c r="F43" s="297" t="str">
        <f>DATA!H33</f>
        <v>Drinking Water Development Program</v>
      </c>
      <c r="G43" s="297" t="str">
        <f>DATA!I33</f>
        <v>D</v>
      </c>
      <c r="H43" s="297" t="str">
        <f>DATA!J33</f>
        <v>Program Pembangunan Air Minum</v>
      </c>
      <c r="I43" s="297">
        <f>DATA!K33</f>
        <v>3</v>
      </c>
      <c r="J43" s="321"/>
      <c r="K43" s="322"/>
      <c r="L43" s="322"/>
      <c r="M43" s="326">
        <v>28</v>
      </c>
      <c r="N43" s="332" t="str">
        <f>DATA!L33</f>
        <v xml:space="preserve">The Development of Regional Water Supply System of  Banten - Jakarta from Karian Dam </v>
      </c>
      <c r="O43" s="308">
        <f>DATA!Q33</f>
        <v>1</v>
      </c>
      <c r="P43" s="308">
        <f>DATA!R33</f>
        <v>1</v>
      </c>
      <c r="Q43" s="346">
        <f>DATA!S33</f>
        <v>27</v>
      </c>
      <c r="R43" s="347">
        <f>DATA!T33</f>
        <v>40000000</v>
      </c>
      <c r="S43" s="369" t="str">
        <f>DATA!Y33</f>
        <v>Korea</v>
      </c>
      <c r="T43" s="370">
        <f>DATA!AA33</f>
        <v>40000000</v>
      </c>
      <c r="U43" s="370">
        <v>0</v>
      </c>
      <c r="V43" s="371" t="str">
        <f>DATA!Y33</f>
        <v>Korea</v>
      </c>
      <c r="W43" s="372">
        <f>DATA!AT33</f>
        <v>40000000</v>
      </c>
      <c r="X43" s="373"/>
      <c r="Y43" s="411" t="str">
        <f>DATA!AU33</f>
        <v>Korea</v>
      </c>
      <c r="Z43" s="412" t="str">
        <f>DATA!AW33</f>
        <v>belum masuk rolling plan EDCF (Korea)</v>
      </c>
      <c r="AA43" s="414" t="str">
        <f>DATA!AN33</f>
        <v>dalam proses
(memiliki FS)</v>
      </c>
      <c r="AB43" s="415" t="str">
        <f>DATA!AO33</f>
        <v>dalam proses
(persiapan)</v>
      </c>
      <c r="AC43" s="416" t="str">
        <f>DATA!AR33</f>
        <v>belum ada dokumen R/C</v>
      </c>
      <c r="AD43" s="372"/>
      <c r="AE43" s="413"/>
      <c r="AF43" s="411"/>
    </row>
    <row r="44" spans="1:39" ht="41.25" customHeight="1">
      <c r="A44" s="297">
        <f>DATA!A34</f>
        <v>31</v>
      </c>
      <c r="B44" s="297">
        <f>DATA!B34</f>
        <v>0</v>
      </c>
      <c r="C44" s="297" t="str">
        <f>DATA!D34</f>
        <v>INFRASTRUKTUR</v>
      </c>
      <c r="D44" s="297">
        <f>DATA!E34</f>
        <v>1</v>
      </c>
      <c r="E44" s="297" t="str">
        <f>DATA!F34</f>
        <v>Kementerian Pekerjaan Umum dan Perumahan Rakyat</v>
      </c>
      <c r="F44" s="297" t="str">
        <f>DATA!H34</f>
        <v>Drinking Water Development Program</v>
      </c>
      <c r="G44" s="297" t="str">
        <f>DATA!I34</f>
        <v>D</v>
      </c>
      <c r="H44" s="297" t="str">
        <f>DATA!J34</f>
        <v>Program Pembangunan Air Minum</v>
      </c>
      <c r="I44" s="297">
        <f>DATA!K34</f>
        <v>3</v>
      </c>
      <c r="J44" s="321"/>
      <c r="K44" s="322"/>
      <c r="L44" s="322"/>
      <c r="M44" s="326">
        <v>29</v>
      </c>
      <c r="N44" s="332" t="str">
        <f>DATA!L34</f>
        <v xml:space="preserve">The Development of Regional Water Supply System of Mebidang </v>
      </c>
      <c r="O44" s="308">
        <f>DATA!Q34</f>
        <v>1</v>
      </c>
      <c r="P44" s="308">
        <f>DATA!R34</f>
        <v>1</v>
      </c>
      <c r="Q44" s="346">
        <f>DATA!S34</f>
        <v>28</v>
      </c>
      <c r="R44" s="347">
        <f>DATA!T34</f>
        <v>56400000</v>
      </c>
      <c r="S44" s="369" t="str">
        <f>DATA!Y34</f>
        <v>Jerman (KfW)</v>
      </c>
      <c r="T44" s="370">
        <f>DATA!AA34</f>
        <v>56400000</v>
      </c>
      <c r="U44" s="370">
        <v>0</v>
      </c>
      <c r="V44" s="371" t="str">
        <f>DATA!Y34</f>
        <v>Jerman (KfW)</v>
      </c>
      <c r="W44" s="372">
        <f>DATA!AT34</f>
        <v>56400000</v>
      </c>
      <c r="X44" s="373"/>
      <c r="Y44" s="411" t="str">
        <f>DATA!AU34</f>
        <v>Jerman (KfW)</v>
      </c>
      <c r="Z44" s="412" t="str">
        <f>DATA!AW34</f>
        <v>-</v>
      </c>
      <c r="AA44" s="414" t="str">
        <f>DATA!AN34</f>
        <v>dalam proses
(memiliki FS dan DED)</v>
      </c>
      <c r="AB44" s="415" t="str">
        <f>DATA!AO34</f>
        <v>dalam proses
(persiapan)</v>
      </c>
      <c r="AC44" s="416" t="str">
        <f>DATA!AR34</f>
        <v>belum ada dokumen R/C</v>
      </c>
      <c r="AD44" s="372"/>
      <c r="AE44" s="413"/>
      <c r="AF44" s="411"/>
    </row>
    <row r="45" spans="1:39" ht="40.5" customHeight="1">
      <c r="A45" s="297">
        <f>DATA!A36</f>
        <v>33</v>
      </c>
      <c r="B45" s="297">
        <f>DATA!B36</f>
        <v>0</v>
      </c>
      <c r="C45" s="297" t="str">
        <f>DATA!D36</f>
        <v>INFRASTRUKTUR</v>
      </c>
      <c r="D45" s="297">
        <f>DATA!E36</f>
        <v>1</v>
      </c>
      <c r="E45" s="297" t="str">
        <f>DATA!F36</f>
        <v>Kementerian Pekerjaan Umum dan Perumahan Rakyat</v>
      </c>
      <c r="F45" s="297" t="str">
        <f>DATA!H36</f>
        <v>Drinking Water Development Program</v>
      </c>
      <c r="G45" s="297" t="str">
        <f>DATA!I36</f>
        <v>D</v>
      </c>
      <c r="H45" s="297" t="str">
        <f>DATA!J36</f>
        <v>Program Pembangunan Air Minum</v>
      </c>
      <c r="I45" s="297">
        <f>DATA!K36</f>
        <v>4</v>
      </c>
      <c r="J45" s="321"/>
      <c r="K45" s="322"/>
      <c r="L45" s="322"/>
      <c r="M45" s="326">
        <v>30</v>
      </c>
      <c r="N45" s="332" t="str">
        <f>DATA!L36</f>
        <v xml:space="preserve">Small Scale Water Treatment Plants for Emergency Relief </v>
      </c>
      <c r="O45" s="308">
        <f>DATA!Q36</f>
        <v>1</v>
      </c>
      <c r="P45" s="308">
        <f>DATA!R36</f>
        <v>1</v>
      </c>
      <c r="Q45" s="346">
        <f>DATA!S36</f>
        <v>29</v>
      </c>
      <c r="R45" s="347">
        <f>DATA!T36</f>
        <v>25000000</v>
      </c>
      <c r="S45" s="369" t="str">
        <f>DATA!Y36</f>
        <v>Spanyol</v>
      </c>
      <c r="T45" s="370">
        <f>DATA!AA36</f>
        <v>25000000</v>
      </c>
      <c r="U45" s="370">
        <v>0</v>
      </c>
      <c r="V45" s="371" t="str">
        <f>DATA!Y36</f>
        <v>Spanyol</v>
      </c>
      <c r="W45" s="372">
        <f>DATA!AT36</f>
        <v>25000000</v>
      </c>
      <c r="X45" s="373"/>
      <c r="Y45" s="411" t="str">
        <f>DATA!AU36</f>
        <v>Spanyol</v>
      </c>
      <c r="Z45" s="412" t="str">
        <f>DATA!AW36</f>
        <v>-</v>
      </c>
      <c r="AA45" s="414" t="str">
        <f>DATA!AN36</f>
        <v>siap</v>
      </c>
      <c r="AB45" s="415" t="str">
        <f>DATA!AO36</f>
        <v>dalam proses
(persiapan)</v>
      </c>
      <c r="AC45" s="416" t="str">
        <f>DATA!AR36</f>
        <v>Nilai pinjaman di:
- GB 16 USD 14.848 ribu
- GB 15 USD 25.000 ribu</v>
      </c>
      <c r="AD45" s="417">
        <f>DATA!AC36</f>
        <v>25000000</v>
      </c>
      <c r="AE45" s="308"/>
      <c r="AF45" s="395" t="s">
        <v>1443</v>
      </c>
    </row>
    <row r="46" spans="1:39" ht="30.75" customHeight="1">
      <c r="A46" s="297">
        <f>DATA!A38</f>
        <v>34</v>
      </c>
      <c r="B46" s="297">
        <f>DATA!B38</f>
        <v>0</v>
      </c>
      <c r="C46" s="297" t="str">
        <f>DATA!D38</f>
        <v>INFRASTRUKTUR</v>
      </c>
      <c r="D46" s="297">
        <f>DATA!E38</f>
        <v>1</v>
      </c>
      <c r="E46" s="297" t="str">
        <f>DATA!F38</f>
        <v>Kementerian Pekerjaan Umum dan Perumahan Rakyat</v>
      </c>
      <c r="F46" s="297" t="str">
        <f>DATA!H38</f>
        <v>Drinking Water Development Program</v>
      </c>
      <c r="G46" s="297" t="str">
        <f>DATA!I38</f>
        <v>D</v>
      </c>
      <c r="H46" s="297" t="str">
        <f>DATA!J38</f>
        <v>Program Pembangunan Air Minum</v>
      </c>
      <c r="I46" s="297">
        <f>DATA!K38</f>
        <v>4</v>
      </c>
      <c r="J46" s="321"/>
      <c r="K46" s="322"/>
      <c r="L46" s="322"/>
      <c r="M46" s="3981">
        <v>31</v>
      </c>
      <c r="N46" s="3987" t="str">
        <f>DATA!L38</f>
        <v>IKK Water Supply Program and Small Water Treatment Plant for Water Scarcity Area</v>
      </c>
      <c r="O46" s="308">
        <f>DATA!Q38</f>
        <v>0.5</v>
      </c>
      <c r="P46" s="308">
        <f>DATA!R38</f>
        <v>0</v>
      </c>
      <c r="Q46" s="346">
        <f>DATA!S38</f>
        <v>0</v>
      </c>
      <c r="R46" s="3972">
        <f>DATA!T37</f>
        <v>100000000</v>
      </c>
      <c r="S46" s="369" t="str">
        <f>DATA!Y38</f>
        <v>Hungaria</v>
      </c>
      <c r="T46" s="370">
        <f>DATA!AA38</f>
        <v>50000000</v>
      </c>
      <c r="U46" s="370">
        <v>0</v>
      </c>
      <c r="V46" s="371" t="str">
        <f>DATA!Y38</f>
        <v>Hungaria</v>
      </c>
      <c r="W46" s="372">
        <f>DATA!AT38</f>
        <v>50000000</v>
      </c>
      <c r="X46" s="373"/>
      <c r="Y46" s="411" t="str">
        <f>DATA!AU38</f>
        <v>Hungaria</v>
      </c>
      <c r="Z46" s="412" t="str">
        <f>DATA!AW38</f>
        <v>-</v>
      </c>
      <c r="AA46" s="3999" t="str">
        <f>DATA!AN38</f>
        <v>siap</v>
      </c>
      <c r="AB46" s="3996" t="str">
        <f>DATA!AO38</f>
        <v>dalam proses
(pelaksanaan &lt;50%)</v>
      </c>
      <c r="AC46" s="4004" t="str">
        <f>DATA!AR37</f>
        <v>-</v>
      </c>
      <c r="AD46" s="417">
        <f>DATA!AC38</f>
        <v>50000000</v>
      </c>
      <c r="AE46" s="308"/>
      <c r="AF46" s="395" t="s">
        <v>1443</v>
      </c>
    </row>
    <row r="47" spans="1:39" ht="26.25" customHeight="1">
      <c r="J47" s="321"/>
      <c r="K47" s="322"/>
      <c r="L47" s="333"/>
      <c r="M47" s="3981"/>
      <c r="N47" s="3988"/>
      <c r="O47" s="308">
        <f>DATA!Q39</f>
        <v>0.5</v>
      </c>
      <c r="P47" s="308">
        <f>DATA!R39</f>
        <v>0</v>
      </c>
      <c r="Q47" s="346">
        <f>DATA!S39</f>
        <v>0</v>
      </c>
      <c r="R47" s="3973"/>
      <c r="S47" s="369" t="str">
        <f>DATA!Y39</f>
        <v>IDB</v>
      </c>
      <c r="T47" s="370">
        <f>DATA!AA39</f>
        <v>50000000</v>
      </c>
      <c r="U47" s="370">
        <v>0</v>
      </c>
      <c r="V47" s="371" t="str">
        <f>DATA!Y39</f>
        <v>IDB</v>
      </c>
      <c r="W47" s="372"/>
      <c r="X47" s="373">
        <f>DATA!AT39</f>
        <v>50000000</v>
      </c>
      <c r="Y47" s="411" t="str">
        <f>DATA!AU39</f>
        <v>Belum Ada Indikasi</v>
      </c>
      <c r="Z47" s="412" t="str">
        <f>DATA!AW39</f>
        <v>- usulan K/L lender:IDB.
- pihak IDB tidak berminat mendanai kegiatan ini, diusulkan kepada AIIB.
- Indikasi Lender AIIB menjadi belum ada indikasi (konfirmasi tgl 29 Jan'16)</v>
      </c>
      <c r="AA47" s="4001"/>
      <c r="AB47" s="3998"/>
      <c r="AC47" s="4006"/>
      <c r="AD47" s="372"/>
      <c r="AE47" s="413"/>
      <c r="AF47" s="411"/>
    </row>
    <row r="48" spans="1:39" ht="42" customHeight="1">
      <c r="J48" s="321"/>
      <c r="K48" s="322"/>
      <c r="L48" s="333"/>
      <c r="M48" s="326">
        <v>32</v>
      </c>
      <c r="N48" s="332" t="str">
        <f>DATA!L40</f>
        <v>Engineering Service for Water Supply Development Project</v>
      </c>
      <c r="O48" s="308">
        <f>DATA!Q40</f>
        <v>0</v>
      </c>
      <c r="P48" s="308">
        <f>DATA!R40</f>
        <v>1</v>
      </c>
      <c r="Q48" s="346">
        <f>DATA!S40</f>
        <v>0</v>
      </c>
      <c r="R48" s="347">
        <f>DATA!T40</f>
        <v>0</v>
      </c>
      <c r="S48" s="369" t="str">
        <f>DATA!Y40</f>
        <v>ADB</v>
      </c>
      <c r="T48" s="370">
        <f>DATA!AA40</f>
        <v>26380000</v>
      </c>
      <c r="U48" s="370">
        <v>0</v>
      </c>
      <c r="V48" s="371" t="str">
        <f>DATA!Y40</f>
        <v>ADB</v>
      </c>
      <c r="W48" s="372">
        <f>DATA!AT40</f>
        <v>26380000</v>
      </c>
      <c r="X48" s="373"/>
      <c r="Y48" s="411" t="str">
        <f>DATA!AU40</f>
        <v>ADB</v>
      </c>
      <c r="Z48" s="412" t="str">
        <f>DATA!AW40</f>
        <v>-</v>
      </c>
      <c r="AA48" s="414" t="str">
        <f>DATA!AN40</f>
        <v>siap</v>
      </c>
      <c r="AB48" s="415" t="str">
        <f>DATA!AO40</f>
        <v>tidak butuh lahan</v>
      </c>
      <c r="AC48" s="416" t="str">
        <f>DATA!AR40</f>
        <v>-</v>
      </c>
      <c r="AD48" s="417">
        <f>DATA!AC40</f>
        <v>26380000</v>
      </c>
      <c r="AE48" s="308"/>
      <c r="AF48" s="395" t="s">
        <v>1443</v>
      </c>
    </row>
    <row r="49" spans="1:32" s="294" customFormat="1" ht="39.75" customHeight="1">
      <c r="J49" s="316"/>
      <c r="K49" s="328"/>
      <c r="L49" s="318" t="str">
        <f>DATA!I41</f>
        <v>E</v>
      </c>
      <c r="M49" s="3918" t="str">
        <f>DATA!J41</f>
        <v xml:space="preserve">Program Pembangunan Sistem Pengelolaan Air Limbah </v>
      </c>
      <c r="N49" s="3919"/>
      <c r="O49" s="319"/>
      <c r="P49" s="319"/>
      <c r="Q49" s="363"/>
      <c r="R49" s="364">
        <f>R50+R52+R53+R54+R58+R59+R60</f>
        <v>3583000000</v>
      </c>
      <c r="S49" s="365"/>
      <c r="T49" s="366">
        <f>SUM(T50:T60)</f>
        <v>3583000000</v>
      </c>
      <c r="U49" s="366">
        <f t="shared" ref="U49:Z49" si="3">SUM(U50:U60)</f>
        <v>0</v>
      </c>
      <c r="V49" s="367">
        <f t="shared" si="3"/>
        <v>0</v>
      </c>
      <c r="W49" s="365">
        <f t="shared" si="3"/>
        <v>3558200000</v>
      </c>
      <c r="X49" s="368">
        <f t="shared" si="3"/>
        <v>24800000</v>
      </c>
      <c r="Y49" s="406"/>
      <c r="Z49" s="407">
        <f t="shared" si="3"/>
        <v>0</v>
      </c>
      <c r="AA49" s="419"/>
      <c r="AB49" s="420"/>
      <c r="AC49" s="421"/>
      <c r="AD49" s="365"/>
      <c r="AE49" s="366"/>
      <c r="AF49" s="406"/>
    </row>
    <row r="50" spans="1:32" ht="30" customHeight="1">
      <c r="J50" s="321"/>
      <c r="K50" s="322"/>
      <c r="L50" s="322"/>
      <c r="M50" s="3982">
        <v>33</v>
      </c>
      <c r="N50" s="3989" t="str">
        <f>DATA!L42</f>
        <v>Community Based Sanitation Program (SANIMAS)</v>
      </c>
      <c r="O50" s="335">
        <f>DATA!Q42</f>
        <v>0.5</v>
      </c>
      <c r="P50" s="335">
        <f>DATA!R42</f>
        <v>1</v>
      </c>
      <c r="Q50" s="381">
        <f>DATA!S42</f>
        <v>31</v>
      </c>
      <c r="R50" s="3974">
        <f>DATA!T41</f>
        <v>250000000</v>
      </c>
      <c r="S50" s="369" t="str">
        <f>DATA!Y42</f>
        <v>ADB</v>
      </c>
      <c r="T50" s="332">
        <f>DATA!AA42</f>
        <v>125000000</v>
      </c>
      <c r="U50" s="370">
        <v>0</v>
      </c>
      <c r="V50" s="371" t="str">
        <f>DATA!Y42</f>
        <v>ADB</v>
      </c>
      <c r="W50" s="372">
        <f>DATA!AT42</f>
        <v>125000000</v>
      </c>
      <c r="X50" s="373"/>
      <c r="Y50" s="411" t="str">
        <f>DATA!AU42</f>
        <v>ADB</v>
      </c>
      <c r="Z50" s="412" t="str">
        <f>DATA!AW42</f>
        <v>-</v>
      </c>
      <c r="AA50" s="4002" t="str">
        <f>DATA!AN42</f>
        <v>belum ada keterangan</v>
      </c>
      <c r="AB50" s="4013" t="str">
        <f>DATA!AO42</f>
        <v>tidak butuh lahan</v>
      </c>
      <c r="AC50" s="4012" t="str">
        <f>DATA!AR42</f>
        <v>- untuk wilayah Timur
- belum ada dokumen R/C</v>
      </c>
      <c r="AD50" s="372"/>
      <c r="AE50" s="413"/>
      <c r="AF50" s="411"/>
    </row>
    <row r="51" spans="1:32" ht="32.25" customHeight="1">
      <c r="J51" s="321"/>
      <c r="K51" s="322"/>
      <c r="L51" s="322"/>
      <c r="M51" s="3983"/>
      <c r="N51" s="3990"/>
      <c r="O51" s="335"/>
      <c r="P51" s="335"/>
      <c r="Q51" s="381"/>
      <c r="R51" s="3971"/>
      <c r="S51" s="369" t="str">
        <f>DATA!Y43</f>
        <v>IDB</v>
      </c>
      <c r="T51" s="332">
        <f>DATA!AA43</f>
        <v>125000000</v>
      </c>
      <c r="U51" s="370">
        <v>0</v>
      </c>
      <c r="V51" s="371" t="str">
        <f>DATA!Y43</f>
        <v>IDB</v>
      </c>
      <c r="W51" s="372">
        <f>DATA!AT43</f>
        <v>125000000</v>
      </c>
      <c r="X51" s="373"/>
      <c r="Y51" s="411" t="str">
        <f>DATA!AU43</f>
        <v>IDB</v>
      </c>
      <c r="Z51" s="412" t="str">
        <f>DATA!AW43</f>
        <v>-</v>
      </c>
      <c r="AA51" s="4000"/>
      <c r="AB51" s="3983"/>
      <c r="AC51" s="4011"/>
      <c r="AD51" s="372"/>
      <c r="AE51" s="413"/>
      <c r="AF51" s="411"/>
    </row>
    <row r="52" spans="1:32" ht="33" customHeight="1">
      <c r="A52" s="297">
        <f>DATA!A44</f>
        <v>36</v>
      </c>
      <c r="B52" s="297">
        <f>DATA!B44</f>
        <v>0</v>
      </c>
      <c r="C52" s="297" t="str">
        <f>DATA!D44</f>
        <v>INFRASTRUKTUR</v>
      </c>
      <c r="D52" s="297">
        <f>DATA!E44</f>
        <v>1</v>
      </c>
      <c r="E52" s="297" t="str">
        <f>DATA!F44</f>
        <v>Kementerian Pekerjaan Umum dan Perumahan Rakyat</v>
      </c>
      <c r="F52" s="297" t="str">
        <f>DATA!H44</f>
        <v>Development of Waste Water Management Program</v>
      </c>
      <c r="G52" s="297" t="str">
        <f>DATA!I44</f>
        <v>E</v>
      </c>
      <c r="H52" s="297" t="str">
        <f>DATA!J44</f>
        <v xml:space="preserve">Program Pembangunan Sistem Pengelolaan Air Limbah </v>
      </c>
      <c r="I52" s="297">
        <f>DATA!K44</f>
        <v>2</v>
      </c>
      <c r="J52" s="321"/>
      <c r="K52" s="322"/>
      <c r="L52" s="322"/>
      <c r="M52" s="326">
        <v>34</v>
      </c>
      <c r="N52" s="332" t="str">
        <f>DATA!L44</f>
        <v>Jakarta Sewerage Development Project - Zone 1 and Zone 6</v>
      </c>
      <c r="O52" s="308">
        <f>DATA!Q44</f>
        <v>1</v>
      </c>
      <c r="P52" s="308">
        <f>DATA!R44</f>
        <v>1</v>
      </c>
      <c r="Q52" s="346">
        <f>DATA!S44</f>
        <v>32</v>
      </c>
      <c r="R52" s="347">
        <f>DATA!T44</f>
        <v>1950000000</v>
      </c>
      <c r="S52" s="369" t="str">
        <f>DATA!Y44</f>
        <v>JICA</v>
      </c>
      <c r="T52" s="370">
        <f>DATA!AA44</f>
        <v>1950000000</v>
      </c>
      <c r="U52" s="370">
        <v>0</v>
      </c>
      <c r="V52" s="371" t="str">
        <f>DATA!Y44</f>
        <v>JICA</v>
      </c>
      <c r="W52" s="372">
        <f>DATA!AT44</f>
        <v>1950000000</v>
      </c>
      <c r="X52" s="373"/>
      <c r="Y52" s="411" t="str">
        <f>DATA!AU44</f>
        <v>JICA</v>
      </c>
      <c r="Z52" s="412" t="str">
        <f>DATA!AW44</f>
        <v>-</v>
      </c>
      <c r="AA52" s="414" t="str">
        <f>DATA!AN44</f>
        <v>dalam proses
(memiliki FS)</v>
      </c>
      <c r="AB52" s="415" t="str">
        <f>DATA!AO44</f>
        <v>dalam proses</v>
      </c>
      <c r="AC52" s="416" t="str">
        <f>DATA!AR44</f>
        <v>- Zona I: dalam pelaksanaan ES (tender konsultan)
- belum ada dokumen R/C</v>
      </c>
      <c r="AD52" s="372"/>
      <c r="AE52" s="413"/>
      <c r="AF52" s="411"/>
    </row>
    <row r="53" spans="1:32" ht="45.75" customHeight="1">
      <c r="A53" s="297">
        <f>DATA!A45</f>
        <v>37</v>
      </c>
      <c r="B53" s="297">
        <f>DATA!B45</f>
        <v>0</v>
      </c>
      <c r="C53" s="297" t="str">
        <f>DATA!D45</f>
        <v>INFRASTRUKTUR</v>
      </c>
      <c r="D53" s="297">
        <f>DATA!E45</f>
        <v>1</v>
      </c>
      <c r="E53" s="297" t="str">
        <f>DATA!F45</f>
        <v>Kementerian Pekerjaan Umum dan Perumahan Rakyat</v>
      </c>
      <c r="F53" s="297" t="str">
        <f>DATA!H45</f>
        <v>Development of Waste Water Management Program</v>
      </c>
      <c r="G53" s="297" t="str">
        <f>DATA!I45</f>
        <v>E</v>
      </c>
      <c r="H53" s="297" t="str">
        <f>DATA!J45</f>
        <v xml:space="preserve">Program Pembangunan Sistem Pengelolaan Air Limbah </v>
      </c>
      <c r="I53" s="297">
        <f>DATA!K45</f>
        <v>3</v>
      </c>
      <c r="J53" s="321"/>
      <c r="K53" s="322"/>
      <c r="L53" s="322"/>
      <c r="M53" s="326">
        <v>35</v>
      </c>
      <c r="N53" s="332" t="str">
        <f>DATA!L45</f>
        <v>The Development of Sewage Treatment Plant Facility in Priority Area</v>
      </c>
      <c r="O53" s="308">
        <f>DATA!Q45</f>
        <v>1</v>
      </c>
      <c r="P53" s="308">
        <f>DATA!R45</f>
        <v>1</v>
      </c>
      <c r="Q53" s="346">
        <f>DATA!S45</f>
        <v>33</v>
      </c>
      <c r="R53" s="347">
        <f>DATA!T45</f>
        <v>75000000</v>
      </c>
      <c r="S53" s="369" t="str">
        <f>DATA!Y45</f>
        <v>Bank Dunia/JICA</v>
      </c>
      <c r="T53" s="370">
        <f>DATA!AA45</f>
        <v>75000000</v>
      </c>
      <c r="U53" s="370">
        <v>0</v>
      </c>
      <c r="V53" s="371" t="str">
        <f>DATA!Y45</f>
        <v>Bank Dunia/JICA</v>
      </c>
      <c r="W53" s="372">
        <f>DATA!AT45</f>
        <v>75000000</v>
      </c>
      <c r="X53" s="373"/>
      <c r="Y53" s="411" t="str">
        <f>DATA!AU45</f>
        <v>Bank Dunia</v>
      </c>
      <c r="Z53" s="412" t="str">
        <f>DATA!AW45</f>
        <v xml:space="preserve">- usulan K/L lender: Bank Dunia/JICA/ADB. 
- pihak Bank Dunia berminat, ADB dan JICA tidak berminat
- dalam rencana pembiayaan Bank Dunia, kegiatan ini dijadikan satu paket dengan kegiatan "Sewerage System Development in Indonesia" </v>
      </c>
      <c r="AA53" s="414" t="str">
        <f>DATA!AN45</f>
        <v>dalam proses
(memiliki FS)</v>
      </c>
      <c r="AB53" s="415" t="str">
        <f>DATA!AO45</f>
        <v>belum ada keterangan</v>
      </c>
      <c r="AC53" s="416" t="str">
        <f>DATA!AR45</f>
        <v>belum ada dokumen R/C</v>
      </c>
      <c r="AD53" s="372"/>
      <c r="AE53" s="413"/>
      <c r="AF53" s="411"/>
    </row>
    <row r="54" spans="1:32" ht="36" customHeight="1">
      <c r="A54" s="297">
        <f>DATA!A47</f>
        <v>38</v>
      </c>
      <c r="B54" s="297">
        <f>DATA!B47</f>
        <v>0</v>
      </c>
      <c r="C54" s="297" t="str">
        <f>DATA!D47</f>
        <v>INFRASTRUKTUR</v>
      </c>
      <c r="D54" s="297">
        <f>DATA!E47</f>
        <v>1</v>
      </c>
      <c r="E54" s="297" t="str">
        <f>DATA!F47</f>
        <v>Kementerian Pekerjaan Umum dan Perumahan Rakyat</v>
      </c>
      <c r="F54" s="297" t="str">
        <f>DATA!H47</f>
        <v>Development of Waste Water Management Program</v>
      </c>
      <c r="G54" s="297" t="str">
        <f>DATA!I47</f>
        <v>E</v>
      </c>
      <c r="H54" s="297" t="str">
        <f>DATA!J47</f>
        <v xml:space="preserve">Program Pembangunan Sistem Pengelolaan Air Limbah </v>
      </c>
      <c r="I54" s="297">
        <f>DATA!K47</f>
        <v>4</v>
      </c>
      <c r="J54" s="321"/>
      <c r="K54" s="322"/>
      <c r="L54" s="322"/>
      <c r="M54" s="3979">
        <v>36</v>
      </c>
      <c r="N54" s="3987" t="str">
        <f>DATA!L47</f>
        <v>Sewerage System Development in Indonesia</v>
      </c>
      <c r="O54" s="308">
        <f>DATA!Q47</f>
        <v>0.25</v>
      </c>
      <c r="P54" s="308">
        <f>DATA!R47</f>
        <v>0</v>
      </c>
      <c r="Q54" s="346">
        <f>DATA!S47</f>
        <v>0</v>
      </c>
      <c r="R54" s="3972">
        <f>DATA!T46</f>
        <v>975000000</v>
      </c>
      <c r="S54" s="3994" t="str">
        <f>DATA!Y47</f>
        <v>ADB</v>
      </c>
      <c r="T54" s="3965">
        <f>DATA!AA47</f>
        <v>424800000</v>
      </c>
      <c r="U54" s="3965">
        <v>0</v>
      </c>
      <c r="V54" s="3967" t="str">
        <f>DATA!Y47</f>
        <v>ADB</v>
      </c>
      <c r="W54" s="372">
        <f>DATA!AT47</f>
        <v>400000000</v>
      </c>
      <c r="X54" s="373"/>
      <c r="Y54" s="411" t="str">
        <f>DATA!AU47</f>
        <v>ADB</v>
      </c>
      <c r="Z54" s="412" t="str">
        <f>DATA!AW47</f>
        <v>- nilai kegiatan yang tercantum dalam COBP ADB sebesar USD 400 juta.
- nilai kegiatan berkurang sebesar USD 25,2 yang dialihkan untuk membiayai kegiatan ES</v>
      </c>
      <c r="AA54" s="3999" t="str">
        <f>DATA!AN47</f>
        <v>belum ada keterangan</v>
      </c>
      <c r="AB54" s="3996" t="str">
        <f>DATA!AO47</f>
        <v>belum ada keterangan</v>
      </c>
      <c r="AC54" s="4004" t="str">
        <f>DATA!AR47</f>
        <v>- nilai pinjaman berkurang sebesar USD 25,20 juta untuk kegiatan ES
- belum ada dokumen R/C</v>
      </c>
      <c r="AD54" s="372"/>
      <c r="AE54" s="413"/>
      <c r="AF54" s="411"/>
    </row>
    <row r="55" spans="1:32" ht="29.25" customHeight="1">
      <c r="J55" s="321"/>
      <c r="K55" s="322"/>
      <c r="L55" s="322"/>
      <c r="M55" s="3984"/>
      <c r="N55" s="3991"/>
      <c r="O55" s="308"/>
      <c r="P55" s="308"/>
      <c r="Q55" s="346"/>
      <c r="R55" s="3975"/>
      <c r="S55" s="3995"/>
      <c r="T55" s="3966"/>
      <c r="U55" s="3966"/>
      <c r="V55" s="3968"/>
      <c r="W55" s="372"/>
      <c r="X55" s="373">
        <f>DATA!AT50</f>
        <v>24800000</v>
      </c>
      <c r="Y55" s="411" t="str">
        <f>DATA!AU50</f>
        <v>Belum Ada Indikasi</v>
      </c>
      <c r="Z55" s="423" t="str">
        <f>DATA!AW50</f>
        <v>co-financing dengan ADB (USD 400 juta), IDB (USD 325 juta) &amp; Bank Dunia (USD 200 juta)</v>
      </c>
      <c r="AA55" s="4003"/>
      <c r="AB55" s="3997"/>
      <c r="AC55" s="4005"/>
      <c r="AD55" s="372"/>
      <c r="AE55" s="413"/>
      <c r="AF55" s="411"/>
    </row>
    <row r="56" spans="1:32" ht="35.25" customHeight="1">
      <c r="A56" s="297">
        <f>DATA!A48</f>
        <v>39</v>
      </c>
      <c r="B56" s="297">
        <f>DATA!B48</f>
        <v>0</v>
      </c>
      <c r="C56" s="297" t="str">
        <f>DATA!D48</f>
        <v>INFRASTRUKTUR</v>
      </c>
      <c r="D56" s="297">
        <f>DATA!E48</f>
        <v>1</v>
      </c>
      <c r="E56" s="297" t="str">
        <f>DATA!F48</f>
        <v>Kementerian Pekerjaan Umum dan Perumahan Rakyat</v>
      </c>
      <c r="F56" s="297" t="str">
        <f>DATA!H48</f>
        <v>Development of Waste Water Management Program</v>
      </c>
      <c r="G56" s="297" t="str">
        <f>DATA!I48</f>
        <v>E</v>
      </c>
      <c r="H56" s="297" t="str">
        <f>DATA!J48</f>
        <v xml:space="preserve">Program Pembangunan Sistem Pengelolaan Air Limbah </v>
      </c>
      <c r="I56" s="297">
        <f>DATA!K48</f>
        <v>4</v>
      </c>
      <c r="J56" s="321"/>
      <c r="K56" s="322"/>
      <c r="L56" s="322"/>
      <c r="M56" s="3984"/>
      <c r="N56" s="3991"/>
      <c r="O56" s="308"/>
      <c r="P56" s="308"/>
      <c r="Q56" s="346"/>
      <c r="R56" s="3975"/>
      <c r="S56" s="369" t="str">
        <f>DATA!Y48</f>
        <v>IDB</v>
      </c>
      <c r="T56" s="370">
        <f>DATA!AA48</f>
        <v>325000000</v>
      </c>
      <c r="U56" s="370">
        <v>0</v>
      </c>
      <c r="V56" s="371" t="str">
        <f>DATA!Y48</f>
        <v>IDB</v>
      </c>
      <c r="W56" s="372">
        <f>DATA!AT48</f>
        <v>325000000</v>
      </c>
      <c r="X56" s="373"/>
      <c r="Y56" s="411" t="str">
        <f>DATA!AU48</f>
        <v>IDB</v>
      </c>
      <c r="Z56" s="412" t="str">
        <f>DATA!AW48</f>
        <v>-</v>
      </c>
      <c r="AA56" s="4003"/>
      <c r="AB56" s="3997"/>
      <c r="AC56" s="4005"/>
      <c r="AD56" s="372"/>
      <c r="AE56" s="413"/>
      <c r="AF56" s="411"/>
    </row>
    <row r="57" spans="1:32" ht="29.25" customHeight="1">
      <c r="A57" s="297">
        <f>DATA!A49</f>
        <v>40</v>
      </c>
      <c r="B57" s="297">
        <f>DATA!B49</f>
        <v>0</v>
      </c>
      <c r="C57" s="297" t="str">
        <f>DATA!D49</f>
        <v>INFRASTRUKTUR</v>
      </c>
      <c r="D57" s="297">
        <f>DATA!E49</f>
        <v>1</v>
      </c>
      <c r="E57" s="297" t="str">
        <f>DATA!F49</f>
        <v>Kementerian Pekerjaan Umum dan Perumahan Rakyat</v>
      </c>
      <c r="F57" s="297" t="str">
        <f>DATA!H49</f>
        <v>Development of Waste Water Management Program</v>
      </c>
      <c r="G57" s="297" t="str">
        <f>DATA!I49</f>
        <v>E</v>
      </c>
      <c r="H57" s="297" t="str">
        <f>DATA!J49</f>
        <v xml:space="preserve">Program Pembangunan Sistem Pengelolaan Air Limbah </v>
      </c>
      <c r="I57" s="297">
        <f>DATA!K49</f>
        <v>4</v>
      </c>
      <c r="J57" s="321"/>
      <c r="K57" s="322"/>
      <c r="L57" s="322"/>
      <c r="M57" s="3980"/>
      <c r="N57" s="3988"/>
      <c r="O57" s="308"/>
      <c r="P57" s="308"/>
      <c r="Q57" s="346"/>
      <c r="R57" s="3973"/>
      <c r="S57" s="369" t="str">
        <f>DATA!Y49</f>
        <v>Bank Dunia</v>
      </c>
      <c r="T57" s="370">
        <f>DATA!AA49</f>
        <v>200000000</v>
      </c>
      <c r="U57" s="370">
        <v>0</v>
      </c>
      <c r="V57" s="371" t="str">
        <f>DATA!Y49</f>
        <v>Bank Dunia</v>
      </c>
      <c r="W57" s="372">
        <f>DATA!AT49</f>
        <v>200000000</v>
      </c>
      <c r="X57" s="373"/>
      <c r="Y57" s="411" t="str">
        <f>DATA!AU49</f>
        <v>Bank Dunia</v>
      </c>
      <c r="Z57" s="412" t="str">
        <f>DATA!AW49</f>
        <v>-</v>
      </c>
      <c r="AA57" s="4001"/>
      <c r="AB57" s="3998"/>
      <c r="AC57" s="4006"/>
      <c r="AD57" s="372"/>
      <c r="AE57" s="413"/>
      <c r="AF57" s="411"/>
    </row>
    <row r="58" spans="1:32" ht="44.25" customHeight="1">
      <c r="A58" s="297">
        <f>DATA!A51</f>
        <v>41</v>
      </c>
      <c r="B58" s="297">
        <f>DATA!B51</f>
        <v>0</v>
      </c>
      <c r="C58" s="297" t="str">
        <f>DATA!D51</f>
        <v>INFRASTRUKTUR</v>
      </c>
      <c r="D58" s="297">
        <f>DATA!E51</f>
        <v>1</v>
      </c>
      <c r="E58" s="297" t="str">
        <f>DATA!F51</f>
        <v>Kementerian Pekerjaan Umum dan Perumahan Rakyat</v>
      </c>
      <c r="F58" s="297" t="str">
        <f>DATA!H51</f>
        <v>Development of Waste Water Management Program</v>
      </c>
      <c r="G58" s="297" t="str">
        <f>DATA!I51</f>
        <v>E</v>
      </c>
      <c r="H58" s="297" t="str">
        <f>DATA!J51</f>
        <v xml:space="preserve">Program Pembangunan Sistem Pengelolaan Air Limbah </v>
      </c>
      <c r="I58" s="297">
        <f>DATA!K51</f>
        <v>5</v>
      </c>
      <c r="J58" s="321"/>
      <c r="K58" s="322"/>
      <c r="L58" s="322"/>
      <c r="M58" s="326">
        <v>37</v>
      </c>
      <c r="N58" s="332" t="str">
        <f>DATA!L51</f>
        <v>Denpasar Sewerage Development Project - Phase III</v>
      </c>
      <c r="O58" s="308">
        <f>DATA!Q51</f>
        <v>1</v>
      </c>
      <c r="P58" s="308">
        <f>DATA!R51</f>
        <v>1</v>
      </c>
      <c r="Q58" s="346">
        <f>DATA!S51</f>
        <v>35</v>
      </c>
      <c r="R58" s="347">
        <f>DATA!T51</f>
        <v>233000000</v>
      </c>
      <c r="S58" s="369" t="str">
        <f>DATA!Y51</f>
        <v>JICA</v>
      </c>
      <c r="T58" s="370">
        <f>DATA!AA51</f>
        <v>233000000</v>
      </c>
      <c r="U58" s="370">
        <v>0</v>
      </c>
      <c r="V58" s="371" t="str">
        <f>DATA!Y51</f>
        <v>JICA</v>
      </c>
      <c r="W58" s="372">
        <f>DATA!AT51</f>
        <v>233000000</v>
      </c>
      <c r="X58" s="373"/>
      <c r="Y58" s="411" t="str">
        <f>DATA!AU51</f>
        <v>JICA</v>
      </c>
      <c r="Z58" s="412" t="str">
        <f>DATA!AW51</f>
        <v>-</v>
      </c>
      <c r="AA58" s="414" t="str">
        <f>DATA!AN51</f>
        <v>dalam proses
(memiliki FS)</v>
      </c>
      <c r="AB58" s="415" t="str">
        <f>DATA!AO51</f>
        <v>belum ada keterangan</v>
      </c>
      <c r="AC58" s="416" t="str">
        <f>DATA!AR51</f>
        <v>Pengajuan pre-request</v>
      </c>
      <c r="AD58" s="372"/>
      <c r="AE58" s="413"/>
      <c r="AF58" s="411"/>
    </row>
    <row r="59" spans="1:32" ht="37.5" customHeight="1">
      <c r="A59" s="297">
        <f>DATA!A52</f>
        <v>42</v>
      </c>
      <c r="B59" s="297">
        <f>DATA!B52</f>
        <v>0</v>
      </c>
      <c r="C59" s="297" t="str">
        <f>DATA!D52</f>
        <v>INFRASTRUKTUR</v>
      </c>
      <c r="D59" s="297">
        <f>DATA!E52</f>
        <v>1</v>
      </c>
      <c r="E59" s="297" t="str">
        <f>DATA!F52</f>
        <v>Kementerian Pekerjaan Umum dan Perumahan Rakyat</v>
      </c>
      <c r="F59" s="297" t="str">
        <f>DATA!H52</f>
        <v>Development of Waste Water Management Program</v>
      </c>
      <c r="G59" s="297" t="str">
        <f>DATA!I52</f>
        <v>E</v>
      </c>
      <c r="H59" s="297" t="str">
        <f>DATA!J52</f>
        <v xml:space="preserve">Program Pembangunan Sistem Pengelolaan Air Limbah </v>
      </c>
      <c r="I59" s="297">
        <f>DATA!K52</f>
        <v>6</v>
      </c>
      <c r="J59" s="321"/>
      <c r="K59" s="322"/>
      <c r="L59" s="333"/>
      <c r="M59" s="326">
        <v>38</v>
      </c>
      <c r="N59" s="332" t="str">
        <f>DATA!L52</f>
        <v>The Development and Optimization of Wastewater Treatment in Greater Bandung</v>
      </c>
      <c r="O59" s="308">
        <f>DATA!Q52</f>
        <v>1</v>
      </c>
      <c r="P59" s="308">
        <f>DATA!R52</f>
        <v>1</v>
      </c>
      <c r="Q59" s="346">
        <f>DATA!S52</f>
        <v>36</v>
      </c>
      <c r="R59" s="347">
        <f>DATA!T52</f>
        <v>100000000</v>
      </c>
      <c r="S59" s="369" t="str">
        <f>DATA!Y52</f>
        <v>Jerman (KfW)</v>
      </c>
      <c r="T59" s="370">
        <f>DATA!AA52</f>
        <v>100000000</v>
      </c>
      <c r="U59" s="370">
        <v>0</v>
      </c>
      <c r="V59" s="371" t="str">
        <f>DATA!Y52</f>
        <v>Jerman (KfW)</v>
      </c>
      <c r="W59" s="372">
        <f>DATA!AT52</f>
        <v>100000000</v>
      </c>
      <c r="X59" s="373"/>
      <c r="Y59" s="411" t="str">
        <f>DATA!AU52</f>
        <v>Jerman (KfW)</v>
      </c>
      <c r="Z59" s="412" t="str">
        <f>DATA!AW52</f>
        <v>-</v>
      </c>
      <c r="AA59" s="414" t="str">
        <f>DATA!AN52</f>
        <v>dalam proses
(penyusunan FS)</v>
      </c>
      <c r="AB59" s="415" t="str">
        <f>DATA!AO52</f>
        <v>belum ada keterangan</v>
      </c>
      <c r="AC59" s="416" t="str">
        <f>DATA!AR52</f>
        <v>penyiapan dokumen R/C</v>
      </c>
      <c r="AD59" s="372"/>
      <c r="AE59" s="413"/>
      <c r="AF59" s="411"/>
    </row>
    <row r="60" spans="1:32" ht="46.5" customHeight="1">
      <c r="J60" s="321"/>
      <c r="K60" s="322"/>
      <c r="L60" s="333"/>
      <c r="M60" s="326">
        <v>39</v>
      </c>
      <c r="N60" s="327" t="str">
        <f>DATA!L53</f>
        <v>Engineering Service for Sanitation Improvement Project</v>
      </c>
      <c r="O60" s="326">
        <f>DATA!Q53</f>
        <v>0</v>
      </c>
      <c r="P60" s="326">
        <f>DATA!R53</f>
        <v>0</v>
      </c>
      <c r="Q60" s="378">
        <f>DATA!S53</f>
        <v>0</v>
      </c>
      <c r="R60" s="379">
        <f>DATA!T53</f>
        <v>0</v>
      </c>
      <c r="S60" s="377" t="str">
        <f>DATA!Y53</f>
        <v>ADB</v>
      </c>
      <c r="T60" s="380">
        <f>DATA!AA53</f>
        <v>25200000</v>
      </c>
      <c r="U60" s="380">
        <v>0</v>
      </c>
      <c r="V60" s="371" t="str">
        <f>DATA!Y53</f>
        <v>ADB</v>
      </c>
      <c r="W60" s="372">
        <f>DATA!AT53</f>
        <v>25200000</v>
      </c>
      <c r="X60" s="373"/>
      <c r="Y60" s="411" t="str">
        <f>DATA!AU53</f>
        <v>ADB</v>
      </c>
      <c r="Z60" s="412" t="str">
        <f>DATA!AW53</f>
        <v xml:space="preserve">pada konfirmasi K/L nilai ES sebesar USD 26,38 juta, seharusnya USD 25,2 juta. </v>
      </c>
      <c r="AA60" s="414" t="str">
        <f>DATA!AN53</f>
        <v>siap</v>
      </c>
      <c r="AB60" s="415" t="str">
        <f>DATA!AO53</f>
        <v>tidak butuh lahan</v>
      </c>
      <c r="AC60" s="416" t="str">
        <f>DATA!AR53</f>
        <v>-</v>
      </c>
      <c r="AD60" s="417">
        <f>DATA!AC53</f>
        <v>25200000</v>
      </c>
      <c r="AE60" s="308"/>
      <c r="AF60" s="395" t="s">
        <v>1443</v>
      </c>
    </row>
    <row r="61" spans="1:32" s="294" customFormat="1" ht="33.75" customHeight="1">
      <c r="J61" s="316"/>
      <c r="K61" s="328"/>
      <c r="L61" s="318" t="str">
        <f>DATA!I54</f>
        <v>F</v>
      </c>
      <c r="M61" s="3918" t="str">
        <f>DATA!J54</f>
        <v xml:space="preserve">Program Pembangunan Sistem Pengelolaan Persampahan </v>
      </c>
      <c r="N61" s="3919"/>
      <c r="O61" s="319"/>
      <c r="P61" s="319"/>
      <c r="Q61" s="363"/>
      <c r="R61" s="364">
        <f>+R62+R63</f>
        <v>250000000</v>
      </c>
      <c r="S61" s="365"/>
      <c r="T61" s="366">
        <f>+T62+T63</f>
        <v>250000000</v>
      </c>
      <c r="U61" s="366">
        <f>+U62+U63</f>
        <v>0</v>
      </c>
      <c r="V61" s="367"/>
      <c r="W61" s="365">
        <f>+W62+W63</f>
        <v>250000000</v>
      </c>
      <c r="X61" s="368"/>
      <c r="Y61" s="406"/>
      <c r="Z61" s="407"/>
      <c r="AA61" s="419"/>
      <c r="AB61" s="420"/>
      <c r="AC61" s="421"/>
      <c r="AD61" s="365"/>
      <c r="AE61" s="366"/>
      <c r="AF61" s="406"/>
    </row>
    <row r="62" spans="1:32" ht="46.5" customHeight="1">
      <c r="A62" s="297">
        <f>DATA!A54</f>
        <v>43</v>
      </c>
      <c r="B62" s="297">
        <f>DATA!B54</f>
        <v>0</v>
      </c>
      <c r="C62" s="297" t="str">
        <f>DATA!D54</f>
        <v>INFRASTRUKTUR</v>
      </c>
      <c r="D62" s="297">
        <f>DATA!E54</f>
        <v>1</v>
      </c>
      <c r="E62" s="297" t="str">
        <f>DATA!F54</f>
        <v>Kementerian Pekerjaan Umum dan Perumahan Rakyat</v>
      </c>
      <c r="F62" s="297" t="str">
        <f>DATA!H54</f>
        <v>Development of Solid Waste Management Program</v>
      </c>
      <c r="G62" s="297" t="str">
        <f>DATA!I54</f>
        <v>F</v>
      </c>
      <c r="H62" s="297" t="str">
        <f>DATA!J54</f>
        <v xml:space="preserve">Program Pembangunan Sistem Pengelolaan Persampahan </v>
      </c>
      <c r="I62" s="297">
        <f>DATA!K54</f>
        <v>1</v>
      </c>
      <c r="J62" s="321"/>
      <c r="K62" s="322"/>
      <c r="L62" s="330"/>
      <c r="M62" s="326">
        <v>40</v>
      </c>
      <c r="N62" s="332" t="str">
        <f>DATA!L54</f>
        <v xml:space="preserve">Advanced Solid Waste Management for Sustainable Urban Development (Advance SWM-SUD) </v>
      </c>
      <c r="O62" s="308">
        <f>DATA!Q54</f>
        <v>1</v>
      </c>
      <c r="P62" s="308">
        <f>DATA!R54</f>
        <v>1</v>
      </c>
      <c r="Q62" s="346">
        <f>DATA!S54</f>
        <v>37</v>
      </c>
      <c r="R62" s="347">
        <f>DATA!T54</f>
        <v>150000000</v>
      </c>
      <c r="S62" s="369" t="str">
        <f>DATA!Y54</f>
        <v>Jerman (KfW)</v>
      </c>
      <c r="T62" s="370">
        <f>DATA!AA54</f>
        <v>150000000</v>
      </c>
      <c r="U62" s="370">
        <v>0</v>
      </c>
      <c r="V62" s="371" t="str">
        <f>DATA!Y54</f>
        <v>Jerman (KfW)</v>
      </c>
      <c r="W62" s="372">
        <f>DATA!AT54</f>
        <v>150000000</v>
      </c>
      <c r="X62" s="373"/>
      <c r="Y62" s="411" t="str">
        <f>DATA!AU54</f>
        <v>Jerman (KfW)</v>
      </c>
      <c r="Z62" s="412" t="str">
        <f>DATA!AW54</f>
        <v>-</v>
      </c>
      <c r="AA62" s="414" t="str">
        <f>DATA!AN54</f>
        <v>dalam proses
(penyusunan FS)</v>
      </c>
      <c r="AB62" s="415" t="str">
        <f>DATA!AO54</f>
        <v>belum ada keterangan</v>
      </c>
      <c r="AC62" s="416" t="str">
        <f>DATA!AR54</f>
        <v>belum ada dokumen R/C</v>
      </c>
      <c r="AD62" s="372"/>
      <c r="AE62" s="413"/>
      <c r="AF62" s="411"/>
    </row>
    <row r="63" spans="1:32" ht="47.25" customHeight="1">
      <c r="A63" s="297">
        <f>DATA!A55</f>
        <v>44</v>
      </c>
      <c r="B63" s="297">
        <f>DATA!B55</f>
        <v>0</v>
      </c>
      <c r="C63" s="297" t="str">
        <f>DATA!D55</f>
        <v>INFRASTRUKTUR</v>
      </c>
      <c r="D63" s="297">
        <f>DATA!E55</f>
        <v>1</v>
      </c>
      <c r="E63" s="297" t="str">
        <f>DATA!F55</f>
        <v>Kementerian Pekerjaan Umum dan Perumahan Rakyat</v>
      </c>
      <c r="F63" s="297" t="str">
        <f>DATA!H55</f>
        <v>Development of Solid Waste Management Program</v>
      </c>
      <c r="G63" s="297" t="str">
        <f>DATA!I55</f>
        <v>F</v>
      </c>
      <c r="H63" s="297" t="str">
        <f>DATA!J55</f>
        <v xml:space="preserve">Program Pembangunan Sistem Pengelolaan Persampahan </v>
      </c>
      <c r="I63" s="297">
        <f>DATA!K55</f>
        <v>2</v>
      </c>
      <c r="J63" s="321"/>
      <c r="K63" s="322"/>
      <c r="L63" s="333"/>
      <c r="M63" s="326">
        <v>41</v>
      </c>
      <c r="N63" s="332" t="str">
        <f>DATA!L55</f>
        <v>The Improvement of Solid Waste Management to Support Regional Area and Metropolitan Cities</v>
      </c>
      <c r="O63" s="308">
        <f>DATA!Q55</f>
        <v>1</v>
      </c>
      <c r="P63" s="308">
        <f>DATA!R55</f>
        <v>1</v>
      </c>
      <c r="Q63" s="346">
        <f>DATA!S55</f>
        <v>38</v>
      </c>
      <c r="R63" s="347">
        <f>DATA!T55</f>
        <v>100000000</v>
      </c>
      <c r="S63" s="369" t="str">
        <f>DATA!Y55</f>
        <v>Bank Dunia</v>
      </c>
      <c r="T63" s="370">
        <f>DATA!AA55</f>
        <v>100000000</v>
      </c>
      <c r="U63" s="370">
        <v>0</v>
      </c>
      <c r="V63" s="371" t="str">
        <f>DATA!Y55</f>
        <v>Bank Dunia</v>
      </c>
      <c r="W63" s="372">
        <f>DATA!AT55</f>
        <v>100000000</v>
      </c>
      <c r="X63" s="373"/>
      <c r="Y63" s="411" t="str">
        <f>DATA!AU55</f>
        <v>Bank Dunia</v>
      </c>
      <c r="Z63" s="412" t="str">
        <f>DATA!AW55</f>
        <v>-</v>
      </c>
      <c r="AA63" s="414" t="str">
        <f>DATA!AN55</f>
        <v>dalam proses
(memiliki FS)</v>
      </c>
      <c r="AB63" s="415" t="str">
        <f>DATA!AO55</f>
        <v>dalam proses
(persiapan)</v>
      </c>
      <c r="AC63" s="416" t="str">
        <f>DATA!AR55</f>
        <v>- karena DED dalam proses finalisasi, maka diasumsikan memiliki FS.
- Dokumen penyiapan: sedang cari tambahan lokasi
- Siap hanya Balikpapan&amp;Tangerang (USD 40 juta)
- belum ada dokumen R/C</v>
      </c>
      <c r="AD63" s="372"/>
      <c r="AE63" s="413"/>
      <c r="AF63" s="411"/>
    </row>
    <row r="64" spans="1:32" s="294" customFormat="1" ht="33.75" customHeight="1">
      <c r="J64" s="316"/>
      <c r="K64" s="328"/>
      <c r="L64" s="318" t="str">
        <f>DATA!I56</f>
        <v>G</v>
      </c>
      <c r="M64" s="319" t="str">
        <f>DATA!J56</f>
        <v>Program Penanganan Kumuh</v>
      </c>
      <c r="N64" s="329"/>
      <c r="O64" s="319"/>
      <c r="P64" s="319"/>
      <c r="Q64" s="363"/>
      <c r="R64" s="364">
        <f>R65+R66+R69+R70</f>
        <v>3614740000</v>
      </c>
      <c r="S64" s="365"/>
      <c r="T64" s="366">
        <f>T65+T66+T67+T69+T70</f>
        <v>3108360000</v>
      </c>
      <c r="U64" s="366">
        <f>U65+U66+U69+U70</f>
        <v>0</v>
      </c>
      <c r="V64" s="367"/>
      <c r="W64" s="365">
        <f>W65+W66+W67+W68+W69+W70</f>
        <v>1008360000</v>
      </c>
      <c r="X64" s="368">
        <f>X65+X66+X67+X68+X69+X70</f>
        <v>2389880000</v>
      </c>
      <c r="Y64" s="406"/>
      <c r="Z64" s="407"/>
      <c r="AA64" s="419"/>
      <c r="AB64" s="420"/>
      <c r="AC64" s="421"/>
      <c r="AD64" s="365"/>
      <c r="AE64" s="366"/>
      <c r="AF64" s="406"/>
    </row>
    <row r="65" spans="1:32" ht="63.75" customHeight="1">
      <c r="A65" s="297">
        <f>DATA!A56</f>
        <v>45</v>
      </c>
      <c r="B65" s="297">
        <f>DATA!B56</f>
        <v>0</v>
      </c>
      <c r="C65" s="297" t="str">
        <f>DATA!D56</f>
        <v>INFRASTRUKTUR</v>
      </c>
      <c r="D65" s="297">
        <f>DATA!E56</f>
        <v>1</v>
      </c>
      <c r="E65" s="297" t="str">
        <f>DATA!F56</f>
        <v>Kementerian Pekerjaan Umum dan Perumahan Rakyat</v>
      </c>
      <c r="F65" s="297" t="str">
        <f>DATA!H56</f>
        <v>Slum Alleviation Program</v>
      </c>
      <c r="G65" s="297" t="str">
        <f>DATA!I56</f>
        <v>G</v>
      </c>
      <c r="H65" s="297" t="str">
        <f>DATA!J56</f>
        <v>Program Penanganan Kumuh</v>
      </c>
      <c r="I65" s="297">
        <f>DATA!K56</f>
        <v>1</v>
      </c>
      <c r="J65" s="321"/>
      <c r="K65" s="322"/>
      <c r="L65" s="330"/>
      <c r="M65" s="326">
        <v>42</v>
      </c>
      <c r="N65" s="332" t="str">
        <f>DATA!L56</f>
        <v>Slum Improvement in Strategic Human Settlements Area (SISHA)</v>
      </c>
      <c r="O65" s="308">
        <f>DATA!Q56</f>
        <v>1</v>
      </c>
      <c r="P65" s="308">
        <f>DATA!R56</f>
        <v>1</v>
      </c>
      <c r="Q65" s="346">
        <f>DATA!S56</f>
        <v>39</v>
      </c>
      <c r="R65" s="347">
        <f>DATA!T56</f>
        <v>2100000000</v>
      </c>
      <c r="S65" s="372" t="str">
        <f>DATA!Y56</f>
        <v>Bank Dunia/JICA/ADB</v>
      </c>
      <c r="T65" s="370">
        <f>DATA!AA56</f>
        <v>2100000000</v>
      </c>
      <c r="U65" s="370">
        <v>0</v>
      </c>
      <c r="V65" s="371" t="str">
        <f>DATA!Y56</f>
        <v>Bank Dunia/JICA/ADB</v>
      </c>
      <c r="W65" s="372"/>
      <c r="X65" s="373">
        <f>DATA!AT56</f>
        <v>2100000000</v>
      </c>
      <c r="Y65" s="411" t="str">
        <f>DATA!AU56</f>
        <v>Belum Ada Indikasi</v>
      </c>
      <c r="Z65" s="412" t="str">
        <f>DATA!AW56</f>
        <v xml:space="preserve">- usulan K/L lender: Bank Dunia/JICA/ADB.
- Pihak Bank Dunia, ADB dan JICA tidak berminat. </v>
      </c>
      <c r="AA65" s="414" t="str">
        <f>DATA!AN56</f>
        <v>dalam proses
(penyusunan FS)</v>
      </c>
      <c r="AB65" s="415" t="str">
        <f>DATA!AO56</f>
        <v>dalam proses
(perencanaan)</v>
      </c>
      <c r="AC65" s="416" t="str">
        <f>DATA!AP56</f>
        <v>belum ada proses tender/lelang</v>
      </c>
      <c r="AD65" s="372"/>
      <c r="AE65" s="413"/>
      <c r="AF65" s="411"/>
    </row>
    <row r="66" spans="1:32" ht="26.25" customHeight="1">
      <c r="A66" s="297">
        <f>DATA!A58</f>
        <v>46</v>
      </c>
      <c r="B66" s="297">
        <f>DATA!B58</f>
        <v>0</v>
      </c>
      <c r="C66" s="297" t="str">
        <f>DATA!D58</f>
        <v>INFRASTRUKTUR</v>
      </c>
      <c r="D66" s="297">
        <f>DATA!E58</f>
        <v>1</v>
      </c>
      <c r="E66" s="297" t="str">
        <f>DATA!F58</f>
        <v>Kementerian Pekerjaan Umum dan Perumahan Rakyat</v>
      </c>
      <c r="F66" s="297" t="str">
        <f>DATA!H58</f>
        <v>Slum Alleviation Program</v>
      </c>
      <c r="G66" s="297" t="str">
        <f>DATA!I58</f>
        <v>G</v>
      </c>
      <c r="H66" s="297" t="str">
        <f>DATA!J58</f>
        <v>Program Penanganan Kumuh</v>
      </c>
      <c r="I66" s="297">
        <f>DATA!K58</f>
        <v>2</v>
      </c>
      <c r="J66" s="321"/>
      <c r="K66" s="322"/>
      <c r="L66" s="322"/>
      <c r="M66" s="3982">
        <v>43</v>
      </c>
      <c r="N66" s="3987" t="str">
        <f>DATA!L58</f>
        <v>National Slum Upgrading</v>
      </c>
      <c r="O66" s="308">
        <f>DATA!Q58</f>
        <v>0.25</v>
      </c>
      <c r="P66" s="308">
        <f>DATA!R58</f>
        <v>0</v>
      </c>
      <c r="Q66" s="346">
        <f>DATA!S58</f>
        <v>0</v>
      </c>
      <c r="R66" s="3976">
        <f>DATA!T57</f>
        <v>1052640000</v>
      </c>
      <c r="S66" s="369" t="str">
        <f>DATA!Y58</f>
        <v>IDB</v>
      </c>
      <c r="T66" s="370">
        <f>DATA!AA58</f>
        <v>329760000</v>
      </c>
      <c r="U66" s="370">
        <v>0</v>
      </c>
      <c r="V66" s="371" t="str">
        <f>DATA!Y58</f>
        <v>IDB</v>
      </c>
      <c r="W66" s="372">
        <f>DATA!AT58</f>
        <v>329760000</v>
      </c>
      <c r="X66" s="373"/>
      <c r="Y66" s="411" t="str">
        <f>DATA!AU58</f>
        <v>IDB</v>
      </c>
      <c r="Z66" s="412" t="str">
        <f>DATA!AW58</f>
        <v>-</v>
      </c>
      <c r="AA66" s="3999" t="str">
        <f>DATA!AN58</f>
        <v>dalam proses
(penyusunan FS)</v>
      </c>
      <c r="AB66" s="3996" t="str">
        <f>DATA!AO58</f>
        <v>tidak butuh lahan</v>
      </c>
      <c r="AC66" s="4004" t="str">
        <f>DATA!AR58</f>
        <v>-</v>
      </c>
      <c r="AD66" s="372"/>
      <c r="AE66" s="413"/>
      <c r="AF66" s="411"/>
    </row>
    <row r="67" spans="1:32" ht="37.5" customHeight="1">
      <c r="A67" s="297">
        <f>DATA!A59</f>
        <v>47</v>
      </c>
      <c r="B67" s="297">
        <f>DATA!B59</f>
        <v>0</v>
      </c>
      <c r="C67" s="297" t="str">
        <f>DATA!D59</f>
        <v>INFRASTRUKTUR</v>
      </c>
      <c r="D67" s="297">
        <f>DATA!E59</f>
        <v>1</v>
      </c>
      <c r="E67" s="297" t="str">
        <f>DATA!F59</f>
        <v>Kementerian Pekerjaan Umum dan Perumahan Rakyat</v>
      </c>
      <c r="F67" s="297" t="str">
        <f>DATA!H59</f>
        <v>Slum Alleviation Program</v>
      </c>
      <c r="G67" s="297" t="str">
        <f>DATA!I59</f>
        <v>G</v>
      </c>
      <c r="H67" s="297" t="str">
        <f>DATA!J59</f>
        <v>Program Penanganan Kumuh</v>
      </c>
      <c r="I67" s="297">
        <f>DATA!K59</f>
        <v>2</v>
      </c>
      <c r="J67" s="321"/>
      <c r="K67" s="322"/>
      <c r="L67" s="322"/>
      <c r="M67" s="3985"/>
      <c r="N67" s="3991"/>
      <c r="O67" s="308"/>
      <c r="P67" s="308"/>
      <c r="Q67" s="346"/>
      <c r="R67" s="3977"/>
      <c r="S67" s="3994" t="str">
        <f>DATA!Y59</f>
        <v>Bank Dunia</v>
      </c>
      <c r="T67" s="3965">
        <f>DATA!AA59</f>
        <v>216500000</v>
      </c>
      <c r="U67" s="3965">
        <v>0</v>
      </c>
      <c r="V67" s="3967" t="str">
        <f>DATA!Y59</f>
        <v>Bank Dunia</v>
      </c>
      <c r="W67" s="372">
        <f>DATA!AT59</f>
        <v>216500000</v>
      </c>
      <c r="X67" s="373"/>
      <c r="Y67" s="411" t="str">
        <f>DATA!AU59</f>
        <v>Bank Dunia</v>
      </c>
      <c r="Z67" s="412" t="str">
        <f>DATA!AW59</f>
        <v>- Berdasarkan surat Menteri Keuangan no. S-409/MK.08/2016 tgl 25 Mei '16
'- Bank Dunia berminat sebesar USD 433 juta.
- Ada informasi dari hasil rapat dengan K/L, bahwa nilai proyek turun menjadi USD 700 juta-an (pendanaan IDB dan Bank Dunia).</v>
      </c>
      <c r="AA67" s="4003"/>
      <c r="AB67" s="3997"/>
      <c r="AC67" s="4005"/>
      <c r="AD67" s="372"/>
      <c r="AE67" s="413"/>
      <c r="AF67" s="411"/>
    </row>
    <row r="68" spans="1:32" ht="34.5" customHeight="1">
      <c r="J68" s="321"/>
      <c r="K68" s="322"/>
      <c r="L68" s="322"/>
      <c r="M68" s="3986"/>
      <c r="N68" s="3988"/>
      <c r="O68" s="308"/>
      <c r="P68" s="308"/>
      <c r="Q68" s="346"/>
      <c r="R68" s="3978"/>
      <c r="S68" s="3995"/>
      <c r="T68" s="3966"/>
      <c r="U68" s="3966"/>
      <c r="V68" s="3968"/>
      <c r="W68" s="372"/>
      <c r="X68" s="373">
        <f>DATA!AT61</f>
        <v>289880000</v>
      </c>
      <c r="Y68" s="411" t="str">
        <f>DATA!AU61</f>
        <v>Belum Ada Indikasi</v>
      </c>
      <c r="Z68" s="429" t="str">
        <f>DATA!AW61</f>
        <v>co-financing dengan IDB (USD 329,7 juta), Bank Dunia (USD 216,5 juta) &amp; AIIB (USD 216,5 juta)</v>
      </c>
      <c r="AA68" s="4001"/>
      <c r="AB68" s="3998"/>
      <c r="AC68" s="4006"/>
      <c r="AD68" s="372"/>
      <c r="AE68" s="413"/>
      <c r="AF68" s="411"/>
    </row>
    <row r="69" spans="1:32" ht="39" customHeight="1">
      <c r="A69" s="297">
        <f>DATA!A62</f>
        <v>48</v>
      </c>
      <c r="B69" s="297">
        <f>DATA!B62</f>
        <v>0</v>
      </c>
      <c r="C69" s="297" t="str">
        <f>DATA!D62</f>
        <v>INFRASTRUKTUR</v>
      </c>
      <c r="D69" s="297">
        <f>DATA!E62</f>
        <v>1</v>
      </c>
      <c r="E69" s="297" t="str">
        <f>DATA!F62</f>
        <v>Kementerian Pekerjaan Umum dan Perumahan Rakyat</v>
      </c>
      <c r="F69" s="297" t="str">
        <f>DATA!H62</f>
        <v>Slum Alleviation Program</v>
      </c>
      <c r="G69" s="297" t="str">
        <f>DATA!I62</f>
        <v>G</v>
      </c>
      <c r="H69" s="297" t="str">
        <f>DATA!J62</f>
        <v>Program Penanganan Kumuh</v>
      </c>
      <c r="I69" s="297">
        <f>DATA!K62</f>
        <v>3</v>
      </c>
      <c r="J69" s="321"/>
      <c r="K69" s="322"/>
      <c r="L69" s="322"/>
      <c r="M69" s="326">
        <v>44</v>
      </c>
      <c r="N69" s="332" t="str">
        <f>DATA!L62</f>
        <v>Rural Settlement Infrastructure Development (RSID)</v>
      </c>
      <c r="O69" s="308">
        <f>DATA!Q62</f>
        <v>1</v>
      </c>
      <c r="P69" s="308">
        <f>DATA!R62</f>
        <v>1</v>
      </c>
      <c r="Q69" s="346">
        <f>DATA!S62</f>
        <v>41</v>
      </c>
      <c r="R69" s="347">
        <f>DATA!T62</f>
        <v>201000000</v>
      </c>
      <c r="S69" s="369" t="str">
        <f>DATA!Y62</f>
        <v>JICA</v>
      </c>
      <c r="T69" s="370">
        <f>DATA!AA62</f>
        <v>201000000</v>
      </c>
      <c r="U69" s="370">
        <v>0</v>
      </c>
      <c r="V69" s="371" t="str">
        <f>DATA!Y62</f>
        <v>JICA</v>
      </c>
      <c r="W69" s="372">
        <f>DATA!AT62</f>
        <v>201000000</v>
      </c>
      <c r="X69" s="373"/>
      <c r="Y69" s="411" t="str">
        <f>DATA!AU62</f>
        <v>JICA</v>
      </c>
      <c r="Z69" s="412" t="str">
        <f>DATA!AW62</f>
        <v>-</v>
      </c>
      <c r="AA69" s="414" t="str">
        <f>DATA!AN62</f>
        <v>dalam proses
(penyusunan FS)</v>
      </c>
      <c r="AB69" s="415" t="str">
        <f>DATA!AO62</f>
        <v>dalam proses
(perencanaan)</v>
      </c>
      <c r="AC69" s="416" t="str">
        <f>DATA!AR62</f>
        <v>belum ada dokumen R/C</v>
      </c>
      <c r="AD69" s="372"/>
      <c r="AE69" s="413"/>
      <c r="AF69" s="411"/>
    </row>
    <row r="70" spans="1:32" ht="45" customHeight="1">
      <c r="A70" s="297">
        <f>DATA!A63</f>
        <v>49</v>
      </c>
      <c r="B70" s="297">
        <f>DATA!B63</f>
        <v>0</v>
      </c>
      <c r="C70" s="297" t="str">
        <f>DATA!D63</f>
        <v>INFRASTRUKTUR</v>
      </c>
      <c r="D70" s="297">
        <f>DATA!E63</f>
        <v>1</v>
      </c>
      <c r="E70" s="297" t="str">
        <f>DATA!F63</f>
        <v>Kementerian Pekerjaan Umum dan Perumahan Rakyat</v>
      </c>
      <c r="F70" s="297" t="str">
        <f>DATA!H63</f>
        <v>Slum Alleviation Program</v>
      </c>
      <c r="G70" s="297" t="str">
        <f>DATA!I63</f>
        <v>G</v>
      </c>
      <c r="H70" s="297" t="str">
        <f>DATA!J63</f>
        <v>Program Penanganan Kumuh</v>
      </c>
      <c r="I70" s="297">
        <f>DATA!K63</f>
        <v>4</v>
      </c>
      <c r="J70" s="321"/>
      <c r="K70" s="322"/>
      <c r="L70" s="333"/>
      <c r="M70" s="326">
        <v>45</v>
      </c>
      <c r="N70" s="332" t="str">
        <f>DATA!L63</f>
        <v>Building Administration and Capacity Enforcement Development for Seismic Resilience</v>
      </c>
      <c r="O70" s="308">
        <f>DATA!Q63</f>
        <v>1</v>
      </c>
      <c r="P70" s="308">
        <f>DATA!R63</f>
        <v>1</v>
      </c>
      <c r="Q70" s="346">
        <f>DATA!S63</f>
        <v>42</v>
      </c>
      <c r="R70" s="347">
        <f>DATA!T63</f>
        <v>261100000</v>
      </c>
      <c r="S70" s="369" t="str">
        <f>DATA!Y63</f>
        <v>JICA</v>
      </c>
      <c r="T70" s="370">
        <f>DATA!AA63</f>
        <v>261100000</v>
      </c>
      <c r="U70" s="370">
        <v>0</v>
      </c>
      <c r="V70" s="371" t="str">
        <f>DATA!Y63</f>
        <v>JICA</v>
      </c>
      <c r="W70" s="372">
        <f>DATA!AT63</f>
        <v>261100000</v>
      </c>
      <c r="X70" s="373"/>
      <c r="Y70" s="411" t="str">
        <f>DATA!AU63</f>
        <v>JICA</v>
      </c>
      <c r="Z70" s="412" t="str">
        <f>DATA!AW63</f>
        <v>-</v>
      </c>
      <c r="AA70" s="414" t="str">
        <f>DATA!AN63</f>
        <v>dalam proses
(penyusunan FS)</v>
      </c>
      <c r="AB70" s="415" t="str">
        <f>DATA!AO63</f>
        <v>tidak butuh lahan</v>
      </c>
      <c r="AC70" s="416" t="str">
        <f>DATA!AR63</f>
        <v>belum ada dokumen R/C</v>
      </c>
      <c r="AD70" s="372"/>
      <c r="AE70" s="413"/>
      <c r="AF70" s="411"/>
    </row>
    <row r="71" spans="1:32" s="294" customFormat="1" ht="33.75" customHeight="1">
      <c r="J71" s="316"/>
      <c r="K71" s="328"/>
      <c r="L71" s="318" t="str">
        <f>DATA!I67</f>
        <v>I</v>
      </c>
      <c r="M71" s="319" t="str">
        <f>DATA!J67</f>
        <v>Program Pengembangan dan Pengelolaan Irigasi</v>
      </c>
      <c r="N71" s="329"/>
      <c r="O71" s="319"/>
      <c r="P71" s="319"/>
      <c r="Q71" s="363"/>
      <c r="R71" s="364">
        <f>SUM(R72:R84)</f>
        <v>3257531000</v>
      </c>
      <c r="S71" s="365"/>
      <c r="T71" s="366">
        <f>SUM(T72:T84)</f>
        <v>3257531000</v>
      </c>
      <c r="U71" s="366">
        <f t="shared" ref="U71:Z71" si="4">SUM(U72:U84)</f>
        <v>0</v>
      </c>
      <c r="V71" s="367">
        <f t="shared" si="4"/>
        <v>0</v>
      </c>
      <c r="W71" s="365">
        <f t="shared" si="4"/>
        <v>2646233000</v>
      </c>
      <c r="X71" s="368">
        <f t="shared" si="4"/>
        <v>611298000</v>
      </c>
      <c r="Y71" s="406"/>
      <c r="Z71" s="407">
        <f t="shared" si="4"/>
        <v>0</v>
      </c>
      <c r="AA71" s="419"/>
      <c r="AB71" s="420"/>
      <c r="AC71" s="421"/>
      <c r="AD71" s="365"/>
      <c r="AE71" s="366"/>
      <c r="AF71" s="406"/>
    </row>
    <row r="72" spans="1:32" ht="30" customHeight="1">
      <c r="A72" s="297">
        <f>DATA!A67</f>
        <v>51</v>
      </c>
      <c r="B72" s="297">
        <f>DATA!B67</f>
        <v>0</v>
      </c>
      <c r="C72" s="297" t="str">
        <f>DATA!D67</f>
        <v>INFRASTRUKTUR</v>
      </c>
      <c r="D72" s="297">
        <f>DATA!E67</f>
        <v>1</v>
      </c>
      <c r="E72" s="297" t="str">
        <f>DATA!F67</f>
        <v>Kementerian Pekerjaan Umum dan Perumahan Rakyat</v>
      </c>
      <c r="F72" s="297" t="str">
        <f>DATA!H67</f>
        <v xml:space="preserve">Development and Management of Irrigation Program </v>
      </c>
      <c r="G72" s="297" t="str">
        <f>DATA!I67</f>
        <v>I</v>
      </c>
      <c r="H72" s="297" t="str">
        <f>DATA!J67</f>
        <v>Program Pengembangan dan Pengelolaan Irigasi</v>
      </c>
      <c r="I72" s="297">
        <f>DATA!K67</f>
        <v>1</v>
      </c>
      <c r="J72" s="321"/>
      <c r="K72" s="322"/>
      <c r="L72" s="322"/>
      <c r="M72" s="3979">
        <v>46</v>
      </c>
      <c r="N72" s="3987" t="str">
        <f>DATA!L67</f>
        <v>Integrated Participatory Development and Management of Irrigation Project - Phase I</v>
      </c>
      <c r="O72" s="308">
        <f>DATA!Q67</f>
        <v>0.5</v>
      </c>
      <c r="P72" s="308">
        <f>DATA!R67</f>
        <v>0</v>
      </c>
      <c r="Q72" s="346">
        <f>DATA!S67</f>
        <v>43</v>
      </c>
      <c r="R72" s="3972">
        <f>DATA!U66</f>
        <v>700000000</v>
      </c>
      <c r="S72" s="369" t="str">
        <f>DATA!Y67</f>
        <v>ADB</v>
      </c>
      <c r="T72" s="370">
        <f>DATA!AA67</f>
        <v>600000000</v>
      </c>
      <c r="U72" s="370">
        <v>0</v>
      </c>
      <c r="V72" s="371" t="str">
        <f>DATA!Y67</f>
        <v>ADB</v>
      </c>
      <c r="W72" s="372">
        <f>DATA!AT67</f>
        <v>600000000</v>
      </c>
      <c r="X72" s="373"/>
      <c r="Y72" s="411" t="str">
        <f>DATA!AU67</f>
        <v>ADB</v>
      </c>
      <c r="Z72" s="412" t="str">
        <f>DATA!AW67</f>
        <v>-</v>
      </c>
      <c r="AA72" s="3999" t="str">
        <f>DATA!AN67</f>
        <v>siap</v>
      </c>
      <c r="AB72" s="3996" t="str">
        <f>DATA!AO67</f>
        <v>belum ada keterangan</v>
      </c>
      <c r="AC72" s="4004" t="str">
        <f>DATA!AR67</f>
        <v>-</v>
      </c>
      <c r="AD72" s="417">
        <f>DATA!AC67</f>
        <v>600000000</v>
      </c>
      <c r="AE72" s="308"/>
      <c r="AF72" s="395" t="s">
        <v>1443</v>
      </c>
    </row>
    <row r="73" spans="1:32" ht="32.25" customHeight="1">
      <c r="A73" s="297">
        <f>DATA!A68</f>
        <v>52</v>
      </c>
      <c r="B73" s="297">
        <f>DATA!B68</f>
        <v>0</v>
      </c>
      <c r="C73" s="297" t="str">
        <f>DATA!D68</f>
        <v>INFRASTRUKTUR</v>
      </c>
      <c r="D73" s="297">
        <f>DATA!E68</f>
        <v>1</v>
      </c>
      <c r="E73" s="297" t="str">
        <f>DATA!F68</f>
        <v>Kementerian Pekerjaan Umum dan Perumahan Rakyat</v>
      </c>
      <c r="F73" s="297" t="str">
        <f>DATA!H68</f>
        <v xml:space="preserve">Development and Management of Irrigation Program </v>
      </c>
      <c r="G73" s="297" t="str">
        <f>DATA!I68</f>
        <v>I</v>
      </c>
      <c r="H73" s="297" t="str">
        <f>DATA!J68</f>
        <v>Program Pengembangan dan Pengelolaan Irigasi</v>
      </c>
      <c r="I73" s="297">
        <f>DATA!K68</f>
        <v>1</v>
      </c>
      <c r="J73" s="321"/>
      <c r="K73" s="322"/>
      <c r="L73" s="322"/>
      <c r="M73" s="3980"/>
      <c r="N73" s="3988"/>
      <c r="O73" s="308"/>
      <c r="P73" s="308"/>
      <c r="Q73" s="346"/>
      <c r="R73" s="3973"/>
      <c r="S73" s="369" t="str">
        <f>DATA!Y68</f>
        <v>IFAD</v>
      </c>
      <c r="T73" s="370">
        <f>DATA!AA68</f>
        <v>100000000</v>
      </c>
      <c r="U73" s="370">
        <v>0</v>
      </c>
      <c r="V73" s="371" t="str">
        <f>DATA!Y68</f>
        <v>IFAD</v>
      </c>
      <c r="W73" s="372">
        <f>DATA!AT68</f>
        <v>100000000</v>
      </c>
      <c r="X73" s="373"/>
      <c r="Y73" s="411" t="str">
        <f>DATA!AU68</f>
        <v>IFAD</v>
      </c>
      <c r="Z73" s="412" t="str">
        <f>DATA!AW68</f>
        <v>-</v>
      </c>
      <c r="AA73" s="4001"/>
      <c r="AB73" s="3998"/>
      <c r="AC73" s="4006"/>
      <c r="AD73" s="417">
        <f>DATA!AC68</f>
        <v>100000000</v>
      </c>
      <c r="AE73" s="308"/>
      <c r="AF73" s="395" t="s">
        <v>1443</v>
      </c>
    </row>
    <row r="74" spans="1:32" ht="28.5" customHeight="1">
      <c r="A74" s="297">
        <f>DATA!A70</f>
        <v>53</v>
      </c>
      <c r="B74" s="297">
        <f>DATA!B70</f>
        <v>0</v>
      </c>
      <c r="C74" s="297" t="str">
        <f>DATA!D70</f>
        <v>INFRASTRUKTUR</v>
      </c>
      <c r="D74" s="297">
        <f>DATA!E70</f>
        <v>1</v>
      </c>
      <c r="E74" s="297" t="str">
        <f>DATA!F70</f>
        <v>Kementerian Pekerjaan Umum dan Perumahan Rakyat</v>
      </c>
      <c r="F74" s="297" t="str">
        <f>DATA!H70</f>
        <v xml:space="preserve">Development and Management of Irrigation Program </v>
      </c>
      <c r="G74" s="297" t="str">
        <f>DATA!I70</f>
        <v>I</v>
      </c>
      <c r="H74" s="297" t="str">
        <f>DATA!J70</f>
        <v>Program Pengembangan dan Pengelolaan Irigasi</v>
      </c>
      <c r="I74" s="297">
        <f>DATA!K70</f>
        <v>1</v>
      </c>
      <c r="J74" s="321"/>
      <c r="K74" s="322"/>
      <c r="L74" s="322"/>
      <c r="M74" s="3984">
        <v>47</v>
      </c>
      <c r="N74" s="3987" t="str">
        <f>DATA!L70</f>
        <v>Integrated Participatory Development and Management of Irrigation Project - Phase II</v>
      </c>
      <c r="O74" s="308">
        <f>DATA!Q70</f>
        <v>1</v>
      </c>
      <c r="P74" s="308">
        <f>DATA!R70</f>
        <v>0</v>
      </c>
      <c r="Q74" s="346">
        <f>DATA!S70</f>
        <v>44</v>
      </c>
      <c r="R74" s="3972">
        <f>DATA!T70</f>
        <v>500000000</v>
      </c>
      <c r="S74" s="3994" t="str">
        <f>DATA!Y70</f>
        <v>ADB</v>
      </c>
      <c r="T74" s="3965">
        <f>DATA!AA70</f>
        <v>500000000</v>
      </c>
      <c r="U74" s="3965">
        <v>0</v>
      </c>
      <c r="V74" s="3967" t="str">
        <f>DATA!Y70</f>
        <v>ADB</v>
      </c>
      <c r="W74" s="372">
        <f>DATA!AT70</f>
        <v>400000000</v>
      </c>
      <c r="X74" s="373"/>
      <c r="Y74" s="411" t="str">
        <f>DATA!AU70</f>
        <v>ADB</v>
      </c>
      <c r="Z74" s="412" t="str">
        <f>DATA!AW70</f>
        <v>nilai kegiatan yang tercantum dalam COBP ADB sebesar USD 400 juta.</v>
      </c>
      <c r="AA74" s="3999" t="str">
        <f>DATA!AN70</f>
        <v>belum ada keterangan</v>
      </c>
      <c r="AB74" s="3996" t="str">
        <f>DATA!AO70</f>
        <v>belum ada keterangan</v>
      </c>
      <c r="AC74" s="4004" t="e">
        <f>DATA!#REF!</f>
        <v>#REF!</v>
      </c>
      <c r="AD74" s="372"/>
      <c r="AE74" s="413"/>
      <c r="AF74" s="411"/>
    </row>
    <row r="75" spans="1:32" ht="31.5" customHeight="1">
      <c r="J75" s="321"/>
      <c r="K75" s="322"/>
      <c r="L75" s="322"/>
      <c r="M75" s="3980"/>
      <c r="N75" s="3988"/>
      <c r="O75" s="308"/>
      <c r="P75" s="308"/>
      <c r="Q75" s="346"/>
      <c r="R75" s="3973"/>
      <c r="S75" s="3995"/>
      <c r="T75" s="3966"/>
      <c r="U75" s="3966"/>
      <c r="V75" s="3968"/>
      <c r="W75" s="372"/>
      <c r="X75" s="373">
        <f>DATA!AT71</f>
        <v>100000000</v>
      </c>
      <c r="Y75" s="411" t="str">
        <f>DATA!AU71</f>
        <v>Belum Ada Indikasi</v>
      </c>
      <c r="Z75" s="429" t="str">
        <f>DATA!AW71</f>
        <v>-</v>
      </c>
      <c r="AA75" s="4001"/>
      <c r="AB75" s="3998"/>
      <c r="AC75" s="4006"/>
      <c r="AD75" s="372"/>
      <c r="AE75" s="413"/>
      <c r="AF75" s="411"/>
    </row>
    <row r="76" spans="1:32" ht="37.5" customHeight="1">
      <c r="A76" s="297">
        <f>DATA!A72</f>
        <v>54</v>
      </c>
      <c r="B76" s="297">
        <f>DATA!B72</f>
        <v>0</v>
      </c>
      <c r="C76" s="297" t="str">
        <f>DATA!D72</f>
        <v>INFRASTRUKTUR</v>
      </c>
      <c r="D76" s="297">
        <f>DATA!E72</f>
        <v>1</v>
      </c>
      <c r="E76" s="297" t="str">
        <f>DATA!F72</f>
        <v>Kementerian Pekerjaan Umum dan Perumahan Rakyat</v>
      </c>
      <c r="F76" s="297" t="str">
        <f>DATA!H72</f>
        <v xml:space="preserve">Development and Management of Irrigation Program </v>
      </c>
      <c r="G76" s="297" t="str">
        <f>DATA!I72</f>
        <v>I</v>
      </c>
      <c r="H76" s="297" t="str">
        <f>DATA!J72</f>
        <v>Program Pengembangan dan Pengelolaan Irigasi</v>
      </c>
      <c r="I76" s="297">
        <f>DATA!K72</f>
        <v>2</v>
      </c>
      <c r="J76" s="321"/>
      <c r="K76" s="322"/>
      <c r="L76" s="322"/>
      <c r="M76" s="326">
        <v>48</v>
      </c>
      <c r="N76" s="332" t="str">
        <f>DATA!L72</f>
        <v>The Urgent Rehabilitation of Strategic Irrigation for Western Region of Indonesia</v>
      </c>
      <c r="O76" s="308">
        <f>DATA!Q72</f>
        <v>1</v>
      </c>
      <c r="P76" s="308">
        <f>DATA!R72</f>
        <v>1</v>
      </c>
      <c r="Q76" s="346">
        <f>DATA!S72</f>
        <v>45</v>
      </c>
      <c r="R76" s="347">
        <f>DATA!T72</f>
        <v>195778000</v>
      </c>
      <c r="S76" s="369" t="str">
        <f>DATA!Y72</f>
        <v>Korea</v>
      </c>
      <c r="T76" s="370">
        <f>DATA!AA72</f>
        <v>195778000</v>
      </c>
      <c r="U76" s="370">
        <v>0</v>
      </c>
      <c r="V76" s="371" t="str">
        <f>DATA!Y72</f>
        <v>Korea</v>
      </c>
      <c r="W76" s="372">
        <f>DATA!AT72</f>
        <v>195778000</v>
      </c>
      <c r="X76" s="373"/>
      <c r="Y76" s="411" t="str">
        <f>DATA!AU72</f>
        <v>Korea</v>
      </c>
      <c r="Z76" s="412" t="str">
        <f>DATA!AW72</f>
        <v>masuk rolling plan EDCF (Korea)</v>
      </c>
      <c r="AA76" s="414" t="str">
        <f>DATA!AN72</f>
        <v>belum ada keterangan</v>
      </c>
      <c r="AB76" s="415" t="str">
        <f>DATA!AO72</f>
        <v>belum ada keterangan</v>
      </c>
      <c r="AC76" s="416" t="e">
        <f>DATA!#REF!</f>
        <v>#REF!</v>
      </c>
      <c r="AD76" s="417">
        <f>DATA!AC72</f>
        <v>195778000</v>
      </c>
      <c r="AE76" s="308"/>
      <c r="AF76" s="395" t="s">
        <v>1443</v>
      </c>
    </row>
    <row r="77" spans="1:32" ht="46.5" customHeight="1">
      <c r="A77" s="297">
        <f>DATA!A73</f>
        <v>55</v>
      </c>
      <c r="B77" s="297">
        <f>DATA!B73</f>
        <v>0</v>
      </c>
      <c r="C77" s="297" t="str">
        <f>DATA!D73</f>
        <v>INFRASTRUKTUR</v>
      </c>
      <c r="D77" s="297">
        <f>DATA!E73</f>
        <v>1</v>
      </c>
      <c r="E77" s="297" t="str">
        <f>DATA!F73</f>
        <v>Kementerian Pekerjaan Umum dan Perumahan Rakyat</v>
      </c>
      <c r="F77" s="297" t="str">
        <f>DATA!H73</f>
        <v xml:space="preserve">Development and Management of Irrigation Program </v>
      </c>
      <c r="G77" s="297" t="str">
        <f>DATA!I73</f>
        <v>I</v>
      </c>
      <c r="H77" s="297" t="str">
        <f>DATA!J73</f>
        <v>Program Pengembangan dan Pengelolaan Irigasi</v>
      </c>
      <c r="I77" s="297">
        <f>DATA!K73</f>
        <v>3</v>
      </c>
      <c r="J77" s="321"/>
      <c r="K77" s="322"/>
      <c r="L77" s="322"/>
      <c r="M77" s="326">
        <v>49</v>
      </c>
      <c r="N77" s="332" t="str">
        <f>DATA!L73</f>
        <v>Rentang Modernization Strategic Irrigation (RIMP)</v>
      </c>
      <c r="O77" s="308">
        <f>DATA!Q73</f>
        <v>1</v>
      </c>
      <c r="P77" s="308">
        <f>DATA!R73</f>
        <v>1</v>
      </c>
      <c r="Q77" s="346">
        <f>DATA!S73</f>
        <v>46</v>
      </c>
      <c r="R77" s="347">
        <f>DATA!T73</f>
        <v>480000000</v>
      </c>
      <c r="S77" s="369" t="str">
        <f>DATA!Y73</f>
        <v>JICA</v>
      </c>
      <c r="T77" s="370">
        <f>DATA!AA73</f>
        <v>480000000</v>
      </c>
      <c r="U77" s="370">
        <v>0</v>
      </c>
      <c r="V77" s="371" t="str">
        <f>DATA!Y73</f>
        <v>JICA</v>
      </c>
      <c r="W77" s="372">
        <f>DATA!AT73</f>
        <v>480000000</v>
      </c>
      <c r="X77" s="373"/>
      <c r="Y77" s="411" t="str">
        <f>DATA!AU73</f>
        <v>JICA</v>
      </c>
      <c r="Z77" s="412" t="str">
        <f>DATA!AW73</f>
        <v>-</v>
      </c>
      <c r="AA77" s="414" t="str">
        <f>DATA!AN73</f>
        <v>siap</v>
      </c>
      <c r="AB77" s="415" t="str">
        <f>DATA!AO73</f>
        <v>tidak butuh lahan</v>
      </c>
      <c r="AC77" s="416" t="e">
        <f>DATA!#REF!</f>
        <v>#REF!</v>
      </c>
      <c r="AD77" s="372"/>
      <c r="AE77" s="413"/>
      <c r="AF77" s="411"/>
    </row>
    <row r="78" spans="1:32" ht="32.25" customHeight="1">
      <c r="A78" s="297">
        <f>DATA!A74</f>
        <v>56</v>
      </c>
      <c r="B78" s="297">
        <f>DATA!B74</f>
        <v>0</v>
      </c>
      <c r="C78" s="297" t="str">
        <f>DATA!D74</f>
        <v>INFRASTRUKTUR</v>
      </c>
      <c r="D78" s="297">
        <f>DATA!E74</f>
        <v>1</v>
      </c>
      <c r="E78" s="297" t="str">
        <f>DATA!F74</f>
        <v>Kementerian Pekerjaan Umum dan Perumahan Rakyat</v>
      </c>
      <c r="F78" s="297" t="str">
        <f>DATA!H74</f>
        <v xml:space="preserve">Development and Management of Irrigation Program </v>
      </c>
      <c r="G78" s="297" t="str">
        <f>DATA!I74</f>
        <v>I</v>
      </c>
      <c r="H78" s="297" t="str">
        <f>DATA!J74</f>
        <v>Program Pengembangan dan Pengelolaan Irigasi</v>
      </c>
      <c r="I78" s="297">
        <f>DATA!K74</f>
        <v>4</v>
      </c>
      <c r="J78" s="321"/>
      <c r="K78" s="322"/>
      <c r="L78" s="322"/>
      <c r="M78" s="326">
        <v>50</v>
      </c>
      <c r="N78" s="332" t="str">
        <f>DATA!L74</f>
        <v>Komering Irrigation Project Stage III</v>
      </c>
      <c r="O78" s="308">
        <f>DATA!Q74</f>
        <v>1</v>
      </c>
      <c r="P78" s="308">
        <f>DATA!R74</f>
        <v>1</v>
      </c>
      <c r="Q78" s="346">
        <f>DATA!S74</f>
        <v>47</v>
      </c>
      <c r="R78" s="347">
        <f>DATA!T74</f>
        <v>120000000</v>
      </c>
      <c r="S78" s="369" t="str">
        <f>DATA!Y74</f>
        <v>JICA</v>
      </c>
      <c r="T78" s="370">
        <f>DATA!AA74</f>
        <v>120000000</v>
      </c>
      <c r="U78" s="370">
        <v>0</v>
      </c>
      <c r="V78" s="371" t="str">
        <f>DATA!Y74</f>
        <v>JICA</v>
      </c>
      <c r="W78" s="372">
        <f>DATA!AT74</f>
        <v>120000000</v>
      </c>
      <c r="X78" s="373"/>
      <c r="Y78" s="411" t="str">
        <f>DATA!AU74</f>
        <v>JICA</v>
      </c>
      <c r="Z78" s="412" t="str">
        <f>DATA!AW74</f>
        <v>-</v>
      </c>
      <c r="AA78" s="414" t="str">
        <f>DATA!AN74</f>
        <v>siap</v>
      </c>
      <c r="AB78" s="415" t="str">
        <f>DATA!AO74</f>
        <v>belum ada keterangan</v>
      </c>
      <c r="AC78" s="416" t="e">
        <f>DATA!#REF!</f>
        <v>#REF!</v>
      </c>
      <c r="AD78" s="372"/>
      <c r="AE78" s="413"/>
      <c r="AF78" s="411"/>
    </row>
    <row r="79" spans="1:32" ht="39" customHeight="1">
      <c r="A79" s="297">
        <f>DATA!A75</f>
        <v>57</v>
      </c>
      <c r="B79" s="297">
        <f>DATA!B75</f>
        <v>0</v>
      </c>
      <c r="C79" s="297" t="str">
        <f>DATA!D75</f>
        <v>INFRASTRUKTUR</v>
      </c>
      <c r="D79" s="297">
        <f>DATA!E75</f>
        <v>1</v>
      </c>
      <c r="E79" s="297" t="str">
        <f>DATA!F75</f>
        <v>Kementerian Pekerjaan Umum dan Perumahan Rakyat</v>
      </c>
      <c r="F79" s="297" t="str">
        <f>DATA!H75</f>
        <v xml:space="preserve">Development and Management of Irrigation Program </v>
      </c>
      <c r="G79" s="297" t="str">
        <f>DATA!I75</f>
        <v>I</v>
      </c>
      <c r="H79" s="297" t="str">
        <f>DATA!J75</f>
        <v>Program Pengembangan dan Pengelolaan Irigasi</v>
      </c>
      <c r="I79" s="297">
        <f>DATA!K75</f>
        <v>5</v>
      </c>
      <c r="J79" s="321"/>
      <c r="K79" s="322"/>
      <c r="L79" s="322"/>
      <c r="M79" s="326">
        <v>51</v>
      </c>
      <c r="N79" s="332" t="str">
        <f>DATA!L75</f>
        <v>Irrigation Development in North Sumatera</v>
      </c>
      <c r="O79" s="308">
        <f>DATA!Q75</f>
        <v>1</v>
      </c>
      <c r="P79" s="308">
        <f>DATA!R75</f>
        <v>1</v>
      </c>
      <c r="Q79" s="346">
        <f>DATA!S75</f>
        <v>48</v>
      </c>
      <c r="R79" s="347">
        <f>DATA!T75</f>
        <v>350000000</v>
      </c>
      <c r="S79" s="369" t="str">
        <f>DATA!Y75</f>
        <v>ADB</v>
      </c>
      <c r="T79" s="370">
        <f>DATA!AA75</f>
        <v>350000000</v>
      </c>
      <c r="U79" s="370">
        <v>0</v>
      </c>
      <c r="V79" s="371" t="str">
        <f>DATA!Y75</f>
        <v>ADB</v>
      </c>
      <c r="W79" s="372"/>
      <c r="X79" s="373">
        <f>DATA!AT75</f>
        <v>350000000</v>
      </c>
      <c r="Y79" s="411" t="str">
        <f>DATA!AU75</f>
        <v>Belum Ada Indikasi</v>
      </c>
      <c r="Z79" s="412" t="str">
        <f>DATA!AW75</f>
        <v>- usulan K/L lender: ADB
- tidak masuk COBP ADB</v>
      </c>
      <c r="AA79" s="414" t="str">
        <f>DATA!AN75</f>
        <v>dalam proses
(memiliki FS dan DED)</v>
      </c>
      <c r="AB79" s="415" t="str">
        <f>DATA!AO75</f>
        <v>belum ada keterangan</v>
      </c>
      <c r="AC79" s="416" t="e">
        <f>DATA!#REF!</f>
        <v>#REF!</v>
      </c>
      <c r="AD79" s="372"/>
      <c r="AE79" s="413"/>
      <c r="AF79" s="411"/>
    </row>
    <row r="80" spans="1:32" ht="49.5" customHeight="1">
      <c r="A80" s="297">
        <f>DATA!A76</f>
        <v>58</v>
      </c>
      <c r="B80" s="297">
        <f>DATA!B76</f>
        <v>0</v>
      </c>
      <c r="C80" s="297" t="str">
        <f>DATA!D76</f>
        <v>INFRASTRUKTUR</v>
      </c>
      <c r="D80" s="297">
        <f>DATA!E76</f>
        <v>1</v>
      </c>
      <c r="E80" s="297" t="str">
        <f>DATA!F76</f>
        <v>Kementerian Pekerjaan Umum dan Perumahan Rakyat</v>
      </c>
      <c r="F80" s="297" t="str">
        <f>DATA!H76</f>
        <v xml:space="preserve">Development and Management of Irrigation Program </v>
      </c>
      <c r="G80" s="297" t="str">
        <f>DATA!I76</f>
        <v>I</v>
      </c>
      <c r="H80" s="297" t="str">
        <f>DATA!J76</f>
        <v>Program Pengembangan dan Pengelolaan Irigasi</v>
      </c>
      <c r="I80" s="297">
        <f>DATA!K76</f>
        <v>6</v>
      </c>
      <c r="J80" s="321"/>
      <c r="K80" s="322"/>
      <c r="L80" s="322"/>
      <c r="M80" s="326">
        <v>52</v>
      </c>
      <c r="N80" s="332" t="str">
        <f>DATA!L76</f>
        <v>Integrated Participatory Development and Management of Lhok Guci and Peureulak Irrigation Project</v>
      </c>
      <c r="O80" s="308">
        <f>DATA!Q76</f>
        <v>1</v>
      </c>
      <c r="P80" s="308">
        <f>DATA!R76</f>
        <v>1</v>
      </c>
      <c r="Q80" s="346">
        <f>DATA!S76</f>
        <v>49</v>
      </c>
      <c r="R80" s="347">
        <f>DATA!T76</f>
        <v>161298000</v>
      </c>
      <c r="S80" s="369" t="str">
        <f>DATA!Y76</f>
        <v>ADB</v>
      </c>
      <c r="T80" s="370">
        <f>DATA!AA76</f>
        <v>161298000</v>
      </c>
      <c r="U80" s="370">
        <v>0</v>
      </c>
      <c r="V80" s="371" t="str">
        <f>DATA!Y76</f>
        <v>ADB</v>
      </c>
      <c r="W80" s="372"/>
      <c r="X80" s="373">
        <f>DATA!AT76</f>
        <v>161298000</v>
      </c>
      <c r="Y80" s="411" t="str">
        <f>DATA!AU76</f>
        <v>Belum Ada Indikasi</v>
      </c>
      <c r="Z80" s="412" t="str">
        <f>DATA!AW76</f>
        <v>- usulan K/L lender: ADB
- tidak masuk COBP ADB</v>
      </c>
      <c r="AA80" s="414" t="str">
        <f>DATA!AN76</f>
        <v>dalam proses
(memiliki FS dan DED)</v>
      </c>
      <c r="AB80" s="415" t="str">
        <f>DATA!AO76</f>
        <v>belum ada keterangan</v>
      </c>
      <c r="AC80" s="416" t="e">
        <f>DATA!#REF!</f>
        <v>#REF!</v>
      </c>
      <c r="AD80" s="372"/>
      <c r="AE80" s="413"/>
      <c r="AF80" s="411"/>
    </row>
    <row r="81" spans="1:32" ht="30" customHeight="1">
      <c r="A81" s="297">
        <f>DATA!A77</f>
        <v>59</v>
      </c>
      <c r="B81" s="297">
        <f>DATA!B77</f>
        <v>0</v>
      </c>
      <c r="C81" s="297" t="str">
        <f>DATA!D77</f>
        <v>INFRASTRUKTUR</v>
      </c>
      <c r="D81" s="297">
        <f>DATA!E77</f>
        <v>1</v>
      </c>
      <c r="E81" s="297" t="str">
        <f>DATA!F77</f>
        <v>Kementerian Pekerjaan Umum dan Perumahan Rakyat</v>
      </c>
      <c r="F81" s="297" t="str">
        <f>DATA!H77</f>
        <v xml:space="preserve">Development and Management of Irrigation Program </v>
      </c>
      <c r="G81" s="297" t="str">
        <f>DATA!I77</f>
        <v>I</v>
      </c>
      <c r="H81" s="297" t="str">
        <f>DATA!J77</f>
        <v>Program Pengembangan dan Pengelolaan Irigasi</v>
      </c>
      <c r="I81" s="297">
        <f>DATA!K77</f>
        <v>7</v>
      </c>
      <c r="J81" s="321"/>
      <c r="K81" s="322"/>
      <c r="L81" s="322"/>
      <c r="M81" s="326">
        <v>53</v>
      </c>
      <c r="N81" s="332" t="str">
        <f>DATA!L77</f>
        <v>Modernization Strategic Irrigation Project (MSIP)</v>
      </c>
      <c r="O81" s="308">
        <f>DATA!Q77</f>
        <v>1</v>
      </c>
      <c r="P81" s="308">
        <f>DATA!R77</f>
        <v>1</v>
      </c>
      <c r="Q81" s="346">
        <f>DATA!S77</f>
        <v>50</v>
      </c>
      <c r="R81" s="347">
        <f>DATA!T77</f>
        <v>278355000</v>
      </c>
      <c r="S81" s="369" t="str">
        <f>DATA!Y77</f>
        <v>JICA</v>
      </c>
      <c r="T81" s="370">
        <f>DATA!AA77</f>
        <v>278355000</v>
      </c>
      <c r="U81" s="370">
        <v>0</v>
      </c>
      <c r="V81" s="371" t="str">
        <f>DATA!Y77</f>
        <v>JICA</v>
      </c>
      <c r="W81" s="372">
        <f>DATA!AT77</f>
        <v>278355000</v>
      </c>
      <c r="X81" s="373"/>
      <c r="Y81" s="411" t="str">
        <f>DATA!AU77</f>
        <v>JICA</v>
      </c>
      <c r="Z81" s="412" t="str">
        <f>DATA!AW77</f>
        <v>-</v>
      </c>
      <c r="AA81" s="414" t="str">
        <f>DATA!AN77</f>
        <v>belum ada keterangan</v>
      </c>
      <c r="AB81" s="415" t="str">
        <f>DATA!AO77</f>
        <v>belum ada keterangan</v>
      </c>
      <c r="AC81" s="416" t="e">
        <f>DATA!#REF!</f>
        <v>#REF!</v>
      </c>
      <c r="AD81" s="372"/>
      <c r="AE81" s="413"/>
      <c r="AF81" s="411"/>
    </row>
    <row r="82" spans="1:32" ht="36" customHeight="1">
      <c r="A82" s="297">
        <f>DATA!A78</f>
        <v>60</v>
      </c>
      <c r="B82" s="297">
        <f>DATA!B78</f>
        <v>0</v>
      </c>
      <c r="C82" s="297" t="str">
        <f>DATA!D78</f>
        <v>INFRASTRUKTUR</v>
      </c>
      <c r="D82" s="297">
        <f>DATA!E78</f>
        <v>1</v>
      </c>
      <c r="E82" s="297" t="str">
        <f>DATA!F78</f>
        <v>Kementerian Pekerjaan Umum dan Perumahan Rakyat</v>
      </c>
      <c r="F82" s="297" t="str">
        <f>DATA!H78</f>
        <v xml:space="preserve">Development and Management of Irrigation Program </v>
      </c>
      <c r="G82" s="297" t="str">
        <f>DATA!I78</f>
        <v>I</v>
      </c>
      <c r="H82" s="297" t="str">
        <f>DATA!J78</f>
        <v>Program Pengembangan dan Pengelolaan Irigasi</v>
      </c>
      <c r="I82" s="297">
        <f>DATA!K78</f>
        <v>8</v>
      </c>
      <c r="J82" s="321"/>
      <c r="K82" s="322"/>
      <c r="L82" s="322"/>
      <c r="M82" s="326">
        <v>54</v>
      </c>
      <c r="N82" s="332" t="str">
        <f>DATA!L78</f>
        <v>Urgent Rehabilitation of  Irrigation Project in Indonesia (URIP)</v>
      </c>
      <c r="O82" s="308">
        <f>DATA!Q78</f>
        <v>1</v>
      </c>
      <c r="P82" s="308">
        <f>DATA!R78</f>
        <v>1</v>
      </c>
      <c r="Q82" s="346">
        <f>DATA!S78</f>
        <v>51</v>
      </c>
      <c r="R82" s="347">
        <f>DATA!T78</f>
        <v>272100000</v>
      </c>
      <c r="S82" s="369" t="str">
        <f>DATA!Y78</f>
        <v>Bank Dunia</v>
      </c>
      <c r="T82" s="370">
        <f>DATA!AA78</f>
        <v>272100000</v>
      </c>
      <c r="U82" s="370">
        <v>0</v>
      </c>
      <c r="V82" s="371" t="str">
        <f>DATA!Y78</f>
        <v>Bank Dunia</v>
      </c>
      <c r="W82" s="372">
        <f>DATA!AT78</f>
        <v>272100000</v>
      </c>
      <c r="X82" s="373"/>
      <c r="Y82" s="411" t="str">
        <f>DATA!AU78</f>
        <v>Bank Dunia</v>
      </c>
      <c r="Z82" s="412" t="str">
        <f>DATA!AW78</f>
        <v>-</v>
      </c>
      <c r="AA82" s="414" t="str">
        <f>DATA!AN78</f>
        <v>belum ada keterangan</v>
      </c>
      <c r="AB82" s="415" t="str">
        <f>DATA!AO78</f>
        <v>belum ada keterangan</v>
      </c>
      <c r="AC82" s="416" t="e">
        <f>DATA!#REF!</f>
        <v>#REF!</v>
      </c>
      <c r="AD82" s="372"/>
      <c r="AE82" s="413"/>
      <c r="AF82" s="411"/>
    </row>
    <row r="83" spans="1:32" ht="27" customHeight="1">
      <c r="A83" s="297">
        <f>DATA!A79</f>
        <v>61</v>
      </c>
      <c r="B83" s="297">
        <f>DATA!B79</f>
        <v>0</v>
      </c>
      <c r="C83" s="297" t="str">
        <f>DATA!D79</f>
        <v>INFRASTRUKTUR</v>
      </c>
      <c r="D83" s="297">
        <f>DATA!E79</f>
        <v>1</v>
      </c>
      <c r="E83" s="297" t="str">
        <f>DATA!F79</f>
        <v>Kementerian Pekerjaan Umum dan Perumahan Rakyat</v>
      </c>
      <c r="F83" s="297" t="str">
        <f>DATA!H79</f>
        <v xml:space="preserve">Development and Management of Irrigation Program </v>
      </c>
      <c r="G83" s="297" t="str">
        <f>DATA!I79</f>
        <v>I</v>
      </c>
      <c r="H83" s="297" t="str">
        <f>DATA!J79</f>
        <v>Program Pengembangan dan Pengelolaan Irigasi</v>
      </c>
      <c r="I83" s="297">
        <f>DATA!K79</f>
        <v>9</v>
      </c>
      <c r="J83" s="321"/>
      <c r="K83" s="322"/>
      <c r="L83" s="322"/>
      <c r="M83" s="326">
        <v>55</v>
      </c>
      <c r="N83" s="332" t="str">
        <f>DATA!L79</f>
        <v>Revitalization Groundwater Irrigation in Indonesia</v>
      </c>
      <c r="O83" s="308">
        <f>DATA!Q79</f>
        <v>1</v>
      </c>
      <c r="P83" s="308">
        <f>DATA!R79</f>
        <v>1</v>
      </c>
      <c r="Q83" s="346">
        <f>DATA!S79</f>
        <v>52</v>
      </c>
      <c r="R83" s="347">
        <f>DATA!T79</f>
        <v>100000000</v>
      </c>
      <c r="S83" s="369" t="str">
        <f>DATA!Y79</f>
        <v>JICA</v>
      </c>
      <c r="T83" s="370">
        <f>DATA!AA79</f>
        <v>100000000</v>
      </c>
      <c r="U83" s="370">
        <v>0</v>
      </c>
      <c r="V83" s="371" t="str">
        <f>DATA!Y79</f>
        <v>JICA</v>
      </c>
      <c r="W83" s="372">
        <f>DATA!AT79</f>
        <v>100000000</v>
      </c>
      <c r="X83" s="373"/>
      <c r="Y83" s="411" t="str">
        <f>DATA!AU79</f>
        <v>JICA</v>
      </c>
      <c r="Z83" s="412" t="str">
        <f>DATA!AW79</f>
        <v>-</v>
      </c>
      <c r="AA83" s="414" t="str">
        <f>DATA!AN79</f>
        <v>belum ada keterangan</v>
      </c>
      <c r="AB83" s="415" t="str">
        <f>DATA!AO79</f>
        <v>belum ada keterangan</v>
      </c>
      <c r="AC83" s="416" t="e">
        <f>DATA!#REF!</f>
        <v>#REF!</v>
      </c>
      <c r="AD83" s="372"/>
      <c r="AE83" s="413"/>
      <c r="AF83" s="411"/>
    </row>
    <row r="84" spans="1:32" ht="38.25" customHeight="1">
      <c r="A84" s="297">
        <f>DATA!A80</f>
        <v>62</v>
      </c>
      <c r="B84" s="297">
        <f>DATA!B80</f>
        <v>0</v>
      </c>
      <c r="C84" s="297" t="str">
        <f>DATA!D80</f>
        <v>INFRASTRUKTUR</v>
      </c>
      <c r="D84" s="297">
        <f>DATA!E80</f>
        <v>1</v>
      </c>
      <c r="E84" s="297" t="str">
        <f>DATA!F80</f>
        <v>Kementerian Pekerjaan Umum dan Perumahan Rakyat</v>
      </c>
      <c r="F84" s="297" t="str">
        <f>DATA!H80</f>
        <v xml:space="preserve">Development and Management of Irrigation Program </v>
      </c>
      <c r="G84" s="297" t="str">
        <f>DATA!I80</f>
        <v>I</v>
      </c>
      <c r="H84" s="297" t="str">
        <f>DATA!J80</f>
        <v>Program Pengembangan dan Pengelolaan Irigasi</v>
      </c>
      <c r="I84" s="297">
        <f>DATA!K80</f>
        <v>10</v>
      </c>
      <c r="J84" s="321"/>
      <c r="K84" s="322"/>
      <c r="L84" s="333"/>
      <c r="M84" s="326">
        <v>56</v>
      </c>
      <c r="N84" s="332" t="str">
        <f>DATA!L80</f>
        <v>Engineering Service for Irrigation and Low Land Development Project</v>
      </c>
      <c r="O84" s="308">
        <f>DATA!Q80</f>
        <v>1</v>
      </c>
      <c r="P84" s="308">
        <f>DATA!R80</f>
        <v>1</v>
      </c>
      <c r="Q84" s="346">
        <f>DATA!S80</f>
        <v>53</v>
      </c>
      <c r="R84" s="347">
        <f>DATA!T80</f>
        <v>100000000</v>
      </c>
      <c r="S84" s="369" t="str">
        <f>DATA!Y80</f>
        <v>ADB</v>
      </c>
      <c r="T84" s="370">
        <f>DATA!AA80</f>
        <v>100000000</v>
      </c>
      <c r="U84" s="370">
        <v>0</v>
      </c>
      <c r="V84" s="371" t="str">
        <f>DATA!Y80</f>
        <v>ADB</v>
      </c>
      <c r="W84" s="372">
        <f>DATA!AT80</f>
        <v>100000000</v>
      </c>
      <c r="X84" s="373"/>
      <c r="Y84" s="411" t="str">
        <f>DATA!AU80</f>
        <v>ADB</v>
      </c>
      <c r="Z84" s="412" t="str">
        <f>DATA!AW80</f>
        <v>-</v>
      </c>
      <c r="AA84" s="414" t="str">
        <f>DATA!AN80</f>
        <v>siap</v>
      </c>
      <c r="AB84" s="415" t="str">
        <f>DATA!AO80</f>
        <v>tidak butuh lahan</v>
      </c>
      <c r="AC84" s="416" t="e">
        <f>DATA!#REF!</f>
        <v>#REF!</v>
      </c>
      <c r="AD84" s="417">
        <f>DATA!AC80</f>
        <v>38093000</v>
      </c>
      <c r="AE84" s="308"/>
      <c r="AF84" s="395" t="s">
        <v>1443</v>
      </c>
    </row>
    <row r="85" spans="1:32" s="294" customFormat="1" ht="33.75" customHeight="1">
      <c r="J85" s="316"/>
      <c r="K85" s="328"/>
      <c r="L85" s="318" t="str">
        <f>DATA!I81</f>
        <v>J</v>
      </c>
      <c r="M85" s="319" t="str">
        <f>DATA!J81</f>
        <v xml:space="preserve">Program Penyediaan dan Pengelolaan Air Baku </v>
      </c>
      <c r="N85" s="329"/>
      <c r="O85" s="319"/>
      <c r="P85" s="319"/>
      <c r="Q85" s="363"/>
      <c r="R85" s="364">
        <f>SUM(R86:R88)</f>
        <v>623862000</v>
      </c>
      <c r="S85" s="365"/>
      <c r="T85" s="366">
        <f>SUM(T86:T88)</f>
        <v>623862000</v>
      </c>
      <c r="U85" s="366">
        <f>SUM(U86:U88)</f>
        <v>0</v>
      </c>
      <c r="V85" s="367">
        <f>SUM(V86:V88)</f>
        <v>0</v>
      </c>
      <c r="W85" s="365">
        <f>SUM(W86:W88)</f>
        <v>623862000</v>
      </c>
      <c r="X85" s="368"/>
      <c r="Y85" s="406"/>
      <c r="Z85" s="407"/>
      <c r="AA85" s="419"/>
      <c r="AB85" s="420"/>
      <c r="AC85" s="421"/>
      <c r="AD85" s="365"/>
      <c r="AE85" s="366"/>
      <c r="AF85" s="406"/>
    </row>
    <row r="86" spans="1:32" ht="38.25" customHeight="1">
      <c r="A86" s="297">
        <f>DATA!A81</f>
        <v>63</v>
      </c>
      <c r="B86" s="297">
        <f>DATA!B81</f>
        <v>0</v>
      </c>
      <c r="C86" s="297" t="str">
        <f>DATA!D81</f>
        <v>INFRASTRUKTUR</v>
      </c>
      <c r="D86" s="297">
        <f>DATA!E81</f>
        <v>1</v>
      </c>
      <c r="E86" s="297" t="str">
        <f>DATA!F81</f>
        <v>Kementerian Pekerjaan Umum dan Perumahan Rakyat</v>
      </c>
      <c r="F86" s="297" t="str">
        <f>DATA!H81</f>
        <v>Provision and Management of Bulk Water Supply Program</v>
      </c>
      <c r="G86" s="297" t="str">
        <f>DATA!I81</f>
        <v>J</v>
      </c>
      <c r="H86" s="297" t="str">
        <f>DATA!J81</f>
        <v xml:space="preserve">Program Penyediaan dan Pengelolaan Air Baku </v>
      </c>
      <c r="I86" s="297">
        <f>DATA!K81</f>
        <v>1</v>
      </c>
      <c r="J86" s="321"/>
      <c r="K86" s="322"/>
      <c r="L86" s="330"/>
      <c r="M86" s="326">
        <v>57</v>
      </c>
      <c r="N86" s="332" t="str">
        <f>DATA!L81</f>
        <v>Integrated Citarum Water Resources Management Investment Program II</v>
      </c>
      <c r="O86" s="308">
        <f>DATA!Q81</f>
        <v>1</v>
      </c>
      <c r="P86" s="308">
        <f>DATA!R81</f>
        <v>1</v>
      </c>
      <c r="Q86" s="346">
        <f>DATA!S81</f>
        <v>54</v>
      </c>
      <c r="R86" s="347">
        <f>DATA!T81</f>
        <v>200000000</v>
      </c>
      <c r="S86" s="369" t="str">
        <f>DATA!Y81</f>
        <v>ADB</v>
      </c>
      <c r="T86" s="370">
        <f>DATA!AA81</f>
        <v>200000000</v>
      </c>
      <c r="U86" s="370">
        <v>0</v>
      </c>
      <c r="V86" s="371" t="str">
        <f>DATA!Y81</f>
        <v>ADB</v>
      </c>
      <c r="W86" s="372">
        <f>DATA!AT81</f>
        <v>200000000</v>
      </c>
      <c r="X86" s="373"/>
      <c r="Y86" s="411" t="str">
        <f>DATA!AU81</f>
        <v>ADB</v>
      </c>
      <c r="Z86" s="412" t="str">
        <f>DATA!AW81</f>
        <v>-</v>
      </c>
      <c r="AA86" s="414" t="str">
        <f>DATA!AN81</f>
        <v>dalam proses
(memiliki FS dan DED)</v>
      </c>
      <c r="AB86" s="415" t="str">
        <f>DATA!AO81</f>
        <v>dalam proses
(perencanaan)</v>
      </c>
      <c r="AC86" s="416" t="e">
        <f>DATA!#REF!</f>
        <v>#REF!</v>
      </c>
      <c r="AD86" s="372"/>
      <c r="AE86" s="413"/>
      <c r="AF86" s="411"/>
    </row>
    <row r="87" spans="1:32" ht="36.75" customHeight="1">
      <c r="A87" s="297">
        <f>DATA!A82</f>
        <v>64</v>
      </c>
      <c r="B87" s="297">
        <f>DATA!B82</f>
        <v>0</v>
      </c>
      <c r="C87" s="297" t="str">
        <f>DATA!D82</f>
        <v>INFRASTRUKTUR</v>
      </c>
      <c r="D87" s="297">
        <f>DATA!E82</f>
        <v>1</v>
      </c>
      <c r="E87" s="297" t="str">
        <f>DATA!F82</f>
        <v>Kementerian Pekerjaan Umum dan Perumahan Rakyat</v>
      </c>
      <c r="F87" s="297" t="str">
        <f>DATA!H82</f>
        <v>Provision and Management of Bulk Water Supply Program</v>
      </c>
      <c r="G87" s="297" t="str">
        <f>DATA!I82</f>
        <v>I</v>
      </c>
      <c r="H87" s="297" t="str">
        <f>DATA!J82</f>
        <v xml:space="preserve">Program Penyediaan dan Pengelolaan Air Baku </v>
      </c>
      <c r="I87" s="297">
        <f>DATA!K82</f>
        <v>2</v>
      </c>
      <c r="J87" s="321"/>
      <c r="K87" s="322"/>
      <c r="L87" s="322"/>
      <c r="M87" s="326">
        <v>58</v>
      </c>
      <c r="N87" s="332" t="str">
        <f>DATA!L82</f>
        <v>Karian Dam-Serpong Water Conveyance and Supply System Project</v>
      </c>
      <c r="O87" s="308">
        <f>DATA!Q82</f>
        <v>1</v>
      </c>
      <c r="P87" s="308">
        <f>DATA!R82</f>
        <v>1</v>
      </c>
      <c r="Q87" s="346">
        <f>DATA!S82</f>
        <v>55</v>
      </c>
      <c r="R87" s="347">
        <f>DATA!T82</f>
        <v>373862000</v>
      </c>
      <c r="S87" s="369" t="str">
        <f>DATA!Y82</f>
        <v>Korea</v>
      </c>
      <c r="T87" s="370">
        <f>DATA!AA82</f>
        <v>373862000</v>
      </c>
      <c r="U87" s="370">
        <v>0</v>
      </c>
      <c r="V87" s="371" t="str">
        <f>DATA!Y82</f>
        <v>Korea</v>
      </c>
      <c r="W87" s="372">
        <f>DATA!AT82</f>
        <v>373862000</v>
      </c>
      <c r="X87" s="373"/>
      <c r="Y87" s="411" t="str">
        <f>DATA!AU82</f>
        <v>Korea</v>
      </c>
      <c r="Z87" s="412" t="str">
        <f>DATA!AW82</f>
        <v>masuk rolling plan EDCF (Korea)</v>
      </c>
      <c r="AA87" s="414" t="str">
        <f>DATA!AN82</f>
        <v>dalam proses
(memiliki FS)</v>
      </c>
      <c r="AB87" s="415" t="str">
        <f>DATA!AO82</f>
        <v>dalam proses
(perencanaan)</v>
      </c>
      <c r="AC87" s="416" t="e">
        <f>DATA!#REF!</f>
        <v>#REF!</v>
      </c>
      <c r="AD87" s="372"/>
      <c r="AE87" s="413"/>
      <c r="AF87" s="411"/>
    </row>
    <row r="88" spans="1:32" ht="36" customHeight="1">
      <c r="A88" s="297">
        <f>DATA!A83</f>
        <v>65</v>
      </c>
      <c r="B88" s="297">
        <f>DATA!B83</f>
        <v>0</v>
      </c>
      <c r="C88" s="297" t="str">
        <f>DATA!D83</f>
        <v>INFRASTRUKTUR</v>
      </c>
      <c r="D88" s="297">
        <f>DATA!E83</f>
        <v>1</v>
      </c>
      <c r="E88" s="297" t="str">
        <f>DATA!F83</f>
        <v>Kementerian Pekerjaan Umum dan Perumahan Rakyat</v>
      </c>
      <c r="F88" s="297" t="str">
        <f>DATA!H83</f>
        <v>Provision and Management of Bulk Water Supply Program</v>
      </c>
      <c r="G88" s="297" t="str">
        <f>DATA!I83</f>
        <v>I</v>
      </c>
      <c r="H88" s="297" t="str">
        <f>DATA!J83</f>
        <v xml:space="preserve">Program Penyediaan dan Pengelolaan Air Baku </v>
      </c>
      <c r="I88" s="297">
        <f>DATA!K83</f>
        <v>3</v>
      </c>
      <c r="J88" s="321"/>
      <c r="K88" s="322"/>
      <c r="L88" s="333"/>
      <c r="M88" s="326">
        <v>59</v>
      </c>
      <c r="N88" s="332" t="str">
        <f>DATA!L83</f>
        <v>Engineering Service for Bulk Water and Water Supply Development Project</v>
      </c>
      <c r="O88" s="308">
        <f>DATA!Q83</f>
        <v>1</v>
      </c>
      <c r="P88" s="308">
        <f>DATA!R83</f>
        <v>1</v>
      </c>
      <c r="Q88" s="346">
        <f>DATA!S83</f>
        <v>56</v>
      </c>
      <c r="R88" s="347">
        <f>DATA!T83</f>
        <v>50000000</v>
      </c>
      <c r="S88" s="369" t="str">
        <f>DATA!Y83</f>
        <v>ADB</v>
      </c>
      <c r="T88" s="370">
        <f>DATA!AA83</f>
        <v>50000000</v>
      </c>
      <c r="U88" s="370">
        <v>0</v>
      </c>
      <c r="V88" s="371" t="str">
        <f>DATA!Y83</f>
        <v>ADB</v>
      </c>
      <c r="W88" s="372">
        <f>DATA!AT83</f>
        <v>50000000</v>
      </c>
      <c r="X88" s="373"/>
      <c r="Y88" s="411" t="str">
        <f>DATA!AU83</f>
        <v>ADB</v>
      </c>
      <c r="Z88" s="412" t="str">
        <f>DATA!AW83</f>
        <v>-</v>
      </c>
      <c r="AA88" s="414" t="str">
        <f>DATA!AN83</f>
        <v>siap</v>
      </c>
      <c r="AB88" s="415" t="str">
        <f>DATA!AO83</f>
        <v>tidak butuh lahan</v>
      </c>
      <c r="AC88" s="416" t="e">
        <f>DATA!#REF!</f>
        <v>#REF!</v>
      </c>
      <c r="AD88" s="417">
        <f>DATA!AC83</f>
        <v>2000000</v>
      </c>
      <c r="AE88" s="308"/>
      <c r="AF88" s="395" t="s">
        <v>1443</v>
      </c>
    </row>
    <row r="89" spans="1:32" s="294" customFormat="1" ht="33.75" customHeight="1">
      <c r="J89" s="316"/>
      <c r="K89" s="328"/>
      <c r="L89" s="318" t="str">
        <f>DATA!I84</f>
        <v>J</v>
      </c>
      <c r="M89" s="319" t="str">
        <f>DATA!J84</f>
        <v xml:space="preserve">Program Pembangunan Waduk </v>
      </c>
      <c r="N89" s="329"/>
      <c r="O89" s="319"/>
      <c r="P89" s="319"/>
      <c r="Q89" s="363"/>
      <c r="R89" s="364">
        <f t="shared" ref="R89:X89" si="5">SUM(R90:R102)</f>
        <v>2133750000</v>
      </c>
      <c r="S89" s="365"/>
      <c r="T89" s="366">
        <f t="shared" si="5"/>
        <v>2057358596</v>
      </c>
      <c r="U89" s="366">
        <f t="shared" si="5"/>
        <v>76391404</v>
      </c>
      <c r="V89" s="367">
        <f t="shared" si="5"/>
        <v>0</v>
      </c>
      <c r="W89" s="365">
        <f t="shared" si="5"/>
        <v>2057358596</v>
      </c>
      <c r="X89" s="368">
        <f t="shared" si="5"/>
        <v>76391404</v>
      </c>
      <c r="Y89" s="406"/>
      <c r="Z89" s="407"/>
      <c r="AA89" s="419"/>
      <c r="AB89" s="420"/>
      <c r="AC89" s="421"/>
      <c r="AD89" s="365"/>
      <c r="AE89" s="366"/>
      <c r="AF89" s="406"/>
    </row>
    <row r="90" spans="1:32" ht="30" customHeight="1">
      <c r="A90" s="297">
        <f>DATA!A84</f>
        <v>66</v>
      </c>
      <c r="B90" s="297">
        <f>DATA!B84</f>
        <v>0</v>
      </c>
      <c r="C90" s="297" t="str">
        <f>DATA!D84</f>
        <v>INFRASTRUKTUR</v>
      </c>
      <c r="D90" s="297">
        <f>DATA!E84</f>
        <v>1</v>
      </c>
      <c r="E90" s="297" t="str">
        <f>DATA!F84</f>
        <v>Kementerian Pekerjaan Umum dan Perumahan Rakyat</v>
      </c>
      <c r="F90" s="297" t="str">
        <f>DATA!H84</f>
        <v>Dam Development Program</v>
      </c>
      <c r="G90" s="297" t="str">
        <f>DATA!I84</f>
        <v>J</v>
      </c>
      <c r="H90" s="297" t="str">
        <f>DATA!J84</f>
        <v xml:space="preserve">Program Pembangunan Waduk </v>
      </c>
      <c r="I90" s="297">
        <f>DATA!K84</f>
        <v>1</v>
      </c>
      <c r="J90" s="321"/>
      <c r="K90" s="322"/>
      <c r="L90" s="330"/>
      <c r="M90" s="326">
        <v>60</v>
      </c>
      <c r="N90" s="332" t="str">
        <f>DATA!L84</f>
        <v>Jambo Aye Multipurpose Dam Project</v>
      </c>
      <c r="O90" s="308">
        <f>DATA!Q84</f>
        <v>1</v>
      </c>
      <c r="P90" s="308">
        <f>DATA!R84</f>
        <v>1</v>
      </c>
      <c r="Q90" s="346">
        <f>DATA!S84</f>
        <v>57</v>
      </c>
      <c r="R90" s="347">
        <f>DATA!T84</f>
        <v>662200000</v>
      </c>
      <c r="S90" s="369" t="str">
        <f>DATA!Y84</f>
        <v>Rupiah Murni</v>
      </c>
      <c r="T90" s="370">
        <f>DATA!AA84</f>
        <v>662200000</v>
      </c>
      <c r="U90" s="370">
        <v>0</v>
      </c>
      <c r="V90" s="371" t="str">
        <f>DATA!Y84</f>
        <v>Rupiah Murni</v>
      </c>
      <c r="W90" s="372">
        <f>DATA!AT84</f>
        <v>662200000</v>
      </c>
      <c r="X90" s="373"/>
      <c r="Y90" s="411" t="str">
        <f>DATA!AU84</f>
        <v>Belum Ada Indikasi</v>
      </c>
      <c r="Z90" s="412" t="str">
        <f>DATA!AW84</f>
        <v>-</v>
      </c>
      <c r="AA90" s="414" t="str">
        <f>DATA!AN84</f>
        <v>belum ada keterangan</v>
      </c>
      <c r="AB90" s="415" t="str">
        <f>DATA!AO84</f>
        <v>dalam proses
(perencanaan)</v>
      </c>
      <c r="AC90" s="416" t="e">
        <f>DATA!#REF!</f>
        <v>#REF!</v>
      </c>
      <c r="AD90" s="372"/>
      <c r="AE90" s="413"/>
      <c r="AF90" s="411"/>
    </row>
    <row r="91" spans="1:32" ht="30" customHeight="1">
      <c r="A91" s="297">
        <f>DATA!A85</f>
        <v>67</v>
      </c>
      <c r="B91" s="297">
        <f>DATA!B85</f>
        <v>0</v>
      </c>
      <c r="C91" s="297" t="str">
        <f>DATA!D85</f>
        <v>INFRASTRUKTUR</v>
      </c>
      <c r="D91" s="297">
        <f>DATA!E85</f>
        <v>1</v>
      </c>
      <c r="E91" s="297" t="str">
        <f>DATA!F85</f>
        <v>Kementerian Pekerjaan Umum dan Perumahan Rakyat</v>
      </c>
      <c r="F91" s="297" t="str">
        <f>DATA!H85</f>
        <v>Dam Development Program</v>
      </c>
      <c r="G91" s="297" t="str">
        <f>DATA!I85</f>
        <v>J</v>
      </c>
      <c r="H91" s="297" t="str">
        <f>DATA!J85</f>
        <v xml:space="preserve">Program Pembangunan Waduk </v>
      </c>
      <c r="I91" s="297">
        <f>DATA!K85</f>
        <v>2</v>
      </c>
      <c r="J91" s="321"/>
      <c r="K91" s="322"/>
      <c r="L91" s="322"/>
      <c r="M91" s="326">
        <v>61</v>
      </c>
      <c r="N91" s="332" t="str">
        <f>DATA!L85</f>
        <v>Komering Multipurpose Dam Project - Phase II</v>
      </c>
      <c r="O91" s="308">
        <f>DATA!Q85</f>
        <v>1</v>
      </c>
      <c r="P91" s="308">
        <f>DATA!R85</f>
        <v>1</v>
      </c>
      <c r="Q91" s="346">
        <f>DATA!S85</f>
        <v>58</v>
      </c>
      <c r="R91" s="347">
        <f>DATA!T85</f>
        <v>200000000</v>
      </c>
      <c r="S91" s="369" t="str">
        <f>DATA!Y85</f>
        <v>Rupiah Murni</v>
      </c>
      <c r="T91" s="370">
        <f>DATA!AA85</f>
        <v>200000000</v>
      </c>
      <c r="U91" s="370">
        <v>0</v>
      </c>
      <c r="V91" s="371" t="str">
        <f>DATA!Y85</f>
        <v>Rupiah Murni</v>
      </c>
      <c r="W91" s="372">
        <f>DATA!AT85</f>
        <v>200000000</v>
      </c>
      <c r="X91" s="373"/>
      <c r="Y91" s="411" t="str">
        <f>DATA!AU85</f>
        <v>Belum Ada Indikasi</v>
      </c>
      <c r="Z91" s="412" t="str">
        <f>DATA!AW85</f>
        <v>-</v>
      </c>
      <c r="AA91" s="414" t="str">
        <f>DATA!AN85</f>
        <v>dalam proses
(penyusunan FS)</v>
      </c>
      <c r="AB91" s="415" t="str">
        <f>DATA!AO85</f>
        <v>dalam proses
(perencanaan)</v>
      </c>
      <c r="AC91" s="416" t="e">
        <f>DATA!#REF!</f>
        <v>#REF!</v>
      </c>
      <c r="AD91" s="372"/>
      <c r="AE91" s="413"/>
      <c r="AF91" s="411"/>
    </row>
    <row r="92" spans="1:32" ht="26.25" customHeight="1">
      <c r="A92" s="297">
        <f>DATA!A86</f>
        <v>68</v>
      </c>
      <c r="B92" s="297">
        <f>DATA!B86</f>
        <v>0</v>
      </c>
      <c r="C92" s="297" t="str">
        <f>DATA!D86</f>
        <v>INFRASTRUKTUR</v>
      </c>
      <c r="D92" s="297">
        <f>DATA!E86</f>
        <v>1</v>
      </c>
      <c r="E92" s="297" t="str">
        <f>DATA!F86</f>
        <v>Kementerian Pekerjaan Umum dan Perumahan Rakyat</v>
      </c>
      <c r="F92" s="297" t="str">
        <f>DATA!H86</f>
        <v>Dam Development Program</v>
      </c>
      <c r="G92" s="297" t="str">
        <f>DATA!I86</f>
        <v>J</v>
      </c>
      <c r="H92" s="297" t="str">
        <f>DATA!J86</f>
        <v xml:space="preserve">Program Pembangunan Waduk </v>
      </c>
      <c r="I92" s="297">
        <f>DATA!K86</f>
        <v>3</v>
      </c>
      <c r="J92" s="321"/>
      <c r="K92" s="322"/>
      <c r="L92" s="322"/>
      <c r="M92" s="326">
        <v>62</v>
      </c>
      <c r="N92" s="332" t="str">
        <f>DATA!L86</f>
        <v>Pelosika Multipurpose Dam Construction Project</v>
      </c>
      <c r="O92" s="308">
        <f>DATA!Q86</f>
        <v>1</v>
      </c>
      <c r="P92" s="308">
        <f>DATA!R86</f>
        <v>1</v>
      </c>
      <c r="Q92" s="346">
        <f>DATA!S86</f>
        <v>59</v>
      </c>
      <c r="R92" s="347">
        <f>DATA!T86</f>
        <v>200000000</v>
      </c>
      <c r="S92" s="369" t="str">
        <f>DATA!Y86</f>
        <v>Rupiah Murni</v>
      </c>
      <c r="T92" s="370">
        <f>DATA!AA86</f>
        <v>200000000</v>
      </c>
      <c r="U92" s="370">
        <v>0</v>
      </c>
      <c r="V92" s="371" t="str">
        <f>DATA!Y86</f>
        <v>Rupiah Murni</v>
      </c>
      <c r="W92" s="372">
        <f>DATA!AT86</f>
        <v>200000000</v>
      </c>
      <c r="X92" s="373"/>
      <c r="Y92" s="411" t="str">
        <f>DATA!AU86</f>
        <v>RRT</v>
      </c>
      <c r="Z92" s="412" t="str">
        <f>DATA!AW86</f>
        <v>-</v>
      </c>
      <c r="AA92" s="414" t="str">
        <f>DATA!AN86</f>
        <v>dalam proses
(penyusunan FS)</v>
      </c>
      <c r="AB92" s="415" t="str">
        <f>DATA!AO86</f>
        <v>dalam proses
(perencanaan)</v>
      </c>
      <c r="AC92" s="416" t="e">
        <f>DATA!#REF!</f>
        <v>#REF!</v>
      </c>
      <c r="AD92" s="372"/>
      <c r="AE92" s="413"/>
      <c r="AF92" s="411"/>
    </row>
    <row r="93" spans="1:32" ht="26.25" customHeight="1">
      <c r="A93" s="297">
        <f>DATA!A87</f>
        <v>69</v>
      </c>
      <c r="B93" s="297">
        <f>DATA!B87</f>
        <v>0</v>
      </c>
      <c r="C93" s="297" t="str">
        <f>DATA!D87</f>
        <v>INFRASTRUKTUR</v>
      </c>
      <c r="D93" s="297">
        <f>DATA!E87</f>
        <v>1</v>
      </c>
      <c r="E93" s="297" t="str">
        <f>DATA!F87</f>
        <v>Kementerian Pekerjaan Umum dan Perumahan Rakyat</v>
      </c>
      <c r="F93" s="297" t="str">
        <f>DATA!H87</f>
        <v>Dam Development Program</v>
      </c>
      <c r="G93" s="297" t="str">
        <f>DATA!I87</f>
        <v>J</v>
      </c>
      <c r="H93" s="297" t="str">
        <f>DATA!J87</f>
        <v xml:space="preserve">Program Pembangunan Waduk </v>
      </c>
      <c r="I93" s="297">
        <f>DATA!K87</f>
        <v>4</v>
      </c>
      <c r="J93" s="321"/>
      <c r="K93" s="322"/>
      <c r="L93" s="322"/>
      <c r="M93" s="326">
        <v>63</v>
      </c>
      <c r="N93" s="332" t="str">
        <f>DATA!L87</f>
        <v>Lambakan  Dam Project</v>
      </c>
      <c r="O93" s="308">
        <f>DATA!Q87</f>
        <v>1</v>
      </c>
      <c r="P93" s="308">
        <f>DATA!R87</f>
        <v>1</v>
      </c>
      <c r="Q93" s="346">
        <f>DATA!S87</f>
        <v>60</v>
      </c>
      <c r="R93" s="347">
        <f>DATA!T87</f>
        <v>258000000</v>
      </c>
      <c r="S93" s="369" t="str">
        <f>DATA!Y87</f>
        <v>IDB</v>
      </c>
      <c r="T93" s="370">
        <f>DATA!AA87</f>
        <v>258000000</v>
      </c>
      <c r="U93" s="370">
        <v>0</v>
      </c>
      <c r="V93" s="371" t="str">
        <f>DATA!Y87</f>
        <v>IDB</v>
      </c>
      <c r="W93" s="372">
        <f>DATA!AT87</f>
        <v>258000000</v>
      </c>
      <c r="X93" s="373"/>
      <c r="Y93" s="411" t="str">
        <f>DATA!AU87</f>
        <v>IDB</v>
      </c>
      <c r="Z93" s="412" t="str">
        <f>DATA!AW87</f>
        <v>-</v>
      </c>
      <c r="AA93" s="414" t="str">
        <f>DATA!AN87</f>
        <v>dalam proses
(penyusunan FS)</v>
      </c>
      <c r="AB93" s="415" t="str">
        <f>DATA!AO87</f>
        <v>dalam proses
(perencanaan)</v>
      </c>
      <c r="AC93" s="416" t="e">
        <f>DATA!#REF!</f>
        <v>#REF!</v>
      </c>
      <c r="AD93" s="372"/>
      <c r="AE93" s="413"/>
      <c r="AF93" s="411"/>
    </row>
    <row r="94" spans="1:32" ht="31.5" customHeight="1">
      <c r="A94" s="297">
        <f>DATA!A88</f>
        <v>70</v>
      </c>
      <c r="B94" s="297">
        <f>DATA!B88</f>
        <v>0</v>
      </c>
      <c r="C94" s="297" t="str">
        <f>DATA!D88</f>
        <v>INFRASTRUKTUR</v>
      </c>
      <c r="D94" s="297">
        <f>DATA!E88</f>
        <v>1</v>
      </c>
      <c r="E94" s="297" t="str">
        <f>DATA!F88</f>
        <v>Kementerian Pekerjaan Umum dan Perumahan Rakyat</v>
      </c>
      <c r="F94" s="297" t="str">
        <f>DATA!H88</f>
        <v>Dam Development Program</v>
      </c>
      <c r="G94" s="297" t="str">
        <f>DATA!I88</f>
        <v>J</v>
      </c>
      <c r="H94" s="297" t="str">
        <f>DATA!J88</f>
        <v xml:space="preserve">Program Pembangunan Waduk </v>
      </c>
      <c r="I94" s="297">
        <f>DATA!K88</f>
        <v>5</v>
      </c>
      <c r="J94" s="321"/>
      <c r="K94" s="322"/>
      <c r="L94" s="322"/>
      <c r="M94" s="326">
        <v>64</v>
      </c>
      <c r="N94" s="332" t="str">
        <f>DATA!L88</f>
        <v>Jenelata Dam Construction Project</v>
      </c>
      <c r="O94" s="308">
        <f>DATA!Q88</f>
        <v>1</v>
      </c>
      <c r="P94" s="308">
        <f>DATA!R88</f>
        <v>1</v>
      </c>
      <c r="Q94" s="346">
        <f>DATA!S88</f>
        <v>61</v>
      </c>
      <c r="R94" s="347">
        <f>DATA!T88</f>
        <v>200000000</v>
      </c>
      <c r="S94" s="369" t="str">
        <f>DATA!Y88</f>
        <v>RRT</v>
      </c>
      <c r="T94" s="370">
        <f>DATA!AA88</f>
        <v>200000000</v>
      </c>
      <c r="U94" s="370">
        <v>0</v>
      </c>
      <c r="V94" s="371" t="str">
        <f>DATA!Y88</f>
        <v>RRT</v>
      </c>
      <c r="W94" s="372">
        <f>DATA!AT88</f>
        <v>200000000</v>
      </c>
      <c r="X94" s="373"/>
      <c r="Y94" s="411" t="str">
        <f>DATA!AU88</f>
        <v>RRT</v>
      </c>
      <c r="Z94" s="412" t="str">
        <f>DATA!AW88</f>
        <v>-</v>
      </c>
      <c r="AA94" s="414" t="str">
        <f>DATA!AN88</f>
        <v>siap</v>
      </c>
      <c r="AB94" s="415" t="str">
        <f>DATA!AO88</f>
        <v>dalam proses
(perencanaan)</v>
      </c>
      <c r="AC94" s="416" t="e">
        <f>DATA!#REF!</f>
        <v>#REF!</v>
      </c>
      <c r="AD94" s="372"/>
      <c r="AE94" s="413"/>
      <c r="AF94" s="411"/>
    </row>
    <row r="95" spans="1:32" ht="27.75" customHeight="1">
      <c r="A95" s="297">
        <f>DATA!A89</f>
        <v>71</v>
      </c>
      <c r="B95" s="297">
        <f>DATA!B89</f>
        <v>0</v>
      </c>
      <c r="C95" s="297" t="str">
        <f>DATA!D89</f>
        <v>INFRASTRUKTUR</v>
      </c>
      <c r="D95" s="297">
        <f>DATA!E89</f>
        <v>1</v>
      </c>
      <c r="E95" s="297" t="str">
        <f>DATA!F89</f>
        <v>Kementerian Pekerjaan Umum dan Perumahan Rakyat</v>
      </c>
      <c r="F95" s="297" t="str">
        <f>DATA!H89</f>
        <v>Dam Development Program</v>
      </c>
      <c r="G95" s="297" t="str">
        <f>DATA!I89</f>
        <v>J</v>
      </c>
      <c r="H95" s="297" t="str">
        <f>DATA!J89</f>
        <v xml:space="preserve">Program Pembangunan Waduk </v>
      </c>
      <c r="I95" s="297">
        <f>DATA!K89</f>
        <v>6</v>
      </c>
      <c r="J95" s="321"/>
      <c r="K95" s="322"/>
      <c r="L95" s="322"/>
      <c r="M95" s="326">
        <v>65</v>
      </c>
      <c r="N95" s="332" t="str">
        <f>DATA!L89</f>
        <v>Bonehulu Dam Construction Project</v>
      </c>
      <c r="O95" s="308">
        <f>DATA!Q89</f>
        <v>1</v>
      </c>
      <c r="P95" s="308">
        <f>DATA!R89</f>
        <v>1</v>
      </c>
      <c r="Q95" s="346">
        <f>DATA!S89</f>
        <v>62</v>
      </c>
      <c r="R95" s="347">
        <f>DATA!T89</f>
        <v>128250000</v>
      </c>
      <c r="S95" s="369" t="str">
        <f>DATA!Y89</f>
        <v>RRT</v>
      </c>
      <c r="T95" s="370">
        <f>DATA!AA89</f>
        <v>128250000</v>
      </c>
      <c r="U95" s="370">
        <v>0</v>
      </c>
      <c r="V95" s="371" t="str">
        <f>DATA!Y89</f>
        <v>RRT</v>
      </c>
      <c r="W95" s="372">
        <f>DATA!AT89</f>
        <v>128250000</v>
      </c>
      <c r="X95" s="373"/>
      <c r="Y95" s="411" t="str">
        <f>DATA!AU89</f>
        <v>RRT</v>
      </c>
      <c r="Z95" s="412" t="str">
        <f>DATA!AW89</f>
        <v>-</v>
      </c>
      <c r="AA95" s="414" t="str">
        <f>DATA!AN89</f>
        <v>dalam proses
(penyusunan FS)</v>
      </c>
      <c r="AB95" s="415" t="str">
        <f>DATA!AO89</f>
        <v>dalam proses
(perencanaan)</v>
      </c>
      <c r="AC95" s="416" t="e">
        <f>DATA!#REF!</f>
        <v>#REF!</v>
      </c>
      <c r="AD95" s="372"/>
      <c r="AE95" s="413"/>
      <c r="AF95" s="411"/>
    </row>
    <row r="96" spans="1:32" ht="28.5" customHeight="1">
      <c r="A96" s="297">
        <f>DATA!A90</f>
        <v>72</v>
      </c>
      <c r="B96" s="297">
        <f>DATA!B90</f>
        <v>0</v>
      </c>
      <c r="C96" s="297" t="str">
        <f>DATA!D90</f>
        <v>INFRASTRUKTUR</v>
      </c>
      <c r="D96" s="297">
        <f>DATA!E90</f>
        <v>1</v>
      </c>
      <c r="E96" s="297" t="str">
        <f>DATA!F90</f>
        <v>Kementerian Pekerjaan Umum dan Perumahan Rakyat</v>
      </c>
      <c r="F96" s="297" t="str">
        <f>DATA!H90</f>
        <v>Dam Development Program</v>
      </c>
      <c r="G96" s="297" t="str">
        <f>DATA!I90</f>
        <v>J</v>
      </c>
      <c r="H96" s="297" t="str">
        <f>DATA!J90</f>
        <v xml:space="preserve">Program Pembangunan Waduk </v>
      </c>
      <c r="I96" s="297">
        <f>DATA!K90</f>
        <v>7</v>
      </c>
      <c r="J96" s="321"/>
      <c r="K96" s="322"/>
      <c r="L96" s="322"/>
      <c r="M96" s="326">
        <v>66</v>
      </c>
      <c r="N96" s="332" t="str">
        <f>DATA!L90</f>
        <v>Ladongi Dam Construction Project</v>
      </c>
      <c r="O96" s="308">
        <f>DATA!Q90</f>
        <v>1</v>
      </c>
      <c r="P96" s="308">
        <f>DATA!R90</f>
        <v>1</v>
      </c>
      <c r="Q96" s="346">
        <f>DATA!S90</f>
        <v>63</v>
      </c>
      <c r="R96" s="347">
        <f>DATA!T90</f>
        <v>70000000</v>
      </c>
      <c r="S96" s="369" t="str">
        <f>DATA!Y90</f>
        <v>RRT</v>
      </c>
      <c r="T96" s="370">
        <f>DATA!AA90</f>
        <v>70000000</v>
      </c>
      <c r="U96" s="370">
        <v>0</v>
      </c>
      <c r="V96" s="371" t="str">
        <f>DATA!Y90</f>
        <v>RRT</v>
      </c>
      <c r="W96" s="372">
        <f>DATA!AT90</f>
        <v>70000000</v>
      </c>
      <c r="X96" s="373"/>
      <c r="Y96" s="411" t="str">
        <f>DATA!AU90</f>
        <v>RRT</v>
      </c>
      <c r="Z96" s="412" t="str">
        <f>DATA!AW90</f>
        <v>-</v>
      </c>
      <c r="AA96" s="414" t="str">
        <f>DATA!AN90</f>
        <v>siap</v>
      </c>
      <c r="AB96" s="415" t="str">
        <f>DATA!AO90</f>
        <v>dalam proses
(perencanaan)</v>
      </c>
      <c r="AC96" s="416" t="e">
        <f>DATA!#REF!</f>
        <v>#REF!</v>
      </c>
      <c r="AD96" s="372"/>
      <c r="AE96" s="413"/>
      <c r="AF96" s="411"/>
    </row>
    <row r="97" spans="1:32" ht="27" customHeight="1">
      <c r="A97" s="297">
        <f>DATA!A91</f>
        <v>73</v>
      </c>
      <c r="B97" s="297">
        <f>DATA!B91</f>
        <v>0</v>
      </c>
      <c r="C97" s="297" t="str">
        <f>DATA!D91</f>
        <v>INFRASTRUKTUR</v>
      </c>
      <c r="D97" s="297">
        <f>DATA!E91</f>
        <v>1</v>
      </c>
      <c r="E97" s="297" t="str">
        <f>DATA!F91</f>
        <v>Kementerian Pekerjaan Umum dan Perumahan Rakyat</v>
      </c>
      <c r="F97" s="297" t="str">
        <f>DATA!H91</f>
        <v>Dam Development Program</v>
      </c>
      <c r="G97" s="297" t="str">
        <f>DATA!I91</f>
        <v>J</v>
      </c>
      <c r="H97" s="297" t="str">
        <f>DATA!J91</f>
        <v xml:space="preserve">Program Pembangunan Waduk </v>
      </c>
      <c r="I97" s="297">
        <f>DATA!K91</f>
        <v>8</v>
      </c>
      <c r="J97" s="321"/>
      <c r="K97" s="322"/>
      <c r="L97" s="322"/>
      <c r="M97" s="326">
        <v>67</v>
      </c>
      <c r="N97" s="332" t="str">
        <f>DATA!L91</f>
        <v>Kuwil Kawangkoan Dam Construction Project</v>
      </c>
      <c r="O97" s="308">
        <f>DATA!Q91</f>
        <v>1</v>
      </c>
      <c r="P97" s="308">
        <f>DATA!R91</f>
        <v>1</v>
      </c>
      <c r="Q97" s="346">
        <f>DATA!S91</f>
        <v>64</v>
      </c>
      <c r="R97" s="347">
        <f>DATA!T91</f>
        <v>110000000</v>
      </c>
      <c r="S97" s="369" t="str">
        <f>DATA!Y91</f>
        <v>Rupiah Murni</v>
      </c>
      <c r="T97" s="370">
        <f>DATA!AA91</f>
        <v>110000000</v>
      </c>
      <c r="U97" s="370">
        <v>0</v>
      </c>
      <c r="V97" s="371" t="str">
        <f>DATA!Y91</f>
        <v>Rupiah Murni</v>
      </c>
      <c r="W97" s="372">
        <f>DATA!AT91</f>
        <v>110000000</v>
      </c>
      <c r="X97" s="373"/>
      <c r="Y97" s="411" t="str">
        <f>DATA!AU91</f>
        <v>Belum Ada Indikasi</v>
      </c>
      <c r="Z97" s="412" t="str">
        <f>DATA!AW91</f>
        <v>-</v>
      </c>
      <c r="AA97" s="414" t="str">
        <f>DATA!AN91</f>
        <v>dalam proses
(penyusunan FS)</v>
      </c>
      <c r="AB97" s="415" t="str">
        <f>DATA!AO91</f>
        <v>dalam proses
(perencanaan)</v>
      </c>
      <c r="AC97" s="416" t="e">
        <f>DATA!#REF!</f>
        <v>#REF!</v>
      </c>
      <c r="AD97" s="372"/>
      <c r="AE97" s="413"/>
      <c r="AF97" s="411"/>
    </row>
    <row r="98" spans="1:32" ht="42.75" customHeight="1">
      <c r="A98" s="297">
        <f>DATA!A92</f>
        <v>74</v>
      </c>
      <c r="B98" s="297">
        <f>DATA!B92</f>
        <v>0</v>
      </c>
      <c r="C98" s="297" t="str">
        <f>DATA!D92</f>
        <v>INFRASTRUKTUR</v>
      </c>
      <c r="D98" s="297">
        <f>DATA!E92</f>
        <v>1</v>
      </c>
      <c r="E98" s="297" t="str">
        <f>DATA!F92</f>
        <v>Kementerian Pekerjaan Umum dan Perumahan Rakyat</v>
      </c>
      <c r="F98" s="297" t="str">
        <f>DATA!H92</f>
        <v>Dam Development Program</v>
      </c>
      <c r="G98" s="297" t="str">
        <f>DATA!I92</f>
        <v>J</v>
      </c>
      <c r="H98" s="297" t="str">
        <f>DATA!J92</f>
        <v xml:space="preserve">Program Pembangunan Waduk </v>
      </c>
      <c r="I98" s="297">
        <f>DATA!K92</f>
        <v>9</v>
      </c>
      <c r="J98" s="321"/>
      <c r="K98" s="322"/>
      <c r="L98" s="322"/>
      <c r="M98" s="326">
        <v>68</v>
      </c>
      <c r="N98" s="332" t="str">
        <f>DATA!L92</f>
        <v>Lompatan Harimau Dam Construction Project (Rokan Kiri Dam Construction Project)</v>
      </c>
      <c r="O98" s="308">
        <f>DATA!Q92</f>
        <v>1</v>
      </c>
      <c r="P98" s="308">
        <f>DATA!R92</f>
        <v>1</v>
      </c>
      <c r="Q98" s="346">
        <f>DATA!S92</f>
        <v>65</v>
      </c>
      <c r="R98" s="347">
        <f>DATA!T92</f>
        <v>152100000</v>
      </c>
      <c r="S98" s="369" t="str">
        <f>DATA!Y92</f>
        <v>RRT</v>
      </c>
      <c r="T98" s="370">
        <f>DATA!AA92</f>
        <v>152100000</v>
      </c>
      <c r="U98" s="370">
        <v>0</v>
      </c>
      <c r="V98" s="371" t="str">
        <f>DATA!Y92</f>
        <v>RRT</v>
      </c>
      <c r="W98" s="372">
        <f>DATA!AT92</f>
        <v>152100000</v>
      </c>
      <c r="X98" s="373"/>
      <c r="Y98" s="411" t="str">
        <f>DATA!AU92</f>
        <v>RRT</v>
      </c>
      <c r="Z98" s="412" t="str">
        <f>DATA!AW92</f>
        <v>-</v>
      </c>
      <c r="AA98" s="414" t="str">
        <f>DATA!AN92</f>
        <v>dalam proses
(memiliki FS)</v>
      </c>
      <c r="AB98" s="415" t="str">
        <f>DATA!AO92</f>
        <v>dalam proses
(perencanaan)</v>
      </c>
      <c r="AC98" s="416" t="e">
        <f>DATA!#REF!</f>
        <v>#REF!</v>
      </c>
      <c r="AD98" s="372"/>
      <c r="AE98" s="413"/>
      <c r="AF98" s="411"/>
    </row>
    <row r="99" spans="1:32" ht="29.25" customHeight="1">
      <c r="J99" s="321"/>
      <c r="K99" s="322"/>
      <c r="L99" s="322"/>
      <c r="M99" s="3979">
        <v>69</v>
      </c>
      <c r="N99" s="3987" t="str">
        <f>DATA!L94</f>
        <v>Engineering Service for Dam Multipurpose Development Project</v>
      </c>
      <c r="O99" s="308">
        <f>DATA!Q94</f>
        <v>0.33333333333333298</v>
      </c>
      <c r="P99" s="308">
        <f>DATA!R94</f>
        <v>0</v>
      </c>
      <c r="Q99" s="346">
        <f>DATA!S94</f>
        <v>66</v>
      </c>
      <c r="R99" s="3972">
        <f>DATA!T93</f>
        <v>100000000</v>
      </c>
      <c r="S99" s="369" t="str">
        <f>DATA!Y94</f>
        <v>ADB</v>
      </c>
      <c r="T99" s="370">
        <f>DATA!AA94</f>
        <v>1930000</v>
      </c>
      <c r="U99" s="370">
        <v>0</v>
      </c>
      <c r="V99" s="371" t="str">
        <f>DATA!Y94</f>
        <v>ADB</v>
      </c>
      <c r="W99" s="372">
        <f>DATA!AT94</f>
        <v>1930000</v>
      </c>
      <c r="X99" s="373"/>
      <c r="Y99" s="411" t="str">
        <f>DATA!AU94</f>
        <v>ADB</v>
      </c>
      <c r="Z99" s="412" t="str">
        <f>DATA!AW94</f>
        <v>co-financing dengan Korea (USD 21,7 juta) dan belum ada indikasi (USD 76,4 juta)</v>
      </c>
      <c r="AA99" s="3999" t="str">
        <f>DATA!AN94</f>
        <v>siap</v>
      </c>
      <c r="AB99" s="3996" t="str">
        <f>DATA!AO94</f>
        <v>tidak butuh lahan</v>
      </c>
      <c r="AC99" s="4004" t="str">
        <f>DATA!AR94</f>
        <v>-</v>
      </c>
      <c r="AD99" s="417">
        <f>DATA!AC93</f>
        <v>1930000</v>
      </c>
      <c r="AE99" s="308"/>
      <c r="AF99" s="395" t="s">
        <v>1443</v>
      </c>
    </row>
    <row r="100" spans="1:32" ht="25.5" customHeight="1">
      <c r="J100" s="321"/>
      <c r="K100" s="322"/>
      <c r="L100" s="322"/>
      <c r="M100" s="3984"/>
      <c r="N100" s="3991"/>
      <c r="O100" s="308"/>
      <c r="P100" s="308"/>
      <c r="Q100" s="346"/>
      <c r="R100" s="3975"/>
      <c r="S100" s="369" t="str">
        <f>DATA!Y95</f>
        <v>Korea</v>
      </c>
      <c r="T100" s="370">
        <f>DATA!AA95</f>
        <v>21678596</v>
      </c>
      <c r="U100" s="370">
        <v>0</v>
      </c>
      <c r="V100" s="371" t="str">
        <f>DATA!Y95</f>
        <v>Korea</v>
      </c>
      <c r="W100" s="372">
        <f>DATA!AT95</f>
        <v>21678596</v>
      </c>
      <c r="X100" s="373"/>
      <c r="Y100" s="411" t="str">
        <f>DATA!AU95</f>
        <v>Korea</v>
      </c>
      <c r="Z100" s="412" t="str">
        <f>DATA!AW95</f>
        <v>- co-financing dengan ADB (USD 1,9 juta) dan belum ada indikasi (USD 76,4 juta)
- masuk rolling plan EDCF (Korea)</v>
      </c>
      <c r="AA100" s="4003"/>
      <c r="AB100" s="3997"/>
      <c r="AC100" s="4005"/>
      <c r="AD100" s="372"/>
      <c r="AE100" s="413"/>
      <c r="AF100" s="411"/>
    </row>
    <row r="101" spans="1:32" ht="25.5" customHeight="1">
      <c r="J101" s="321"/>
      <c r="K101" s="322"/>
      <c r="L101" s="322"/>
      <c r="M101" s="3980"/>
      <c r="N101" s="3988"/>
      <c r="O101" s="308"/>
      <c r="P101" s="308"/>
      <c r="Q101" s="346"/>
      <c r="R101" s="3973"/>
      <c r="S101" s="369" t="str">
        <f>DATA!Y96</f>
        <v>Belum Ada Indikasi</v>
      </c>
      <c r="T101" s="370">
        <v>0</v>
      </c>
      <c r="U101" s="370">
        <f>DATA!AA96</f>
        <v>76391404</v>
      </c>
      <c r="V101" s="371" t="str">
        <f>DATA!Y96</f>
        <v>Belum Ada Indikasi</v>
      </c>
      <c r="W101" s="372"/>
      <c r="X101" s="373">
        <f>DATA!AT96</f>
        <v>76391404</v>
      </c>
      <c r="Y101" s="411" t="str">
        <f>DATA!AU96</f>
        <v>Belum Ada Indikasi</v>
      </c>
      <c r="Z101" s="412" t="str">
        <f>DATA!AW96</f>
        <v>co-financing dengan Korea (USD 21,7 juta) dan ADB (USD 1,9 juta)</v>
      </c>
      <c r="AA101" s="4001"/>
      <c r="AB101" s="3998"/>
      <c r="AC101" s="4006"/>
      <c r="AD101" s="372"/>
      <c r="AE101" s="413"/>
      <c r="AF101" s="411"/>
    </row>
    <row r="102" spans="1:32" ht="33" customHeight="1">
      <c r="A102" s="297">
        <f>DATA!A97</f>
        <v>76</v>
      </c>
      <c r="B102" s="297">
        <f>DATA!B97</f>
        <v>0</v>
      </c>
      <c r="C102" s="297" t="str">
        <f>DATA!D97</f>
        <v>INFRASTRUKTUR</v>
      </c>
      <c r="D102" s="297">
        <f>DATA!E97</f>
        <v>1</v>
      </c>
      <c r="E102" s="297" t="str">
        <f>DATA!F97</f>
        <v>Kementerian Pekerjaan Umum dan Perumahan Rakyat</v>
      </c>
      <c r="F102" s="297" t="str">
        <f>DATA!H97</f>
        <v>Dam Development Program</v>
      </c>
      <c r="G102" s="297" t="str">
        <f>DATA!I97</f>
        <v>J</v>
      </c>
      <c r="H102" s="297" t="str">
        <f>DATA!J97</f>
        <v xml:space="preserve">Program Pembangunan Waduk </v>
      </c>
      <c r="I102" s="297">
        <f>DATA!K97</f>
        <v>11</v>
      </c>
      <c r="J102" s="321"/>
      <c r="K102" s="322"/>
      <c r="L102" s="333"/>
      <c r="M102" s="326">
        <v>70</v>
      </c>
      <c r="N102" s="332" t="str">
        <f>DATA!L97</f>
        <v>Additional Loan for Jatigede Dam Project 2</v>
      </c>
      <c r="O102" s="308">
        <f>DATA!Q97</f>
        <v>1</v>
      </c>
      <c r="P102" s="308">
        <f>DATA!R97</f>
        <v>1</v>
      </c>
      <c r="Q102" s="346">
        <f>DATA!S97</f>
        <v>67</v>
      </c>
      <c r="R102" s="347">
        <f>DATA!T97</f>
        <v>53200000</v>
      </c>
      <c r="S102" s="369" t="str">
        <f>DATA!Y97</f>
        <v>RRT</v>
      </c>
      <c r="T102" s="370">
        <f>DATA!AA97</f>
        <v>53200000</v>
      </c>
      <c r="U102" s="370">
        <v>0</v>
      </c>
      <c r="V102" s="371" t="str">
        <f>DATA!Y97</f>
        <v>RRT</v>
      </c>
      <c r="W102" s="372">
        <f>DATA!AT97</f>
        <v>53200000</v>
      </c>
      <c r="X102" s="373"/>
      <c r="Y102" s="411" t="str">
        <f>DATA!AU97</f>
        <v>RRT</v>
      </c>
      <c r="Z102" s="412" t="str">
        <f>DATA!AW97</f>
        <v>-</v>
      </c>
      <c r="AA102" s="414" t="str">
        <f>DATA!AN97</f>
        <v>dalam proses
(memiliki FS dan DED)</v>
      </c>
      <c r="AB102" s="415" t="str">
        <f>DATA!AO97</f>
        <v>dalam proses
(persiapan)</v>
      </c>
      <c r="AC102" s="416" t="e">
        <f>DATA!#REF!</f>
        <v>#REF!</v>
      </c>
      <c r="AD102" s="417">
        <f>DATA!AC97</f>
        <v>53200000</v>
      </c>
      <c r="AE102" s="308"/>
      <c r="AF102" s="395" t="s">
        <v>1443</v>
      </c>
    </row>
    <row r="103" spans="1:32" s="294" customFormat="1" ht="33.75" customHeight="1">
      <c r="J103" s="316"/>
      <c r="K103" s="328"/>
      <c r="L103" s="318" t="str">
        <f>DATA!I98</f>
        <v>K</v>
      </c>
      <c r="M103" s="319" t="str">
        <f>DATA!J98</f>
        <v>Program Mitigasi Terhadap Daya Rusak Air</v>
      </c>
      <c r="N103" s="329"/>
      <c r="O103" s="319"/>
      <c r="P103" s="319"/>
      <c r="Q103" s="363"/>
      <c r="R103" s="364">
        <f>+R104+R105+R106+R107+R108+R109+R110+R111</f>
        <v>1152636000</v>
      </c>
      <c r="S103" s="365"/>
      <c r="T103" s="366">
        <f>+T104+T105+T106+T107+T108+T109+T110+T111</f>
        <v>912256000</v>
      </c>
      <c r="U103" s="366">
        <f>+U104+U105+U106+U107+U108+U109+U110+U111</f>
        <v>200000000</v>
      </c>
      <c r="V103" s="367"/>
      <c r="W103" s="365">
        <f>+W104+W105+W106+W107+W108+W109+W110+W111</f>
        <v>1112256000</v>
      </c>
      <c r="X103" s="368"/>
      <c r="Y103" s="406"/>
      <c r="Z103" s="407"/>
      <c r="AA103" s="419"/>
      <c r="AB103" s="420"/>
      <c r="AC103" s="421"/>
      <c r="AD103" s="365"/>
      <c r="AE103" s="366"/>
      <c r="AF103" s="406"/>
    </row>
    <row r="104" spans="1:32" ht="28.5" customHeight="1">
      <c r="A104" s="297">
        <f>DATA!A98</f>
        <v>77</v>
      </c>
      <c r="B104" s="297">
        <f>DATA!B98</f>
        <v>0</v>
      </c>
      <c r="C104" s="297" t="str">
        <f>DATA!D98</f>
        <v>INFRASTRUKTUR</v>
      </c>
      <c r="D104" s="297">
        <f>DATA!E98</f>
        <v>1</v>
      </c>
      <c r="E104" s="297" t="str">
        <f>DATA!F98</f>
        <v>Kementerian Pekerjaan Umum dan Perumahan Rakyat</v>
      </c>
      <c r="F104" s="297" t="str">
        <f>DATA!H98</f>
        <v>Mitigation of Water Hazards Program</v>
      </c>
      <c r="G104" s="297" t="str">
        <f>DATA!I98</f>
        <v>K</v>
      </c>
      <c r="H104" s="297" t="str">
        <f>DATA!J98</f>
        <v>Program Mitigasi Terhadap Daya Rusak Air</v>
      </c>
      <c r="I104" s="297">
        <f>DATA!K98</f>
        <v>1</v>
      </c>
      <c r="J104" s="321"/>
      <c r="K104" s="322"/>
      <c r="L104" s="330"/>
      <c r="M104" s="326">
        <v>71</v>
      </c>
      <c r="N104" s="332" t="str">
        <f>DATA!L98</f>
        <v>Lower Solo River Improvement Project - Phase II</v>
      </c>
      <c r="O104" s="308">
        <f>DATA!Q98</f>
        <v>1</v>
      </c>
      <c r="P104" s="308">
        <f>DATA!R98</f>
        <v>1</v>
      </c>
      <c r="Q104" s="346">
        <f>DATA!S98</f>
        <v>68</v>
      </c>
      <c r="R104" s="347">
        <f>DATA!T98</f>
        <v>155836000</v>
      </c>
      <c r="S104" s="369" t="str">
        <f>DATA!Y98</f>
        <v>JICA</v>
      </c>
      <c r="T104" s="370">
        <f>DATA!AA98</f>
        <v>155836000</v>
      </c>
      <c r="U104" s="370">
        <v>0</v>
      </c>
      <c r="V104" s="371" t="str">
        <f>DATA!Y98</f>
        <v>JICA</v>
      </c>
      <c r="W104" s="372">
        <f>DATA!AT98</f>
        <v>155836000</v>
      </c>
      <c r="X104" s="373"/>
      <c r="Y104" s="411" t="str">
        <f>DATA!AU98</f>
        <v>JICA</v>
      </c>
      <c r="Z104" s="412" t="str">
        <f>DATA!AW98</f>
        <v>-</v>
      </c>
      <c r="AA104" s="414" t="str">
        <f>DATA!AN98</f>
        <v>siap</v>
      </c>
      <c r="AB104" s="415" t="str">
        <f>DATA!AO98</f>
        <v>dalam proses
(perencanaan)</v>
      </c>
      <c r="AC104" s="416" t="e">
        <f>DATA!#REF!</f>
        <v>#REF!</v>
      </c>
      <c r="AD104" s="372"/>
      <c r="AE104" s="413"/>
      <c r="AF104" s="411"/>
    </row>
    <row r="105" spans="1:32" ht="42" customHeight="1">
      <c r="A105" s="297">
        <f>DATA!A99</f>
        <v>78</v>
      </c>
      <c r="B105" s="297">
        <f>DATA!B99</f>
        <v>0</v>
      </c>
      <c r="C105" s="297" t="str">
        <f>DATA!D99</f>
        <v>INFRASTRUKTUR</v>
      </c>
      <c r="D105" s="297">
        <f>DATA!E99</f>
        <v>1</v>
      </c>
      <c r="E105" s="297" t="str">
        <f>DATA!F99</f>
        <v>Kementerian Pekerjaan Umum dan Perumahan Rakyat</v>
      </c>
      <c r="F105" s="297" t="str">
        <f>DATA!H99</f>
        <v>Mitigation of Water Hazards Program</v>
      </c>
      <c r="G105" s="297" t="str">
        <f>DATA!I99</f>
        <v>K</v>
      </c>
      <c r="H105" s="297" t="str">
        <f>DATA!J99</f>
        <v>Program Mitigasi Terhadap Daya Rusak Air</v>
      </c>
      <c r="I105" s="297">
        <f>DATA!K99</f>
        <v>2</v>
      </c>
      <c r="J105" s="321"/>
      <c r="K105" s="322"/>
      <c r="L105" s="322"/>
      <c r="M105" s="326">
        <v>72</v>
      </c>
      <c r="N105" s="332" t="str">
        <f>DATA!L99</f>
        <v>Comprehensive Countermeasure for Sediment &amp; Flood Problems in South Sulawesi Province</v>
      </c>
      <c r="O105" s="308">
        <f>DATA!Q99</f>
        <v>1</v>
      </c>
      <c r="P105" s="308">
        <f>DATA!R99</f>
        <v>1</v>
      </c>
      <c r="Q105" s="346">
        <f>DATA!S99</f>
        <v>69</v>
      </c>
      <c r="R105" s="347">
        <f>DATA!T99</f>
        <v>108100000</v>
      </c>
      <c r="S105" s="369" t="str">
        <f>DATA!Y99</f>
        <v>JICA</v>
      </c>
      <c r="T105" s="370">
        <f>DATA!AA99</f>
        <v>108100000</v>
      </c>
      <c r="U105" s="370">
        <v>0</v>
      </c>
      <c r="V105" s="371" t="str">
        <f>DATA!Y99</f>
        <v>JICA</v>
      </c>
      <c r="W105" s="372">
        <f>DATA!AT99</f>
        <v>108100000</v>
      </c>
      <c r="X105" s="373"/>
      <c r="Y105" s="411" t="str">
        <f>DATA!AU99</f>
        <v>JICA</v>
      </c>
      <c r="Z105" s="412" t="str">
        <f>DATA!AW99</f>
        <v>-</v>
      </c>
      <c r="AA105" s="414" t="str">
        <f>DATA!AN99</f>
        <v>dalam proses
(memiliki FS dan DED)</v>
      </c>
      <c r="AB105" s="415" t="str">
        <f>DATA!AO99</f>
        <v>belum ada keterangan</v>
      </c>
      <c r="AC105" s="416" t="e">
        <f>DATA!#REF!</f>
        <v>#REF!</v>
      </c>
      <c r="AD105" s="372"/>
      <c r="AE105" s="413"/>
      <c r="AF105" s="411"/>
    </row>
    <row r="106" spans="1:32" ht="28.5" customHeight="1">
      <c r="A106" s="297">
        <f>DATA!A100</f>
        <v>79</v>
      </c>
      <c r="B106" s="297">
        <f>DATA!B100</f>
        <v>0</v>
      </c>
      <c r="C106" s="297" t="str">
        <f>DATA!D100</f>
        <v>INFRASTRUKTUR</v>
      </c>
      <c r="D106" s="297">
        <f>DATA!E100</f>
        <v>1</v>
      </c>
      <c r="E106" s="297" t="str">
        <f>DATA!F100</f>
        <v>Kementerian Pekerjaan Umum dan Perumahan Rakyat</v>
      </c>
      <c r="F106" s="297" t="str">
        <f>DATA!H100</f>
        <v>Mitigation of Water Hazards Program</v>
      </c>
      <c r="G106" s="297" t="str">
        <f>DATA!I100</f>
        <v>K</v>
      </c>
      <c r="H106" s="297" t="str">
        <f>DATA!J100</f>
        <v>Program Mitigasi Terhadap Daya Rusak Air</v>
      </c>
      <c r="I106" s="297">
        <f>DATA!K100</f>
        <v>3</v>
      </c>
      <c r="J106" s="321"/>
      <c r="K106" s="322"/>
      <c r="L106" s="322"/>
      <c r="M106" s="326">
        <v>73</v>
      </c>
      <c r="N106" s="332" t="str">
        <f>DATA!L100</f>
        <v>Bali Beach Conservation Project - Phase II</v>
      </c>
      <c r="O106" s="308">
        <f>DATA!Q100</f>
        <v>1</v>
      </c>
      <c r="P106" s="308">
        <f>DATA!R100</f>
        <v>1</v>
      </c>
      <c r="Q106" s="346">
        <f>DATA!S100</f>
        <v>70</v>
      </c>
      <c r="R106" s="347">
        <f>DATA!T100</f>
        <v>150000000</v>
      </c>
      <c r="S106" s="369" t="str">
        <f>DATA!Y100</f>
        <v>JICA</v>
      </c>
      <c r="T106" s="370">
        <f>DATA!AA100</f>
        <v>150000000</v>
      </c>
      <c r="U106" s="370">
        <v>0</v>
      </c>
      <c r="V106" s="371" t="str">
        <f>DATA!Y100</f>
        <v>JICA</v>
      </c>
      <c r="W106" s="372">
        <f>DATA!AT100</f>
        <v>150000000</v>
      </c>
      <c r="X106" s="373"/>
      <c r="Y106" s="411" t="str">
        <f>DATA!AU100</f>
        <v>JICA</v>
      </c>
      <c r="Z106" s="412" t="str">
        <f>DATA!AW100</f>
        <v>-</v>
      </c>
      <c r="AA106" s="414" t="str">
        <f>DATA!AN100</f>
        <v>dalam proses
(memiliki FS)</v>
      </c>
      <c r="AB106" s="415" t="str">
        <f>DATA!AO100</f>
        <v>belum ada keterangan</v>
      </c>
      <c r="AC106" s="416" t="e">
        <f>DATA!#REF!</f>
        <v>#REF!</v>
      </c>
      <c r="AD106" s="372"/>
      <c r="AE106" s="413"/>
      <c r="AF106" s="411"/>
    </row>
    <row r="107" spans="1:32" ht="40.5" customHeight="1">
      <c r="A107" s="297">
        <f>DATA!A101</f>
        <v>80</v>
      </c>
      <c r="B107" s="297">
        <f>DATA!B101</f>
        <v>0</v>
      </c>
      <c r="C107" s="297" t="str">
        <f>DATA!D101</f>
        <v>INFRASTRUKTUR</v>
      </c>
      <c r="D107" s="297">
        <f>DATA!E101</f>
        <v>1</v>
      </c>
      <c r="E107" s="297" t="str">
        <f>DATA!F101</f>
        <v>Kementerian Pekerjaan Umum dan Perumahan Rakyat</v>
      </c>
      <c r="F107" s="297" t="str">
        <f>DATA!H101</f>
        <v>Mitigation of Water Hazards Program</v>
      </c>
      <c r="G107" s="297" t="str">
        <f>DATA!I101</f>
        <v>K</v>
      </c>
      <c r="H107" s="297" t="str">
        <f>DATA!J101</f>
        <v>Program Mitigasi Terhadap Daya Rusak Air</v>
      </c>
      <c r="I107" s="297">
        <f>DATA!K101</f>
        <v>4</v>
      </c>
      <c r="J107" s="321"/>
      <c r="K107" s="322"/>
      <c r="L107" s="322"/>
      <c r="M107" s="326">
        <v>74</v>
      </c>
      <c r="N107" s="332" t="str">
        <f>DATA!L101</f>
        <v xml:space="preserve">Urgent Disaster Reduction of Mt. Sinabung, Mt. Semeru, Mt. Kelud Mt. Lokon, and Mt. Gamalama </v>
      </c>
      <c r="O107" s="308">
        <f>DATA!Q101</f>
        <v>1</v>
      </c>
      <c r="P107" s="308">
        <f>DATA!R101</f>
        <v>1</v>
      </c>
      <c r="Q107" s="346">
        <f>DATA!S101</f>
        <v>71</v>
      </c>
      <c r="R107" s="347">
        <f>DATA!T101</f>
        <v>260000000</v>
      </c>
      <c r="S107" s="369" t="str">
        <f>DATA!Y101</f>
        <v>JICA</v>
      </c>
      <c r="T107" s="370">
        <f>DATA!AA101</f>
        <v>260000000</v>
      </c>
      <c r="U107" s="370">
        <v>0</v>
      </c>
      <c r="V107" s="371" t="str">
        <f>DATA!Y101</f>
        <v>JICA</v>
      </c>
      <c r="W107" s="372">
        <f>DATA!AT101</f>
        <v>260000000</v>
      </c>
      <c r="X107" s="373"/>
      <c r="Y107" s="411" t="str">
        <f>DATA!AU101</f>
        <v>JICA</v>
      </c>
      <c r="Z107" s="412" t="str">
        <f>DATA!AW101</f>
        <v>-</v>
      </c>
      <c r="AA107" s="414" t="str">
        <f>DATA!AN101</f>
        <v>siap</v>
      </c>
      <c r="AB107" s="415" t="str">
        <f>DATA!AO101</f>
        <v>dalam proses
(persiapan)</v>
      </c>
      <c r="AC107" s="416" t="e">
        <f>DATA!#REF!</f>
        <v>#REF!</v>
      </c>
      <c r="AD107" s="372"/>
      <c r="AE107" s="413"/>
      <c r="AF107" s="411"/>
    </row>
    <row r="108" spans="1:32" ht="42.75" customHeight="1">
      <c r="A108" s="297">
        <f>DATA!A102</f>
        <v>81</v>
      </c>
      <c r="B108" s="297">
        <f>DATA!B102</f>
        <v>0</v>
      </c>
      <c r="C108" s="297" t="str">
        <f>DATA!D102</f>
        <v>INFRASTRUKTUR</v>
      </c>
      <c r="D108" s="297">
        <f>DATA!E102</f>
        <v>1</v>
      </c>
      <c r="E108" s="297" t="str">
        <f>DATA!F102</f>
        <v>Kementerian Pekerjaan Umum dan Perumahan Rakyat</v>
      </c>
      <c r="F108" s="297" t="str">
        <f>DATA!H102</f>
        <v>Mitigation of Water Hazards Program</v>
      </c>
      <c r="G108" s="297" t="str">
        <f>DATA!I102</f>
        <v>K</v>
      </c>
      <c r="H108" s="297" t="str">
        <f>DATA!J102</f>
        <v>Program Mitigasi Terhadap Daya Rusak Air</v>
      </c>
      <c r="I108" s="297">
        <f>DATA!K102</f>
        <v>5</v>
      </c>
      <c r="J108" s="321"/>
      <c r="K108" s="322"/>
      <c r="L108" s="322"/>
      <c r="M108" s="326">
        <v>75</v>
      </c>
      <c r="N108" s="332" t="str">
        <f>DATA!L102</f>
        <v xml:space="preserve">Urban Flood Control System Improvement in Selected Cities -Phase II  </v>
      </c>
      <c r="O108" s="308">
        <f>DATA!Q102</f>
        <v>1</v>
      </c>
      <c r="P108" s="308">
        <f>DATA!R102</f>
        <v>1</v>
      </c>
      <c r="Q108" s="346">
        <f>DATA!S102</f>
        <v>72</v>
      </c>
      <c r="R108" s="347">
        <f>DATA!T102</f>
        <v>120000000</v>
      </c>
      <c r="S108" s="369" t="str">
        <f>DATA!Y102</f>
        <v>JICA</v>
      </c>
      <c r="T108" s="370">
        <f>DATA!AA102</f>
        <v>120000000</v>
      </c>
      <c r="U108" s="370">
        <v>0</v>
      </c>
      <c r="V108" s="371" t="str">
        <f>DATA!Y102</f>
        <v>JICA</v>
      </c>
      <c r="W108" s="372">
        <f>DATA!AT102</f>
        <v>120000000</v>
      </c>
      <c r="X108" s="373"/>
      <c r="Y108" s="411" t="str">
        <f>DATA!AU102</f>
        <v>JICA</v>
      </c>
      <c r="Z108" s="412" t="str">
        <f>DATA!AW102</f>
        <v>-</v>
      </c>
      <c r="AA108" s="414" t="str">
        <f>DATA!AN102</f>
        <v>siap</v>
      </c>
      <c r="AB108" s="415" t="str">
        <f>DATA!AO102</f>
        <v>dalam proses
(perencanaan)</v>
      </c>
      <c r="AC108" s="416" t="e">
        <f>DATA!#REF!</f>
        <v>#REF!</v>
      </c>
      <c r="AD108" s="372"/>
      <c r="AE108" s="413"/>
      <c r="AF108" s="411"/>
    </row>
    <row r="109" spans="1:32" ht="46.5" customHeight="1">
      <c r="A109" s="297">
        <f>DATA!A104</f>
        <v>0</v>
      </c>
      <c r="B109" s="297">
        <f>DATA!B104</f>
        <v>0</v>
      </c>
      <c r="C109" s="297" t="str">
        <f>DATA!D104</f>
        <v>INFRASTRUKTUR</v>
      </c>
      <c r="D109" s="297">
        <f>DATA!E104</f>
        <v>1</v>
      </c>
      <c r="E109" s="297" t="str">
        <f>DATA!F104</f>
        <v>Kementerian Pekerjaan Umum dan Perumahan Rakyat</v>
      </c>
      <c r="F109" s="297" t="str">
        <f>DATA!H104</f>
        <v>Mitigation of Water Hazards Program</v>
      </c>
      <c r="G109" s="297" t="str">
        <f>DATA!I104</f>
        <v>K</v>
      </c>
      <c r="H109" s="297" t="str">
        <f>DATA!J104</f>
        <v>Program Mitigasi Terhadap Daya Rusak Air</v>
      </c>
      <c r="I109" s="297">
        <f>DATA!K104</f>
        <v>6</v>
      </c>
      <c r="J109" s="321"/>
      <c r="K109" s="322"/>
      <c r="L109" s="322"/>
      <c r="M109" s="326">
        <v>76</v>
      </c>
      <c r="N109" s="332" t="str">
        <f>DATA!L104</f>
        <v>Engineering Service for Coastal and River Development Project</v>
      </c>
      <c r="O109" s="308">
        <f>DATA!Q104</f>
        <v>1</v>
      </c>
      <c r="P109" s="308">
        <f>DATA!R104</f>
        <v>1</v>
      </c>
      <c r="Q109" s="346">
        <f>DATA!S104</f>
        <v>73</v>
      </c>
      <c r="R109" s="347">
        <f>DATA!T104</f>
        <v>50000000</v>
      </c>
      <c r="S109" s="369" t="str">
        <f>DATA!Y104</f>
        <v>ADB</v>
      </c>
      <c r="T109" s="370">
        <f>DATA!AA104</f>
        <v>9620000</v>
      </c>
      <c r="U109" s="370">
        <v>0</v>
      </c>
      <c r="V109" s="371" t="str">
        <f>DATA!Y104</f>
        <v>ADB</v>
      </c>
      <c r="W109" s="372">
        <f>DATA!AT104</f>
        <v>9620000</v>
      </c>
      <c r="X109" s="373"/>
      <c r="Y109" s="411" t="str">
        <f>DATA!AU104</f>
        <v>ADB</v>
      </c>
      <c r="Z109" s="412" t="str">
        <f>DATA!AW104</f>
        <v>co-financing dengan Korea (USD 10,5 juta) dan belum ada indikasi (USD 29,9 juta)</v>
      </c>
      <c r="AA109" s="414" t="str">
        <f>DATA!AN104</f>
        <v>siap</v>
      </c>
      <c r="AB109" s="415" t="str">
        <f>DATA!AO104</f>
        <v>tidak butuh lahan</v>
      </c>
      <c r="AC109" s="416" t="str">
        <f>DATA!AR104</f>
        <v>-</v>
      </c>
      <c r="AD109" s="417">
        <f>DATA!AC104</f>
        <v>9620000</v>
      </c>
      <c r="AE109" s="308"/>
      <c r="AF109" s="395" t="s">
        <v>1443</v>
      </c>
    </row>
    <row r="110" spans="1:32" ht="42.75" customHeight="1">
      <c r="A110" s="297">
        <f>DATA!A108</f>
        <v>83</v>
      </c>
      <c r="B110" s="297">
        <f>DATA!B108</f>
        <v>0</v>
      </c>
      <c r="C110" s="297" t="str">
        <f>DATA!D108</f>
        <v>INFRASTRUKTUR</v>
      </c>
      <c r="D110" s="297">
        <f>DATA!E108</f>
        <v>1</v>
      </c>
      <c r="E110" s="297" t="str">
        <f>DATA!F108</f>
        <v>Kementerian Pekerjaan Umum dan Perumahan Rakyat</v>
      </c>
      <c r="F110" s="297" t="str">
        <f>DATA!H108</f>
        <v>Mitigation of Water Hazards Program</v>
      </c>
      <c r="G110" s="297" t="str">
        <f>DATA!I108</f>
        <v>K</v>
      </c>
      <c r="H110" s="297" t="str">
        <f>DATA!J108</f>
        <v>Program Mitigasi Terhadap Daya Rusak Air</v>
      </c>
      <c r="I110" s="297">
        <f>DATA!K108</f>
        <v>7</v>
      </c>
      <c r="J110" s="321"/>
      <c r="K110" s="322"/>
      <c r="L110" s="322"/>
      <c r="M110" s="326">
        <v>77</v>
      </c>
      <c r="N110" s="332" t="str">
        <f>DATA!L108</f>
        <v>Flood Management in Selected River Basins Sector Project (Additional Financing)</v>
      </c>
      <c r="O110" s="308">
        <f>DATA!Q108</f>
        <v>1</v>
      </c>
      <c r="P110" s="308">
        <f>DATA!R108</f>
        <v>1</v>
      </c>
      <c r="Q110" s="346">
        <f>DATA!S108</f>
        <v>74</v>
      </c>
      <c r="R110" s="347">
        <f>DATA!T108</f>
        <v>200000000</v>
      </c>
      <c r="S110" s="369" t="str">
        <f>DATA!Y108</f>
        <v>Belum Ada Indikasi</v>
      </c>
      <c r="T110" s="370">
        <v>0</v>
      </c>
      <c r="U110" s="370">
        <f>DATA!AA108</f>
        <v>200000000</v>
      </c>
      <c r="V110" s="371" t="str">
        <f>DATA!Y108</f>
        <v>Belum Ada Indikasi</v>
      </c>
      <c r="W110" s="372">
        <f>DATA!AT108</f>
        <v>200000000</v>
      </c>
      <c r="X110" s="373"/>
      <c r="Y110" s="411" t="str">
        <f>DATA!AU108</f>
        <v>ADB</v>
      </c>
      <c r="Z110" s="412" t="str">
        <f>DATA!AW108</f>
        <v>sudah masuk COBP ADB</v>
      </c>
      <c r="AA110" s="414" t="str">
        <f>DATA!AN108</f>
        <v>belum ada keterangan</v>
      </c>
      <c r="AB110" s="415" t="str">
        <f>DATA!AO108</f>
        <v>belum ada keterangan</v>
      </c>
      <c r="AC110" s="416" t="e">
        <f>DATA!#REF!</f>
        <v>#REF!</v>
      </c>
      <c r="AD110" s="372"/>
      <c r="AE110" s="413"/>
      <c r="AF110" s="411"/>
    </row>
    <row r="111" spans="1:32" ht="36" customHeight="1">
      <c r="A111" s="297">
        <f>DATA!A109</f>
        <v>84</v>
      </c>
      <c r="B111" s="297">
        <f>DATA!B109</f>
        <v>0</v>
      </c>
      <c r="C111" s="297" t="str">
        <f>DATA!D109</f>
        <v>INFRASTRUKTUR</v>
      </c>
      <c r="D111" s="297">
        <f>DATA!E109</f>
        <v>1</v>
      </c>
      <c r="E111" s="297" t="str">
        <f>DATA!F109</f>
        <v>Kementerian Pekerjaan Umum dan Perumahan Rakyat</v>
      </c>
      <c r="F111" s="297" t="str">
        <f>DATA!H109</f>
        <v>Mitigation of Water Hazards Program</v>
      </c>
      <c r="G111" s="297" t="str">
        <f>DATA!I109</f>
        <v>K</v>
      </c>
      <c r="H111" s="297" t="str">
        <f>DATA!J109</f>
        <v>Program Mitigasi Terhadap Daya Rusak Air</v>
      </c>
      <c r="I111" s="297">
        <f>DATA!K109</f>
        <v>7</v>
      </c>
      <c r="J111" s="321"/>
      <c r="K111" s="322"/>
      <c r="L111" s="333"/>
      <c r="M111" s="326">
        <v>78</v>
      </c>
      <c r="N111" s="332" t="str">
        <f>DATA!L109</f>
        <v>Flood Management in Selected River Basins</v>
      </c>
      <c r="O111" s="308">
        <f>DATA!Q109</f>
        <v>1</v>
      </c>
      <c r="P111" s="308">
        <f>DATA!R109</f>
        <v>1</v>
      </c>
      <c r="Q111" s="346">
        <f>DATA!S109</f>
        <v>75</v>
      </c>
      <c r="R111" s="347">
        <f>DATA!T109</f>
        <v>108700000</v>
      </c>
      <c r="S111" s="369" t="str">
        <f>DATA!Y109</f>
        <v>ADB</v>
      </c>
      <c r="T111" s="370">
        <f>DATA!AA109</f>
        <v>108700000</v>
      </c>
      <c r="U111" s="370">
        <v>0</v>
      </c>
      <c r="V111" s="371" t="str">
        <f>DATA!Y109</f>
        <v>ADB</v>
      </c>
      <c r="W111" s="372">
        <f>DATA!AT109</f>
        <v>108700000</v>
      </c>
      <c r="X111" s="373"/>
      <c r="Y111" s="411" t="str">
        <f>DATA!AU109</f>
        <v>ADB</v>
      </c>
      <c r="Z111" s="412" t="str">
        <f>DATA!AW109</f>
        <v>-</v>
      </c>
      <c r="AA111" s="414" t="str">
        <f>DATA!AN109</f>
        <v>dalam proses
(memiliki FS dan DED)</v>
      </c>
      <c r="AB111" s="415" t="str">
        <f>DATA!AO109</f>
        <v>dalam proses
(persiapan)</v>
      </c>
      <c r="AC111" s="416" t="e">
        <f>DATA!#REF!</f>
        <v>#REF!</v>
      </c>
      <c r="AD111" s="417">
        <f>DATA!AC109</f>
        <v>108700000</v>
      </c>
      <c r="AE111" s="308"/>
      <c r="AF111" s="395" t="s">
        <v>1443</v>
      </c>
    </row>
    <row r="112" spans="1:32" s="294" customFormat="1" ht="33.75" customHeight="1">
      <c r="J112" s="316"/>
      <c r="K112" s="328"/>
      <c r="L112" s="318" t="str">
        <f>DATA!I110</f>
        <v>L</v>
      </c>
      <c r="M112" s="3918" t="str">
        <f>DATA!J110</f>
        <v xml:space="preserve">Program Pengelolaan Infrastruktur Sumber Daya Air </v>
      </c>
      <c r="N112" s="3919"/>
      <c r="O112" s="319"/>
      <c r="P112" s="319"/>
      <c r="Q112" s="363"/>
      <c r="R112" s="364">
        <f>+R113+R114+R115</f>
        <v>650000000</v>
      </c>
      <c r="S112" s="427"/>
      <c r="T112" s="366">
        <f>+T113+T114+T115</f>
        <v>600000000</v>
      </c>
      <c r="U112" s="366">
        <f>+U113+U114+U115</f>
        <v>50000000</v>
      </c>
      <c r="V112" s="367"/>
      <c r="W112" s="365">
        <f>+W113+W114+W115</f>
        <v>650000000</v>
      </c>
      <c r="X112" s="368"/>
      <c r="Y112" s="406"/>
      <c r="Z112" s="407"/>
      <c r="AA112" s="419"/>
      <c r="AB112" s="420"/>
      <c r="AC112" s="421"/>
      <c r="AD112" s="365"/>
      <c r="AE112" s="366"/>
      <c r="AF112" s="406"/>
    </row>
    <row r="113" spans="1:32" ht="45.75" customHeight="1">
      <c r="A113" s="297">
        <f>DATA!A110</f>
        <v>85</v>
      </c>
      <c r="B113" s="297">
        <f>DATA!B110</f>
        <v>0</v>
      </c>
      <c r="C113" s="297" t="str">
        <f>DATA!D110</f>
        <v>INFRASTRUKTUR</v>
      </c>
      <c r="D113" s="297">
        <f>DATA!E110</f>
        <v>1</v>
      </c>
      <c r="E113" s="297" t="str">
        <f>DATA!F110</f>
        <v>Kementerian Pekerjaan Umum dan Perumahan Rakyat</v>
      </c>
      <c r="F113" s="297" t="str">
        <f>DATA!H110</f>
        <v>Management of Water Resources Infrastructure Program</v>
      </c>
      <c r="G113" s="297" t="str">
        <f>DATA!I110</f>
        <v>L</v>
      </c>
      <c r="H113" s="297" t="str">
        <f>DATA!J110</f>
        <v xml:space="preserve">Program Pengelolaan Infrastruktur Sumber Daya Air </v>
      </c>
      <c r="I113" s="297">
        <f>DATA!K110</f>
        <v>1</v>
      </c>
      <c r="J113" s="321"/>
      <c r="K113" s="322"/>
      <c r="L113" s="330"/>
      <c r="M113" s="326">
        <v>79</v>
      </c>
      <c r="N113" s="332" t="str">
        <f>DATA!L110</f>
        <v xml:space="preserve">Dam Operational Improvement and Safety Project (DOISP) - Phase II </v>
      </c>
      <c r="O113" s="308">
        <f>DATA!Q110</f>
        <v>1</v>
      </c>
      <c r="P113" s="308">
        <f>DATA!R110</f>
        <v>1</v>
      </c>
      <c r="Q113" s="346">
        <f>DATA!S110</f>
        <v>76</v>
      </c>
      <c r="R113" s="347">
        <f>DATA!T110</f>
        <v>250000000</v>
      </c>
      <c r="S113" s="369" t="str">
        <f>DATA!Y110</f>
        <v>Bank Dunia</v>
      </c>
      <c r="T113" s="370">
        <f>DATA!AA110</f>
        <v>250000000</v>
      </c>
      <c r="U113" s="370">
        <v>0</v>
      </c>
      <c r="V113" s="371" t="str">
        <f>DATA!Y110</f>
        <v>Bank Dunia</v>
      </c>
      <c r="W113" s="372">
        <f>DATA!AT110</f>
        <v>250000000</v>
      </c>
      <c r="X113" s="373"/>
      <c r="Y113" s="411" t="str">
        <f>DATA!AU110</f>
        <v>Bank Dunia</v>
      </c>
      <c r="Z113" s="412" t="str">
        <f>DATA!AW110</f>
        <v>-</v>
      </c>
      <c r="AA113" s="414" t="str">
        <f>DATA!AN110</f>
        <v>dalam proses
(memiliki FS)</v>
      </c>
      <c r="AB113" s="415" t="str">
        <f>DATA!AO110</f>
        <v>belum ada keterangan</v>
      </c>
      <c r="AC113" s="416" t="e">
        <f>DATA!#REF!</f>
        <v>#REF!</v>
      </c>
      <c r="AD113" s="372"/>
      <c r="AE113" s="413"/>
      <c r="AF113" s="411"/>
    </row>
    <row r="114" spans="1:32" ht="28.5" customHeight="1">
      <c r="A114" s="297">
        <f>DATA!A113</f>
        <v>86</v>
      </c>
      <c r="B114" s="297">
        <f>DATA!B113</f>
        <v>0</v>
      </c>
      <c r="C114" s="297" t="str">
        <f>DATA!D113</f>
        <v>INFRASTRUKTUR</v>
      </c>
      <c r="D114" s="297">
        <f>DATA!E113</f>
        <v>1</v>
      </c>
      <c r="E114" s="297" t="str">
        <f>DATA!F113</f>
        <v>Kementerian Pekerjaan Umum dan Perumahan Rakyat</v>
      </c>
      <c r="F114" s="297" t="str">
        <f>DATA!H113</f>
        <v>Management of Water Resources Infrastructure Program</v>
      </c>
      <c r="G114" s="297" t="str">
        <f>DATA!I113</f>
        <v>L</v>
      </c>
      <c r="H114" s="297" t="str">
        <f>DATA!J113</f>
        <v xml:space="preserve">Program Pengelolaan Infrastruktur Sumber Daya Air </v>
      </c>
      <c r="I114" s="297">
        <f>DATA!K113</f>
        <v>2</v>
      </c>
      <c r="J114" s="321"/>
      <c r="K114" s="322"/>
      <c r="L114" s="322"/>
      <c r="M114" s="326">
        <v>80</v>
      </c>
      <c r="N114" s="332" t="str">
        <f>DATA!L113</f>
        <v xml:space="preserve">Enhanced Water Security Investment Program    </v>
      </c>
      <c r="O114" s="308">
        <f>DATA!Q113</f>
        <v>1</v>
      </c>
      <c r="P114" s="308">
        <f>DATA!R113</f>
        <v>1</v>
      </c>
      <c r="Q114" s="346">
        <f>DATA!S113</f>
        <v>77</v>
      </c>
      <c r="R114" s="347">
        <f>DATA!T113</f>
        <v>350000000</v>
      </c>
      <c r="S114" s="369" t="str">
        <f>DATA!Y113</f>
        <v>ADB</v>
      </c>
      <c r="T114" s="370">
        <f>DATA!AA113</f>
        <v>350000000</v>
      </c>
      <c r="U114" s="370">
        <v>0</v>
      </c>
      <c r="V114" s="371" t="str">
        <f>DATA!Y113</f>
        <v>ADB</v>
      </c>
      <c r="W114" s="372">
        <f>DATA!AT113</f>
        <v>350000000</v>
      </c>
      <c r="X114" s="373"/>
      <c r="Y114" s="411" t="str">
        <f>DATA!AU113</f>
        <v>ADB</v>
      </c>
      <c r="Z114" s="412" t="str">
        <f>DATA!AW113</f>
        <v>-</v>
      </c>
      <c r="AA114" s="414" t="str">
        <f>DATA!AN113</f>
        <v>belum ada keterangan</v>
      </c>
      <c r="AB114" s="415" t="str">
        <f>DATA!AO113</f>
        <v>belum ada keterangan</v>
      </c>
      <c r="AC114" s="416" t="e">
        <f>DATA!#REF!</f>
        <v>#REF!</v>
      </c>
      <c r="AD114" s="372"/>
      <c r="AE114" s="413"/>
      <c r="AF114" s="411"/>
    </row>
    <row r="115" spans="1:32" ht="44.25" customHeight="1">
      <c r="A115" s="297">
        <f>DATA!A114</f>
        <v>87</v>
      </c>
      <c r="B115" s="297">
        <f>DATA!B114</f>
        <v>0</v>
      </c>
      <c r="C115" s="297" t="str">
        <f>DATA!D114</f>
        <v>INFRASTRUKTUR</v>
      </c>
      <c r="D115" s="297">
        <f>DATA!E114</f>
        <v>1</v>
      </c>
      <c r="E115" s="297" t="str">
        <f>DATA!F114</f>
        <v>Kementerian Pekerjaan Umum dan Perumahan Rakyat</v>
      </c>
      <c r="F115" s="297" t="str">
        <f>DATA!H114</f>
        <v>Management of Water Resources Infrastructure Program</v>
      </c>
      <c r="G115" s="297" t="str">
        <f>DATA!I114</f>
        <v>L</v>
      </c>
      <c r="H115" s="297" t="str">
        <f>DATA!J114</f>
        <v xml:space="preserve">Program Pengelolaan Infrastruktur Sumber Daya Air </v>
      </c>
      <c r="I115" s="297">
        <f>DATA!K114</f>
        <v>3</v>
      </c>
      <c r="J115" s="321"/>
      <c r="K115" s="322"/>
      <c r="L115" s="333"/>
      <c r="M115" s="326">
        <v>81</v>
      </c>
      <c r="N115" s="332" t="str">
        <f>DATA!L114</f>
        <v>Engineering Service for Water Resources Infrastructure Management</v>
      </c>
      <c r="O115" s="308">
        <f>DATA!Q114</f>
        <v>1</v>
      </c>
      <c r="P115" s="308">
        <f>DATA!R114</f>
        <v>1</v>
      </c>
      <c r="Q115" s="346">
        <f>DATA!S114</f>
        <v>78</v>
      </c>
      <c r="R115" s="347">
        <f>DATA!T114</f>
        <v>50000000</v>
      </c>
      <c r="S115" s="369" t="str">
        <f>DATA!Y114</f>
        <v>Belum Ada Indikasi</v>
      </c>
      <c r="T115" s="370">
        <v>0</v>
      </c>
      <c r="U115" s="370">
        <f>DATA!AA114</f>
        <v>50000000</v>
      </c>
      <c r="V115" s="371" t="str">
        <f>DATA!Y114</f>
        <v>Belum Ada Indikasi</v>
      </c>
      <c r="W115" s="372">
        <f>DATA!AT114</f>
        <v>50000000</v>
      </c>
      <c r="X115" s="373"/>
      <c r="Y115" s="411" t="str">
        <f>DATA!AU114</f>
        <v>ADB</v>
      </c>
      <c r="Z115" s="412" t="str">
        <f>DATA!AW114</f>
        <v>sudah masuk COBP ADB</v>
      </c>
      <c r="AA115" s="414" t="str">
        <f>DATA!AN114</f>
        <v>siap</v>
      </c>
      <c r="AB115" s="415" t="str">
        <f>DATA!AO114</f>
        <v>tidak butuh lahan</v>
      </c>
      <c r="AC115" s="416" t="e">
        <f>DATA!#REF!</f>
        <v>#REF!</v>
      </c>
      <c r="AD115" s="372"/>
      <c r="AE115" s="413"/>
      <c r="AF115" s="411"/>
    </row>
    <row r="116" spans="1:32" s="294" customFormat="1" ht="33.75" customHeight="1">
      <c r="J116" s="316"/>
      <c r="K116" s="328"/>
      <c r="L116" s="318" t="str">
        <f>DATA!I117</f>
        <v>M</v>
      </c>
      <c r="M116" s="319" t="str">
        <f>DATA!J117</f>
        <v>Program Penyediaaan Perumahan Bagi MBR</v>
      </c>
      <c r="N116" s="329"/>
      <c r="O116" s="319"/>
      <c r="P116" s="319"/>
      <c r="Q116" s="363"/>
      <c r="R116" s="364">
        <f>+R117</f>
        <v>300000000</v>
      </c>
      <c r="S116" s="427"/>
      <c r="T116" s="366">
        <f t="shared" ref="T116:Z116" si="6">+T117</f>
        <v>300000000</v>
      </c>
      <c r="U116" s="366">
        <f t="shared" si="6"/>
        <v>0</v>
      </c>
      <c r="V116" s="367"/>
      <c r="W116" s="365">
        <f t="shared" si="6"/>
        <v>0</v>
      </c>
      <c r="X116" s="368"/>
      <c r="Y116" s="406"/>
      <c r="Z116" s="407" t="str">
        <f t="shared" si="6"/>
        <v>-</v>
      </c>
      <c r="AA116" s="419"/>
      <c r="AB116" s="420"/>
      <c r="AC116" s="421"/>
      <c r="AD116" s="365"/>
      <c r="AE116" s="366"/>
      <c r="AF116" s="406"/>
    </row>
    <row r="117" spans="1:32" ht="33" customHeight="1">
      <c r="A117" s="297">
        <f>DATA!A117</f>
        <v>88</v>
      </c>
      <c r="B117" s="297">
        <f>DATA!B117</f>
        <v>0</v>
      </c>
      <c r="C117" s="297" t="str">
        <f>DATA!D117</f>
        <v>INFRASTRUKTUR</v>
      </c>
      <c r="D117" s="297">
        <f>DATA!E117</f>
        <v>1</v>
      </c>
      <c r="E117" s="297" t="str">
        <f>DATA!F117</f>
        <v>Kementerian Pekerjaan Umum dan Perumahan Rakyat</v>
      </c>
      <c r="F117" s="297" t="str">
        <f>DATA!H117</f>
        <v>Program for Provision of Housing For Low-Income Households</v>
      </c>
      <c r="G117" s="297" t="str">
        <f>DATA!I117</f>
        <v>M</v>
      </c>
      <c r="H117" s="297" t="str">
        <f>DATA!J117</f>
        <v>Program Penyediaaan Perumahan Bagi MBR</v>
      </c>
      <c r="I117" s="297">
        <f>DATA!K117</f>
        <v>1</v>
      </c>
      <c r="J117" s="321"/>
      <c r="K117" s="333"/>
      <c r="L117" s="308"/>
      <c r="M117" s="326">
        <v>82</v>
      </c>
      <c r="N117" s="332" t="str">
        <f>DATA!L117</f>
        <v xml:space="preserve">Financial Support for Low Income Households </v>
      </c>
      <c r="O117" s="308">
        <f>DATA!Q117</f>
        <v>0</v>
      </c>
      <c r="P117" s="308">
        <f>DATA!R117</f>
        <v>0</v>
      </c>
      <c r="Q117" s="346">
        <f>DATA!S117</f>
        <v>79</v>
      </c>
      <c r="R117" s="347">
        <f>DATA!T117</f>
        <v>300000000</v>
      </c>
      <c r="S117" s="369" t="str">
        <f>DATA!Y117</f>
        <v>Bank Dunia</v>
      </c>
      <c r="T117" s="370">
        <f>DATA!AA117</f>
        <v>300000000</v>
      </c>
      <c r="U117" s="370">
        <v>0</v>
      </c>
      <c r="V117" s="371" t="str">
        <f>DATA!Y117</f>
        <v>Bank Dunia</v>
      </c>
      <c r="W117" s="372">
        <f>DATA!AT117</f>
        <v>0</v>
      </c>
      <c r="X117" s="373"/>
      <c r="Y117" s="411">
        <f>DATA!AU117</f>
        <v>0</v>
      </c>
      <c r="Z117" s="412" t="str">
        <f>DATA!AW117</f>
        <v>-</v>
      </c>
      <c r="AA117" s="414" t="str">
        <f>DATA!AN117</f>
        <v>belum ada keterangan</v>
      </c>
      <c r="AB117" s="415" t="str">
        <f>DATA!AO117</f>
        <v>belum ada keterangan</v>
      </c>
      <c r="AC117" s="416" t="e">
        <f>DATA!#REF!</f>
        <v>#REF!</v>
      </c>
      <c r="AD117" s="372"/>
      <c r="AE117" s="413"/>
      <c r="AF117" s="411"/>
    </row>
    <row r="118" spans="1:32" s="293" customFormat="1" ht="24.95" customHeight="1">
      <c r="J118" s="425"/>
      <c r="K118" s="313">
        <f>DATA!E118</f>
        <v>2</v>
      </c>
      <c r="L118" s="426" t="str">
        <f>DATA!F118</f>
        <v>PERUMNAS</v>
      </c>
      <c r="M118" s="314"/>
      <c r="N118" s="315"/>
      <c r="O118" s="314"/>
      <c r="P118" s="314"/>
      <c r="Q118" s="357"/>
      <c r="R118" s="358">
        <f>+R119</f>
        <v>200000000</v>
      </c>
      <c r="S118" s="428"/>
      <c r="T118" s="360">
        <f t="shared" ref="T118:Z119" si="7">+T119</f>
        <v>200000000</v>
      </c>
      <c r="U118" s="360">
        <f t="shared" si="7"/>
        <v>0</v>
      </c>
      <c r="V118" s="361">
        <f t="shared" si="7"/>
        <v>0</v>
      </c>
      <c r="W118" s="359">
        <f t="shared" si="7"/>
        <v>200000000</v>
      </c>
      <c r="X118" s="362"/>
      <c r="Y118" s="401"/>
      <c r="Z118" s="402" t="str">
        <f t="shared" si="7"/>
        <v>-</v>
      </c>
      <c r="AA118" s="430"/>
      <c r="AB118" s="431"/>
      <c r="AC118" s="432"/>
      <c r="AD118" s="359"/>
      <c r="AE118" s="360"/>
      <c r="AF118" s="401"/>
    </row>
    <row r="119" spans="1:32" s="294" customFormat="1" ht="33.75" customHeight="1">
      <c r="J119" s="316"/>
      <c r="K119" s="317"/>
      <c r="L119" s="318" t="str">
        <f>DATA!I118</f>
        <v>A</v>
      </c>
      <c r="M119" s="319" t="str">
        <f>DATA!J118</f>
        <v>Program Penyediaaan Perumahan Bagi MBR</v>
      </c>
      <c r="N119" s="329"/>
      <c r="O119" s="319"/>
      <c r="P119" s="319"/>
      <c r="Q119" s="363"/>
      <c r="R119" s="364">
        <f>+R120</f>
        <v>200000000</v>
      </c>
      <c r="S119" s="427"/>
      <c r="T119" s="366">
        <f t="shared" si="7"/>
        <v>200000000</v>
      </c>
      <c r="U119" s="366">
        <f t="shared" si="7"/>
        <v>0</v>
      </c>
      <c r="V119" s="367"/>
      <c r="W119" s="365">
        <f t="shared" si="7"/>
        <v>200000000</v>
      </c>
      <c r="X119" s="368"/>
      <c r="Y119" s="406"/>
      <c r="Z119" s="407" t="str">
        <f t="shared" si="7"/>
        <v>-</v>
      </c>
      <c r="AA119" s="419"/>
      <c r="AB119" s="420"/>
      <c r="AC119" s="421"/>
      <c r="AD119" s="365"/>
      <c r="AE119" s="366"/>
      <c r="AF119" s="406"/>
    </row>
    <row r="120" spans="1:32" ht="43.5" customHeight="1">
      <c r="A120" s="297">
        <f>DATA!A118</f>
        <v>89</v>
      </c>
      <c r="B120" s="297">
        <f>DATA!B118</f>
        <v>0</v>
      </c>
      <c r="C120" s="297" t="str">
        <f>DATA!D118</f>
        <v>INFRASTRUKTUR</v>
      </c>
      <c r="D120" s="297">
        <f>DATA!E118</f>
        <v>2</v>
      </c>
      <c r="E120" s="297" t="str">
        <f>DATA!F118</f>
        <v>PERUMNAS</v>
      </c>
      <c r="F120" s="297" t="str">
        <f>DATA!H118</f>
        <v>Program for Provision of Housing For Low-Income Households</v>
      </c>
      <c r="G120" s="297" t="str">
        <f>DATA!I118</f>
        <v>A</v>
      </c>
      <c r="H120" s="297" t="str">
        <f>DATA!J118</f>
        <v>Program Penyediaaan Perumahan Bagi MBR</v>
      </c>
      <c r="I120" s="297">
        <f>DATA!K118</f>
        <v>1</v>
      </c>
      <c r="J120" s="321"/>
      <c r="K120" s="333"/>
      <c r="L120" s="308"/>
      <c r="M120" s="326">
        <v>83</v>
      </c>
      <c r="N120" s="332" t="str">
        <f>DATA!L118</f>
        <v>Support for National Housing and Urban Development Cooperation</v>
      </c>
      <c r="O120" s="308">
        <f>DATA!Q118</f>
        <v>1</v>
      </c>
      <c r="P120" s="308">
        <f>DATA!R118</f>
        <v>1</v>
      </c>
      <c r="Q120" s="346">
        <f>DATA!S118</f>
        <v>80</v>
      </c>
      <c r="R120" s="347">
        <f>DATA!T118</f>
        <v>200000000</v>
      </c>
      <c r="S120" s="369" t="str">
        <f>DATA!Y118</f>
        <v>JICA</v>
      </c>
      <c r="T120" s="370">
        <f>DATA!AA118</f>
        <v>200000000</v>
      </c>
      <c r="U120" s="370"/>
      <c r="V120" s="371" t="str">
        <f>DATA!Y118</f>
        <v>JICA</v>
      </c>
      <c r="W120" s="372">
        <f>DATA!AT118</f>
        <v>200000000</v>
      </c>
      <c r="X120" s="373"/>
      <c r="Y120" s="411" t="str">
        <f>DATA!AU118</f>
        <v>JICA</v>
      </c>
      <c r="Z120" s="412" t="str">
        <f>DATA!AW118</f>
        <v>-</v>
      </c>
      <c r="AA120" s="414" t="str">
        <f>DATA!AN118</f>
        <v>dalam proses
(memiliki FS dan DED)</v>
      </c>
      <c r="AB120" s="415" t="str">
        <f>DATA!AO118</f>
        <v>siap</v>
      </c>
      <c r="AC120" s="416" t="e">
        <f>DATA!#REF!</f>
        <v>#REF!</v>
      </c>
      <c r="AD120" s="372"/>
      <c r="AE120" s="413"/>
      <c r="AF120" s="411"/>
    </row>
    <row r="121" spans="1:32" s="293" customFormat="1" ht="24.95" customHeight="1">
      <c r="J121" s="425"/>
      <c r="K121" s="313">
        <f>DATA!E119</f>
        <v>3</v>
      </c>
      <c r="L121" s="426" t="str">
        <f>DATA!F119</f>
        <v>Kementerian Perhubungan</v>
      </c>
      <c r="M121" s="313"/>
      <c r="N121" s="315"/>
      <c r="O121" s="314"/>
      <c r="P121" s="314"/>
      <c r="Q121" s="357"/>
      <c r="R121" s="358">
        <f>+R122</f>
        <v>5765336700</v>
      </c>
      <c r="S121" s="428"/>
      <c r="T121" s="360">
        <f>+T122</f>
        <v>5473000000</v>
      </c>
      <c r="U121" s="360">
        <f>+U122</f>
        <v>292336700</v>
      </c>
      <c r="V121" s="361"/>
      <c r="W121" s="359">
        <f>+W122</f>
        <v>5765336700</v>
      </c>
      <c r="X121" s="362"/>
      <c r="Y121" s="401"/>
      <c r="Z121" s="402"/>
      <c r="AA121" s="430"/>
      <c r="AB121" s="431"/>
      <c r="AC121" s="432"/>
      <c r="AD121" s="359">
        <f>SUM(AD122:AD127)</f>
        <v>204670000</v>
      </c>
      <c r="AE121" s="360">
        <f>SUM(AE122:AE127)</f>
        <v>15646793.25</v>
      </c>
      <c r="AF121" s="433"/>
    </row>
    <row r="122" spans="1:32" s="294" customFormat="1" ht="33.75" customHeight="1">
      <c r="J122" s="316"/>
      <c r="K122" s="317"/>
      <c r="L122" s="318" t="str">
        <f>DATA!I119</f>
        <v>A</v>
      </c>
      <c r="M122" s="319" t="str">
        <f>DATA!J119</f>
        <v>Program Pengembangan Perkeretaapian</v>
      </c>
      <c r="N122" s="329"/>
      <c r="O122" s="319"/>
      <c r="P122" s="319"/>
      <c r="Q122" s="363"/>
      <c r="R122" s="364">
        <f>R123+R124+R125+R126+R127</f>
        <v>5765336700</v>
      </c>
      <c r="S122" s="427"/>
      <c r="T122" s="366">
        <f>T123+T124+T125+T126+T127</f>
        <v>5473000000</v>
      </c>
      <c r="U122" s="366">
        <f>U123+U124+U125+U126+U127</f>
        <v>292336700</v>
      </c>
      <c r="V122" s="367"/>
      <c r="W122" s="365">
        <f>W123+W124+W125+W126+W127</f>
        <v>5765336700</v>
      </c>
      <c r="X122" s="368"/>
      <c r="Y122" s="406"/>
      <c r="Z122" s="407"/>
      <c r="AA122" s="419"/>
      <c r="AB122" s="420"/>
      <c r="AC122" s="421"/>
      <c r="AD122" s="365"/>
      <c r="AE122" s="366"/>
      <c r="AF122" s="422"/>
    </row>
    <row r="123" spans="1:32" ht="51" customHeight="1">
      <c r="A123" s="297">
        <f>DATA!A120</f>
        <v>91</v>
      </c>
      <c r="B123" s="297">
        <f>DATA!B120</f>
        <v>0</v>
      </c>
      <c r="C123" s="297" t="str">
        <f>DATA!D120</f>
        <v>INFRASTRUKTUR</v>
      </c>
      <c r="D123" s="297">
        <f>DATA!E120</f>
        <v>3</v>
      </c>
      <c r="E123" s="297" t="str">
        <f>DATA!F120</f>
        <v>Kementerian Perhubungan</v>
      </c>
      <c r="F123" s="297" t="str">
        <f>DATA!H120</f>
        <v>Railway Development Program</v>
      </c>
      <c r="G123" s="297" t="str">
        <f>DATA!I120</f>
        <v>A</v>
      </c>
      <c r="H123" s="297" t="str">
        <f>DATA!J120</f>
        <v>Program Pengembangan Perkeretaapian</v>
      </c>
      <c r="I123" s="297">
        <f>DATA!K120</f>
        <v>1</v>
      </c>
      <c r="J123" s="321"/>
      <c r="K123" s="322"/>
      <c r="L123" s="322"/>
      <c r="M123" s="323">
        <v>84</v>
      </c>
      <c r="N123" s="332" t="str">
        <f>DATA!L120</f>
        <v>Procurement of Track Material and Turn Out - Phase II</v>
      </c>
      <c r="O123" s="308">
        <f>DATA!Q120</f>
        <v>1</v>
      </c>
      <c r="P123" s="308">
        <f>DATA!R120</f>
        <v>1</v>
      </c>
      <c r="Q123" s="346">
        <f>DATA!S120</f>
        <v>81</v>
      </c>
      <c r="R123" s="347">
        <f>DATA!T120</f>
        <v>200000000</v>
      </c>
      <c r="S123" s="369" t="str">
        <f>DATA!Y120</f>
        <v>RRT</v>
      </c>
      <c r="T123" s="370">
        <f>DATA!AA120</f>
        <v>200000000</v>
      </c>
      <c r="U123" s="370">
        <v>0</v>
      </c>
      <c r="V123" s="371" t="str">
        <f>DATA!Y120</f>
        <v>RRT</v>
      </c>
      <c r="W123" s="372">
        <f>DATA!AT120</f>
        <v>200000000</v>
      </c>
      <c r="X123" s="373"/>
      <c r="Y123" s="411" t="str">
        <f>DATA!AU120</f>
        <v>RRT</v>
      </c>
      <c r="Z123" s="412" t="str">
        <f>DATA!AW120</f>
        <v>sudah kontrak</v>
      </c>
      <c r="AA123" s="434" t="str">
        <f>DATA!AN120</f>
        <v>dalam proses</v>
      </c>
      <c r="AB123" s="435" t="str">
        <f>DATA!AO120</f>
        <v>tidak butuh lahan</v>
      </c>
      <c r="AC123" s="436" t="e">
        <f>DATA!#REF!</f>
        <v>#REF!</v>
      </c>
      <c r="AD123" s="417">
        <f>DATA!AC120</f>
        <v>185470000</v>
      </c>
      <c r="AE123" s="308"/>
      <c r="AF123" s="395" t="s">
        <v>1443</v>
      </c>
    </row>
    <row r="124" spans="1:32" ht="45.75" customHeight="1">
      <c r="A124" s="297">
        <f>DATA!A121</f>
        <v>92</v>
      </c>
      <c r="B124" s="297">
        <f>DATA!B121</f>
        <v>0</v>
      </c>
      <c r="C124" s="297" t="str">
        <f>DATA!D121</f>
        <v>INFRASTRUKTUR</v>
      </c>
      <c r="D124" s="297">
        <f>DATA!E121</f>
        <v>3</v>
      </c>
      <c r="E124" s="297" t="str">
        <f>DATA!F121</f>
        <v>Kementerian Perhubungan</v>
      </c>
      <c r="F124" s="297" t="str">
        <f>DATA!H121</f>
        <v>Railway Development Program</v>
      </c>
      <c r="G124" s="297" t="str">
        <f>DATA!I121</f>
        <v>A</v>
      </c>
      <c r="H124" s="297" t="str">
        <f>DATA!J121</f>
        <v>Program Pengembangan Perkeretaapian</v>
      </c>
      <c r="I124" s="297">
        <f>DATA!K121</f>
        <v>1</v>
      </c>
      <c r="J124" s="321"/>
      <c r="K124" s="322"/>
      <c r="L124" s="322"/>
      <c r="M124" s="323">
        <v>85</v>
      </c>
      <c r="N124" s="332" t="str">
        <f>DATA!L121</f>
        <v>Procurement of Track Material and Turn Out - Phase III</v>
      </c>
      <c r="O124" s="308">
        <f>DATA!Q121</f>
        <v>1</v>
      </c>
      <c r="P124" s="308">
        <f>DATA!R121</f>
        <v>1</v>
      </c>
      <c r="Q124" s="346">
        <f>DATA!S121</f>
        <v>82</v>
      </c>
      <c r="R124" s="347">
        <f>DATA!T121</f>
        <v>292336700</v>
      </c>
      <c r="S124" s="369" t="str">
        <f>DATA!Y121</f>
        <v>Belum Ada Indikasi</v>
      </c>
      <c r="T124" s="370">
        <v>0</v>
      </c>
      <c r="U124" s="370">
        <f>DATA!AA121</f>
        <v>292336700</v>
      </c>
      <c r="V124" s="371" t="str">
        <f>DATA!Y121</f>
        <v>Belum Ada Indikasi</v>
      </c>
      <c r="W124" s="372">
        <f>DATA!AT121</f>
        <v>292336700</v>
      </c>
      <c r="X124" s="373"/>
      <c r="Y124" s="411" t="str">
        <f>DATA!AU121</f>
        <v>AIIB</v>
      </c>
      <c r="Z124" s="412" t="str">
        <f>DATA!AW121</f>
        <v>- usulan K/L semula lender: Belum Ada Indikasi
- usulan Dit.Multilateral, diusulkan kepada AIIB.</v>
      </c>
      <c r="AA124" s="434" t="str">
        <f>DATA!AN121</f>
        <v>belum ada keterangan</v>
      </c>
      <c r="AB124" s="435" t="str">
        <f>DATA!AO121</f>
        <v>tidak butuh lahan</v>
      </c>
      <c r="AC124" s="436" t="e">
        <f>DATA!#REF!</f>
        <v>#REF!</v>
      </c>
      <c r="AD124" s="372"/>
      <c r="AE124" s="413"/>
      <c r="AF124" s="411"/>
    </row>
    <row r="125" spans="1:32" ht="45" customHeight="1">
      <c r="A125" s="297">
        <f>DATA!A123</f>
        <v>93</v>
      </c>
      <c r="B125" s="297">
        <f>DATA!B123</f>
        <v>0</v>
      </c>
      <c r="C125" s="297" t="str">
        <f>DATA!D123</f>
        <v>INFRASTRUKTUR</v>
      </c>
      <c r="D125" s="297">
        <f>DATA!E123</f>
        <v>3</v>
      </c>
      <c r="E125" s="297" t="str">
        <f>DATA!F123</f>
        <v>Kementerian Perhubungan</v>
      </c>
      <c r="F125" s="297" t="str">
        <f>DATA!H123</f>
        <v>Railway Development Program</v>
      </c>
      <c r="G125" s="297" t="str">
        <f>DATA!I123</f>
        <v>A</v>
      </c>
      <c r="H125" s="297" t="str">
        <f>DATA!J123</f>
        <v>Program Pengembangan Perkeretaapian</v>
      </c>
      <c r="I125" s="297">
        <f>DATA!K123</f>
        <v>2</v>
      </c>
      <c r="J125" s="321"/>
      <c r="K125" s="322"/>
      <c r="L125" s="322"/>
      <c r="M125" s="323">
        <v>86</v>
      </c>
      <c r="N125" s="332" t="str">
        <f>DATA!L123</f>
        <v xml:space="preserve">Construction of Jakarta Mass Rapid Transit Project - Phase II </v>
      </c>
      <c r="O125" s="308">
        <f>DATA!Q123</f>
        <v>1</v>
      </c>
      <c r="P125" s="308">
        <f>DATA!R123</f>
        <v>1</v>
      </c>
      <c r="Q125" s="346">
        <f>DATA!S123</f>
        <v>83</v>
      </c>
      <c r="R125" s="347">
        <f>DATA!T123</f>
        <v>1678000000</v>
      </c>
      <c r="S125" s="369" t="str">
        <f>DATA!Y123</f>
        <v>JICA</v>
      </c>
      <c r="T125" s="370">
        <f>DATA!AA123</f>
        <v>1678000000</v>
      </c>
      <c r="U125" s="370">
        <v>0</v>
      </c>
      <c r="V125" s="371" t="str">
        <f>DATA!Y123</f>
        <v>JICA</v>
      </c>
      <c r="W125" s="372">
        <f>DATA!AT123</f>
        <v>1678000000</v>
      </c>
      <c r="X125" s="373"/>
      <c r="Y125" s="411" t="str">
        <f>DATA!AU123</f>
        <v>JICA</v>
      </c>
      <c r="Z125" s="412" t="str">
        <f>DATA!AW123</f>
        <v>Belum proses</v>
      </c>
      <c r="AA125" s="434" t="str">
        <f>DATA!AN123</f>
        <v>dalam proses
(memiliki FS)</v>
      </c>
      <c r="AB125" s="435" t="str">
        <f>DATA!AO123</f>
        <v>dalam proses
(perencanaan)</v>
      </c>
      <c r="AC125" s="436" t="e">
        <f>DATA!#REF!</f>
        <v>#REF!</v>
      </c>
      <c r="AD125" s="372"/>
      <c r="AE125" s="413"/>
      <c r="AF125" s="411"/>
    </row>
    <row r="126" spans="1:32" ht="39.75" customHeight="1">
      <c r="A126" s="297">
        <f>DATA!A124</f>
        <v>94</v>
      </c>
      <c r="B126" s="297">
        <f>DATA!B124</f>
        <v>0</v>
      </c>
      <c r="C126" s="297" t="str">
        <f>DATA!D124</f>
        <v>INFRASTRUKTUR</v>
      </c>
      <c r="D126" s="297">
        <f>DATA!E124</f>
        <v>3</v>
      </c>
      <c r="E126" s="297" t="str">
        <f>DATA!F124</f>
        <v>Kementerian Perhubungan</v>
      </c>
      <c r="F126" s="297" t="str">
        <f>DATA!H124</f>
        <v>Railway Development Program</v>
      </c>
      <c r="G126" s="297" t="str">
        <f>DATA!I124</f>
        <v>A</v>
      </c>
      <c r="H126" s="297" t="str">
        <f>DATA!J124</f>
        <v>Program Pengembangan Perkeretaapian</v>
      </c>
      <c r="I126" s="297">
        <f>DATA!K124</f>
        <v>3</v>
      </c>
      <c r="J126" s="321"/>
      <c r="K126" s="322"/>
      <c r="L126" s="322"/>
      <c r="M126" s="323">
        <v>87</v>
      </c>
      <c r="N126" s="332" t="str">
        <f>DATA!L124</f>
        <v>Construction of Jakarta Mass Rapid Transit East-West Line Project - Phase I</v>
      </c>
      <c r="O126" s="308">
        <f>DATA!Q124</f>
        <v>1</v>
      </c>
      <c r="P126" s="308">
        <f>DATA!R124</f>
        <v>1</v>
      </c>
      <c r="Q126" s="346">
        <f>DATA!S124</f>
        <v>84</v>
      </c>
      <c r="R126" s="347">
        <f>DATA!T124</f>
        <v>3572000000</v>
      </c>
      <c r="S126" s="369" t="str">
        <f>DATA!Y124</f>
        <v>JICA</v>
      </c>
      <c r="T126" s="370">
        <f>DATA!AA124</f>
        <v>3572000000</v>
      </c>
      <c r="U126" s="370">
        <v>0</v>
      </c>
      <c r="V126" s="371" t="str">
        <f>DATA!Y124</f>
        <v>JICA</v>
      </c>
      <c r="W126" s="372">
        <f>DATA!AT124</f>
        <v>3572000000</v>
      </c>
      <c r="X126" s="373"/>
      <c r="Y126" s="411" t="str">
        <f>DATA!AU124</f>
        <v>JICA</v>
      </c>
      <c r="Z126" s="412" t="str">
        <f>DATA!AW124</f>
        <v>Sebagian akan diteruspinjamkan kepada Pemprov. DKI Jakarta</v>
      </c>
      <c r="AA126" s="434" t="str">
        <f>DATA!AN124</f>
        <v>dalam proses
(memiliki FS)</v>
      </c>
      <c r="AB126" s="435" t="str">
        <f>DATA!AO124</f>
        <v>dalam proses
(perencanaan)</v>
      </c>
      <c r="AC126" s="436" t="e">
        <f>DATA!#REF!</f>
        <v>#REF!</v>
      </c>
      <c r="AD126" s="372"/>
      <c r="AE126" s="413"/>
      <c r="AF126" s="411"/>
    </row>
    <row r="127" spans="1:32" ht="51.75" customHeight="1">
      <c r="A127" s="297">
        <f>DATA!A125</f>
        <v>95</v>
      </c>
      <c r="B127" s="297">
        <f>DATA!B125</f>
        <v>0</v>
      </c>
      <c r="C127" s="297" t="str">
        <f>DATA!D125</f>
        <v>INFRASTRUKTUR</v>
      </c>
      <c r="D127" s="297">
        <f>DATA!E125</f>
        <v>3</v>
      </c>
      <c r="E127" s="297" t="str">
        <f>DATA!F125</f>
        <v>Kementerian Perhubungan</v>
      </c>
      <c r="F127" s="297" t="str">
        <f>DATA!H125</f>
        <v>Railway Development Program</v>
      </c>
      <c r="G127" s="297" t="str">
        <f>DATA!I125</f>
        <v>A</v>
      </c>
      <c r="H127" s="297" t="str">
        <f>DATA!J125</f>
        <v>Program Pengembangan Perkeretaapian</v>
      </c>
      <c r="I127" s="297">
        <f>DATA!K125</f>
        <v>4</v>
      </c>
      <c r="J127" s="321"/>
      <c r="K127" s="333"/>
      <c r="L127" s="333"/>
      <c r="M127" s="323">
        <v>88</v>
      </c>
      <c r="N127" s="332" t="str">
        <f>DATA!L125</f>
        <v xml:space="preserve">Engineering Services Jakarta Mass Rapid Transit (MRT) East West Line Project - Phase I </v>
      </c>
      <c r="O127" s="308">
        <f>DATA!Q125</f>
        <v>1</v>
      </c>
      <c r="P127" s="308">
        <f>DATA!R125</f>
        <v>1</v>
      </c>
      <c r="Q127" s="346">
        <f>DATA!S125</f>
        <v>86</v>
      </c>
      <c r="R127" s="347">
        <f>DATA!T125</f>
        <v>23000000</v>
      </c>
      <c r="S127" s="369" t="str">
        <f>DATA!Y125</f>
        <v>JICA</v>
      </c>
      <c r="T127" s="370">
        <f>DATA!AA125</f>
        <v>23000000</v>
      </c>
      <c r="U127" s="370">
        <v>0</v>
      </c>
      <c r="V127" s="371" t="str">
        <f>DATA!Y125</f>
        <v>JICA</v>
      </c>
      <c r="W127" s="372">
        <f>DATA!AT125</f>
        <v>23000000</v>
      </c>
      <c r="X127" s="373"/>
      <c r="Y127" s="411" t="str">
        <f>DATA!AU125</f>
        <v>JICA</v>
      </c>
      <c r="Z127" s="412" t="str">
        <f>DATA!AW125</f>
        <v>LA sudah ditandatangani</v>
      </c>
      <c r="AA127" s="434" t="str">
        <f>DATA!AN125</f>
        <v>siap</v>
      </c>
      <c r="AB127" s="435" t="str">
        <f>DATA!AO125</f>
        <v>tidak butuh lahan</v>
      </c>
      <c r="AC127" s="436" t="e">
        <f>DATA!#REF!</f>
        <v>#REF!</v>
      </c>
      <c r="AD127" s="417">
        <f>DATA!AC125</f>
        <v>19200000</v>
      </c>
      <c r="AE127" s="418">
        <f>DATA!AD125</f>
        <v>15646793.25</v>
      </c>
      <c r="AF127" s="395" t="s">
        <v>1445</v>
      </c>
    </row>
    <row r="128" spans="1:32" s="293" customFormat="1" ht="24.95" customHeight="1">
      <c r="J128" s="425"/>
      <c r="K128" s="313">
        <f>DATA!E130</f>
        <v>4</v>
      </c>
      <c r="L128" s="426" t="str">
        <f>DATA!F130</f>
        <v>Pemprov. DKI Jakarta</v>
      </c>
      <c r="M128" s="313"/>
      <c r="N128" s="315"/>
      <c r="O128" s="314"/>
      <c r="P128" s="314"/>
      <c r="Q128" s="357"/>
      <c r="R128" s="358">
        <f>+R129</f>
        <v>1050000000</v>
      </c>
      <c r="S128" s="428"/>
      <c r="T128" s="360">
        <f t="shared" ref="T128:Z129" si="8">+T129</f>
        <v>1050000000</v>
      </c>
      <c r="U128" s="360">
        <f t="shared" si="8"/>
        <v>0</v>
      </c>
      <c r="V128" s="361"/>
      <c r="W128" s="359">
        <f t="shared" si="8"/>
        <v>1050000000</v>
      </c>
      <c r="X128" s="362"/>
      <c r="Y128" s="401"/>
      <c r="Z128" s="402" t="str">
        <f t="shared" si="8"/>
        <v>-</v>
      </c>
      <c r="AA128" s="430"/>
      <c r="AB128" s="431"/>
      <c r="AC128" s="432"/>
      <c r="AD128" s="359">
        <f>SUM(AD129:AD130)</f>
        <v>752200000</v>
      </c>
      <c r="AE128" s="360">
        <f>SUM(AE129:AE130)</f>
        <v>613298850.72000003</v>
      </c>
      <c r="AF128" s="437"/>
    </row>
    <row r="129" spans="1:32" s="294" customFormat="1" ht="33.75" customHeight="1">
      <c r="J129" s="316"/>
      <c r="K129" s="317"/>
      <c r="L129" s="318" t="str">
        <f>DATA!I130</f>
        <v>A</v>
      </c>
      <c r="M129" s="319" t="str">
        <f>DATA!J130</f>
        <v>Program Pengembangan Perkeretaapian</v>
      </c>
      <c r="N129" s="329"/>
      <c r="O129" s="319"/>
      <c r="P129" s="319"/>
      <c r="Q129" s="363"/>
      <c r="R129" s="364">
        <f>+R130</f>
        <v>1050000000</v>
      </c>
      <c r="S129" s="427"/>
      <c r="T129" s="366">
        <f t="shared" si="8"/>
        <v>1050000000</v>
      </c>
      <c r="U129" s="366">
        <f t="shared" si="8"/>
        <v>0</v>
      </c>
      <c r="V129" s="367"/>
      <c r="W129" s="365">
        <f t="shared" si="8"/>
        <v>1050000000</v>
      </c>
      <c r="X129" s="368"/>
      <c r="Y129" s="406"/>
      <c r="Z129" s="407" t="str">
        <f t="shared" si="8"/>
        <v>-</v>
      </c>
      <c r="AA129" s="419"/>
      <c r="AB129" s="420"/>
      <c r="AC129" s="421"/>
      <c r="AD129" s="365"/>
      <c r="AE129" s="366"/>
      <c r="AF129" s="422"/>
    </row>
    <row r="130" spans="1:32" s="295" customFormat="1" ht="54.75" customHeight="1">
      <c r="A130" s="295">
        <f>DATA!A130</f>
        <v>96</v>
      </c>
      <c r="B130" s="295">
        <f>DATA!B130</f>
        <v>0</v>
      </c>
      <c r="C130" s="295" t="str">
        <f>DATA!D130</f>
        <v>INFRASTRUKTUR</v>
      </c>
      <c r="D130" s="295">
        <f>DATA!E130</f>
        <v>4</v>
      </c>
      <c r="E130" s="295" t="str">
        <f>DATA!F130</f>
        <v>Pemprov. DKI Jakarta</v>
      </c>
      <c r="F130" s="295" t="str">
        <f>DATA!H130</f>
        <v>Railway Development Program</v>
      </c>
      <c r="G130" s="295" t="str">
        <f>DATA!I130</f>
        <v>A</v>
      </c>
      <c r="H130" s="295" t="str">
        <f>DATA!J130</f>
        <v>Program Pengembangan Perkeretaapian</v>
      </c>
      <c r="I130" s="295">
        <f>DATA!K130</f>
        <v>1</v>
      </c>
      <c r="J130" s="438"/>
      <c r="K130" s="439"/>
      <c r="L130" s="440"/>
      <c r="M130" s="441">
        <v>89</v>
      </c>
      <c r="N130" s="442" t="s">
        <v>1446</v>
      </c>
      <c r="O130" s="440">
        <f>DATA!Q130</f>
        <v>1</v>
      </c>
      <c r="P130" s="440">
        <f>DATA!R130</f>
        <v>1</v>
      </c>
      <c r="Q130" s="445">
        <f>DATA!S130</f>
        <v>85</v>
      </c>
      <c r="R130" s="446">
        <f>DATA!T130</f>
        <v>1050000000</v>
      </c>
      <c r="S130" s="447" t="str">
        <f>DATA!Y130</f>
        <v>JICA</v>
      </c>
      <c r="T130" s="370">
        <f>DATA!AA130</f>
        <v>1050000000</v>
      </c>
      <c r="U130" s="448">
        <v>0</v>
      </c>
      <c r="V130" s="371" t="str">
        <f>DATA!Y130</f>
        <v>JICA</v>
      </c>
      <c r="W130" s="449">
        <f>DATA!AT130</f>
        <v>1050000000</v>
      </c>
      <c r="X130" s="450"/>
      <c r="Y130" s="453" t="str">
        <f>DATA!AU130</f>
        <v>JICA</v>
      </c>
      <c r="Z130" s="454" t="str">
        <f>DATA!AW130</f>
        <v>-</v>
      </c>
      <c r="AA130" s="434" t="str">
        <f>DATA!AN130</f>
        <v>siap</v>
      </c>
      <c r="AB130" s="435" t="str">
        <f>DATA!AO130</f>
        <v>siap</v>
      </c>
      <c r="AC130" s="436" t="e">
        <f>DATA!#REF!</f>
        <v>#REF!</v>
      </c>
      <c r="AD130" s="455">
        <f>DATA!AC130</f>
        <v>752200000</v>
      </c>
      <c r="AE130" s="456">
        <f>DATA!AD130</f>
        <v>613298850.72000003</v>
      </c>
      <c r="AF130" s="395" t="s">
        <v>1445</v>
      </c>
    </row>
    <row r="131" spans="1:32" s="293" customFormat="1" ht="24.95" customHeight="1">
      <c r="J131" s="425"/>
      <c r="K131" s="313">
        <f>DATA!E135</f>
        <v>5</v>
      </c>
      <c r="L131" s="426" t="str">
        <f>DATA!F135</f>
        <v>Kementerian Komunikasi dan Informatika</v>
      </c>
      <c r="M131" s="313"/>
      <c r="N131" s="315"/>
      <c r="O131" s="314"/>
      <c r="P131" s="314"/>
      <c r="Q131" s="357"/>
      <c r="R131" s="358">
        <f>+R132</f>
        <v>1056000000</v>
      </c>
      <c r="S131" s="428"/>
      <c r="T131" s="360">
        <f>+T132</f>
        <v>645000000</v>
      </c>
      <c r="U131" s="360">
        <f>+U132</f>
        <v>411000000</v>
      </c>
      <c r="V131" s="361"/>
      <c r="W131" s="359">
        <f>+W132</f>
        <v>645000000</v>
      </c>
      <c r="X131" s="362">
        <f>+X132</f>
        <v>411000000</v>
      </c>
      <c r="Y131" s="401"/>
      <c r="Z131" s="402"/>
      <c r="AA131" s="430"/>
      <c r="AB131" s="431"/>
      <c r="AC131" s="432"/>
      <c r="AD131" s="359"/>
      <c r="AE131" s="360"/>
      <c r="AF131" s="401"/>
    </row>
    <row r="132" spans="1:32" s="294" customFormat="1" ht="33.75" customHeight="1">
      <c r="J132" s="316"/>
      <c r="K132" s="317"/>
      <c r="L132" s="318" t="str">
        <f>DATA!I135</f>
        <v>A</v>
      </c>
      <c r="M132" s="319" t="str">
        <f>DATA!J135</f>
        <v>Program Pengembangan Infrastruktur TIK dan Penyiaran</v>
      </c>
      <c r="N132" s="329"/>
      <c r="O132" s="319"/>
      <c r="P132" s="319"/>
      <c r="Q132" s="363"/>
      <c r="R132" s="364">
        <f>+R133+R134+R135</f>
        <v>1056000000</v>
      </c>
      <c r="S132" s="427"/>
      <c r="T132" s="366">
        <f>+T133+T134+T135</f>
        <v>645000000</v>
      </c>
      <c r="U132" s="366">
        <f>+U133+U134+U135</f>
        <v>411000000</v>
      </c>
      <c r="V132" s="367"/>
      <c r="W132" s="365">
        <f>+W133+W134+W135</f>
        <v>645000000</v>
      </c>
      <c r="X132" s="368">
        <f>+X133+X134+X135</f>
        <v>411000000</v>
      </c>
      <c r="Y132" s="406"/>
      <c r="Z132" s="407"/>
      <c r="AA132" s="419"/>
      <c r="AB132" s="420"/>
      <c r="AC132" s="421"/>
      <c r="AD132" s="365"/>
      <c r="AE132" s="366"/>
      <c r="AF132" s="406"/>
    </row>
    <row r="133" spans="1:32" ht="46.5" customHeight="1">
      <c r="A133" s="297">
        <f>DATA!A135</f>
        <v>97</v>
      </c>
      <c r="B133" s="297">
        <f>DATA!B135</f>
        <v>0</v>
      </c>
      <c r="C133" s="297" t="str">
        <f>DATA!D135</f>
        <v>INFRASTRUKTUR</v>
      </c>
      <c r="D133" s="297">
        <f>DATA!E135</f>
        <v>5</v>
      </c>
      <c r="E133" s="297" t="str">
        <f>DATA!F135</f>
        <v>Kementerian Komunikasi dan Informatika</v>
      </c>
      <c r="F133" s="297" t="str">
        <f>DATA!H135</f>
        <v>Information Communication And Technology (ICT) And Broadcasting Infrastructure Development Program</v>
      </c>
      <c r="G133" s="297" t="str">
        <f>DATA!I135</f>
        <v>A</v>
      </c>
      <c r="H133" s="297" t="str">
        <f>DATA!J135</f>
        <v>Program Pengembangan Infrastruktur TIK dan Penyiaran</v>
      </c>
      <c r="I133" s="297">
        <f>DATA!K135</f>
        <v>1</v>
      </c>
      <c r="J133" s="321"/>
      <c r="K133" s="322"/>
      <c r="L133" s="330"/>
      <c r="M133" s="326">
        <v>90</v>
      </c>
      <c r="N133" s="332" t="str">
        <f>DATA!L135</f>
        <v>Improvement on TV Transmitting Stations (Digitalization of TVRI) - Phase III</v>
      </c>
      <c r="O133" s="308">
        <f>DATA!Q135</f>
        <v>1</v>
      </c>
      <c r="P133" s="308">
        <f>DATA!R135</f>
        <v>1</v>
      </c>
      <c r="Q133" s="346">
        <f>DATA!S135</f>
        <v>87</v>
      </c>
      <c r="R133" s="347">
        <f>DATA!T135</f>
        <v>411000000</v>
      </c>
      <c r="S133" s="369" t="str">
        <f>DATA!Y135</f>
        <v>Belum Ada Indikasi</v>
      </c>
      <c r="T133" s="370">
        <v>0</v>
      </c>
      <c r="U133" s="370">
        <f>DATA!AA135</f>
        <v>411000000</v>
      </c>
      <c r="V133" s="371" t="str">
        <f>DATA!Y135</f>
        <v>Belum Ada Indikasi</v>
      </c>
      <c r="W133" s="372"/>
      <c r="X133" s="373">
        <f>DATA!AT135</f>
        <v>411000000</v>
      </c>
      <c r="Y133" s="411" t="str">
        <f>DATA!AU135</f>
        <v>US EXIM/Perancis</v>
      </c>
      <c r="Z133" s="423" t="str">
        <f>DATA!AW135</f>
        <v>-</v>
      </c>
      <c r="AA133" s="414" t="str">
        <f>DATA!AN135</f>
        <v>dalam proses
(penyusunan FS)</v>
      </c>
      <c r="AB133" s="415" t="str">
        <f>DATA!AO135</f>
        <v>siap</v>
      </c>
      <c r="AC133" s="416" t="e">
        <f>DATA!#REF!</f>
        <v>#REF!</v>
      </c>
      <c r="AD133" s="372"/>
      <c r="AE133" s="413"/>
      <c r="AF133" s="411"/>
    </row>
    <row r="134" spans="1:32" ht="35.25" customHeight="1">
      <c r="A134" s="297">
        <f>DATA!A136</f>
        <v>98</v>
      </c>
      <c r="B134" s="297">
        <f>DATA!B136</f>
        <v>0</v>
      </c>
      <c r="C134" s="297" t="str">
        <f>DATA!D136</f>
        <v>INFRASTRUKTUR</v>
      </c>
      <c r="D134" s="297">
        <f>DATA!E136</f>
        <v>5</v>
      </c>
      <c r="E134" s="297" t="str">
        <f>DATA!F136</f>
        <v>Kementerian Komunikasi dan Informatika</v>
      </c>
      <c r="F134" s="297" t="str">
        <f>DATA!H136</f>
        <v>Information Communication And Technology (ICT) And Broadcasting Infrastructure Development Program</v>
      </c>
      <c r="G134" s="297" t="str">
        <f>DATA!I136</f>
        <v>A</v>
      </c>
      <c r="H134" s="297" t="str">
        <f>DATA!J136</f>
        <v>Program Pengembangan Infrastruktur TIK dan Penyiaran</v>
      </c>
      <c r="I134" s="297">
        <f>DATA!K136</f>
        <v>2</v>
      </c>
      <c r="J134" s="321"/>
      <c r="K134" s="322"/>
      <c r="L134" s="322"/>
      <c r="M134" s="326">
        <v>91</v>
      </c>
      <c r="N134" s="332" t="str">
        <f>DATA!L136</f>
        <v>Strengthening of e-Government Infrastructure</v>
      </c>
      <c r="O134" s="308">
        <f>DATA!Q136</f>
        <v>1</v>
      </c>
      <c r="P134" s="308">
        <f>DATA!R136</f>
        <v>1</v>
      </c>
      <c r="Q134" s="346">
        <f>DATA!S136</f>
        <v>88</v>
      </c>
      <c r="R134" s="347">
        <f>DATA!T136</f>
        <v>145000000</v>
      </c>
      <c r="S134" s="369" t="str">
        <f>DATA!Y136</f>
        <v>Korea</v>
      </c>
      <c r="T134" s="370">
        <f>DATA!AA136</f>
        <v>145000000</v>
      </c>
      <c r="U134" s="370"/>
      <c r="V134" s="371" t="str">
        <f>DATA!Y136</f>
        <v>Korea</v>
      </c>
      <c r="W134" s="372">
        <f>DATA!AT136</f>
        <v>145000000</v>
      </c>
      <c r="X134" s="373"/>
      <c r="Y134" s="411" t="str">
        <f>DATA!AU136</f>
        <v>Korea</v>
      </c>
      <c r="Z134" s="429" t="str">
        <f>DATA!AW136</f>
        <v>masuk rolling plan EDCF (Korea)</v>
      </c>
      <c r="AA134" s="414" t="str">
        <f>DATA!AN136</f>
        <v>dalam proses
(penyusunan FS)</v>
      </c>
      <c r="AB134" s="415" t="str">
        <f>DATA!AO136</f>
        <v>dalam proses
(persiapan)</v>
      </c>
      <c r="AC134" s="416" t="e">
        <f>DATA!#REF!</f>
        <v>#REF!</v>
      </c>
      <c r="AD134" s="372"/>
      <c r="AE134" s="413"/>
      <c r="AF134" s="411"/>
    </row>
    <row r="135" spans="1:32" ht="40.5" customHeight="1">
      <c r="A135" s="297">
        <f>DATA!A137</f>
        <v>99</v>
      </c>
      <c r="B135" s="297">
        <f>DATA!B137</f>
        <v>0</v>
      </c>
      <c r="C135" s="297" t="str">
        <f>DATA!D137</f>
        <v>INFRASTRUKTUR</v>
      </c>
      <c r="D135" s="297">
        <f>DATA!E137</f>
        <v>5</v>
      </c>
      <c r="E135" s="297" t="str">
        <f>DATA!F137</f>
        <v>Kementerian Komunikasi dan Informatika</v>
      </c>
      <c r="F135" s="297" t="str">
        <f>DATA!H137</f>
        <v>Information Communication And Technology (ICT) And Broadcasting Infrastructure Development Program</v>
      </c>
      <c r="G135" s="297" t="str">
        <f>DATA!I137</f>
        <v>A</v>
      </c>
      <c r="H135" s="297" t="str">
        <f>DATA!J137</f>
        <v>Program Pengembangan Infrastruktur TIK dan Penyiaran</v>
      </c>
      <c r="I135" s="297">
        <f>DATA!K137</f>
        <v>3</v>
      </c>
      <c r="J135" s="321"/>
      <c r="K135" s="333"/>
      <c r="L135" s="333"/>
      <c r="M135" s="326">
        <v>92</v>
      </c>
      <c r="N135" s="332" t="str">
        <f>DATA!L137</f>
        <v>National Fiber Optic Backbone (Palapa Ring)</v>
      </c>
      <c r="O135" s="308">
        <f>DATA!Q137</f>
        <v>1</v>
      </c>
      <c r="P135" s="308">
        <f>DATA!R137</f>
        <v>1</v>
      </c>
      <c r="Q135" s="346">
        <f>DATA!S137</f>
        <v>89</v>
      </c>
      <c r="R135" s="347">
        <f>DATA!T137</f>
        <v>500000000</v>
      </c>
      <c r="S135" s="369" t="str">
        <f>DATA!Y137</f>
        <v>KPS</v>
      </c>
      <c r="T135" s="370">
        <f>DATA!AA137</f>
        <v>500000000</v>
      </c>
      <c r="U135" s="370"/>
      <c r="V135" s="371" t="str">
        <f>DATA!Y137</f>
        <v>KPS</v>
      </c>
      <c r="W135" s="372">
        <f>DATA!AT137</f>
        <v>500000000</v>
      </c>
      <c r="X135" s="373"/>
      <c r="Y135" s="411" t="str">
        <f>DATA!AU137</f>
        <v>KPS</v>
      </c>
      <c r="Z135" s="423" t="str">
        <f>DATA!AW137</f>
        <v>-</v>
      </c>
      <c r="AA135" s="414" t="str">
        <f>DATA!AN137</f>
        <v>belum ada keterangan</v>
      </c>
      <c r="AB135" s="415" t="str">
        <f>DATA!AO137</f>
        <v>belum ada keterangan</v>
      </c>
      <c r="AC135" s="416" t="str">
        <f>DATA!AR137</f>
        <v>dialihkan ke pendanaan KPS</v>
      </c>
      <c r="AD135" s="372"/>
      <c r="AE135" s="413"/>
      <c r="AF135" s="411"/>
    </row>
    <row r="136" spans="1:32" s="293" customFormat="1" ht="24.95" customHeight="1">
      <c r="J136" s="425"/>
      <c r="K136" s="313">
        <f>DATA!E138</f>
        <v>6</v>
      </c>
      <c r="L136" s="426" t="str">
        <f>DATA!F138</f>
        <v>Kepolisian RI</v>
      </c>
      <c r="M136" s="313"/>
      <c r="N136" s="315"/>
      <c r="O136" s="314"/>
      <c r="P136" s="314"/>
      <c r="Q136" s="357"/>
      <c r="R136" s="358">
        <f>+R137</f>
        <v>20000000</v>
      </c>
      <c r="S136" s="428"/>
      <c r="T136" s="360">
        <f t="shared" ref="T136:W137" si="9">+T137</f>
        <v>20000000</v>
      </c>
      <c r="U136" s="360">
        <f t="shared" si="9"/>
        <v>0</v>
      </c>
      <c r="V136" s="361"/>
      <c r="W136" s="359">
        <f t="shared" si="9"/>
        <v>20000000</v>
      </c>
      <c r="X136" s="362"/>
      <c r="Y136" s="401"/>
      <c r="Z136" s="402"/>
      <c r="AA136" s="430"/>
      <c r="AB136" s="431"/>
      <c r="AC136" s="432"/>
      <c r="AD136" s="359">
        <f>SUM(AD137:AD138)</f>
        <v>20000000</v>
      </c>
      <c r="AE136" s="360"/>
      <c r="AF136" s="401"/>
    </row>
    <row r="137" spans="1:32" s="294" customFormat="1" ht="33.75" customHeight="1">
      <c r="J137" s="316"/>
      <c r="K137" s="317"/>
      <c r="L137" s="318" t="str">
        <f>DATA!I138</f>
        <v>A</v>
      </c>
      <c r="M137" s="3918" t="str">
        <f>DATA!J138</f>
        <v>Program Pengembangan Infrastruktur TIK dan Penyiaran</v>
      </c>
      <c r="N137" s="3919"/>
      <c r="O137" s="319"/>
      <c r="P137" s="319"/>
      <c r="Q137" s="363"/>
      <c r="R137" s="364">
        <f>+R138</f>
        <v>20000000</v>
      </c>
      <c r="S137" s="427"/>
      <c r="T137" s="366">
        <f t="shared" si="9"/>
        <v>20000000</v>
      </c>
      <c r="U137" s="366">
        <f t="shared" si="9"/>
        <v>0</v>
      </c>
      <c r="V137" s="367"/>
      <c r="W137" s="365">
        <f t="shared" si="9"/>
        <v>20000000</v>
      </c>
      <c r="X137" s="368"/>
      <c r="Y137" s="406"/>
      <c r="Z137" s="407"/>
      <c r="AA137" s="419"/>
      <c r="AB137" s="420"/>
      <c r="AC137" s="421"/>
      <c r="AD137" s="365"/>
      <c r="AE137" s="366"/>
      <c r="AF137" s="406"/>
    </row>
    <row r="138" spans="1:32" s="295" customFormat="1" ht="47.25" customHeight="1">
      <c r="A138" s="295">
        <f>DATA!A138</f>
        <v>100</v>
      </c>
      <c r="B138" s="295">
        <f>DATA!B138</f>
        <v>0</v>
      </c>
      <c r="C138" s="295" t="str">
        <f>DATA!D138</f>
        <v>INFRASTRUKTUR</v>
      </c>
      <c r="D138" s="295">
        <f>DATA!E138</f>
        <v>6</v>
      </c>
      <c r="E138" s="295" t="str">
        <f>DATA!F138</f>
        <v>Kepolisian RI</v>
      </c>
      <c r="F138" s="295" t="str">
        <f>DATA!H138</f>
        <v>Information Communication And Technology (ICT) And Broadcasting Infrastructure Development Program</v>
      </c>
      <c r="G138" s="295" t="str">
        <f>DATA!I138</f>
        <v>A</v>
      </c>
      <c r="H138" s="295" t="str">
        <f>DATA!J138</f>
        <v>Program Pengembangan Infrastruktur TIK dan Penyiaran</v>
      </c>
      <c r="I138" s="295">
        <f>DATA!K138</f>
        <v>1</v>
      </c>
      <c r="J138" s="438"/>
      <c r="K138" s="439"/>
      <c r="L138" s="440"/>
      <c r="M138" s="441">
        <v>93</v>
      </c>
      <c r="N138" s="442" t="s">
        <v>307</v>
      </c>
      <c r="O138" s="440">
        <f>DATA!Q138</f>
        <v>1</v>
      </c>
      <c r="P138" s="440">
        <f>DATA!R138</f>
        <v>1</v>
      </c>
      <c r="Q138" s="445">
        <f>DATA!S138</f>
        <v>90</v>
      </c>
      <c r="R138" s="446">
        <f>DATA!T138</f>
        <v>20000000</v>
      </c>
      <c r="S138" s="447" t="str">
        <f>DATA!Y138</f>
        <v>Korea</v>
      </c>
      <c r="T138" s="451">
        <f>DATA!AA138</f>
        <v>20000000</v>
      </c>
      <c r="U138" s="448">
        <v>0</v>
      </c>
      <c r="V138" s="452" t="str">
        <f>DATA!Y138</f>
        <v>Korea</v>
      </c>
      <c r="W138" s="449">
        <f>DATA!AT138</f>
        <v>20000000</v>
      </c>
      <c r="X138" s="450"/>
      <c r="Y138" s="453" t="str">
        <f>DATA!AU138</f>
        <v>Korea</v>
      </c>
      <c r="Z138" s="457" t="str">
        <f>DATA!AW138</f>
        <v>masuk rolling plan EDCF (Korea)</v>
      </c>
      <c r="AA138" s="434" t="str">
        <f>DATA!AN138</f>
        <v>siap</v>
      </c>
      <c r="AB138" s="435" t="str">
        <f>DATA!AO138</f>
        <v>tidak butuh lahan</v>
      </c>
      <c r="AC138" s="436" t="str">
        <f>DATA!AR138</f>
        <v>-</v>
      </c>
      <c r="AD138" s="455">
        <f>DATA!AC138</f>
        <v>20000000</v>
      </c>
      <c r="AE138" s="440"/>
      <c r="AF138" s="395" t="s">
        <v>1443</v>
      </c>
    </row>
    <row r="139" spans="1:32" s="293" customFormat="1" ht="24.95" customHeight="1">
      <c r="J139" s="425"/>
      <c r="K139" s="313">
        <f>DATA!E139</f>
        <v>7</v>
      </c>
      <c r="L139" s="426" t="str">
        <f>DATA!F139</f>
        <v xml:space="preserve">PT. PLN    </v>
      </c>
      <c r="M139" s="313"/>
      <c r="N139" s="315"/>
      <c r="O139" s="314"/>
      <c r="P139" s="314"/>
      <c r="Q139" s="357"/>
      <c r="R139" s="358">
        <f>+R140</f>
        <v>4906600000</v>
      </c>
      <c r="S139" s="428"/>
      <c r="T139" s="360">
        <f>+T140</f>
        <v>4906600000</v>
      </c>
      <c r="U139" s="360">
        <f>+U140</f>
        <v>0</v>
      </c>
      <c r="V139" s="361"/>
      <c r="W139" s="359">
        <f>+W140</f>
        <v>4906600000</v>
      </c>
      <c r="X139" s="362"/>
      <c r="Y139" s="401"/>
      <c r="Z139" s="402"/>
      <c r="AA139" s="430"/>
      <c r="AB139" s="431"/>
      <c r="AC139" s="432"/>
      <c r="AD139" s="359">
        <f>SUM(AD140:AD150)</f>
        <v>635710000</v>
      </c>
      <c r="AE139" s="360">
        <f>SUM(AE140:AE150)</f>
        <v>519051416.05000001</v>
      </c>
      <c r="AF139" s="401"/>
    </row>
    <row r="140" spans="1:32" s="294" customFormat="1" ht="33.75" customHeight="1">
      <c r="J140" s="316"/>
      <c r="K140" s="317"/>
      <c r="L140" s="318" t="str">
        <f>DATA!I139</f>
        <v>A</v>
      </c>
      <c r="M140" s="3918" t="str">
        <f>DATA!J139</f>
        <v>Program Pembangunan Infrastruktur Ketenagalistrikan</v>
      </c>
      <c r="N140" s="3919"/>
      <c r="O140" s="319"/>
      <c r="P140" s="319"/>
      <c r="Q140" s="363"/>
      <c r="R140" s="364">
        <f>R141+R142+R143+R144+R145+R146+R147+R148+R149+R150</f>
        <v>4906600000</v>
      </c>
      <c r="S140" s="427"/>
      <c r="T140" s="366">
        <f>T141+T142+T143+T144+T145+T146+T147+T148+T149+T150</f>
        <v>4906600000</v>
      </c>
      <c r="U140" s="366">
        <f>U141+U142+U143+U144+U145+U146+U147+U148+U149+U150</f>
        <v>0</v>
      </c>
      <c r="V140" s="367"/>
      <c r="W140" s="365">
        <f>W141+W142+W143+W144+W145+W146+W147+W148+W149+W150</f>
        <v>4906600000</v>
      </c>
      <c r="X140" s="368"/>
      <c r="Y140" s="406"/>
      <c r="Z140" s="407"/>
      <c r="AA140" s="419"/>
      <c r="AB140" s="420"/>
      <c r="AC140" s="421"/>
      <c r="AD140" s="365"/>
      <c r="AE140" s="366"/>
      <c r="AF140" s="406"/>
    </row>
    <row r="141" spans="1:32" ht="42.75" customHeight="1">
      <c r="A141" s="297">
        <f>DATA!A140</f>
        <v>102</v>
      </c>
      <c r="B141" s="297">
        <f>DATA!B140</f>
        <v>0</v>
      </c>
      <c r="C141" s="297" t="str">
        <f>DATA!D140</f>
        <v>INFRASTRUKTUR</v>
      </c>
      <c r="D141" s="297">
        <f>DATA!E140</f>
        <v>7</v>
      </c>
      <c r="E141" s="297" t="str">
        <f>DATA!F140</f>
        <v xml:space="preserve">PT. PLN    </v>
      </c>
      <c r="F141" s="297" t="str">
        <f>DATA!H140</f>
        <v>Electricity Infrastructure Development Program</v>
      </c>
      <c r="G141" s="297" t="str">
        <f>DATA!I140</f>
        <v>A</v>
      </c>
      <c r="H141" s="297" t="str">
        <f>DATA!J140</f>
        <v>Program Pembangunan Infrastruktur Ketenagalistrikan</v>
      </c>
      <c r="I141" s="297">
        <f>DATA!K140</f>
        <v>1</v>
      </c>
      <c r="J141" s="321"/>
      <c r="K141" s="322"/>
      <c r="L141" s="322"/>
      <c r="M141" s="326">
        <v>94</v>
      </c>
      <c r="N141" s="332" t="str">
        <f>DATA!L140</f>
        <v>Java-Sumatera Interconnection Transmission Line (HVDC) 500 kV (Phase II)</v>
      </c>
      <c r="O141" s="308">
        <f>DATA!Q140</f>
        <v>1</v>
      </c>
      <c r="P141" s="308">
        <f>DATA!R140</f>
        <v>1</v>
      </c>
      <c r="Q141" s="346">
        <f>DATA!S140</f>
        <v>91</v>
      </c>
      <c r="R141" s="347">
        <f>DATA!T140</f>
        <v>629000000</v>
      </c>
      <c r="S141" s="369" t="str">
        <f>DATA!Y140</f>
        <v>JICA</v>
      </c>
      <c r="T141" s="370">
        <f>DATA!AA140</f>
        <v>629000000</v>
      </c>
      <c r="U141" s="370">
        <v>0</v>
      </c>
      <c r="V141" s="371" t="str">
        <f>DATA!Y140</f>
        <v>JICA</v>
      </c>
      <c r="W141" s="372">
        <f>DATA!AT140</f>
        <v>629000000</v>
      </c>
      <c r="X141" s="373"/>
      <c r="Y141" s="411" t="str">
        <f>DATA!AU140</f>
        <v>JICA</v>
      </c>
      <c r="Z141" s="423" t="str">
        <f>DATA!AW140</f>
        <v>-</v>
      </c>
      <c r="AA141" s="414" t="str">
        <f>DATA!AN140</f>
        <v>siap</v>
      </c>
      <c r="AB141" s="415" t="str">
        <f>DATA!AO140</f>
        <v>dalam proses
(pelaksanaan 30%)</v>
      </c>
      <c r="AC141" s="416" t="e">
        <f>DATA!#REF!</f>
        <v>#REF!</v>
      </c>
      <c r="AD141" s="417">
        <f>DATA!AC140</f>
        <v>629140000</v>
      </c>
      <c r="AE141" s="418">
        <f>DATA!AD140</f>
        <v>513687070.98000002</v>
      </c>
      <c r="AF141" s="395" t="s">
        <v>1447</v>
      </c>
    </row>
    <row r="142" spans="1:32" ht="40.5" customHeight="1">
      <c r="A142" s="297">
        <f>DATA!A141</f>
        <v>103</v>
      </c>
      <c r="B142" s="297">
        <f>DATA!B141</f>
        <v>0</v>
      </c>
      <c r="C142" s="297" t="str">
        <f>DATA!D141</f>
        <v>INFRASTRUKTUR</v>
      </c>
      <c r="D142" s="297">
        <f>DATA!E141</f>
        <v>7</v>
      </c>
      <c r="E142" s="297" t="str">
        <f>DATA!F141</f>
        <v xml:space="preserve">PT. PLN    </v>
      </c>
      <c r="F142" s="297" t="str">
        <f>DATA!H141</f>
        <v>Electricity Infrastructure Development Program</v>
      </c>
      <c r="G142" s="297" t="str">
        <f>DATA!I141</f>
        <v>A</v>
      </c>
      <c r="H142" s="297" t="str">
        <f>DATA!J141</f>
        <v>Program Pembangunan Infrastruktur Ketenagalistrikan</v>
      </c>
      <c r="I142" s="297">
        <f>DATA!K141</f>
        <v>1</v>
      </c>
      <c r="J142" s="321"/>
      <c r="K142" s="322"/>
      <c r="L142" s="322"/>
      <c r="M142" s="325">
        <v>95</v>
      </c>
      <c r="N142" s="332" t="str">
        <f>DATA!L141</f>
        <v>Construction of Java Sumatera Interconnection 500 kV (HVDC-Phase 3 &amp; 4)</v>
      </c>
      <c r="O142" s="308">
        <f>DATA!Q141</f>
        <v>1</v>
      </c>
      <c r="P142" s="308">
        <f>DATA!R141</f>
        <v>1</v>
      </c>
      <c r="Q142" s="346">
        <f>DATA!S141</f>
        <v>92</v>
      </c>
      <c r="R142" s="347">
        <f>DATA!T141</f>
        <v>933000000</v>
      </c>
      <c r="S142" s="369" t="str">
        <f>DATA!Y141</f>
        <v>JICA</v>
      </c>
      <c r="T142" s="370">
        <f>DATA!AA141</f>
        <v>933000000</v>
      </c>
      <c r="U142" s="370">
        <v>0</v>
      </c>
      <c r="V142" s="371" t="str">
        <f>DATA!Y141</f>
        <v>JICA</v>
      </c>
      <c r="W142" s="372">
        <f>DATA!AT141</f>
        <v>933000000</v>
      </c>
      <c r="X142" s="373"/>
      <c r="Y142" s="411" t="str">
        <f>DATA!AU141</f>
        <v>JICA</v>
      </c>
      <c r="Z142" s="423" t="str">
        <f>DATA!AW141</f>
        <v>-</v>
      </c>
      <c r="AA142" s="414" t="str">
        <f>DATA!AN141</f>
        <v>belum ada keterangan</v>
      </c>
      <c r="AB142" s="415" t="str">
        <f>DATA!AO141</f>
        <v>belum ada keterangan</v>
      </c>
      <c r="AC142" s="416" t="e">
        <f>DATA!#REF!</f>
        <v>#REF!</v>
      </c>
      <c r="AD142" s="372"/>
      <c r="AE142" s="413"/>
      <c r="AF142" s="411"/>
    </row>
    <row r="143" spans="1:32" ht="47.25" customHeight="1">
      <c r="A143" s="297">
        <f>DATA!A143</f>
        <v>105</v>
      </c>
      <c r="B143" s="297">
        <f>DATA!B143</f>
        <v>0</v>
      </c>
      <c r="C143" s="297" t="str">
        <f>DATA!D143</f>
        <v>INFRASTRUKTUR</v>
      </c>
      <c r="D143" s="297">
        <f>DATA!E143</f>
        <v>7</v>
      </c>
      <c r="E143" s="297" t="str">
        <f>DATA!F143</f>
        <v xml:space="preserve">PT. PLN    </v>
      </c>
      <c r="F143" s="297" t="str">
        <f>DATA!H143</f>
        <v>Electricity Infrastructure Development Program</v>
      </c>
      <c r="G143" s="297" t="str">
        <f>DATA!I143</f>
        <v>A</v>
      </c>
      <c r="H143" s="297" t="str">
        <f>DATA!J143</f>
        <v>Program Pembangunan Infrastruktur Ketenagalistrikan</v>
      </c>
      <c r="I143" s="297">
        <f>DATA!K143</f>
        <v>2</v>
      </c>
      <c r="J143" s="321"/>
      <c r="K143" s="322"/>
      <c r="L143" s="322"/>
      <c r="M143" s="325">
        <v>96</v>
      </c>
      <c r="N143" s="332" t="str">
        <f>DATA!L143</f>
        <v>Engineering Service for Hululais 1&amp;2 Geothermal Power Plant Project (2x55 MW)</v>
      </c>
      <c r="O143" s="308">
        <f>DATA!Q143</f>
        <v>1</v>
      </c>
      <c r="P143" s="308">
        <f>DATA!R143</f>
        <v>1</v>
      </c>
      <c r="Q143" s="346">
        <f>DATA!S143</f>
        <v>93</v>
      </c>
      <c r="R143" s="347">
        <f>DATA!T143</f>
        <v>6600000</v>
      </c>
      <c r="S143" s="369" t="str">
        <f>DATA!Y143</f>
        <v>JICA</v>
      </c>
      <c r="T143" s="370">
        <f>DATA!AA143</f>
        <v>6600000</v>
      </c>
      <c r="U143" s="370">
        <v>0</v>
      </c>
      <c r="V143" s="371" t="str">
        <f>DATA!Y143</f>
        <v>JICA</v>
      </c>
      <c r="W143" s="372">
        <f>DATA!AT143</f>
        <v>6600000</v>
      </c>
      <c r="X143" s="373"/>
      <c r="Y143" s="411" t="str">
        <f>DATA!AU143</f>
        <v>JICA</v>
      </c>
      <c r="Z143" s="423" t="str">
        <f>DATA!AW143</f>
        <v>-</v>
      </c>
      <c r="AA143" s="414" t="str">
        <f>DATA!AN143</f>
        <v>siap</v>
      </c>
      <c r="AB143" s="415" t="str">
        <f>DATA!AO143</f>
        <v>tidak butuh lahan</v>
      </c>
      <c r="AC143" s="416" t="e">
        <f>DATA!#REF!</f>
        <v>#REF!</v>
      </c>
      <c r="AD143" s="417">
        <f>DATA!AC143</f>
        <v>6570000</v>
      </c>
      <c r="AE143" s="418">
        <f>DATA!AD143</f>
        <v>5364345.07</v>
      </c>
      <c r="AF143" s="395" t="s">
        <v>1447</v>
      </c>
    </row>
    <row r="144" spans="1:32" ht="31.5" customHeight="1">
      <c r="A144" s="297">
        <f>DATA!A144</f>
        <v>106</v>
      </c>
      <c r="B144" s="297">
        <f>DATA!B144</f>
        <v>0</v>
      </c>
      <c r="C144" s="297" t="str">
        <f>DATA!D144</f>
        <v>INFRASTRUKTUR</v>
      </c>
      <c r="D144" s="297">
        <f>DATA!E144</f>
        <v>7</v>
      </c>
      <c r="E144" s="297" t="str">
        <f>DATA!F144</f>
        <v xml:space="preserve">PT. PLN    </v>
      </c>
      <c r="F144" s="297" t="str">
        <f>DATA!H144</f>
        <v>Electricity Infrastructure Development Program</v>
      </c>
      <c r="G144" s="297" t="str">
        <f>DATA!I144</f>
        <v>A</v>
      </c>
      <c r="H144" s="297" t="str">
        <f>DATA!J144</f>
        <v>Program Pembangunan Infrastruktur Ketenagalistrikan</v>
      </c>
      <c r="I144" s="297">
        <f>DATA!K144</f>
        <v>2</v>
      </c>
      <c r="J144" s="321"/>
      <c r="K144" s="322"/>
      <c r="L144" s="322"/>
      <c r="M144" s="325">
        <v>97</v>
      </c>
      <c r="N144" s="332" t="str">
        <f>DATA!L144</f>
        <v>Hululais Geothermal Power Plant  1&amp;2 (2x55MW)</v>
      </c>
      <c r="O144" s="308">
        <f>DATA!Q144</f>
        <v>1</v>
      </c>
      <c r="P144" s="308">
        <f>DATA!R144</f>
        <v>1</v>
      </c>
      <c r="Q144" s="346">
        <f>DATA!S144</f>
        <v>94</v>
      </c>
      <c r="R144" s="347">
        <f>DATA!T144</f>
        <v>204000000</v>
      </c>
      <c r="S144" s="369" t="str">
        <f>DATA!Y144</f>
        <v>JICA</v>
      </c>
      <c r="T144" s="370">
        <f>DATA!AA144</f>
        <v>204000000</v>
      </c>
      <c r="U144" s="370">
        <v>0</v>
      </c>
      <c r="V144" s="371" t="str">
        <f>DATA!Y144</f>
        <v>JICA</v>
      </c>
      <c r="W144" s="372">
        <f>DATA!AT144</f>
        <v>204000000</v>
      </c>
      <c r="X144" s="373"/>
      <c r="Y144" s="411" t="str">
        <f>DATA!AU144</f>
        <v>JICA</v>
      </c>
      <c r="Z144" s="423" t="str">
        <f>DATA!AW144</f>
        <v>-</v>
      </c>
      <c r="AA144" s="414" t="str">
        <f>DATA!AN144</f>
        <v>belum ada keterangan</v>
      </c>
      <c r="AB144" s="415" t="str">
        <f>DATA!AO144</f>
        <v>belum ada keterangan</v>
      </c>
      <c r="AC144" s="416" t="e">
        <f>DATA!#REF!</f>
        <v>#REF!</v>
      </c>
      <c r="AD144" s="372"/>
      <c r="AE144" s="413"/>
      <c r="AF144" s="411"/>
    </row>
    <row r="145" spans="1:32" ht="39" customHeight="1">
      <c r="A145" s="297">
        <f>DATA!A145</f>
        <v>107</v>
      </c>
      <c r="B145" s="297">
        <f>DATA!B145</f>
        <v>0</v>
      </c>
      <c r="C145" s="297" t="str">
        <f>DATA!D145</f>
        <v>INFRASTRUKTUR</v>
      </c>
      <c r="D145" s="297">
        <f>DATA!E145</f>
        <v>7</v>
      </c>
      <c r="E145" s="297" t="str">
        <f>DATA!F145</f>
        <v xml:space="preserve">PT. PLN    </v>
      </c>
      <c r="F145" s="297" t="str">
        <f>DATA!H145</f>
        <v>Electricity Infrastructure Development Program</v>
      </c>
      <c r="G145" s="297" t="str">
        <f>DATA!I145</f>
        <v>A</v>
      </c>
      <c r="H145" s="297" t="str">
        <f>DATA!J145</f>
        <v>Program Pembangunan Infrastruktur Ketenagalistrikan</v>
      </c>
      <c r="I145" s="297">
        <f>DATA!K145</f>
        <v>3</v>
      </c>
      <c r="J145" s="321"/>
      <c r="K145" s="322"/>
      <c r="L145" s="322"/>
      <c r="M145" s="325">
        <v>98</v>
      </c>
      <c r="N145" s="332" t="str">
        <f>DATA!L145</f>
        <v>Bakaru II Hydro Electrical Power Plant (2x63MW)</v>
      </c>
      <c r="O145" s="308">
        <f>DATA!Q145</f>
        <v>1</v>
      </c>
      <c r="P145" s="308">
        <f>DATA!R145</f>
        <v>1</v>
      </c>
      <c r="Q145" s="346">
        <f>DATA!S145</f>
        <v>95</v>
      </c>
      <c r="R145" s="347">
        <f>DATA!T145</f>
        <v>280000000</v>
      </c>
      <c r="S145" s="369" t="str">
        <f>DATA!Y145</f>
        <v>Jerman (KfW)</v>
      </c>
      <c r="T145" s="370">
        <f>DATA!AA145</f>
        <v>280000000</v>
      </c>
      <c r="U145" s="370">
        <v>0</v>
      </c>
      <c r="V145" s="371" t="str">
        <f>DATA!Y145</f>
        <v>Jerman (KfW)</v>
      </c>
      <c r="W145" s="372">
        <f>DATA!AT145</f>
        <v>280000000</v>
      </c>
      <c r="X145" s="373"/>
      <c r="Y145" s="411" t="str">
        <f>DATA!AU145</f>
        <v>Jerman (KfW)</v>
      </c>
      <c r="Z145" s="423" t="str">
        <f>DATA!AW145</f>
        <v>-</v>
      </c>
      <c r="AA145" s="434" t="str">
        <f>DATA!AN145</f>
        <v>dalam proses</v>
      </c>
      <c r="AB145" s="435" t="str">
        <f>DATA!AO145</f>
        <v>dalam proses
(perencanaan)</v>
      </c>
      <c r="AC145" s="436" t="str">
        <f>DATA!AR145</f>
        <v>- tidak diketahui dalam proses apa
- belum ada dokumen R/C</v>
      </c>
      <c r="AD145" s="372"/>
      <c r="AE145" s="413"/>
      <c r="AF145" s="411"/>
    </row>
    <row r="146" spans="1:32" ht="42.75" customHeight="1">
      <c r="A146" s="297">
        <f>DATA!A146</f>
        <v>108</v>
      </c>
      <c r="B146" s="297">
        <f>DATA!B146</f>
        <v>0</v>
      </c>
      <c r="C146" s="297" t="str">
        <f>DATA!D146</f>
        <v>INFRASTRUKTUR</v>
      </c>
      <c r="D146" s="297">
        <f>DATA!E146</f>
        <v>7</v>
      </c>
      <c r="E146" s="297" t="str">
        <f>DATA!F146</f>
        <v xml:space="preserve">PT. PLN    </v>
      </c>
      <c r="F146" s="297" t="str">
        <f>DATA!H146</f>
        <v>Electricity Infrastructure Development Program</v>
      </c>
      <c r="G146" s="297" t="str">
        <f>DATA!I146</f>
        <v>A</v>
      </c>
      <c r="H146" s="297" t="str">
        <f>DATA!J146</f>
        <v>Program Pembangunan Infrastruktur Ketenagalistrikan</v>
      </c>
      <c r="I146" s="297">
        <f>DATA!K146</f>
        <v>4</v>
      </c>
      <c r="J146" s="321"/>
      <c r="K146" s="322"/>
      <c r="L146" s="322"/>
      <c r="M146" s="325">
        <v>99</v>
      </c>
      <c r="N146" s="332" t="str">
        <f>DATA!L146</f>
        <v>Tulehu Geothermal Power Plant Project Unit 1&amp;2 (2x10MW)</v>
      </c>
      <c r="O146" s="308">
        <f>DATA!Q146</f>
        <v>1</v>
      </c>
      <c r="P146" s="308">
        <f>DATA!R146</f>
        <v>1</v>
      </c>
      <c r="Q146" s="346">
        <f>DATA!S146</f>
        <v>96</v>
      </c>
      <c r="R146" s="347">
        <f>DATA!T146</f>
        <v>104000000</v>
      </c>
      <c r="S146" s="369" t="str">
        <f>DATA!Y146</f>
        <v>JICA</v>
      </c>
      <c r="T146" s="370">
        <f>DATA!AA146</f>
        <v>104000000</v>
      </c>
      <c r="U146" s="370">
        <v>0</v>
      </c>
      <c r="V146" s="371" t="str">
        <f>DATA!Y146</f>
        <v>JICA</v>
      </c>
      <c r="W146" s="372">
        <f>DATA!AT146</f>
        <v>104000000</v>
      </c>
      <c r="X146" s="373"/>
      <c r="Y146" s="411" t="str">
        <f>DATA!AU146</f>
        <v>JICA</v>
      </c>
      <c r="Z146" s="423" t="str">
        <f>DATA!AW146</f>
        <v>-</v>
      </c>
      <c r="AA146" s="414" t="str">
        <f>DATA!AN146</f>
        <v>dalam proses
(penyusunan FS)</v>
      </c>
      <c r="AB146" s="415" t="str">
        <f>DATA!AO146</f>
        <v>dalam proses
(pelaksanaan 63%)</v>
      </c>
      <c r="AC146" s="416" t="e">
        <f>DATA!#REF!</f>
        <v>#REF!</v>
      </c>
      <c r="AD146" s="372"/>
      <c r="AE146" s="413"/>
      <c r="AF146" s="411"/>
    </row>
    <row r="147" spans="1:32" ht="39.75" customHeight="1">
      <c r="A147" s="297">
        <f>DATA!A147</f>
        <v>109</v>
      </c>
      <c r="B147" s="297">
        <f>DATA!B147</f>
        <v>0</v>
      </c>
      <c r="C147" s="297" t="str">
        <f>DATA!D147</f>
        <v>INFRASTRUKTUR</v>
      </c>
      <c r="D147" s="297">
        <f>DATA!E147</f>
        <v>7</v>
      </c>
      <c r="E147" s="297" t="str">
        <f>DATA!F147</f>
        <v xml:space="preserve">PT. PLN    </v>
      </c>
      <c r="F147" s="297" t="str">
        <f>DATA!H147</f>
        <v>Electricity Infrastructure Development Program</v>
      </c>
      <c r="G147" s="297" t="str">
        <f>DATA!I147</f>
        <v>A</v>
      </c>
      <c r="H147" s="297" t="str">
        <f>DATA!J147</f>
        <v>Program Pembangunan Infrastruktur Ketenagalistrikan</v>
      </c>
      <c r="I147" s="297">
        <f>DATA!K147</f>
        <v>5</v>
      </c>
      <c r="J147" s="321"/>
      <c r="K147" s="322"/>
      <c r="L147" s="322"/>
      <c r="M147" s="325">
        <v>100</v>
      </c>
      <c r="N147" s="332" t="str">
        <f>DATA!L147</f>
        <v>Indramayu Coal Fired Power Plant  #4 (1x1000MW)</v>
      </c>
      <c r="O147" s="308">
        <f>DATA!Q147</f>
        <v>1</v>
      </c>
      <c r="P147" s="308">
        <f>DATA!R147</f>
        <v>1</v>
      </c>
      <c r="Q147" s="346">
        <f>DATA!S147</f>
        <v>97</v>
      </c>
      <c r="R147" s="347">
        <f>DATA!T147</f>
        <v>1845000000</v>
      </c>
      <c r="S147" s="369" t="str">
        <f>DATA!Y147</f>
        <v>JICA</v>
      </c>
      <c r="T147" s="370">
        <f>DATA!AA147</f>
        <v>1845000000</v>
      </c>
      <c r="U147" s="370">
        <v>0</v>
      </c>
      <c r="V147" s="371" t="str">
        <f>DATA!Y147</f>
        <v>JICA</v>
      </c>
      <c r="W147" s="372">
        <f>DATA!AT147</f>
        <v>1845000000</v>
      </c>
      <c r="X147" s="373"/>
      <c r="Y147" s="411" t="str">
        <f>DATA!AU147</f>
        <v>JICA</v>
      </c>
      <c r="Z147" s="423" t="str">
        <f>DATA!AW147</f>
        <v>-</v>
      </c>
      <c r="AA147" s="414" t="str">
        <f>DATA!AN147</f>
        <v>siap</v>
      </c>
      <c r="AB147" s="415" t="str">
        <f>DATA!AO147</f>
        <v>dalam proses
(perencanaan)</v>
      </c>
      <c r="AC147" s="416" t="e">
        <f>DATA!#REF!</f>
        <v>#REF!</v>
      </c>
      <c r="AD147" s="372"/>
      <c r="AE147" s="413"/>
      <c r="AF147" s="411"/>
    </row>
    <row r="148" spans="1:32" ht="46.5" customHeight="1">
      <c r="A148" s="297">
        <f>DATA!A148</f>
        <v>110</v>
      </c>
      <c r="B148" s="297">
        <f>DATA!B148</f>
        <v>0</v>
      </c>
      <c r="C148" s="297" t="str">
        <f>DATA!D148</f>
        <v>INFRASTRUKTUR</v>
      </c>
      <c r="D148" s="297">
        <f>DATA!E148</f>
        <v>7</v>
      </c>
      <c r="E148" s="297" t="str">
        <f>DATA!F148</f>
        <v xml:space="preserve">PT. PLN    </v>
      </c>
      <c r="F148" s="297" t="str">
        <f>DATA!H148</f>
        <v>Electricity Infrastructure Development Program</v>
      </c>
      <c r="G148" s="297" t="str">
        <f>DATA!I148</f>
        <v>A</v>
      </c>
      <c r="H148" s="297" t="str">
        <f>DATA!J148</f>
        <v>Program Pembangunan Infrastruktur Ketenagalistrikan</v>
      </c>
      <c r="I148" s="297">
        <f>DATA!K148</f>
        <v>6</v>
      </c>
      <c r="J148" s="321"/>
      <c r="K148" s="322"/>
      <c r="L148" s="322"/>
      <c r="M148" s="325">
        <v>101</v>
      </c>
      <c r="N148" s="332" t="str">
        <f>DATA!L148</f>
        <v>Additional Loan for Upper Cisokan Pumped Storage Hydro Electrical Power Plant (4x260MW)</v>
      </c>
      <c r="O148" s="308">
        <f>DATA!Q148</f>
        <v>1</v>
      </c>
      <c r="P148" s="308">
        <f>DATA!R148</f>
        <v>1</v>
      </c>
      <c r="Q148" s="346">
        <f>DATA!S148</f>
        <v>98</v>
      </c>
      <c r="R148" s="347">
        <f>DATA!T148</f>
        <v>200000000</v>
      </c>
      <c r="S148" s="369" t="str">
        <f>DATA!Y148</f>
        <v>Bank Dunia</v>
      </c>
      <c r="T148" s="370">
        <f>DATA!AA148</f>
        <v>200000000</v>
      </c>
      <c r="U148" s="370">
        <v>0</v>
      </c>
      <c r="V148" s="371" t="str">
        <f>DATA!Y148</f>
        <v>Bank Dunia</v>
      </c>
      <c r="W148" s="372">
        <f>DATA!AT148</f>
        <v>200000000</v>
      </c>
      <c r="X148" s="373"/>
      <c r="Y148" s="411" t="str">
        <f>DATA!AU148</f>
        <v>Bank Dunia</v>
      </c>
      <c r="Z148" s="423" t="str">
        <f>DATA!AW148</f>
        <v>-</v>
      </c>
      <c r="AA148" s="414" t="str">
        <f>DATA!AN148</f>
        <v>siap</v>
      </c>
      <c r="AB148" s="415" t="str">
        <f>DATA!AO148</f>
        <v>dalam proses
(pelaksanaan 95%)</v>
      </c>
      <c r="AC148" s="416" t="e">
        <f>DATA!#REF!</f>
        <v>#REF!</v>
      </c>
      <c r="AD148" s="372"/>
      <c r="AE148" s="413"/>
      <c r="AF148" s="411"/>
    </row>
    <row r="149" spans="1:32" ht="43.5" customHeight="1">
      <c r="A149" s="297">
        <f>DATA!A149</f>
        <v>111</v>
      </c>
      <c r="B149" s="297">
        <f>DATA!B149</f>
        <v>0</v>
      </c>
      <c r="C149" s="297" t="str">
        <f>DATA!D149</f>
        <v>INFRASTRUKTUR</v>
      </c>
      <c r="D149" s="297">
        <f>DATA!E149</f>
        <v>7</v>
      </c>
      <c r="E149" s="297" t="str">
        <f>DATA!F149</f>
        <v xml:space="preserve">PT. PLN    </v>
      </c>
      <c r="F149" s="297" t="str">
        <f>DATA!H149</f>
        <v>Electricity Infrastructure Development Program</v>
      </c>
      <c r="G149" s="297" t="str">
        <f>DATA!I149</f>
        <v>A</v>
      </c>
      <c r="H149" s="297" t="str">
        <f>DATA!J149</f>
        <v>Program Pembangunan Infrastruktur Ketenagalistrikan</v>
      </c>
      <c r="I149" s="297">
        <f>DATA!K149</f>
        <v>7</v>
      </c>
      <c r="J149" s="321"/>
      <c r="K149" s="322"/>
      <c r="L149" s="322"/>
      <c r="M149" s="325">
        <v>102</v>
      </c>
      <c r="N149" s="332" t="str">
        <f>DATA!L149</f>
        <v>Sungai Penuh Geothermal Power Plant 1&amp;2 (2x55MW)</v>
      </c>
      <c r="O149" s="308">
        <f>DATA!Q149</f>
        <v>1</v>
      </c>
      <c r="P149" s="308">
        <f>DATA!R149</f>
        <v>1</v>
      </c>
      <c r="Q149" s="346">
        <f>DATA!S149</f>
        <v>99</v>
      </c>
      <c r="R149" s="347">
        <f>DATA!T149</f>
        <v>205000000</v>
      </c>
      <c r="S149" s="369" t="str">
        <f>DATA!Y149</f>
        <v>ADB</v>
      </c>
      <c r="T149" s="370">
        <f>DATA!AA149</f>
        <v>205000000</v>
      </c>
      <c r="U149" s="370">
        <v>0</v>
      </c>
      <c r="V149" s="371" t="str">
        <f>DATA!Y149</f>
        <v>ADB</v>
      </c>
      <c r="W149" s="372">
        <f>DATA!AT149</f>
        <v>205000000</v>
      </c>
      <c r="X149" s="373"/>
      <c r="Y149" s="411" t="str">
        <f>DATA!AU149</f>
        <v>ADB</v>
      </c>
      <c r="Z149" s="423" t="str">
        <f>DATA!AW149</f>
        <v>-</v>
      </c>
      <c r="AA149" s="414" t="str">
        <f>DATA!AN149</f>
        <v>siap</v>
      </c>
      <c r="AB149" s="415" t="str">
        <f>DATA!AO149</f>
        <v>belum ada keterangan</v>
      </c>
      <c r="AC149" s="416" t="e">
        <f>DATA!#REF!</f>
        <v>#REF!</v>
      </c>
      <c r="AD149" s="372"/>
      <c r="AE149" s="413"/>
      <c r="AF149" s="411"/>
    </row>
    <row r="150" spans="1:32" ht="48" customHeight="1">
      <c r="A150" s="297">
        <f>DATA!A150</f>
        <v>112</v>
      </c>
      <c r="B150" s="297">
        <f>DATA!B150</f>
        <v>0</v>
      </c>
      <c r="C150" s="297" t="str">
        <f>DATA!D150</f>
        <v>INFRASTRUKTUR</v>
      </c>
      <c r="D150" s="297">
        <f>DATA!E150</f>
        <v>7</v>
      </c>
      <c r="E150" s="297" t="str">
        <f>DATA!F150</f>
        <v xml:space="preserve">PT. PLN    </v>
      </c>
      <c r="F150" s="297" t="str">
        <f>DATA!H150</f>
        <v>Electricity Infrastructure Development Program</v>
      </c>
      <c r="G150" s="297" t="str">
        <f>DATA!I150</f>
        <v>A</v>
      </c>
      <c r="H150" s="297" t="str">
        <f>DATA!J150</f>
        <v>Program Pembangunan Infrastruktur Ketenagalistrikan</v>
      </c>
      <c r="I150" s="297">
        <f>DATA!K150</f>
        <v>8</v>
      </c>
      <c r="J150" s="443"/>
      <c r="K150" s="333"/>
      <c r="L150" s="333"/>
      <c r="M150" s="325">
        <v>103</v>
      </c>
      <c r="N150" s="332" t="str">
        <f>DATA!L150</f>
        <v>Matenggeng Pumped Storage Hydro Electrical Power Plant (4x225MW)</v>
      </c>
      <c r="O150" s="308">
        <f>DATA!Q150</f>
        <v>1</v>
      </c>
      <c r="P150" s="308">
        <f>DATA!R150</f>
        <v>1</v>
      </c>
      <c r="Q150" s="346">
        <f>DATA!S150</f>
        <v>100</v>
      </c>
      <c r="R150" s="347">
        <f>DATA!T150</f>
        <v>500000000</v>
      </c>
      <c r="S150" s="369" t="str">
        <f>DATA!Y150</f>
        <v>Bank Dunia</v>
      </c>
      <c r="T150" s="370">
        <f>DATA!AA150</f>
        <v>500000000</v>
      </c>
      <c r="U150" s="370">
        <v>0</v>
      </c>
      <c r="V150" s="371" t="str">
        <f>DATA!Y150</f>
        <v>Bank Dunia</v>
      </c>
      <c r="W150" s="372">
        <f>DATA!AT150</f>
        <v>500000000</v>
      </c>
      <c r="X150" s="373"/>
      <c r="Y150" s="411" t="str">
        <f>DATA!AU150</f>
        <v>Bank Dunia</v>
      </c>
      <c r="Z150" s="423" t="str">
        <f>DATA!AW150</f>
        <v>-</v>
      </c>
      <c r="AA150" s="414" t="str">
        <f>DATA!AN150</f>
        <v>dalam proses
(penyusunan FS)</v>
      </c>
      <c r="AB150" s="415" t="str">
        <f>DATA!AO150</f>
        <v>belum ada keterangan</v>
      </c>
      <c r="AC150" s="416" t="e">
        <f>DATA!#REF!</f>
        <v>#REF!</v>
      </c>
      <c r="AD150" s="372"/>
      <c r="AE150" s="413"/>
      <c r="AF150" s="411"/>
    </row>
    <row r="151" spans="1:32" s="292" customFormat="1" ht="30" customHeight="1">
      <c r="J151" s="309" t="str">
        <f>DATA!B160</f>
        <v>II</v>
      </c>
      <c r="K151" s="444" t="str">
        <f>DATA!D160</f>
        <v>NON-INFRASTRUKTUR</v>
      </c>
      <c r="L151" s="310"/>
      <c r="M151" s="310"/>
      <c r="N151" s="311"/>
      <c r="O151" s="310"/>
      <c r="P151" s="310"/>
      <c r="Q151" s="351"/>
      <c r="R151" s="352">
        <f>+R152+R161+R169+R172+R183+R186+R197+R200+R203+R206</f>
        <v>4590772100</v>
      </c>
      <c r="S151" s="353"/>
      <c r="T151" s="354">
        <f>+T152+T161+T169+T172+T183+T186+T197+T200+T203+T206</f>
        <v>3088329500</v>
      </c>
      <c r="U151" s="354">
        <f>+U152+U161+U169+U172+U183+U186+U197+U200+U203+U206</f>
        <v>1502442600</v>
      </c>
      <c r="V151" s="355"/>
      <c r="W151" s="353">
        <f>+W152+W161+W169+W172+W183+W186+W197+W200+W203+W206</f>
        <v>2981329500</v>
      </c>
      <c r="X151" s="356">
        <f>+X152+X161+X169+X172+X183+X186+X197+X200+X203+X206</f>
        <v>1609442600</v>
      </c>
      <c r="Y151" s="396"/>
      <c r="Z151" s="397"/>
      <c r="AA151" s="458"/>
      <c r="AB151" s="459"/>
      <c r="AC151" s="460"/>
      <c r="AD151" s="353"/>
      <c r="AE151" s="354"/>
      <c r="AF151" s="396"/>
    </row>
    <row r="152" spans="1:32" s="293" customFormat="1" ht="24.95" customHeight="1">
      <c r="J152" s="312"/>
      <c r="K152" s="313">
        <f>DATA!E160</f>
        <v>8</v>
      </c>
      <c r="L152" s="426" t="str">
        <f>DATA!F160</f>
        <v>Kementerian Riset, Teknologi, dan Pendidikan Tinggi</v>
      </c>
      <c r="M152" s="313"/>
      <c r="N152" s="315"/>
      <c r="O152" s="314"/>
      <c r="P152" s="314"/>
      <c r="Q152" s="357"/>
      <c r="R152" s="358">
        <f>+R153</f>
        <v>290311500</v>
      </c>
      <c r="S152" s="359"/>
      <c r="T152" s="360">
        <f>+T153</f>
        <v>290311500</v>
      </c>
      <c r="U152" s="360">
        <f>+U153</f>
        <v>0</v>
      </c>
      <c r="V152" s="361"/>
      <c r="W152" s="359">
        <f>+W153</f>
        <v>290311500</v>
      </c>
      <c r="X152" s="362"/>
      <c r="Y152" s="401"/>
      <c r="Z152" s="402"/>
      <c r="AA152" s="430"/>
      <c r="AB152" s="431"/>
      <c r="AC152" s="432"/>
      <c r="AD152" s="359"/>
      <c r="AE152" s="360"/>
      <c r="AF152" s="401"/>
    </row>
    <row r="153" spans="1:32" s="294" customFormat="1" ht="33.75" customHeight="1">
      <c r="J153" s="316"/>
      <c r="K153" s="317"/>
      <c r="L153" s="318" t="str">
        <f>DATA!I160</f>
        <v>A</v>
      </c>
      <c r="M153" s="3918" t="str">
        <f>DATA!J160</f>
        <v xml:space="preserve">Program Peningkatan Akses, Kualitas, Relevansi, dan Daya Saing Pendidikan Tinggi </v>
      </c>
      <c r="N153" s="3919"/>
      <c r="O153" s="319"/>
      <c r="P153" s="319"/>
      <c r="Q153" s="363"/>
      <c r="R153" s="364">
        <f>R154+R155+R156+R157+R158+R159+R160</f>
        <v>290311500</v>
      </c>
      <c r="S153" s="365"/>
      <c r="T153" s="366">
        <f>T154+T155+T156+T157+T158+T159+T160</f>
        <v>290311500</v>
      </c>
      <c r="U153" s="366">
        <f>U154+U155+U156+U157+U158+U159+U160</f>
        <v>0</v>
      </c>
      <c r="V153" s="367"/>
      <c r="W153" s="365">
        <f>W154+W155+W156+W157+W158+W159+W160</f>
        <v>290311500</v>
      </c>
      <c r="X153" s="368"/>
      <c r="Y153" s="406"/>
      <c r="Z153" s="407"/>
      <c r="AA153" s="419"/>
      <c r="AB153" s="420"/>
      <c r="AC153" s="421"/>
      <c r="AD153" s="365"/>
      <c r="AE153" s="366"/>
      <c r="AF153" s="406"/>
    </row>
    <row r="154" spans="1:32" ht="41.25" customHeight="1">
      <c r="A154" s="297">
        <f>DATA!A161</f>
        <v>114</v>
      </c>
      <c r="B154" s="297">
        <f>DATA!B161</f>
        <v>0</v>
      </c>
      <c r="C154" s="297" t="str">
        <f>DATA!D161</f>
        <v>NON-INFRASTRUKTUR</v>
      </c>
      <c r="D154" s="297">
        <f>DATA!E161</f>
        <v>8</v>
      </c>
      <c r="E154" s="297" t="str">
        <f>DATA!F161</f>
        <v>Kementerian Riset, Teknologi, dan Pendidikan Tinggi</v>
      </c>
      <c r="F154" s="297" t="str">
        <f>DATA!H161</f>
        <v>Improving Access, Quality, Relevance, and Competitiveness of Higher Education Program</v>
      </c>
      <c r="G154" s="297" t="str">
        <f>DATA!I161</f>
        <v>A</v>
      </c>
      <c r="H154" s="297" t="str">
        <f>DATA!J161</f>
        <v xml:space="preserve">Program Peningkatan Akses, Kualitas, Relevansi, dan Daya Saing Pendidikan Tinggi </v>
      </c>
      <c r="I154" s="297">
        <f>DATA!K161</f>
        <v>1</v>
      </c>
      <c r="J154" s="321"/>
      <c r="K154" s="322"/>
      <c r="L154" s="322"/>
      <c r="M154" s="323">
        <v>104</v>
      </c>
      <c r="N154" s="332" t="str">
        <f>DATA!L161</f>
        <v>The Development of Sultan Ageng Tirtayasa University (UNTIRTA)</v>
      </c>
      <c r="O154" s="308">
        <f>DATA!Q161</f>
        <v>0.14285714285714285</v>
      </c>
      <c r="P154" s="308">
        <f>DATA!R161</f>
        <v>0</v>
      </c>
      <c r="Q154" s="346">
        <f>DATA!S161</f>
        <v>0</v>
      </c>
      <c r="R154" s="347">
        <f>DATA!T161</f>
        <v>49882300</v>
      </c>
      <c r="S154" s="369" t="str">
        <f>DATA!Y161</f>
        <v>IDB</v>
      </c>
      <c r="T154" s="370">
        <f>DATA!AA161</f>
        <v>49882300</v>
      </c>
      <c r="U154" s="370"/>
      <c r="V154" s="371" t="str">
        <f>DATA!Y161</f>
        <v>IDB</v>
      </c>
      <c r="W154" s="372">
        <f>DATA!AT161</f>
        <v>49882300</v>
      </c>
      <c r="X154" s="373"/>
      <c r="Y154" s="411" t="str">
        <f>DATA!AU161</f>
        <v>IDB</v>
      </c>
      <c r="Z154" s="423" t="str">
        <f>DATA!AW161</f>
        <v>-</v>
      </c>
      <c r="AA154" s="414" t="str">
        <f>DATA!AN161</f>
        <v>siap</v>
      </c>
      <c r="AB154" s="415" t="str">
        <f>DATA!AO161</f>
        <v>siap</v>
      </c>
      <c r="AC154" s="416" t="e">
        <f>DATA!#REF!</f>
        <v>#REF!</v>
      </c>
      <c r="AD154" s="372"/>
      <c r="AE154" s="413"/>
      <c r="AF154" s="411"/>
    </row>
    <row r="155" spans="1:32" ht="49.5" customHeight="1">
      <c r="A155" s="297">
        <f>DATA!A162</f>
        <v>115</v>
      </c>
      <c r="B155" s="297">
        <f>DATA!B162</f>
        <v>0</v>
      </c>
      <c r="C155" s="297" t="str">
        <f>DATA!D162</f>
        <v>NON-INFRASTRUKTUR</v>
      </c>
      <c r="D155" s="297">
        <f>DATA!E162</f>
        <v>8</v>
      </c>
      <c r="E155" s="297" t="str">
        <f>DATA!F162</f>
        <v>Kementerian Riset, Teknologi, dan Pendidikan Tinggi</v>
      </c>
      <c r="F155" s="297" t="str">
        <f>DATA!H162</f>
        <v>Improving Access, Quality, Relevance, and Competitiveness of Higher Education Program</v>
      </c>
      <c r="G155" s="297" t="str">
        <f>DATA!I162</f>
        <v>A</v>
      </c>
      <c r="H155" s="297" t="str">
        <f>DATA!J162</f>
        <v xml:space="preserve">Program Peningkatan Akses, Kualitas, Relevansi, dan Daya Saing Pendidikan Tinggi </v>
      </c>
      <c r="I155" s="297">
        <f>DATA!K162</f>
        <v>1</v>
      </c>
      <c r="J155" s="321"/>
      <c r="K155" s="322"/>
      <c r="L155" s="322"/>
      <c r="M155" s="323">
        <v>105</v>
      </c>
      <c r="N155" s="332" t="str">
        <f>DATA!L162</f>
        <v>Development for State University of Malang as The Learning University</v>
      </c>
      <c r="O155" s="308">
        <f>DATA!Q162</f>
        <v>0.14285714285714285</v>
      </c>
      <c r="P155" s="308">
        <f>DATA!R162</f>
        <v>0</v>
      </c>
      <c r="Q155" s="346">
        <f>DATA!S162</f>
        <v>0</v>
      </c>
      <c r="R155" s="347">
        <f>DATA!T162</f>
        <v>38400000</v>
      </c>
      <c r="S155" s="369" t="str">
        <f>DATA!Y162</f>
        <v>IDB</v>
      </c>
      <c r="T155" s="370">
        <f>DATA!AA162</f>
        <v>38400000</v>
      </c>
      <c r="U155" s="370"/>
      <c r="V155" s="371" t="str">
        <f>DATA!Y162</f>
        <v>IDB</v>
      </c>
      <c r="W155" s="372">
        <f>DATA!AT162</f>
        <v>38400000</v>
      </c>
      <c r="X155" s="373"/>
      <c r="Y155" s="411" t="str">
        <f>DATA!AU162</f>
        <v>IDB</v>
      </c>
      <c r="Z155" s="423" t="str">
        <f>DATA!AW162</f>
        <v>-</v>
      </c>
      <c r="AA155" s="414" t="str">
        <f>DATA!AN162</f>
        <v>siap</v>
      </c>
      <c r="AB155" s="415" t="str">
        <f>DATA!AO162</f>
        <v>siap</v>
      </c>
      <c r="AC155" s="416" t="e">
        <f>DATA!#REF!</f>
        <v>#REF!</v>
      </c>
      <c r="AD155" s="372"/>
      <c r="AE155" s="413"/>
      <c r="AF155" s="411"/>
    </row>
    <row r="156" spans="1:32" ht="45" customHeight="1">
      <c r="A156" s="297">
        <f>DATA!A163</f>
        <v>116</v>
      </c>
      <c r="B156" s="297">
        <f>DATA!B163</f>
        <v>0</v>
      </c>
      <c r="C156" s="297" t="str">
        <f>DATA!D163</f>
        <v>NON-INFRASTRUKTUR</v>
      </c>
      <c r="D156" s="297">
        <f>DATA!E163</f>
        <v>8</v>
      </c>
      <c r="E156" s="297" t="str">
        <f>DATA!F163</f>
        <v>Kementerian Riset, Teknologi, dan Pendidikan Tinggi</v>
      </c>
      <c r="F156" s="297" t="str">
        <f>DATA!H163</f>
        <v>Improving Access, Quality, Relevance, and Competitiveness of Higher Education Program</v>
      </c>
      <c r="G156" s="297" t="str">
        <f>DATA!I163</f>
        <v>A</v>
      </c>
      <c r="H156" s="297" t="str">
        <f>DATA!J163</f>
        <v xml:space="preserve">Program Peningkatan Akses, Kualitas, Relevansi, dan Daya Saing Pendidikan Tinggi </v>
      </c>
      <c r="I156" s="297">
        <f>DATA!K163</f>
        <v>1</v>
      </c>
      <c r="J156" s="321"/>
      <c r="K156" s="322"/>
      <c r="L156" s="322"/>
      <c r="M156" s="323">
        <v>106</v>
      </c>
      <c r="N156" s="332" t="str">
        <f>DATA!L163</f>
        <v>The Development and Upgrading Mulawarman University</v>
      </c>
      <c r="O156" s="308">
        <f>DATA!Q163</f>
        <v>0.14285714285714285</v>
      </c>
      <c r="P156" s="308">
        <f>DATA!R163</f>
        <v>0</v>
      </c>
      <c r="Q156" s="346">
        <f>DATA!S163</f>
        <v>0</v>
      </c>
      <c r="R156" s="347">
        <f>DATA!T163</f>
        <v>44400000</v>
      </c>
      <c r="S156" s="369" t="str">
        <f>DATA!Y163</f>
        <v>IDB</v>
      </c>
      <c r="T156" s="370">
        <f>DATA!AA163</f>
        <v>44400000</v>
      </c>
      <c r="U156" s="370"/>
      <c r="V156" s="371" t="str">
        <f>DATA!Y163</f>
        <v>IDB</v>
      </c>
      <c r="W156" s="372">
        <f>DATA!AT163</f>
        <v>44400000</v>
      </c>
      <c r="X156" s="373"/>
      <c r="Y156" s="411" t="str">
        <f>DATA!AU163</f>
        <v>IDB</v>
      </c>
      <c r="Z156" s="423" t="str">
        <f>DATA!AW163</f>
        <v>-</v>
      </c>
      <c r="AA156" s="414" t="str">
        <f>DATA!AN163</f>
        <v>siap</v>
      </c>
      <c r="AB156" s="415" t="str">
        <f>DATA!AO163</f>
        <v>siap</v>
      </c>
      <c r="AC156" s="416" t="e">
        <f>DATA!#REF!</f>
        <v>#REF!</v>
      </c>
      <c r="AD156" s="372"/>
      <c r="AE156" s="413"/>
      <c r="AF156" s="411"/>
    </row>
    <row r="157" spans="1:32" ht="69.75" customHeight="1">
      <c r="A157" s="297">
        <f>DATA!A164</f>
        <v>117</v>
      </c>
      <c r="B157" s="297">
        <f>DATA!B164</f>
        <v>0</v>
      </c>
      <c r="C157" s="297" t="str">
        <f>DATA!D164</f>
        <v>NON-INFRASTRUKTUR</v>
      </c>
      <c r="D157" s="297">
        <f>DATA!E164</f>
        <v>8</v>
      </c>
      <c r="E157" s="297" t="str">
        <f>DATA!F164</f>
        <v>Kementerian Riset, Teknologi, dan Pendidikan Tinggi</v>
      </c>
      <c r="F157" s="297" t="str">
        <f>DATA!H164</f>
        <v>Improving Access, Quality, Relevance, and Competitiveness of Higher Education Program</v>
      </c>
      <c r="G157" s="297" t="str">
        <f>DATA!I164</f>
        <v>A</v>
      </c>
      <c r="H157" s="297" t="str">
        <f>DATA!J164</f>
        <v xml:space="preserve">Program Peningkatan Akses, Kualitas, Relevansi, dan Daya Saing Pendidikan Tinggi </v>
      </c>
      <c r="I157" s="297">
        <f>DATA!K164</f>
        <v>1</v>
      </c>
      <c r="J157" s="321"/>
      <c r="K157" s="322"/>
      <c r="L157" s="322"/>
      <c r="M157" s="323">
        <v>107</v>
      </c>
      <c r="N157" s="332" t="str">
        <f>DATA!L164</f>
        <v>Improvement of The Capacity and Contribution of The University of Jember on Standardized and Excellent Tridharma Implementation in South East Asia Region</v>
      </c>
      <c r="O157" s="308">
        <f>DATA!Q164</f>
        <v>0.14285714285714285</v>
      </c>
      <c r="P157" s="308">
        <f>DATA!R164</f>
        <v>0</v>
      </c>
      <c r="Q157" s="346">
        <f>DATA!S164</f>
        <v>0</v>
      </c>
      <c r="R157" s="347">
        <f>DATA!T164</f>
        <v>44091200</v>
      </c>
      <c r="S157" s="369" t="str">
        <f>DATA!Y164</f>
        <v>IDB</v>
      </c>
      <c r="T157" s="370">
        <f>DATA!AA164</f>
        <v>44091200</v>
      </c>
      <c r="U157" s="370"/>
      <c r="V157" s="371" t="str">
        <f>DATA!Y164</f>
        <v>IDB</v>
      </c>
      <c r="W157" s="372">
        <f>DATA!AT164</f>
        <v>44091200</v>
      </c>
      <c r="X157" s="373"/>
      <c r="Y157" s="411" t="str">
        <f>DATA!AU164</f>
        <v>IDB</v>
      </c>
      <c r="Z157" s="423" t="str">
        <f>DATA!AW164</f>
        <v>-</v>
      </c>
      <c r="AA157" s="414" t="str">
        <f>DATA!AN164</f>
        <v>siap</v>
      </c>
      <c r="AB157" s="415" t="str">
        <f>DATA!AO164</f>
        <v>siap</v>
      </c>
      <c r="AC157" s="416" t="e">
        <f>DATA!#REF!</f>
        <v>#REF!</v>
      </c>
      <c r="AD157" s="372"/>
      <c r="AE157" s="413"/>
      <c r="AF157" s="411"/>
    </row>
    <row r="158" spans="1:32" ht="48" customHeight="1">
      <c r="A158" s="297">
        <f>DATA!A165</f>
        <v>118</v>
      </c>
      <c r="B158" s="297">
        <f>DATA!B165</f>
        <v>0</v>
      </c>
      <c r="C158" s="297" t="str">
        <f>DATA!D165</f>
        <v>NON-INFRASTRUKTUR</v>
      </c>
      <c r="D158" s="297">
        <f>DATA!E165</f>
        <v>8</v>
      </c>
      <c r="E158" s="297" t="str">
        <f>DATA!F165</f>
        <v>Kementerian Riset, Teknologi, dan Pendidikan Tinggi</v>
      </c>
      <c r="F158" s="297" t="str">
        <f>DATA!H165</f>
        <v>Improving Access, Quality, Relevance, and Competitiveness of Higher Education Program</v>
      </c>
      <c r="G158" s="297" t="str">
        <f>DATA!I165</f>
        <v>A</v>
      </c>
      <c r="H158" s="297" t="str">
        <f>DATA!J165</f>
        <v xml:space="preserve">Program Peningkatan Akses, Kualitas, Relevansi, dan Daya Saing Pendidikan Tinggi </v>
      </c>
      <c r="I158" s="297">
        <f>DATA!K165</f>
        <v>1</v>
      </c>
      <c r="J158" s="321"/>
      <c r="K158" s="322"/>
      <c r="L158" s="322"/>
      <c r="M158" s="323">
        <v>108</v>
      </c>
      <c r="N158" s="332" t="str">
        <f>DATA!L165</f>
        <v>The Plan of Hasanuddin University Hospital Development</v>
      </c>
      <c r="O158" s="308">
        <f>DATA!Q165</f>
        <v>0.14285714285714285</v>
      </c>
      <c r="P158" s="308">
        <f>DATA!R165</f>
        <v>0</v>
      </c>
      <c r="Q158" s="346">
        <f>DATA!S165</f>
        <v>0</v>
      </c>
      <c r="R158" s="347">
        <f>DATA!T165</f>
        <v>31565800</v>
      </c>
      <c r="S158" s="369" t="str">
        <f>DATA!Y165</f>
        <v>Jerman (KfW)</v>
      </c>
      <c r="T158" s="370">
        <f>DATA!AA165</f>
        <v>31565800</v>
      </c>
      <c r="U158" s="370"/>
      <c r="V158" s="371" t="str">
        <f>DATA!Y165</f>
        <v>Jerman (KfW)</v>
      </c>
      <c r="W158" s="372">
        <f>DATA!AT165</f>
        <v>31565800</v>
      </c>
      <c r="X158" s="373"/>
      <c r="Y158" s="411" t="str">
        <f>DATA!AU165</f>
        <v>Jerman (KfW)</v>
      </c>
      <c r="Z158" s="423" t="str">
        <f>DATA!AW165</f>
        <v>-</v>
      </c>
      <c r="AA158" s="414" t="str">
        <f>DATA!AN165</f>
        <v>siap</v>
      </c>
      <c r="AB158" s="415" t="str">
        <f>DATA!AO165</f>
        <v>siap</v>
      </c>
      <c r="AC158" s="416" t="e">
        <f>DATA!#REF!</f>
        <v>#REF!</v>
      </c>
      <c r="AD158" s="372"/>
      <c r="AE158" s="413"/>
      <c r="AF158" s="411"/>
    </row>
    <row r="159" spans="1:32" ht="37.5" customHeight="1">
      <c r="A159" s="297">
        <f>DATA!A166</f>
        <v>119</v>
      </c>
      <c r="B159" s="297">
        <f>DATA!B166</f>
        <v>0</v>
      </c>
      <c r="C159" s="297" t="str">
        <f>DATA!D166</f>
        <v>NON-INFRASTRUKTUR</v>
      </c>
      <c r="D159" s="297">
        <f>DATA!E166</f>
        <v>8</v>
      </c>
      <c r="E159" s="297" t="str">
        <f>DATA!F166</f>
        <v>Kementerian Riset, Teknologi, dan Pendidikan Tinggi</v>
      </c>
      <c r="F159" s="297" t="str">
        <f>DATA!H166</f>
        <v>Improving Access, Quality, Relevance, and Competitiveness of Higher Education Program</v>
      </c>
      <c r="G159" s="297" t="str">
        <f>DATA!I166</f>
        <v>A</v>
      </c>
      <c r="H159" s="297" t="str">
        <f>DATA!J166</f>
        <v xml:space="preserve">Program Peningkatan Akses, Kualitas, Relevansi, dan Daya Saing Pendidikan Tinggi </v>
      </c>
      <c r="I159" s="297">
        <f>DATA!K166</f>
        <v>1</v>
      </c>
      <c r="J159" s="321"/>
      <c r="K159" s="322"/>
      <c r="L159" s="322"/>
      <c r="M159" s="323">
        <v>109</v>
      </c>
      <c r="N159" s="332" t="str">
        <f>DATA!L166</f>
        <v>Establishment of University of Bengkulu’s Hospital</v>
      </c>
      <c r="O159" s="308">
        <f>DATA!Q166</f>
        <v>18000000</v>
      </c>
      <c r="P159" s="308">
        <f>DATA!R166</f>
        <v>0</v>
      </c>
      <c r="Q159" s="346">
        <f>DATA!S166</f>
        <v>0</v>
      </c>
      <c r="R159" s="347">
        <f>DATA!T166</f>
        <v>10278200</v>
      </c>
      <c r="S159" s="369" t="str">
        <f>DATA!Y166</f>
        <v>JICA</v>
      </c>
      <c r="T159" s="370">
        <f>DATA!AA166</f>
        <v>10278200</v>
      </c>
      <c r="U159" s="370"/>
      <c r="V159" s="371" t="str">
        <f>DATA!Y166</f>
        <v>JICA</v>
      </c>
      <c r="W159" s="372">
        <f>DATA!AT166</f>
        <v>10278200</v>
      </c>
      <c r="X159" s="373"/>
      <c r="Y159" s="411" t="str">
        <f>DATA!AU166</f>
        <v>JICA</v>
      </c>
      <c r="Z159" s="423" t="str">
        <f>DATA!AW166</f>
        <v>-</v>
      </c>
      <c r="AA159" s="414" t="str">
        <f>DATA!AN166</f>
        <v>siap</v>
      </c>
      <c r="AB159" s="415" t="str">
        <f>DATA!AO166</f>
        <v>siap</v>
      </c>
      <c r="AC159" s="416" t="e">
        <f>DATA!#REF!</f>
        <v>#REF!</v>
      </c>
      <c r="AD159" s="372"/>
      <c r="AE159" s="413"/>
      <c r="AF159" s="411"/>
    </row>
    <row r="160" spans="1:32" ht="45.75" customHeight="1">
      <c r="A160" s="297">
        <f>DATA!A167</f>
        <v>120</v>
      </c>
      <c r="B160" s="297">
        <f>DATA!B167</f>
        <v>0</v>
      </c>
      <c r="C160" s="297" t="str">
        <f>DATA!D167</f>
        <v>NON-INFRASTRUKTUR</v>
      </c>
      <c r="D160" s="297">
        <f>DATA!E167</f>
        <v>8</v>
      </c>
      <c r="E160" s="297" t="str">
        <f>DATA!F167</f>
        <v>Kementerian Riset, Teknologi, dan Pendidikan Tinggi</v>
      </c>
      <c r="F160" s="297" t="str">
        <f>DATA!H167</f>
        <v>Improving Access, Quality, Relevance, and Competitiveness of Higher Education Program</v>
      </c>
      <c r="G160" s="297" t="str">
        <f>DATA!I167</f>
        <v>A</v>
      </c>
      <c r="H160" s="297" t="str">
        <f>DATA!J167</f>
        <v xml:space="preserve">Program Peningkatan Akses, Kualitas, Relevansi, dan Daya Saing Pendidikan Tinggi </v>
      </c>
      <c r="I160" s="297">
        <f>DATA!K167</f>
        <v>1</v>
      </c>
      <c r="J160" s="321"/>
      <c r="K160" s="333"/>
      <c r="L160" s="333"/>
      <c r="M160" s="323">
        <v>110</v>
      </c>
      <c r="N160" s="332" t="str">
        <f>DATA!L167</f>
        <v>University of Gadjah Mada Achieving World Class University with Socio-Entrepreneurial Spirit</v>
      </c>
      <c r="O160" s="308">
        <f>DATA!Q167</f>
        <v>0.14285714285714285</v>
      </c>
      <c r="P160" s="308">
        <f>DATA!R167</f>
        <v>0</v>
      </c>
      <c r="Q160" s="346">
        <f>DATA!S167</f>
        <v>0</v>
      </c>
      <c r="R160" s="347">
        <f>DATA!T167</f>
        <v>71694000</v>
      </c>
      <c r="S160" s="369" t="str">
        <f>DATA!Y167</f>
        <v>JICA</v>
      </c>
      <c r="T160" s="370">
        <f>DATA!AA167</f>
        <v>71694000</v>
      </c>
      <c r="U160" s="370"/>
      <c r="V160" s="371" t="str">
        <f>DATA!Y167</f>
        <v>JICA</v>
      </c>
      <c r="W160" s="372">
        <f>DATA!AT167</f>
        <v>71694000</v>
      </c>
      <c r="X160" s="373"/>
      <c r="Y160" s="411" t="str">
        <f>DATA!AU167</f>
        <v>JICA</v>
      </c>
      <c r="Z160" s="423" t="str">
        <f>DATA!AW167</f>
        <v>-</v>
      </c>
      <c r="AA160" s="414" t="str">
        <f>DATA!AN167</f>
        <v>siap</v>
      </c>
      <c r="AB160" s="415" t="str">
        <f>DATA!AO167</f>
        <v>siap</v>
      </c>
      <c r="AC160" s="416" t="e">
        <f>DATA!#REF!</f>
        <v>#REF!</v>
      </c>
      <c r="AD160" s="372"/>
      <c r="AE160" s="413"/>
      <c r="AF160" s="411"/>
    </row>
    <row r="161" spans="1:32" s="293" customFormat="1" ht="24.95" customHeight="1">
      <c r="J161" s="425"/>
      <c r="K161" s="313">
        <f>DATA!E173</f>
        <v>9</v>
      </c>
      <c r="L161" s="426" t="str">
        <f>DATA!F173</f>
        <v>Kementerian Agama</v>
      </c>
      <c r="M161" s="313"/>
      <c r="N161" s="315"/>
      <c r="O161" s="314"/>
      <c r="P161" s="314"/>
      <c r="Q161" s="357"/>
      <c r="R161" s="358">
        <f>+R162</f>
        <v>238210000</v>
      </c>
      <c r="S161" s="359"/>
      <c r="T161" s="360">
        <f>+T162</f>
        <v>238210000</v>
      </c>
      <c r="U161" s="360">
        <f>+U162</f>
        <v>0</v>
      </c>
      <c r="V161" s="361"/>
      <c r="W161" s="359">
        <f>+W162</f>
        <v>238210000</v>
      </c>
      <c r="X161" s="362"/>
      <c r="Y161" s="401"/>
      <c r="Z161" s="402"/>
      <c r="AA161" s="430"/>
      <c r="AB161" s="431"/>
      <c r="AC161" s="432"/>
      <c r="AD161" s="359"/>
      <c r="AE161" s="360"/>
      <c r="AF161" s="401"/>
    </row>
    <row r="162" spans="1:32" s="294" customFormat="1" ht="33.75" customHeight="1">
      <c r="J162" s="316"/>
      <c r="K162" s="317"/>
      <c r="L162" s="318" t="str">
        <f>DATA!I173</f>
        <v>A</v>
      </c>
      <c r="M162" s="3918" t="str">
        <f>DATA!J173</f>
        <v>Program Peningkatan Akses, Kualitas, Relevansi, dan Daya Saing Pendidikan Tinggi Islam</v>
      </c>
      <c r="N162" s="3919"/>
      <c r="O162" s="319"/>
      <c r="P162" s="319"/>
      <c r="Q162" s="363"/>
      <c r="R162" s="364">
        <f>R163+R164+R165+R166+R167+R168</f>
        <v>238210000</v>
      </c>
      <c r="S162" s="365"/>
      <c r="T162" s="366">
        <f>T163+T164+T165+T166+T167+T168</f>
        <v>238210000</v>
      </c>
      <c r="U162" s="366">
        <f>U163+U164+U165+U166+U167+U168</f>
        <v>0</v>
      </c>
      <c r="V162" s="367"/>
      <c r="W162" s="365">
        <f>W163+W164+W165+W166+W167+W168</f>
        <v>238210000</v>
      </c>
      <c r="X162" s="368"/>
      <c r="Y162" s="406"/>
      <c r="Z162" s="407"/>
      <c r="AA162" s="419"/>
      <c r="AB162" s="420"/>
      <c r="AC162" s="421"/>
      <c r="AD162" s="365"/>
      <c r="AE162" s="366"/>
      <c r="AF162" s="406"/>
    </row>
    <row r="163" spans="1:32" ht="43.5" customHeight="1">
      <c r="A163" s="297">
        <f>DATA!A174</f>
        <v>124</v>
      </c>
      <c r="B163" s="297">
        <f>DATA!B174</f>
        <v>0</v>
      </c>
      <c r="C163" s="297" t="str">
        <f>DATA!D174</f>
        <v>NON-INFRASTRUKTUR</v>
      </c>
      <c r="D163" s="297">
        <f>DATA!E174</f>
        <v>9</v>
      </c>
      <c r="E163" s="297" t="str">
        <f>DATA!F174</f>
        <v>Kementerian Agama</v>
      </c>
      <c r="F163" s="297" t="str">
        <f>DATA!H174</f>
        <v>Improving Access, Quality, Relevance, and Competitiveness of Islamic Higher Education Program</v>
      </c>
      <c r="G163" s="297" t="str">
        <f>DATA!I174</f>
        <v>A</v>
      </c>
      <c r="H163" s="297" t="str">
        <f>DATA!J174</f>
        <v>Program Peningkatan Akses, Kualitas, Relevansi, dan Daya Saing Pendidikan Tinggi Islam</v>
      </c>
      <c r="I163" s="297">
        <f>DATA!K174</f>
        <v>1</v>
      </c>
      <c r="J163" s="321"/>
      <c r="K163" s="322"/>
      <c r="L163" s="322"/>
      <c r="M163" s="323">
        <v>111</v>
      </c>
      <c r="N163" s="332" t="str">
        <f>DATA!L174</f>
        <v>Improvement and Optimalization of Sunan Ampel Surabaya State Islamic University</v>
      </c>
      <c r="O163" s="308">
        <f>DATA!Q174</f>
        <v>0.16666666666666666</v>
      </c>
      <c r="P163" s="308">
        <f>DATA!R174</f>
        <v>0</v>
      </c>
      <c r="Q163" s="346">
        <f>DATA!S174</f>
        <v>0</v>
      </c>
      <c r="R163" s="347">
        <f>DATA!T174</f>
        <v>40000000</v>
      </c>
      <c r="S163" s="369" t="str">
        <f>DATA!Y174</f>
        <v>IDB</v>
      </c>
      <c r="T163" s="370">
        <f>DATA!AA174</f>
        <v>40000000</v>
      </c>
      <c r="U163" s="370"/>
      <c r="V163" s="371" t="str">
        <f>DATA!Y174</f>
        <v>IDB</v>
      </c>
      <c r="W163" s="372">
        <f>DATA!AT174</f>
        <v>40000000</v>
      </c>
      <c r="X163" s="373"/>
      <c r="Y163" s="411" t="str">
        <f>DATA!AU174</f>
        <v>IDB</v>
      </c>
      <c r="Z163" s="423" t="str">
        <f>DATA!AW174</f>
        <v>-</v>
      </c>
      <c r="AA163" s="414" t="str">
        <f>DATA!AN174</f>
        <v>siap</v>
      </c>
      <c r="AB163" s="415" t="str">
        <f>DATA!AO174</f>
        <v>siap</v>
      </c>
      <c r="AC163" s="416" t="e">
        <f>DATA!#REF!</f>
        <v>#REF!</v>
      </c>
      <c r="AD163" s="372"/>
      <c r="AE163" s="413"/>
      <c r="AF163" s="411"/>
    </row>
    <row r="164" spans="1:32" ht="45" customHeight="1">
      <c r="A164" s="297">
        <f>DATA!A175</f>
        <v>125</v>
      </c>
      <c r="B164" s="297">
        <f>DATA!B175</f>
        <v>0</v>
      </c>
      <c r="C164" s="297" t="str">
        <f>DATA!D175</f>
        <v>NON-INFRASTRUKTUR</v>
      </c>
      <c r="D164" s="297">
        <f>DATA!E175</f>
        <v>9</v>
      </c>
      <c r="E164" s="297" t="str">
        <f>DATA!F175</f>
        <v>Kementerian Agama</v>
      </c>
      <c r="F164" s="297" t="str">
        <f>DATA!H175</f>
        <v>Improving Access, Quality, Relevance, and Competitiveness of Islamic Higher Education Program</v>
      </c>
      <c r="G164" s="297" t="str">
        <f>DATA!I175</f>
        <v>A</v>
      </c>
      <c r="H164" s="297" t="str">
        <f>DATA!J175</f>
        <v>Program Peningkatan Akses, Kualitas, Relevansi, dan Daya Saing Pendidikan Tinggi Islam</v>
      </c>
      <c r="I164" s="297">
        <f>DATA!K175</f>
        <v>1</v>
      </c>
      <c r="J164" s="321"/>
      <c r="K164" s="322"/>
      <c r="L164" s="322"/>
      <c r="M164" s="323">
        <v>112</v>
      </c>
      <c r="N164" s="332" t="str">
        <f>DATA!L175</f>
        <v>Improvement Access and Quality of State Islamic Institute  Suthan Maulana Hasanuddin Banten</v>
      </c>
      <c r="O164" s="308">
        <f>DATA!Q175</f>
        <v>0.16666666666666666</v>
      </c>
      <c r="P164" s="308">
        <f>DATA!R175</f>
        <v>0</v>
      </c>
      <c r="Q164" s="346">
        <f>DATA!S175</f>
        <v>0</v>
      </c>
      <c r="R164" s="347">
        <f>DATA!T175</f>
        <v>40000000</v>
      </c>
      <c r="S164" s="369" t="str">
        <f>DATA!Y175</f>
        <v>IDB</v>
      </c>
      <c r="T164" s="370">
        <f>DATA!AA175</f>
        <v>40000000</v>
      </c>
      <c r="U164" s="370"/>
      <c r="V164" s="371" t="str">
        <f>DATA!Y175</f>
        <v>IDB</v>
      </c>
      <c r="W164" s="372">
        <f>DATA!AT175</f>
        <v>40000000</v>
      </c>
      <c r="X164" s="373"/>
      <c r="Y164" s="411" t="str">
        <f>DATA!AU175</f>
        <v>IDB</v>
      </c>
      <c r="Z164" s="423" t="str">
        <f>DATA!AW175</f>
        <v>-</v>
      </c>
      <c r="AA164" s="414" t="str">
        <f>DATA!AN175</f>
        <v>siap</v>
      </c>
      <c r="AB164" s="415" t="str">
        <f>DATA!AO175</f>
        <v>siap</v>
      </c>
      <c r="AC164" s="416" t="e">
        <f>DATA!#REF!</f>
        <v>#REF!</v>
      </c>
      <c r="AD164" s="372"/>
      <c r="AE164" s="413"/>
      <c r="AF164" s="411"/>
    </row>
    <row r="165" spans="1:32" ht="36.75" customHeight="1">
      <c r="A165" s="297">
        <f>DATA!A176</f>
        <v>126</v>
      </c>
      <c r="B165" s="297">
        <f>DATA!B176</f>
        <v>0</v>
      </c>
      <c r="C165" s="297" t="str">
        <f>DATA!D176</f>
        <v>NON-INFRASTRUKTUR</v>
      </c>
      <c r="D165" s="297">
        <f>DATA!E176</f>
        <v>9</v>
      </c>
      <c r="E165" s="297" t="str">
        <f>DATA!F176</f>
        <v>Kementerian Agama</v>
      </c>
      <c r="F165" s="297" t="str">
        <f>DATA!H176</f>
        <v>Improving Access, Quality, Relevance, and Competitiveness of Islamic Higher Education Program</v>
      </c>
      <c r="G165" s="297" t="str">
        <f>DATA!I176</f>
        <v>A</v>
      </c>
      <c r="H165" s="297" t="str">
        <f>DATA!J176</f>
        <v>Program Peningkatan Akses, Kualitas, Relevansi, dan Daya Saing Pendidikan Tinggi Islam</v>
      </c>
      <c r="I165" s="297">
        <f>DATA!K176</f>
        <v>1</v>
      </c>
      <c r="J165" s="321"/>
      <c r="K165" s="322"/>
      <c r="L165" s="322"/>
      <c r="M165" s="323">
        <v>113</v>
      </c>
      <c r="N165" s="332" t="str">
        <f>DATA!L176</f>
        <v xml:space="preserve">Development and Quality Improvement  of Antasari State Islamic Institute </v>
      </c>
      <c r="O165" s="308">
        <f>DATA!Q176</f>
        <v>0.16666666666666666</v>
      </c>
      <c r="P165" s="308">
        <f>DATA!R176</f>
        <v>0</v>
      </c>
      <c r="Q165" s="346">
        <f>DATA!S176</f>
        <v>0</v>
      </c>
      <c r="R165" s="347">
        <f>DATA!T176</f>
        <v>39908600</v>
      </c>
      <c r="S165" s="369" t="str">
        <f>DATA!Y176</f>
        <v>IDB</v>
      </c>
      <c r="T165" s="370">
        <f>DATA!AA176</f>
        <v>39900000</v>
      </c>
      <c r="U165" s="370"/>
      <c r="V165" s="371" t="str">
        <f>DATA!Y176</f>
        <v>IDB</v>
      </c>
      <c r="W165" s="372">
        <f>DATA!AT176</f>
        <v>39900000</v>
      </c>
      <c r="X165" s="373"/>
      <c r="Y165" s="411" t="str">
        <f>DATA!AU176</f>
        <v>IDB</v>
      </c>
      <c r="Z165" s="423" t="str">
        <f>DATA!AW176</f>
        <v>-</v>
      </c>
      <c r="AA165" s="414" t="str">
        <f>DATA!AN176</f>
        <v>siap</v>
      </c>
      <c r="AB165" s="415" t="str">
        <f>DATA!AO176</f>
        <v>siap</v>
      </c>
      <c r="AC165" s="416" t="e">
        <f>DATA!#REF!</f>
        <v>#REF!</v>
      </c>
      <c r="AD165" s="372"/>
      <c r="AE165" s="413"/>
      <c r="AF165" s="411"/>
    </row>
    <row r="166" spans="1:32" ht="41.25" customHeight="1">
      <c r="A166" s="297">
        <f>DATA!A177</f>
        <v>127</v>
      </c>
      <c r="B166" s="297">
        <f>DATA!B177</f>
        <v>0</v>
      </c>
      <c r="C166" s="297" t="str">
        <f>DATA!D177</f>
        <v>NON-INFRASTRUKTUR</v>
      </c>
      <c r="D166" s="297" t="str">
        <f>DATA!E177</f>
        <v>z</v>
      </c>
      <c r="E166" s="297" t="str">
        <f>DATA!F177</f>
        <v>Kementerian Agama</v>
      </c>
      <c r="F166" s="297" t="str">
        <f>DATA!H177</f>
        <v>Improving Access, Quality, Relevance, and Competitiveness of Islamic Higher Education Program</v>
      </c>
      <c r="G166" s="297" t="str">
        <f>DATA!I177</f>
        <v>A</v>
      </c>
      <c r="H166" s="297" t="str">
        <f>DATA!J177</f>
        <v>Program Peningkatan Akses, Kualitas, Relevansi, dan Daya Saing Pendidikan Tinggi Islam</v>
      </c>
      <c r="I166" s="297">
        <f>DATA!K177</f>
        <v>1</v>
      </c>
      <c r="J166" s="321"/>
      <c r="K166" s="322"/>
      <c r="L166" s="322"/>
      <c r="M166" s="323">
        <v>114</v>
      </c>
      <c r="N166" s="332" t="str">
        <f>DATA!L177</f>
        <v xml:space="preserve">Tranformation of State Islamic Institute  Sulthan Thaha Saifuddin to State Islamic University </v>
      </c>
      <c r="O166" s="308">
        <f>DATA!Q177</f>
        <v>0.16666666666666666</v>
      </c>
      <c r="P166" s="308">
        <f>DATA!R177</f>
        <v>0</v>
      </c>
      <c r="Q166" s="346">
        <f>DATA!S177</f>
        <v>0</v>
      </c>
      <c r="R166" s="347">
        <f>DATA!T177</f>
        <v>40000000</v>
      </c>
      <c r="S166" s="369" t="str">
        <f>DATA!Y177</f>
        <v>IDB</v>
      </c>
      <c r="T166" s="370">
        <f>DATA!AA177</f>
        <v>40000000</v>
      </c>
      <c r="U166" s="370"/>
      <c r="V166" s="371" t="str">
        <f>DATA!Y177</f>
        <v>IDB</v>
      </c>
      <c r="W166" s="372">
        <f>DATA!AT177</f>
        <v>40000000</v>
      </c>
      <c r="X166" s="373"/>
      <c r="Y166" s="411" t="str">
        <f>DATA!AU177</f>
        <v>IDB</v>
      </c>
      <c r="Z166" s="423" t="str">
        <f>DATA!AW177</f>
        <v>-</v>
      </c>
      <c r="AA166" s="414" t="str">
        <f>DATA!AN177</f>
        <v>siap</v>
      </c>
      <c r="AB166" s="415" t="str">
        <f>DATA!AO177</f>
        <v>siap</v>
      </c>
      <c r="AC166" s="416" t="e">
        <f>DATA!#REF!</f>
        <v>#REF!</v>
      </c>
      <c r="AD166" s="372"/>
      <c r="AE166" s="413"/>
      <c r="AF166" s="411"/>
    </row>
    <row r="167" spans="1:32" ht="42.75" customHeight="1">
      <c r="A167" s="297">
        <f>DATA!A178</f>
        <v>128</v>
      </c>
      <c r="B167" s="297">
        <f>DATA!B178</f>
        <v>0</v>
      </c>
      <c r="C167" s="297" t="str">
        <f>DATA!D178</f>
        <v>NON-INFRASTRUKTUR</v>
      </c>
      <c r="D167" s="297">
        <f>DATA!E178</f>
        <v>9</v>
      </c>
      <c r="E167" s="297" t="str">
        <f>DATA!F178</f>
        <v>Kementerian Agama</v>
      </c>
      <c r="F167" s="297" t="str">
        <f>DATA!H178</f>
        <v>Improving Access, Quality, Relevance, and Competitiveness of Islamic Higher Education Program</v>
      </c>
      <c r="G167" s="297" t="str">
        <f>DATA!I178</f>
        <v>A</v>
      </c>
      <c r="H167" s="297" t="str">
        <f>DATA!J178</f>
        <v>Program Peningkatan Akses, Kualitas, Relevansi, dan Daya Saing Pendidikan Tinggi Islam</v>
      </c>
      <c r="I167" s="297">
        <f>DATA!K178</f>
        <v>1</v>
      </c>
      <c r="J167" s="321"/>
      <c r="K167" s="322"/>
      <c r="L167" s="322"/>
      <c r="M167" s="323">
        <v>115</v>
      </c>
      <c r="N167" s="332" t="str">
        <f>DATA!L178</f>
        <v>Development and Institutional Transformation of State Islamic Institute  Raden Intan Lampung</v>
      </c>
      <c r="O167" s="308">
        <f>DATA!Q178</f>
        <v>0.16666666666666666</v>
      </c>
      <c r="P167" s="308">
        <f>DATA!R178</f>
        <v>0</v>
      </c>
      <c r="Q167" s="346">
        <f>DATA!S178</f>
        <v>0</v>
      </c>
      <c r="R167" s="347">
        <f>DATA!T178</f>
        <v>40000000</v>
      </c>
      <c r="S167" s="369" t="str">
        <f>DATA!Y178</f>
        <v>IDB</v>
      </c>
      <c r="T167" s="370">
        <f>DATA!AA178</f>
        <v>40000000</v>
      </c>
      <c r="U167" s="370"/>
      <c r="V167" s="371" t="str">
        <f>DATA!Y178</f>
        <v>IDB</v>
      </c>
      <c r="W167" s="372">
        <f>DATA!AT178</f>
        <v>40000000</v>
      </c>
      <c r="X167" s="373"/>
      <c r="Y167" s="411" t="str">
        <f>DATA!AU178</f>
        <v>IDB</v>
      </c>
      <c r="Z167" s="423" t="str">
        <f>DATA!AW178</f>
        <v>-</v>
      </c>
      <c r="AA167" s="414" t="str">
        <f>DATA!AN178</f>
        <v>siap</v>
      </c>
      <c r="AB167" s="415" t="str">
        <f>DATA!AO178</f>
        <v>siap</v>
      </c>
      <c r="AC167" s="416" t="e">
        <f>DATA!#REF!</f>
        <v>#REF!</v>
      </c>
      <c r="AD167" s="372"/>
      <c r="AE167" s="413"/>
      <c r="AF167" s="411"/>
    </row>
    <row r="168" spans="1:32" ht="38.25" customHeight="1">
      <c r="A168" s="297">
        <f>DATA!A179</f>
        <v>123</v>
      </c>
      <c r="B168" s="297">
        <f>DATA!B179</f>
        <v>0</v>
      </c>
      <c r="C168" s="297" t="str">
        <f>DATA!D179</f>
        <v>NON-INFRASTRUKTUR</v>
      </c>
      <c r="D168" s="297">
        <f>DATA!E179</f>
        <v>9</v>
      </c>
      <c r="E168" s="297" t="str">
        <f>DATA!F179</f>
        <v>Kementerian Agama</v>
      </c>
      <c r="F168" s="297" t="str">
        <f>DATA!H179</f>
        <v>Improving Access, Quality, Relevance, and Competitiveness of Islamic Higher Education Program</v>
      </c>
      <c r="G168" s="297" t="str">
        <f>DATA!I179</f>
        <v>A</v>
      </c>
      <c r="H168" s="297" t="str">
        <f>DATA!J179</f>
        <v>Program Peningkatan Akses, Kualitas, Relevansi, dan Daya Saing Pendidikan Tinggi Islam</v>
      </c>
      <c r="I168" s="297">
        <f>DATA!K179</f>
        <v>1</v>
      </c>
      <c r="J168" s="321"/>
      <c r="K168" s="333"/>
      <c r="L168" s="333"/>
      <c r="M168" s="323">
        <v>116</v>
      </c>
      <c r="N168" s="332" t="str">
        <f>DATA!L179</f>
        <v xml:space="preserve">Development of Imam Bonjol State Islamic Institute Project </v>
      </c>
      <c r="O168" s="308">
        <f>DATA!Q179</f>
        <v>0.16666666666666666</v>
      </c>
      <c r="P168" s="308">
        <f>DATA!R179</f>
        <v>0</v>
      </c>
      <c r="Q168" s="346">
        <f>DATA!S179</f>
        <v>0</v>
      </c>
      <c r="R168" s="347">
        <f>DATA!T179</f>
        <v>38301400</v>
      </c>
      <c r="S168" s="369" t="str">
        <f>DATA!Y179</f>
        <v>IDB</v>
      </c>
      <c r="T168" s="370">
        <f>DATA!AA179</f>
        <v>38310000</v>
      </c>
      <c r="U168" s="370"/>
      <c r="V168" s="371" t="str">
        <f>DATA!Y179</f>
        <v>IDB</v>
      </c>
      <c r="W168" s="372">
        <f>DATA!AT179</f>
        <v>38310000</v>
      </c>
      <c r="X168" s="373"/>
      <c r="Y168" s="411" t="str">
        <f>DATA!AU179</f>
        <v>IDB</v>
      </c>
      <c r="Z168" s="423" t="str">
        <f>DATA!AW179</f>
        <v>-</v>
      </c>
      <c r="AA168" s="414" t="str">
        <f>DATA!AN179</f>
        <v>siap</v>
      </c>
      <c r="AB168" s="415" t="str">
        <f>DATA!AO179</f>
        <v>siap</v>
      </c>
      <c r="AC168" s="416" t="e">
        <f>DATA!#REF!</f>
        <v>#REF!</v>
      </c>
      <c r="AD168" s="372"/>
      <c r="AE168" s="413"/>
      <c r="AF168" s="411"/>
    </row>
    <row r="169" spans="1:32" s="293" customFormat="1" ht="24.95" customHeight="1">
      <c r="J169" s="425"/>
      <c r="K169" s="313">
        <f>DATA!E181</f>
        <v>10</v>
      </c>
      <c r="L169" s="426" t="str">
        <f>DATA!F181</f>
        <v>Kementerian PPN/Bappenas</v>
      </c>
      <c r="M169" s="313"/>
      <c r="N169" s="315"/>
      <c r="O169" s="314"/>
      <c r="P169" s="314"/>
      <c r="Q169" s="357"/>
      <c r="R169" s="358">
        <f>+R170</f>
        <v>300000000</v>
      </c>
      <c r="S169" s="359"/>
      <c r="T169" s="360">
        <f t="shared" ref="T169:W170" si="10">+T170</f>
        <v>300000000</v>
      </c>
      <c r="U169" s="360">
        <f t="shared" si="10"/>
        <v>0</v>
      </c>
      <c r="V169" s="361"/>
      <c r="W169" s="359">
        <f t="shared" si="10"/>
        <v>300000000</v>
      </c>
      <c r="X169" s="362"/>
      <c r="Y169" s="401"/>
      <c r="Z169" s="402"/>
      <c r="AA169" s="430"/>
      <c r="AB169" s="431"/>
      <c r="AC169" s="432"/>
      <c r="AD169" s="359"/>
      <c r="AE169" s="360"/>
      <c r="AF169" s="401"/>
    </row>
    <row r="170" spans="1:32" s="294" customFormat="1" ht="33.75" customHeight="1">
      <c r="J170" s="316"/>
      <c r="K170" s="317"/>
      <c r="L170" s="318" t="str">
        <f>DATA!I181</f>
        <v>A</v>
      </c>
      <c r="M170" s="3918" t="str">
        <f>DATA!J181</f>
        <v>Program Pengembangan Sumber Daya Aparatur  dalam Rangka Reformasi Birokrasi</v>
      </c>
      <c r="N170" s="3919"/>
      <c r="O170" s="319"/>
      <c r="P170" s="319"/>
      <c r="Q170" s="363"/>
      <c r="R170" s="364">
        <f>+R171</f>
        <v>300000000</v>
      </c>
      <c r="S170" s="365"/>
      <c r="T170" s="366">
        <f t="shared" si="10"/>
        <v>300000000</v>
      </c>
      <c r="U170" s="366">
        <f t="shared" si="10"/>
        <v>0</v>
      </c>
      <c r="V170" s="367"/>
      <c r="W170" s="365">
        <f t="shared" si="10"/>
        <v>300000000</v>
      </c>
      <c r="X170" s="368"/>
      <c r="Y170" s="406"/>
      <c r="Z170" s="407"/>
      <c r="AA170" s="419"/>
      <c r="AB170" s="420"/>
      <c r="AC170" s="421"/>
      <c r="AD170" s="365"/>
      <c r="AE170" s="366"/>
      <c r="AF170" s="406"/>
    </row>
    <row r="171" spans="1:32" ht="54" customHeight="1">
      <c r="A171" s="297">
        <f>DATA!A181</f>
        <v>129</v>
      </c>
      <c r="B171" s="297">
        <f>DATA!B181</f>
        <v>0</v>
      </c>
      <c r="C171" s="297" t="str">
        <f>DATA!D181</f>
        <v>NON-INFRASTRUKTUR</v>
      </c>
      <c r="D171" s="297">
        <f>DATA!E181</f>
        <v>10</v>
      </c>
      <c r="E171" s="297" t="str">
        <f>DATA!F181</f>
        <v>Kementerian PPN/Bappenas</v>
      </c>
      <c r="F171" s="297" t="str">
        <f>DATA!H181</f>
        <v>Human Resources Development for Bureaucracy Reform Program</v>
      </c>
      <c r="G171" s="297" t="str">
        <f>DATA!I181</f>
        <v>A</v>
      </c>
      <c r="H171" s="297" t="str">
        <f>DATA!J181</f>
        <v>Program Pengembangan Sumber Daya Aparatur  dalam Rangka Reformasi Birokrasi</v>
      </c>
      <c r="I171" s="297">
        <f>DATA!K181</f>
        <v>1</v>
      </c>
      <c r="J171" s="321"/>
      <c r="K171" s="333"/>
      <c r="L171" s="322"/>
      <c r="M171" s="336">
        <v>117</v>
      </c>
      <c r="N171" s="332" t="str">
        <f>DATA!L181</f>
        <v>Development of Capacity, Quality, and Competency of Human Resources for Government Officer</v>
      </c>
      <c r="O171" s="308">
        <f>DATA!Q181</f>
        <v>1</v>
      </c>
      <c r="P171" s="308">
        <f>DATA!R181</f>
        <v>1</v>
      </c>
      <c r="Q171" s="346">
        <f>DATA!S181</f>
        <v>103</v>
      </c>
      <c r="R171" s="347">
        <f>DATA!T181</f>
        <v>300000000</v>
      </c>
      <c r="S171" s="369" t="str">
        <f>DATA!Y181</f>
        <v>Bank Dunia</v>
      </c>
      <c r="T171" s="370">
        <f>DATA!AA181</f>
        <v>300000000</v>
      </c>
      <c r="U171" s="370"/>
      <c r="V171" s="371" t="str">
        <f>DATA!Y181</f>
        <v>Bank Dunia</v>
      </c>
      <c r="W171" s="372">
        <f>DATA!AT181</f>
        <v>300000000</v>
      </c>
      <c r="X171" s="373"/>
      <c r="Y171" s="411" t="str">
        <f>DATA!AU181</f>
        <v>Bank Dunia</v>
      </c>
      <c r="Z171" s="423" t="str">
        <f>DATA!AW181</f>
        <v>-</v>
      </c>
      <c r="AA171" s="414" t="str">
        <f>DATA!AN181</f>
        <v>dalam proses
(penyusunan FS)</v>
      </c>
      <c r="AB171" s="415" t="str">
        <f>DATA!AO181</f>
        <v>tidak butuh lahan</v>
      </c>
      <c r="AC171" s="416" t="e">
        <f>DATA!#REF!</f>
        <v>#REF!</v>
      </c>
      <c r="AD171" s="372"/>
      <c r="AE171" s="413"/>
      <c r="AF171" s="411"/>
    </row>
    <row r="172" spans="1:32" s="293" customFormat="1" ht="24.95" customHeight="1">
      <c r="J172" s="425"/>
      <c r="K172" s="313">
        <f>DATA!E182</f>
        <v>11</v>
      </c>
      <c r="L172" s="426" t="str">
        <f>DATA!F182</f>
        <v>Kementerian Kesehatan</v>
      </c>
      <c r="M172" s="313"/>
      <c r="N172" s="315"/>
      <c r="O172" s="314"/>
      <c r="P172" s="314"/>
      <c r="Q172" s="357"/>
      <c r="R172" s="358">
        <f>+R173+R175+R177+R179</f>
        <v>1746000000</v>
      </c>
      <c r="S172" s="359"/>
      <c r="T172" s="360">
        <f>+T173+T175+T177+T179</f>
        <v>990400000</v>
      </c>
      <c r="U172" s="360">
        <f>+U173+U175+U177+U179</f>
        <v>755600000</v>
      </c>
      <c r="V172" s="361">
        <f>+V173+V175+V177+V179</f>
        <v>0</v>
      </c>
      <c r="W172" s="359">
        <f>+W173+W175+W177+W179</f>
        <v>990400000</v>
      </c>
      <c r="X172" s="362">
        <f>+X173+X175+X177+X179</f>
        <v>755600000</v>
      </c>
      <c r="Y172" s="401"/>
      <c r="Z172" s="402"/>
      <c r="AA172" s="430"/>
      <c r="AB172" s="431"/>
      <c r="AC172" s="432"/>
      <c r="AD172" s="359"/>
      <c r="AE172" s="360"/>
      <c r="AF172" s="401"/>
    </row>
    <row r="173" spans="1:32" s="294" customFormat="1" ht="33.75" customHeight="1">
      <c r="J173" s="316"/>
      <c r="K173" s="317"/>
      <c r="L173" s="318" t="str">
        <f>DATA!I181</f>
        <v>A</v>
      </c>
      <c r="M173" s="319" t="str">
        <f>DATA!J182</f>
        <v>Program Pelayanan Kesehatan Dasar</v>
      </c>
      <c r="N173" s="329"/>
      <c r="O173" s="319"/>
      <c r="P173" s="319"/>
      <c r="Q173" s="363"/>
      <c r="R173" s="364">
        <f>+R174</f>
        <v>150000000</v>
      </c>
      <c r="S173" s="365"/>
      <c r="T173" s="366">
        <f>+T174</f>
        <v>150000000</v>
      </c>
      <c r="U173" s="366">
        <f>+U174</f>
        <v>0</v>
      </c>
      <c r="V173" s="367"/>
      <c r="W173" s="365">
        <f>+W174</f>
        <v>150000000</v>
      </c>
      <c r="X173" s="368"/>
      <c r="Y173" s="406"/>
      <c r="Z173" s="407"/>
      <c r="AA173" s="419"/>
      <c r="AB173" s="420"/>
      <c r="AC173" s="421"/>
      <c r="AD173" s="365"/>
      <c r="AE173" s="366"/>
      <c r="AF173" s="406"/>
    </row>
    <row r="174" spans="1:32" ht="36" customHeight="1">
      <c r="A174" s="297">
        <f>DATA!A182</f>
        <v>130</v>
      </c>
      <c r="B174" s="297">
        <f>DATA!B182</f>
        <v>0</v>
      </c>
      <c r="C174" s="297" t="str">
        <f>DATA!D182</f>
        <v>NON-INFRASTRUKTUR</v>
      </c>
      <c r="D174" s="297">
        <f>DATA!E182</f>
        <v>11</v>
      </c>
      <c r="E174" s="297" t="str">
        <f>DATA!F182</f>
        <v>Kementerian Kesehatan</v>
      </c>
      <c r="F174" s="297" t="str">
        <f>DATA!H182</f>
        <v>Basic Health Care Program</v>
      </c>
      <c r="G174" s="297" t="str">
        <f>DATA!I182</f>
        <v>A</v>
      </c>
      <c r="H174" s="297" t="str">
        <f>DATA!J182</f>
        <v>Program Pelayanan Kesehatan Dasar</v>
      </c>
      <c r="I174" s="297">
        <f>DATA!K182</f>
        <v>1</v>
      </c>
      <c r="J174" s="321"/>
      <c r="K174" s="322"/>
      <c r="L174" s="333"/>
      <c r="M174" s="325">
        <v>118</v>
      </c>
      <c r="N174" s="332" t="str">
        <f>DATA!L182</f>
        <v>Improvement of Primary Health Care</v>
      </c>
      <c r="O174" s="308">
        <f>DATA!Q182</f>
        <v>1</v>
      </c>
      <c r="P174" s="308">
        <f>DATA!R182</f>
        <v>1</v>
      </c>
      <c r="Q174" s="346">
        <f>DATA!S182</f>
        <v>104</v>
      </c>
      <c r="R174" s="347">
        <f>DATA!T182</f>
        <v>150000000</v>
      </c>
      <c r="S174" s="369" t="str">
        <f>DATA!Y182</f>
        <v>Bank Dunia</v>
      </c>
      <c r="T174" s="370">
        <f>DATA!AA182</f>
        <v>150000000</v>
      </c>
      <c r="U174" s="370"/>
      <c r="V174" s="371" t="str">
        <f>DATA!Y182</f>
        <v>Bank Dunia</v>
      </c>
      <c r="W174" s="372">
        <f>DATA!AT182</f>
        <v>150000000</v>
      </c>
      <c r="X174" s="373"/>
      <c r="Y174" s="411" t="str">
        <f>DATA!AU182</f>
        <v>Bank Dunia</v>
      </c>
      <c r="Z174" s="423" t="str">
        <f>DATA!AW182</f>
        <v>-</v>
      </c>
      <c r="AA174" s="414" t="str">
        <f>DATA!AN182</f>
        <v>belum ada keterangan</v>
      </c>
      <c r="AB174" s="415" t="str">
        <f>DATA!AO182</f>
        <v>tidak butuh lahan</v>
      </c>
      <c r="AC174" s="416" t="e">
        <f>DATA!#REF!</f>
        <v>#REF!</v>
      </c>
      <c r="AD174" s="372"/>
      <c r="AE174" s="413"/>
      <c r="AF174" s="411"/>
    </row>
    <row r="175" spans="1:32" s="294" customFormat="1" ht="33.75" customHeight="1">
      <c r="J175" s="316"/>
      <c r="K175" s="328"/>
      <c r="L175" s="318" t="str">
        <f>DATA!I183</f>
        <v>B</v>
      </c>
      <c r="M175" s="3918" t="str">
        <f>DATA!J183</f>
        <v>Program Pengembangan Sumber Daya Manusia Kesehatan</v>
      </c>
      <c r="N175" s="3919"/>
      <c r="O175" s="319"/>
      <c r="P175" s="319"/>
      <c r="Q175" s="363"/>
      <c r="R175" s="364">
        <f>+R176</f>
        <v>240000000</v>
      </c>
      <c r="S175" s="365"/>
      <c r="T175" s="366">
        <f>+T176</f>
        <v>240000000</v>
      </c>
      <c r="U175" s="366">
        <f>+U176</f>
        <v>0</v>
      </c>
      <c r="V175" s="367"/>
      <c r="W175" s="365">
        <f>+W176</f>
        <v>240000000</v>
      </c>
      <c r="X175" s="368"/>
      <c r="Y175" s="406"/>
      <c r="Z175" s="407"/>
      <c r="AA175" s="419"/>
      <c r="AB175" s="420"/>
      <c r="AC175" s="421"/>
      <c r="AD175" s="365"/>
      <c r="AE175" s="366"/>
      <c r="AF175" s="406"/>
    </row>
    <row r="176" spans="1:32" ht="45" customHeight="1">
      <c r="A176" s="297">
        <f>DATA!A183</f>
        <v>131</v>
      </c>
      <c r="B176" s="297">
        <f>DATA!B183</f>
        <v>0</v>
      </c>
      <c r="C176" s="297" t="str">
        <f>DATA!D183</f>
        <v>NON-INFRASTRUKTUR</v>
      </c>
      <c r="D176" s="297">
        <f>DATA!E183</f>
        <v>11</v>
      </c>
      <c r="E176" s="297" t="str">
        <f>DATA!F183</f>
        <v>Kementerian Kesehatan</v>
      </c>
      <c r="F176" s="297" t="str">
        <f>DATA!H183</f>
        <v>Program for Human Resources Development in Health Sector</v>
      </c>
      <c r="G176" s="297" t="str">
        <f>DATA!I183</f>
        <v>B</v>
      </c>
      <c r="H176" s="297" t="str">
        <f>DATA!J183</f>
        <v>Program Pengembangan Sumber Daya Manusia Kesehatan</v>
      </c>
      <c r="I176" s="297">
        <f>DATA!K183</f>
        <v>1</v>
      </c>
      <c r="J176" s="321"/>
      <c r="K176" s="322"/>
      <c r="L176" s="308"/>
      <c r="M176" s="326">
        <v>119</v>
      </c>
      <c r="N176" s="332" t="str">
        <f>DATA!L183</f>
        <v>Improvement of Facilities and Infrastructure for Teaching and Learning Activities in Health Sector</v>
      </c>
      <c r="O176" s="308">
        <f>DATA!Q183</f>
        <v>1</v>
      </c>
      <c r="P176" s="308">
        <f>DATA!R183</f>
        <v>1</v>
      </c>
      <c r="Q176" s="346">
        <f>DATA!S183</f>
        <v>105</v>
      </c>
      <c r="R176" s="347">
        <f>DATA!T183</f>
        <v>240000000</v>
      </c>
      <c r="S176" s="369" t="str">
        <f>DATA!Y183</f>
        <v>IDB</v>
      </c>
      <c r="T176" s="370">
        <f>DATA!AA183</f>
        <v>240000000</v>
      </c>
      <c r="U176" s="370">
        <f>DATA!AG183</f>
        <v>0</v>
      </c>
      <c r="V176" s="371" t="str">
        <f>DATA!Y183</f>
        <v>IDB</v>
      </c>
      <c r="W176" s="372">
        <f>DATA!AT183</f>
        <v>240000000</v>
      </c>
      <c r="X176" s="373"/>
      <c r="Y176" s="411" t="str">
        <f>DATA!AU183</f>
        <v>IDB</v>
      </c>
      <c r="Z176" s="423" t="str">
        <f>DATA!AW183</f>
        <v>-</v>
      </c>
      <c r="AA176" s="414" t="str">
        <f>DATA!AN183</f>
        <v>dalam proses
(memiliki FS dan DED)</v>
      </c>
      <c r="AB176" s="415" t="str">
        <f>DATA!AO183</f>
        <v>siap</v>
      </c>
      <c r="AC176" s="416" t="str">
        <f>DATA!AR183</f>
        <v>penyiapan dokumen R/C</v>
      </c>
      <c r="AD176" s="372"/>
      <c r="AE176" s="413"/>
      <c r="AF176" s="411"/>
    </row>
    <row r="177" spans="1:32" s="294" customFormat="1" ht="37.5" customHeight="1">
      <c r="J177" s="316"/>
      <c r="K177" s="328"/>
      <c r="L177" s="318" t="str">
        <f>DATA!I184</f>
        <v>C</v>
      </c>
      <c r="M177" s="3918" t="str">
        <f>DATA!J184</f>
        <v>Program Pengendalian Penyakit, Penyehatan Lingkungan, dan Penguatan Litbang Kesehatan</v>
      </c>
      <c r="N177" s="3919"/>
      <c r="O177" s="319"/>
      <c r="P177" s="319"/>
      <c r="Q177" s="363"/>
      <c r="R177" s="364">
        <f>+R178</f>
        <v>100400000</v>
      </c>
      <c r="S177" s="365"/>
      <c r="T177" s="366">
        <f>+T178</f>
        <v>100400000</v>
      </c>
      <c r="U177" s="366">
        <f>+U178</f>
        <v>0</v>
      </c>
      <c r="V177" s="367"/>
      <c r="W177" s="365">
        <f>+W178</f>
        <v>100400000</v>
      </c>
      <c r="X177" s="368"/>
      <c r="Y177" s="406"/>
      <c r="Z177" s="407"/>
      <c r="AA177" s="419"/>
      <c r="AB177" s="420"/>
      <c r="AC177" s="421"/>
      <c r="AD177" s="365"/>
      <c r="AE177" s="366"/>
      <c r="AF177" s="406"/>
    </row>
    <row r="178" spans="1:32" ht="57.75" customHeight="1">
      <c r="A178" s="297">
        <f>DATA!A184</f>
        <v>132</v>
      </c>
      <c r="B178" s="297">
        <f>DATA!B184</f>
        <v>0</v>
      </c>
      <c r="C178" s="297" t="str">
        <f>DATA!D184</f>
        <v>NON-INFRASTRUKTUR</v>
      </c>
      <c r="D178" s="297">
        <f>DATA!E184</f>
        <v>11</v>
      </c>
      <c r="E178" s="297" t="str">
        <f>DATA!F184</f>
        <v>Kementerian Kesehatan</v>
      </c>
      <c r="F178" s="297" t="str">
        <f>DATA!H184</f>
        <v>Program for Disease Control, Environmental Health, and Strengthening Health Research and Development</v>
      </c>
      <c r="G178" s="297" t="str">
        <f>DATA!I184</f>
        <v>C</v>
      </c>
      <c r="H178" s="297" t="str">
        <f>DATA!J184</f>
        <v>Program Pengendalian Penyakit, Penyehatan Lingkungan, dan Penguatan Litbang Kesehatan</v>
      </c>
      <c r="I178" s="297">
        <f>DATA!K184</f>
        <v>1</v>
      </c>
      <c r="J178" s="321"/>
      <c r="K178" s="322"/>
      <c r="L178" s="308"/>
      <c r="M178" s="326">
        <v>120</v>
      </c>
      <c r="N178" s="332" t="str">
        <f>DATA!L184</f>
        <v>Improvement of Capacity on Disease Control, Environmental Health, and Strengthening Health’s Research and Development</v>
      </c>
      <c r="O178" s="308">
        <f>DATA!Q184</f>
        <v>1</v>
      </c>
      <c r="P178" s="308">
        <f>DATA!R184</f>
        <v>1</v>
      </c>
      <c r="Q178" s="346">
        <f>DATA!S184</f>
        <v>106</v>
      </c>
      <c r="R178" s="347">
        <f>DATA!T184</f>
        <v>100400000</v>
      </c>
      <c r="S178" s="369" t="str">
        <f>DATA!Y184</f>
        <v>Jerman (KfW)</v>
      </c>
      <c r="T178" s="370">
        <f>DATA!AA184</f>
        <v>100400000</v>
      </c>
      <c r="U178" s="370">
        <f>DATA!AG184</f>
        <v>0</v>
      </c>
      <c r="V178" s="371" t="str">
        <f>DATA!Y184</f>
        <v>Jerman (KfW)</v>
      </c>
      <c r="W178" s="372">
        <f>DATA!AT184</f>
        <v>100400000</v>
      </c>
      <c r="X178" s="373"/>
      <c r="Y178" s="411" t="str">
        <f>DATA!AU184</f>
        <v>Jerman (KfW)</v>
      </c>
      <c r="Z178" s="423" t="str">
        <f>DATA!AW184</f>
        <v>-</v>
      </c>
      <c r="AA178" s="414" t="str">
        <f>DATA!AN184</f>
        <v>dalam proses
(memiliki)</v>
      </c>
      <c r="AB178" s="415" t="str">
        <f>DATA!AO184</f>
        <v>dalam proses
(pelaksanaan)</v>
      </c>
      <c r="AC178" s="416" t="str">
        <f>DATA!AR184</f>
        <v>- tidak diketahui berapa persen proses pelaksanaannya
- penyiapan dokumen R/C</v>
      </c>
      <c r="AD178" s="372"/>
      <c r="AE178" s="413"/>
      <c r="AF178" s="411"/>
    </row>
    <row r="179" spans="1:32" s="294" customFormat="1" ht="33.75" customHeight="1">
      <c r="J179" s="316"/>
      <c r="K179" s="328"/>
      <c r="L179" s="318" t="str">
        <f>DATA!I185</f>
        <v>D</v>
      </c>
      <c r="M179" s="319" t="str">
        <f>DATA!J185</f>
        <v>Program Pelayanan Kesehatan Rujukan</v>
      </c>
      <c r="N179" s="329"/>
      <c r="O179" s="319"/>
      <c r="P179" s="319"/>
      <c r="Q179" s="363"/>
      <c r="R179" s="364">
        <f>R180</f>
        <v>1255600000</v>
      </c>
      <c r="S179" s="365"/>
      <c r="T179" s="366">
        <f>T180+T181+T182</f>
        <v>500000000</v>
      </c>
      <c r="U179" s="366">
        <f>U180+U181+U182</f>
        <v>755600000</v>
      </c>
      <c r="V179" s="367"/>
      <c r="W179" s="365">
        <f>W180+W181+W182</f>
        <v>500000000</v>
      </c>
      <c r="X179" s="368">
        <f>X180+X181+X182</f>
        <v>755600000</v>
      </c>
      <c r="Y179" s="406"/>
      <c r="Z179" s="407"/>
      <c r="AA179" s="419"/>
      <c r="AB179" s="420"/>
      <c r="AC179" s="421"/>
      <c r="AD179" s="365"/>
      <c r="AE179" s="366"/>
      <c r="AF179" s="406"/>
    </row>
    <row r="180" spans="1:32" ht="30.75" customHeight="1">
      <c r="A180" s="297">
        <f>DATA!A186</f>
        <v>133</v>
      </c>
      <c r="B180" s="297">
        <f>DATA!B186</f>
        <v>0</v>
      </c>
      <c r="C180" s="297" t="str">
        <f>DATA!D186</f>
        <v>NON-INFRASTRUKTUR</v>
      </c>
      <c r="D180" s="297">
        <f>DATA!E186</f>
        <v>11</v>
      </c>
      <c r="E180" s="297" t="str">
        <f>DATA!F186</f>
        <v>Kementerian Kesehatan</v>
      </c>
      <c r="F180" s="297" t="str">
        <f>DATA!H186</f>
        <v>Referral Health Services Program</v>
      </c>
      <c r="G180" s="297" t="str">
        <f>DATA!I186</f>
        <v>D</v>
      </c>
      <c r="H180" s="297" t="str">
        <f>DATA!J186</f>
        <v>Program Pelayanan Kesehatan Rujukan</v>
      </c>
      <c r="I180" s="297">
        <f>DATA!K186</f>
        <v>1</v>
      </c>
      <c r="J180" s="321"/>
      <c r="K180" s="322"/>
      <c r="L180" s="322"/>
      <c r="M180" s="3979">
        <v>121</v>
      </c>
      <c r="N180" s="3987" t="str">
        <f>DATA!L186</f>
        <v>Strengthening of National Referral Hospitals, Province Referral Hospital and Vertical Technical Units</v>
      </c>
      <c r="O180" s="308">
        <f>DATA!Q186</f>
        <v>0.33333333333333331</v>
      </c>
      <c r="P180" s="308">
        <f>DATA!R186</f>
        <v>0</v>
      </c>
      <c r="Q180" s="346">
        <f>DATA!S186</f>
        <v>0</v>
      </c>
      <c r="R180" s="3970">
        <f>DATA!T185</f>
        <v>1255600000</v>
      </c>
      <c r="S180" s="369" t="str">
        <f>DATA!Y186</f>
        <v>IDB</v>
      </c>
      <c r="T180" s="370">
        <f>DATA!AA186</f>
        <v>250000000</v>
      </c>
      <c r="U180" s="370"/>
      <c r="V180" s="371" t="str">
        <f>DATA!Y186</f>
        <v>IDB</v>
      </c>
      <c r="W180" s="372">
        <f>DATA!AT186</f>
        <v>250000000</v>
      </c>
      <c r="X180" s="373"/>
      <c r="Y180" s="411" t="str">
        <f>DATA!AU186</f>
        <v>IDB</v>
      </c>
      <c r="Z180" s="423" t="str">
        <f>DATA!AW186</f>
        <v>co-financing dengan Jerman (KfW) (USD 250 juta) dan belum ada indikasi (USD 755,6 juta)</v>
      </c>
      <c r="AA180" s="3999" t="str">
        <f>DATA!AN186</f>
        <v>belum ada keterangan</v>
      </c>
      <c r="AB180" s="3996" t="str">
        <f>DATA!AO186</f>
        <v>belum ada keterangan</v>
      </c>
      <c r="AC180" s="4004" t="str">
        <f>DATA!AR186</f>
        <v>belum ada dokumen R/C</v>
      </c>
      <c r="AD180" s="372"/>
      <c r="AE180" s="413"/>
      <c r="AF180" s="411"/>
    </row>
    <row r="181" spans="1:32" ht="28.5" customHeight="1">
      <c r="A181" s="297">
        <f>DATA!A187</f>
        <v>134</v>
      </c>
      <c r="B181" s="297">
        <f>DATA!B187</f>
        <v>0</v>
      </c>
      <c r="C181" s="297" t="str">
        <f>DATA!D187</f>
        <v>NON-INFRASTRUKTUR</v>
      </c>
      <c r="D181" s="297">
        <f>DATA!E187</f>
        <v>11</v>
      </c>
      <c r="E181" s="297" t="str">
        <f>DATA!F187</f>
        <v>Kementerian Kesehatan</v>
      </c>
      <c r="F181" s="297" t="str">
        <f>DATA!H187</f>
        <v>Referral Health Services Program</v>
      </c>
      <c r="G181" s="297" t="str">
        <f>DATA!I187</f>
        <v>D</v>
      </c>
      <c r="H181" s="297" t="str">
        <f>DATA!J187</f>
        <v>Program Pelayanan Kesehatan Rujukan</v>
      </c>
      <c r="I181" s="297">
        <f>DATA!K187</f>
        <v>1</v>
      </c>
      <c r="J181" s="321"/>
      <c r="K181" s="322"/>
      <c r="L181" s="322"/>
      <c r="M181" s="3984"/>
      <c r="N181" s="3991"/>
      <c r="O181" s="308"/>
      <c r="P181" s="308"/>
      <c r="Q181" s="346"/>
      <c r="R181" s="3992"/>
      <c r="S181" s="369" t="str">
        <f>DATA!Y187</f>
        <v>Jerman (KfW)</v>
      </c>
      <c r="T181" s="370">
        <f>DATA!AA187</f>
        <v>250000000</v>
      </c>
      <c r="U181" s="370"/>
      <c r="V181" s="371" t="str">
        <f>DATA!Y187</f>
        <v>Jerman (KfW)</v>
      </c>
      <c r="W181" s="372">
        <f>DATA!AT187</f>
        <v>250000000</v>
      </c>
      <c r="X181" s="373"/>
      <c r="Y181" s="411" t="str">
        <f>DATA!AU187</f>
        <v>Jerman (KfW)</v>
      </c>
      <c r="Z181" s="423" t="str">
        <f>DATA!AW187</f>
        <v>co-financing dengan IDB (USD 250 juta) dan belum ada indikasi (USD 755,6 juta)</v>
      </c>
      <c r="AA181" s="4003"/>
      <c r="AB181" s="3997"/>
      <c r="AC181" s="4005"/>
      <c r="AD181" s="372"/>
      <c r="AE181" s="413"/>
      <c r="AF181" s="411"/>
    </row>
    <row r="182" spans="1:32" ht="29.25" customHeight="1">
      <c r="A182" s="297">
        <f>DATA!A188</f>
        <v>135</v>
      </c>
      <c r="B182" s="297">
        <f>DATA!B188</f>
        <v>0</v>
      </c>
      <c r="C182" s="297" t="str">
        <f>DATA!D188</f>
        <v>NON-INFRASTRUKTUR</v>
      </c>
      <c r="D182" s="297">
        <f>DATA!E188</f>
        <v>11</v>
      </c>
      <c r="E182" s="297" t="str">
        <f>DATA!F188</f>
        <v>Kementerian Kesehatan</v>
      </c>
      <c r="F182" s="297" t="str">
        <f>DATA!H188</f>
        <v>Referral Health Services Program</v>
      </c>
      <c r="G182" s="297" t="str">
        <f>DATA!I188</f>
        <v>D</v>
      </c>
      <c r="H182" s="297" t="str">
        <f>DATA!J188</f>
        <v>Program Pelayanan Kesehatan Rujukan</v>
      </c>
      <c r="I182" s="297">
        <f>DATA!K188</f>
        <v>1</v>
      </c>
      <c r="J182" s="321"/>
      <c r="K182" s="333"/>
      <c r="L182" s="333"/>
      <c r="M182" s="3980"/>
      <c r="N182" s="3988"/>
      <c r="O182" s="308"/>
      <c r="P182" s="308"/>
      <c r="Q182" s="346"/>
      <c r="R182" s="3993"/>
      <c r="S182" s="369" t="str">
        <f>DATA!Y188</f>
        <v>Belum Ada Indikasi</v>
      </c>
      <c r="T182" s="370">
        <v>0</v>
      </c>
      <c r="U182" s="370">
        <f>DATA!AA188</f>
        <v>755600000</v>
      </c>
      <c r="V182" s="371" t="str">
        <f>DATA!Y188</f>
        <v>Belum Ada Indikasi</v>
      </c>
      <c r="W182" s="372"/>
      <c r="X182" s="373">
        <f>DATA!AT188</f>
        <v>755600000</v>
      </c>
      <c r="Y182" s="411" t="str">
        <f>DATA!AU188</f>
        <v>Belum Ada Indikasi</v>
      </c>
      <c r="Z182" s="423" t="str">
        <f>DATA!AW188</f>
        <v>co-financing dengan IDB (USD 250 juta) dan Jerman (KfW) (USD 250 juta)</v>
      </c>
      <c r="AA182" s="4001"/>
      <c r="AB182" s="3998"/>
      <c r="AC182" s="4006"/>
      <c r="AD182" s="372"/>
      <c r="AE182" s="413"/>
      <c r="AF182" s="411"/>
    </row>
    <row r="183" spans="1:32" s="293" customFormat="1" ht="24.95" customHeight="1">
      <c r="J183" s="425"/>
      <c r="K183" s="313">
        <f>DATA!E189</f>
        <v>12</v>
      </c>
      <c r="L183" s="426" t="str">
        <f>DATA!F189</f>
        <v>Pemprov. Aceh</v>
      </c>
      <c r="M183" s="313"/>
      <c r="N183" s="315"/>
      <c r="O183" s="314"/>
      <c r="P183" s="314"/>
      <c r="Q183" s="357"/>
      <c r="R183" s="358">
        <f>+R184</f>
        <v>106800000</v>
      </c>
      <c r="S183" s="359"/>
      <c r="T183" s="360">
        <f t="shared" ref="T183:W184" si="11">+T184</f>
        <v>106800000</v>
      </c>
      <c r="U183" s="360">
        <f t="shared" si="11"/>
        <v>0</v>
      </c>
      <c r="V183" s="361">
        <f t="shared" si="11"/>
        <v>0</v>
      </c>
      <c r="W183" s="359">
        <f t="shared" si="11"/>
        <v>106800000</v>
      </c>
      <c r="X183" s="362"/>
      <c r="Y183" s="401"/>
      <c r="Z183" s="402"/>
      <c r="AA183" s="430"/>
      <c r="AB183" s="431"/>
      <c r="AC183" s="432"/>
      <c r="AD183" s="359">
        <f>SUM(AD184:AD185)</f>
        <v>106800000</v>
      </c>
      <c r="AE183" s="360"/>
      <c r="AF183" s="401"/>
    </row>
    <row r="184" spans="1:32" s="294" customFormat="1" ht="33.75" customHeight="1">
      <c r="J184" s="316"/>
      <c r="K184" s="317"/>
      <c r="L184" s="318" t="str">
        <f>DATA!I189</f>
        <v>A</v>
      </c>
      <c r="M184" s="319" t="str">
        <f>DATA!J189</f>
        <v>Program Pelayanan Kesehatan Rujukan</v>
      </c>
      <c r="N184" s="329"/>
      <c r="O184" s="319"/>
      <c r="P184" s="319"/>
      <c r="Q184" s="363"/>
      <c r="R184" s="364">
        <f>+R185</f>
        <v>106800000</v>
      </c>
      <c r="S184" s="365"/>
      <c r="T184" s="366">
        <f t="shared" si="11"/>
        <v>106800000</v>
      </c>
      <c r="U184" s="366">
        <f t="shared" si="11"/>
        <v>0</v>
      </c>
      <c r="V184" s="367"/>
      <c r="W184" s="365">
        <f t="shared" si="11"/>
        <v>106800000</v>
      </c>
      <c r="X184" s="368"/>
      <c r="Y184" s="406"/>
      <c r="Z184" s="407"/>
      <c r="AA184" s="419"/>
      <c r="AB184" s="420"/>
      <c r="AC184" s="421"/>
      <c r="AD184" s="365"/>
      <c r="AE184" s="366"/>
      <c r="AF184" s="406"/>
    </row>
    <row r="185" spans="1:32" ht="51" customHeight="1">
      <c r="A185" s="297">
        <f>DATA!A189</f>
        <v>136</v>
      </c>
      <c r="B185" s="297">
        <f>DATA!B189</f>
        <v>0</v>
      </c>
      <c r="C185" s="297" t="str">
        <f>DATA!D189</f>
        <v>NON-INFRASTRUKTUR</v>
      </c>
      <c r="D185" s="297">
        <f>DATA!E189</f>
        <v>12</v>
      </c>
      <c r="E185" s="297" t="str">
        <f>DATA!F189</f>
        <v>Pemprov. Aceh</v>
      </c>
      <c r="F185" s="297" t="str">
        <f>DATA!H189</f>
        <v>Health Services Referral Program</v>
      </c>
      <c r="G185" s="297" t="str">
        <f>DATA!I189</f>
        <v>A</v>
      </c>
      <c r="H185" s="297" t="str">
        <f>DATA!J189</f>
        <v>Program Pelayanan Kesehatan Rujukan</v>
      </c>
      <c r="I185" s="297">
        <f>DATA!K189</f>
        <v>1</v>
      </c>
      <c r="J185" s="321"/>
      <c r="K185" s="333"/>
      <c r="L185" s="308"/>
      <c r="M185" s="326">
        <v>122</v>
      </c>
      <c r="N185" s="332" t="str">
        <f>DATA!L189</f>
        <v>Reengineering and Improving The Hospital and Referral System in Selected Aceh Districts</v>
      </c>
      <c r="O185" s="308">
        <f>DATA!Q189</f>
        <v>1</v>
      </c>
      <c r="P185" s="308">
        <f>DATA!R189</f>
        <v>1</v>
      </c>
      <c r="Q185" s="346">
        <f>DATA!S189</f>
        <v>108</v>
      </c>
      <c r="R185" s="347">
        <f>DATA!T189</f>
        <v>106800000</v>
      </c>
      <c r="S185" s="369" t="str">
        <f>DATA!Y189</f>
        <v>Jerman (KfW)</v>
      </c>
      <c r="T185" s="370">
        <f>DATA!AA189</f>
        <v>106800000</v>
      </c>
      <c r="U185" s="370">
        <v>0</v>
      </c>
      <c r="V185" s="371" t="str">
        <f>DATA!Y189</f>
        <v>Jerman (KfW)</v>
      </c>
      <c r="W185" s="372">
        <f>DATA!AT189</f>
        <v>106800000</v>
      </c>
      <c r="X185" s="373"/>
      <c r="Y185" s="411" t="str">
        <f>DATA!AU189</f>
        <v>Jerman (KfW)</v>
      </c>
      <c r="Z185" s="423" t="str">
        <f>DATA!AW189</f>
        <v>-</v>
      </c>
      <c r="AA185" s="414" t="str">
        <f>DATA!AN189</f>
        <v>dalam proses
(memiliki FS dan DED)</v>
      </c>
      <c r="AB185" s="415" t="str">
        <f>DATA!AO189</f>
        <v>siap</v>
      </c>
      <c r="AC185" s="416" t="str">
        <f>DATA!AR189</f>
        <v>-</v>
      </c>
      <c r="AD185" s="417">
        <f>DATA!AC189</f>
        <v>106800000</v>
      </c>
      <c r="AE185" s="418"/>
      <c r="AF185" s="395" t="s">
        <v>1443</v>
      </c>
    </row>
    <row r="186" spans="1:32" s="293" customFormat="1" ht="24.95" customHeight="1">
      <c r="J186" s="425"/>
      <c r="K186" s="313">
        <f>DATA!E190</f>
        <v>13</v>
      </c>
      <c r="L186" s="426" t="str">
        <f>DATA!F190</f>
        <v>Kementerian Pertanian</v>
      </c>
      <c r="M186" s="313"/>
      <c r="N186" s="315"/>
      <c r="O186" s="314"/>
      <c r="P186" s="314"/>
      <c r="Q186" s="357"/>
      <c r="R186" s="358">
        <f>+R187+R194</f>
        <v>1445742600</v>
      </c>
      <c r="S186" s="359"/>
      <c r="T186" s="360">
        <f>+T187+T194</f>
        <v>698900000</v>
      </c>
      <c r="U186" s="360">
        <f>+U187+U194</f>
        <v>746842600</v>
      </c>
      <c r="V186" s="361"/>
      <c r="W186" s="359">
        <f>+W187+W194</f>
        <v>698900000</v>
      </c>
      <c r="X186" s="362">
        <f>+X187+X194</f>
        <v>746842600</v>
      </c>
      <c r="Y186" s="401"/>
      <c r="Z186" s="402"/>
      <c r="AA186" s="430"/>
      <c r="AB186" s="431"/>
      <c r="AC186" s="432"/>
      <c r="AD186" s="359"/>
      <c r="AE186" s="360"/>
      <c r="AF186" s="401"/>
    </row>
    <row r="187" spans="1:32" s="294" customFormat="1" ht="33.75" customHeight="1">
      <c r="J187" s="316"/>
      <c r="K187" s="317"/>
      <c r="L187" s="318" t="str">
        <f>DATA!I190</f>
        <v>A</v>
      </c>
      <c r="M187" s="3918" t="str">
        <f>DATA!J190</f>
        <v>Program Penyediaan dan Pengembangan Prasarana dan Sarana Pertanian</v>
      </c>
      <c r="N187" s="3919"/>
      <c r="O187" s="319"/>
      <c r="P187" s="319"/>
      <c r="Q187" s="363"/>
      <c r="R187" s="364">
        <f>R188+R191</f>
        <v>1346842600</v>
      </c>
      <c r="S187" s="365"/>
      <c r="T187" s="366">
        <f>T188+T189+T190+T191+T192+T193</f>
        <v>600000000</v>
      </c>
      <c r="U187" s="366">
        <f>U188+U189+U190+U191+U192+U193</f>
        <v>746842600</v>
      </c>
      <c r="V187" s="367"/>
      <c r="W187" s="365">
        <f>W188+W189+W190+W191+W192+W193</f>
        <v>600000000</v>
      </c>
      <c r="X187" s="368">
        <f>X188+X189+X190+X191+X192+X193</f>
        <v>746842600</v>
      </c>
      <c r="Y187" s="406"/>
      <c r="Z187" s="407"/>
      <c r="AA187" s="419"/>
      <c r="AB187" s="420"/>
      <c r="AC187" s="421"/>
      <c r="AD187" s="365"/>
      <c r="AE187" s="366"/>
      <c r="AF187" s="406"/>
    </row>
    <row r="188" spans="1:32" ht="30" hidden="1" customHeight="1">
      <c r="A188" s="297">
        <f>DATA!A191</f>
        <v>137</v>
      </c>
      <c r="B188" s="297">
        <f>DATA!B191</f>
        <v>0</v>
      </c>
      <c r="C188" s="297" t="str">
        <f>DATA!D191</f>
        <v>NON-INFRASTRUKTUR</v>
      </c>
      <c r="D188" s="297">
        <f>DATA!E191</f>
        <v>13</v>
      </c>
      <c r="E188" s="297" t="str">
        <f>DATA!F191</f>
        <v>Kementerian Pertanian</v>
      </c>
      <c r="F188" s="297" t="str">
        <f>DATA!H191</f>
        <v>Provision and Development of Agriculture Infrastructure Program</v>
      </c>
      <c r="G188" s="297" t="str">
        <f>DATA!I191</f>
        <v>A</v>
      </c>
      <c r="H188" s="297" t="str">
        <f>DATA!J191</f>
        <v>Program Penyediaan dan Pengembangan Prasarana dan Sarana Pertanian</v>
      </c>
      <c r="I188" s="297">
        <f>DATA!K191</f>
        <v>1</v>
      </c>
      <c r="J188" s="321"/>
      <c r="K188" s="322"/>
      <c r="L188" s="322"/>
      <c r="M188" s="3979">
        <v>123</v>
      </c>
      <c r="N188" s="3987" t="str">
        <f>DATA!L191</f>
        <v>Extensification of New Paddy Field Area</v>
      </c>
      <c r="O188" s="308">
        <f>DATA!Q191</f>
        <v>0.33333333333333331</v>
      </c>
      <c r="P188" s="308">
        <f>DATA!R191</f>
        <v>0</v>
      </c>
      <c r="Q188" s="346">
        <f>DATA!S191</f>
        <v>0</v>
      </c>
      <c r="R188" s="3970">
        <f>DATA!T190</f>
        <v>811166600</v>
      </c>
      <c r="S188" s="369" t="str">
        <f>DATA!Y191</f>
        <v>Bank Dunia</v>
      </c>
      <c r="T188" s="370">
        <f>DATA!AA191</f>
        <v>225000000</v>
      </c>
      <c r="U188" s="370"/>
      <c r="V188" s="371" t="str">
        <f>DATA!Y191</f>
        <v>Bank Dunia</v>
      </c>
      <c r="W188" s="372">
        <f>DATA!AT191</f>
        <v>225000000</v>
      </c>
      <c r="X188" s="373">
        <v>0</v>
      </c>
      <c r="Y188" s="411" t="str">
        <f>DATA!AU191</f>
        <v>Belum Ada Indikasi</v>
      </c>
      <c r="Z188" s="429" t="str">
        <f>DATA!AW191</f>
        <v xml:space="preserve">- co-financing dengan IDB (USD 125 juta) dan belum ada indikasi (USD 686,2 juta)
- Bank Dunia tidak berminat mendanai kegiatan ini. </v>
      </c>
      <c r="AA188" s="3999" t="str">
        <f>DATA!AN191</f>
        <v>dalam proses
(penyusunan FS)</v>
      </c>
      <c r="AB188" s="3996" t="str">
        <f>DATA!AO191</f>
        <v>belum ada keterangan</v>
      </c>
      <c r="AC188" s="4004" t="str">
        <f>DATA!AR191</f>
        <v>belum ada dokumen R/C</v>
      </c>
      <c r="AD188" s="372"/>
      <c r="AE188" s="413"/>
      <c r="AF188" s="411"/>
    </row>
    <row r="189" spans="1:32" ht="30" customHeight="1">
      <c r="A189" s="297">
        <f>DATA!A192</f>
        <v>138</v>
      </c>
      <c r="B189" s="297">
        <f>DATA!B192</f>
        <v>0</v>
      </c>
      <c r="C189" s="297" t="str">
        <f>DATA!D192</f>
        <v>NON-INFRASTRUKTUR</v>
      </c>
      <c r="D189" s="297">
        <f>DATA!E192</f>
        <v>13</v>
      </c>
      <c r="E189" s="297" t="str">
        <f>DATA!F192</f>
        <v>Kementerian Pertanian</v>
      </c>
      <c r="F189" s="297" t="str">
        <f>DATA!H192</f>
        <v>Provision and Development of Agriculture Infrastructure Program</v>
      </c>
      <c r="G189" s="297" t="str">
        <f>DATA!I192</f>
        <v>A</v>
      </c>
      <c r="H189" s="297" t="str">
        <f>DATA!J192</f>
        <v>Program Penyediaan dan Pengembangan Prasarana dan Sarana Pertanian</v>
      </c>
      <c r="I189" s="297">
        <f>DATA!K192</f>
        <v>1</v>
      </c>
      <c r="J189" s="321"/>
      <c r="K189" s="322"/>
      <c r="L189" s="322"/>
      <c r="M189" s="3984"/>
      <c r="N189" s="3991"/>
      <c r="O189" s="308"/>
      <c r="P189" s="308"/>
      <c r="Q189" s="346"/>
      <c r="R189" s="3992"/>
      <c r="S189" s="369" t="str">
        <f>DATA!Y192</f>
        <v>IDB</v>
      </c>
      <c r="T189" s="370">
        <f>DATA!AA192</f>
        <v>125000000</v>
      </c>
      <c r="U189" s="370"/>
      <c r="V189" s="371" t="str">
        <f>DATA!Y192</f>
        <v>IDB</v>
      </c>
      <c r="W189" s="372">
        <f>DATA!AT192</f>
        <v>125000000</v>
      </c>
      <c r="X189" s="373"/>
      <c r="Y189" s="411" t="str">
        <f>DATA!AU192</f>
        <v>IDB</v>
      </c>
      <c r="Z189" s="429" t="str">
        <f>DATA!AW192</f>
        <v xml:space="preserve">terdapat sisa pendanaan yang belum ada indikasi lender (USD 686,2 juta)
</v>
      </c>
      <c r="AA189" s="4003"/>
      <c r="AB189" s="3997"/>
      <c r="AC189" s="4005"/>
      <c r="AD189" s="372"/>
      <c r="AE189" s="413"/>
      <c r="AF189" s="411"/>
    </row>
    <row r="190" spans="1:32" ht="30.75" customHeight="1">
      <c r="A190" s="297">
        <f>DATA!A193</f>
        <v>139</v>
      </c>
      <c r="B190" s="297">
        <f>DATA!B193</f>
        <v>0</v>
      </c>
      <c r="C190" s="297" t="str">
        <f>DATA!D193</f>
        <v>NON-INFRASTRUKTUR</v>
      </c>
      <c r="D190" s="297">
        <f>DATA!E193</f>
        <v>13</v>
      </c>
      <c r="E190" s="297" t="str">
        <f>DATA!F193</f>
        <v>Kementerian Pertanian</v>
      </c>
      <c r="F190" s="297" t="str">
        <f>DATA!H193</f>
        <v>Provision and Development of Agriculture Infrastructure Program</v>
      </c>
      <c r="G190" s="297" t="str">
        <f>DATA!I193</f>
        <v>A</v>
      </c>
      <c r="H190" s="297" t="str">
        <f>DATA!J193</f>
        <v>Program Penyediaan dan Pengembangan Prasarana dan Sarana Pertanian</v>
      </c>
      <c r="I190" s="297">
        <f>DATA!K193</f>
        <v>1</v>
      </c>
      <c r="J190" s="321"/>
      <c r="K190" s="322"/>
      <c r="L190" s="322"/>
      <c r="M190" s="3980"/>
      <c r="N190" s="3988"/>
      <c r="O190" s="308"/>
      <c r="P190" s="308"/>
      <c r="Q190" s="346"/>
      <c r="R190" s="3993"/>
      <c r="S190" s="369" t="str">
        <f>DATA!Y193</f>
        <v>Belum Ada Indikasi</v>
      </c>
      <c r="T190" s="370">
        <v>0</v>
      </c>
      <c r="U190" s="370">
        <f>DATA!AA193</f>
        <v>461166600</v>
      </c>
      <c r="V190" s="371" t="str">
        <f>DATA!Y193</f>
        <v>Belum Ada Indikasi</v>
      </c>
      <c r="W190" s="372"/>
      <c r="X190" s="373">
        <f>DATA!AT193</f>
        <v>461166600</v>
      </c>
      <c r="Y190" s="411" t="str">
        <f>DATA!AU193</f>
        <v>Belum Ada Indikasi</v>
      </c>
      <c r="Z190" s="429" t="str">
        <f>DATA!AW193</f>
        <v>total belum ada indikasi menjadi USD 686,2 juta karena ditambahkan USD 125 juta yang sebelumnya Bank Dunia.</v>
      </c>
      <c r="AA190" s="4001"/>
      <c r="AB190" s="3998"/>
      <c r="AC190" s="4006"/>
      <c r="AD190" s="372"/>
      <c r="AE190" s="413"/>
      <c r="AF190" s="411"/>
    </row>
    <row r="191" spans="1:32" ht="30.75" hidden="1" customHeight="1">
      <c r="A191" s="297">
        <f>DATA!A195</f>
        <v>140</v>
      </c>
      <c r="B191" s="297">
        <f>DATA!B195</f>
        <v>0</v>
      </c>
      <c r="C191" s="297" t="str">
        <f>DATA!D195</f>
        <v>NON-INFRASTRUKTUR</v>
      </c>
      <c r="D191" s="297">
        <f>DATA!E195</f>
        <v>13</v>
      </c>
      <c r="E191" s="297" t="str">
        <f>DATA!F195</f>
        <v>Kementerian Pertanian</v>
      </c>
      <c r="F191" s="297" t="str">
        <f>DATA!H195</f>
        <v>Provision and Development of Agriculture Infrastructure Program</v>
      </c>
      <c r="G191" s="297" t="str">
        <f>DATA!I195</f>
        <v>A</v>
      </c>
      <c r="H191" s="297" t="str">
        <f>DATA!J195</f>
        <v>Program Penyediaan dan Pengembangan Prasarana dan Sarana Pertanian</v>
      </c>
      <c r="I191" s="297">
        <f>DATA!K195</f>
        <v>2</v>
      </c>
      <c r="J191" s="321"/>
      <c r="K191" s="322"/>
      <c r="L191" s="322"/>
      <c r="M191" s="3979">
        <v>124</v>
      </c>
      <c r="N191" s="3987" t="str">
        <f>DATA!L194</f>
        <v>Upland Development for National Food Security</v>
      </c>
      <c r="O191" s="308">
        <f>DATA!Q195</f>
        <v>0.33333333333333331</v>
      </c>
      <c r="P191" s="308">
        <f>DATA!R195</f>
        <v>0</v>
      </c>
      <c r="Q191" s="346">
        <f>DATA!S195</f>
        <v>0</v>
      </c>
      <c r="R191" s="3970">
        <f>DATA!T194</f>
        <v>535676000</v>
      </c>
      <c r="S191" s="369" t="str">
        <f>DATA!Y195</f>
        <v>Bank Dunia</v>
      </c>
      <c r="T191" s="370">
        <f>DATA!AA195</f>
        <v>125000000</v>
      </c>
      <c r="U191" s="370"/>
      <c r="V191" s="371" t="str">
        <f>DATA!Y195</f>
        <v>Bank Dunia</v>
      </c>
      <c r="W191" s="372">
        <f>DATA!AT195</f>
        <v>125000000</v>
      </c>
      <c r="X191" s="373">
        <v>0</v>
      </c>
      <c r="Y191" s="411" t="str">
        <f>DATA!AU195</f>
        <v>Belum Ada Indikasi</v>
      </c>
      <c r="Z191" s="429" t="str">
        <f>DATA!AW195</f>
        <v xml:space="preserve">- co-financing dengan IDB (USD 125 juta) dan belum ada indikasi (USD 410,7 juta)
Bank Dunia tidak berminat mendanai kegiatan ini. </v>
      </c>
      <c r="AA191" s="3999" t="str">
        <f>DATA!AN195</f>
        <v>dalam proses
(penyusunan FS)</v>
      </c>
      <c r="AB191" s="3996" t="str">
        <f>DATA!AO195</f>
        <v>belum ada keterangan</v>
      </c>
      <c r="AC191" s="4004" t="str">
        <f>DATA!AR195</f>
        <v>belum ada dokumen R/C</v>
      </c>
      <c r="AD191" s="372"/>
      <c r="AE191" s="413"/>
      <c r="AF191" s="411"/>
    </row>
    <row r="192" spans="1:32" ht="28.5" customHeight="1">
      <c r="A192" s="297">
        <f>DATA!A196</f>
        <v>141</v>
      </c>
      <c r="B192" s="297">
        <f>DATA!B196</f>
        <v>0</v>
      </c>
      <c r="C192" s="297" t="str">
        <f>DATA!D196</f>
        <v>NON-INFRASTRUKTUR</v>
      </c>
      <c r="D192" s="297">
        <f>DATA!E196</f>
        <v>13</v>
      </c>
      <c r="E192" s="297" t="str">
        <f>DATA!F196</f>
        <v>Kementerian Pertanian</v>
      </c>
      <c r="F192" s="297" t="str">
        <f>DATA!H196</f>
        <v>Provision and Development of Agriculture Infrastructure Program</v>
      </c>
      <c r="G192" s="297" t="str">
        <f>DATA!I196</f>
        <v>A</v>
      </c>
      <c r="H192" s="297" t="str">
        <f>DATA!J196</f>
        <v>Program Penyediaan dan Pengembangan Prasarana dan Sarana Pertanian</v>
      </c>
      <c r="I192" s="297">
        <f>DATA!K196</f>
        <v>2</v>
      </c>
      <c r="J192" s="321"/>
      <c r="K192" s="322"/>
      <c r="L192" s="322"/>
      <c r="M192" s="3984"/>
      <c r="N192" s="3991"/>
      <c r="O192" s="308"/>
      <c r="P192" s="308"/>
      <c r="Q192" s="346"/>
      <c r="R192" s="3992"/>
      <c r="S192" s="369" t="str">
        <f>DATA!Y196</f>
        <v>IDB</v>
      </c>
      <c r="T192" s="370">
        <f>DATA!AA196</f>
        <v>125000000</v>
      </c>
      <c r="U192" s="370"/>
      <c r="V192" s="371" t="str">
        <f>DATA!Y196</f>
        <v>IDB</v>
      </c>
      <c r="W192" s="372">
        <f>DATA!AT196</f>
        <v>125000000</v>
      </c>
      <c r="X192" s="373"/>
      <c r="Y192" s="411" t="str">
        <f>DATA!AU196</f>
        <v>IDB</v>
      </c>
      <c r="Z192" s="429" t="str">
        <f>DATA!AW196</f>
        <v xml:space="preserve">terdapat sisa pendanaan yang belum ada indikasi lender (USD 410,7 juta)
</v>
      </c>
      <c r="AA192" s="4003"/>
      <c r="AB192" s="3997"/>
      <c r="AC192" s="4005"/>
      <c r="AD192" s="372"/>
      <c r="AE192" s="413"/>
      <c r="AF192" s="411"/>
    </row>
    <row r="193" spans="1:32" ht="30.75" customHeight="1">
      <c r="A193" s="297">
        <f>DATA!A197</f>
        <v>142</v>
      </c>
      <c r="B193" s="297">
        <f>DATA!B197</f>
        <v>0</v>
      </c>
      <c r="C193" s="297" t="str">
        <f>DATA!D197</f>
        <v>NON-INFRASTRUKTUR</v>
      </c>
      <c r="D193" s="297">
        <f>DATA!E197</f>
        <v>13</v>
      </c>
      <c r="E193" s="297" t="str">
        <f>DATA!F197</f>
        <v>Kementerian Pertanian</v>
      </c>
      <c r="F193" s="297" t="str">
        <f>DATA!H197</f>
        <v>Provision and Development of Agriculture Infrastructure Program</v>
      </c>
      <c r="G193" s="297" t="str">
        <f>DATA!I197</f>
        <v>A</v>
      </c>
      <c r="H193" s="297" t="str">
        <f>DATA!J197</f>
        <v>Program Penyediaan dan Pengembangan Prasarana dan Sarana Pertanian</v>
      </c>
      <c r="I193" s="297">
        <f>DATA!K197</f>
        <v>2</v>
      </c>
      <c r="J193" s="321"/>
      <c r="K193" s="322"/>
      <c r="L193" s="333"/>
      <c r="M193" s="3980"/>
      <c r="N193" s="3988"/>
      <c r="O193" s="308"/>
      <c r="P193" s="308"/>
      <c r="Q193" s="346"/>
      <c r="R193" s="3993"/>
      <c r="S193" s="369" t="str">
        <f>DATA!Y197</f>
        <v>Belum Ada Indikasi</v>
      </c>
      <c r="T193" s="370">
        <v>0</v>
      </c>
      <c r="U193" s="370">
        <f>DATA!AA197</f>
        <v>285676000</v>
      </c>
      <c r="V193" s="371" t="str">
        <f>DATA!Y197</f>
        <v>Belum Ada Indikasi</v>
      </c>
      <c r="W193" s="372"/>
      <c r="X193" s="373">
        <f>DATA!AT197</f>
        <v>285676000</v>
      </c>
      <c r="Y193" s="411" t="str">
        <f>DATA!AU197</f>
        <v>Belum Ada Indikasi</v>
      </c>
      <c r="Z193" s="429" t="str">
        <f>DATA!AW197</f>
        <v>total belum ada indikasi menjadi USD 410,7 juta karena ditambahkan USD 125 juta yang sebelumnya Bank Dunia.</v>
      </c>
      <c r="AA193" s="4001"/>
      <c r="AB193" s="3998"/>
      <c r="AC193" s="4006"/>
      <c r="AD193" s="372"/>
      <c r="AE193" s="413"/>
      <c r="AF193" s="411"/>
    </row>
    <row r="194" spans="1:32" s="294" customFormat="1" ht="33.75" customHeight="1">
      <c r="J194" s="316"/>
      <c r="K194" s="328"/>
      <c r="L194" s="318" t="str">
        <f>DATA!I198</f>
        <v>B</v>
      </c>
      <c r="M194" s="3918" t="str">
        <f>DATA!J198</f>
        <v>Program Peningkatan Penyuluhan, Pendidikan, dan Pelatihan Pertanian</v>
      </c>
      <c r="N194" s="3919"/>
      <c r="O194" s="319"/>
      <c r="P194" s="319"/>
      <c r="Q194" s="363"/>
      <c r="R194" s="364">
        <f>+R195+R196</f>
        <v>98900000</v>
      </c>
      <c r="S194" s="365"/>
      <c r="T194" s="366">
        <f>+T195+T196</f>
        <v>98900000</v>
      </c>
      <c r="U194" s="366">
        <f>+U195+U196</f>
        <v>0</v>
      </c>
      <c r="V194" s="367"/>
      <c r="W194" s="365">
        <f>+W195+W196</f>
        <v>98900000</v>
      </c>
      <c r="X194" s="368"/>
      <c r="Y194" s="406"/>
      <c r="Z194" s="407"/>
      <c r="AA194" s="419"/>
      <c r="AB194" s="420"/>
      <c r="AC194" s="421"/>
      <c r="AD194" s="365"/>
      <c r="AE194" s="366"/>
      <c r="AF194" s="406"/>
    </row>
    <row r="195" spans="1:32" ht="51.75" customHeight="1">
      <c r="A195" s="297">
        <f>DATA!A198</f>
        <v>143</v>
      </c>
      <c r="B195" s="297">
        <f>DATA!B198</f>
        <v>0</v>
      </c>
      <c r="C195" s="297" t="str">
        <f>DATA!D198</f>
        <v>NON-INFRASTRUKTUR</v>
      </c>
      <c r="D195" s="297">
        <f>DATA!E198</f>
        <v>13</v>
      </c>
      <c r="E195" s="297" t="str">
        <f>DATA!F198</f>
        <v>Kementerian Pertanian</v>
      </c>
      <c r="F195" s="297" t="str">
        <f>DATA!H198</f>
        <v>Agriculture Extention, Education, and Training Improvement Program</v>
      </c>
      <c r="G195" s="297" t="str">
        <f>DATA!I198</f>
        <v>B</v>
      </c>
      <c r="H195" s="297" t="str">
        <f>DATA!J198</f>
        <v>Program Peningkatan Penyuluhan, Pendidikan, dan Pelatihan Pertanian</v>
      </c>
      <c r="I195" s="297">
        <f>DATA!K198</f>
        <v>1</v>
      </c>
      <c r="J195" s="321"/>
      <c r="K195" s="322"/>
      <c r="L195" s="330"/>
      <c r="M195" s="326">
        <v>125</v>
      </c>
      <c r="N195" s="332" t="str">
        <f>DATA!L198</f>
        <v>Young Enterpreneur Growth and Development for Sustainable Agricultural Development</v>
      </c>
      <c r="O195" s="308">
        <f>DATA!Q198</f>
        <v>1</v>
      </c>
      <c r="P195" s="308">
        <f>DATA!R198</f>
        <v>1</v>
      </c>
      <c r="Q195" s="346">
        <f>DATA!S198</f>
        <v>111</v>
      </c>
      <c r="R195" s="347">
        <f>DATA!T198</f>
        <v>68900000</v>
      </c>
      <c r="S195" s="369" t="str">
        <f>DATA!Y198</f>
        <v>IFAD</v>
      </c>
      <c r="T195" s="370">
        <f>DATA!AA198</f>
        <v>68900000</v>
      </c>
      <c r="U195" s="370"/>
      <c r="V195" s="371" t="str">
        <f>DATA!Y198</f>
        <v>IFAD</v>
      </c>
      <c r="W195" s="372">
        <f>DATA!AT198</f>
        <v>68900000</v>
      </c>
      <c r="X195" s="373"/>
      <c r="Y195" s="411" t="str">
        <f>DATA!AU198</f>
        <v>IFAD</v>
      </c>
      <c r="Z195" s="423" t="str">
        <f>DATA!AW198</f>
        <v>-</v>
      </c>
      <c r="AA195" s="414" t="str">
        <f>DATA!AN198</f>
        <v>belum ada keterangan</v>
      </c>
      <c r="AB195" s="415" t="str">
        <f>DATA!AO198</f>
        <v>belum ada keterangan</v>
      </c>
      <c r="AC195" s="416" t="str">
        <f>DATA!AR198</f>
        <v>belum ada dokumen R/C</v>
      </c>
      <c r="AD195" s="372"/>
      <c r="AE195" s="413"/>
      <c r="AF195" s="411"/>
    </row>
    <row r="196" spans="1:32" ht="44.25" customHeight="1">
      <c r="A196" s="297">
        <f>DATA!A199</f>
        <v>144</v>
      </c>
      <c r="B196" s="297">
        <f>DATA!B199</f>
        <v>0</v>
      </c>
      <c r="C196" s="297" t="str">
        <f>DATA!D199</f>
        <v>NON-INFRASTRUKTUR</v>
      </c>
      <c r="D196" s="297">
        <f>DATA!E199</f>
        <v>13</v>
      </c>
      <c r="E196" s="297" t="str">
        <f>DATA!F199</f>
        <v>Kementerian Pertanian</v>
      </c>
      <c r="F196" s="297" t="str">
        <f>DATA!H199</f>
        <v>Agriculture Extention, Education, and Training Improvement Program</v>
      </c>
      <c r="G196" s="297" t="str">
        <f>DATA!I199</f>
        <v>B</v>
      </c>
      <c r="H196" s="297" t="str">
        <f>DATA!J199</f>
        <v>Program Peningkatan Penyuluhan, Pendidikan, dan Pelatihan Pertanian</v>
      </c>
      <c r="I196" s="297">
        <f>DATA!K199</f>
        <v>2</v>
      </c>
      <c r="J196" s="321"/>
      <c r="K196" s="333"/>
      <c r="L196" s="333"/>
      <c r="M196" s="326">
        <v>126</v>
      </c>
      <c r="N196" s="332" t="str">
        <f>DATA!L199</f>
        <v>Rural Empowerment and Agricultural Development (READ) Programme in Sulawesi Island – Phase II</v>
      </c>
      <c r="O196" s="308">
        <f>DATA!Q199</f>
        <v>1</v>
      </c>
      <c r="P196" s="308">
        <f>DATA!R199</f>
        <v>1</v>
      </c>
      <c r="Q196" s="346">
        <f>DATA!S199</f>
        <v>112</v>
      </c>
      <c r="R196" s="347">
        <f>DATA!T199</f>
        <v>30000000</v>
      </c>
      <c r="S196" s="369" t="str">
        <f>DATA!Y199</f>
        <v>IFAD</v>
      </c>
      <c r="T196" s="370">
        <f>DATA!AA199</f>
        <v>30000000</v>
      </c>
      <c r="U196" s="370"/>
      <c r="V196" s="371" t="str">
        <f>DATA!Y199</f>
        <v>IFAD</v>
      </c>
      <c r="W196" s="372">
        <f>DATA!AT199</f>
        <v>30000000</v>
      </c>
      <c r="X196" s="373"/>
      <c r="Y196" s="411" t="str">
        <f>DATA!AU199</f>
        <v>IFAD</v>
      </c>
      <c r="Z196" s="423" t="str">
        <f>DATA!AW199</f>
        <v>-</v>
      </c>
      <c r="AA196" s="414" t="str">
        <f>DATA!AN199</f>
        <v>belum ada keterangan</v>
      </c>
      <c r="AB196" s="415" t="str">
        <f>DATA!AO199</f>
        <v>belum ada keterangan</v>
      </c>
      <c r="AC196" s="416" t="str">
        <f>DATA!AR199</f>
        <v>belum ada dokumen R/C</v>
      </c>
      <c r="AD196" s="372"/>
      <c r="AE196" s="413"/>
      <c r="AF196" s="411"/>
    </row>
    <row r="197" spans="1:32" s="293" customFormat="1" ht="24.95" customHeight="1">
      <c r="J197" s="425"/>
      <c r="K197" s="313">
        <f>DATA!E200</f>
        <v>14</v>
      </c>
      <c r="L197" s="426" t="str">
        <f>DATA!F200</f>
        <v>Kementerian Ketenagakerjaan</v>
      </c>
      <c r="M197" s="313"/>
      <c r="N197" s="315"/>
      <c r="O197" s="314"/>
      <c r="P197" s="314"/>
      <c r="Q197" s="357"/>
      <c r="R197" s="358">
        <f>+R198</f>
        <v>92308000</v>
      </c>
      <c r="S197" s="463" t="str">
        <f t="shared" ref="S197:U198" si="12">+S198</f>
        <v>-</v>
      </c>
      <c r="T197" s="360">
        <f t="shared" si="12"/>
        <v>92308000</v>
      </c>
      <c r="U197" s="360">
        <f t="shared" si="12"/>
        <v>0</v>
      </c>
      <c r="V197" s="361"/>
      <c r="W197" s="359">
        <f>+W198</f>
        <v>92308000</v>
      </c>
      <c r="X197" s="362"/>
      <c r="Y197" s="401"/>
      <c r="Z197" s="402"/>
      <c r="AA197" s="430"/>
      <c r="AB197" s="431"/>
      <c r="AC197" s="432"/>
      <c r="AD197" s="359"/>
      <c r="AE197" s="360"/>
      <c r="AF197" s="401"/>
    </row>
    <row r="198" spans="1:32" s="294" customFormat="1" ht="37.5" customHeight="1">
      <c r="J198" s="316"/>
      <c r="K198" s="317"/>
      <c r="L198" s="318" t="str">
        <f>DATA!I206</f>
        <v>A</v>
      </c>
      <c r="M198" s="3918" t="str">
        <f>DATA!J206</f>
        <v>Program Pengembangan dan Pembinaan Meteorologi, Klimatologi, dan Geofisika</v>
      </c>
      <c r="N198" s="3919"/>
      <c r="O198" s="319"/>
      <c r="P198" s="319"/>
      <c r="Q198" s="363"/>
      <c r="R198" s="364">
        <f>+R199</f>
        <v>92308000</v>
      </c>
      <c r="S198" s="464" t="s">
        <v>21</v>
      </c>
      <c r="T198" s="366">
        <f t="shared" si="12"/>
        <v>92308000</v>
      </c>
      <c r="U198" s="366">
        <f t="shared" si="12"/>
        <v>0</v>
      </c>
      <c r="V198" s="367"/>
      <c r="W198" s="365">
        <f>+W199</f>
        <v>92308000</v>
      </c>
      <c r="X198" s="368"/>
      <c r="Y198" s="406"/>
      <c r="Z198" s="407"/>
      <c r="AA198" s="419"/>
      <c r="AB198" s="420"/>
      <c r="AC198" s="421"/>
      <c r="AD198" s="365"/>
      <c r="AE198" s="366"/>
      <c r="AF198" s="406"/>
    </row>
    <row r="199" spans="1:32" ht="47.25" customHeight="1">
      <c r="A199" s="297">
        <f>DATA!A200</f>
        <v>145</v>
      </c>
      <c r="B199" s="297">
        <f>DATA!B200</f>
        <v>0</v>
      </c>
      <c r="C199" s="297" t="str">
        <f>DATA!D200</f>
        <v>NON-INFRASTRUKTUR</v>
      </c>
      <c r="D199" s="297">
        <f>DATA!E200</f>
        <v>14</v>
      </c>
      <c r="E199" s="297" t="str">
        <f>DATA!F200</f>
        <v>Kementerian Ketenagakerjaan</v>
      </c>
      <c r="F199" s="297" t="str">
        <f>DATA!H200</f>
        <v>Improving Labor Competitiveness Program</v>
      </c>
      <c r="G199" s="297" t="str">
        <f>DATA!I200</f>
        <v>A</v>
      </c>
      <c r="H199" s="297" t="str">
        <f>DATA!J200</f>
        <v>Program Peningkatan Daya Saing Tenaga Kerja</v>
      </c>
      <c r="I199" s="297">
        <f>DATA!K200</f>
        <v>1</v>
      </c>
      <c r="J199" s="321"/>
      <c r="K199" s="333"/>
      <c r="L199" s="308"/>
      <c r="M199" s="326">
        <v>127</v>
      </c>
      <c r="N199" s="332" t="str">
        <f>DATA!L200</f>
        <v>Development of Maritime Vocational Training Centers</v>
      </c>
      <c r="O199" s="308">
        <f>DATA!Q200</f>
        <v>1</v>
      </c>
      <c r="P199" s="308">
        <f>DATA!R200</f>
        <v>1</v>
      </c>
      <c r="Q199" s="346">
        <f>DATA!S200</f>
        <v>113</v>
      </c>
      <c r="R199" s="347">
        <f>DATA!T200</f>
        <v>92308000</v>
      </c>
      <c r="S199" s="369" t="str">
        <f>DATA!Y200</f>
        <v>Austria/ JICA/ Singapura</v>
      </c>
      <c r="T199" s="370">
        <f>DATA!AA200</f>
        <v>92308000</v>
      </c>
      <c r="U199" s="370">
        <f>DATA!AG200</f>
        <v>0</v>
      </c>
      <c r="V199" s="371" t="str">
        <f>DATA!Y200</f>
        <v>Austria/ JICA/ Singapura</v>
      </c>
      <c r="W199" s="372">
        <f>DATA!AT200</f>
        <v>92308000</v>
      </c>
      <c r="X199" s="373"/>
      <c r="Y199" s="411" t="str">
        <f>DATA!AU200</f>
        <v>Austria/ JICA/ Singapura</v>
      </c>
      <c r="Z199" s="429" t="str">
        <f>DATA!AW200</f>
        <v>belum ada konfirmasi lender yang berminat</v>
      </c>
      <c r="AA199" s="414" t="str">
        <f>DATA!AN200</f>
        <v>belum ada keterangan</v>
      </c>
      <c r="AB199" s="415" t="str">
        <f>DATA!AO200</f>
        <v>belum ada keterangan</v>
      </c>
      <c r="AC199" s="416" t="str">
        <f>DATA!AR200</f>
        <v>belum ada dokumen R/C</v>
      </c>
      <c r="AD199" s="372"/>
      <c r="AE199" s="413"/>
      <c r="AF199" s="411"/>
    </row>
    <row r="200" spans="1:32" s="293" customFormat="1" ht="24.95" customHeight="1">
      <c r="J200" s="425"/>
      <c r="K200" s="313">
        <f>DATA!E201</f>
        <v>15</v>
      </c>
      <c r="L200" s="426" t="str">
        <f>DATA!F201</f>
        <v>Kementerian Kelautan dan Perikanan</v>
      </c>
      <c r="M200" s="313"/>
      <c r="N200" s="315"/>
      <c r="O200" s="314"/>
      <c r="P200" s="314"/>
      <c r="Q200" s="357"/>
      <c r="R200" s="358">
        <f>+R201</f>
        <v>107000000</v>
      </c>
      <c r="S200" s="359"/>
      <c r="T200" s="360">
        <f t="shared" ref="T200:X201" si="13">+T201</f>
        <v>107000000</v>
      </c>
      <c r="U200" s="360">
        <f t="shared" si="13"/>
        <v>0</v>
      </c>
      <c r="V200" s="361"/>
      <c r="W200" s="359"/>
      <c r="X200" s="362">
        <f t="shared" si="13"/>
        <v>107000000</v>
      </c>
      <c r="Y200" s="401"/>
      <c r="Z200" s="402"/>
      <c r="AA200" s="430"/>
      <c r="AB200" s="431"/>
      <c r="AC200" s="432"/>
      <c r="AD200" s="359"/>
      <c r="AE200" s="360"/>
      <c r="AF200" s="401"/>
    </row>
    <row r="201" spans="1:32" s="294" customFormat="1" ht="33.75" customHeight="1">
      <c r="J201" s="316"/>
      <c r="K201" s="461"/>
      <c r="L201" s="318" t="str">
        <f>DATA!I201</f>
        <v>A</v>
      </c>
      <c r="M201" s="319" t="str">
        <f>DATA!J201</f>
        <v>Program Peningkatan Fasilitas Perikanan</v>
      </c>
      <c r="N201" s="329"/>
      <c r="O201" s="319"/>
      <c r="P201" s="319"/>
      <c r="Q201" s="363"/>
      <c r="R201" s="364">
        <f>+R202</f>
        <v>107000000</v>
      </c>
      <c r="S201" s="365"/>
      <c r="T201" s="366">
        <f>R201</f>
        <v>107000000</v>
      </c>
      <c r="U201" s="366">
        <f t="shared" si="13"/>
        <v>0</v>
      </c>
      <c r="V201" s="367"/>
      <c r="W201" s="365"/>
      <c r="X201" s="368">
        <f t="shared" si="13"/>
        <v>107000000</v>
      </c>
      <c r="Y201" s="406"/>
      <c r="Z201" s="407"/>
      <c r="AA201" s="419"/>
      <c r="AB201" s="420"/>
      <c r="AC201" s="421"/>
      <c r="AD201" s="365"/>
      <c r="AE201" s="366"/>
      <c r="AF201" s="406"/>
    </row>
    <row r="202" spans="1:32" s="295" customFormat="1" ht="44.25" customHeight="1">
      <c r="A202" s="295">
        <f>DATA!A201</f>
        <v>146</v>
      </c>
      <c r="B202" s="295">
        <f>DATA!B201</f>
        <v>0</v>
      </c>
      <c r="C202" s="295" t="str">
        <f>DATA!D201</f>
        <v>NON-INFRASTRUKTUR</v>
      </c>
      <c r="D202" s="295">
        <f>DATA!E201</f>
        <v>15</v>
      </c>
      <c r="E202" s="295" t="str">
        <f>DATA!F201</f>
        <v>Kementerian Kelautan dan Perikanan</v>
      </c>
      <c r="F202" s="295" t="str">
        <f>DATA!H201</f>
        <v>Improvement of Fisheries Facilities Program</v>
      </c>
      <c r="G202" s="295" t="str">
        <f>DATA!I201</f>
        <v>A</v>
      </c>
      <c r="H202" s="295" t="str">
        <f>DATA!J201</f>
        <v>Program Peningkatan Fasilitas Perikanan</v>
      </c>
      <c r="I202" s="295">
        <f>DATA!K201</f>
        <v>1</v>
      </c>
      <c r="J202" s="438"/>
      <c r="K202" s="440"/>
      <c r="L202" s="440"/>
      <c r="M202" s="441">
        <v>128</v>
      </c>
      <c r="N202" s="442" t="s">
        <v>453</v>
      </c>
      <c r="O202" s="440">
        <f>DATA!Q201</f>
        <v>1</v>
      </c>
      <c r="P202" s="440">
        <f>DATA!R201</f>
        <v>1</v>
      </c>
      <c r="Q202" s="445">
        <f>DATA!S201</f>
        <v>114</v>
      </c>
      <c r="R202" s="446">
        <f>DATA!T201</f>
        <v>107000000</v>
      </c>
      <c r="S202" s="447" t="str">
        <f>DATA!Y201</f>
        <v>-</v>
      </c>
      <c r="T202" s="448">
        <v>0</v>
      </c>
      <c r="U202" s="448">
        <v>0</v>
      </c>
      <c r="V202" s="371" t="str">
        <f>DATA!Y201</f>
        <v>-</v>
      </c>
      <c r="W202" s="372"/>
      <c r="X202" s="373">
        <f>DATA!AT201</f>
        <v>107000000</v>
      </c>
      <c r="Y202" s="411" t="str">
        <f>DATA!AU201</f>
        <v>Belum Ada Indikasi</v>
      </c>
      <c r="Z202" s="474" t="s">
        <v>1451</v>
      </c>
      <c r="AA202" s="434" t="str">
        <f>DATA!AN201</f>
        <v>dalam proses
(memiliki FS)</v>
      </c>
      <c r="AB202" s="435" t="str">
        <f>DATA!AO201</f>
        <v>belum ada keterangan</v>
      </c>
      <c r="AC202" s="436" t="str">
        <f>DATA!AR201</f>
        <v>Dibatalkan oleh KKP</v>
      </c>
      <c r="AD202" s="372"/>
      <c r="AE202" s="413"/>
      <c r="AF202" s="411"/>
    </row>
    <row r="203" spans="1:32" s="293" customFormat="1" ht="24.95" customHeight="1">
      <c r="J203" s="425"/>
      <c r="K203" s="313">
        <f>DATA!E206</f>
        <v>16</v>
      </c>
      <c r="L203" s="426" t="str">
        <f>DATA!F206</f>
        <v>Badan Meteorologi, Klimatologi dan Geofisika (BMKG)</v>
      </c>
      <c r="M203" s="313"/>
      <c r="N203" s="315"/>
      <c r="O203" s="314"/>
      <c r="P203" s="314"/>
      <c r="Q203" s="357"/>
      <c r="R203" s="358">
        <f>+R204</f>
        <v>150000000</v>
      </c>
      <c r="S203" s="359"/>
      <c r="T203" s="360">
        <f t="shared" ref="T203:W204" si="14">+T204</f>
        <v>150000000</v>
      </c>
      <c r="U203" s="360">
        <f t="shared" si="14"/>
        <v>0</v>
      </c>
      <c r="V203" s="361"/>
      <c r="W203" s="359">
        <f t="shared" si="14"/>
        <v>150000000</v>
      </c>
      <c r="X203" s="362"/>
      <c r="Y203" s="401"/>
      <c r="Z203" s="402"/>
      <c r="AA203" s="430"/>
      <c r="AB203" s="431"/>
      <c r="AC203" s="432"/>
      <c r="AD203" s="359"/>
      <c r="AE203" s="360"/>
      <c r="AF203" s="401"/>
    </row>
    <row r="204" spans="1:32" s="294" customFormat="1" ht="33.75" customHeight="1">
      <c r="J204" s="316"/>
      <c r="K204" s="317"/>
      <c r="L204" s="318" t="str">
        <f>DATA!I206</f>
        <v>A</v>
      </c>
      <c r="M204" s="3918" t="str">
        <f>DATA!J206</f>
        <v>Program Pengembangan dan Pembinaan Meteorologi, Klimatologi, dan Geofisika</v>
      </c>
      <c r="N204" s="3919"/>
      <c r="O204" s="319"/>
      <c r="P204" s="319"/>
      <c r="Q204" s="363"/>
      <c r="R204" s="364">
        <f>+R205</f>
        <v>150000000</v>
      </c>
      <c r="S204" s="465"/>
      <c r="T204" s="366">
        <f t="shared" si="14"/>
        <v>150000000</v>
      </c>
      <c r="U204" s="366">
        <f t="shared" si="14"/>
        <v>0</v>
      </c>
      <c r="V204" s="367"/>
      <c r="W204" s="365">
        <f t="shared" si="14"/>
        <v>150000000</v>
      </c>
      <c r="X204" s="368"/>
      <c r="Y204" s="406"/>
      <c r="Z204" s="407"/>
      <c r="AA204" s="419"/>
      <c r="AB204" s="420"/>
      <c r="AC204" s="421"/>
      <c r="AD204" s="365"/>
      <c r="AE204" s="366"/>
      <c r="AF204" s="406"/>
    </row>
    <row r="205" spans="1:32" ht="112.5" customHeight="1">
      <c r="A205" s="297">
        <f>DATA!A206</f>
        <v>147</v>
      </c>
      <c r="B205" s="297">
        <f>DATA!B206</f>
        <v>0</v>
      </c>
      <c r="C205" s="297" t="str">
        <f>DATA!D206</f>
        <v>NON-INFRASTRUKTUR</v>
      </c>
      <c r="D205" s="297">
        <f>DATA!E206</f>
        <v>16</v>
      </c>
      <c r="E205" s="297" t="str">
        <f>DATA!F206</f>
        <v>Badan Meteorologi, Klimatologi dan Geofisika (BMKG)</v>
      </c>
      <c r="F205" s="297" t="str">
        <f>DATA!H206</f>
        <v>Program for Capacity Development and Guidance of Meteorology, Climatology, and Geophysics</v>
      </c>
      <c r="G205" s="297" t="str">
        <f>DATA!I206</f>
        <v>A</v>
      </c>
      <c r="H205" s="297" t="str">
        <f>DATA!J206</f>
        <v>Program Pengembangan dan Pembinaan Meteorologi, Klimatologi, dan Geofisika</v>
      </c>
      <c r="I205" s="297">
        <f>DATA!K206</f>
        <v>1</v>
      </c>
      <c r="J205" s="321"/>
      <c r="K205" s="333"/>
      <c r="L205" s="326"/>
      <c r="M205" s="326">
        <v>129</v>
      </c>
      <c r="N205" s="332" t="str">
        <f>DATA!L206</f>
        <v xml:space="preserve">Strengthening Climate and Weather Service Capacity – Phase II:
a) Kegiatan lanjutan dari kegiatan Strengthening BMKG Climate and Weather Services Capacity Phase I
b) Kegiatan pengembangan sistem Layanan Informasi Meteorologi Maritim </v>
      </c>
      <c r="O205" s="308">
        <f>DATA!Q206</f>
        <v>1</v>
      </c>
      <c r="P205" s="308">
        <f>DATA!R206</f>
        <v>1</v>
      </c>
      <c r="Q205" s="346">
        <f>DATA!S206</f>
        <v>115</v>
      </c>
      <c r="R205" s="347">
        <f>DATA!T206</f>
        <v>150000000</v>
      </c>
      <c r="S205" s="369" t="str">
        <f>DATA!Y206</f>
        <v>US EXIM</v>
      </c>
      <c r="T205" s="370">
        <f>DATA!AA206</f>
        <v>150000000</v>
      </c>
      <c r="U205" s="370">
        <f>DATA!AG206</f>
        <v>0</v>
      </c>
      <c r="V205" s="371" t="str">
        <f>DATA!Y206</f>
        <v>US EXIM</v>
      </c>
      <c r="W205" s="372">
        <f>DATA!AT206</f>
        <v>150000000</v>
      </c>
      <c r="X205" s="373"/>
      <c r="Y205" s="411" t="str">
        <f>DATA!AU206</f>
        <v>US EXIM</v>
      </c>
      <c r="Z205" s="423" t="str">
        <f>DATA!AW206</f>
        <v>-</v>
      </c>
      <c r="AA205" s="414" t="str">
        <f>DATA!AN206</f>
        <v>dalam proses
(penyusunan FS)</v>
      </c>
      <c r="AB205" s="415" t="str">
        <f>DATA!AO206</f>
        <v>siap</v>
      </c>
      <c r="AC205" s="416" t="str">
        <f>DATA!AR206</f>
        <v>belum ada dokumen R/C</v>
      </c>
      <c r="AD205" s="372"/>
      <c r="AE205" s="413"/>
      <c r="AF205" s="411"/>
    </row>
    <row r="206" spans="1:32" s="293" customFormat="1" ht="24.95" customHeight="1">
      <c r="J206" s="425"/>
      <c r="K206" s="313">
        <f>DATA!E207</f>
        <v>17</v>
      </c>
      <c r="L206" s="426" t="str">
        <f>DATA!F207</f>
        <v>Badan Pengkajian dan Penerapan Teknologi (BPPT)</v>
      </c>
      <c r="M206" s="313"/>
      <c r="N206" s="315"/>
      <c r="O206" s="314"/>
      <c r="P206" s="314"/>
      <c r="Q206" s="357"/>
      <c r="R206" s="358">
        <f>+R207</f>
        <v>114400000</v>
      </c>
      <c r="S206" s="466"/>
      <c r="T206" s="360">
        <f t="shared" ref="T206:W207" si="15">+T207</f>
        <v>114400000</v>
      </c>
      <c r="U206" s="360">
        <f t="shared" si="15"/>
        <v>0</v>
      </c>
      <c r="V206" s="361"/>
      <c r="W206" s="359">
        <f t="shared" si="15"/>
        <v>114400000</v>
      </c>
      <c r="X206" s="362"/>
      <c r="Y206" s="401"/>
      <c r="Z206" s="402"/>
      <c r="AA206" s="430"/>
      <c r="AB206" s="431"/>
      <c r="AC206" s="432"/>
      <c r="AD206" s="359"/>
      <c r="AE206" s="360"/>
      <c r="AF206" s="401"/>
    </row>
    <row r="207" spans="1:32" s="294" customFormat="1" ht="33.75" customHeight="1">
      <c r="J207" s="316"/>
      <c r="K207" s="317"/>
      <c r="L207" s="318" t="str">
        <f>DATA!I207</f>
        <v>A</v>
      </c>
      <c r="M207" s="3918" t="str">
        <f>DATA!J207</f>
        <v>Program Pembangunan Science Park dan Technopark</v>
      </c>
      <c r="N207" s="3969"/>
      <c r="O207" s="319"/>
      <c r="P207" s="319"/>
      <c r="Q207" s="363"/>
      <c r="R207" s="364">
        <f>+R208</f>
        <v>114400000</v>
      </c>
      <c r="S207" s="365"/>
      <c r="T207" s="366">
        <f t="shared" si="15"/>
        <v>114400000</v>
      </c>
      <c r="U207" s="366">
        <f t="shared" si="15"/>
        <v>0</v>
      </c>
      <c r="V207" s="367"/>
      <c r="W207" s="365">
        <f t="shared" si="15"/>
        <v>114400000</v>
      </c>
      <c r="X207" s="368"/>
      <c r="Y207" s="406"/>
      <c r="Z207" s="407"/>
      <c r="AA207" s="419"/>
      <c r="AB207" s="420"/>
      <c r="AC207" s="421"/>
      <c r="AD207" s="365"/>
      <c r="AE207" s="366"/>
      <c r="AF207" s="406"/>
    </row>
    <row r="208" spans="1:32" ht="91.5" customHeight="1">
      <c r="A208" s="297">
        <f>DATA!A207</f>
        <v>148</v>
      </c>
      <c r="B208" s="297">
        <f>DATA!B207</f>
        <v>0</v>
      </c>
      <c r="C208" s="297" t="str">
        <f>DATA!D207</f>
        <v>NON-INFRASTRUKTUR</v>
      </c>
      <c r="D208" s="297">
        <f>DATA!E207</f>
        <v>17</v>
      </c>
      <c r="E208" s="297" t="str">
        <f>DATA!F207</f>
        <v>Badan Pengkajian dan Penerapan Teknologi (BPPT)</v>
      </c>
      <c r="F208" s="297" t="str">
        <f>DATA!H207</f>
        <v>Science Park and Technopark Development Program</v>
      </c>
      <c r="G208" s="297" t="str">
        <f>DATA!I207</f>
        <v>A</v>
      </c>
      <c r="H208" s="297" t="str">
        <f>DATA!J207</f>
        <v>Program Pembangunan Science Park dan Technopark</v>
      </c>
      <c r="I208" s="297">
        <f>DATA!K207</f>
        <v>1</v>
      </c>
      <c r="J208" s="443"/>
      <c r="K208" s="333"/>
      <c r="L208" s="326"/>
      <c r="M208" s="326">
        <v>130</v>
      </c>
      <c r="N208" s="332" t="str">
        <f>DATA!L207</f>
        <v>Development of Maritime National Science and Technology Park (NTSP) in the Northern Penajam Paser and Revitalization Infrastructure Marine Survey</v>
      </c>
      <c r="O208" s="308">
        <f>DATA!Q207</f>
        <v>1</v>
      </c>
      <c r="P208" s="308">
        <f>DATA!R207</f>
        <v>1</v>
      </c>
      <c r="Q208" s="346">
        <f>DATA!S207</f>
        <v>116</v>
      </c>
      <c r="R208" s="347">
        <f>DATA!T207</f>
        <v>114400000</v>
      </c>
      <c r="S208" s="369" t="str">
        <f>DATA!Y207</f>
        <v xml:space="preserve">Perancis (AFD)  </v>
      </c>
      <c r="T208" s="370">
        <f>DATA!AA207</f>
        <v>114400000</v>
      </c>
      <c r="U208" s="370">
        <f>DATA!AG207</f>
        <v>0</v>
      </c>
      <c r="V208" s="371" t="str">
        <f>DATA!Y207</f>
        <v xml:space="preserve">Perancis (AFD)  </v>
      </c>
      <c r="W208" s="372">
        <f>DATA!AT207</f>
        <v>114400000</v>
      </c>
      <c r="X208" s="373"/>
      <c r="Y208" s="411" t="str">
        <f>DATA!AU207</f>
        <v xml:space="preserve">Perancis (AFD)  </v>
      </c>
      <c r="Z208" s="423" t="str">
        <f>DATA!AW207</f>
        <v>-</v>
      </c>
      <c r="AA208" s="414" t="str">
        <f>DATA!AN207</f>
        <v>dalam proses
(penyusunan FS)</v>
      </c>
      <c r="AB208" s="415" t="str">
        <f>DATA!AO207</f>
        <v>dalam proses
(pelaksanaan)</v>
      </c>
      <c r="AC208" s="416" t="str">
        <f>DATA!AR207</f>
        <v>- tidak diketahui berapa persen proses pelaksanaannya
- belum ada dokumen R/C</v>
      </c>
      <c r="AD208" s="372"/>
      <c r="AE208" s="413"/>
      <c r="AF208" s="411"/>
    </row>
    <row r="209" spans="1:32" s="292" customFormat="1" ht="30" customHeight="1">
      <c r="J209" s="3934" t="s">
        <v>477</v>
      </c>
      <c r="K209" s="3935"/>
      <c r="L209" s="3935"/>
      <c r="M209" s="3935"/>
      <c r="N209" s="3936"/>
      <c r="O209" s="462"/>
      <c r="P209" s="462"/>
      <c r="Q209" s="467"/>
      <c r="R209" s="468">
        <f>+R9+R151</f>
        <v>39876907800</v>
      </c>
      <c r="S209" s="469"/>
      <c r="T209" s="470">
        <f>+T9+T151</f>
        <v>36797977096</v>
      </c>
      <c r="U209" s="470">
        <f t="shared" ref="U209:Z209" si="16">+U9+U151</f>
        <v>2532170704</v>
      </c>
      <c r="V209" s="471">
        <f t="shared" si="16"/>
        <v>0</v>
      </c>
      <c r="W209" s="469">
        <f t="shared" si="16"/>
        <v>33627815796</v>
      </c>
      <c r="X209" s="472">
        <f t="shared" si="16"/>
        <v>5692212004</v>
      </c>
      <c r="Y209" s="475"/>
      <c r="Z209" s="476">
        <f t="shared" si="16"/>
        <v>0</v>
      </c>
      <c r="AA209" s="477"/>
      <c r="AB209" s="478"/>
      <c r="AC209" s="479"/>
      <c r="AD209" s="469">
        <f>AD10+AD118+AD121+AD128+AD131+AD136+AD139+AD152+AD161+AD169+AD172+AD183+AD186+AD197+AD200+AD203+AD206</f>
        <v>3880281000</v>
      </c>
      <c r="AE209" s="470">
        <f>AE10+AE118+AE121+AE128+AE131+AE136+AE139+AE152+AE161+AE169+AE172+AE183+AE186+AE197+AE200+AE203+AE206</f>
        <v>1400175050.6600001</v>
      </c>
      <c r="AF209" s="475"/>
    </row>
    <row r="210" spans="1:32" s="296" customFormat="1">
      <c r="A210" s="297"/>
      <c r="B210" s="297"/>
      <c r="C210" s="297"/>
      <c r="D210" s="297"/>
      <c r="E210" s="297"/>
      <c r="F210" s="297"/>
      <c r="G210" s="297"/>
      <c r="H210" s="297"/>
      <c r="I210" s="297"/>
      <c r="J210" s="298"/>
      <c r="K210" s="297"/>
      <c r="L210" s="297"/>
      <c r="M210" s="297"/>
      <c r="O210" s="297"/>
      <c r="P210" s="297"/>
      <c r="Q210" s="297"/>
      <c r="R210" s="299"/>
      <c r="S210" s="300"/>
      <c r="T210" s="299"/>
      <c r="U210" s="299"/>
      <c r="V210" s="299"/>
      <c r="AA210" s="300"/>
      <c r="AB210" s="300"/>
      <c r="AC210" s="300"/>
    </row>
    <row r="211" spans="1:32" s="296" customFormat="1">
      <c r="A211" s="297"/>
      <c r="B211" s="297"/>
      <c r="C211" s="297"/>
      <c r="D211" s="297"/>
      <c r="E211" s="297"/>
      <c r="F211" s="297"/>
      <c r="G211" s="297"/>
      <c r="H211" s="297"/>
      <c r="I211" s="297"/>
      <c r="J211" s="298"/>
      <c r="K211" s="297"/>
      <c r="L211" s="297"/>
      <c r="M211" s="297"/>
      <c r="O211" s="297"/>
      <c r="P211" s="297"/>
      <c r="Q211" s="297"/>
      <c r="R211" s="299"/>
      <c r="S211" s="300"/>
      <c r="T211" s="299"/>
      <c r="U211" s="299"/>
      <c r="V211" s="299"/>
      <c r="AA211" s="300"/>
      <c r="AB211" s="300"/>
      <c r="AC211" s="300"/>
    </row>
    <row r="212" spans="1:32" s="296" customFormat="1">
      <c r="A212" s="297"/>
      <c r="B212" s="297"/>
      <c r="C212" s="297"/>
      <c r="D212" s="297"/>
      <c r="E212" s="297"/>
      <c r="F212" s="297"/>
      <c r="G212" s="297"/>
      <c r="H212" s="297"/>
      <c r="I212" s="297"/>
      <c r="J212" s="298"/>
      <c r="K212" s="297"/>
      <c r="L212" s="297"/>
      <c r="M212" s="297"/>
      <c r="O212" s="297"/>
      <c r="P212" s="297"/>
      <c r="Q212" s="297"/>
      <c r="R212" s="299"/>
      <c r="S212" s="300"/>
      <c r="T212" s="299"/>
      <c r="U212" s="299"/>
      <c r="V212" s="299"/>
      <c r="AA212" s="300"/>
      <c r="AB212" s="300"/>
      <c r="AC212" s="300"/>
    </row>
    <row r="213" spans="1:32" s="296" customFormat="1">
      <c r="A213" s="297"/>
      <c r="B213" s="297"/>
      <c r="C213" s="297"/>
      <c r="D213" s="297"/>
      <c r="E213" s="297"/>
      <c r="F213" s="297"/>
      <c r="G213" s="297"/>
      <c r="H213" s="297"/>
      <c r="I213" s="297"/>
      <c r="J213" s="298"/>
      <c r="K213" s="297"/>
      <c r="L213" s="297"/>
      <c r="M213" s="297"/>
      <c r="O213" s="297"/>
      <c r="P213" s="297"/>
      <c r="Q213" s="297"/>
      <c r="R213" s="299"/>
      <c r="S213" s="300"/>
      <c r="T213" s="299"/>
      <c r="U213" s="299"/>
      <c r="V213" s="299"/>
      <c r="AA213" s="300"/>
      <c r="AB213" s="300"/>
      <c r="AC213" s="300"/>
    </row>
    <row r="215" spans="1:32">
      <c r="X215" s="473">
        <f>W209+X209</f>
        <v>39320027800</v>
      </c>
    </row>
    <row r="218" spans="1:32" s="296" customFormat="1">
      <c r="A218" s="297"/>
      <c r="B218" s="297"/>
      <c r="C218" s="297"/>
      <c r="D218" s="297"/>
      <c r="E218" s="297"/>
      <c r="F218" s="297"/>
      <c r="G218" s="297"/>
      <c r="H218" s="297"/>
      <c r="I218" s="297"/>
      <c r="J218" s="298"/>
      <c r="K218" s="297"/>
      <c r="L218" s="297"/>
      <c r="M218" s="297"/>
      <c r="O218" s="297"/>
      <c r="P218" s="297"/>
      <c r="Q218" s="297"/>
      <c r="R218" s="299"/>
      <c r="S218" s="300"/>
      <c r="T218" s="299"/>
      <c r="U218" s="299"/>
      <c r="V218" s="299"/>
      <c r="Y218" s="473">
        <f>R209-W209</f>
        <v>6249092004</v>
      </c>
      <c r="AA218" s="300"/>
      <c r="AB218" s="300"/>
      <c r="AC218" s="300"/>
    </row>
    <row r="219" spans="1:32" s="296" customFormat="1">
      <c r="A219" s="297"/>
      <c r="B219" s="297"/>
      <c r="C219" s="297"/>
      <c r="D219" s="297"/>
      <c r="E219" s="297"/>
      <c r="F219" s="297"/>
      <c r="G219" s="297"/>
      <c r="H219" s="297"/>
      <c r="I219" s="297"/>
      <c r="J219" s="298"/>
      <c r="K219" s="297"/>
      <c r="L219" s="297"/>
      <c r="M219" s="297"/>
      <c r="O219" s="297"/>
      <c r="P219" s="297"/>
      <c r="Q219" s="297"/>
      <c r="R219" s="299"/>
      <c r="S219" s="300"/>
      <c r="T219" s="299">
        <f>T209+U209</f>
        <v>39330147800</v>
      </c>
      <c r="U219" s="299"/>
      <c r="V219" s="299"/>
      <c r="W219" s="473">
        <f>W124+W31</f>
        <v>542336700</v>
      </c>
      <c r="X219" s="473"/>
      <c r="AA219" s="300"/>
      <c r="AB219" s="300"/>
      <c r="AC219" s="300"/>
    </row>
    <row r="220" spans="1:32" s="296" customFormat="1">
      <c r="A220" s="297"/>
      <c r="B220" s="297"/>
      <c r="C220" s="297"/>
      <c r="D220" s="297"/>
      <c r="E220" s="297"/>
      <c r="F220" s="297"/>
      <c r="G220" s="297"/>
      <c r="H220" s="297"/>
      <c r="I220" s="297"/>
      <c r="J220" s="298"/>
      <c r="K220" s="297"/>
      <c r="L220" s="297"/>
      <c r="M220" s="297"/>
      <c r="O220" s="297"/>
      <c r="P220" s="297"/>
      <c r="Q220" s="297"/>
      <c r="R220" s="299"/>
      <c r="S220" s="300"/>
      <c r="T220" s="299">
        <f>T219+R202</f>
        <v>39437147800</v>
      </c>
      <c r="U220" s="299"/>
      <c r="V220" s="299"/>
      <c r="AA220" s="300"/>
      <c r="AB220" s="300"/>
      <c r="AC220" s="300"/>
    </row>
  </sheetData>
  <autoFilter ref="A8:AF209"/>
  <mergeCells count="103">
    <mergeCell ref="AC188:AC190"/>
    <mergeCell ref="AC191:AC193"/>
    <mergeCell ref="W5:Y6"/>
    <mergeCell ref="J5:N7"/>
    <mergeCell ref="AA5:AC6"/>
    <mergeCell ref="AD5:AF6"/>
    <mergeCell ref="AC12:AC13"/>
    <mergeCell ref="AC46:AC47"/>
    <mergeCell ref="AC50:AC51"/>
    <mergeCell ref="AC54:AC57"/>
    <mergeCell ref="AC66:AC68"/>
    <mergeCell ref="AC72:AC73"/>
    <mergeCell ref="AC74:AC75"/>
    <mergeCell ref="AC99:AC101"/>
    <mergeCell ref="AC180:AC182"/>
    <mergeCell ref="AA188:AA190"/>
    <mergeCell ref="AA191:AA193"/>
    <mergeCell ref="AB12:AB13"/>
    <mergeCell ref="AB46:AB47"/>
    <mergeCell ref="AB50:AB51"/>
    <mergeCell ref="AB54:AB57"/>
    <mergeCell ref="AB66:AB68"/>
    <mergeCell ref="AB72:AB73"/>
    <mergeCell ref="AB74:AB75"/>
    <mergeCell ref="AB191:AB193"/>
    <mergeCell ref="AA12:AA13"/>
    <mergeCell ref="AA46:AA47"/>
    <mergeCell ref="AA50:AA51"/>
    <mergeCell ref="AA54:AA57"/>
    <mergeCell ref="AA66:AA68"/>
    <mergeCell ref="AA72:AA73"/>
    <mergeCell ref="AA74:AA75"/>
    <mergeCell ref="AA99:AA101"/>
    <mergeCell ref="AA180:AA182"/>
    <mergeCell ref="T12:T13"/>
    <mergeCell ref="T54:T55"/>
    <mergeCell ref="T67:T68"/>
    <mergeCell ref="T74:T75"/>
    <mergeCell ref="R74:R75"/>
    <mergeCell ref="R99:R101"/>
    <mergeCell ref="AB99:AB101"/>
    <mergeCell ref="AB180:AB182"/>
    <mergeCell ref="AB188:AB190"/>
    <mergeCell ref="J209:N209"/>
    <mergeCell ref="M12:M13"/>
    <mergeCell ref="M46:M47"/>
    <mergeCell ref="M50:M51"/>
    <mergeCell ref="M54:M57"/>
    <mergeCell ref="M66:M68"/>
    <mergeCell ref="M72:M73"/>
    <mergeCell ref="M74:M75"/>
    <mergeCell ref="M99:M101"/>
    <mergeCell ref="M180:M182"/>
    <mergeCell ref="M188:M190"/>
    <mergeCell ref="M191:M193"/>
    <mergeCell ref="N12:N13"/>
    <mergeCell ref="N46:N47"/>
    <mergeCell ref="N50:N51"/>
    <mergeCell ref="N54:N57"/>
    <mergeCell ref="N66:N68"/>
    <mergeCell ref="N72:N73"/>
    <mergeCell ref="N74:N75"/>
    <mergeCell ref="N99:N101"/>
    <mergeCell ref="N180:N182"/>
    <mergeCell ref="N188:N190"/>
    <mergeCell ref="N191:N193"/>
    <mergeCell ref="M162:N162"/>
    <mergeCell ref="M187:N187"/>
    <mergeCell ref="M194:N194"/>
    <mergeCell ref="M198:N198"/>
    <mergeCell ref="M204:N204"/>
    <mergeCell ref="M207:N207"/>
    <mergeCell ref="J1:AF1"/>
    <mergeCell ref="J2:AF2"/>
    <mergeCell ref="S6:V6"/>
    <mergeCell ref="M49:N49"/>
    <mergeCell ref="M61:N61"/>
    <mergeCell ref="M112:N112"/>
    <mergeCell ref="M137:N137"/>
    <mergeCell ref="M140:N140"/>
    <mergeCell ref="M153:N153"/>
    <mergeCell ref="R5:R7"/>
    <mergeCell ref="R12:R13"/>
    <mergeCell ref="R46:R47"/>
    <mergeCell ref="R50:R51"/>
    <mergeCell ref="R54:R57"/>
    <mergeCell ref="R66:R68"/>
    <mergeCell ref="R72:R73"/>
    <mergeCell ref="R180:R182"/>
    <mergeCell ref="R188:R190"/>
    <mergeCell ref="R191:R193"/>
    <mergeCell ref="U54:U55"/>
    <mergeCell ref="U67:U68"/>
    <mergeCell ref="U74:U75"/>
    <mergeCell ref="V54:V55"/>
    <mergeCell ref="V67:V68"/>
    <mergeCell ref="V74:V75"/>
    <mergeCell ref="M170:N170"/>
    <mergeCell ref="M175:N175"/>
    <mergeCell ref="M177:N177"/>
    <mergeCell ref="S54:S55"/>
    <mergeCell ref="S67:S68"/>
    <mergeCell ref="S74:S75"/>
  </mergeCells>
  <printOptions horizontalCentered="1"/>
  <pageMargins left="0.39305555555555599" right="0.39305555555555599" top="0.39305555555555599" bottom="0.39305555555555599" header="0.31458333333333299" footer="0.196527777777778"/>
  <pageSetup paperSize="9" scale="66" fitToHeight="0" orientation="portrait"/>
  <headerFooter>
    <oddFooter>&amp;R&amp;"Cambria,Italic"&amp;9&amp;P/&amp;N</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Y220"/>
  <sheetViews>
    <sheetView topLeftCell="N1" zoomScale="64" zoomScaleNormal="64" workbookViewId="0">
      <pane ySplit="8" topLeftCell="A66" activePane="bottomLeft" state="frozen"/>
      <selection pane="bottomLeft" activeCell="J1" sqref="J1:AV1"/>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3.7109375" style="12" customWidth="1"/>
    <col min="15" max="16" width="9.140625" style="10" hidden="1" customWidth="1"/>
    <col min="17" max="17" width="19.85546875" style="10" hidden="1" customWidth="1"/>
    <col min="18" max="18" width="21" style="13" customWidth="1"/>
    <col min="19" max="19" width="21" style="13" hidden="1" customWidth="1"/>
    <col min="20" max="20" width="20.140625" style="13" hidden="1" customWidth="1"/>
    <col min="21" max="21" width="15.85546875" style="13" hidden="1" customWidth="1"/>
    <col min="22" max="22" width="21" style="13" hidden="1" customWidth="1"/>
    <col min="23" max="23" width="20.85546875" style="14" hidden="1" customWidth="1"/>
    <col min="24" max="24" width="1.28515625" style="10" hidden="1" customWidth="1"/>
    <col min="25" max="25" width="21.85546875" style="13" customWidth="1"/>
    <col min="26" max="26" width="21" style="13" customWidth="1"/>
    <col min="27" max="27" width="28.5703125" style="13" customWidth="1"/>
    <col min="28" max="28" width="20.28515625" style="13" hidden="1" customWidth="1"/>
    <col min="29" max="29" width="21.5703125" style="10" hidden="1" customWidth="1"/>
    <col min="30" max="33" width="20.7109375" style="12" hidden="1" customWidth="1"/>
    <col min="34" max="34" width="29.140625" style="12" hidden="1" customWidth="1"/>
    <col min="35" max="35" width="33.7109375" style="175" hidden="1" customWidth="1"/>
    <col min="36" max="36" width="20.7109375" style="12" hidden="1" customWidth="1"/>
    <col min="37" max="37" width="31.28515625" style="10" hidden="1" customWidth="1"/>
    <col min="38" max="38" width="33.5703125" style="10" hidden="1" customWidth="1"/>
    <col min="39" max="39" width="26.7109375" style="10" hidden="1" customWidth="1"/>
    <col min="40" max="40" width="24" style="10" hidden="1" customWidth="1"/>
    <col min="41" max="41" width="29.28515625" style="10" hidden="1" customWidth="1"/>
    <col min="42" max="42" width="20.140625" style="10" hidden="1" customWidth="1"/>
    <col min="43" max="43" width="22.5703125" style="10" hidden="1" customWidth="1"/>
    <col min="44" max="44" width="22.5703125" style="12" hidden="1" customWidth="1"/>
    <col min="45" max="45" width="45.7109375" style="12" hidden="1" customWidth="1"/>
    <col min="46" max="46" width="21.42578125" style="12" customWidth="1"/>
    <col min="47" max="47" width="23.7109375" style="12" customWidth="1"/>
    <col min="48" max="48" width="51.28515625" style="12" customWidth="1"/>
    <col min="49" max="50" width="9.140625" style="10"/>
    <col min="51" max="51" width="15.5703125" style="10" customWidth="1"/>
    <col min="52" max="16384" width="9.140625" style="10"/>
  </cols>
  <sheetData>
    <row r="1" spans="1:48" s="1" customFormat="1" ht="18">
      <c r="J1" s="3356" t="s">
        <v>1452</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c r="AP1" s="3356"/>
      <c r="AQ1" s="3356"/>
      <c r="AR1" s="3356"/>
      <c r="AS1" s="3356"/>
      <c r="AT1" s="3356"/>
      <c r="AU1" s="3356"/>
      <c r="AV1" s="3356"/>
    </row>
    <row r="2" spans="1:48" s="1" customFormat="1" ht="18">
      <c r="J2" s="3356" t="s">
        <v>1113</v>
      </c>
      <c r="K2" s="3356"/>
      <c r="L2" s="3356"/>
      <c r="M2" s="3356"/>
      <c r="N2" s="3356"/>
      <c r="O2" s="3356"/>
      <c r="P2" s="3356"/>
      <c r="Q2" s="3356"/>
      <c r="R2" s="3356"/>
      <c r="S2" s="3356"/>
      <c r="T2" s="3356"/>
      <c r="U2" s="3356"/>
      <c r="V2" s="3356"/>
      <c r="W2" s="3356"/>
      <c r="X2" s="3356"/>
      <c r="Y2" s="3356"/>
      <c r="Z2" s="3356"/>
      <c r="AA2" s="3356"/>
      <c r="AB2" s="3356"/>
      <c r="AC2" s="3356"/>
      <c r="AD2" s="3356"/>
      <c r="AE2" s="3356"/>
      <c r="AF2" s="3356"/>
      <c r="AG2" s="3356"/>
      <c r="AH2" s="3356"/>
      <c r="AI2" s="3356"/>
      <c r="AJ2" s="3356"/>
      <c r="AK2" s="3356"/>
      <c r="AL2" s="3356"/>
      <c r="AM2" s="3356"/>
      <c r="AN2" s="3356"/>
      <c r="AO2" s="3356"/>
      <c r="AP2" s="3356"/>
      <c r="AQ2" s="3356"/>
      <c r="AR2" s="3356"/>
      <c r="AS2" s="3356"/>
      <c r="AT2" s="3356"/>
      <c r="AU2" s="3356"/>
      <c r="AV2" s="3356"/>
    </row>
    <row r="3" spans="1:48" s="1" customFormat="1" ht="18">
      <c r="J3" s="3357" t="s">
        <v>1114</v>
      </c>
      <c r="K3" s="3357"/>
      <c r="L3" s="3357"/>
      <c r="M3" s="3357"/>
      <c r="N3" s="3357"/>
      <c r="O3" s="3357"/>
      <c r="P3" s="3357"/>
      <c r="Q3" s="3357"/>
      <c r="R3" s="3357"/>
      <c r="S3" s="3357"/>
      <c r="T3" s="3357"/>
      <c r="U3" s="3357"/>
      <c r="V3" s="3357"/>
      <c r="W3" s="3357"/>
      <c r="X3" s="3357"/>
      <c r="Y3" s="3357"/>
      <c r="Z3" s="3357"/>
      <c r="AA3" s="3357"/>
      <c r="AB3" s="3357"/>
      <c r="AC3" s="3357"/>
      <c r="AD3" s="3357"/>
      <c r="AE3" s="3357"/>
      <c r="AF3" s="3357"/>
      <c r="AG3" s="3357"/>
      <c r="AH3" s="3357"/>
      <c r="AI3" s="3357"/>
      <c r="AJ3" s="3357"/>
      <c r="AK3" s="3357"/>
      <c r="AL3" s="3357"/>
      <c r="AM3" s="3357"/>
      <c r="AN3" s="3357"/>
      <c r="AO3" s="3357"/>
      <c r="AP3" s="3357"/>
      <c r="AQ3" s="3357"/>
      <c r="AR3" s="3357"/>
      <c r="AS3" s="3357"/>
      <c r="AT3" s="3357"/>
      <c r="AU3" s="3357"/>
      <c r="AV3" s="3357"/>
    </row>
    <row r="4" spans="1:48" s="1" customFormat="1" ht="15.75" customHeight="1">
      <c r="J4" s="15"/>
      <c r="K4" s="15"/>
      <c r="L4" s="15"/>
      <c r="M4" s="15"/>
      <c r="N4" s="15"/>
      <c r="O4" s="15"/>
      <c r="P4" s="15"/>
      <c r="Q4" s="15"/>
      <c r="R4" s="73"/>
      <c r="S4" s="73"/>
      <c r="T4" s="73"/>
      <c r="U4" s="73"/>
      <c r="V4" s="73"/>
      <c r="W4" s="15"/>
      <c r="X4" s="15"/>
      <c r="Y4" s="15"/>
      <c r="Z4" s="15"/>
      <c r="AA4" s="15"/>
      <c r="AB4" s="73"/>
      <c r="AC4" s="15"/>
      <c r="AD4" s="15"/>
      <c r="AE4" s="15"/>
      <c r="AF4" s="15"/>
      <c r="AG4" s="15"/>
      <c r="AH4" s="15"/>
      <c r="AI4" s="219"/>
      <c r="AJ4" s="94" t="s">
        <v>483</v>
      </c>
      <c r="AK4" s="15"/>
      <c r="AL4" s="15"/>
      <c r="AM4" s="15"/>
      <c r="AN4" s="15"/>
      <c r="AO4" s="15"/>
      <c r="AP4" s="15"/>
      <c r="AQ4" s="15"/>
      <c r="AR4" s="146"/>
      <c r="AS4" s="15"/>
      <c r="AT4" s="236"/>
      <c r="AU4" s="236"/>
      <c r="AV4" s="236"/>
    </row>
    <row r="5" spans="1:48">
      <c r="AS5" s="106" t="s">
        <v>483</v>
      </c>
    </row>
    <row r="6" spans="1:48" s="2" customFormat="1" ht="24.95" customHeight="1">
      <c r="J6" s="3388" t="s">
        <v>2</v>
      </c>
      <c r="K6" s="3372"/>
      <c r="L6" s="3372"/>
      <c r="M6" s="3372"/>
      <c r="N6" s="3372"/>
      <c r="O6" s="176"/>
      <c r="P6" s="176"/>
      <c r="Q6" s="185"/>
      <c r="R6" s="3380" t="s">
        <v>485</v>
      </c>
      <c r="S6" s="3406" t="s">
        <v>486</v>
      </c>
      <c r="T6" s="3382" t="s">
        <v>487</v>
      </c>
      <c r="U6" s="3382" t="s">
        <v>488</v>
      </c>
      <c r="V6" s="3383" t="s">
        <v>477</v>
      </c>
      <c r="W6" s="3372" t="s">
        <v>1088</v>
      </c>
      <c r="X6" s="3372"/>
      <c r="Y6" s="3372"/>
      <c r="Z6" s="3372"/>
      <c r="AA6" s="3373"/>
      <c r="AB6" s="3406" t="s">
        <v>489</v>
      </c>
      <c r="AC6" s="3385" t="s">
        <v>490</v>
      </c>
      <c r="AD6" s="3374" t="s">
        <v>9</v>
      </c>
      <c r="AE6" s="3375"/>
      <c r="AF6" s="3375"/>
      <c r="AG6" s="3375"/>
      <c r="AH6" s="3375"/>
      <c r="AI6" s="3375"/>
      <c r="AJ6" s="3376"/>
      <c r="AK6" s="220"/>
      <c r="AL6" s="176"/>
      <c r="AM6" s="176"/>
      <c r="AN6" s="176"/>
      <c r="AO6" s="176"/>
      <c r="AP6" s="176"/>
      <c r="AQ6" s="176"/>
      <c r="AR6" s="3385" t="s">
        <v>491</v>
      </c>
      <c r="AS6" s="3386" t="s">
        <v>492</v>
      </c>
      <c r="AT6" s="3377" t="s">
        <v>1089</v>
      </c>
      <c r="AU6" s="3378"/>
      <c r="AV6" s="3379"/>
    </row>
    <row r="7" spans="1:48" s="2" customFormat="1" ht="47.25" customHeight="1">
      <c r="J7" s="3389"/>
      <c r="K7" s="3359"/>
      <c r="L7" s="3359"/>
      <c r="M7" s="3359"/>
      <c r="N7" s="3359"/>
      <c r="O7" s="16"/>
      <c r="P7" s="16"/>
      <c r="Q7" s="117"/>
      <c r="R7" s="3381"/>
      <c r="S7" s="3407"/>
      <c r="T7" s="3367"/>
      <c r="U7" s="3367"/>
      <c r="V7" s="3384"/>
      <c r="W7" s="76" t="s">
        <v>11</v>
      </c>
      <c r="X7" s="16"/>
      <c r="Y7" s="74" t="s">
        <v>507</v>
      </c>
      <c r="Z7" s="74" t="s">
        <v>508</v>
      </c>
      <c r="AA7" s="207" t="s">
        <v>509</v>
      </c>
      <c r="AB7" s="3407"/>
      <c r="AC7" s="3371"/>
      <c r="AD7" s="208" t="s">
        <v>13</v>
      </c>
      <c r="AE7" s="208" t="s">
        <v>494</v>
      </c>
      <c r="AF7" s="208" t="s">
        <v>495</v>
      </c>
      <c r="AG7" s="208" t="s">
        <v>496</v>
      </c>
      <c r="AH7" s="208" t="s">
        <v>1453</v>
      </c>
      <c r="AI7" s="208" t="s">
        <v>1454</v>
      </c>
      <c r="AJ7" s="221" t="s">
        <v>16</v>
      </c>
      <c r="AK7" s="118"/>
      <c r="AL7" s="16"/>
      <c r="AM7" s="16"/>
      <c r="AN7" s="16"/>
      <c r="AO7" s="16"/>
      <c r="AP7" s="16"/>
      <c r="AQ7" s="16"/>
      <c r="AR7" s="3371"/>
      <c r="AS7" s="3387"/>
      <c r="AT7" s="237" t="s">
        <v>507</v>
      </c>
      <c r="AU7" s="76" t="s">
        <v>510</v>
      </c>
      <c r="AV7" s="238" t="s">
        <v>511</v>
      </c>
    </row>
    <row r="8" spans="1:48">
      <c r="J8" s="177"/>
      <c r="K8" s="18"/>
      <c r="L8" s="18"/>
      <c r="M8" s="18"/>
      <c r="N8" s="19"/>
      <c r="O8" s="20"/>
      <c r="P8" s="20"/>
      <c r="Q8" s="186"/>
      <c r="R8" s="187"/>
      <c r="S8" s="188"/>
      <c r="T8" s="77"/>
      <c r="U8" s="77"/>
      <c r="V8" s="77"/>
      <c r="W8" s="189"/>
      <c r="X8" s="54" t="str">
        <f>BB[[#Headers],[BILA-MULTI]]</f>
        <v>BILA-MULTI</v>
      </c>
      <c r="Y8" s="209"/>
      <c r="Z8" s="209"/>
      <c r="AA8" s="210"/>
      <c r="AB8" s="211"/>
      <c r="AC8" s="209"/>
      <c r="AD8" s="209"/>
      <c r="AE8" s="209"/>
      <c r="AF8" s="209"/>
      <c r="AG8" s="209"/>
      <c r="AH8" s="209"/>
      <c r="AI8" s="222"/>
      <c r="AJ8" s="223"/>
      <c r="AK8" s="211"/>
      <c r="AL8" s="209"/>
      <c r="AM8" s="209"/>
      <c r="AN8" s="209"/>
      <c r="AO8" s="209"/>
      <c r="AP8" s="209"/>
      <c r="AQ8" s="209"/>
      <c r="AR8" s="209"/>
      <c r="AS8" s="209"/>
      <c r="AT8" s="209"/>
      <c r="AU8" s="209"/>
      <c r="AV8" s="223"/>
    </row>
    <row r="9" spans="1:48" s="3" customFormat="1" ht="30" customHeight="1">
      <c r="A9" s="3" t="s">
        <v>21</v>
      </c>
      <c r="B9" s="3" t="s">
        <v>21</v>
      </c>
      <c r="C9" s="3" t="s">
        <v>21</v>
      </c>
      <c r="D9" s="3" t="s">
        <v>21</v>
      </c>
      <c r="E9" s="3" t="s">
        <v>21</v>
      </c>
      <c r="F9" s="3" t="s">
        <v>21</v>
      </c>
      <c r="G9" s="3" t="s">
        <v>21</v>
      </c>
      <c r="H9" s="3" t="s">
        <v>21</v>
      </c>
      <c r="I9" s="3" t="s">
        <v>21</v>
      </c>
      <c r="J9" s="178" t="str">
        <f>DATA!B2</f>
        <v>I</v>
      </c>
      <c r="K9" s="22" t="str">
        <f>DATA!D2</f>
        <v>INFRASTRUKTUR</v>
      </c>
      <c r="L9" s="22"/>
      <c r="M9" s="22"/>
      <c r="N9" s="23"/>
      <c r="O9" s="22"/>
      <c r="P9" s="22"/>
      <c r="Q9" s="190"/>
      <c r="R9" s="191">
        <f t="shared" ref="R9:AT9" si="0">+R10+R118+R121+R128+R131+R136+R139</f>
        <v>34586135700</v>
      </c>
      <c r="S9" s="192">
        <f t="shared" si="0"/>
        <v>30983695700</v>
      </c>
      <c r="T9" s="79">
        <f t="shared" si="0"/>
        <v>4484665700</v>
      </c>
      <c r="U9" s="79">
        <f t="shared" si="0"/>
        <v>17000000</v>
      </c>
      <c r="V9" s="79">
        <f t="shared" si="0"/>
        <v>35385361400</v>
      </c>
      <c r="W9" s="79" t="e">
        <f t="shared" si="0"/>
        <v>#VALUE!</v>
      </c>
      <c r="X9" s="79" t="e">
        <f t="shared" si="0"/>
        <v>#VALUE!</v>
      </c>
      <c r="Y9" s="79">
        <f t="shared" si="0"/>
        <v>33709647596</v>
      </c>
      <c r="Z9" s="79">
        <f t="shared" si="0"/>
        <v>1029728104</v>
      </c>
      <c r="AA9" s="212">
        <f t="shared" si="0"/>
        <v>0</v>
      </c>
      <c r="AB9" s="192">
        <f t="shared" si="0"/>
        <v>-537391403</v>
      </c>
      <c r="AC9" s="79" t="e">
        <f t="shared" si="0"/>
        <v>#VALUE!</v>
      </c>
      <c r="AD9" s="79"/>
      <c r="AE9" s="79"/>
      <c r="AF9" s="79"/>
      <c r="AG9" s="79"/>
      <c r="AH9" s="79"/>
      <c r="AI9" s="224"/>
      <c r="AJ9" s="225"/>
      <c r="AK9" s="192" t="e">
        <f t="shared" si="0"/>
        <v>#VALUE!</v>
      </c>
      <c r="AL9" s="79" t="e">
        <f t="shared" si="0"/>
        <v>#VALUE!</v>
      </c>
      <c r="AM9" s="79" t="e">
        <f t="shared" si="0"/>
        <v>#VALUE!</v>
      </c>
      <c r="AN9" s="79" t="e">
        <f t="shared" si="0"/>
        <v>#VALUE!</v>
      </c>
      <c r="AO9" s="79" t="e">
        <f t="shared" si="0"/>
        <v>#VALUE!</v>
      </c>
      <c r="AP9" s="79" t="e">
        <f t="shared" si="0"/>
        <v>#REF!</v>
      </c>
      <c r="AQ9" s="79" t="e">
        <f t="shared" si="0"/>
        <v>#VALUE!</v>
      </c>
      <c r="AR9" s="79" t="e">
        <f t="shared" si="0"/>
        <v>#REF!</v>
      </c>
      <c r="AS9" s="239" t="e">
        <f t="shared" si="0"/>
        <v>#VALUE!</v>
      </c>
      <c r="AT9" s="240">
        <f t="shared" si="0"/>
        <v>34729255700</v>
      </c>
      <c r="AU9" s="79" t="s">
        <v>21</v>
      </c>
      <c r="AV9" s="225"/>
    </row>
    <row r="10" spans="1:48" s="4" customFormat="1" ht="24.95" customHeight="1">
      <c r="J10" s="179"/>
      <c r="K10" s="25">
        <f>DATA!E2</f>
        <v>1</v>
      </c>
      <c r="L10" s="26" t="str">
        <f>DATA!F2</f>
        <v>Kementerian Pekerjaan Umum dan Perumahan Rakyat</v>
      </c>
      <c r="M10" s="26"/>
      <c r="N10" s="27"/>
      <c r="O10" s="26"/>
      <c r="P10" s="26"/>
      <c r="Q10" s="193"/>
      <c r="R10" s="194">
        <f t="shared" ref="R10:AT10" si="1">+R11+R18+R24+R34+R49+R61+R64+R71+R85+R89+R103+R112+R116</f>
        <v>21588199000</v>
      </c>
      <c r="S10" s="195">
        <f t="shared" si="1"/>
        <v>17985759000</v>
      </c>
      <c r="T10" s="80">
        <f t="shared" si="1"/>
        <v>2646112500</v>
      </c>
      <c r="U10" s="80">
        <f t="shared" si="1"/>
        <v>7000000</v>
      </c>
      <c r="V10" s="80">
        <f t="shared" si="1"/>
        <v>20538871500</v>
      </c>
      <c r="W10" s="80" t="e">
        <f t="shared" si="1"/>
        <v>#VALUE!</v>
      </c>
      <c r="X10" s="80" t="e">
        <f t="shared" si="1"/>
        <v>#VALUE!</v>
      </c>
      <c r="Y10" s="80">
        <f t="shared" si="1"/>
        <v>21415047596</v>
      </c>
      <c r="Z10" s="80">
        <f t="shared" si="1"/>
        <v>326391404</v>
      </c>
      <c r="AA10" s="213">
        <f t="shared" si="1"/>
        <v>0</v>
      </c>
      <c r="AB10" s="195">
        <f t="shared" si="1"/>
        <v>-126391404</v>
      </c>
      <c r="AC10" s="80" t="e">
        <f t="shared" si="1"/>
        <v>#VALUE!</v>
      </c>
      <c r="AD10" s="80"/>
      <c r="AE10" s="80"/>
      <c r="AF10" s="80"/>
      <c r="AG10" s="80"/>
      <c r="AH10" s="80"/>
      <c r="AI10" s="226"/>
      <c r="AJ10" s="227"/>
      <c r="AK10" s="195" t="e">
        <f t="shared" si="1"/>
        <v>#VALUE!</v>
      </c>
      <c r="AL10" s="80" t="e">
        <f t="shared" si="1"/>
        <v>#VALUE!</v>
      </c>
      <c r="AM10" s="80" t="e">
        <f t="shared" si="1"/>
        <v>#VALUE!</v>
      </c>
      <c r="AN10" s="80" t="e">
        <f t="shared" si="1"/>
        <v>#VALUE!</v>
      </c>
      <c r="AO10" s="80" t="e">
        <f t="shared" si="1"/>
        <v>#VALUE!</v>
      </c>
      <c r="AP10" s="80" t="e">
        <f t="shared" si="1"/>
        <v>#REF!</v>
      </c>
      <c r="AQ10" s="80" t="e">
        <f t="shared" si="1"/>
        <v>#VALUE!</v>
      </c>
      <c r="AR10" s="80" t="e">
        <f t="shared" si="1"/>
        <v>#REF!</v>
      </c>
      <c r="AS10" s="241" t="e">
        <f t="shared" si="1"/>
        <v>#VALUE!</v>
      </c>
      <c r="AT10" s="242">
        <f t="shared" si="1"/>
        <v>21731319000</v>
      </c>
      <c r="AU10" s="80" t="s">
        <v>21</v>
      </c>
      <c r="AV10" s="227"/>
    </row>
    <row r="11" spans="1:48" s="5" customFormat="1" ht="24.95" customHeight="1">
      <c r="J11" s="180"/>
      <c r="K11" s="29"/>
      <c r="L11" s="30" t="str">
        <f>DATA!I2</f>
        <v>A</v>
      </c>
      <c r="M11" s="31" t="str">
        <f>DATA!J2</f>
        <v xml:space="preserve">Program Pembangunan Jalan Tol </v>
      </c>
      <c r="N11" s="32"/>
      <c r="O11" s="31"/>
      <c r="P11" s="31"/>
      <c r="Q11" s="196"/>
      <c r="R11" s="197">
        <f>R12+R14+R15+R16+R17</f>
        <v>2025000000</v>
      </c>
      <c r="S11" s="198">
        <f t="shared" ref="S11:AS11" si="2">S12+S14+S15+S16+S17</f>
        <v>775000000</v>
      </c>
      <c r="T11" s="81">
        <f t="shared" si="2"/>
        <v>72400000</v>
      </c>
      <c r="U11" s="81">
        <f t="shared" si="2"/>
        <v>0</v>
      </c>
      <c r="V11" s="81">
        <f t="shared" si="2"/>
        <v>847400000</v>
      </c>
      <c r="W11" s="81" t="e">
        <f t="shared" si="2"/>
        <v>#VALUE!</v>
      </c>
      <c r="X11" s="81" t="e">
        <f t="shared" si="2"/>
        <v>#VALUE!</v>
      </c>
      <c r="Y11" s="81">
        <f t="shared" si="2"/>
        <v>2025000000</v>
      </c>
      <c r="Z11" s="81">
        <f t="shared" si="2"/>
        <v>0</v>
      </c>
      <c r="AA11" s="214"/>
      <c r="AB11" s="198">
        <f t="shared" si="2"/>
        <v>0</v>
      </c>
      <c r="AC11" s="81">
        <f t="shared" si="2"/>
        <v>10076</v>
      </c>
      <c r="AD11" s="81"/>
      <c r="AE11" s="81"/>
      <c r="AF11" s="81"/>
      <c r="AG11" s="81"/>
      <c r="AH11" s="81"/>
      <c r="AI11" s="228"/>
      <c r="AJ11" s="229"/>
      <c r="AK11" s="198" t="e">
        <f t="shared" si="2"/>
        <v>#VALUE!</v>
      </c>
      <c r="AL11" s="81" t="e">
        <f t="shared" si="2"/>
        <v>#VALUE!</v>
      </c>
      <c r="AM11" s="81" t="e">
        <f t="shared" si="2"/>
        <v>#VALUE!</v>
      </c>
      <c r="AN11" s="81" t="e">
        <f t="shared" si="2"/>
        <v>#VALUE!</v>
      </c>
      <c r="AO11" s="81" t="e">
        <f t="shared" si="2"/>
        <v>#VALUE!</v>
      </c>
      <c r="AP11" s="81" t="e">
        <f t="shared" si="2"/>
        <v>#REF!</v>
      </c>
      <c r="AQ11" s="81">
        <f t="shared" si="2"/>
        <v>0</v>
      </c>
      <c r="AR11" s="81" t="e">
        <f t="shared" si="2"/>
        <v>#REF!</v>
      </c>
      <c r="AS11" s="243" t="e">
        <f t="shared" si="2"/>
        <v>#VALUE!</v>
      </c>
      <c r="AT11" s="244">
        <f>AT12+AT13+AT14+AT15+AT16+AT17</f>
        <v>2025000000</v>
      </c>
      <c r="AU11" s="81" t="s">
        <v>21</v>
      </c>
      <c r="AV11" s="229"/>
    </row>
    <row r="12" spans="1:48" ht="49.5" customHeight="1">
      <c r="A12" s="10">
        <f>DATA!A3</f>
        <v>1</v>
      </c>
      <c r="B12" s="10">
        <f>DATA!B3</f>
        <v>0</v>
      </c>
      <c r="C12" s="10" t="str">
        <f>DATA!D3</f>
        <v>INFRASTRUKTUR</v>
      </c>
      <c r="D12" s="10">
        <f>DATA!E3</f>
        <v>1</v>
      </c>
      <c r="E12" s="10" t="str">
        <f>DATA!F3</f>
        <v>Kementerian Pekerjaan Umum dan Perumahan Rakyat</v>
      </c>
      <c r="F12" s="10" t="str">
        <f>DATA!H3</f>
        <v>Toll Road Development Program</v>
      </c>
      <c r="G12" s="10" t="str">
        <f>DATA!I3</f>
        <v>A</v>
      </c>
      <c r="H12" s="10" t="str">
        <f>DATA!J3</f>
        <v xml:space="preserve">Program Pembangunan Jalan Tol </v>
      </c>
      <c r="I12" s="10">
        <f>DATA!K3</f>
        <v>1</v>
      </c>
      <c r="J12" s="181"/>
      <c r="K12" s="34"/>
      <c r="L12" s="34"/>
      <c r="M12" s="3390">
        <v>1</v>
      </c>
      <c r="N12" s="3393" t="str">
        <f>DATA!L2</f>
        <v>Toll Road Development in Kalimantan, Sumatera, and Java Islands</v>
      </c>
      <c r="O12" s="20">
        <f>DATA!Q3</f>
        <v>0.5</v>
      </c>
      <c r="P12" s="20">
        <f>DATA!R3</f>
        <v>0</v>
      </c>
      <c r="Q12" s="186">
        <f>DATA!S3</f>
        <v>0</v>
      </c>
      <c r="R12" s="3408">
        <f>DATA!T2</f>
        <v>1250000000</v>
      </c>
      <c r="S12" s="188">
        <f>DATA!U3</f>
        <v>0</v>
      </c>
      <c r="T12" s="77">
        <f>DATA!V3</f>
        <v>0</v>
      </c>
      <c r="U12" s="77">
        <f>DATA!W3</f>
        <v>0</v>
      </c>
      <c r="V12" s="77">
        <f>DATA!X3</f>
        <v>0</v>
      </c>
      <c r="W12" s="78" t="str">
        <f>DATA!Y3</f>
        <v>RRT</v>
      </c>
      <c r="X12" s="20" t="str">
        <f>DATA!Z3</f>
        <v>Bilateral</v>
      </c>
      <c r="Y12" s="3414">
        <f>DATA!AA2</f>
        <v>1250000000</v>
      </c>
      <c r="Z12" s="77">
        <v>0</v>
      </c>
      <c r="AA12" s="216" t="str">
        <f>DATA!Y3</f>
        <v>RRT</v>
      </c>
      <c r="AB12" s="188">
        <f>DATA!AG3</f>
        <v>0</v>
      </c>
      <c r="AC12" s="20">
        <f>DATA!AH3</f>
        <v>2016</v>
      </c>
      <c r="AD12" s="37" t="str">
        <f>DATA!AI3</f>
        <v>-</v>
      </c>
      <c r="AE12" s="152" t="str">
        <f>DATA!AM3</f>
        <v>-</v>
      </c>
      <c r="AF12" s="152" t="str">
        <f>DATA!AN3</f>
        <v>siap</v>
      </c>
      <c r="AG12" s="152" t="str">
        <f>DATA!AO3</f>
        <v>dalam proses
(pelaksanaan &lt; 50%)</v>
      </c>
      <c r="AH12" s="37" t="str">
        <f>DATA!AJ3</f>
        <v>FS, AMDAL, LARAP</v>
      </c>
      <c r="AI12" s="56" t="str">
        <f>DATA!AK3</f>
        <v>(1) Cisumdawu I: 80 %
(2) Serang-Panimbang: 25%</v>
      </c>
      <c r="AJ12" s="230" t="str">
        <f>DATA!AL3</f>
        <v>-</v>
      </c>
      <c r="AK12" s="231" t="str">
        <f>DATA!AM3</f>
        <v>-</v>
      </c>
      <c r="AL12" s="20" t="str">
        <f>DATA!AN3</f>
        <v>siap</v>
      </c>
      <c r="AM12" s="20" t="str">
        <f>DATA!AO3</f>
        <v>dalam proses
(pelaksanaan &lt; 50%)</v>
      </c>
      <c r="AN12" s="20" t="str">
        <f>DATA!AP3</f>
        <v>belum ada proses tender/lelang</v>
      </c>
      <c r="AO12" s="20" t="str">
        <f>DATA!AY3</f>
        <v>- Konfirmasi melalui surat Sekjen nomor KU.01.12-Sj/636 tgl 23 Oktober 2015
- Terdiri dari 3 kegiatan: (1) seksi 1 (Ruas Cisumdawu I); (2) Serang-Panimbang; (3) Belum ditentukan
- Prioritas ruas Cisumdawu I</v>
      </c>
      <c r="AP12" s="20" t="e">
        <f>DATA!#REF!</f>
        <v>#REF!</v>
      </c>
      <c r="AQ12" s="20">
        <f>DATA!AZ3</f>
        <v>0</v>
      </c>
      <c r="AR12" s="152" t="e">
        <f>DATA!#REF!</f>
        <v>#REF!</v>
      </c>
      <c r="AS12" s="199" t="str">
        <f>DATA!BA3</f>
        <v>Pembangunan jalan tol di provinsi Kalimantan Timur, Banten, dan Sumatera Utara dengan panjang sekitar 150 km</v>
      </c>
      <c r="AT12" s="245">
        <f>DATA!AT3</f>
        <v>1000000000</v>
      </c>
      <c r="AU12" s="109" t="str">
        <f>DATA!AU3</f>
        <v>RRT</v>
      </c>
      <c r="AV12" s="246" t="str">
        <f>DATA!AW3</f>
        <v xml:space="preserve">co-financing dengan Korea (USD 250 juta) </v>
      </c>
    </row>
    <row r="13" spans="1:48" ht="39.75" customHeight="1">
      <c r="A13" s="10">
        <f>DATA!A4</f>
        <v>2</v>
      </c>
      <c r="B13" s="10">
        <f>DATA!B4</f>
        <v>0</v>
      </c>
      <c r="C13" s="10" t="str">
        <f>DATA!D4</f>
        <v>INFRASTRUKTUR</v>
      </c>
      <c r="D13" s="10">
        <f>DATA!E4</f>
        <v>1</v>
      </c>
      <c r="E13" s="10" t="str">
        <f>DATA!F4</f>
        <v>Kementerian Pekerjaan Umum dan Perumahan Rakyat</v>
      </c>
      <c r="F13" s="10" t="str">
        <f>DATA!H4</f>
        <v>Toll Road Development Program</v>
      </c>
      <c r="G13" s="10" t="str">
        <f>DATA!I4</f>
        <v>A</v>
      </c>
      <c r="H13" s="10" t="str">
        <f>DATA!J4</f>
        <v xml:space="preserve">Program Pembangunan Jalan Tol </v>
      </c>
      <c r="I13" s="10">
        <f>DATA!K4</f>
        <v>1</v>
      </c>
      <c r="J13" s="181"/>
      <c r="K13" s="34"/>
      <c r="L13" s="34"/>
      <c r="M13" s="3391"/>
      <c r="N13" s="3394"/>
      <c r="O13" s="20">
        <f>DATA!Q4</f>
        <v>0.5</v>
      </c>
      <c r="P13" s="20">
        <f>DATA!R4</f>
        <v>0</v>
      </c>
      <c r="Q13" s="186">
        <f>DATA!S4</f>
        <v>0</v>
      </c>
      <c r="R13" s="3409"/>
      <c r="S13" s="188">
        <f>DATA!U4</f>
        <v>0</v>
      </c>
      <c r="T13" s="77">
        <f>DATA!V4</f>
        <v>0</v>
      </c>
      <c r="U13" s="77">
        <f>DATA!W4</f>
        <v>0</v>
      </c>
      <c r="V13" s="77">
        <f>DATA!X4</f>
        <v>0</v>
      </c>
      <c r="W13" s="78" t="str">
        <f>DATA!Y4</f>
        <v>Korea</v>
      </c>
      <c r="X13" s="20" t="str">
        <f>DATA!Z4</f>
        <v>Bilateral</v>
      </c>
      <c r="Y13" s="3415"/>
      <c r="Z13" s="77">
        <v>0</v>
      </c>
      <c r="AA13" s="216" t="str">
        <f>DATA!Y4</f>
        <v>Korea</v>
      </c>
      <c r="AB13" s="188">
        <f>DATA!AG4</f>
        <v>0</v>
      </c>
      <c r="AC13" s="20">
        <f>DATA!AH4</f>
        <v>2016</v>
      </c>
      <c r="AD13" s="37" t="str">
        <f>DATA!AI4</f>
        <v>-</v>
      </c>
      <c r="AE13" s="152" t="str">
        <f>DATA!AM4</f>
        <v>-</v>
      </c>
      <c r="AF13" s="152" t="str">
        <f>DATA!AN4</f>
        <v>siap</v>
      </c>
      <c r="AG13" s="152" t="str">
        <f>DATA!AO4</f>
        <v>dalam proses
(pelaksanaan &lt; 50%)</v>
      </c>
      <c r="AH13" s="37" t="str">
        <f>DATA!AJ4</f>
        <v>FS, AMDAL, LARAP</v>
      </c>
      <c r="AI13" s="56" t="str">
        <f>DATA!AK4</f>
        <v>(1) Cisumdawu I: 80 %
(2) Serang-Panimbang: 25%</v>
      </c>
      <c r="AJ13" s="230" t="str">
        <f>DATA!AL4</f>
        <v>-</v>
      </c>
      <c r="AK13" s="231" t="str">
        <f>DATA!AM4</f>
        <v>-</v>
      </c>
      <c r="AL13" s="20" t="str">
        <f>DATA!AN4</f>
        <v>siap</v>
      </c>
      <c r="AM13" s="20" t="str">
        <f>DATA!AO4</f>
        <v>dalam proses
(pelaksanaan &lt; 50%)</v>
      </c>
      <c r="AN13" s="20" t="str">
        <f>DATA!AP4</f>
        <v>belum ada proses tender/lelang</v>
      </c>
      <c r="AO13" s="20" t="str">
        <f>DATA!AY4</f>
        <v>- Konfirmasi melalui surat Sekjen nomor KU.01.12-Sj/636 tgl 23 Oktober 2015
- Terdiri dari 3 kegiatan: (1) seksi 1 (Ruas Cisumdawu I); (2) Serang-Panimbang; (3) Belum ditentukan
- Prioritas ruas Cisumdawu I</v>
      </c>
      <c r="AP13" s="20" t="e">
        <f>DATA!#REF!</f>
        <v>#REF!</v>
      </c>
      <c r="AQ13" s="20">
        <f>DATA!AZ4</f>
        <v>0</v>
      </c>
      <c r="AR13" s="152" t="e">
        <f>DATA!#REF!</f>
        <v>#REF!</v>
      </c>
      <c r="AS13" s="199" t="str">
        <f>DATA!BA4</f>
        <v>Pembangunan jalan tol di provinsi Kalimantan Timur, Banten, dan Sumatera Utara dengan panjang sekitar 150 km</v>
      </c>
      <c r="AT13" s="245">
        <f>DATA!AT4</f>
        <v>250000000</v>
      </c>
      <c r="AU13" s="109" t="str">
        <f>DATA!AU4</f>
        <v>Korea</v>
      </c>
      <c r="AV13" s="246" t="str">
        <f>DATA!AW4</f>
        <v>- co-financing dengan RRT (USD 1 Miliar) 
- belum masuk rolling plan EDCF (Korea)</v>
      </c>
    </row>
    <row r="14" spans="1:48" ht="63.75">
      <c r="A14" s="10">
        <f>DATA!A6</f>
        <v>4</v>
      </c>
      <c r="B14" s="10">
        <f>DATA!B6</f>
        <v>0</v>
      </c>
      <c r="C14" s="10" t="str">
        <f>DATA!D6</f>
        <v>INFRASTRUKTUR</v>
      </c>
      <c r="D14" s="10">
        <f>DATA!E6</f>
        <v>1</v>
      </c>
      <c r="E14" s="10" t="str">
        <f>DATA!F6</f>
        <v>Kementerian Pekerjaan Umum dan Perumahan Rakyat</v>
      </c>
      <c r="F14" s="10" t="str">
        <f>DATA!H6</f>
        <v>Toll Road Development Program</v>
      </c>
      <c r="G14" s="10" t="str">
        <f>DATA!I6</f>
        <v>A</v>
      </c>
      <c r="H14" s="10" t="str">
        <f>DATA!J6</f>
        <v xml:space="preserve">Program Pembangunan Jalan Tol </v>
      </c>
      <c r="I14" s="10">
        <f>DATA!K6</f>
        <v>2</v>
      </c>
      <c r="J14" s="181"/>
      <c r="K14" s="34"/>
      <c r="L14" s="34"/>
      <c r="M14" s="36">
        <v>2</v>
      </c>
      <c r="N14" s="56" t="str">
        <f>DATA!L6</f>
        <v>Development of Cileunyi - Sumedang - Dawuan Toll Road Phase II</v>
      </c>
      <c r="O14" s="20">
        <f>DATA!Q6</f>
        <v>1</v>
      </c>
      <c r="P14" s="20">
        <f>DATA!R6</f>
        <v>1</v>
      </c>
      <c r="Q14" s="186">
        <f>DATA!S6</f>
        <v>2</v>
      </c>
      <c r="R14" s="187">
        <f>DATA!T6</f>
        <v>330000000</v>
      </c>
      <c r="S14" s="188">
        <f>DATA!U6</f>
        <v>330000000</v>
      </c>
      <c r="T14" s="77">
        <f>DATA!V6</f>
        <v>26000000</v>
      </c>
      <c r="U14" s="77">
        <f>DATA!W6</f>
        <v>0</v>
      </c>
      <c r="V14" s="77">
        <f>DATA!X6</f>
        <v>356000000</v>
      </c>
      <c r="W14" s="78" t="str">
        <f>DATA!Y6</f>
        <v>RRT</v>
      </c>
      <c r="X14" s="20" t="str">
        <f>DATA!Z6</f>
        <v>Bilateral</v>
      </c>
      <c r="Y14" s="77">
        <f>DATA!AA6</f>
        <v>330000000</v>
      </c>
      <c r="Z14" s="77">
        <v>0</v>
      </c>
      <c r="AA14" s="216" t="str">
        <f>DATA!Y6</f>
        <v>RRT</v>
      </c>
      <c r="AB14" s="188">
        <f>DATA!AG6</f>
        <v>0</v>
      </c>
      <c r="AC14" s="20">
        <f>DATA!AH6</f>
        <v>2015</v>
      </c>
      <c r="AD14" s="37" t="str">
        <f>DATA!AI6</f>
        <v>- Sudah ada R/C
- Green Book 2015
- Proses LA</v>
      </c>
      <c r="AE14" s="152" t="str">
        <f>DATA!AR6</f>
        <v>Nilai pinjaman di:
- GB 16 USD 219.399 ribu
- GB 15 USD 235.000 ribu</v>
      </c>
      <c r="AF14" s="152" t="str">
        <f>DATA!AN6</f>
        <v>(memiliki FS dan DED)</v>
      </c>
      <c r="AG14" s="152" t="str">
        <f>DATA!AO6</f>
        <v>dalam proses
(pelaksanaan 80%)</v>
      </c>
      <c r="AH14" s="37" t="str">
        <f>DATA!AJ6</f>
        <v>FS, DED</v>
      </c>
      <c r="AI14" s="232">
        <f>DATA!AK6</f>
        <v>0.80200000000000005</v>
      </c>
      <c r="AJ14" s="230" t="str">
        <f>DATA!AL6</f>
        <v>Kontrak sudah ditandatangani</v>
      </c>
      <c r="AK14" s="231" t="str">
        <f>DATA!AR6</f>
        <v>Nilai pinjaman di:
- GB 16 USD 219.399 ribu
- GB 15 USD 235.000 ribu</v>
      </c>
      <c r="AL14" s="20" t="str">
        <f>DATA!AN6</f>
        <v>(memiliki FS dan DED)</v>
      </c>
      <c r="AM14" s="20" t="str">
        <f>DATA!AO6</f>
        <v>dalam proses
(pelaksanaan 80%)</v>
      </c>
      <c r="AN14" s="20" t="str">
        <f>DATA!AP6</f>
        <v>dalam proses tender/lelang</v>
      </c>
      <c r="AO14" s="20" t="str">
        <f>DATA!AY6</f>
        <v>Konfirmasi melalui surat Sekjen nomor KU.01.12-Sj/636 tgl 23 Oktober 2015</v>
      </c>
      <c r="AP14" s="20" t="e">
        <f>DATA!#REF!</f>
        <v>#REF!</v>
      </c>
      <c r="AQ14" s="20">
        <f>DATA!AZ6</f>
        <v>0</v>
      </c>
      <c r="AR14" s="152" t="e">
        <f>DATA!#REF!</f>
        <v>#REF!</v>
      </c>
      <c r="AS14" s="199" t="str">
        <f>DATA!BA6</f>
        <v>- Pembangunan jalan tol Cileunyi-Sumedang-Dawuan sepanjang 11,1 km 
- Pelayanan konsultasi untuk DED dan pengawasan konstruksi</v>
      </c>
      <c r="AT14" s="245">
        <f>DATA!AT6</f>
        <v>330000000</v>
      </c>
      <c r="AU14" s="109" t="str">
        <f>DATA!AU6</f>
        <v>RRT</v>
      </c>
      <c r="AV14" s="246" t="str">
        <f>DATA!AW6</f>
        <v>-</v>
      </c>
    </row>
    <row r="15" spans="1:48" ht="51">
      <c r="A15" s="10">
        <f>DATA!A7</f>
        <v>5</v>
      </c>
      <c r="B15" s="10">
        <f>DATA!B7</f>
        <v>0</v>
      </c>
      <c r="C15" s="10" t="str">
        <f>DATA!D7</f>
        <v>INFRASTRUKTUR</v>
      </c>
      <c r="D15" s="10">
        <f>DATA!E7</f>
        <v>1</v>
      </c>
      <c r="E15" s="10" t="str">
        <f>DATA!F7</f>
        <v>Kementerian Pekerjaan Umum dan Perumahan Rakyat</v>
      </c>
      <c r="F15" s="10" t="str">
        <f>DATA!H7</f>
        <v>Toll Road Development Program</v>
      </c>
      <c r="G15" s="10" t="str">
        <f>DATA!I7</f>
        <v>A</v>
      </c>
      <c r="H15" s="10" t="str">
        <f>DATA!J7</f>
        <v xml:space="preserve">Program Pembangunan Jalan Tol </v>
      </c>
      <c r="I15" s="10">
        <f>DATA!K7</f>
        <v>2</v>
      </c>
      <c r="J15" s="181"/>
      <c r="K15" s="34"/>
      <c r="L15" s="34"/>
      <c r="M15" s="36">
        <v>3</v>
      </c>
      <c r="N15" s="56" t="str">
        <f>DATA!L7</f>
        <v xml:space="preserve">Toll Road Development of Balikpapan - Samarinda </v>
      </c>
      <c r="O15" s="20">
        <f>DATA!Q7</f>
        <v>1</v>
      </c>
      <c r="P15" s="20">
        <f>DATA!R7</f>
        <v>1</v>
      </c>
      <c r="Q15" s="186">
        <f>DATA!S7</f>
        <v>3</v>
      </c>
      <c r="R15" s="187">
        <f>DATA!T7</f>
        <v>65000000</v>
      </c>
      <c r="S15" s="188">
        <f>DATA!U7</f>
        <v>65000000</v>
      </c>
      <c r="T15" s="77">
        <f>DATA!V7</f>
        <v>6500000</v>
      </c>
      <c r="U15" s="77">
        <f>DATA!W7</f>
        <v>0</v>
      </c>
      <c r="V15" s="77">
        <f>DATA!X7</f>
        <v>71500000</v>
      </c>
      <c r="W15" s="78" t="str">
        <f>DATA!Y7</f>
        <v>RRT</v>
      </c>
      <c r="X15" s="20" t="str">
        <f>DATA!Z7</f>
        <v>Bilateral</v>
      </c>
      <c r="Y15" s="77">
        <f>DATA!AA7</f>
        <v>65000000</v>
      </c>
      <c r="Z15" s="77">
        <v>0</v>
      </c>
      <c r="AA15" s="216" t="str">
        <f>DATA!Y7</f>
        <v>RRT</v>
      </c>
      <c r="AB15" s="188">
        <f>DATA!AG7</f>
        <v>0</v>
      </c>
      <c r="AC15" s="20">
        <f>DATA!AH7</f>
        <v>2015</v>
      </c>
      <c r="AD15" s="37" t="str">
        <f>DATA!AI7</f>
        <v>- Sudah ada R/C
- Green Book 2015
- Loan Agreement tgl 29 Des'15</v>
      </c>
      <c r="AE15" s="152" t="str">
        <f>DATA!AR7</f>
        <v>Nilai pinjaman di GB USD 65.000 ribu</v>
      </c>
      <c r="AF15" s="152" t="str">
        <f>DATA!AN7</f>
        <v>(memiliki FS dan DED)</v>
      </c>
      <c r="AG15" s="152" t="str">
        <f>DATA!AO7</f>
        <v>dalam proses
(pelaksanaan 55%)</v>
      </c>
      <c r="AH15" s="37" t="str">
        <f>DATA!AJ7</f>
        <v>FS, DED</v>
      </c>
      <c r="AI15" s="232">
        <f>DATA!AK7</f>
        <v>0.55200000000000005</v>
      </c>
      <c r="AJ15" s="230" t="str">
        <f>DATA!AL7</f>
        <v>Kontrak sudah ditandatangani</v>
      </c>
      <c r="AK15" s="231" t="str">
        <f>DATA!AR7</f>
        <v>Nilai pinjaman di GB USD 65.000 ribu</v>
      </c>
      <c r="AL15" s="20" t="str">
        <f>DATA!AN7</f>
        <v>(memiliki FS dan DED)</v>
      </c>
      <c r="AM15" s="20" t="str">
        <f>DATA!AO7</f>
        <v>dalam proses
(pelaksanaan 55%)</v>
      </c>
      <c r="AN15" s="20" t="str">
        <f>DATA!AP7</f>
        <v>dalam proses tender/lelang</v>
      </c>
      <c r="AO15" s="20" t="str">
        <f>DATA!AY7</f>
        <v>Konfirmasi melalui surat Sekjen nomor KU.01.12-Sj/636 tgl 23 Oktober 2015</v>
      </c>
      <c r="AP15" s="20" t="e">
        <f>DATA!#REF!</f>
        <v>#REF!</v>
      </c>
      <c r="AQ15" s="20">
        <f>DATA!AZ7</f>
        <v>0</v>
      </c>
      <c r="AR15" s="152" t="e">
        <f>DATA!#REF!</f>
        <v>#REF!</v>
      </c>
      <c r="AS15" s="199" t="str">
        <f>DATA!BA7</f>
        <v xml:space="preserve">Pembangunan jalan tol Balikpapan-Samarinda sepanjang 11,09 km </v>
      </c>
      <c r="AT15" s="245">
        <f>DATA!AT7</f>
        <v>65000000</v>
      </c>
      <c r="AU15" s="109" t="str">
        <f>DATA!AU7</f>
        <v>RRT</v>
      </c>
      <c r="AV15" s="246" t="str">
        <f>DATA!AW7</f>
        <v>-</v>
      </c>
    </row>
    <row r="16" spans="1:48" ht="38.25">
      <c r="A16" s="10">
        <f>DATA!A8</f>
        <v>6</v>
      </c>
      <c r="B16" s="10">
        <f>DATA!B8</f>
        <v>0</v>
      </c>
      <c r="C16" s="10" t="str">
        <f>DATA!D8</f>
        <v>INFRASTRUKTUR</v>
      </c>
      <c r="D16" s="10">
        <f>DATA!E8</f>
        <v>1</v>
      </c>
      <c r="E16" s="10" t="str">
        <f>DATA!F8</f>
        <v>Kementerian Pekerjaan Umum dan Perumahan Rakyat</v>
      </c>
      <c r="F16" s="10" t="str">
        <f>DATA!H8</f>
        <v>Toll Road Development Program</v>
      </c>
      <c r="G16" s="10" t="str">
        <f>DATA!I8</f>
        <v>A</v>
      </c>
      <c r="H16" s="10" t="str">
        <f>DATA!J8</f>
        <v xml:space="preserve">Program Pembangunan Jalan Tol </v>
      </c>
      <c r="I16" s="10">
        <f>DATA!K8</f>
        <v>2</v>
      </c>
      <c r="J16" s="181"/>
      <c r="K16" s="34"/>
      <c r="L16" s="34"/>
      <c r="M16" s="36">
        <v>4</v>
      </c>
      <c r="N16" s="56" t="str">
        <f>DATA!L8</f>
        <v xml:space="preserve">Toll Road Development of Manado - Bitung </v>
      </c>
      <c r="O16" s="20">
        <f>DATA!Q8</f>
        <v>1</v>
      </c>
      <c r="P16" s="20">
        <f>DATA!R8</f>
        <v>1</v>
      </c>
      <c r="Q16" s="186">
        <f>DATA!S8</f>
        <v>4</v>
      </c>
      <c r="R16" s="187">
        <f>DATA!T8</f>
        <v>80000000</v>
      </c>
      <c r="S16" s="188">
        <f>DATA!U8</f>
        <v>80000000</v>
      </c>
      <c r="T16" s="77">
        <f>DATA!V8</f>
        <v>8000000</v>
      </c>
      <c r="U16" s="77">
        <f>DATA!W8</f>
        <v>0</v>
      </c>
      <c r="V16" s="77">
        <f>DATA!X8</f>
        <v>88000000</v>
      </c>
      <c r="W16" s="78" t="str">
        <f>DATA!Y8</f>
        <v>RRT</v>
      </c>
      <c r="X16" s="20" t="str">
        <f>DATA!Z8</f>
        <v>Bilateral</v>
      </c>
      <c r="Y16" s="77">
        <f>DATA!AA8</f>
        <v>80000000</v>
      </c>
      <c r="Z16" s="77">
        <v>0</v>
      </c>
      <c r="AA16" s="216" t="str">
        <f>DATA!Y8</f>
        <v>RRT</v>
      </c>
      <c r="AB16" s="188">
        <f>DATA!AG8</f>
        <v>0</v>
      </c>
      <c r="AC16" s="20">
        <f>DATA!AH8</f>
        <v>2015</v>
      </c>
      <c r="AD16" s="37" t="str">
        <f>DATA!AI8</f>
        <v>- Sudah ada R/C
- Green Book 2015
- Proses LA</v>
      </c>
      <c r="AE16" s="152" t="str">
        <f>DATA!AR8</f>
        <v>Nilai pinjaman di: 
- GB 16 USD 78.100 ribu
- GB 15 USD 80.000 ribu</v>
      </c>
      <c r="AF16" s="152" t="str">
        <f>DATA!AN8</f>
        <v>(memiliki FS dan DED)</v>
      </c>
      <c r="AG16" s="152" t="str">
        <f>DATA!AO8</f>
        <v>dalam proses
(pelaksanaan 94%)</v>
      </c>
      <c r="AH16" s="37" t="str">
        <f>DATA!AJ8</f>
        <v>FS, DED</v>
      </c>
      <c r="AI16" s="232">
        <f>DATA!AK8</f>
        <v>0.93840000000000001</v>
      </c>
      <c r="AJ16" s="230" t="str">
        <f>DATA!AL8</f>
        <v>Kontrak sudah ditandatangani</v>
      </c>
      <c r="AK16" s="231" t="str">
        <f>DATA!AR8</f>
        <v>Nilai pinjaman di: 
- GB 16 USD 78.100 ribu
- GB 15 USD 80.000 ribu</v>
      </c>
      <c r="AL16" s="20" t="str">
        <f>DATA!AN8</f>
        <v>(memiliki FS dan DED)</v>
      </c>
      <c r="AM16" s="20" t="str">
        <f>DATA!AO8</f>
        <v>dalam proses
(pelaksanaan 94%)</v>
      </c>
      <c r="AN16" s="20" t="str">
        <f>DATA!AP8</f>
        <v>dalam proses tender/lelang</v>
      </c>
      <c r="AO16" s="20" t="str">
        <f>DATA!AY8</f>
        <v>Konfirmasi melalui surat Sekjen nomor KU.01.12-Sj/636 tgl 23 Oktober 2015</v>
      </c>
      <c r="AP16" s="20" t="e">
        <f>DATA!#REF!</f>
        <v>#REF!</v>
      </c>
      <c r="AQ16" s="20">
        <f>DATA!AZ8</f>
        <v>0</v>
      </c>
      <c r="AR16" s="152" t="e">
        <f>DATA!#REF!</f>
        <v>#REF!</v>
      </c>
      <c r="AS16" s="199" t="str">
        <f>DATA!BA8</f>
        <v xml:space="preserve">Pembangunan jalan tol Manado-Bitung sepanjang 7,3 km </v>
      </c>
      <c r="AT16" s="245">
        <f>DATA!AT8</f>
        <v>80000000</v>
      </c>
      <c r="AU16" s="109" t="str">
        <f>DATA!AU8</f>
        <v>RRT</v>
      </c>
      <c r="AV16" s="246" t="str">
        <f>DATA!AW8</f>
        <v>-</v>
      </c>
    </row>
    <row r="17" spans="1:48" ht="42" customHeight="1">
      <c r="A17" s="10">
        <f>DATA!A9</f>
        <v>7</v>
      </c>
      <c r="B17" s="10">
        <f>DATA!B9</f>
        <v>0</v>
      </c>
      <c r="C17" s="10" t="str">
        <f>DATA!D9</f>
        <v>INFRASTRUKTUR</v>
      </c>
      <c r="D17" s="10">
        <f>DATA!E9</f>
        <v>1</v>
      </c>
      <c r="E17" s="10" t="str">
        <f>DATA!F9</f>
        <v>Kementerian Pekerjaan Umum dan Perumahan Rakyat</v>
      </c>
      <c r="F17" s="10" t="str">
        <f>DATA!H9</f>
        <v>Toll Road Development Program</v>
      </c>
      <c r="G17" s="10" t="str">
        <f>DATA!I9</f>
        <v>A</v>
      </c>
      <c r="H17" s="10" t="str">
        <f>DATA!J9</f>
        <v xml:space="preserve">Program Pembangunan Jalan Tol </v>
      </c>
      <c r="I17" s="10">
        <f>DATA!K9</f>
        <v>2</v>
      </c>
      <c r="J17" s="181"/>
      <c r="K17" s="34"/>
      <c r="L17" s="34"/>
      <c r="M17" s="172">
        <v>5</v>
      </c>
      <c r="N17" s="173" t="str">
        <f>DATA!L9</f>
        <v xml:space="preserve">Toll Road Development of Solo - Kertosono </v>
      </c>
      <c r="O17" s="20">
        <f>DATA!Q9</f>
        <v>1</v>
      </c>
      <c r="P17" s="20">
        <f>DATA!R9</f>
        <v>1</v>
      </c>
      <c r="Q17" s="186">
        <f>DATA!S9</f>
        <v>5</v>
      </c>
      <c r="R17" s="187">
        <f>DATA!T9</f>
        <v>300000000</v>
      </c>
      <c r="S17" s="188">
        <f>DATA!U9</f>
        <v>300000000</v>
      </c>
      <c r="T17" s="77">
        <f>DATA!V9</f>
        <v>31900000</v>
      </c>
      <c r="U17" s="77">
        <f>DATA!W9</f>
        <v>0</v>
      </c>
      <c r="V17" s="77">
        <f>DATA!X9</f>
        <v>331900000</v>
      </c>
      <c r="W17" s="78" t="str">
        <f>DATA!Y9</f>
        <v>RRT</v>
      </c>
      <c r="X17" s="20" t="str">
        <f>DATA!Z9</f>
        <v>Bilateral</v>
      </c>
      <c r="Y17" s="77">
        <f>DATA!AA9</f>
        <v>300000000</v>
      </c>
      <c r="Z17" s="77">
        <v>0</v>
      </c>
      <c r="AA17" s="216" t="str">
        <f>DATA!Y9</f>
        <v>RRT</v>
      </c>
      <c r="AB17" s="188">
        <f>DATA!AG9</f>
        <v>0</v>
      </c>
      <c r="AC17" s="20">
        <f>DATA!AH9</f>
        <v>2015</v>
      </c>
      <c r="AD17" s="37" t="str">
        <f>DATA!AI9</f>
        <v>- Sudah ada R/C
- Green Book 2015
- Loan Agreement tgl 29 Des'15</v>
      </c>
      <c r="AE17" s="152" t="str">
        <f>DATA!AR9</f>
        <v>Nilai pinjaman di GB USD 200.000 ribu</v>
      </c>
      <c r="AF17" s="152" t="str">
        <f>DATA!AN9</f>
        <v>(memiliki FS dan DED)</v>
      </c>
      <c r="AG17" s="152" t="str">
        <f>DATA!AO9</f>
        <v>dalam proses
(pelaksanaan 62%)</v>
      </c>
      <c r="AH17" s="37" t="str">
        <f>DATA!AJ9</f>
        <v>FS, DED</v>
      </c>
      <c r="AI17" s="232">
        <f>DATA!AK9</f>
        <v>0.62229999999999996</v>
      </c>
      <c r="AJ17" s="230" t="str">
        <f>DATA!AL9</f>
        <v>Kontrak sudah ditandatangani</v>
      </c>
      <c r="AK17" s="231" t="str">
        <f>DATA!AR9</f>
        <v>Nilai pinjaman di GB USD 200.000 ribu</v>
      </c>
      <c r="AL17" s="20" t="str">
        <f>DATA!AN9</f>
        <v>(memiliki FS dan DED)</v>
      </c>
      <c r="AM17" s="20" t="str">
        <f>DATA!AO9</f>
        <v>dalam proses
(pelaksanaan 62%)</v>
      </c>
      <c r="AN17" s="20" t="str">
        <f>DATA!AP9</f>
        <v>dalam proses tender/lelang</v>
      </c>
      <c r="AO17" s="20" t="str">
        <f>DATA!AY9</f>
        <v>Konfirmasi melalui surat Sekjen nomor KU.01.12-Sj/636 tgl 23 Oktober 2015</v>
      </c>
      <c r="AP17" s="20" t="e">
        <f>DATA!#REF!</f>
        <v>#REF!</v>
      </c>
      <c r="AQ17" s="20">
        <f>DATA!AZ9</f>
        <v>0</v>
      </c>
      <c r="AR17" s="152" t="e">
        <f>DATA!#REF!</f>
        <v>#REF!</v>
      </c>
      <c r="AS17" s="199" t="str">
        <f>DATA!BA9</f>
        <v xml:space="preserve">Pembangunan jalan tol Solo-Kertosono sepanjang 26,45 km </v>
      </c>
      <c r="AT17" s="245">
        <f>DATA!AT9</f>
        <v>300000000</v>
      </c>
      <c r="AU17" s="109" t="str">
        <f>DATA!AU9</f>
        <v>RRT</v>
      </c>
      <c r="AV17" s="246" t="str">
        <f>DATA!AW9</f>
        <v>-</v>
      </c>
    </row>
    <row r="18" spans="1:48" s="5" customFormat="1" ht="33.75" customHeight="1">
      <c r="J18" s="180"/>
      <c r="K18" s="50"/>
      <c r="L18" s="30" t="str">
        <f>DATA!I10</f>
        <v>B</v>
      </c>
      <c r="M18" s="31" t="str">
        <f>DATA!J10</f>
        <v xml:space="preserve">Program Pembangunan / Peningkatan Jembatan </v>
      </c>
      <c r="N18" s="51"/>
      <c r="O18" s="31"/>
      <c r="P18" s="31"/>
      <c r="Q18" s="196"/>
      <c r="R18" s="197">
        <f>SUM(R19:R23)</f>
        <v>1500000000</v>
      </c>
      <c r="S18" s="198">
        <f t="shared" ref="S18:AT18" si="3">SUM(S19:S23)</f>
        <v>1500000000</v>
      </c>
      <c r="T18" s="81">
        <f t="shared" si="3"/>
        <v>126500000</v>
      </c>
      <c r="U18" s="81">
        <f t="shared" si="3"/>
        <v>0</v>
      </c>
      <c r="V18" s="81">
        <f t="shared" si="3"/>
        <v>1626500000</v>
      </c>
      <c r="W18" s="81">
        <f t="shared" si="3"/>
        <v>0</v>
      </c>
      <c r="X18" s="81">
        <f t="shared" si="3"/>
        <v>0</v>
      </c>
      <c r="Y18" s="81">
        <f t="shared" si="3"/>
        <v>1500000000</v>
      </c>
      <c r="Z18" s="81">
        <f t="shared" si="3"/>
        <v>0</v>
      </c>
      <c r="AA18" s="214">
        <f t="shared" si="3"/>
        <v>0</v>
      </c>
      <c r="AB18" s="198">
        <f t="shared" si="3"/>
        <v>0</v>
      </c>
      <c r="AC18" s="81">
        <f t="shared" si="3"/>
        <v>8068</v>
      </c>
      <c r="AD18" s="81">
        <f t="shared" si="3"/>
        <v>0</v>
      </c>
      <c r="AE18" s="81">
        <f t="shared" si="3"/>
        <v>0</v>
      </c>
      <c r="AF18" s="81">
        <f t="shared" si="3"/>
        <v>0</v>
      </c>
      <c r="AG18" s="81">
        <f t="shared" si="3"/>
        <v>0</v>
      </c>
      <c r="AH18" s="81">
        <f t="shared" si="3"/>
        <v>0</v>
      </c>
      <c r="AI18" s="228">
        <f t="shared" si="3"/>
        <v>0</v>
      </c>
      <c r="AJ18" s="229">
        <f t="shared" si="3"/>
        <v>0</v>
      </c>
      <c r="AK18" s="198">
        <f t="shared" si="3"/>
        <v>0</v>
      </c>
      <c r="AL18" s="81">
        <f t="shared" si="3"/>
        <v>0</v>
      </c>
      <c r="AM18" s="81">
        <f t="shared" si="3"/>
        <v>0</v>
      </c>
      <c r="AN18" s="81">
        <f t="shared" si="3"/>
        <v>0</v>
      </c>
      <c r="AO18" s="81">
        <f t="shared" si="3"/>
        <v>0</v>
      </c>
      <c r="AP18" s="81" t="e">
        <f t="shared" si="3"/>
        <v>#REF!</v>
      </c>
      <c r="AQ18" s="81">
        <f t="shared" si="3"/>
        <v>0</v>
      </c>
      <c r="AR18" s="81" t="e">
        <f t="shared" si="3"/>
        <v>#REF!</v>
      </c>
      <c r="AS18" s="243">
        <f t="shared" si="3"/>
        <v>0</v>
      </c>
      <c r="AT18" s="244">
        <f t="shared" si="3"/>
        <v>1500000000</v>
      </c>
      <c r="AU18" s="81" t="s">
        <v>21</v>
      </c>
      <c r="AV18" s="229"/>
    </row>
    <row r="19" spans="1:48" ht="50.25" customHeight="1">
      <c r="A19" s="10">
        <f>DATA!A10</f>
        <v>8</v>
      </c>
      <c r="B19" s="10">
        <f>DATA!B10</f>
        <v>0</v>
      </c>
      <c r="C19" s="10" t="str">
        <f>DATA!D10</f>
        <v>INFRASTRUKTUR</v>
      </c>
      <c r="D19" s="10">
        <f>DATA!E10</f>
        <v>1</v>
      </c>
      <c r="E19" s="10" t="str">
        <f>DATA!F10</f>
        <v>Kementerian Pekerjaan Umum dan Perumahan Rakyat</v>
      </c>
      <c r="F19" s="10" t="str">
        <f>DATA!H10</f>
        <v>Development and Improvement of National Bridges Program</v>
      </c>
      <c r="G19" s="10" t="str">
        <f>DATA!I10</f>
        <v>B</v>
      </c>
      <c r="H19" s="10" t="str">
        <f>DATA!J10</f>
        <v xml:space="preserve">Program Pembangunan / Peningkatan Jembatan </v>
      </c>
      <c r="I19" s="10">
        <f>DATA!K10</f>
        <v>1</v>
      </c>
      <c r="J19" s="181"/>
      <c r="K19" s="34"/>
      <c r="L19" s="35"/>
      <c r="M19" s="52">
        <v>6</v>
      </c>
      <c r="N19" s="53" t="str">
        <f>DATA!L10</f>
        <v>Material Procurement for Construction and Bridge Rehabilitation</v>
      </c>
      <c r="O19" s="20">
        <f>DATA!Q10</f>
        <v>1</v>
      </c>
      <c r="P19" s="20">
        <f>DATA!R10</f>
        <v>1</v>
      </c>
      <c r="Q19" s="186">
        <f>DATA!S10</f>
        <v>6</v>
      </c>
      <c r="R19" s="187">
        <f>DATA!T10</f>
        <v>450000000</v>
      </c>
      <c r="S19" s="188">
        <f>DATA!U10</f>
        <v>450000000</v>
      </c>
      <c r="T19" s="77">
        <f>DATA!V10</f>
        <v>0</v>
      </c>
      <c r="U19" s="77">
        <f>DATA!W10</f>
        <v>0</v>
      </c>
      <c r="V19" s="77">
        <f>DATA!X10</f>
        <v>450000000</v>
      </c>
      <c r="W19" s="78" t="str">
        <f>DATA!Y10</f>
        <v>Spanyol/RRT</v>
      </c>
      <c r="X19" s="20" t="str">
        <f>DATA!Z10</f>
        <v>Multi Lender</v>
      </c>
      <c r="Y19" s="77">
        <f>DATA!AA10</f>
        <v>450000000</v>
      </c>
      <c r="Z19" s="77">
        <v>0</v>
      </c>
      <c r="AA19" s="216" t="str">
        <f>DATA!Y10</f>
        <v>Spanyol/RRT</v>
      </c>
      <c r="AB19" s="188">
        <f>DATA!AG10</f>
        <v>0</v>
      </c>
      <c r="AC19" s="20">
        <f>DATA!AH10</f>
        <v>2017</v>
      </c>
      <c r="AD19" s="37" t="str">
        <f>DATA!AI10</f>
        <v>-</v>
      </c>
      <c r="AE19" s="152" t="str">
        <f>DATA!AR10</f>
        <v>belum ada dokumen R/C</v>
      </c>
      <c r="AF19" s="152" t="str">
        <f>DATA!AN10</f>
        <v>belum ada keterangan</v>
      </c>
      <c r="AG19" s="152" t="str">
        <f>DATA!AO10</f>
        <v>belum ada keterangan</v>
      </c>
      <c r="AH19" s="37" t="str">
        <f>DATA!AJ10</f>
        <v>-</v>
      </c>
      <c r="AI19" s="56" t="str">
        <f>DATA!AK10</f>
        <v>-</v>
      </c>
      <c r="AJ19" s="230" t="str">
        <f>DATA!AL10</f>
        <v>-</v>
      </c>
      <c r="AK19" s="231" t="str">
        <f>DATA!AR10</f>
        <v>belum ada dokumen R/C</v>
      </c>
      <c r="AL19" s="20" t="str">
        <f>DATA!AN10</f>
        <v>belum ada keterangan</v>
      </c>
      <c r="AM19" s="20" t="str">
        <f>DATA!AO10</f>
        <v>belum ada keterangan</v>
      </c>
      <c r="AN19" s="20" t="str">
        <f>DATA!AP10</f>
        <v>belum ada proses tender/lelang</v>
      </c>
      <c r="AO19" s="20" t="str">
        <f>DATA!AY10</f>
        <v>- Konfirmasi melalui surat Sekjen nomor KU.01.12-Sj/636 tgl 23 Oktober 2015
- Telah ada pengalaman sebelumnya dengan Loan Spanyol</v>
      </c>
      <c r="AP19" s="20" t="e">
        <f>DATA!#REF!</f>
        <v>#REF!</v>
      </c>
      <c r="AQ19" s="20">
        <f>DATA!AZ10</f>
        <v>0</v>
      </c>
      <c r="AR19" s="152" t="e">
        <f>DATA!#REF!</f>
        <v>#REF!</v>
      </c>
      <c r="AS19" s="199" t="str">
        <f>DATA!BA10</f>
        <v>Pengadaan material rangka jembatan untuk pekerjaan konstruksi dan rehabilitasi sekitar 55.000 m jembatan yang ada di Indonesia</v>
      </c>
      <c r="AT19" s="245">
        <f>DATA!AT10</f>
        <v>450000000</v>
      </c>
      <c r="AU19" s="109" t="str">
        <f>DATA!AU10</f>
        <v>Spanyol/RRT</v>
      </c>
      <c r="AV19" s="246" t="str">
        <f>DATA!AW10</f>
        <v>- Spanyol berminat mendanai sebagian (USD 50-100 juta), tetapi setelah permasalahan proyek LIPI selesai.
- RRT belum ada keputusan.</v>
      </c>
    </row>
    <row r="20" spans="1:48" ht="38.25">
      <c r="A20" s="10">
        <f>DATA!A11</f>
        <v>9</v>
      </c>
      <c r="B20" s="10">
        <f>DATA!B11</f>
        <v>0</v>
      </c>
      <c r="C20" s="10" t="str">
        <f>DATA!D11</f>
        <v>INFRASTRUKTUR</v>
      </c>
      <c r="D20" s="10">
        <f>DATA!E11</f>
        <v>1</v>
      </c>
      <c r="E20" s="10" t="str">
        <f>DATA!F11</f>
        <v>Kementerian Pekerjaan Umum dan Perumahan Rakyat</v>
      </c>
      <c r="F20" s="10" t="str">
        <f>DATA!H11</f>
        <v>Development and Improvement of National Bridges Program</v>
      </c>
      <c r="G20" s="10" t="str">
        <f>DATA!I11</f>
        <v>B</v>
      </c>
      <c r="H20" s="10" t="str">
        <f>DATA!J11</f>
        <v xml:space="preserve">Program Pembangunan / Peningkatan Jembatan </v>
      </c>
      <c r="I20" s="10">
        <f>DATA!K11</f>
        <v>2</v>
      </c>
      <c r="J20" s="181"/>
      <c r="K20" s="34"/>
      <c r="L20" s="34"/>
      <c r="M20" s="52">
        <v>7</v>
      </c>
      <c r="N20" s="37" t="str">
        <f>DATA!L11</f>
        <v>Development of Fly Over/ Under Pass for Railways Crossing</v>
      </c>
      <c r="O20" s="20">
        <f>DATA!Q11</f>
        <v>1</v>
      </c>
      <c r="P20" s="20">
        <f>DATA!R11</f>
        <v>1</v>
      </c>
      <c r="Q20" s="186">
        <f>DATA!S11</f>
        <v>7</v>
      </c>
      <c r="R20" s="187">
        <f>DATA!T11</f>
        <v>250000000</v>
      </c>
      <c r="S20" s="188">
        <f>DATA!U11</f>
        <v>250000000</v>
      </c>
      <c r="T20" s="77">
        <f>DATA!V11</f>
        <v>50000000</v>
      </c>
      <c r="U20" s="77">
        <f>DATA!W11</f>
        <v>0</v>
      </c>
      <c r="V20" s="77">
        <f>DATA!X11</f>
        <v>300000000</v>
      </c>
      <c r="W20" s="78" t="str">
        <f>DATA!Y11</f>
        <v>JICA</v>
      </c>
      <c r="X20" s="20" t="str">
        <f>DATA!Z11</f>
        <v>Bilateral</v>
      </c>
      <c r="Y20" s="77">
        <f>DATA!AA11</f>
        <v>250000000</v>
      </c>
      <c r="Z20" s="77">
        <v>0</v>
      </c>
      <c r="AA20" s="216" t="str">
        <f>DATA!Y11</f>
        <v>JICA</v>
      </c>
      <c r="AB20" s="188">
        <f>DATA!AG11</f>
        <v>0</v>
      </c>
      <c r="AC20" s="20">
        <f>DATA!AH11</f>
        <v>2017</v>
      </c>
      <c r="AD20" s="37" t="str">
        <f>DATA!AI11</f>
        <v>-</v>
      </c>
      <c r="AE20" s="152" t="str">
        <f>DATA!AR11</f>
        <v>belum ada dokumen R/C</v>
      </c>
      <c r="AF20" s="152" t="str">
        <f>DATA!AN11</f>
        <v>dalam proses
(penyusunan FS)</v>
      </c>
      <c r="AG20" s="152" t="str">
        <f>DATA!AO11</f>
        <v>belum ada keterangan</v>
      </c>
      <c r="AH20" s="37" t="str">
        <f>DATA!AJ11</f>
        <v>Penyusunan FS dan BD</v>
      </c>
      <c r="AI20" s="56" t="str">
        <f>DATA!AK11</f>
        <v>-</v>
      </c>
      <c r="AJ20" s="230" t="str">
        <f>DATA!AL11</f>
        <v>-</v>
      </c>
      <c r="AK20" s="231" t="str">
        <f>DATA!AR11</f>
        <v>belum ada dokumen R/C</v>
      </c>
      <c r="AL20" s="20" t="str">
        <f>DATA!AN11</f>
        <v>dalam proses
(penyusunan FS)</v>
      </c>
      <c r="AM20" s="20" t="str">
        <f>DATA!AO11</f>
        <v>belum ada keterangan</v>
      </c>
      <c r="AN20" s="20" t="str">
        <f>DATA!AP11</f>
        <v>belum ada proses tender/lelang</v>
      </c>
      <c r="AO20" s="20" t="str">
        <f>DATA!AY11</f>
        <v>- Konfirmasi melalui surat Sekjen nomor KU.01.12-Sj/636 tgl 23 Oktober 2015</v>
      </c>
      <c r="AP20" s="20" t="e">
        <f>DATA!#REF!</f>
        <v>#REF!</v>
      </c>
      <c r="AQ20" s="20">
        <f>DATA!AZ11</f>
        <v>0</v>
      </c>
      <c r="AR20" s="152" t="e">
        <f>DATA!#REF!</f>
        <v>#REF!</v>
      </c>
      <c r="AS20" s="199" t="str">
        <f>DATA!BA11</f>
        <v>Pembangunan fly over/ under pass untuk persimpangan jalan dengan jalan kereta sepanjang 7 km di Jawa dan Sumatera</v>
      </c>
      <c r="AT20" s="245">
        <f>DATA!AT11</f>
        <v>250000000</v>
      </c>
      <c r="AU20" s="109" t="str">
        <f>DATA!AU11</f>
        <v>JICA</v>
      </c>
      <c r="AV20" s="246" t="str">
        <f>DATA!AW11</f>
        <v>-</v>
      </c>
    </row>
    <row r="21" spans="1:48" ht="38.25">
      <c r="A21" s="10">
        <f>DATA!A12</f>
        <v>10</v>
      </c>
      <c r="B21" s="10">
        <f>DATA!B12</f>
        <v>0</v>
      </c>
      <c r="C21" s="10" t="str">
        <f>DATA!D12</f>
        <v>INFRASTRUKTUR</v>
      </c>
      <c r="D21" s="10">
        <f>DATA!E12</f>
        <v>1</v>
      </c>
      <c r="E21" s="10" t="str">
        <f>DATA!F12</f>
        <v>Kementerian Pekerjaan Umum dan Perumahan Rakyat</v>
      </c>
      <c r="F21" s="10" t="str">
        <f>DATA!H12</f>
        <v>Development and Improvement of National Bridges Program</v>
      </c>
      <c r="G21" s="10" t="str">
        <f>DATA!I12</f>
        <v>B</v>
      </c>
      <c r="H21" s="10" t="str">
        <f>DATA!J12</f>
        <v xml:space="preserve">Program Pembangunan / Peningkatan Jembatan </v>
      </c>
      <c r="I21" s="10">
        <f>DATA!K12</f>
        <v>3</v>
      </c>
      <c r="J21" s="181"/>
      <c r="K21" s="34"/>
      <c r="L21" s="34"/>
      <c r="M21" s="52">
        <v>8</v>
      </c>
      <c r="N21" s="37" t="str">
        <f>DATA!L12</f>
        <v>Development of Fly Over/ Under Pass in Major Cities</v>
      </c>
      <c r="O21" s="20">
        <f>DATA!Q12</f>
        <v>1</v>
      </c>
      <c r="P21" s="20">
        <f>DATA!R12</f>
        <v>1</v>
      </c>
      <c r="Q21" s="186">
        <f>DATA!S12</f>
        <v>8</v>
      </c>
      <c r="R21" s="187">
        <f>DATA!T12</f>
        <v>270000000</v>
      </c>
      <c r="S21" s="188">
        <f>DATA!U12</f>
        <v>270000000</v>
      </c>
      <c r="T21" s="77">
        <f>DATA!V12</f>
        <v>50000000</v>
      </c>
      <c r="U21" s="77">
        <f>DATA!W12</f>
        <v>0</v>
      </c>
      <c r="V21" s="77">
        <f>DATA!X12</f>
        <v>320000000</v>
      </c>
      <c r="W21" s="78" t="str">
        <f>DATA!Y12</f>
        <v>JICA</v>
      </c>
      <c r="X21" s="20" t="str">
        <f>DATA!Z12</f>
        <v>Bilateral</v>
      </c>
      <c r="Y21" s="77">
        <f>DATA!AA12</f>
        <v>270000000</v>
      </c>
      <c r="Z21" s="77">
        <v>0</v>
      </c>
      <c r="AA21" s="216" t="str">
        <f>DATA!Y12</f>
        <v>JICA</v>
      </c>
      <c r="AB21" s="188">
        <f>DATA!AG12</f>
        <v>0</v>
      </c>
      <c r="AC21" s="20">
        <f>DATA!AH12</f>
        <v>2017</v>
      </c>
      <c r="AD21" s="37" t="str">
        <f>DATA!AI12</f>
        <v>-</v>
      </c>
      <c r="AE21" s="152" t="str">
        <f>DATA!AR12</f>
        <v>belum ada dokumen R/C</v>
      </c>
      <c r="AF21" s="152" t="str">
        <f>DATA!AN12</f>
        <v>dalam proses
 (penyusunan FS)</v>
      </c>
      <c r="AG21" s="152" t="str">
        <f>DATA!AO12</f>
        <v>belum ada keterangan</v>
      </c>
      <c r="AH21" s="37" t="str">
        <f>DATA!AJ12</f>
        <v>Penyusunan FS dan BD</v>
      </c>
      <c r="AI21" s="56" t="str">
        <f>DATA!AK12</f>
        <v>-</v>
      </c>
      <c r="AJ21" s="230" t="str">
        <f>DATA!AL12</f>
        <v>-</v>
      </c>
      <c r="AK21" s="231" t="str">
        <f>DATA!AR12</f>
        <v>belum ada dokumen R/C</v>
      </c>
      <c r="AL21" s="20" t="str">
        <f>DATA!AN12</f>
        <v>dalam proses
 (penyusunan FS)</v>
      </c>
      <c r="AM21" s="20" t="str">
        <f>DATA!AO12</f>
        <v>belum ada keterangan</v>
      </c>
      <c r="AN21" s="20" t="str">
        <f>DATA!AP12</f>
        <v>belum ada proses tender/lelang</v>
      </c>
      <c r="AO21" s="20" t="str">
        <f>DATA!AY12</f>
        <v>Konfirmasi melalui surat Sekjen nomor KU.01.12-Sj/636 tgl 23 Oktober 2015</v>
      </c>
      <c r="AP21" s="20" t="e">
        <f>DATA!#REF!</f>
        <v>#REF!</v>
      </c>
      <c r="AQ21" s="20">
        <f>DATA!AZ12</f>
        <v>0</v>
      </c>
      <c r="AR21" s="152" t="e">
        <f>DATA!#REF!</f>
        <v>#REF!</v>
      </c>
      <c r="AS21" s="199" t="str">
        <f>DATA!BA12</f>
        <v>Pembangunan fly over/ under pass sepanjang kurang lebih 8 km untuk 9 kota besar yang ada di Jawa dan Sumatera</v>
      </c>
      <c r="AT21" s="245">
        <f>DATA!AT12</f>
        <v>270000000</v>
      </c>
      <c r="AU21" s="109" t="str">
        <f>DATA!AU12</f>
        <v>JICA</v>
      </c>
      <c r="AV21" s="246" t="str">
        <f>DATA!AW12</f>
        <v>-</v>
      </c>
    </row>
    <row r="22" spans="1:48" ht="35.25" customHeight="1">
      <c r="A22" s="10">
        <f>DATA!A13</f>
        <v>11</v>
      </c>
      <c r="B22" s="10">
        <f>DATA!B13</f>
        <v>0</v>
      </c>
      <c r="C22" s="10" t="str">
        <f>DATA!D13</f>
        <v>INFRASTRUKTUR</v>
      </c>
      <c r="D22" s="10">
        <f>DATA!E13</f>
        <v>1</v>
      </c>
      <c r="E22" s="10" t="str">
        <f>DATA!F13</f>
        <v>Kementerian Pekerjaan Umum dan Perumahan Rakyat</v>
      </c>
      <c r="F22" s="10" t="str">
        <f>DATA!H13</f>
        <v>Development and Improvement of National Bridges Program</v>
      </c>
      <c r="G22" s="10" t="str">
        <f>DATA!I13</f>
        <v>B</v>
      </c>
      <c r="H22" s="10" t="str">
        <f>DATA!J13</f>
        <v xml:space="preserve">Program Pembangunan / Peningkatan Jembatan </v>
      </c>
      <c r="I22" s="10">
        <f>DATA!K13</f>
        <v>4</v>
      </c>
      <c r="J22" s="181"/>
      <c r="K22" s="34"/>
      <c r="L22" s="34"/>
      <c r="M22" s="52">
        <v>9</v>
      </c>
      <c r="N22" s="37" t="str">
        <f>DATA!L13</f>
        <v>Balinka - Matur - Ngarai Sianok Tunnel Construction</v>
      </c>
      <c r="O22" s="20">
        <f>DATA!Q13</f>
        <v>1</v>
      </c>
      <c r="P22" s="20">
        <f>DATA!R13</f>
        <v>1</v>
      </c>
      <c r="Q22" s="186">
        <f>DATA!S13</f>
        <v>9</v>
      </c>
      <c r="R22" s="187">
        <f>DATA!T13</f>
        <v>175000000</v>
      </c>
      <c r="S22" s="188">
        <f>DATA!U13</f>
        <v>175000000</v>
      </c>
      <c r="T22" s="77">
        <f>DATA!V13</f>
        <v>8750000</v>
      </c>
      <c r="U22" s="77">
        <f>DATA!W13</f>
        <v>0</v>
      </c>
      <c r="V22" s="77">
        <f>DATA!X13</f>
        <v>183750000</v>
      </c>
      <c r="W22" s="78" t="str">
        <f>DATA!Y13</f>
        <v>Korea/RRT</v>
      </c>
      <c r="X22" s="20" t="str">
        <f>DATA!Z13</f>
        <v>Multi Lender</v>
      </c>
      <c r="Y22" s="77">
        <f>DATA!AA13</f>
        <v>175000000</v>
      </c>
      <c r="Z22" s="77">
        <v>0</v>
      </c>
      <c r="AA22" s="216" t="str">
        <f>DATA!Y13</f>
        <v>Korea/RRT</v>
      </c>
      <c r="AB22" s="188">
        <f>DATA!AG13</f>
        <v>0</v>
      </c>
      <c r="AC22" s="20">
        <f>DATA!AH13</f>
        <v>2017</v>
      </c>
      <c r="AD22" s="37" t="str">
        <f>DATA!AI13</f>
        <v>-</v>
      </c>
      <c r="AE22" s="152" t="str">
        <f>DATA!AR13</f>
        <v>belum ada dokumen R/C</v>
      </c>
      <c r="AF22" s="152" t="str">
        <f>DATA!AN13</f>
        <v>dalam proses
(memiliki FS dan DED)</v>
      </c>
      <c r="AG22" s="152" t="str">
        <f>DATA!AO13</f>
        <v>belum ada keterangan</v>
      </c>
      <c r="AH22" s="37" t="str">
        <f>DATA!AJ13</f>
        <v>FS, DED, SP2LP</v>
      </c>
      <c r="AI22" s="56" t="str">
        <f>DATA!AK13</f>
        <v>-</v>
      </c>
      <c r="AJ22" s="230" t="str">
        <f>DATA!AL13</f>
        <v>-</v>
      </c>
      <c r="AK22" s="231" t="str">
        <f>DATA!AR13</f>
        <v>belum ada dokumen R/C</v>
      </c>
      <c r="AL22" s="20" t="str">
        <f>DATA!AN13</f>
        <v>dalam proses
(memiliki FS dan DED)</v>
      </c>
      <c r="AM22" s="20" t="str">
        <f>DATA!AO13</f>
        <v>belum ada keterangan</v>
      </c>
      <c r="AN22" s="20" t="str">
        <f>DATA!AP13</f>
        <v>belum ada proses tender/lelang</v>
      </c>
      <c r="AO22" s="20" t="str">
        <f>DATA!AY13</f>
        <v>Konfirmasi melalui surat Sekjen nomor KU.01.12-Sj/636 tgl 23 Oktober 2015</v>
      </c>
      <c r="AP22" s="20" t="e">
        <f>DATA!#REF!</f>
        <v>#REF!</v>
      </c>
      <c r="AQ22" s="20">
        <f>DATA!AZ13</f>
        <v>0</v>
      </c>
      <c r="AR22" s="152" t="e">
        <f>DATA!#REF!</f>
        <v>#REF!</v>
      </c>
      <c r="AS22" s="199" t="str">
        <f>DATA!BA13</f>
        <v xml:space="preserve">Pembangunan terowongan, jembatan dan jalan sepanjang 5 km di daerah Balinka-Ngarai Sianok, Sumatera Barat </v>
      </c>
      <c r="AT22" s="245">
        <f>DATA!AT13</f>
        <v>175000000</v>
      </c>
      <c r="AU22" s="109" t="str">
        <f>DATA!AU13</f>
        <v>Korea/RRT</v>
      </c>
      <c r="AV22" s="246" t="str">
        <f>DATA!AW13</f>
        <v>- RRT dan Korea belum ada keputusan</v>
      </c>
    </row>
    <row r="23" spans="1:48" ht="30.75" customHeight="1">
      <c r="A23" s="10">
        <f>DATA!A14</f>
        <v>12</v>
      </c>
      <c r="B23" s="10">
        <f>DATA!B14</f>
        <v>0</v>
      </c>
      <c r="C23" s="10" t="str">
        <f>DATA!D14</f>
        <v>INFRASTRUKTUR</v>
      </c>
      <c r="D23" s="10">
        <f>DATA!E14</f>
        <v>1</v>
      </c>
      <c r="E23" s="10" t="str">
        <f>DATA!F14</f>
        <v>Kementerian Pekerjaan Umum dan Perumahan Rakyat</v>
      </c>
      <c r="F23" s="10" t="str">
        <f>DATA!H14</f>
        <v>Development and Improvement of National Bridges Program</v>
      </c>
      <c r="G23" s="10" t="str">
        <f>DATA!I14</f>
        <v>B</v>
      </c>
      <c r="H23" s="10" t="str">
        <f>DATA!J14</f>
        <v xml:space="preserve">Program Pembangunan / Peningkatan Jembatan </v>
      </c>
      <c r="I23" s="10">
        <f>DATA!K14</f>
        <v>5</v>
      </c>
      <c r="J23" s="181"/>
      <c r="K23" s="34"/>
      <c r="L23" s="54"/>
      <c r="M23" s="52">
        <v>10</v>
      </c>
      <c r="N23" s="37" t="str">
        <f>DATA!L14</f>
        <v>Long Span Bridge Development for Selected Area</v>
      </c>
      <c r="O23" s="20">
        <f>DATA!Q14</f>
        <v>1</v>
      </c>
      <c r="P23" s="20">
        <f>DATA!R14</f>
        <v>1</v>
      </c>
      <c r="Q23" s="186">
        <f>DATA!S14</f>
        <v>10</v>
      </c>
      <c r="R23" s="187">
        <f>DATA!T14</f>
        <v>355000000</v>
      </c>
      <c r="S23" s="188">
        <f>DATA!U14</f>
        <v>355000000</v>
      </c>
      <c r="T23" s="77">
        <f>DATA!V14</f>
        <v>17750000</v>
      </c>
      <c r="U23" s="77">
        <f>DATA!W14</f>
        <v>0</v>
      </c>
      <c r="V23" s="77">
        <f>DATA!X14</f>
        <v>372750000</v>
      </c>
      <c r="W23" s="78" t="str">
        <f>DATA!Y14</f>
        <v>Korea/RRT</v>
      </c>
      <c r="X23" s="20" t="str">
        <f>DATA!Z14</f>
        <v>Multi Lender</v>
      </c>
      <c r="Y23" s="77">
        <f>DATA!AA14</f>
        <v>355000000</v>
      </c>
      <c r="Z23" s="77">
        <v>0</v>
      </c>
      <c r="AA23" s="216" t="str">
        <f>DATA!Y14</f>
        <v>Korea/RRT</v>
      </c>
      <c r="AB23" s="188">
        <f>DATA!AG14</f>
        <v>0</v>
      </c>
      <c r="AC23" s="20" t="str">
        <f>DATA!AH14</f>
        <v>Tanpa keterangan</v>
      </c>
      <c r="AD23" s="37" t="str">
        <f>DATA!AI14</f>
        <v>-</v>
      </c>
      <c r="AE23" s="152" t="str">
        <f>DATA!AR14</f>
        <v>belum ada dokumen R/C</v>
      </c>
      <c r="AF23" s="152" t="str">
        <f>DATA!AN14</f>
        <v>belum ada keterangan</v>
      </c>
      <c r="AG23" s="152" t="str">
        <f>DATA!AO14</f>
        <v>belum ada keterangan</v>
      </c>
      <c r="AH23" s="37" t="str">
        <f>DATA!AJ14</f>
        <v>-</v>
      </c>
      <c r="AI23" s="56" t="str">
        <f>DATA!AK14</f>
        <v>-</v>
      </c>
      <c r="AJ23" s="230" t="str">
        <f>DATA!AL14</f>
        <v>-</v>
      </c>
      <c r="AK23" s="231" t="str">
        <f>DATA!AR14</f>
        <v>belum ada dokumen R/C</v>
      </c>
      <c r="AL23" s="20" t="str">
        <f>DATA!AN14</f>
        <v>belum ada keterangan</v>
      </c>
      <c r="AM23" s="20" t="str">
        <f>DATA!AO14</f>
        <v>belum ada keterangan</v>
      </c>
      <c r="AN23" s="20" t="str">
        <f>DATA!AP14</f>
        <v>belum ada proses tender/lelang</v>
      </c>
      <c r="AO23" s="20" t="str">
        <f>DATA!AY14</f>
        <v>Konfirmasi melalui surat Sekjen nomor KU.01.12-Sj/636 tgl 23 Oktober 2015</v>
      </c>
      <c r="AP23" s="20" t="e">
        <f>DATA!#REF!</f>
        <v>#REF!</v>
      </c>
      <c r="AQ23" s="20">
        <f>DATA!AZ14</f>
        <v>0</v>
      </c>
      <c r="AR23" s="152" t="e">
        <f>DATA!#REF!</f>
        <v>#REF!</v>
      </c>
      <c r="AS23" s="199" t="str">
        <f>DATA!BA14</f>
        <v>Pembangunan jembatan bentang panjang 5.000 m (pada area tertentu) di wilayah Pulau Jawa dan Sumatera yang dipisahkan oleh oleh sungai, rawa, danau, selat, saluran besar.</v>
      </c>
      <c r="AT23" s="245">
        <f>DATA!AT14</f>
        <v>355000000</v>
      </c>
      <c r="AU23" s="109" t="str">
        <f>DATA!AU14</f>
        <v>Korea/RRT</v>
      </c>
      <c r="AV23" s="246" t="str">
        <f>DATA!AW14</f>
        <v>- RRT dan Korea belum ada keputusan</v>
      </c>
    </row>
    <row r="24" spans="1:48" s="5" customFormat="1" ht="33.75" customHeight="1">
      <c r="J24" s="180"/>
      <c r="K24" s="50"/>
      <c r="L24" s="30" t="str">
        <f>DATA!I15</f>
        <v>C</v>
      </c>
      <c r="M24" s="31" t="str">
        <f>DATA!J16</f>
        <v>Program Pembangunan / Peningkatan Jalan</v>
      </c>
      <c r="N24" s="51"/>
      <c r="O24" s="31"/>
      <c r="P24" s="31"/>
      <c r="Q24" s="196"/>
      <c r="R24" s="197">
        <f>SUM(R25:R33)</f>
        <v>2000000000</v>
      </c>
      <c r="S24" s="198">
        <f t="shared" ref="S24:AV24" si="4">SUM(S25:S33)</f>
        <v>2000000000</v>
      </c>
      <c r="T24" s="81">
        <f t="shared" si="4"/>
        <v>400000000</v>
      </c>
      <c r="U24" s="81">
        <f t="shared" si="4"/>
        <v>0</v>
      </c>
      <c r="V24" s="81">
        <f t="shared" si="4"/>
        <v>2400000000</v>
      </c>
      <c r="W24" s="81">
        <f t="shared" si="4"/>
        <v>0</v>
      </c>
      <c r="X24" s="81">
        <f t="shared" si="4"/>
        <v>0</v>
      </c>
      <c r="Y24" s="81">
        <f t="shared" si="4"/>
        <v>2000000000</v>
      </c>
      <c r="Z24" s="81">
        <f t="shared" si="4"/>
        <v>0</v>
      </c>
      <c r="AA24" s="214">
        <f t="shared" si="4"/>
        <v>0</v>
      </c>
      <c r="AB24" s="198">
        <f t="shared" si="4"/>
        <v>0</v>
      </c>
      <c r="AC24" s="81">
        <f t="shared" si="4"/>
        <v>12097</v>
      </c>
      <c r="AD24" s="81">
        <f t="shared" si="4"/>
        <v>0</v>
      </c>
      <c r="AE24" s="81">
        <f t="shared" si="4"/>
        <v>0</v>
      </c>
      <c r="AF24" s="81">
        <f t="shared" si="4"/>
        <v>0</v>
      </c>
      <c r="AG24" s="81">
        <f t="shared" si="4"/>
        <v>0</v>
      </c>
      <c r="AH24" s="81">
        <f t="shared" si="4"/>
        <v>0</v>
      </c>
      <c r="AI24" s="228">
        <f t="shared" si="4"/>
        <v>0</v>
      </c>
      <c r="AJ24" s="229">
        <f t="shared" si="4"/>
        <v>0</v>
      </c>
      <c r="AK24" s="198">
        <f t="shared" si="4"/>
        <v>0</v>
      </c>
      <c r="AL24" s="81">
        <f t="shared" si="4"/>
        <v>0</v>
      </c>
      <c r="AM24" s="81">
        <f t="shared" si="4"/>
        <v>0</v>
      </c>
      <c r="AN24" s="81">
        <f t="shared" si="4"/>
        <v>0</v>
      </c>
      <c r="AO24" s="81">
        <f t="shared" si="4"/>
        <v>0</v>
      </c>
      <c r="AP24" s="81" t="e">
        <f t="shared" si="4"/>
        <v>#REF!</v>
      </c>
      <c r="AQ24" s="81">
        <f t="shared" si="4"/>
        <v>0</v>
      </c>
      <c r="AR24" s="81" t="e">
        <f t="shared" si="4"/>
        <v>#REF!</v>
      </c>
      <c r="AS24" s="243">
        <f t="shared" si="4"/>
        <v>0</v>
      </c>
      <c r="AT24" s="244">
        <f t="shared" si="4"/>
        <v>2000000000</v>
      </c>
      <c r="AU24" s="81" t="s">
        <v>21</v>
      </c>
      <c r="AV24" s="229">
        <f t="shared" si="4"/>
        <v>0</v>
      </c>
    </row>
    <row r="25" spans="1:48" s="5" customFormat="1" ht="30" customHeight="1">
      <c r="J25" s="180"/>
      <c r="K25" s="50"/>
      <c r="L25" s="55"/>
      <c r="M25" s="36">
        <v>11</v>
      </c>
      <c r="N25" s="37" t="str">
        <f>DATA!L15</f>
        <v>Urban Arterial Road Improvement Project</v>
      </c>
      <c r="O25" s="37">
        <f>DATA!Q15</f>
        <v>1</v>
      </c>
      <c r="P25" s="37">
        <f>DATA!R15</f>
        <v>1</v>
      </c>
      <c r="Q25" s="199">
        <f>DATA!S15</f>
        <v>0</v>
      </c>
      <c r="R25" s="200">
        <f>DATA!T15</f>
        <v>250000000</v>
      </c>
      <c r="S25" s="201">
        <f>DATA!U15</f>
        <v>205000000</v>
      </c>
      <c r="T25" s="87">
        <f>DATA!V15</f>
        <v>50000000</v>
      </c>
      <c r="U25" s="87">
        <f>DATA!W15</f>
        <v>0</v>
      </c>
      <c r="V25" s="87">
        <f>DATA!X15</f>
        <v>300000000</v>
      </c>
      <c r="W25" s="78" t="str">
        <f>DATA!Y15</f>
        <v>JICA</v>
      </c>
      <c r="X25" s="37" t="str">
        <f>DATA!Z15</f>
        <v>Multilateral</v>
      </c>
      <c r="Y25" s="87">
        <f>DATA!AA15</f>
        <v>205000000</v>
      </c>
      <c r="Z25" s="87">
        <v>0</v>
      </c>
      <c r="AA25" s="216" t="str">
        <f>DATA!Y15</f>
        <v>JICA</v>
      </c>
      <c r="AB25" s="201">
        <f>DATA!AG15</f>
        <v>0</v>
      </c>
      <c r="AC25" s="37">
        <f>DATA!AH15</f>
        <v>2016</v>
      </c>
      <c r="AD25" s="56" t="str">
        <f>DATA!AI15</f>
        <v>-</v>
      </c>
      <c r="AE25" s="152">
        <f>DATA!AM15</f>
        <v>0</v>
      </c>
      <c r="AF25" s="152" t="str">
        <f>DATA!AN15</f>
        <v>siap</v>
      </c>
      <c r="AG25" s="152" t="str">
        <f>DATA!AO15</f>
        <v>belum ada keterangan</v>
      </c>
      <c r="AH25" s="56" t="str">
        <f>DATA!AJ15</f>
        <v>Sebagian telah ada FS, DED dan AMDAL</v>
      </c>
      <c r="AI25" s="56" t="str">
        <f>DATA!AK15</f>
        <v>-</v>
      </c>
      <c r="AJ25" s="233" t="str">
        <f>DATA!AL15</f>
        <v>-</v>
      </c>
      <c r="AK25" s="234"/>
      <c r="AL25" s="31"/>
      <c r="AM25" s="31"/>
      <c r="AN25" s="31"/>
      <c r="AO25" s="31"/>
      <c r="AP25" s="31"/>
      <c r="AQ25" s="31"/>
      <c r="AR25" s="152" t="e">
        <f>DATA!#REF!</f>
        <v>#REF!</v>
      </c>
      <c r="AS25" s="247"/>
      <c r="AT25" s="245">
        <f>DATA!AT15</f>
        <v>205000000</v>
      </c>
      <c r="AU25" s="109" t="str">
        <f>DATA!AU15</f>
        <v>JICA</v>
      </c>
      <c r="AV25" s="246" t="str">
        <f>DATA!AW15</f>
        <v>-</v>
      </c>
    </row>
    <row r="26" spans="1:48" ht="33.75" customHeight="1">
      <c r="A26" s="10">
        <f>DATA!A16</f>
        <v>14</v>
      </c>
      <c r="B26" s="10">
        <f>DATA!B16</f>
        <v>0</v>
      </c>
      <c r="C26" s="10" t="str">
        <f>DATA!D16</f>
        <v>INFRASTRUKTUR</v>
      </c>
      <c r="D26" s="10">
        <f>DATA!E16</f>
        <v>1</v>
      </c>
      <c r="E26" s="10" t="str">
        <f>DATA!F16</f>
        <v>Kementerian Pekerjaan Umum dan Perumahan Rakyat</v>
      </c>
      <c r="F26" s="10" t="str">
        <f>DATA!H16</f>
        <v>Development and Improvement of National Roads Program</v>
      </c>
      <c r="G26" s="10" t="str">
        <f>DATA!I16</f>
        <v>C</v>
      </c>
      <c r="H26" s="10" t="str">
        <f>DATA!J16</f>
        <v>Program Pembangunan / Peningkatan Jalan</v>
      </c>
      <c r="I26" s="10">
        <f>DATA!K16</f>
        <v>2</v>
      </c>
      <c r="J26" s="181"/>
      <c r="K26" s="34"/>
      <c r="L26" s="34"/>
      <c r="M26" s="36">
        <v>12</v>
      </c>
      <c r="N26" s="37" t="str">
        <f>DATA!L16</f>
        <v>Construction of Development of Trans South-South, Eastern Java</v>
      </c>
      <c r="O26" s="20">
        <f>DATA!Q16</f>
        <v>1</v>
      </c>
      <c r="P26" s="20">
        <f>DATA!R16</f>
        <v>1</v>
      </c>
      <c r="Q26" s="186">
        <f>DATA!S16</f>
        <v>12</v>
      </c>
      <c r="R26" s="187">
        <f>DATA!T16</f>
        <v>250000000</v>
      </c>
      <c r="S26" s="188">
        <f>DATA!U16</f>
        <v>250000000</v>
      </c>
      <c r="T26" s="77">
        <f>DATA!V16</f>
        <v>50000000</v>
      </c>
      <c r="U26" s="77">
        <f>DATA!W16</f>
        <v>0</v>
      </c>
      <c r="V26" s="77">
        <f>DATA!X16</f>
        <v>300000000</v>
      </c>
      <c r="W26" s="88" t="str">
        <f>DATA!Y16</f>
        <v>IDB</v>
      </c>
      <c r="X26" s="77" t="str">
        <f>DATA!Z16</f>
        <v>Multilateral</v>
      </c>
      <c r="Y26" s="77">
        <f>DATA!AA16</f>
        <v>250000000</v>
      </c>
      <c r="Z26" s="77">
        <v>0</v>
      </c>
      <c r="AA26" s="216" t="str">
        <f>DATA!Y16</f>
        <v>IDB</v>
      </c>
      <c r="AB26" s="188">
        <f>DATA!AG16</f>
        <v>0</v>
      </c>
      <c r="AC26" s="100">
        <f>DATA!AH16</f>
        <v>2016</v>
      </c>
      <c r="AD26" s="101" t="str">
        <f>DATA!AI16</f>
        <v>-</v>
      </c>
      <c r="AE26" s="152" t="str">
        <f>DATA!AM16</f>
        <v>Rev. 2016</v>
      </c>
      <c r="AF26" s="152" t="str">
        <f>DATA!AN16</f>
        <v>siap</v>
      </c>
      <c r="AG26" s="152" t="str">
        <f>DATA!AO16</f>
        <v>belum ada keterangan</v>
      </c>
      <c r="AH26" s="101" t="str">
        <f>DATA!AJ16</f>
        <v>FS ada, DED dan AMDAL sebagian</v>
      </c>
      <c r="AI26" s="101" t="str">
        <f>DATA!AK16</f>
        <v>-</v>
      </c>
      <c r="AJ26" s="233" t="str">
        <f>DATA!AL16</f>
        <v>-</v>
      </c>
      <c r="AK26" s="231" t="str">
        <f>DATA!AM16</f>
        <v>Rev. 2016</v>
      </c>
      <c r="AL26" s="20" t="str">
        <f>DATA!AN16</f>
        <v>siap</v>
      </c>
      <c r="AM26" s="20" t="str">
        <f>DATA!AO16</f>
        <v>belum ada keterangan</v>
      </c>
      <c r="AN26" s="20" t="str">
        <f>DATA!AP16</f>
        <v>belum ada proses tender/lelang</v>
      </c>
      <c r="AO26" s="20" t="str">
        <f>DATA!AY16</f>
        <v>Konfirmasi melalui surat Sekjen nomor KU.01.12-Sj/636 tgl 23 Oktober 2015</v>
      </c>
      <c r="AP26" s="20" t="e">
        <f>DATA!#REF!</f>
        <v>#REF!</v>
      </c>
      <c r="AQ26" s="20">
        <f>DATA!AZ16</f>
        <v>0</v>
      </c>
      <c r="AR26" s="152" t="e">
        <f>DATA!#REF!</f>
        <v>#REF!</v>
      </c>
      <c r="AS26" s="199" t="str">
        <f>DATA!BA16</f>
        <v>Pembangunan dan peningkatan 200 km jalan Trans Selatan Selatan Pulau Jawa</v>
      </c>
      <c r="AT26" s="245">
        <f>DATA!AT16</f>
        <v>250000000</v>
      </c>
      <c r="AU26" s="109" t="str">
        <f>DATA!AU16</f>
        <v>IDB</v>
      </c>
      <c r="AV26" s="246" t="str">
        <f>DATA!AW16</f>
        <v>-</v>
      </c>
    </row>
    <row r="27" spans="1:48" ht="39.75" customHeight="1">
      <c r="A27" s="10">
        <f>DATA!A17</f>
        <v>15</v>
      </c>
      <c r="B27" s="10">
        <f>DATA!B17</f>
        <v>0</v>
      </c>
      <c r="C27" s="10" t="str">
        <f>DATA!D17</f>
        <v>INFRASTRUKTUR</v>
      </c>
      <c r="D27" s="10">
        <f>DATA!E17</f>
        <v>1</v>
      </c>
      <c r="E27" s="10" t="str">
        <f>DATA!F17</f>
        <v>Kementerian Pekerjaan Umum dan Perumahan Rakyat</v>
      </c>
      <c r="F27" s="10" t="str">
        <f>DATA!H17</f>
        <v>Development and Improvement of National Roads Program</v>
      </c>
      <c r="G27" s="10" t="str">
        <f>DATA!I17</f>
        <v>C</v>
      </c>
      <c r="H27" s="10" t="str">
        <f>DATA!J17</f>
        <v>Program Pembangunan / Peningkatan Jalan</v>
      </c>
      <c r="I27" s="10">
        <f>DATA!K17</f>
        <v>3</v>
      </c>
      <c r="J27" s="181"/>
      <c r="K27" s="34"/>
      <c r="L27" s="34"/>
      <c r="M27" s="36">
        <v>13</v>
      </c>
      <c r="N27" s="37" t="str">
        <f>DATA!L17</f>
        <v>Road Improvement Project to Support Integrated Land and Sea Toll Way - Northern Area</v>
      </c>
      <c r="O27" s="20">
        <f>DATA!Q17</f>
        <v>1</v>
      </c>
      <c r="P27" s="20">
        <f>DATA!R17</f>
        <v>1</v>
      </c>
      <c r="Q27" s="186">
        <f>DATA!S17</f>
        <v>13</v>
      </c>
      <c r="R27" s="187">
        <f>DATA!T17</f>
        <v>250000000</v>
      </c>
      <c r="S27" s="188">
        <f>DATA!U16</f>
        <v>250000000</v>
      </c>
      <c r="T27" s="77">
        <f>DATA!V17</f>
        <v>50000000</v>
      </c>
      <c r="U27" s="77">
        <f>DATA!W17</f>
        <v>0</v>
      </c>
      <c r="V27" s="77">
        <f>DATA!X17</f>
        <v>300000000</v>
      </c>
      <c r="W27" s="78" t="str">
        <f>DATA!Y17</f>
        <v>Bank Dunia</v>
      </c>
      <c r="X27" s="20" t="str">
        <f>DATA!Z17</f>
        <v>Multilateral</v>
      </c>
      <c r="Y27" s="77">
        <f>DATA!AA17</f>
        <v>250000000</v>
      </c>
      <c r="Z27" s="77">
        <v>0</v>
      </c>
      <c r="AA27" s="216" t="str">
        <f>DATA!Y17</f>
        <v>Bank Dunia</v>
      </c>
      <c r="AB27" s="188">
        <f>DATA!AG17</f>
        <v>0</v>
      </c>
      <c r="AC27" s="20" t="str">
        <f>DATA!AH17</f>
        <v>Tanpa keterangan</v>
      </c>
      <c r="AD27" s="56" t="str">
        <f>DATA!AI17</f>
        <v>-</v>
      </c>
      <c r="AE27" s="152">
        <f>DATA!AM17</f>
        <v>0</v>
      </c>
      <c r="AF27" s="152" t="str">
        <f>DATA!AN17</f>
        <v>belum ada keterangan</v>
      </c>
      <c r="AG27" s="152" t="str">
        <f>DATA!AO17</f>
        <v>belum ada keterangan</v>
      </c>
      <c r="AH27" s="56" t="str">
        <f>DATA!AJ17</f>
        <v>-</v>
      </c>
      <c r="AI27" s="56" t="str">
        <f>DATA!AK17</f>
        <v>-</v>
      </c>
      <c r="AJ27" s="233" t="str">
        <f>DATA!AL17</f>
        <v>-</v>
      </c>
      <c r="AK27" s="231">
        <f>DATA!AM17</f>
        <v>0</v>
      </c>
      <c r="AL27" s="20" t="str">
        <f>DATA!AN17</f>
        <v>belum ada keterangan</v>
      </c>
      <c r="AM27" s="20" t="str">
        <f>DATA!AO17</f>
        <v>belum ada keterangan</v>
      </c>
      <c r="AN27" s="20" t="str">
        <f>DATA!AP17</f>
        <v>belum ada proses tender/lelang</v>
      </c>
      <c r="AO27" s="20" t="str">
        <f>DATA!AY17</f>
        <v>Konfirmasi melalui surat Sekjen nomor KU.01.12-Sj/636 tgl 23 Oktober 2015</v>
      </c>
      <c r="AP27" s="20" t="e">
        <f>DATA!#REF!</f>
        <v>#REF!</v>
      </c>
      <c r="AQ27" s="20" t="str">
        <f>DATA!AZ17</f>
        <v>termasuk ES (akan dipecah?) -&gt; konfirmasi tgl 15 Okt' 15</v>
      </c>
      <c r="AR27" s="152" t="e">
        <f>DATA!#REF!</f>
        <v>#REF!</v>
      </c>
      <c r="AS27" s="199" t="str">
        <f>DATA!BA17</f>
        <v>Pembangunan/peningkatan 200 km jalan untuk mendukung tol laut bagian utara termasuk (i) koridor Aceh - Medan - Riau dan (ii) Medan - Sibolga</v>
      </c>
      <c r="AT27" s="245">
        <f>DATA!AT17</f>
        <v>250000000</v>
      </c>
      <c r="AU27" s="109" t="str">
        <f>DATA!AU17</f>
        <v>Bank Dunia</v>
      </c>
      <c r="AV27" s="246" t="str">
        <f>DATA!AW17</f>
        <v>-</v>
      </c>
    </row>
    <row r="28" spans="1:48" ht="38.25" customHeight="1">
      <c r="A28" s="10">
        <f>DATA!A18</f>
        <v>16</v>
      </c>
      <c r="B28" s="10">
        <f>DATA!B18</f>
        <v>0</v>
      </c>
      <c r="C28" s="10" t="str">
        <f>DATA!D18</f>
        <v>INFRASTRUKTUR</v>
      </c>
      <c r="D28" s="10">
        <f>DATA!E18</f>
        <v>1</v>
      </c>
      <c r="E28" s="10" t="str">
        <f>DATA!F18</f>
        <v>Kementerian Pekerjaan Umum dan Perumahan Rakyat</v>
      </c>
      <c r="F28" s="10" t="str">
        <f>DATA!H18</f>
        <v>Development and Improvement of National Roads Program</v>
      </c>
      <c r="G28" s="10" t="str">
        <f>DATA!I18</f>
        <v>C</v>
      </c>
      <c r="H28" s="10" t="str">
        <f>DATA!J18</f>
        <v>Program Pembangunan / Peningkatan Jalan</v>
      </c>
      <c r="I28" s="10">
        <f>DATA!K18</f>
        <v>4</v>
      </c>
      <c r="J28" s="181"/>
      <c r="K28" s="34"/>
      <c r="L28" s="34"/>
      <c r="M28" s="36">
        <v>14</v>
      </c>
      <c r="N28" s="37" t="str">
        <f>DATA!L18</f>
        <v>Road Improvement Project to Support Integrated Land and Sea Toll Way - Southern Area</v>
      </c>
      <c r="O28" s="20">
        <f>DATA!Q18</f>
        <v>1</v>
      </c>
      <c r="P28" s="20">
        <f>DATA!R18</f>
        <v>1</v>
      </c>
      <c r="Q28" s="186">
        <f>DATA!S18</f>
        <v>14</v>
      </c>
      <c r="R28" s="187">
        <f>DATA!T18</f>
        <v>250000000</v>
      </c>
      <c r="S28" s="188">
        <f>DATA!U17</f>
        <v>250000000</v>
      </c>
      <c r="T28" s="77">
        <f>DATA!V18</f>
        <v>50000000</v>
      </c>
      <c r="U28" s="77">
        <f>DATA!W18</f>
        <v>0</v>
      </c>
      <c r="V28" s="77">
        <f>DATA!X18</f>
        <v>300000000</v>
      </c>
      <c r="W28" s="78" t="str">
        <f>DATA!Y18</f>
        <v>Bank Dunia/ADB</v>
      </c>
      <c r="X28" s="20" t="str">
        <f>DATA!Z18</f>
        <v>Multi Lender</v>
      </c>
      <c r="Y28" s="77">
        <f>DATA!AA18</f>
        <v>250000000</v>
      </c>
      <c r="Z28" s="77">
        <v>0</v>
      </c>
      <c r="AA28" s="216" t="str">
        <f>DATA!Y18</f>
        <v>Bank Dunia/ADB</v>
      </c>
      <c r="AB28" s="188">
        <f>DATA!AG18</f>
        <v>0</v>
      </c>
      <c r="AC28" s="20" t="str">
        <f>DATA!AH18</f>
        <v>Tanpa keterangan</v>
      </c>
      <c r="AD28" s="56" t="str">
        <f>DATA!AI18</f>
        <v>-</v>
      </c>
      <c r="AE28" s="152" t="str">
        <f>DATA!AR18</f>
        <v>belum ada dokumen R/C</v>
      </c>
      <c r="AF28" s="152" t="str">
        <f>DATA!AN18</f>
        <v>belum ada keterangan</v>
      </c>
      <c r="AG28" s="152" t="str">
        <f>DATA!AO18</f>
        <v>belum ada keterangan</v>
      </c>
      <c r="AH28" s="56" t="str">
        <f>DATA!AJ18</f>
        <v>-</v>
      </c>
      <c r="AI28" s="56" t="str">
        <f>DATA!AK18</f>
        <v>-</v>
      </c>
      <c r="AJ28" s="233" t="str">
        <f>DATA!AL18</f>
        <v>-</v>
      </c>
      <c r="AK28" s="231" t="str">
        <f>DATA!AR18</f>
        <v>belum ada dokumen R/C</v>
      </c>
      <c r="AL28" s="20" t="str">
        <f>DATA!AN18</f>
        <v>belum ada keterangan</v>
      </c>
      <c r="AM28" s="20" t="str">
        <f>DATA!AO18</f>
        <v>belum ada keterangan</v>
      </c>
      <c r="AN28" s="20" t="str">
        <f>DATA!AP18</f>
        <v>belum ada proses tender/lelang</v>
      </c>
      <c r="AO28" s="20" t="str">
        <f>DATA!AY18</f>
        <v>Konfirmasi melalui surat Sekjen nomor KU.01.12-Sj/636 tgl 23 Oktober 2015</v>
      </c>
      <c r="AP28" s="20" t="e">
        <f>DATA!#REF!</f>
        <v>#REF!</v>
      </c>
      <c r="AQ28" s="20">
        <f>DATA!AZ18</f>
        <v>0</v>
      </c>
      <c r="AR28" s="152" t="e">
        <f>DATA!#REF!</f>
        <v>#REF!</v>
      </c>
      <c r="AS28" s="199"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c r="AT28" s="245">
        <f>DATA!AT18</f>
        <v>250000000</v>
      </c>
      <c r="AU28" s="109" t="str">
        <f>DATA!AU18</f>
        <v>Bank Dunia</v>
      </c>
      <c r="AV28" s="246" t="str">
        <f>DATA!AW18</f>
        <v>- usulan K/L lender: Bank Dunia/ADB. 
- Hanya Bank Dunia saja yang berminat.</v>
      </c>
    </row>
    <row r="29" spans="1:48" ht="46.5" customHeight="1">
      <c r="A29" s="10">
        <f>DATA!A19</f>
        <v>17</v>
      </c>
      <c r="B29" s="10">
        <f>DATA!B19</f>
        <v>0</v>
      </c>
      <c r="C29" s="10" t="str">
        <f>DATA!D19</f>
        <v>INFRASTRUKTUR</v>
      </c>
      <c r="D29" s="10">
        <f>DATA!E19</f>
        <v>1</v>
      </c>
      <c r="E29" s="10" t="str">
        <f>DATA!F19</f>
        <v>Kementerian Pekerjaan Umum dan Perumahan Rakyat</v>
      </c>
      <c r="F29" s="10" t="str">
        <f>DATA!H19</f>
        <v>Development and Improvement of National Roads Program</v>
      </c>
      <c r="G29" s="10" t="str">
        <f>DATA!I19</f>
        <v>C</v>
      </c>
      <c r="H29" s="10" t="str">
        <f>DATA!J19</f>
        <v>Program Pembangunan / Peningkatan Jalan</v>
      </c>
      <c r="I29" s="10">
        <f>DATA!K19</f>
        <v>5</v>
      </c>
      <c r="J29" s="181"/>
      <c r="K29" s="34"/>
      <c r="L29" s="34"/>
      <c r="M29" s="36">
        <v>15</v>
      </c>
      <c r="N29" s="37" t="str">
        <f>DATA!L19</f>
        <v>National Road Improvement in West and South Kalimantan</v>
      </c>
      <c r="O29" s="20">
        <f>DATA!Q19</f>
        <v>1</v>
      </c>
      <c r="P29" s="20">
        <f>DATA!R19</f>
        <v>1</v>
      </c>
      <c r="Q29" s="186">
        <f>DATA!S19</f>
        <v>15</v>
      </c>
      <c r="R29" s="187">
        <f>DATA!T19</f>
        <v>250000000</v>
      </c>
      <c r="S29" s="188">
        <f>DATA!U18</f>
        <v>250000000</v>
      </c>
      <c r="T29" s="77">
        <f>DATA!V19</f>
        <v>50000000</v>
      </c>
      <c r="U29" s="77">
        <f>DATA!W19</f>
        <v>0</v>
      </c>
      <c r="V29" s="77">
        <f>DATA!X19</f>
        <v>300000000</v>
      </c>
      <c r="W29" s="78" t="str">
        <f>DATA!Y19</f>
        <v>IDB</v>
      </c>
      <c r="X29" s="20" t="str">
        <f>DATA!Z19</f>
        <v>Multilateral</v>
      </c>
      <c r="Y29" s="77">
        <f>DATA!AA19</f>
        <v>250000000</v>
      </c>
      <c r="Z29" s="77">
        <v>0</v>
      </c>
      <c r="AA29" s="216" t="str">
        <f>DATA!Y19</f>
        <v>IDB</v>
      </c>
      <c r="AB29" s="188">
        <f>DATA!AG19</f>
        <v>0</v>
      </c>
      <c r="AC29" s="20">
        <f>DATA!AH19</f>
        <v>2017</v>
      </c>
      <c r="AD29" s="56" t="str">
        <f>DATA!AI19</f>
        <v>-</v>
      </c>
      <c r="AE29" s="152" t="str">
        <f>DATA!AR19</f>
        <v>belum ada dokumen R/C</v>
      </c>
      <c r="AF29" s="152" t="str">
        <f>DATA!AN19</f>
        <v>belum ada keterangan</v>
      </c>
      <c r="AG29" s="152" t="str">
        <f>DATA!AO19</f>
        <v>belum ada keterangan</v>
      </c>
      <c r="AH29" s="56" t="str">
        <f>DATA!AJ19</f>
        <v>-</v>
      </c>
      <c r="AI29" s="56" t="str">
        <f>DATA!AK19</f>
        <v>-</v>
      </c>
      <c r="AJ29" s="233" t="str">
        <f>DATA!AL19</f>
        <v>-</v>
      </c>
      <c r="AK29" s="231" t="str">
        <f>DATA!AR19</f>
        <v>belum ada dokumen R/C</v>
      </c>
      <c r="AL29" s="20" t="str">
        <f>DATA!AN19</f>
        <v>belum ada keterangan</v>
      </c>
      <c r="AM29" s="20" t="str">
        <f>DATA!AO19</f>
        <v>belum ada keterangan</v>
      </c>
      <c r="AN29" s="20" t="str">
        <f>DATA!AP19</f>
        <v>belum ada proses tender/lelang</v>
      </c>
      <c r="AO29" s="20" t="str">
        <f>DATA!AY19</f>
        <v>Konfirmasi melalui surat Sekjen nomor KU.01.12-Sj/636 tgl 23 Oktober 2015</v>
      </c>
      <c r="AP29" s="20" t="e">
        <f>DATA!#REF!</f>
        <v>#REF!</v>
      </c>
      <c r="AQ29" s="20">
        <f>DATA!AZ19</f>
        <v>0</v>
      </c>
      <c r="AR29" s="152" t="e">
        <f>DATA!#REF!</f>
        <v>#REF!</v>
      </c>
      <c r="AS29" s="199" t="str">
        <f>DATA!BA19</f>
        <v>Pembangunan/peningkatan 200 km jalan di daerah koridor perbatasan di Kalimantan Barat dan jalan internasional di Kalimantan Selatan</v>
      </c>
      <c r="AT29" s="245">
        <f>DATA!AT19</f>
        <v>250000000</v>
      </c>
      <c r="AU29" s="109" t="str">
        <f>DATA!AU19</f>
        <v>IDB</v>
      </c>
      <c r="AV29" s="246" t="str">
        <f>DATA!AW19</f>
        <v>-</v>
      </c>
    </row>
    <row r="30" spans="1:48" ht="47.25" customHeight="1">
      <c r="A30" s="10">
        <f>DATA!A20</f>
        <v>18</v>
      </c>
      <c r="B30" s="10">
        <f>DATA!B20</f>
        <v>0</v>
      </c>
      <c r="C30" s="10" t="str">
        <f>DATA!D20</f>
        <v>INFRASTRUKTUR</v>
      </c>
      <c r="D30" s="10">
        <f>DATA!E20</f>
        <v>1</v>
      </c>
      <c r="E30" s="10" t="str">
        <f>DATA!F20</f>
        <v>Kementerian Pekerjaan Umum dan Perumahan Rakyat</v>
      </c>
      <c r="F30" s="10" t="str">
        <f>DATA!H20</f>
        <v>Development and Improvement of National Roads Program</v>
      </c>
      <c r="G30" s="10" t="str">
        <f>DATA!I20</f>
        <v>C</v>
      </c>
      <c r="H30" s="10" t="str">
        <f>DATA!J20</f>
        <v>Program Pembangunan / Peningkatan Jalan</v>
      </c>
      <c r="I30" s="10">
        <f>DATA!K20</f>
        <v>6</v>
      </c>
      <c r="J30" s="181"/>
      <c r="K30" s="34"/>
      <c r="L30" s="34"/>
      <c r="M30" s="36">
        <v>16</v>
      </c>
      <c r="N30" s="37" t="str">
        <f>DATA!L20</f>
        <v>National Road Improvement in Central Kalimantan</v>
      </c>
      <c r="O30" s="20">
        <f>DATA!Q20</f>
        <v>1</v>
      </c>
      <c r="P30" s="20">
        <f>DATA!R20</f>
        <v>1</v>
      </c>
      <c r="Q30" s="186">
        <f>DATA!S20</f>
        <v>16</v>
      </c>
      <c r="R30" s="187">
        <f>DATA!T20</f>
        <v>250000000</v>
      </c>
      <c r="S30" s="188">
        <f>DATA!U19</f>
        <v>250000000</v>
      </c>
      <c r="T30" s="77">
        <f>DATA!V20</f>
        <v>50000000</v>
      </c>
      <c r="U30" s="77">
        <f>DATA!W20</f>
        <v>0</v>
      </c>
      <c r="V30" s="77">
        <f>DATA!X20</f>
        <v>300000000</v>
      </c>
      <c r="W30" s="78" t="str">
        <f>DATA!Y20</f>
        <v>Bank Dunia/ADB</v>
      </c>
      <c r="X30" s="20" t="str">
        <f>DATA!Z20</f>
        <v>Multi Lender</v>
      </c>
      <c r="Y30" s="77">
        <f>DATA!AA20</f>
        <v>250000000</v>
      </c>
      <c r="Z30" s="77">
        <v>0</v>
      </c>
      <c r="AA30" s="216" t="str">
        <f>DATA!Y20</f>
        <v>Bank Dunia/ADB</v>
      </c>
      <c r="AB30" s="188">
        <f>DATA!AG20</f>
        <v>0</v>
      </c>
      <c r="AC30" s="20" t="str">
        <f>DATA!AH20</f>
        <v>Tanpa keterangan</v>
      </c>
      <c r="AD30" s="56" t="str">
        <f>DATA!AI20</f>
        <v>-</v>
      </c>
      <c r="AE30" s="152" t="str">
        <f>DATA!AR20</f>
        <v>belum ada dokumen R/C</v>
      </c>
      <c r="AF30" s="152" t="str">
        <f>DATA!AN20</f>
        <v>siap</v>
      </c>
      <c r="AG30" s="152" t="str">
        <f>DATA!AO20</f>
        <v>belum ada keterangan</v>
      </c>
      <c r="AH30" s="56" t="str">
        <f>DATA!AJ20</f>
        <v xml:space="preserve">FS, BD, AMDAL, Penyusunan DED, SP2LP </v>
      </c>
      <c r="AI30" s="56" t="str">
        <f>DATA!AK20</f>
        <v>-</v>
      </c>
      <c r="AJ30" s="233" t="str">
        <f>DATA!AL20</f>
        <v>-</v>
      </c>
      <c r="AK30" s="231" t="str">
        <f>DATA!AR20</f>
        <v>belum ada dokumen R/C</v>
      </c>
      <c r="AL30" s="20" t="str">
        <f>DATA!AN20</f>
        <v>siap</v>
      </c>
      <c r="AM30" s="20" t="str">
        <f>DATA!AO20</f>
        <v>belum ada keterangan</v>
      </c>
      <c r="AN30" s="20" t="str">
        <f>DATA!AP20</f>
        <v>belum ada proses tender/lelang</v>
      </c>
      <c r="AO30" s="20" t="str">
        <f>DATA!AY20</f>
        <v>Konfirmasi melalui surat Sekjen nomor KU.01.12-Sj/636 tgl 23 Oktober 2015</v>
      </c>
      <c r="AP30" s="20" t="e">
        <f>DATA!#REF!</f>
        <v>#REF!</v>
      </c>
      <c r="AQ30" s="20">
        <f>DATA!AZ20</f>
        <v>0</v>
      </c>
      <c r="AR30" s="152" t="e">
        <f>DATA!#REF!</f>
        <v>#REF!</v>
      </c>
      <c r="AS30" s="199" t="str">
        <f>DATA!BA20</f>
        <v>Pembangunan 200 km jalan di wilayah Kalimantan Tengah</v>
      </c>
      <c r="AT30" s="245">
        <f>DATA!AT20</f>
        <v>250000000</v>
      </c>
      <c r="AU30" s="109" t="str">
        <f>DATA!AU20</f>
        <v>Belum Ada Indikasi</v>
      </c>
      <c r="AV30" s="246" t="str">
        <f>DATA!AW20</f>
        <v>usulan K/L lender: Bank Dunia/ADB. Kedua calon lender tidak berminat mendanai proyek ini.</v>
      </c>
    </row>
    <row r="31" spans="1:48" ht="58.5" customHeight="1">
      <c r="A31" s="10">
        <f>DATA!A21</f>
        <v>19</v>
      </c>
      <c r="B31" s="10">
        <f>DATA!B21</f>
        <v>0</v>
      </c>
      <c r="C31" s="10" t="str">
        <f>DATA!D21</f>
        <v>INFRASTRUKTUR</v>
      </c>
      <c r="D31" s="10">
        <f>DATA!E21</f>
        <v>1</v>
      </c>
      <c r="E31" s="10" t="str">
        <f>DATA!F21</f>
        <v>Kementerian Pekerjaan Umum dan Perumahan Rakyat</v>
      </c>
      <c r="F31" s="10" t="str">
        <f>DATA!H21</f>
        <v>Development and Improvement of National Roads Program</v>
      </c>
      <c r="G31" s="10" t="str">
        <f>DATA!I21</f>
        <v>C</v>
      </c>
      <c r="H31" s="10" t="str">
        <f>DATA!J21</f>
        <v>Program Pembangunan / Peningkatan Jalan</v>
      </c>
      <c r="I31" s="10">
        <f>DATA!K21</f>
        <v>7</v>
      </c>
      <c r="J31" s="181"/>
      <c r="K31" s="34"/>
      <c r="L31" s="34"/>
      <c r="M31" s="36">
        <v>17</v>
      </c>
      <c r="N31" s="37" t="str">
        <f>DATA!L21</f>
        <v>National Road Improvement in North and East Kalimantan</v>
      </c>
      <c r="O31" s="20">
        <f>DATA!Q21</f>
        <v>1</v>
      </c>
      <c r="P31" s="20">
        <f>DATA!R21</f>
        <v>1</v>
      </c>
      <c r="Q31" s="186">
        <f>DATA!S21</f>
        <v>17</v>
      </c>
      <c r="R31" s="187">
        <f>DATA!T21</f>
        <v>250000000</v>
      </c>
      <c r="S31" s="188">
        <f>DATA!U20</f>
        <v>250000000</v>
      </c>
      <c r="T31" s="77">
        <f>DATA!V21</f>
        <v>50000000</v>
      </c>
      <c r="U31" s="77">
        <f>DATA!W21</f>
        <v>0</v>
      </c>
      <c r="V31" s="77">
        <f>DATA!X21</f>
        <v>300000000</v>
      </c>
      <c r="W31" s="78" t="str">
        <f>DATA!Y21</f>
        <v>IDB</v>
      </c>
      <c r="X31" s="20" t="str">
        <f>DATA!Z21</f>
        <v>Multilateral</v>
      </c>
      <c r="Y31" s="77">
        <f>DATA!AA21</f>
        <v>250000000</v>
      </c>
      <c r="Z31" s="77">
        <v>0</v>
      </c>
      <c r="AA31" s="216" t="str">
        <f>DATA!Y21</f>
        <v>IDB</v>
      </c>
      <c r="AB31" s="188">
        <f>DATA!AG21</f>
        <v>0</v>
      </c>
      <c r="AC31" s="20">
        <f>DATA!AH21</f>
        <v>2016</v>
      </c>
      <c r="AD31" s="56" t="str">
        <f>DATA!AI21</f>
        <v>-</v>
      </c>
      <c r="AE31" s="152" t="str">
        <f>DATA!AR21</f>
        <v>belum ada dokumen R/C</v>
      </c>
      <c r="AF31" s="152" t="str">
        <f>DATA!AN21</f>
        <v>siap</v>
      </c>
      <c r="AG31" s="152" t="str">
        <f>DATA!AO21</f>
        <v>belum ada keterangan</v>
      </c>
      <c r="AH31" s="56" t="str">
        <f>DATA!AJ21</f>
        <v>FS dan BD ada, DED dan AMDAL sebagian</v>
      </c>
      <c r="AI31" s="56" t="str">
        <f>DATA!AK21</f>
        <v>-</v>
      </c>
      <c r="AJ31" s="233" t="str">
        <f>DATA!AL21</f>
        <v>-</v>
      </c>
      <c r="AK31" s="231" t="str">
        <f>DATA!AR21</f>
        <v>belum ada dokumen R/C</v>
      </c>
      <c r="AL31" s="20" t="str">
        <f>DATA!AN21</f>
        <v>siap</v>
      </c>
      <c r="AM31" s="20" t="str">
        <f>DATA!AO21</f>
        <v>belum ada keterangan</v>
      </c>
      <c r="AN31" s="20" t="str">
        <f>DATA!AP21</f>
        <v>belum ada proses tender/lelang</v>
      </c>
      <c r="AO31" s="20" t="str">
        <f>DATA!AY21</f>
        <v>Konfirmasi melalui surat Sekjen nomor KU.01.12-Sj/636 tgl 23 Oktober 201515</v>
      </c>
      <c r="AP31" s="20" t="e">
        <f>DATA!#REF!</f>
        <v>#REF!</v>
      </c>
      <c r="AQ31" s="20">
        <f>DATA!AZ21</f>
        <v>0</v>
      </c>
      <c r="AR31" s="152" t="e">
        <f>DATA!#REF!</f>
        <v>#REF!</v>
      </c>
      <c r="AS31" s="199" t="str">
        <f>DATA!BA21</f>
        <v>Pembangunan 200 km jalan di wilayah Kalimantan Utara dan Kalimantan Timur</v>
      </c>
      <c r="AT31" s="245">
        <f>DATA!AT21</f>
        <v>250000000</v>
      </c>
      <c r="AU31" s="109" t="str">
        <f>DATA!AU21</f>
        <v>AIIB</v>
      </c>
      <c r="AV31" s="246" t="str">
        <f>DATA!AW21</f>
        <v>- usulan K/L semula lender: IDB. 
- Pihak IDB tidak berminat mendanai kegiatan ini, diusulkan kepada AIIB.</v>
      </c>
    </row>
    <row r="32" spans="1:48" ht="36" customHeight="1">
      <c r="A32" s="10">
        <f>DATA!A22</f>
        <v>20</v>
      </c>
      <c r="B32" s="10">
        <f>DATA!B22</f>
        <v>0</v>
      </c>
      <c r="C32" s="10" t="str">
        <f>DATA!D22</f>
        <v>INFRASTRUKTUR</v>
      </c>
      <c r="D32" s="10">
        <f>DATA!E22</f>
        <v>1</v>
      </c>
      <c r="E32" s="10" t="str">
        <f>DATA!F22</f>
        <v>Kementerian Pekerjaan Umum dan Perumahan Rakyat</v>
      </c>
      <c r="F32" s="10" t="str">
        <f>DATA!H22</f>
        <v>Development and Improvement of National Roads Program</v>
      </c>
      <c r="G32" s="10" t="str">
        <f>DATA!I22</f>
        <v>C</v>
      </c>
      <c r="H32" s="10" t="str">
        <f>DATA!J22</f>
        <v>Program Pembangunan / Peningkatan Jalan</v>
      </c>
      <c r="I32" s="10">
        <f>DATA!K22</f>
        <v>8</v>
      </c>
      <c r="J32" s="181"/>
      <c r="K32" s="34"/>
      <c r="L32" s="54"/>
      <c r="M32" s="36">
        <v>18</v>
      </c>
      <c r="N32" s="37" t="str">
        <f>DATA!L22</f>
        <v>Road Improvement Project in Sulawesi Island and Major Cities</v>
      </c>
      <c r="O32" s="20">
        <f>DATA!Q22</f>
        <v>1</v>
      </c>
      <c r="P32" s="20">
        <f>DATA!R22</f>
        <v>1</v>
      </c>
      <c r="Q32" s="186">
        <f>DATA!S22</f>
        <v>18</v>
      </c>
      <c r="R32" s="187">
        <f>DATA!T22</f>
        <v>250000000</v>
      </c>
      <c r="S32" s="188">
        <f>DATA!U21</f>
        <v>250000000</v>
      </c>
      <c r="T32" s="77">
        <f>DATA!V22</f>
        <v>50000000</v>
      </c>
      <c r="U32" s="77">
        <f>DATA!W22</f>
        <v>0</v>
      </c>
      <c r="V32" s="77">
        <f>DATA!X22</f>
        <v>300000000</v>
      </c>
      <c r="W32" s="78" t="str">
        <f>DATA!Y22</f>
        <v>IDB</v>
      </c>
      <c r="X32" s="20" t="str">
        <f>DATA!Z22</f>
        <v>Multilateral</v>
      </c>
      <c r="Y32" s="77">
        <f>DATA!AA22</f>
        <v>250000000</v>
      </c>
      <c r="Z32" s="77">
        <v>0</v>
      </c>
      <c r="AA32" s="216" t="str">
        <f>DATA!Y22</f>
        <v>IDB</v>
      </c>
      <c r="AB32" s="188">
        <f>DATA!AG22</f>
        <v>0</v>
      </c>
      <c r="AC32" s="20">
        <f>DATA!AH22</f>
        <v>2016</v>
      </c>
      <c r="AD32" s="56" t="str">
        <f>DATA!AI22</f>
        <v>-</v>
      </c>
      <c r="AE32" s="152" t="str">
        <f>DATA!AR22</f>
        <v>belum ada dokumen R/C</v>
      </c>
      <c r="AF32" s="152" t="str">
        <f>DATA!AN22</f>
        <v>siap</v>
      </c>
      <c r="AG32" s="152" t="str">
        <f>DATA!AO22</f>
        <v>belum ada keterangan</v>
      </c>
      <c r="AH32" s="56" t="str">
        <f>DATA!AJ22</f>
        <v>FS, AMDAL</v>
      </c>
      <c r="AI32" s="56" t="str">
        <f>DATA!AK22</f>
        <v>-</v>
      </c>
      <c r="AJ32" s="233" t="str">
        <f>DATA!AL22</f>
        <v>-</v>
      </c>
      <c r="AK32" s="231" t="str">
        <f>DATA!AR22</f>
        <v>belum ada dokumen R/C</v>
      </c>
      <c r="AL32" s="20" t="str">
        <f>DATA!AN22</f>
        <v>siap</v>
      </c>
      <c r="AM32" s="20" t="str">
        <f>DATA!AO22</f>
        <v>belum ada keterangan</v>
      </c>
      <c r="AN32" s="20" t="str">
        <f>DATA!AP22</f>
        <v>belum ada proses tender/lelang</v>
      </c>
      <c r="AO32" s="20" t="str">
        <f>DATA!AY22</f>
        <v xml:space="preserve">Konfirmasi melalui surat Sekjen nomor KU.01.12-Sj/636 tgl 23 Oktober 2015
</v>
      </c>
      <c r="AP32" s="20" t="e">
        <f>DATA!#REF!</f>
        <v>#REF!</v>
      </c>
      <c r="AQ32" s="20" t="str">
        <f>DATA!AZ22</f>
        <v xml:space="preserve">Lender kembali IDB berdasarkan hasil konfirmasi rapat dgn Dit,Multilateral tgl 15 Okt'15 </v>
      </c>
      <c r="AR32" s="152" t="e">
        <f>DATA!#REF!</f>
        <v>#REF!</v>
      </c>
      <c r="AS32" s="199" t="str">
        <f>DATA!BA22</f>
        <v xml:space="preserve">Pembangunan jalan (ringroad dan bypass) sepanjang sekitar 200 km di wilayah metropolitan Mamminasata dan Gorontalo Outer Ring Road </v>
      </c>
      <c r="AT32" s="245">
        <f>DATA!AT22</f>
        <v>250000000</v>
      </c>
      <c r="AU32" s="109" t="str">
        <f>DATA!AU22</f>
        <v>IDB</v>
      </c>
      <c r="AV32" s="246" t="str">
        <f>DATA!AW22</f>
        <v>-</v>
      </c>
    </row>
    <row r="33" spans="1:51" ht="38.25" customHeight="1">
      <c r="J33" s="181"/>
      <c r="K33" s="34"/>
      <c r="L33" s="54"/>
      <c r="M33" s="36">
        <v>19</v>
      </c>
      <c r="N33" s="56" t="str">
        <f>DATA!L23</f>
        <v>Engineering Service for National Roads Development Project</v>
      </c>
      <c r="O33" s="36">
        <f>DATA!Q23</f>
        <v>0</v>
      </c>
      <c r="P33" s="36">
        <f>DATA!R23</f>
        <v>1</v>
      </c>
      <c r="Q33" s="17">
        <f>DATA!S23</f>
        <v>0</v>
      </c>
      <c r="R33" s="202">
        <f>DATA!T23</f>
        <v>0</v>
      </c>
      <c r="S33" s="203">
        <f>DATA!U23</f>
        <v>45000000</v>
      </c>
      <c r="T33" s="88">
        <f>DATA!V23</f>
        <v>0</v>
      </c>
      <c r="U33" s="88">
        <f>DATA!W23</f>
        <v>0</v>
      </c>
      <c r="V33" s="88">
        <f>DATA!X23</f>
        <v>0</v>
      </c>
      <c r="W33" s="88" t="str">
        <f>DATA!Y23</f>
        <v>ADB</v>
      </c>
      <c r="X33" s="88" t="str">
        <f>DATA!Z23</f>
        <v>Multilateral</v>
      </c>
      <c r="Y33" s="88">
        <f>DATA!AA23</f>
        <v>45000000</v>
      </c>
      <c r="Z33" s="88">
        <v>0</v>
      </c>
      <c r="AA33" s="216" t="str">
        <f>DATA!Y23</f>
        <v>ADB</v>
      </c>
      <c r="AB33" s="203">
        <f>DATA!AG23</f>
        <v>0</v>
      </c>
      <c r="AC33" s="102">
        <f>DATA!AH23</f>
        <v>2016</v>
      </c>
      <c r="AD33" s="56" t="str">
        <f>DATA!AI23</f>
        <v>- Sudah ada R/C
- Green Book 2015</v>
      </c>
      <c r="AE33" s="152" t="str">
        <f>DATA!AM23</f>
        <v>2016; 2015</v>
      </c>
      <c r="AF33" s="152" t="str">
        <f>DATA!AN23</f>
        <v>siap</v>
      </c>
      <c r="AG33" s="152" t="str">
        <f>DATA!AO23</f>
        <v>tidak butuh lahan</v>
      </c>
      <c r="AH33" s="56" t="str">
        <f>DATA!AJ23</f>
        <v>-</v>
      </c>
      <c r="AI33" s="56" t="str">
        <f>DATA!AK23</f>
        <v>-</v>
      </c>
      <c r="AJ33" s="233" t="str">
        <f>DATA!AL23</f>
        <v>-</v>
      </c>
      <c r="AK33" s="231"/>
      <c r="AL33" s="20"/>
      <c r="AM33" s="20"/>
      <c r="AN33" s="20"/>
      <c r="AO33" s="20"/>
      <c r="AP33" s="20"/>
      <c r="AQ33" s="20"/>
      <c r="AR33" s="152" t="e">
        <f>DATA!#REF!</f>
        <v>#REF!</v>
      </c>
      <c r="AS33" s="199"/>
      <c r="AT33" s="245">
        <f>DATA!AT23</f>
        <v>45000000</v>
      </c>
      <c r="AU33" s="109" t="str">
        <f>DATA!AU23</f>
        <v>ADB</v>
      </c>
      <c r="AV33" s="246" t="str">
        <f>DATA!AW23</f>
        <v>-</v>
      </c>
      <c r="AX33" s="10" t="s">
        <v>117</v>
      </c>
      <c r="AY33" s="174">
        <f>AT33+AT48+AT50+AT54+AT60+AT72+AT74+AT84+AT86+AT88+AT99+AT109+AT110+AT111+AT114+AT115+AT149</f>
        <v>2896830000</v>
      </c>
    </row>
    <row r="34" spans="1:51" s="5" customFormat="1" ht="33.75" customHeight="1">
      <c r="J34" s="180"/>
      <c r="K34" s="50"/>
      <c r="L34" s="30" t="str">
        <f>DATA!I24</f>
        <v>D</v>
      </c>
      <c r="M34" s="31" t="str">
        <f>DATA!J24</f>
        <v>Program Pembangunan Air Minum</v>
      </c>
      <c r="N34" s="51"/>
      <c r="O34" s="31"/>
      <c r="P34" s="31"/>
      <c r="Q34" s="196"/>
      <c r="R34" s="197">
        <f>+R35+R36+R37+R38+R39+R40+R41+R42+R43+R44+R45+R46+R48</f>
        <v>1197680000</v>
      </c>
      <c r="S34" s="198">
        <f t="shared" ref="S34:AS34" si="5">+S35+S36+S37+S38+S39+S40+S41+S42+S43+S44+S45+S46+S48</f>
        <v>1197680000</v>
      </c>
      <c r="T34" s="81">
        <f t="shared" si="5"/>
        <v>54434000</v>
      </c>
      <c r="U34" s="81">
        <f t="shared" si="5"/>
        <v>0</v>
      </c>
      <c r="V34" s="81">
        <f t="shared" si="5"/>
        <v>1152114000</v>
      </c>
      <c r="W34" s="81" t="e">
        <f t="shared" si="5"/>
        <v>#VALUE!</v>
      </c>
      <c r="X34" s="81" t="e">
        <f t="shared" si="5"/>
        <v>#VALUE!</v>
      </c>
      <c r="Y34" s="81">
        <f>+Y35+Y36+Y37+Y38+Y39+Y40+Y41+Y42+Y43+Y44+Y45+Y46+Y47+Y48</f>
        <v>1197680000</v>
      </c>
      <c r="Z34" s="81">
        <f t="shared" si="5"/>
        <v>0</v>
      </c>
      <c r="AA34" s="214"/>
      <c r="AB34" s="198">
        <f t="shared" si="5"/>
        <v>0</v>
      </c>
      <c r="AC34" s="81">
        <f t="shared" si="5"/>
        <v>26216</v>
      </c>
      <c r="AD34" s="81" t="e">
        <f t="shared" si="5"/>
        <v>#VALUE!</v>
      </c>
      <c r="AE34" s="81" t="e">
        <f t="shared" si="5"/>
        <v>#VALUE!</v>
      </c>
      <c r="AF34" s="81" t="e">
        <f t="shared" si="5"/>
        <v>#VALUE!</v>
      </c>
      <c r="AG34" s="81" t="e">
        <f t="shared" si="5"/>
        <v>#VALUE!</v>
      </c>
      <c r="AH34" s="81"/>
      <c r="AI34" s="228"/>
      <c r="AJ34" s="229" t="e">
        <f t="shared" si="5"/>
        <v>#VALUE!</v>
      </c>
      <c r="AK34" s="198" t="e">
        <f t="shared" si="5"/>
        <v>#VALUE!</v>
      </c>
      <c r="AL34" s="81" t="e">
        <f t="shared" si="5"/>
        <v>#VALUE!</v>
      </c>
      <c r="AM34" s="81" t="e">
        <f t="shared" si="5"/>
        <v>#VALUE!</v>
      </c>
      <c r="AN34" s="81" t="e">
        <f t="shared" si="5"/>
        <v>#VALUE!</v>
      </c>
      <c r="AO34" s="81" t="e">
        <f t="shared" si="5"/>
        <v>#VALUE!</v>
      </c>
      <c r="AP34" s="81" t="e">
        <f t="shared" si="5"/>
        <v>#REF!</v>
      </c>
      <c r="AQ34" s="81" t="e">
        <f t="shared" si="5"/>
        <v>#VALUE!</v>
      </c>
      <c r="AR34" s="81" t="e">
        <f t="shared" si="5"/>
        <v>#REF!</v>
      </c>
      <c r="AS34" s="243" t="e">
        <f t="shared" si="5"/>
        <v>#VALUE!</v>
      </c>
      <c r="AT34" s="244">
        <f>+AT35+AT36+AT37+AT38+AT39+AT40+AT41+AT42+AT43+AT44+AT45+AT46+AT47+AT48</f>
        <v>1197680000</v>
      </c>
      <c r="AU34" s="81" t="s">
        <v>21</v>
      </c>
      <c r="AV34" s="229"/>
    </row>
    <row r="35" spans="1:51" ht="42" customHeight="1">
      <c r="A35" s="10">
        <f>DATA!A24</f>
        <v>21</v>
      </c>
      <c r="B35" s="10">
        <f>DATA!B24</f>
        <v>0</v>
      </c>
      <c r="C35" s="10" t="str">
        <f>DATA!D24</f>
        <v>INFRASTRUKTUR</v>
      </c>
      <c r="D35" s="10">
        <f>DATA!E24</f>
        <v>1</v>
      </c>
      <c r="E35" s="10" t="str">
        <f>DATA!F24</f>
        <v>Kementerian Pekerjaan Umum dan Perumahan Rakyat</v>
      </c>
      <c r="F35" s="10" t="str">
        <f>DATA!H24</f>
        <v>Drinking Water Development Program</v>
      </c>
      <c r="G35" s="10" t="str">
        <f>DATA!I24</f>
        <v>D</v>
      </c>
      <c r="H35" s="10" t="str">
        <f>DATA!J24</f>
        <v>Program Pembangunan Air Minum</v>
      </c>
      <c r="I35" s="10">
        <f>DATA!K24</f>
        <v>1</v>
      </c>
      <c r="J35" s="181"/>
      <c r="K35" s="34"/>
      <c r="L35" s="35"/>
      <c r="M35" s="36">
        <v>20</v>
      </c>
      <c r="N35" s="37" t="str">
        <f>DATA!L24</f>
        <v>Community Based Water and Sanitation Program  (PAMSIMAS)</v>
      </c>
      <c r="O35" s="20">
        <f>DATA!Q24</f>
        <v>1</v>
      </c>
      <c r="P35" s="20">
        <f>DATA!R24</f>
        <v>1</v>
      </c>
      <c r="Q35" s="186">
        <f>DATA!S24</f>
        <v>19</v>
      </c>
      <c r="R35" s="187">
        <f>DATA!T24</f>
        <v>300000000</v>
      </c>
      <c r="S35" s="203">
        <f>DATA!U24</f>
        <v>300000000</v>
      </c>
      <c r="T35" s="77">
        <f>DATA!V24</f>
        <v>15000000</v>
      </c>
      <c r="U35" s="77">
        <f>DATA!W24</f>
        <v>0</v>
      </c>
      <c r="V35" s="77">
        <f>DATA!X24</f>
        <v>315000000</v>
      </c>
      <c r="W35" s="78" t="str">
        <f>DATA!Y24</f>
        <v>Bank Dunia</v>
      </c>
      <c r="X35" s="20" t="str">
        <f>DATA!Z24</f>
        <v>Multilateral</v>
      </c>
      <c r="Y35" s="77">
        <f>DATA!AA24</f>
        <v>300000000</v>
      </c>
      <c r="Z35" s="77">
        <v>0</v>
      </c>
      <c r="AA35" s="216" t="str">
        <f>DATA!Y24</f>
        <v>Bank Dunia</v>
      </c>
      <c r="AB35" s="188">
        <f>DATA!AG24</f>
        <v>0</v>
      </c>
      <c r="AC35" s="20">
        <f>DATA!AH24</f>
        <v>2016</v>
      </c>
      <c r="AD35" s="37" t="str">
        <f>DATA!AI24</f>
        <v xml:space="preserve">- Green Book 2015
- Sudah negosiasi
- Tender konsultan </v>
      </c>
      <c r="AE35" s="152" t="str">
        <f>DATA!AR24</f>
        <v>-</v>
      </c>
      <c r="AF35" s="152" t="str">
        <f>DATA!AN24</f>
        <v>dalam proses
(memiliki FS dan DED)</v>
      </c>
      <c r="AG35" s="152" t="str">
        <f>DATA!AO24</f>
        <v>belum ada keterangan</v>
      </c>
      <c r="AH35" s="37" t="str">
        <f>DATA!AJ24</f>
        <v xml:space="preserve">FS, DED
</v>
      </c>
      <c r="AI35" s="56" t="str">
        <f>DATA!AK24</f>
        <v>-</v>
      </c>
      <c r="AJ35" s="230" t="str">
        <f>DATA!AL24</f>
        <v>-</v>
      </c>
      <c r="AK35" s="231" t="str">
        <f>DATA!AR24</f>
        <v>-</v>
      </c>
      <c r="AL35" s="20" t="str">
        <f>DATA!AN24</f>
        <v>dalam proses
(memiliki FS dan DED)</v>
      </c>
      <c r="AM35" s="20" t="str">
        <f>DATA!AO24</f>
        <v>belum ada keterangan</v>
      </c>
      <c r="AN35" s="20" t="str">
        <f>DATA!AP24</f>
        <v>belum ada proses tender/lelang</v>
      </c>
      <c r="AO35"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P35" s="20" t="e">
        <f>DATA!#REF!</f>
        <v>#REF!</v>
      </c>
      <c r="AQ35" s="20">
        <f>DATA!AZ24</f>
        <v>0</v>
      </c>
      <c r="AR35" s="152" t="e">
        <f>DATA!#REF!</f>
        <v>#REF!</v>
      </c>
      <c r="AS35" s="199" t="str">
        <f>DATA!BA24</f>
        <v>Peningkatan kualitas pemukiman dan penyediaan air bersih berkelanjutan yang melayani 719.500 Sambungan Rumah (SR).</v>
      </c>
      <c r="AT35" s="245">
        <f>DATA!AT24</f>
        <v>300000000</v>
      </c>
      <c r="AU35" s="109" t="str">
        <f>DATA!AU24</f>
        <v>Bank Dunia</v>
      </c>
      <c r="AV35" s="246" t="str">
        <f>DATA!AW24</f>
        <v>-</v>
      </c>
    </row>
    <row r="36" spans="1:51" ht="31.5" customHeight="1">
      <c r="A36" s="10">
        <f>DATA!A25</f>
        <v>22</v>
      </c>
      <c r="B36" s="10">
        <f>DATA!B25</f>
        <v>0</v>
      </c>
      <c r="C36" s="10" t="str">
        <f>DATA!D25</f>
        <v>INFRASTRUKTUR</v>
      </c>
      <c r="D36" s="10">
        <f>DATA!E25</f>
        <v>1</v>
      </c>
      <c r="E36" s="10" t="str">
        <f>DATA!F25</f>
        <v>Kementerian Pekerjaan Umum dan Perumahan Rakyat</v>
      </c>
      <c r="F36" s="10" t="str">
        <f>DATA!H25</f>
        <v>Drinking Water Development Program</v>
      </c>
      <c r="G36" s="10" t="str">
        <f>DATA!I25</f>
        <v>D</v>
      </c>
      <c r="H36" s="10" t="str">
        <f>DATA!J25</f>
        <v>Program Pembangunan Air Minum</v>
      </c>
      <c r="I36" s="10">
        <f>DATA!K25</f>
        <v>2</v>
      </c>
      <c r="J36" s="181"/>
      <c r="K36" s="34"/>
      <c r="L36" s="34"/>
      <c r="M36" s="36">
        <v>21</v>
      </c>
      <c r="N36" s="37" t="str">
        <f>DATA!L25</f>
        <v>National Urban Water Supply</v>
      </c>
      <c r="O36" s="20">
        <f>DATA!Q25</f>
        <v>1</v>
      </c>
      <c r="P36" s="20">
        <f>DATA!R25</f>
        <v>1</v>
      </c>
      <c r="Q36" s="186">
        <f>DATA!S25</f>
        <v>20</v>
      </c>
      <c r="R36" s="187">
        <f>DATA!T25</f>
        <v>100000000</v>
      </c>
      <c r="S36" s="203">
        <f>DATA!U25</f>
        <v>100000000</v>
      </c>
      <c r="T36" s="77">
        <f>DATA!V25</f>
        <v>5000000</v>
      </c>
      <c r="U36" s="77">
        <f>DATA!W25</f>
        <v>0</v>
      </c>
      <c r="V36" s="77">
        <f>DATA!X25</f>
        <v>105000000</v>
      </c>
      <c r="W36" s="78" t="str">
        <f>DATA!Y25</f>
        <v>Bank Dunia</v>
      </c>
      <c r="X36" s="20" t="str">
        <f>DATA!Z25</f>
        <v>Multilateral</v>
      </c>
      <c r="Y36" s="77">
        <f>DATA!AA25</f>
        <v>100000000</v>
      </c>
      <c r="Z36" s="77">
        <v>0</v>
      </c>
      <c r="AA36" s="216" t="str">
        <f>DATA!Y25</f>
        <v>Bank Dunia</v>
      </c>
      <c r="AB36" s="188">
        <f>DATA!AG25</f>
        <v>0</v>
      </c>
      <c r="AC36" s="20">
        <f>DATA!AH25</f>
        <v>2017</v>
      </c>
      <c r="AD36" s="37">
        <f>DATA!AI25</f>
        <v>0</v>
      </c>
      <c r="AE36" s="152" t="str">
        <f>DATA!AR25</f>
        <v>belum ada dokumen R/C</v>
      </c>
      <c r="AF36" s="152" t="str">
        <f>DATA!AN25</f>
        <v>belum ada keterangan</v>
      </c>
      <c r="AG36" s="152" t="str">
        <f>DATA!AO25</f>
        <v>belum ada keterangan</v>
      </c>
      <c r="AH36" s="37" t="str">
        <f>DATA!AJ25</f>
        <v>-</v>
      </c>
      <c r="AI36" s="56" t="str">
        <f>DATA!AK25</f>
        <v>-</v>
      </c>
      <c r="AJ36" s="230" t="str">
        <f>DATA!AL25</f>
        <v>-</v>
      </c>
      <c r="AK36" s="231" t="str">
        <f>DATA!AR25</f>
        <v>belum ada dokumen R/C</v>
      </c>
      <c r="AL36" s="20" t="str">
        <f>DATA!AN25</f>
        <v>belum ada keterangan</v>
      </c>
      <c r="AM36" s="20" t="str">
        <f>DATA!AO25</f>
        <v>belum ada keterangan</v>
      </c>
      <c r="AN36" s="20" t="str">
        <f>DATA!AP25</f>
        <v>belum ada proses tender/lelang</v>
      </c>
      <c r="AO36" s="20" t="str">
        <f>DATA!AY25</f>
        <v>Konfirmasi melalui surat Sekjen nomor KU.01.12-Sj/636 tgl 23 Oktober 2015</v>
      </c>
      <c r="AP36" s="20" t="e">
        <f>DATA!#REF!</f>
        <v>#REF!</v>
      </c>
      <c r="AQ36" s="20">
        <f>DATA!AZ25</f>
        <v>0</v>
      </c>
      <c r="AR36" s="152" t="e">
        <f>DATA!#REF!</f>
        <v>#REF!</v>
      </c>
      <c r="AS36" s="199" t="str">
        <f>DATA!BA25</f>
        <v>Pembangunan Sistem Pengelolaan Air Mimum (SPAM) perkotaan sebesar 239,808 Sambungan Rumah (SR) untuk perluasan akses pelayanan air minum, termasuk kegiatan penguatan kapasitas pendanaan dan kelembagaan.</v>
      </c>
      <c r="AT36" s="245">
        <f>DATA!AT25</f>
        <v>100000000</v>
      </c>
      <c r="AU36" s="109" t="str">
        <f>DATA!AU25</f>
        <v>Bank Dunia</v>
      </c>
      <c r="AV36" s="246" t="str">
        <f>DATA!AW25</f>
        <v>-</v>
      </c>
    </row>
    <row r="37" spans="1:51" ht="33.75" customHeight="1">
      <c r="A37" s="10">
        <f>DATA!A27</f>
        <v>24</v>
      </c>
      <c r="B37" s="10">
        <f>DATA!B27</f>
        <v>0</v>
      </c>
      <c r="C37" s="10" t="str">
        <f>DATA!D27</f>
        <v>INFRASTRUKTUR</v>
      </c>
      <c r="D37" s="10">
        <f>DATA!E27</f>
        <v>1</v>
      </c>
      <c r="E37" s="10" t="str">
        <f>DATA!F27</f>
        <v>Kementerian Pekerjaan Umum dan Perumahan Rakyat</v>
      </c>
      <c r="F37" s="10" t="str">
        <f>DATA!H27</f>
        <v>Drinking Water Development Program</v>
      </c>
      <c r="G37" s="10" t="str">
        <f>DATA!I27</f>
        <v>D</v>
      </c>
      <c r="H37" s="10" t="str">
        <f>DATA!J27</f>
        <v>Program Pembangunan Air Minum</v>
      </c>
      <c r="I37" s="10">
        <f>DATA!K27</f>
        <v>3</v>
      </c>
      <c r="J37" s="181"/>
      <c r="K37" s="34"/>
      <c r="L37" s="34"/>
      <c r="M37" s="36">
        <v>22</v>
      </c>
      <c r="N37" s="37" t="str">
        <f>DATA!L27</f>
        <v xml:space="preserve">Mamminasata Water Supply Development Project </v>
      </c>
      <c r="O37" s="20">
        <f>DATA!Q27</f>
        <v>1</v>
      </c>
      <c r="P37" s="20">
        <f>DATA!R27</f>
        <v>1</v>
      </c>
      <c r="Q37" s="186">
        <f>DATA!S27</f>
        <v>21</v>
      </c>
      <c r="R37" s="187">
        <f>DATA!T27</f>
        <v>100000000</v>
      </c>
      <c r="S37" s="203">
        <f>DATA!U27</f>
        <v>100000000</v>
      </c>
      <c r="T37" s="77">
        <f>DATA!V27</f>
        <v>5000000</v>
      </c>
      <c r="U37" s="77">
        <f>DATA!W27</f>
        <v>0</v>
      </c>
      <c r="V37" s="77">
        <f>DATA!X27</f>
        <v>105000000</v>
      </c>
      <c r="W37" s="78" t="str">
        <f>DATA!Y27</f>
        <v>JICA</v>
      </c>
      <c r="X37" s="20" t="str">
        <f>DATA!Z27</f>
        <v>Bilateral</v>
      </c>
      <c r="Y37" s="77">
        <f>DATA!AA27</f>
        <v>100000000</v>
      </c>
      <c r="Z37" s="77">
        <v>0</v>
      </c>
      <c r="AA37" s="216" t="str">
        <f>DATA!Y27</f>
        <v>JICA</v>
      </c>
      <c r="AB37" s="188">
        <f>DATA!AG27</f>
        <v>0</v>
      </c>
      <c r="AC37" s="20">
        <f>DATA!AH27</f>
        <v>2016</v>
      </c>
      <c r="AD37" s="37" t="str">
        <f>DATA!AI27</f>
        <v>-</v>
      </c>
      <c r="AE37" s="152">
        <f>DATA!AM27</f>
        <v>0</v>
      </c>
      <c r="AF37" s="152" t="str">
        <f>DATA!AN27</f>
        <v>siap</v>
      </c>
      <c r="AG37" s="152" t="str">
        <f>DATA!AO27</f>
        <v>dalam proses
(persiapan)</v>
      </c>
      <c r="AH37" s="37" t="str">
        <f>DATA!AJ27</f>
        <v>FS , AMDAL, DED</v>
      </c>
      <c r="AI37" s="56" t="str">
        <f>DATA!AK27</f>
        <v>Proses pembebasan lahan oleh Pemda</v>
      </c>
      <c r="AJ37" s="230" t="str">
        <f>DATA!AL27</f>
        <v>-</v>
      </c>
      <c r="AK37" s="231">
        <f>DATA!AM27</f>
        <v>0</v>
      </c>
      <c r="AL37" s="20" t="str">
        <f>DATA!AN27</f>
        <v>siap</v>
      </c>
      <c r="AM37" s="20" t="str">
        <f>DATA!AO27</f>
        <v>dalam proses
(persiapan)</v>
      </c>
      <c r="AN37" s="20" t="str">
        <f>DATA!AP27</f>
        <v>belum ada proses tender/lelang</v>
      </c>
      <c r="AO37" s="20" t="str">
        <f>DATA!AY27</f>
        <v>Konfirmasi melalui surat Sekjen nomor KU.01.12-Sj/636 tgl 23 Oktober 2015</v>
      </c>
      <c r="AP37" s="20" t="e">
        <f>DATA!#REF!</f>
        <v>#REF!</v>
      </c>
      <c r="AQ37" s="20">
        <f>DATA!AZ27</f>
        <v>0</v>
      </c>
      <c r="AR37" s="152" t="e">
        <f>DATA!#REF!</f>
        <v>#REF!</v>
      </c>
      <c r="AS37" s="199" t="str">
        <f>DATA!BA27</f>
        <v>Pembangunan IPA Somba Opu Tahap II, kap. 1.000 lt/dt dan pembangunan jaringan pipa transmisi air minum untuk melayani 149.925 SR di wilayah Makassar, Maros, Gowa dan Takalar.</v>
      </c>
      <c r="AT37" s="245">
        <f>DATA!AT27</f>
        <v>100000000</v>
      </c>
      <c r="AU37" s="109" t="str">
        <f>DATA!AU27</f>
        <v>JICA</v>
      </c>
      <c r="AV37" s="246" t="str">
        <f>DATA!AW27</f>
        <v>-</v>
      </c>
    </row>
    <row r="38" spans="1:51" ht="46.5" customHeight="1">
      <c r="A38" s="10">
        <f>DATA!A28</f>
        <v>25</v>
      </c>
      <c r="B38" s="10">
        <f>DATA!B28</f>
        <v>0</v>
      </c>
      <c r="C38" s="10" t="str">
        <f>DATA!D28</f>
        <v>INFRASTRUKTUR</v>
      </c>
      <c r="D38" s="10">
        <f>DATA!E28</f>
        <v>1</v>
      </c>
      <c r="E38" s="10" t="str">
        <f>DATA!F28</f>
        <v>Kementerian Pekerjaan Umum dan Perumahan Rakyat</v>
      </c>
      <c r="F38" s="10" t="str">
        <f>DATA!H28</f>
        <v>Drinking Water Development Program</v>
      </c>
      <c r="G38" s="10" t="str">
        <f>DATA!I28</f>
        <v>D</v>
      </c>
      <c r="H38" s="10" t="str">
        <f>DATA!J28</f>
        <v>Program Pembangunan Air Minum</v>
      </c>
      <c r="I38" s="10">
        <f>DATA!K28</f>
        <v>3</v>
      </c>
      <c r="J38" s="181"/>
      <c r="K38" s="34"/>
      <c r="L38" s="34"/>
      <c r="M38" s="52">
        <v>23</v>
      </c>
      <c r="N38" s="37" t="str">
        <f>DATA!L28</f>
        <v xml:space="preserve">The Development of Regional Water Supply System in Benteng Kobema </v>
      </c>
      <c r="O38" s="20">
        <f>DATA!Q28</f>
        <v>1</v>
      </c>
      <c r="P38" s="20">
        <f>DATA!R28</f>
        <v>1</v>
      </c>
      <c r="Q38" s="186">
        <f>DATA!S28</f>
        <v>22</v>
      </c>
      <c r="R38" s="187">
        <f>DATA!T28</f>
        <v>74300000</v>
      </c>
      <c r="S38" s="203">
        <f>DATA!U28</f>
        <v>74300000</v>
      </c>
      <c r="T38" s="77">
        <f>DATA!V28</f>
        <v>3715000</v>
      </c>
      <c r="U38" s="77">
        <f>DATA!W28</f>
        <v>0</v>
      </c>
      <c r="V38" s="77">
        <f>DATA!X28</f>
        <v>78015000</v>
      </c>
      <c r="W38" s="78" t="str">
        <f>DATA!Y28</f>
        <v>Bank Dunia/JICA/ADB</v>
      </c>
      <c r="X38" s="20" t="str">
        <f>DATA!Z28</f>
        <v>Multi Lender</v>
      </c>
      <c r="Y38" s="77">
        <f>DATA!AA28</f>
        <v>74300000</v>
      </c>
      <c r="Z38" s="77">
        <v>0</v>
      </c>
      <c r="AA38" s="216" t="str">
        <f>DATA!Y28</f>
        <v>Bank Dunia/JICA/ADB</v>
      </c>
      <c r="AB38" s="188">
        <f>DATA!AG28</f>
        <v>0</v>
      </c>
      <c r="AC38" s="20">
        <f>DATA!AH28</f>
        <v>2017</v>
      </c>
      <c r="AD38" s="37" t="str">
        <f>DATA!AI28</f>
        <v>-</v>
      </c>
      <c r="AE38" s="152">
        <f>DATA!AM28</f>
        <v>0</v>
      </c>
      <c r="AF38" s="152" t="str">
        <f>DATA!AN28</f>
        <v>dalam proses
(penyusunan FS)</v>
      </c>
      <c r="AG38" s="152" t="str">
        <f>DATA!AO28</f>
        <v>dalam proses
(persiapan)</v>
      </c>
      <c r="AH38" s="37" t="str">
        <f>DATA!AJ28</f>
        <v>RISPAM, DED, SIPA, Organisasi Pelaksana, DDUB</v>
      </c>
      <c r="AI38" s="56" t="str">
        <f>DATA!AK28</f>
        <v>Proses pembebasan lahan oleh Pemda</v>
      </c>
      <c r="AJ38" s="230" t="str">
        <f>DATA!AL28</f>
        <v>-</v>
      </c>
      <c r="AK38" s="231">
        <f>DATA!AM28</f>
        <v>0</v>
      </c>
      <c r="AL38" s="20" t="str">
        <f>DATA!AN28</f>
        <v>dalam proses
(penyusunan FS)</v>
      </c>
      <c r="AM38" s="20" t="str">
        <f>DATA!AO28</f>
        <v>dalam proses
(persiapan)</v>
      </c>
      <c r="AN38" s="20" t="str">
        <f>DATA!AP28</f>
        <v>belum ada proses tender/lelang</v>
      </c>
      <c r="AO38" s="20" t="str">
        <f>DATA!AY28</f>
        <v>Konfirmasi melalui surat Sekjen nomor KU.01.12-Sj/636 tgl 23 Oktober 2015</v>
      </c>
      <c r="AP38" s="20" t="e">
        <f>DATA!#REF!</f>
        <v>#REF!</v>
      </c>
      <c r="AQ38" s="20" t="str">
        <f>DATA!AZ28</f>
        <v>JICA &amp; ADB juga diindikasikan akan mendanai kegiatan ini meskipun belum ada pembicaraan</v>
      </c>
      <c r="AR38" s="152" t="e">
        <f>DATA!#REF!</f>
        <v>#REF!</v>
      </c>
      <c r="AS38" s="199"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c r="AT38" s="245">
        <f>DATA!AT28</f>
        <v>74300000</v>
      </c>
      <c r="AU38" s="109" t="str">
        <f>DATA!AU28</f>
        <v>Bank Dunia</v>
      </c>
      <c r="AV38" s="246" t="str">
        <f>DATA!AW28</f>
        <v>- usulan K/L lender: Bank Dunia/JICA/ADB. 
- Pihak Bank Dunia berminat, ADB dan JICA tidak minat.</v>
      </c>
    </row>
    <row r="39" spans="1:51" ht="40.5" customHeight="1">
      <c r="A39" s="10">
        <f>DATA!A29</f>
        <v>26</v>
      </c>
      <c r="B39" s="10">
        <f>DATA!B29</f>
        <v>0</v>
      </c>
      <c r="C39" s="10" t="str">
        <f>DATA!D29</f>
        <v>INFRASTRUKTUR</v>
      </c>
      <c r="D39" s="10">
        <f>DATA!E29</f>
        <v>1</v>
      </c>
      <c r="E39" s="10" t="str">
        <f>DATA!F29</f>
        <v>Kementerian Pekerjaan Umum dan Perumahan Rakyat</v>
      </c>
      <c r="F39" s="10" t="str">
        <f>DATA!H29</f>
        <v>Drinking Water Development Program</v>
      </c>
      <c r="G39" s="10" t="str">
        <f>DATA!I29</f>
        <v>D</v>
      </c>
      <c r="H39" s="10" t="str">
        <f>DATA!J29</f>
        <v>Program Pembangunan Air Minum</v>
      </c>
      <c r="I39" s="10">
        <f>DATA!K29</f>
        <v>3</v>
      </c>
      <c r="J39" s="181"/>
      <c r="K39" s="34"/>
      <c r="L39" s="34"/>
      <c r="M39" s="36">
        <v>24</v>
      </c>
      <c r="N39" s="37" t="str">
        <f>DATA!L29</f>
        <v xml:space="preserve">The Development of Regional Water Supply System in Wosusokas </v>
      </c>
      <c r="O39" s="20">
        <f>DATA!Q29</f>
        <v>1</v>
      </c>
      <c r="P39" s="20">
        <f>DATA!R29</f>
        <v>1</v>
      </c>
      <c r="Q39" s="186">
        <f>DATA!S29</f>
        <v>23</v>
      </c>
      <c r="R39" s="187">
        <f>DATA!T29</f>
        <v>106200000</v>
      </c>
      <c r="S39" s="203">
        <f>DATA!U29</f>
        <v>106200000</v>
      </c>
      <c r="T39" s="77">
        <f>DATA!V29</f>
        <v>5310000</v>
      </c>
      <c r="U39" s="77">
        <f>DATA!W29</f>
        <v>0</v>
      </c>
      <c r="V39" s="77">
        <f>DATA!X29</f>
        <v>111510000</v>
      </c>
      <c r="W39" s="78" t="str">
        <f>DATA!Y29</f>
        <v>Jerman (KfW)</v>
      </c>
      <c r="X39" s="20" t="str">
        <f>DATA!Z29</f>
        <v>Bilateral</v>
      </c>
      <c r="Y39" s="77">
        <f>DATA!AA29</f>
        <v>106200000</v>
      </c>
      <c r="Z39" s="77">
        <v>0</v>
      </c>
      <c r="AA39" s="216" t="str">
        <f>DATA!Y29</f>
        <v>Jerman (KfW)</v>
      </c>
      <c r="AB39" s="188">
        <f>DATA!AG29</f>
        <v>0</v>
      </c>
      <c r="AC39" s="20">
        <f>DATA!AH29</f>
        <v>2017</v>
      </c>
      <c r="AD39" s="37" t="str">
        <f>DATA!AI29</f>
        <v>-</v>
      </c>
      <c r="AE39" s="152">
        <f>DATA!AM29</f>
        <v>0</v>
      </c>
      <c r="AF39" s="152" t="str">
        <f>DATA!AN29</f>
        <v>dalam proses
(penyusunan FS)</v>
      </c>
      <c r="AG39" s="152" t="str">
        <f>DATA!AO29</f>
        <v>dalam proses
(persiapan)</v>
      </c>
      <c r="AH39" s="37" t="str">
        <f>DATA!AJ29</f>
        <v>RISPAM, DED, SIPA, Organisasi Pelaksana, DDUB</v>
      </c>
      <c r="AI39" s="56" t="str">
        <f>DATA!AK29</f>
        <v>Proses pembebasan lahan oleh Pemda</v>
      </c>
      <c r="AJ39" s="230" t="str">
        <f>DATA!AL29</f>
        <v>-</v>
      </c>
      <c r="AK39" s="231">
        <f>DATA!AM29</f>
        <v>0</v>
      </c>
      <c r="AL39" s="20" t="str">
        <f>DATA!AN29</f>
        <v>dalam proses
(penyusunan FS)</v>
      </c>
      <c r="AM39" s="20" t="str">
        <f>DATA!AO29</f>
        <v>dalam proses
(persiapan)</v>
      </c>
      <c r="AN39" s="20" t="str">
        <f>DATA!AP29</f>
        <v>belum ada proses tender/lelang</v>
      </c>
      <c r="AO39" s="20" t="str">
        <f>DATA!AY29</f>
        <v>Konfirmasi melalui surat Sekjen nomor KU.01.12-Sj/636 tgl 23 Oktober 2015</v>
      </c>
      <c r="AP39" s="20" t="e">
        <f>DATA!#REF!</f>
        <v>#REF!</v>
      </c>
      <c r="AQ39" s="20">
        <f>DATA!AZ29</f>
        <v>0</v>
      </c>
      <c r="AR39" s="152" t="e">
        <f>DATA!#REF!</f>
        <v>#REF!</v>
      </c>
      <c r="AS39" s="199"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c r="AT39" s="245">
        <f>DATA!AT29</f>
        <v>106200000</v>
      </c>
      <c r="AU39" s="109" t="str">
        <f>DATA!AU29</f>
        <v>Jerman (KfW)</v>
      </c>
      <c r="AV39" s="246" t="str">
        <f>DATA!AW29</f>
        <v>-</v>
      </c>
    </row>
    <row r="40" spans="1:51" ht="79.5" customHeight="1">
      <c r="A40" s="10">
        <f>DATA!A30</f>
        <v>27</v>
      </c>
      <c r="B40" s="10">
        <f>DATA!B30</f>
        <v>0</v>
      </c>
      <c r="C40" s="10" t="str">
        <f>DATA!D30</f>
        <v>INFRASTRUKTUR</v>
      </c>
      <c r="D40" s="10">
        <f>DATA!E30</f>
        <v>1</v>
      </c>
      <c r="E40" s="10" t="str">
        <f>DATA!F30</f>
        <v>Kementerian Pekerjaan Umum dan Perumahan Rakyat</v>
      </c>
      <c r="F40" s="10" t="str">
        <f>DATA!H30</f>
        <v>Drinking Water Development Program</v>
      </c>
      <c r="G40" s="10" t="str">
        <f>DATA!I30</f>
        <v>D</v>
      </c>
      <c r="H40" s="10" t="str">
        <f>DATA!J30</f>
        <v>Program Pembangunan Air Minum</v>
      </c>
      <c r="I40" s="10">
        <f>DATA!K30</f>
        <v>3</v>
      </c>
      <c r="J40" s="181"/>
      <c r="K40" s="34"/>
      <c r="L40" s="34"/>
      <c r="M40" s="36">
        <v>25</v>
      </c>
      <c r="N40" s="37" t="str">
        <f>DATA!L30</f>
        <v xml:space="preserve">The Development of Regional Water Supply System of Jatigede </v>
      </c>
      <c r="O40" s="20">
        <f>DATA!Q30</f>
        <v>1</v>
      </c>
      <c r="P40" s="20">
        <f>DATA!R30</f>
        <v>1</v>
      </c>
      <c r="Q40" s="186">
        <f>DATA!S30</f>
        <v>24</v>
      </c>
      <c r="R40" s="187">
        <f>DATA!T30</f>
        <v>167000000</v>
      </c>
      <c r="S40" s="203">
        <f>DATA!U30</f>
        <v>140620000</v>
      </c>
      <c r="T40" s="77">
        <f>DATA!V30</f>
        <v>8350000</v>
      </c>
      <c r="U40" s="77">
        <f>DATA!W30</f>
        <v>0</v>
      </c>
      <c r="V40" s="77">
        <f>DATA!X30</f>
        <v>175350000</v>
      </c>
      <c r="W40" s="78" t="str">
        <f>DATA!Y30</f>
        <v>Bank Dunia/JICA/ADB</v>
      </c>
      <c r="X40" s="20" t="str">
        <f>DATA!Z30</f>
        <v>Multi Lender</v>
      </c>
      <c r="Y40" s="77">
        <f>DATA!AA30</f>
        <v>140620000</v>
      </c>
      <c r="Z40" s="77">
        <v>0</v>
      </c>
      <c r="AA40" s="216" t="str">
        <f>DATA!Y30</f>
        <v>Bank Dunia/JICA/ADB</v>
      </c>
      <c r="AB40" s="188">
        <f>DATA!AG30</f>
        <v>0</v>
      </c>
      <c r="AC40" s="20">
        <f>DATA!AH30</f>
        <v>2017</v>
      </c>
      <c r="AD40" s="37" t="str">
        <f>DATA!AI30</f>
        <v>-</v>
      </c>
      <c r="AE40" s="152">
        <f>DATA!AM30</f>
        <v>0</v>
      </c>
      <c r="AF40" s="152" t="str">
        <f>DATA!AN30</f>
        <v>belum ada keterangan</v>
      </c>
      <c r="AG40" s="152" t="str">
        <f>DATA!AO30</f>
        <v>belum ada keterangan</v>
      </c>
      <c r="AH40" s="37" t="str">
        <f>DATA!AJ30</f>
        <v>-</v>
      </c>
      <c r="AI40" s="56" t="str">
        <f>DATA!AK30</f>
        <v>-</v>
      </c>
      <c r="AJ40" s="230" t="str">
        <f>DATA!AL30</f>
        <v>-</v>
      </c>
      <c r="AK40" s="231">
        <f>DATA!AM30</f>
        <v>0</v>
      </c>
      <c r="AL40" s="20" t="str">
        <f>DATA!AN30</f>
        <v>belum ada keterangan</v>
      </c>
      <c r="AM40" s="20" t="str">
        <f>DATA!AO30</f>
        <v>belum ada keterangan</v>
      </c>
      <c r="AN40" s="20" t="str">
        <f>DATA!AP30</f>
        <v>belum ada proses tender/lelang</v>
      </c>
      <c r="AO40" s="20" t="str">
        <f>DATA!AY30</f>
        <v>Konfirmasi melalui surat Sekjen nomor KU.01.12-Sj/636 tgl 23 Oktober 2015</v>
      </c>
      <c r="AP40" s="20" t="e">
        <f>DATA!#REF!</f>
        <v>#REF!</v>
      </c>
      <c r="AQ40" s="20">
        <f>DATA!AZ30</f>
        <v>0</v>
      </c>
      <c r="AR40" s="152" t="e">
        <f>DATA!#REF!</f>
        <v>#REF!</v>
      </c>
      <c r="AS40" s="199"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c r="AT40" s="245">
        <f>DATA!AT30</f>
        <v>140620000</v>
      </c>
      <c r="AU40" s="109" t="str">
        <f>DATA!AU30</f>
        <v>Belum Ada Indikasi</v>
      </c>
      <c r="AV40" s="246" t="str">
        <f>DATA!AW30</f>
        <v xml:space="preserve">- terdapat pengurangan nilai pinjaman sebesar USD 26,38 juta yang dialihkan untuk membiayai kegiatan ES.
- usulan K/L lender: Bank Dunia/JICA/ADB. 
- Pihak Bank Dunia, ADB, dan JICA tidak berminat. </v>
      </c>
    </row>
    <row r="41" spans="1:51" ht="51" customHeight="1">
      <c r="A41" s="10">
        <f>DATA!A31</f>
        <v>28</v>
      </c>
      <c r="B41" s="10">
        <f>DATA!B31</f>
        <v>0</v>
      </c>
      <c r="C41" s="10" t="str">
        <f>DATA!D31</f>
        <v>INFRASTRUKTUR</v>
      </c>
      <c r="D41" s="10">
        <f>DATA!E31</f>
        <v>1</v>
      </c>
      <c r="E41" s="10" t="str">
        <f>DATA!F31</f>
        <v>Kementerian Pekerjaan Umum dan Perumahan Rakyat</v>
      </c>
      <c r="F41" s="10" t="str">
        <f>DATA!H31</f>
        <v>Drinking Water Development Program</v>
      </c>
      <c r="G41" s="10" t="str">
        <f>DATA!I31</f>
        <v>D</v>
      </c>
      <c r="H41" s="10" t="str">
        <f>DATA!J31</f>
        <v>Program Pembangunan Air Minum</v>
      </c>
      <c r="I41" s="10">
        <f>DATA!K31</f>
        <v>3</v>
      </c>
      <c r="J41" s="181"/>
      <c r="K41" s="34"/>
      <c r="L41" s="34"/>
      <c r="M41" s="36">
        <v>26</v>
      </c>
      <c r="N41" s="37" t="str">
        <f>DATA!L31</f>
        <v>The Development of Regional Water Supply System of Petanglong</v>
      </c>
      <c r="O41" s="20">
        <f>DATA!Q31</f>
        <v>1</v>
      </c>
      <c r="P41" s="20">
        <f>DATA!R31</f>
        <v>1</v>
      </c>
      <c r="Q41" s="186">
        <f>DATA!S31</f>
        <v>25</v>
      </c>
      <c r="R41" s="187">
        <f>DATA!T31</f>
        <v>95380000</v>
      </c>
      <c r="S41" s="203">
        <f>DATA!U31</f>
        <v>95380000</v>
      </c>
      <c r="T41" s="77">
        <f>DATA!V31</f>
        <v>4769000</v>
      </c>
      <c r="U41" s="77">
        <f>DATA!W31</f>
        <v>0</v>
      </c>
      <c r="V41" s="77">
        <f>DATA!X31</f>
        <v>100149000</v>
      </c>
      <c r="W41" s="78" t="str">
        <f>DATA!Y31</f>
        <v>Bank Dunia/JICA/ADB</v>
      </c>
      <c r="X41" s="20" t="str">
        <f>DATA!Z31</f>
        <v>Multi Lender</v>
      </c>
      <c r="Y41" s="77">
        <f>DATA!AA31</f>
        <v>95380000</v>
      </c>
      <c r="Z41" s="77">
        <v>0</v>
      </c>
      <c r="AA41" s="216" t="str">
        <f>DATA!Y31</f>
        <v>Bank Dunia/JICA/ADB</v>
      </c>
      <c r="AB41" s="188">
        <f>DATA!AG31</f>
        <v>0</v>
      </c>
      <c r="AC41" s="20">
        <f>DATA!AH31</f>
        <v>2017</v>
      </c>
      <c r="AD41" s="37" t="str">
        <f>DATA!AI31</f>
        <v>Tahap persiapan project</v>
      </c>
      <c r="AE41" s="152">
        <f>DATA!AM31</f>
        <v>0</v>
      </c>
      <c r="AF41" s="152" t="str">
        <f>DATA!AN31</f>
        <v>belum ada keterangan</v>
      </c>
      <c r="AG41" s="152" t="str">
        <f>DATA!AO31</f>
        <v>belum ada keterangan</v>
      </c>
      <c r="AH41" s="37" t="str">
        <f>DATA!AJ31</f>
        <v>-</v>
      </c>
      <c r="AI41" s="56" t="str">
        <f>DATA!AK31</f>
        <v>-</v>
      </c>
      <c r="AJ41" s="230" t="str">
        <f>DATA!AL31</f>
        <v>-</v>
      </c>
      <c r="AK41" s="231">
        <f>DATA!AM31</f>
        <v>0</v>
      </c>
      <c r="AL41" s="20" t="str">
        <f>DATA!AN31</f>
        <v>belum ada keterangan</v>
      </c>
      <c r="AM41" s="20" t="str">
        <f>DATA!AO31</f>
        <v>belum ada keterangan</v>
      </c>
      <c r="AN41" s="20" t="str">
        <f>DATA!AP31</f>
        <v>belum ada proses tender/lelang</v>
      </c>
      <c r="AO41" s="20" t="str">
        <f>DATA!AY31</f>
        <v>Konfirmasi melalui surat Sekjen nomor KU.01.12-Sj/636 tgl 23 Oktober 2015</v>
      </c>
      <c r="AP41" s="20" t="e">
        <f>DATA!#REF!</f>
        <v>#REF!</v>
      </c>
      <c r="AQ41" s="20">
        <f>DATA!AZ31</f>
        <v>0</v>
      </c>
      <c r="AR41" s="152" t="e">
        <f>DATA!#REF!</f>
        <v>#REF!</v>
      </c>
      <c r="AS41" s="199" t="str">
        <f>DATA!BA31</f>
        <v>Pembangunan intake dan transmisi air baku, pembangunan IPA dengan kapasitas 1.100 lt/dt untuk sistem pengelolaan air minum yang berkapasitas 1.100 lt/dt, dan untuk penyediaan SPAM yang melayani 142.999 SR  di wilayah Kab. Batang, Kota Pekalongan, Kab. Pekalongan</v>
      </c>
      <c r="AT41" s="245">
        <f>DATA!AT31</f>
        <v>95380000</v>
      </c>
      <c r="AU41" s="109" t="str">
        <f>DATA!AU31</f>
        <v>Belum Ada Indikasi</v>
      </c>
      <c r="AV41" s="246" t="str">
        <f>DATA!AW31</f>
        <v xml:space="preserve">- usulan K/L lender: Bank Dunia/JICA/ADB. 
- Pihak Bank Dunia, ADB, dan JICA tidak berminat. </v>
      </c>
    </row>
    <row r="42" spans="1:51" ht="51" customHeight="1">
      <c r="A42" s="10">
        <f>DATA!A32</f>
        <v>29</v>
      </c>
      <c r="B42" s="10">
        <f>DATA!B32</f>
        <v>0</v>
      </c>
      <c r="C42" s="10" t="str">
        <f>DATA!D32</f>
        <v>INFRASTRUKTUR</v>
      </c>
      <c r="D42" s="10">
        <f>DATA!E32</f>
        <v>1</v>
      </c>
      <c r="E42" s="10" t="str">
        <f>DATA!F32</f>
        <v>Kementerian Pekerjaan Umum dan Perumahan Rakyat</v>
      </c>
      <c r="F42" s="10" t="str">
        <f>DATA!H32</f>
        <v>Drinking Water Development Program</v>
      </c>
      <c r="G42" s="10" t="str">
        <f>DATA!I32</f>
        <v>D</v>
      </c>
      <c r="H42" s="10" t="str">
        <f>DATA!J32</f>
        <v>Program Pembangunan Air Minum</v>
      </c>
      <c r="I42" s="10">
        <f>DATA!K32</f>
        <v>3</v>
      </c>
      <c r="J42" s="181"/>
      <c r="K42" s="34"/>
      <c r="L42" s="34"/>
      <c r="M42" s="36">
        <v>27</v>
      </c>
      <c r="N42" s="37" t="str">
        <f>DATA!L32</f>
        <v xml:space="preserve">The Development of Regional Water Supply System of Durolis </v>
      </c>
      <c r="O42" s="20">
        <f>DATA!Q32</f>
        <v>1</v>
      </c>
      <c r="P42" s="20">
        <f>DATA!R32</f>
        <v>1</v>
      </c>
      <c r="Q42" s="186">
        <f>DATA!S32</f>
        <v>26</v>
      </c>
      <c r="R42" s="187">
        <f>DATA!T32</f>
        <v>33400000</v>
      </c>
      <c r="S42" s="203">
        <f>DATA!U32</f>
        <v>33400000</v>
      </c>
      <c r="T42" s="77">
        <f>DATA!V32</f>
        <v>1670000</v>
      </c>
      <c r="U42" s="77">
        <f>DATA!W32</f>
        <v>0</v>
      </c>
      <c r="V42" s="77">
        <f>DATA!X32</f>
        <v>35070000</v>
      </c>
      <c r="W42" s="78" t="str">
        <f>DATA!Y32</f>
        <v>Bank Dunia/JICA/ADB</v>
      </c>
      <c r="X42" s="20" t="str">
        <f>DATA!Z32</f>
        <v>Multi Lender</v>
      </c>
      <c r="Y42" s="77">
        <f>DATA!AA32</f>
        <v>33400000</v>
      </c>
      <c r="Z42" s="77">
        <v>0</v>
      </c>
      <c r="AA42" s="216" t="str">
        <f>DATA!Y32</f>
        <v>Bank Dunia/JICA/ADB</v>
      </c>
      <c r="AB42" s="188">
        <f>DATA!AG32</f>
        <v>0</v>
      </c>
      <c r="AC42" s="20">
        <f>DATA!AH32</f>
        <v>2017</v>
      </c>
      <c r="AD42" s="37" t="str">
        <f>DATA!AI32</f>
        <v>-</v>
      </c>
      <c r="AE42" s="152">
        <f>DATA!AM32</f>
        <v>0</v>
      </c>
      <c r="AF42" s="152" t="str">
        <f>DATA!AN32</f>
        <v>siap</v>
      </c>
      <c r="AG42" s="152" t="str">
        <f>DATA!AO32</f>
        <v>siap</v>
      </c>
      <c r="AH42" s="37" t="str">
        <f>DATA!AJ32</f>
        <v>FS, DED, AMDAL</v>
      </c>
      <c r="AI42" s="56" t="str">
        <f>DATA!AK32</f>
        <v xml:space="preserve"> Lahan sudah tersedia </v>
      </c>
      <c r="AJ42" s="230" t="str">
        <f>DATA!AL32</f>
        <v>-</v>
      </c>
      <c r="AK42" s="231">
        <f>DATA!AM32</f>
        <v>0</v>
      </c>
      <c r="AL42" s="20" t="str">
        <f>DATA!AN32</f>
        <v>siap</v>
      </c>
      <c r="AM42" s="20" t="str">
        <f>DATA!AO32</f>
        <v>siap</v>
      </c>
      <c r="AN42" s="20" t="str">
        <f>DATA!AP32</f>
        <v>belum ada proses tender/lelang</v>
      </c>
      <c r="AO42" s="20" t="str">
        <f>DATA!AY32</f>
        <v>Konfirmasi melalui surat Sekjen nomor KU.01.12-Sj/636 tgl 23 Oktober 2015</v>
      </c>
      <c r="AP42" s="20" t="e">
        <f>DATA!#REF!</f>
        <v>#REF!</v>
      </c>
      <c r="AQ42" s="20" t="str">
        <f>DATA!AZ32</f>
        <v>ADB juga diindikasikan akan mendanai kegiatan ini</v>
      </c>
      <c r="AR42" s="152" t="e">
        <f>DATA!#REF!</f>
        <v>#REF!</v>
      </c>
      <c r="AS42" s="199" t="str">
        <f>DATA!BA32</f>
        <v>Pembangunan unit air baku, unit produksi dan distribusi utama, unit pelayanan dan unit pengelolaan untuk sistem pengelolaan air minum yang berkapasitas 500 lt/dt dan untuk melayani masyarakat sebesar 24.000 SR di wilayah Dumai, Rokan Hilir dan Bengkalis</v>
      </c>
      <c r="AT42" s="245">
        <f>DATA!AT32</f>
        <v>33400000</v>
      </c>
      <c r="AU42" s="109" t="str">
        <f>DATA!AU32</f>
        <v>Belum Ada Indikasi</v>
      </c>
      <c r="AV42" s="246" t="str">
        <f>DATA!AW32</f>
        <v xml:space="preserve">- usulan K/L lender: Bank Dunia/JICA/ADB.
- Pihak Bank Dunia, ADB, dan JICA tidak berminat. </v>
      </c>
    </row>
    <row r="43" spans="1:51" ht="38.25" customHeight="1">
      <c r="A43" s="10">
        <f>DATA!A33</f>
        <v>30</v>
      </c>
      <c r="B43" s="10">
        <f>DATA!B33</f>
        <v>0</v>
      </c>
      <c r="C43" s="10" t="str">
        <f>DATA!D33</f>
        <v>INFRASTRUKTUR</v>
      </c>
      <c r="D43" s="10">
        <f>DATA!E33</f>
        <v>1</v>
      </c>
      <c r="E43" s="10" t="str">
        <f>DATA!F33</f>
        <v>Kementerian Pekerjaan Umum dan Perumahan Rakyat</v>
      </c>
      <c r="F43" s="10" t="str">
        <f>DATA!H33</f>
        <v>Drinking Water Development Program</v>
      </c>
      <c r="G43" s="10" t="str">
        <f>DATA!I33</f>
        <v>D</v>
      </c>
      <c r="H43" s="10" t="str">
        <f>DATA!J33</f>
        <v>Program Pembangunan Air Minum</v>
      </c>
      <c r="I43" s="10">
        <f>DATA!K33</f>
        <v>3</v>
      </c>
      <c r="J43" s="181"/>
      <c r="K43" s="34"/>
      <c r="L43" s="34"/>
      <c r="M43" s="36">
        <v>28</v>
      </c>
      <c r="N43" s="37" t="str">
        <f>DATA!L33</f>
        <v xml:space="preserve">The Development of Regional Water Supply System of  Banten - Jakarta from Karian Dam </v>
      </c>
      <c r="O43" s="20">
        <f>DATA!Q33</f>
        <v>1</v>
      </c>
      <c r="P43" s="20">
        <f>DATA!R33</f>
        <v>1</v>
      </c>
      <c r="Q43" s="186">
        <f>DATA!S33</f>
        <v>27</v>
      </c>
      <c r="R43" s="187">
        <f>DATA!T33</f>
        <v>40000000</v>
      </c>
      <c r="S43" s="203">
        <f>DATA!U33</f>
        <v>40000000</v>
      </c>
      <c r="T43" s="77">
        <f>DATA!V33</f>
        <v>2000000</v>
      </c>
      <c r="U43" s="77">
        <f>DATA!W33</f>
        <v>0</v>
      </c>
      <c r="V43" s="77">
        <f>DATA!X33</f>
        <v>42000000</v>
      </c>
      <c r="W43" s="78" t="str">
        <f>DATA!Y33</f>
        <v>Korea</v>
      </c>
      <c r="X43" s="20" t="str">
        <f>DATA!Z33</f>
        <v>Bilateral</v>
      </c>
      <c r="Y43" s="77">
        <f>DATA!AA33</f>
        <v>40000000</v>
      </c>
      <c r="Z43" s="77">
        <v>0</v>
      </c>
      <c r="AA43" s="216" t="str">
        <f>DATA!Y33</f>
        <v>Korea</v>
      </c>
      <c r="AB43" s="188">
        <f>DATA!AG33</f>
        <v>0</v>
      </c>
      <c r="AC43" s="20">
        <f>DATA!AH33</f>
        <v>2017</v>
      </c>
      <c r="AD43" s="37" t="str">
        <f>DATA!AI33</f>
        <v>-</v>
      </c>
      <c r="AE43" s="152">
        <f>DATA!AM33</f>
        <v>0</v>
      </c>
      <c r="AF43" s="152" t="str">
        <f>DATA!AN33</f>
        <v>dalam proses
(memiliki FS)</v>
      </c>
      <c r="AG43" s="152" t="str">
        <f>DATA!AO33</f>
        <v>dalam proses
(persiapan)</v>
      </c>
      <c r="AH43" s="37" t="str">
        <f>DATA!AJ33</f>
        <v>FS</v>
      </c>
      <c r="AI43" s="56" t="str">
        <f>DATA!AK33</f>
        <v>Proses pembebasan lahan oleh Pemda</v>
      </c>
      <c r="AJ43" s="230" t="str">
        <f>DATA!AL33</f>
        <v>-</v>
      </c>
      <c r="AK43" s="231">
        <f>DATA!AM33</f>
        <v>0</v>
      </c>
      <c r="AL43" s="20" t="str">
        <f>DATA!AN33</f>
        <v>dalam proses
(memiliki FS)</v>
      </c>
      <c r="AM43" s="20" t="str">
        <f>DATA!AO33</f>
        <v>dalam proses
(persiapan)</v>
      </c>
      <c r="AN43" s="20" t="str">
        <f>DATA!AP33</f>
        <v>belum ada proses tender/lelang</v>
      </c>
      <c r="AO43" s="20" t="str">
        <f>DATA!AY33</f>
        <v>Konfirmasi melalui surat Sekjen nomor KU.01.12-Sj/636 tgl 23 Oktober 2015</v>
      </c>
      <c r="AP43" s="20" t="e">
        <f>DATA!#REF!</f>
        <v>#REF!</v>
      </c>
      <c r="AQ43" s="20">
        <f>DATA!AZ33</f>
        <v>0</v>
      </c>
      <c r="AR43" s="152" t="e">
        <f>DATA!#REF!</f>
        <v>#REF!</v>
      </c>
      <c r="AS43" s="199"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c r="AT43" s="245">
        <f>DATA!AT33</f>
        <v>40000000</v>
      </c>
      <c r="AU43" s="109" t="str">
        <f>DATA!AU33</f>
        <v>Korea</v>
      </c>
      <c r="AV43" s="246" t="str">
        <f>DATA!AW33</f>
        <v>belum masuk rolling plan EDCF (Korea)</v>
      </c>
    </row>
    <row r="44" spans="1:51" ht="41.25" customHeight="1">
      <c r="A44" s="10">
        <f>DATA!A34</f>
        <v>31</v>
      </c>
      <c r="B44" s="10">
        <f>DATA!B34</f>
        <v>0</v>
      </c>
      <c r="C44" s="10" t="str">
        <f>DATA!D34</f>
        <v>INFRASTRUKTUR</v>
      </c>
      <c r="D44" s="10">
        <f>DATA!E34</f>
        <v>1</v>
      </c>
      <c r="E44" s="10" t="str">
        <f>DATA!F34</f>
        <v>Kementerian Pekerjaan Umum dan Perumahan Rakyat</v>
      </c>
      <c r="F44" s="10" t="str">
        <f>DATA!H34</f>
        <v>Drinking Water Development Program</v>
      </c>
      <c r="G44" s="10" t="str">
        <f>DATA!I34</f>
        <v>D</v>
      </c>
      <c r="H44" s="10" t="str">
        <f>DATA!J34</f>
        <v>Program Pembangunan Air Minum</v>
      </c>
      <c r="I44" s="10">
        <f>DATA!K34</f>
        <v>3</v>
      </c>
      <c r="J44" s="181"/>
      <c r="K44" s="34"/>
      <c r="L44" s="34"/>
      <c r="M44" s="36">
        <v>29</v>
      </c>
      <c r="N44" s="37" t="str">
        <f>DATA!L34</f>
        <v xml:space="preserve">The Development of Regional Water Supply System of Mebidang </v>
      </c>
      <c r="O44" s="20">
        <f>DATA!Q34</f>
        <v>1</v>
      </c>
      <c r="P44" s="20">
        <f>DATA!R34</f>
        <v>1</v>
      </c>
      <c r="Q44" s="186">
        <f>DATA!S34</f>
        <v>28</v>
      </c>
      <c r="R44" s="187">
        <f>DATA!T34</f>
        <v>56400000</v>
      </c>
      <c r="S44" s="203">
        <f>DATA!U34</f>
        <v>56400000</v>
      </c>
      <c r="T44" s="77">
        <f>DATA!V34</f>
        <v>2820000</v>
      </c>
      <c r="U44" s="77">
        <f>DATA!W34</f>
        <v>0</v>
      </c>
      <c r="V44" s="77">
        <f>DATA!X34</f>
        <v>59220000</v>
      </c>
      <c r="W44" s="78" t="str">
        <f>DATA!Y34</f>
        <v>Jerman (KfW)</v>
      </c>
      <c r="X44" s="20" t="str">
        <f>DATA!Z34</f>
        <v>Bilateral</v>
      </c>
      <c r="Y44" s="77">
        <f>DATA!AA34</f>
        <v>56400000</v>
      </c>
      <c r="Z44" s="77">
        <v>0</v>
      </c>
      <c r="AA44" s="216" t="str">
        <f>DATA!Y34</f>
        <v>Jerman (KfW)</v>
      </c>
      <c r="AB44" s="188">
        <f>DATA!AG34</f>
        <v>0</v>
      </c>
      <c r="AC44" s="20">
        <f>DATA!AH34</f>
        <v>2017</v>
      </c>
      <c r="AD44" s="37" t="str">
        <f>DATA!AI34</f>
        <v>-</v>
      </c>
      <c r="AE44" s="152">
        <f>DATA!AM34</f>
        <v>0</v>
      </c>
      <c r="AF44" s="152" t="str">
        <f>DATA!AN34</f>
        <v>dalam proses
(memiliki FS dan DED)</v>
      </c>
      <c r="AG44" s="152" t="str">
        <f>DATA!AO34</f>
        <v>dalam proses
(persiapan)</v>
      </c>
      <c r="AH44" s="37" t="str">
        <f>DATA!AJ34</f>
        <v>FS, DED</v>
      </c>
      <c r="AI44" s="56" t="str">
        <f>DATA!AK34</f>
        <v>Proses pembebasan lahan oleh Pemda</v>
      </c>
      <c r="AJ44" s="230" t="str">
        <f>DATA!AL34</f>
        <v>-</v>
      </c>
      <c r="AK44" s="231">
        <f>DATA!AM34</f>
        <v>0</v>
      </c>
      <c r="AL44" s="20" t="str">
        <f>DATA!AN34</f>
        <v>dalam proses
(memiliki FS dan DED)</v>
      </c>
      <c r="AM44" s="20" t="str">
        <f>DATA!AO34</f>
        <v>dalam proses
(persiapan)</v>
      </c>
      <c r="AN44" s="20" t="str">
        <f>DATA!AP34</f>
        <v>belum ada proses tender/lelang</v>
      </c>
      <c r="AO44" s="20" t="str">
        <f>DATA!AY34</f>
        <v>Konfirmasi melalui surat Sekjen nomor KU.01.12-Sj/636 tgl 23 Oktober 2015</v>
      </c>
      <c r="AP44" s="20" t="e">
        <f>DATA!#REF!</f>
        <v>#REF!</v>
      </c>
      <c r="AQ44" s="20">
        <f>DATA!AZ34</f>
        <v>0</v>
      </c>
      <c r="AR44" s="152" t="e">
        <f>DATA!#REF!</f>
        <v>#REF!</v>
      </c>
      <c r="AS44" s="199" t="str">
        <f>DATA!BA34</f>
        <v>Pembangunan IPA dengan kapasitas 1.250 lt/dt, pembangunan jaringan pipa transmisi untuk penyediaan air minum yang melayani 84.558 SR di wilayah Medan, Binjai, dan Deli Serdang.</v>
      </c>
      <c r="AT44" s="245">
        <f>DATA!AT34</f>
        <v>56400000</v>
      </c>
      <c r="AU44" s="109" t="str">
        <f>DATA!AU34</f>
        <v>Jerman (KfW)</v>
      </c>
      <c r="AV44" s="246" t="str">
        <f>DATA!AW34</f>
        <v>-</v>
      </c>
    </row>
    <row r="45" spans="1:51" ht="40.5" customHeight="1">
      <c r="A45" s="10">
        <f>DATA!A36</f>
        <v>33</v>
      </c>
      <c r="B45" s="10">
        <f>DATA!B36</f>
        <v>0</v>
      </c>
      <c r="C45" s="10" t="str">
        <f>DATA!D36</f>
        <v>INFRASTRUKTUR</v>
      </c>
      <c r="D45" s="10">
        <f>DATA!E36</f>
        <v>1</v>
      </c>
      <c r="E45" s="10" t="str">
        <f>DATA!F36</f>
        <v>Kementerian Pekerjaan Umum dan Perumahan Rakyat</v>
      </c>
      <c r="F45" s="10" t="str">
        <f>DATA!H36</f>
        <v>Drinking Water Development Program</v>
      </c>
      <c r="G45" s="10" t="str">
        <f>DATA!I36</f>
        <v>D</v>
      </c>
      <c r="H45" s="10" t="str">
        <f>DATA!J36</f>
        <v>Program Pembangunan Air Minum</v>
      </c>
      <c r="I45" s="10">
        <f>DATA!K36</f>
        <v>4</v>
      </c>
      <c r="J45" s="181"/>
      <c r="K45" s="34"/>
      <c r="L45" s="34"/>
      <c r="M45" s="36">
        <v>30</v>
      </c>
      <c r="N45" s="37" t="str">
        <f>DATA!L36</f>
        <v xml:space="preserve">Small Scale Water Treatment Plants for Emergency Relief </v>
      </c>
      <c r="O45" s="20">
        <f>DATA!Q36</f>
        <v>1</v>
      </c>
      <c r="P45" s="20">
        <f>DATA!R36</f>
        <v>1</v>
      </c>
      <c r="Q45" s="186">
        <f>DATA!S36</f>
        <v>29</v>
      </c>
      <c r="R45" s="187">
        <f>DATA!T36</f>
        <v>25000000</v>
      </c>
      <c r="S45" s="203">
        <f>DATA!U36</f>
        <v>25000000</v>
      </c>
      <c r="T45" s="77">
        <f>DATA!V36</f>
        <v>800000</v>
      </c>
      <c r="U45" s="77">
        <f>DATA!W36</f>
        <v>0</v>
      </c>
      <c r="V45" s="77">
        <f>DATA!X36</f>
        <v>25800000</v>
      </c>
      <c r="W45" s="78" t="str">
        <f>DATA!Y36</f>
        <v>Spanyol</v>
      </c>
      <c r="X45" s="20" t="str">
        <f>DATA!Z36</f>
        <v>Bilateral</v>
      </c>
      <c r="Y45" s="77">
        <f>DATA!AA36</f>
        <v>25000000</v>
      </c>
      <c r="Z45" s="77">
        <v>0</v>
      </c>
      <c r="AA45" s="216" t="str">
        <f>DATA!Y36</f>
        <v>Spanyol</v>
      </c>
      <c r="AB45" s="188">
        <f>DATA!AG36</f>
        <v>0</v>
      </c>
      <c r="AC45" s="20">
        <f>DATA!AH36</f>
        <v>2016</v>
      </c>
      <c r="AD45" s="37" t="str">
        <f>DATA!AI36</f>
        <v>- Sudah ada R/C
- Green Book 2015
 - Proses Loan Agreement</v>
      </c>
      <c r="AE45" s="152" t="str">
        <f>DATA!AM36</f>
        <v>2016; 2015</v>
      </c>
      <c r="AF45" s="152" t="str">
        <f>DATA!AN36</f>
        <v>siap</v>
      </c>
      <c r="AG45" s="152" t="str">
        <f>DATA!AO36</f>
        <v>dalam proses
(persiapan)</v>
      </c>
      <c r="AH45" s="37" t="str">
        <f>DATA!AJ36</f>
        <v>FS</v>
      </c>
      <c r="AI45" s="56" t="str">
        <f>DATA!AK36</f>
        <v>-</v>
      </c>
      <c r="AJ45" s="230" t="str">
        <f>DATA!AL36</f>
        <v>-</v>
      </c>
      <c r="AK45" s="231" t="str">
        <f>DATA!AM36</f>
        <v>2016; 2015</v>
      </c>
      <c r="AL45" s="20" t="str">
        <f>DATA!AN36</f>
        <v>siap</v>
      </c>
      <c r="AM45" s="20" t="str">
        <f>DATA!AO36</f>
        <v>dalam proses
(persiapan)</v>
      </c>
      <c r="AN45" s="20" t="str">
        <f>DATA!AP36</f>
        <v>belum ada proses tender/lelang</v>
      </c>
      <c r="AO45" s="20" t="str">
        <f>DATA!AY36</f>
        <v>Konfirmasi melalui surat Sekjen nomor KU.01.12-Sj/636 tgl 23 Oktober 2015</v>
      </c>
      <c r="AP45" s="20" t="e">
        <f>DATA!#REF!</f>
        <v>#REF!</v>
      </c>
      <c r="AQ45" s="20">
        <f>DATA!AZ36</f>
        <v>0</v>
      </c>
      <c r="AR45" s="152" t="e">
        <f>DATA!#REF!</f>
        <v>#REF!</v>
      </c>
      <c r="AS45" s="199" t="str">
        <f>DATA!BA36</f>
        <v>Pengadaan Instalasi Pengolahan Air (IPA) yang dapat dipindahkan (mobile) untuk penanganan keadaan darurat,  yang dilengkapi dengan alat pendukung, truk, dan sistem komunikasi di 4 lokasi (kota Medan, Bekasi, Makassar, dan Surabaya)</v>
      </c>
      <c r="AT45" s="245">
        <f>DATA!AT36</f>
        <v>25000000</v>
      </c>
      <c r="AU45" s="109" t="str">
        <f>DATA!AU36</f>
        <v>Spanyol</v>
      </c>
      <c r="AV45" s="246" t="str">
        <f>DATA!AW36</f>
        <v>-</v>
      </c>
    </row>
    <row r="46" spans="1:51" ht="41.25" customHeight="1">
      <c r="A46" s="10">
        <f>DATA!A38</f>
        <v>34</v>
      </c>
      <c r="B46" s="10">
        <f>DATA!B38</f>
        <v>0</v>
      </c>
      <c r="C46" s="10" t="str">
        <f>DATA!D38</f>
        <v>INFRASTRUKTUR</v>
      </c>
      <c r="D46" s="10">
        <f>DATA!E38</f>
        <v>1</v>
      </c>
      <c r="E46" s="10" t="str">
        <f>DATA!F38</f>
        <v>Kementerian Pekerjaan Umum dan Perumahan Rakyat</v>
      </c>
      <c r="F46" s="10" t="str">
        <f>DATA!H38</f>
        <v>Drinking Water Development Program</v>
      </c>
      <c r="G46" s="10" t="str">
        <f>DATA!I38</f>
        <v>D</v>
      </c>
      <c r="H46" s="10" t="str">
        <f>DATA!J38</f>
        <v>Program Pembangunan Air Minum</v>
      </c>
      <c r="I46" s="10">
        <f>DATA!K38</f>
        <v>4</v>
      </c>
      <c r="J46" s="181"/>
      <c r="K46" s="34"/>
      <c r="L46" s="34"/>
      <c r="M46" s="3398">
        <v>31</v>
      </c>
      <c r="N46" s="3393" t="str">
        <f>DATA!L38</f>
        <v>IKK Water Supply Program and Small Water Treatment Plant for Water Scarcity Area</v>
      </c>
      <c r="O46" s="20">
        <f>DATA!Q38</f>
        <v>0.5</v>
      </c>
      <c r="P46" s="20">
        <f>DATA!R38</f>
        <v>0</v>
      </c>
      <c r="Q46" s="186">
        <f>DATA!S38</f>
        <v>0</v>
      </c>
      <c r="R46" s="3403">
        <f>DATA!T37</f>
        <v>100000000</v>
      </c>
      <c r="S46" s="203">
        <f>DATA!U38</f>
        <v>100000000</v>
      </c>
      <c r="T46" s="77">
        <f>DATA!V38</f>
        <v>0</v>
      </c>
      <c r="U46" s="77">
        <f>DATA!W38</f>
        <v>0</v>
      </c>
      <c r="V46" s="77">
        <f>DATA!X38</f>
        <v>0</v>
      </c>
      <c r="W46" s="78" t="str">
        <f>DATA!Y38</f>
        <v>Hungaria</v>
      </c>
      <c r="X46" s="20" t="str">
        <f>DATA!Z38</f>
        <v>Bilateral</v>
      </c>
      <c r="Y46" s="77">
        <f>DATA!AA38</f>
        <v>50000000</v>
      </c>
      <c r="Z46" s="77">
        <v>0</v>
      </c>
      <c r="AA46" s="216" t="str">
        <f>DATA!Y38</f>
        <v>Hungaria</v>
      </c>
      <c r="AB46" s="188">
        <f>DATA!AG38</f>
        <v>0</v>
      </c>
      <c r="AC46" s="20">
        <f>DATA!AH38</f>
        <v>2016</v>
      </c>
      <c r="AD46" s="37" t="str">
        <f>DATA!AI38</f>
        <v>- Sudah ada R/C
- Green Book 2015
- Proses LA</v>
      </c>
      <c r="AE46" s="152" t="str">
        <f>DATA!AM38</f>
        <v>2016; 2015</v>
      </c>
      <c r="AF46" s="152" t="str">
        <f>DATA!AN38</f>
        <v>siap</v>
      </c>
      <c r="AG46" s="152" t="str">
        <f>DATA!AO38</f>
        <v>dalam proses
(pelaksanaan &lt;50%)</v>
      </c>
      <c r="AH46" s="37" t="str">
        <f>DATA!AJ38</f>
        <v>Surat minat, RISPAM, DED, SIPA, Organisasi Pelaksana, DDUB</v>
      </c>
      <c r="AI46" s="56" t="str">
        <f>DATA!AK38</f>
        <v>Sebagian lokasi dalam proses pembebasan lahan oleh Pemda</v>
      </c>
      <c r="AJ46" s="230" t="str">
        <f>DATA!AL38</f>
        <v>Dalam proses pengadaan</v>
      </c>
      <c r="AK46" s="231" t="str">
        <f>DATA!AM38</f>
        <v>2016; 2015</v>
      </c>
      <c r="AL46" s="20" t="str">
        <f>DATA!AN38</f>
        <v>siap</v>
      </c>
      <c r="AM46" s="20" t="str">
        <f>DATA!AO38</f>
        <v>dalam proses
(pelaksanaan &lt;50%)</v>
      </c>
      <c r="AN46" s="20" t="str">
        <f>DATA!AP38</f>
        <v>dalam proses tender/lelang</v>
      </c>
      <c r="AO46" s="20" t="str">
        <f>DATA!AY38</f>
        <v>Konfirmasi melalui surat Sekjen nomor KU.01.12-Sj/636 tgl 23 Oktober 2015</v>
      </c>
      <c r="AP46" s="20" t="e">
        <f>DATA!#REF!</f>
        <v>#REF!</v>
      </c>
      <c r="AQ46" s="20"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R46" s="152" t="e">
        <f>DATA!#REF!</f>
        <v>#REF!</v>
      </c>
      <c r="AS46" s="199"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c r="AT46" s="245">
        <f>DATA!AT38</f>
        <v>50000000</v>
      </c>
      <c r="AU46" s="109" t="str">
        <f>DATA!AU38</f>
        <v>Hungaria</v>
      </c>
      <c r="AV46" s="246" t="str">
        <f>DATA!AW38</f>
        <v>-</v>
      </c>
    </row>
    <row r="47" spans="1:51" ht="54" customHeight="1">
      <c r="J47" s="181"/>
      <c r="K47" s="34"/>
      <c r="L47" s="54"/>
      <c r="M47" s="3398"/>
      <c r="N47" s="3394"/>
      <c r="O47" s="20">
        <f>DATA!Q39</f>
        <v>0.5</v>
      </c>
      <c r="P47" s="20">
        <f>DATA!R39</f>
        <v>0</v>
      </c>
      <c r="Q47" s="186">
        <f>DATA!S39</f>
        <v>0</v>
      </c>
      <c r="R47" s="3404"/>
      <c r="S47" s="203">
        <f>DATA!U39</f>
        <v>100000000</v>
      </c>
      <c r="T47" s="77">
        <f>DATA!V39</f>
        <v>0</v>
      </c>
      <c r="U47" s="77">
        <f>DATA!W39</f>
        <v>0</v>
      </c>
      <c r="V47" s="77">
        <f>DATA!X39</f>
        <v>0</v>
      </c>
      <c r="W47" s="78" t="str">
        <f>DATA!Y39</f>
        <v>IDB</v>
      </c>
      <c r="X47" s="20" t="str">
        <f>DATA!Z39</f>
        <v>Multilateral</v>
      </c>
      <c r="Y47" s="77">
        <f>DATA!AA39</f>
        <v>50000000</v>
      </c>
      <c r="Z47" s="77">
        <v>0</v>
      </c>
      <c r="AA47" s="216" t="str">
        <f>DATA!Y39</f>
        <v>IDB</v>
      </c>
      <c r="AB47" s="188">
        <f>DATA!AG39</f>
        <v>0</v>
      </c>
      <c r="AC47" s="20">
        <f>DATA!AH39</f>
        <v>2017</v>
      </c>
      <c r="AD47" s="37" t="str">
        <f>DATA!AI39</f>
        <v>-</v>
      </c>
      <c r="AE47" s="152">
        <f>DATA!AM39</f>
        <v>0</v>
      </c>
      <c r="AF47" s="152" t="str">
        <f>DATA!AN39</f>
        <v>siap</v>
      </c>
      <c r="AG47" s="152" t="str">
        <f>DATA!AO39</f>
        <v>dalam proses
(pelaksanaan &lt;50%)</v>
      </c>
      <c r="AH47" s="37" t="str">
        <f>DATA!AJ39</f>
        <v>-</v>
      </c>
      <c r="AI47" s="56" t="str">
        <f>DATA!AK39</f>
        <v>-</v>
      </c>
      <c r="AJ47" s="230" t="str">
        <f>DATA!AL39</f>
        <v>-</v>
      </c>
      <c r="AK47" s="231">
        <f>DATA!AM39</f>
        <v>0</v>
      </c>
      <c r="AL47" s="20" t="str">
        <f>DATA!AN39</f>
        <v>siap</v>
      </c>
      <c r="AM47" s="20" t="str">
        <f>DATA!AO39</f>
        <v>dalam proses
(pelaksanaan &lt;50%)</v>
      </c>
      <c r="AN47" s="20" t="str">
        <f>DATA!AP39</f>
        <v>belum ada proses tender/lelang</v>
      </c>
      <c r="AO47" s="20" t="str">
        <f>DATA!AY39</f>
        <v>Konfirmasi melalui surat Sekjen nomor KU.01.12-Sj/636 tgl 23 Oktober 2015</v>
      </c>
      <c r="AP47" s="20" t="e">
        <f>DATA!#REF!</f>
        <v>#REF!</v>
      </c>
      <c r="AQ47" s="20">
        <f>DATA!AZ39</f>
        <v>0</v>
      </c>
      <c r="AR47" s="152" t="e">
        <f>DATA!#REF!</f>
        <v>#REF!</v>
      </c>
      <c r="AS47" s="199">
        <f>DATA!BA39</f>
        <v>0</v>
      </c>
      <c r="AT47" s="245">
        <f>DATA!AT39</f>
        <v>50000000</v>
      </c>
      <c r="AU47" s="109" t="str">
        <f>DATA!AU39</f>
        <v>Belum Ada Indikasi</v>
      </c>
      <c r="AV47" s="246" t="str">
        <f>DATA!AW39</f>
        <v>- usulan K/L lender:IDB.
- pihak IDB tidak berminat mendanai kegiatan ini, diusulkan kepada AIIB.
- Indikasi Lender AIIB menjadi belum ada indikasi (konfirmasi tgl 29 Jan'16)</v>
      </c>
    </row>
    <row r="48" spans="1:51" ht="45.75" customHeight="1">
      <c r="J48" s="181"/>
      <c r="K48" s="34"/>
      <c r="L48" s="54"/>
      <c r="M48" s="36">
        <v>32</v>
      </c>
      <c r="N48" s="37" t="str">
        <f>DATA!L40</f>
        <v>Engineering Service for Water Supply Development Project</v>
      </c>
      <c r="O48" s="20">
        <f>DATA!Q40</f>
        <v>0</v>
      </c>
      <c r="P48" s="20">
        <f>DATA!R40</f>
        <v>1</v>
      </c>
      <c r="Q48" s="186">
        <f>DATA!S40</f>
        <v>0</v>
      </c>
      <c r="R48" s="187">
        <f>DATA!T40</f>
        <v>0</v>
      </c>
      <c r="S48" s="203">
        <f>DATA!U40</f>
        <v>26380000</v>
      </c>
      <c r="T48" s="77">
        <f>DATA!V40</f>
        <v>0</v>
      </c>
      <c r="U48" s="77">
        <f>DATA!W40</f>
        <v>0</v>
      </c>
      <c r="V48" s="77">
        <f>DATA!X40</f>
        <v>0</v>
      </c>
      <c r="W48" s="78" t="str">
        <f>DATA!Y40</f>
        <v>ADB</v>
      </c>
      <c r="X48" s="20" t="str">
        <f>DATA!Z40</f>
        <v>Multilateral</v>
      </c>
      <c r="Y48" s="77">
        <f>DATA!AA40</f>
        <v>26380000</v>
      </c>
      <c r="Z48" s="77">
        <v>0</v>
      </c>
      <c r="AA48" s="216" t="str">
        <f>DATA!Y40</f>
        <v>ADB</v>
      </c>
      <c r="AB48" s="188">
        <f>DATA!AG40</f>
        <v>0</v>
      </c>
      <c r="AC48" s="20">
        <f>DATA!AH40</f>
        <v>2016</v>
      </c>
      <c r="AD48" s="37" t="str">
        <f>DATA!AI40</f>
        <v>- Green Book 2015</v>
      </c>
      <c r="AE48" s="152" t="str">
        <f>DATA!AM40</f>
        <v>2015; 2016</v>
      </c>
      <c r="AF48" s="152" t="str">
        <f>DATA!AN40</f>
        <v>siap</v>
      </c>
      <c r="AG48" s="152" t="str">
        <f>DATA!AO40</f>
        <v>tidak butuh lahan</v>
      </c>
      <c r="AH48" s="37" t="str">
        <f>DATA!AJ40</f>
        <v>-</v>
      </c>
      <c r="AI48" s="56" t="str">
        <f>DATA!AK40</f>
        <v>-</v>
      </c>
      <c r="AJ48" s="230" t="str">
        <f>DATA!AL40</f>
        <v>-</v>
      </c>
      <c r="AK48" s="231"/>
      <c r="AL48" s="20"/>
      <c r="AM48" s="20"/>
      <c r="AN48" s="20"/>
      <c r="AO48" s="20"/>
      <c r="AP48" s="20"/>
      <c r="AQ48" s="20"/>
      <c r="AR48" s="152" t="e">
        <f>DATA!#REF!</f>
        <v>#REF!</v>
      </c>
      <c r="AS48" s="199"/>
      <c r="AT48" s="245">
        <f>DATA!AT40</f>
        <v>26380000</v>
      </c>
      <c r="AU48" s="109" t="str">
        <f>DATA!AU40</f>
        <v>ADB</v>
      </c>
      <c r="AV48" s="246" t="str">
        <f>DATA!AW40</f>
        <v>-</v>
      </c>
    </row>
    <row r="49" spans="1:48" s="5" customFormat="1" ht="39.75" customHeight="1">
      <c r="J49" s="180"/>
      <c r="K49" s="50"/>
      <c r="L49" s="30" t="str">
        <f>DATA!I41</f>
        <v>E</v>
      </c>
      <c r="M49" s="3427" t="str">
        <f>DATA!J41</f>
        <v xml:space="preserve">Program Pembangunan Sistem Pengelolaan Air Limbah </v>
      </c>
      <c r="N49" s="3428"/>
      <c r="O49" s="31"/>
      <c r="P49" s="31"/>
      <c r="Q49" s="196"/>
      <c r="R49" s="197">
        <f>R50+R52+R53+R54+R58+R59+R60</f>
        <v>3583000000</v>
      </c>
      <c r="S49" s="198">
        <f t="shared" ref="S49:X49" si="6">S50+S52+S53+S54+S58+S59+S60</f>
        <v>2383200000</v>
      </c>
      <c r="T49" s="81">
        <f t="shared" si="6"/>
        <v>117900000</v>
      </c>
      <c r="U49" s="81">
        <f t="shared" si="6"/>
        <v>0</v>
      </c>
      <c r="V49" s="81">
        <f t="shared" si="6"/>
        <v>2501100000</v>
      </c>
      <c r="W49" s="81" t="e">
        <f t="shared" si="6"/>
        <v>#VALUE!</v>
      </c>
      <c r="X49" s="81" t="e">
        <f t="shared" si="6"/>
        <v>#VALUE!</v>
      </c>
      <c r="Y49" s="81">
        <f>SUM(Y50:Y60)</f>
        <v>3583000000</v>
      </c>
      <c r="Z49" s="81">
        <f t="shared" ref="Z49:AV49" si="7">SUM(Z50:Z60)</f>
        <v>0</v>
      </c>
      <c r="AA49" s="214">
        <f t="shared" si="7"/>
        <v>0</v>
      </c>
      <c r="AB49" s="198">
        <f t="shared" si="7"/>
        <v>0</v>
      </c>
      <c r="AC49" s="81">
        <f t="shared" si="7"/>
        <v>20170</v>
      </c>
      <c r="AD49" s="81">
        <f t="shared" si="7"/>
        <v>0</v>
      </c>
      <c r="AE49" s="81">
        <f t="shared" si="7"/>
        <v>0</v>
      </c>
      <c r="AF49" s="81">
        <f t="shared" si="7"/>
        <v>0</v>
      </c>
      <c r="AG49" s="81">
        <f t="shared" si="7"/>
        <v>0</v>
      </c>
      <c r="AH49" s="81">
        <f t="shared" si="7"/>
        <v>0</v>
      </c>
      <c r="AI49" s="228">
        <f t="shared" si="7"/>
        <v>0</v>
      </c>
      <c r="AJ49" s="229">
        <f t="shared" si="7"/>
        <v>0</v>
      </c>
      <c r="AK49" s="198">
        <f t="shared" si="7"/>
        <v>0</v>
      </c>
      <c r="AL49" s="81">
        <f t="shared" si="7"/>
        <v>0</v>
      </c>
      <c r="AM49" s="81">
        <f t="shared" si="7"/>
        <v>0</v>
      </c>
      <c r="AN49" s="81">
        <f t="shared" si="7"/>
        <v>0</v>
      </c>
      <c r="AO49" s="81">
        <f t="shared" si="7"/>
        <v>0</v>
      </c>
      <c r="AP49" s="81" t="e">
        <f t="shared" si="7"/>
        <v>#REF!</v>
      </c>
      <c r="AQ49" s="81">
        <f t="shared" si="7"/>
        <v>0</v>
      </c>
      <c r="AR49" s="81" t="e">
        <f t="shared" si="7"/>
        <v>#REF!</v>
      </c>
      <c r="AS49" s="243">
        <f t="shared" si="7"/>
        <v>0</v>
      </c>
      <c r="AT49" s="244">
        <f t="shared" si="7"/>
        <v>3583000000</v>
      </c>
      <c r="AU49" s="81" t="s">
        <v>21</v>
      </c>
      <c r="AV49" s="229">
        <f t="shared" si="7"/>
        <v>0</v>
      </c>
    </row>
    <row r="50" spans="1:48" ht="30" customHeight="1">
      <c r="J50" s="181"/>
      <c r="K50" s="34"/>
      <c r="L50" s="34"/>
      <c r="M50" s="3399">
        <v>33</v>
      </c>
      <c r="N50" s="3395" t="str">
        <f>DATA!L42</f>
        <v>Community Based Sanitation Program (SANIMAS)</v>
      </c>
      <c r="O50" s="183">
        <f>DATA!Q42</f>
        <v>0.5</v>
      </c>
      <c r="P50" s="183">
        <f>DATA!R42</f>
        <v>1</v>
      </c>
      <c r="Q50" s="206">
        <f>DATA!S42</f>
        <v>31</v>
      </c>
      <c r="R50" s="3410">
        <f>DATA!T41</f>
        <v>250000000</v>
      </c>
      <c r="S50" s="203">
        <f>DATA!U42</f>
        <v>0</v>
      </c>
      <c r="T50" s="87">
        <f>DATA!V42</f>
        <v>0</v>
      </c>
      <c r="U50" s="87">
        <f>DATA!W42</f>
        <v>0</v>
      </c>
      <c r="V50" s="87">
        <f>DATA!X42</f>
        <v>0</v>
      </c>
      <c r="W50" s="78" t="str">
        <f>DATA!Y42</f>
        <v>ADB</v>
      </c>
      <c r="X50" s="37" t="str">
        <f>DATA!Z42</f>
        <v>Multilateral</v>
      </c>
      <c r="Y50" s="37">
        <f>DATA!AA42</f>
        <v>125000000</v>
      </c>
      <c r="Z50" s="77">
        <v>0</v>
      </c>
      <c r="AA50" s="216" t="str">
        <f>DATA!Y42</f>
        <v>ADB</v>
      </c>
      <c r="AB50" s="201">
        <f>DATA!AG42</f>
        <v>0</v>
      </c>
      <c r="AC50" s="37">
        <f>DATA!AH42</f>
        <v>2016</v>
      </c>
      <c r="AD50" s="37" t="str">
        <f>DATA!AI42</f>
        <v>-</v>
      </c>
      <c r="AE50" s="152">
        <f>DATA!AM42</f>
        <v>0</v>
      </c>
      <c r="AF50" s="152" t="str">
        <f>DATA!AN42</f>
        <v>belum ada keterangan</v>
      </c>
      <c r="AG50" s="152" t="str">
        <f>DATA!AO42</f>
        <v>tidak butuh lahan</v>
      </c>
      <c r="AH50" s="37" t="str">
        <f>DATA!AJ42</f>
        <v>-</v>
      </c>
      <c r="AI50" s="56" t="str">
        <f>DATA!AK42</f>
        <v>Tidak ada kegiatan pengadaan lahan, lahan akan diperoleh dari masyarakat</v>
      </c>
      <c r="AJ50" s="230" t="str">
        <f>DATA!AL42</f>
        <v>-</v>
      </c>
      <c r="AK50" s="19">
        <f>DATA!AM42</f>
        <v>0</v>
      </c>
      <c r="AL50" s="37" t="str">
        <f>DATA!AN42</f>
        <v>belum ada keterangan</v>
      </c>
      <c r="AM50" s="37" t="str">
        <f>DATA!AO42</f>
        <v>tidak butuh lahan</v>
      </c>
      <c r="AN50" s="37" t="str">
        <f>DATA!AP42</f>
        <v>belum ada proses tender/lelang</v>
      </c>
      <c r="AO50" s="37" t="str">
        <f>DATA!AY42</f>
        <v>- Merupakan kelanjutan dari kegiatan Urban Sanitation and Rural Infrastructure Support to PNPM Mandiri Projrct (USRI) yang telah berakhir pada tanggal 30 Juni 2015
- Konfirmasi melalui e-mail tanggal 17, 18, dan 21 Sept 2015</v>
      </c>
      <c r="AP50" s="37" t="e">
        <f>DATA!#REF!</f>
        <v>#REF!</v>
      </c>
      <c r="AQ50" s="3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R50" s="152" t="e">
        <f>DATA!#REF!</f>
        <v>#REF!</v>
      </c>
      <c r="AS50" s="199" t="str">
        <f>DATA!BA42</f>
        <v>Bantuan langsung masyarakat, penguatan institusi pengelola, dan jasa konsultasi.</v>
      </c>
      <c r="AT50" s="245">
        <f>DATA!AT42</f>
        <v>125000000</v>
      </c>
      <c r="AU50" s="109" t="str">
        <f>DATA!AU42</f>
        <v>ADB</v>
      </c>
      <c r="AV50" s="246" t="str">
        <f>DATA!AW42</f>
        <v>-</v>
      </c>
    </row>
    <row r="51" spans="1:48" ht="27.75" customHeight="1">
      <c r="J51" s="181"/>
      <c r="K51" s="34"/>
      <c r="L51" s="34"/>
      <c r="M51" s="3400"/>
      <c r="N51" s="3396"/>
      <c r="O51" s="183"/>
      <c r="P51" s="183"/>
      <c r="Q51" s="206"/>
      <c r="R51" s="3409"/>
      <c r="S51" s="203">
        <f>DATA!U43</f>
        <v>0</v>
      </c>
      <c r="T51" s="87">
        <f>DATA!V43</f>
        <v>0</v>
      </c>
      <c r="U51" s="87">
        <f>DATA!W43</f>
        <v>0</v>
      </c>
      <c r="V51" s="87">
        <f>DATA!X43</f>
        <v>0</v>
      </c>
      <c r="W51" s="78" t="str">
        <f>DATA!Y43</f>
        <v>IDB</v>
      </c>
      <c r="X51" s="37" t="str">
        <f>DATA!Z43</f>
        <v>Multilateral</v>
      </c>
      <c r="Y51" s="37">
        <f>DATA!AA43</f>
        <v>125000000</v>
      </c>
      <c r="Z51" s="77">
        <v>0</v>
      </c>
      <c r="AA51" s="216" t="str">
        <f>DATA!Y43</f>
        <v>IDB</v>
      </c>
      <c r="AB51" s="201">
        <f>DATA!AG43</f>
        <v>0</v>
      </c>
      <c r="AC51" s="37">
        <f>DATA!AH43</f>
        <v>2017</v>
      </c>
      <c r="AD51" s="37" t="str">
        <f>DATA!AI43</f>
        <v>-</v>
      </c>
      <c r="AE51" s="152">
        <f>DATA!AM43</f>
        <v>0</v>
      </c>
      <c r="AF51" s="152" t="str">
        <f>DATA!AN43</f>
        <v>belum ada keterangan</v>
      </c>
      <c r="AG51" s="152" t="str">
        <f>DATA!AO43</f>
        <v>tidak butuh lahan</v>
      </c>
      <c r="AH51" s="37" t="str">
        <f>DATA!AJ43</f>
        <v>-</v>
      </c>
      <c r="AI51" s="56" t="str">
        <f>DATA!AK43</f>
        <v>Tidak ada kegiatan pengadaan lahan, lahan akan diperoleh dari masyarakat</v>
      </c>
      <c r="AJ51" s="230" t="str">
        <f>DATA!AL43</f>
        <v>-</v>
      </c>
      <c r="AK51" s="19">
        <f>DATA!AM43</f>
        <v>0</v>
      </c>
      <c r="AL51" s="37" t="str">
        <f>DATA!AN43</f>
        <v>belum ada keterangan</v>
      </c>
      <c r="AM51" s="37" t="str">
        <f>DATA!AO43</f>
        <v>tidak butuh lahan</v>
      </c>
      <c r="AN51" s="37" t="str">
        <f>DATA!AP43</f>
        <v>belum ada proses tender/lelang</v>
      </c>
      <c r="AO51" s="37" t="str">
        <f>DATA!AY43</f>
        <v>- Merupakan kelanjutan dari kegiatan Urban Sanitation and Rural Infrastructure Support to PNPM Mandiri Projrct (USRI) yang telah berakhir pada tanggal 30 Juni 2015
- Konfirmasi melalui surat Sekjen nomor KU.01.12-Sj/636 tgl 23 Oktober 2015</v>
      </c>
      <c r="AP51" s="37" t="e">
        <f>DATA!#REF!</f>
        <v>#REF!</v>
      </c>
      <c r="AQ51" s="3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R51" s="152" t="e">
        <f>DATA!#REF!</f>
        <v>#REF!</v>
      </c>
      <c r="AS51" s="199" t="str">
        <f>DATA!BA43</f>
        <v>Bantuan langsung masyarakat, penguatan institusi pengelola, dan jasa konsultasi.</v>
      </c>
      <c r="AT51" s="245">
        <f>DATA!AT43</f>
        <v>125000000</v>
      </c>
      <c r="AU51" s="109" t="str">
        <f>DATA!AU43</f>
        <v>IDB</v>
      </c>
      <c r="AV51" s="246" t="str">
        <f>DATA!AW43</f>
        <v>-</v>
      </c>
    </row>
    <row r="52" spans="1:48" ht="33" customHeight="1">
      <c r="A52" s="10">
        <f>DATA!A44</f>
        <v>36</v>
      </c>
      <c r="B52" s="10">
        <f>DATA!B44</f>
        <v>0</v>
      </c>
      <c r="C52" s="10" t="str">
        <f>DATA!D44</f>
        <v>INFRASTRUKTUR</v>
      </c>
      <c r="D52" s="10">
        <f>DATA!E44</f>
        <v>1</v>
      </c>
      <c r="E52" s="10" t="str">
        <f>DATA!F44</f>
        <v>Kementerian Pekerjaan Umum dan Perumahan Rakyat</v>
      </c>
      <c r="F52" s="10" t="str">
        <f>DATA!H44</f>
        <v>Development of Waste Water Management Program</v>
      </c>
      <c r="G52" s="10" t="str">
        <f>DATA!I44</f>
        <v>E</v>
      </c>
      <c r="H52" s="10" t="str">
        <f>DATA!J44</f>
        <v xml:space="preserve">Program Pembangunan Sistem Pengelolaan Air Limbah </v>
      </c>
      <c r="I52" s="10">
        <f>DATA!K44</f>
        <v>2</v>
      </c>
      <c r="J52" s="181"/>
      <c r="K52" s="34"/>
      <c r="L52" s="34"/>
      <c r="M52" s="36">
        <v>34</v>
      </c>
      <c r="N52" s="37" t="str">
        <f>DATA!L44</f>
        <v>Jakarta Sewerage Development Project - Zone 1 and Zone 6</v>
      </c>
      <c r="O52" s="20">
        <f>DATA!Q44</f>
        <v>1</v>
      </c>
      <c r="P52" s="20">
        <f>DATA!R44</f>
        <v>1</v>
      </c>
      <c r="Q52" s="186">
        <f>DATA!S44</f>
        <v>32</v>
      </c>
      <c r="R52" s="187">
        <f>DATA!T44</f>
        <v>1950000000</v>
      </c>
      <c r="S52" s="203">
        <f>DATA!U44</f>
        <v>1950000000</v>
      </c>
      <c r="T52" s="77">
        <f>DATA!V44</f>
        <v>97500000</v>
      </c>
      <c r="U52" s="77">
        <f>DATA!W44</f>
        <v>0</v>
      </c>
      <c r="V52" s="77">
        <f>DATA!X44</f>
        <v>2047500000</v>
      </c>
      <c r="W52" s="78" t="str">
        <f>DATA!Y44</f>
        <v>JICA</v>
      </c>
      <c r="X52" s="20" t="str">
        <f>DATA!Z44</f>
        <v>Bilateral</v>
      </c>
      <c r="Y52" s="77">
        <f>DATA!AA44</f>
        <v>1950000000</v>
      </c>
      <c r="Z52" s="77">
        <v>0</v>
      </c>
      <c r="AA52" s="216" t="str">
        <f>DATA!Y44</f>
        <v>JICA</v>
      </c>
      <c r="AB52" s="188">
        <f>DATA!AG44</f>
        <v>0</v>
      </c>
      <c r="AC52" s="20">
        <f>DATA!AH44</f>
        <v>2017</v>
      </c>
      <c r="AD52" s="37" t="str">
        <f>DATA!AI44</f>
        <v>-</v>
      </c>
      <c r="AE52" s="152">
        <f>DATA!AM44</f>
        <v>0</v>
      </c>
      <c r="AF52" s="152" t="str">
        <f>DATA!AN44</f>
        <v>dalam proses
(memiliki FS)</v>
      </c>
      <c r="AG52" s="152" t="str">
        <f>DATA!AO44</f>
        <v>dalam proses</v>
      </c>
      <c r="AH52" s="37" t="str">
        <f>DATA!AJ44</f>
        <v>- FS
- Penyusunan DED</v>
      </c>
      <c r="AI52" s="56" t="str">
        <f>DATA!AK44</f>
        <v>Lahan untuk IPAL sudah dibebaskan</v>
      </c>
      <c r="AJ52" s="230" t="str">
        <f>DATA!AL44</f>
        <v>-</v>
      </c>
      <c r="AK52" s="231">
        <f>DATA!AM44</f>
        <v>0</v>
      </c>
      <c r="AL52" s="20" t="str">
        <f>DATA!AN44</f>
        <v>dalam proses
(memiliki FS)</v>
      </c>
      <c r="AM52" s="20" t="str">
        <f>DATA!AO44</f>
        <v>dalam proses</v>
      </c>
      <c r="AN52" s="20" t="str">
        <f>DATA!AP44</f>
        <v>belum ada proses tender/lelang</v>
      </c>
      <c r="AO52" s="20" t="str">
        <f>DATA!AY44</f>
        <v>Konfirmasi melalui surat Sekjen nomor KU.01.12-Sj/636 tgl 23 Oktober 2015</v>
      </c>
      <c r="AP52" s="20" t="e">
        <f>DATA!#REF!</f>
        <v>#REF!</v>
      </c>
      <c r="AQ52" s="20">
        <f>DATA!AZ44</f>
        <v>0</v>
      </c>
      <c r="AR52" s="152" t="e">
        <f>DATA!#REF!</f>
        <v>#REF!</v>
      </c>
      <c r="AS52" s="199" t="str">
        <f>DATA!BA44</f>
        <v>Pembangunan jaringan perpipaan dan Instalasi Pengolahan Air Limbah (IPAL) terpusat di Zona-1 dan Zona-6, pembangunan unit stasiun pompa, serta penyusunan Detail Engineering Design (DED) untuk IPAL Terpusat Zona 6</v>
      </c>
      <c r="AT52" s="245">
        <f>DATA!AT44</f>
        <v>1950000000</v>
      </c>
      <c r="AU52" s="109" t="str">
        <f>DATA!AU44</f>
        <v>JICA</v>
      </c>
      <c r="AV52" s="246" t="str">
        <f>DATA!AW44</f>
        <v>-</v>
      </c>
    </row>
    <row r="53" spans="1:48" ht="90.75" customHeight="1">
      <c r="A53" s="10">
        <f>DATA!A45</f>
        <v>37</v>
      </c>
      <c r="B53" s="10">
        <f>DATA!B45</f>
        <v>0</v>
      </c>
      <c r="C53" s="10" t="str">
        <f>DATA!D45</f>
        <v>INFRASTRUKTUR</v>
      </c>
      <c r="D53" s="10">
        <f>DATA!E45</f>
        <v>1</v>
      </c>
      <c r="E53" s="10" t="str">
        <f>DATA!F45</f>
        <v>Kementerian Pekerjaan Umum dan Perumahan Rakyat</v>
      </c>
      <c r="F53" s="10" t="str">
        <f>DATA!H45</f>
        <v>Development of Waste Water Management Program</v>
      </c>
      <c r="G53" s="10" t="str">
        <f>DATA!I45</f>
        <v>E</v>
      </c>
      <c r="H53" s="10" t="str">
        <f>DATA!J45</f>
        <v xml:space="preserve">Program Pembangunan Sistem Pengelolaan Air Limbah </v>
      </c>
      <c r="I53" s="10">
        <f>DATA!K45</f>
        <v>3</v>
      </c>
      <c r="J53" s="181"/>
      <c r="K53" s="34"/>
      <c r="L53" s="34"/>
      <c r="M53" s="36">
        <v>35</v>
      </c>
      <c r="N53" s="37" t="str">
        <f>DATA!L45</f>
        <v>The Development of Sewage Treatment Plant Facility in Priority Area</v>
      </c>
      <c r="O53" s="20">
        <f>DATA!Q45</f>
        <v>1</v>
      </c>
      <c r="P53" s="20">
        <f>DATA!R45</f>
        <v>1</v>
      </c>
      <c r="Q53" s="186">
        <f>DATA!S45</f>
        <v>33</v>
      </c>
      <c r="R53" s="187">
        <f>DATA!T45</f>
        <v>75000000</v>
      </c>
      <c r="S53" s="203">
        <f>DATA!U45</f>
        <v>75000000</v>
      </c>
      <c r="T53" s="77">
        <f>DATA!V45</f>
        <v>3750000</v>
      </c>
      <c r="U53" s="77">
        <f>DATA!W45</f>
        <v>0</v>
      </c>
      <c r="V53" s="77">
        <f>DATA!X45</f>
        <v>78750000</v>
      </c>
      <c r="W53" s="78" t="str">
        <f>DATA!Y45</f>
        <v>Bank Dunia/JICA</v>
      </c>
      <c r="X53" s="20" t="str">
        <f>DATA!Z45</f>
        <v>Multi Lender</v>
      </c>
      <c r="Y53" s="77">
        <f>DATA!AA45</f>
        <v>75000000</v>
      </c>
      <c r="Z53" s="77">
        <v>0</v>
      </c>
      <c r="AA53" s="216" t="str">
        <f>DATA!Y45</f>
        <v>Bank Dunia/JICA</v>
      </c>
      <c r="AB53" s="188">
        <f>DATA!AG45</f>
        <v>0</v>
      </c>
      <c r="AC53" s="20">
        <f>DATA!AH45</f>
        <v>2018</v>
      </c>
      <c r="AD53" s="37" t="str">
        <f>DATA!AI45</f>
        <v>-</v>
      </c>
      <c r="AE53" s="152">
        <f>DATA!AM45</f>
        <v>0</v>
      </c>
      <c r="AF53" s="152" t="str">
        <f>DATA!AN45</f>
        <v>dalam proses
(memiliki FS)</v>
      </c>
      <c r="AG53" s="152" t="str">
        <f>DATA!AO45</f>
        <v>belum ada keterangan</v>
      </c>
      <c r="AH53" s="37" t="str">
        <f>DATA!AJ45</f>
        <v>FS disiapkan melalui APBN TA 2015</v>
      </c>
      <c r="AI53" s="56" t="str">
        <f>DATA!AK45</f>
        <v>-</v>
      </c>
      <c r="AJ53" s="230" t="str">
        <f>DATA!AL45</f>
        <v>-</v>
      </c>
      <c r="AK53" s="231">
        <f>DATA!AM45</f>
        <v>0</v>
      </c>
      <c r="AL53" s="20" t="str">
        <f>DATA!AN45</f>
        <v>dalam proses
(memiliki FS)</v>
      </c>
      <c r="AM53" s="20" t="str">
        <f>DATA!AO45</f>
        <v>belum ada keterangan</v>
      </c>
      <c r="AN53" s="20" t="str">
        <f>DATA!AP45</f>
        <v>belum ada proses tender/lelang</v>
      </c>
      <c r="AO53" s="20" t="str">
        <f>DATA!AY45</f>
        <v>- Sedang dalam konsep desain bentuk kegiatan
- 'Konfirmasi melalui surat Sekjen nomor KU.01.12-Sj/636 tgl 23 Oktober 2015</v>
      </c>
      <c r="AP53" s="20" t="e">
        <f>DATA!#REF!</f>
        <v>#REF!</v>
      </c>
      <c r="AQ53" s="20" t="str">
        <f>DATA!AZ45</f>
        <v>JICA diindikasikan juga akan mendanai kegaiatan ini</v>
      </c>
      <c r="AR53" s="152" t="e">
        <f>DATA!#REF!</f>
        <v>#REF!</v>
      </c>
      <c r="AS53" s="199" t="str">
        <f>DATA!BA45</f>
        <v>Penyediaan sarana prasarana Instalasi Pengolahan Lumpur Tinja (IPLT), seperti mobil tinja, pompa penyedot dan unit IPLT.</v>
      </c>
      <c r="AT53" s="245">
        <f>DATA!AT45</f>
        <v>75000000</v>
      </c>
      <c r="AU53" s="109" t="str">
        <f>DATA!AU45</f>
        <v>Bank Dunia</v>
      </c>
      <c r="AV53" s="246" t="str">
        <f>DATA!AW45</f>
        <v xml:space="preserve">- usulan K/L lender: Bank Dunia/JICA/ADB. 
- pihak Bank Dunia berminat, ADB dan JICA tidak berminat
- dalam rencana pembiayaan Bank Dunia, kegiatan ini dijadikan satu paket dengan kegiatan "Sewerage System Development in Indonesia" </v>
      </c>
    </row>
    <row r="54" spans="1:48" ht="57" customHeight="1">
      <c r="A54" s="10">
        <f>DATA!A47</f>
        <v>38</v>
      </c>
      <c r="B54" s="10">
        <f>DATA!B47</f>
        <v>0</v>
      </c>
      <c r="C54" s="10" t="str">
        <f>DATA!D47</f>
        <v>INFRASTRUKTUR</v>
      </c>
      <c r="D54" s="10">
        <f>DATA!E47</f>
        <v>1</v>
      </c>
      <c r="E54" s="10" t="str">
        <f>DATA!F47</f>
        <v>Kementerian Pekerjaan Umum dan Perumahan Rakyat</v>
      </c>
      <c r="F54" s="10" t="str">
        <f>DATA!H47</f>
        <v>Development of Waste Water Management Program</v>
      </c>
      <c r="G54" s="10" t="str">
        <f>DATA!I47</f>
        <v>E</v>
      </c>
      <c r="H54" s="10" t="str">
        <f>DATA!J47</f>
        <v xml:space="preserve">Program Pembangunan Sistem Pengelolaan Air Limbah </v>
      </c>
      <c r="I54" s="10">
        <f>DATA!K47</f>
        <v>4</v>
      </c>
      <c r="J54" s="181"/>
      <c r="K54" s="34"/>
      <c r="L54" s="34"/>
      <c r="M54" s="3390">
        <v>36</v>
      </c>
      <c r="N54" s="3393" t="str">
        <f>DATA!L47</f>
        <v>Sewerage System Development in Indonesia</v>
      </c>
      <c r="O54" s="20">
        <f>DATA!Q47</f>
        <v>0.25</v>
      </c>
      <c r="P54" s="20">
        <f>DATA!R47</f>
        <v>0</v>
      </c>
      <c r="Q54" s="186">
        <f>DATA!S47</f>
        <v>0</v>
      </c>
      <c r="R54" s="3403">
        <f>DATA!T46</f>
        <v>975000000</v>
      </c>
      <c r="S54" s="203">
        <f>DATA!U47</f>
        <v>0</v>
      </c>
      <c r="T54" s="77">
        <f>DATA!V47</f>
        <v>0</v>
      </c>
      <c r="U54" s="77">
        <f>DATA!W47</f>
        <v>0</v>
      </c>
      <c r="V54" s="77">
        <f>DATA!X47</f>
        <v>0</v>
      </c>
      <c r="W54" s="78" t="str">
        <f>DATA!Y47</f>
        <v>ADB</v>
      </c>
      <c r="X54" s="20" t="str">
        <f>DATA!Z47</f>
        <v>Multilateral</v>
      </c>
      <c r="Y54" s="3414">
        <f>DATA!AA47</f>
        <v>424800000</v>
      </c>
      <c r="Z54" s="3414">
        <v>0</v>
      </c>
      <c r="AA54" s="3416" t="str">
        <f>DATA!Y47</f>
        <v>ADB</v>
      </c>
      <c r="AB54" s="188">
        <f>DATA!AG47</f>
        <v>0</v>
      </c>
      <c r="AC54" s="20">
        <f>DATA!AH47</f>
        <v>2017</v>
      </c>
      <c r="AD54" s="37" t="str">
        <f>DATA!AI47</f>
        <v>-</v>
      </c>
      <c r="AE54" s="152">
        <f>DATA!AM47</f>
        <v>0</v>
      </c>
      <c r="AF54" s="152" t="str">
        <f>DATA!AN47</f>
        <v>belum ada keterangan</v>
      </c>
      <c r="AG54" s="152" t="str">
        <f>DATA!AO47</f>
        <v>belum ada keterangan</v>
      </c>
      <c r="AH54" s="37" t="str">
        <f>DATA!AJ47</f>
        <v>-</v>
      </c>
      <c r="AI54" s="56" t="str">
        <f>DATA!AK47</f>
        <v>-</v>
      </c>
      <c r="AJ54" s="230" t="str">
        <f>DATA!AL47</f>
        <v>-</v>
      </c>
      <c r="AK54" s="231">
        <f>DATA!AM47</f>
        <v>0</v>
      </c>
      <c r="AL54" s="20" t="str">
        <f>DATA!AN47</f>
        <v>belum ada keterangan</v>
      </c>
      <c r="AM54" s="20" t="str">
        <f>DATA!AO47</f>
        <v>belum ada keterangan</v>
      </c>
      <c r="AN54" s="20" t="str">
        <f>DATA!AP47</f>
        <v>belum ada proses tender/lelang</v>
      </c>
      <c r="AO54" s="20" t="str">
        <f>DATA!AY47</f>
        <v>- termasuk ESP senilai USD 26,38 juta, indikasi Lender ADB
- belum ada proses penyiapan
- Konfirmasi melalui surat Sekjen nomor KU.01.12-Sj/636 tgl 23 Oktober 2015</v>
      </c>
      <c r="AP54" s="20" t="e">
        <f>DATA!#REF!</f>
        <v>#REF!</v>
      </c>
      <c r="AQ54" s="20" t="str">
        <f>DATA!AZ47</f>
        <v>Sudah ada pembicaraan awal</v>
      </c>
      <c r="AR54" s="152" t="e">
        <f>DATA!#REF!</f>
        <v>#REF!</v>
      </c>
      <c r="AS54" s="199" t="str">
        <f>DATA!BA47</f>
        <v>Pembangunan fisik sarana dan prasarana sanitasi serta Instalasi Pengolahan Air Limbah (IPAL) dan penguatan kapasitas lembaga pengelola</v>
      </c>
      <c r="AT54" s="245">
        <f>DATA!AT47</f>
        <v>400000000</v>
      </c>
      <c r="AU54" s="109" t="str">
        <f>DATA!AU47</f>
        <v>ADB</v>
      </c>
      <c r="AV54" s="246" t="str">
        <f>DATA!AW47</f>
        <v>- nilai kegiatan yang tercantum dalam COBP ADB sebesar USD 400 juta.
- nilai kegiatan berkurang sebesar USD 25,2 yang dialihkan untuk membiayai kegiatan ES</v>
      </c>
    </row>
    <row r="55" spans="1:48" ht="29.25" customHeight="1">
      <c r="J55" s="181"/>
      <c r="K55" s="34"/>
      <c r="L55" s="34"/>
      <c r="M55" s="3392"/>
      <c r="N55" s="3397"/>
      <c r="O55" s="20"/>
      <c r="P55" s="20"/>
      <c r="Q55" s="186"/>
      <c r="R55" s="3405"/>
      <c r="S55" s="203"/>
      <c r="T55" s="77"/>
      <c r="U55" s="77"/>
      <c r="V55" s="77"/>
      <c r="W55" s="78"/>
      <c r="X55" s="20"/>
      <c r="Y55" s="3415"/>
      <c r="Z55" s="3415"/>
      <c r="AA55" s="3417"/>
      <c r="AB55" s="188"/>
      <c r="AC55" s="20"/>
      <c r="AD55" s="37"/>
      <c r="AE55" s="152"/>
      <c r="AF55" s="152"/>
      <c r="AG55" s="152"/>
      <c r="AH55" s="37"/>
      <c r="AI55" s="56"/>
      <c r="AJ55" s="230"/>
      <c r="AK55" s="231"/>
      <c r="AL55" s="20"/>
      <c r="AM55" s="20"/>
      <c r="AN55" s="20"/>
      <c r="AO55" s="20"/>
      <c r="AP55" s="20"/>
      <c r="AQ55" s="20"/>
      <c r="AR55" s="152"/>
      <c r="AS55" s="199"/>
      <c r="AT55" s="245">
        <f>DATA!AT50</f>
        <v>24800000</v>
      </c>
      <c r="AU55" s="109" t="str">
        <f>DATA!AU50</f>
        <v>Belum Ada Indikasi</v>
      </c>
      <c r="AV55" s="248" t="str">
        <f>DATA!AW50</f>
        <v>co-financing dengan ADB (USD 400 juta), IDB (USD 325 juta) &amp; Bank Dunia (USD 200 juta)</v>
      </c>
    </row>
    <row r="56" spans="1:48" ht="30.75" customHeight="1">
      <c r="A56" s="10">
        <f>DATA!A48</f>
        <v>39</v>
      </c>
      <c r="B56" s="10">
        <f>DATA!B48</f>
        <v>0</v>
      </c>
      <c r="C56" s="10" t="str">
        <f>DATA!D48</f>
        <v>INFRASTRUKTUR</v>
      </c>
      <c r="D56" s="10">
        <f>DATA!E48</f>
        <v>1</v>
      </c>
      <c r="E56" s="10" t="str">
        <f>DATA!F48</f>
        <v>Kementerian Pekerjaan Umum dan Perumahan Rakyat</v>
      </c>
      <c r="F56" s="10" t="str">
        <f>DATA!H48</f>
        <v>Development of Waste Water Management Program</v>
      </c>
      <c r="G56" s="10" t="str">
        <f>DATA!I48</f>
        <v>E</v>
      </c>
      <c r="H56" s="10" t="str">
        <f>DATA!J48</f>
        <v xml:space="preserve">Program Pembangunan Sistem Pengelolaan Air Limbah </v>
      </c>
      <c r="I56" s="10">
        <f>DATA!K48</f>
        <v>4</v>
      </c>
      <c r="J56" s="181"/>
      <c r="K56" s="34"/>
      <c r="L56" s="34"/>
      <c r="M56" s="3392"/>
      <c r="N56" s="3397"/>
      <c r="O56" s="20"/>
      <c r="P56" s="20"/>
      <c r="Q56" s="186"/>
      <c r="R56" s="3405"/>
      <c r="S56" s="203">
        <f>DATA!U48</f>
        <v>0</v>
      </c>
      <c r="T56" s="77">
        <f>DATA!V48</f>
        <v>0</v>
      </c>
      <c r="U56" s="77">
        <f>DATA!W48</f>
        <v>0</v>
      </c>
      <c r="V56" s="77">
        <f>DATA!X48</f>
        <v>0</v>
      </c>
      <c r="W56" s="78" t="str">
        <f>DATA!Y48</f>
        <v>IDB</v>
      </c>
      <c r="X56" s="20" t="str">
        <f>DATA!Z48</f>
        <v>Multilateral</v>
      </c>
      <c r="Y56" s="77">
        <f>DATA!AA48</f>
        <v>325000000</v>
      </c>
      <c r="Z56" s="77">
        <v>0</v>
      </c>
      <c r="AA56" s="216" t="str">
        <f>DATA!Y48</f>
        <v>IDB</v>
      </c>
      <c r="AB56" s="188">
        <f>DATA!AG48</f>
        <v>0</v>
      </c>
      <c r="AC56" s="20">
        <f>DATA!AH48</f>
        <v>2017</v>
      </c>
      <c r="AD56" s="37" t="str">
        <f>DATA!AI48</f>
        <v>-</v>
      </c>
      <c r="AE56" s="152">
        <f>DATA!AM48</f>
        <v>0</v>
      </c>
      <c r="AF56" s="152" t="str">
        <f>DATA!AN48</f>
        <v>belum ada keterangan</v>
      </c>
      <c r="AG56" s="152" t="str">
        <f>DATA!AO48</f>
        <v>belum ada keterangan</v>
      </c>
      <c r="AH56" s="37" t="str">
        <f>DATA!AJ48</f>
        <v>-</v>
      </c>
      <c r="AI56" s="56" t="str">
        <f>DATA!AK48</f>
        <v>-</v>
      </c>
      <c r="AJ56" s="230" t="str">
        <f>DATA!AL48</f>
        <v>-</v>
      </c>
      <c r="AK56" s="231">
        <f>DATA!AM48</f>
        <v>0</v>
      </c>
      <c r="AL56" s="20" t="str">
        <f>DATA!AN48</f>
        <v>belum ada keterangan</v>
      </c>
      <c r="AM56" s="20" t="str">
        <f>DATA!AO48</f>
        <v>belum ada keterangan</v>
      </c>
      <c r="AN56" s="20" t="str">
        <f>DATA!AP48</f>
        <v>belum ada proses tender/lelang</v>
      </c>
      <c r="AO56" s="20" t="str">
        <f>DATA!AY48</f>
        <v>- belum ada proses penyiapan
- Konfirmasi melalui surat Sekjen nomor KU.01.12-Sj/636 tgl 23 Oktober 2015</v>
      </c>
      <c r="AP56" s="20" t="e">
        <f>DATA!#REF!</f>
        <v>#REF!</v>
      </c>
      <c r="AQ56" s="20" t="str">
        <f>DATA!AZ48</f>
        <v>Sudah ada pembicaraan awal</v>
      </c>
      <c r="AR56" s="152" t="e">
        <f>DATA!#REF!</f>
        <v>#REF!</v>
      </c>
      <c r="AS56" s="199" t="str">
        <f>DATA!BA48</f>
        <v>Pembangunan fisik sarana dan prasarana sanitasi serta Instalasi Pengolahan Air Limbah (IPAL) dan penguatan kapasitas lembaga pengelola</v>
      </c>
      <c r="AT56" s="245">
        <f>DATA!AT48</f>
        <v>325000000</v>
      </c>
      <c r="AU56" s="109" t="str">
        <f>DATA!AU48</f>
        <v>IDB</v>
      </c>
      <c r="AV56" s="246" t="str">
        <f>DATA!AW48</f>
        <v>-</v>
      </c>
    </row>
    <row r="57" spans="1:48" ht="29.25" customHeight="1">
      <c r="A57" s="10">
        <f>DATA!A49</f>
        <v>40</v>
      </c>
      <c r="B57" s="10">
        <f>DATA!B49</f>
        <v>0</v>
      </c>
      <c r="C57" s="10" t="str">
        <f>DATA!D49</f>
        <v>INFRASTRUKTUR</v>
      </c>
      <c r="D57" s="10">
        <f>DATA!E49</f>
        <v>1</v>
      </c>
      <c r="E57" s="10" t="str">
        <f>DATA!F49</f>
        <v>Kementerian Pekerjaan Umum dan Perumahan Rakyat</v>
      </c>
      <c r="F57" s="10" t="str">
        <f>DATA!H49</f>
        <v>Development of Waste Water Management Program</v>
      </c>
      <c r="G57" s="10" t="str">
        <f>DATA!I49</f>
        <v>E</v>
      </c>
      <c r="H57" s="10" t="str">
        <f>DATA!J49</f>
        <v xml:space="preserve">Program Pembangunan Sistem Pengelolaan Air Limbah </v>
      </c>
      <c r="I57" s="10">
        <f>DATA!K49</f>
        <v>4</v>
      </c>
      <c r="J57" s="181"/>
      <c r="K57" s="34"/>
      <c r="L57" s="34"/>
      <c r="M57" s="3391"/>
      <c r="N57" s="3394"/>
      <c r="O57" s="20"/>
      <c r="P57" s="20"/>
      <c r="Q57" s="186"/>
      <c r="R57" s="3404"/>
      <c r="S57" s="203">
        <f>DATA!U49</f>
        <v>0</v>
      </c>
      <c r="T57" s="77">
        <f>DATA!V49</f>
        <v>0</v>
      </c>
      <c r="U57" s="77">
        <f>DATA!W49</f>
        <v>0</v>
      </c>
      <c r="V57" s="77">
        <f>DATA!X49</f>
        <v>0</v>
      </c>
      <c r="W57" s="78" t="str">
        <f>DATA!Y49</f>
        <v>Bank Dunia</v>
      </c>
      <c r="X57" s="20" t="str">
        <f>DATA!Z49</f>
        <v>Multilateral</v>
      </c>
      <c r="Y57" s="77">
        <f>DATA!AA49</f>
        <v>200000000</v>
      </c>
      <c r="Z57" s="77">
        <v>0</v>
      </c>
      <c r="AA57" s="216" t="str">
        <f>DATA!Y49</f>
        <v>Bank Dunia</v>
      </c>
      <c r="AB57" s="188">
        <f>DATA!AG49</f>
        <v>0</v>
      </c>
      <c r="AC57" s="20">
        <f>DATA!AH49</f>
        <v>2017</v>
      </c>
      <c r="AD57" s="37" t="str">
        <f>DATA!AI49</f>
        <v>-</v>
      </c>
      <c r="AE57" s="152">
        <f>DATA!AM49</f>
        <v>0</v>
      </c>
      <c r="AF57" s="152" t="str">
        <f>DATA!AN49</f>
        <v>belum ada keterangan</v>
      </c>
      <c r="AG57" s="152" t="str">
        <f>DATA!AO49</f>
        <v>belum ada keterangan</v>
      </c>
      <c r="AH57" s="37" t="str">
        <f>DATA!AJ49</f>
        <v>-</v>
      </c>
      <c r="AI57" s="56" t="str">
        <f>DATA!AK49</f>
        <v>-</v>
      </c>
      <c r="AJ57" s="230" t="str">
        <f>DATA!AL49</f>
        <v>-</v>
      </c>
      <c r="AK57" s="231">
        <f>DATA!AM49</f>
        <v>0</v>
      </c>
      <c r="AL57" s="20" t="str">
        <f>DATA!AN49</f>
        <v>belum ada keterangan</v>
      </c>
      <c r="AM57" s="20" t="str">
        <f>DATA!AO49</f>
        <v>belum ada keterangan</v>
      </c>
      <c r="AN57" s="20" t="str">
        <f>DATA!AP49</f>
        <v>belum ada proses tender/lelang</v>
      </c>
      <c r="AO57" s="20" t="str">
        <f>DATA!AY49</f>
        <v>- belum ada proses penyiapan
- Konfirmasi melalui surat Sekjen nomor KU.01.12-Sj/636 tgl 23 Oktober 2015</v>
      </c>
      <c r="AP57" s="20" t="e">
        <f>DATA!#REF!</f>
        <v>#REF!</v>
      </c>
      <c r="AQ57" s="20" t="str">
        <f>DATA!AZ49</f>
        <v>Sudah ada pembicaraan awal</v>
      </c>
      <c r="AR57" s="152" t="e">
        <f>DATA!#REF!</f>
        <v>#REF!</v>
      </c>
      <c r="AS57" s="199" t="str">
        <f>DATA!BA49</f>
        <v>Pembangunan fisik sarana dan prasarana sanitasi serta Instalasi Pengolahan Air Limbah (IPAL) dan penguatan kapasitas lembaga pengelola</v>
      </c>
      <c r="AT57" s="245">
        <f>DATA!AT49</f>
        <v>200000000</v>
      </c>
      <c r="AU57" s="109" t="str">
        <f>DATA!AU49</f>
        <v>Bank Dunia</v>
      </c>
      <c r="AV57" s="246" t="str">
        <f>DATA!AW49</f>
        <v>-</v>
      </c>
    </row>
    <row r="58" spans="1:48" ht="39.75" customHeight="1">
      <c r="A58" s="10">
        <f>DATA!A51</f>
        <v>41</v>
      </c>
      <c r="B58" s="10">
        <f>DATA!B51</f>
        <v>0</v>
      </c>
      <c r="C58" s="10" t="str">
        <f>DATA!D51</f>
        <v>INFRASTRUKTUR</v>
      </c>
      <c r="D58" s="10">
        <f>DATA!E51</f>
        <v>1</v>
      </c>
      <c r="E58" s="10" t="str">
        <f>DATA!F51</f>
        <v>Kementerian Pekerjaan Umum dan Perumahan Rakyat</v>
      </c>
      <c r="F58" s="10" t="str">
        <f>DATA!H51</f>
        <v>Development of Waste Water Management Program</v>
      </c>
      <c r="G58" s="10" t="str">
        <f>DATA!I51</f>
        <v>E</v>
      </c>
      <c r="H58" s="10" t="str">
        <f>DATA!J51</f>
        <v xml:space="preserve">Program Pembangunan Sistem Pengelolaan Air Limbah </v>
      </c>
      <c r="I58" s="10">
        <f>DATA!K51</f>
        <v>5</v>
      </c>
      <c r="J58" s="181"/>
      <c r="K58" s="34"/>
      <c r="L58" s="34"/>
      <c r="M58" s="36">
        <v>37</v>
      </c>
      <c r="N58" s="37" t="str">
        <f>DATA!L51</f>
        <v>Denpasar Sewerage Development Project - Phase III</v>
      </c>
      <c r="O58" s="20">
        <f>DATA!Q51</f>
        <v>1</v>
      </c>
      <c r="P58" s="20">
        <f>DATA!R51</f>
        <v>1</v>
      </c>
      <c r="Q58" s="186">
        <f>DATA!S51</f>
        <v>35</v>
      </c>
      <c r="R58" s="187">
        <f>DATA!T51</f>
        <v>233000000</v>
      </c>
      <c r="S58" s="203">
        <f>DATA!U51</f>
        <v>233000000</v>
      </c>
      <c r="T58" s="77">
        <f>DATA!V51</f>
        <v>11650000</v>
      </c>
      <c r="U58" s="77">
        <f>DATA!W51</f>
        <v>0</v>
      </c>
      <c r="V58" s="77">
        <f>DATA!X51</f>
        <v>244650000</v>
      </c>
      <c r="W58" s="78" t="str">
        <f>DATA!Y51</f>
        <v>JICA</v>
      </c>
      <c r="X58" s="20" t="str">
        <f>DATA!Z51</f>
        <v>Bilateral</v>
      </c>
      <c r="Y58" s="77">
        <f>DATA!AA51</f>
        <v>233000000</v>
      </c>
      <c r="Z58" s="77">
        <v>0</v>
      </c>
      <c r="AA58" s="216" t="str">
        <f>DATA!Y51</f>
        <v>JICA</v>
      </c>
      <c r="AB58" s="188">
        <f>DATA!AG51</f>
        <v>0</v>
      </c>
      <c r="AC58" s="20">
        <f>DATA!AH51</f>
        <v>2018</v>
      </c>
      <c r="AD58" s="37" t="str">
        <f>DATA!AI51</f>
        <v>-</v>
      </c>
      <c r="AE58" s="152">
        <f>DATA!AM51</f>
        <v>0</v>
      </c>
      <c r="AF58" s="152" t="str">
        <f>DATA!AN51</f>
        <v>dalam proses
(memiliki FS)</v>
      </c>
      <c r="AG58" s="152" t="str">
        <f>DATA!AO51</f>
        <v>belum ada keterangan</v>
      </c>
      <c r="AH58" s="37" t="str">
        <f>DATA!AJ51</f>
        <v>Penyusunan DED</v>
      </c>
      <c r="AI58" s="56" t="str">
        <f>DATA!AK51</f>
        <v>-</v>
      </c>
      <c r="AJ58" s="230" t="str">
        <f>DATA!AL51</f>
        <v>-</v>
      </c>
      <c r="AK58" s="231">
        <f>DATA!AM51</f>
        <v>0</v>
      </c>
      <c r="AL58" s="20" t="str">
        <f>DATA!AN51</f>
        <v>dalam proses
(memiliki FS)</v>
      </c>
      <c r="AM58" s="20" t="str">
        <f>DATA!AO51</f>
        <v>belum ada keterangan</v>
      </c>
      <c r="AN58" s="20" t="str">
        <f>DATA!AP51</f>
        <v>belum ada proses tender/lelang</v>
      </c>
      <c r="AO58" s="20" t="str">
        <f>DATA!AY51</f>
        <v>Konfirmasi melalui surat Sekjen nomor KU.01.12-Sj/636 tgl 23 Oktober 2015</v>
      </c>
      <c r="AP58" s="20" t="e">
        <f>DATA!#REF!</f>
        <v>#REF!</v>
      </c>
      <c r="AQ58" s="20">
        <f>DATA!AZ51</f>
        <v>0</v>
      </c>
      <c r="AR58" s="152" t="e">
        <f>DATA!#REF!</f>
        <v>#REF!</v>
      </c>
      <c r="AS58" s="199" t="str">
        <f>DATA!BA51</f>
        <v>Pembangunan jaringan perpipaan dengan area pelayanan 2.200 Ha, stasiun pompa sejumlah 2 unit, dan instalasi pengolahan air limbah.</v>
      </c>
      <c r="AT58" s="245">
        <f>DATA!AT51</f>
        <v>233000000</v>
      </c>
      <c r="AU58" s="109" t="str">
        <f>DATA!AU51</f>
        <v>JICA</v>
      </c>
      <c r="AV58" s="246" t="str">
        <f>DATA!AW51</f>
        <v>-</v>
      </c>
    </row>
    <row r="59" spans="1:48" ht="37.5" customHeight="1">
      <c r="A59" s="10">
        <f>DATA!A52</f>
        <v>42</v>
      </c>
      <c r="B59" s="10">
        <f>DATA!B52</f>
        <v>0</v>
      </c>
      <c r="C59" s="10" t="str">
        <f>DATA!D52</f>
        <v>INFRASTRUKTUR</v>
      </c>
      <c r="D59" s="10">
        <f>DATA!E52</f>
        <v>1</v>
      </c>
      <c r="E59" s="10" t="str">
        <f>DATA!F52</f>
        <v>Kementerian Pekerjaan Umum dan Perumahan Rakyat</v>
      </c>
      <c r="F59" s="10" t="str">
        <f>DATA!H52</f>
        <v>Development of Waste Water Management Program</v>
      </c>
      <c r="G59" s="10" t="str">
        <f>DATA!I52</f>
        <v>E</v>
      </c>
      <c r="H59" s="10" t="str">
        <f>DATA!J52</f>
        <v xml:space="preserve">Program Pembangunan Sistem Pengelolaan Air Limbah </v>
      </c>
      <c r="I59" s="10">
        <f>DATA!K52</f>
        <v>6</v>
      </c>
      <c r="J59" s="181"/>
      <c r="K59" s="34"/>
      <c r="L59" s="54"/>
      <c r="M59" s="36">
        <v>38</v>
      </c>
      <c r="N59" s="37" t="str">
        <f>DATA!L52</f>
        <v>The Development and Optimization of Wastewater Treatment in Greater Bandung</v>
      </c>
      <c r="O59" s="20">
        <f>DATA!Q52</f>
        <v>1</v>
      </c>
      <c r="P59" s="20">
        <f>DATA!R52</f>
        <v>1</v>
      </c>
      <c r="Q59" s="186">
        <f>DATA!S52</f>
        <v>36</v>
      </c>
      <c r="R59" s="187">
        <f>DATA!T52</f>
        <v>100000000</v>
      </c>
      <c r="S59" s="203">
        <f>DATA!U52</f>
        <v>100000000</v>
      </c>
      <c r="T59" s="77">
        <f>DATA!V52</f>
        <v>5000000</v>
      </c>
      <c r="U59" s="77">
        <f>DATA!W52</f>
        <v>0</v>
      </c>
      <c r="V59" s="77">
        <f>DATA!X52</f>
        <v>105000000</v>
      </c>
      <c r="W59" s="78" t="str">
        <f>DATA!Y52</f>
        <v>Jerman (KfW)</v>
      </c>
      <c r="X59" s="20" t="str">
        <f>DATA!Z52</f>
        <v>Bilateral</v>
      </c>
      <c r="Y59" s="77">
        <f>DATA!AA52</f>
        <v>100000000</v>
      </c>
      <c r="Z59" s="77">
        <v>0</v>
      </c>
      <c r="AA59" s="216" t="str">
        <f>DATA!Y52</f>
        <v>Jerman (KfW)</v>
      </c>
      <c r="AB59" s="188">
        <f>DATA!AG52</f>
        <v>0</v>
      </c>
      <c r="AC59" s="20">
        <f>DATA!AH52</f>
        <v>2017</v>
      </c>
      <c r="AD59" s="37" t="str">
        <f>DATA!AI52</f>
        <v>Master Plan</v>
      </c>
      <c r="AE59" s="152">
        <f>DATA!AM52</f>
        <v>0</v>
      </c>
      <c r="AF59" s="152" t="str">
        <f>DATA!AN52</f>
        <v>dalam proses
(penyusunan FS)</v>
      </c>
      <c r="AG59" s="152" t="str">
        <f>DATA!AO52</f>
        <v>belum ada keterangan</v>
      </c>
      <c r="AH59" s="37" t="str">
        <f>DATA!AJ52</f>
        <v>Pra FS</v>
      </c>
      <c r="AI59" s="56" t="str">
        <f>DATA!AK52</f>
        <v>-</v>
      </c>
      <c r="AJ59" s="230" t="str">
        <f>DATA!AL52</f>
        <v>-</v>
      </c>
      <c r="AK59" s="231">
        <f>DATA!AM52</f>
        <v>0</v>
      </c>
      <c r="AL59" s="20" t="str">
        <f>DATA!AN52</f>
        <v>dalam proses
(penyusunan FS)</v>
      </c>
      <c r="AM59" s="20" t="str">
        <f>DATA!AO52</f>
        <v>belum ada keterangan</v>
      </c>
      <c r="AN59" s="20" t="str">
        <f>DATA!AP52</f>
        <v>belum ada proses tender/lelang</v>
      </c>
      <c r="AO59" s="20" t="str">
        <f>DATA!AY52</f>
        <v>Konfirmasi melalui surat Sekjen nomor KU.01.12-Sj/636 tgl 23 Oktober 2015</v>
      </c>
      <c r="AP59" s="20" t="e">
        <f>DATA!#REF!</f>
        <v>#REF!</v>
      </c>
      <c r="AQ59" s="20">
        <f>DATA!AZ52</f>
        <v>0</v>
      </c>
      <c r="AR59" s="152" t="e">
        <f>DATA!#REF!</f>
        <v>#REF!</v>
      </c>
      <c r="AS59" s="199" t="str">
        <f>DATA!BA52</f>
        <v>Review master plan air limbah dan optimalisasi Instalasi Pengolahan Air Limbah (IPAL) Bojongsoang.</v>
      </c>
      <c r="AT59" s="245">
        <f>DATA!AT52</f>
        <v>100000000</v>
      </c>
      <c r="AU59" s="109" t="str">
        <f>DATA!AU52</f>
        <v>Jerman (KfW)</v>
      </c>
      <c r="AV59" s="246" t="str">
        <f>DATA!AW52</f>
        <v>-</v>
      </c>
    </row>
    <row r="60" spans="1:48" ht="42" customHeight="1">
      <c r="J60" s="181"/>
      <c r="K60" s="34"/>
      <c r="L60" s="54"/>
      <c r="M60" s="36">
        <v>39</v>
      </c>
      <c r="N60" s="56" t="str">
        <f>DATA!L53</f>
        <v>Engineering Service for Sanitation Improvement Project</v>
      </c>
      <c r="O60" s="36">
        <f>DATA!Q53</f>
        <v>0</v>
      </c>
      <c r="P60" s="36">
        <f>DATA!R53</f>
        <v>0</v>
      </c>
      <c r="Q60" s="17">
        <f>DATA!S53</f>
        <v>0</v>
      </c>
      <c r="R60" s="202">
        <f>DATA!T53</f>
        <v>0</v>
      </c>
      <c r="S60" s="203">
        <f>DATA!U53</f>
        <v>25200000</v>
      </c>
      <c r="T60" s="88">
        <f>DATA!V53</f>
        <v>0</v>
      </c>
      <c r="U60" s="88">
        <f>DATA!W53</f>
        <v>0</v>
      </c>
      <c r="V60" s="88">
        <f>DATA!X53</f>
        <v>25200000</v>
      </c>
      <c r="W60" s="88" t="str">
        <f>DATA!Y53</f>
        <v>ADB</v>
      </c>
      <c r="X60" s="88" t="str">
        <f>DATA!Z53</f>
        <v>Multilateral</v>
      </c>
      <c r="Y60" s="88">
        <f>DATA!AA53</f>
        <v>25200000</v>
      </c>
      <c r="Z60" s="88">
        <v>0</v>
      </c>
      <c r="AA60" s="216" t="str">
        <f>DATA!Y53</f>
        <v>ADB</v>
      </c>
      <c r="AB60" s="203">
        <f>DATA!AG53</f>
        <v>0</v>
      </c>
      <c r="AC60" s="102">
        <f>DATA!AH53</f>
        <v>2016</v>
      </c>
      <c r="AD60" s="110" t="str">
        <f>DATA!AI53</f>
        <v>- Green Book 2015</v>
      </c>
      <c r="AE60" s="152" t="str">
        <f>DATA!AM53</f>
        <v>2015; 2016</v>
      </c>
      <c r="AF60" s="152" t="str">
        <f>DATA!AN53</f>
        <v>siap</v>
      </c>
      <c r="AG60" s="152" t="str">
        <f>DATA!AO53</f>
        <v>tidak butuh lahan</v>
      </c>
      <c r="AH60" s="110" t="str">
        <f>DATA!AJ53</f>
        <v>-</v>
      </c>
      <c r="AI60" s="110" t="str">
        <f>DATA!AK53</f>
        <v>-</v>
      </c>
      <c r="AJ60" s="235" t="str">
        <f>DATA!AL53</f>
        <v>-</v>
      </c>
      <c r="AK60" s="231"/>
      <c r="AL60" s="20"/>
      <c r="AM60" s="20"/>
      <c r="AN60" s="20"/>
      <c r="AO60" s="20"/>
      <c r="AP60" s="20"/>
      <c r="AQ60" s="20"/>
      <c r="AR60" s="152" t="e">
        <f>DATA!#REF!</f>
        <v>#REF!</v>
      </c>
      <c r="AS60" s="199"/>
      <c r="AT60" s="245">
        <f>DATA!AT53</f>
        <v>25200000</v>
      </c>
      <c r="AU60" s="109" t="str">
        <f>DATA!AU53</f>
        <v>ADB</v>
      </c>
      <c r="AV60" s="246" t="str">
        <f>DATA!AW53</f>
        <v xml:space="preserve">pada konfirmasi K/L nilai ES sebesar USD 26,38 juta, seharusnya USD 25,2 juta. </v>
      </c>
    </row>
    <row r="61" spans="1:48" s="5" customFormat="1" ht="33.75" customHeight="1">
      <c r="J61" s="180"/>
      <c r="K61" s="50"/>
      <c r="L61" s="30" t="str">
        <f>DATA!I54</f>
        <v>F</v>
      </c>
      <c r="M61" s="3427" t="str">
        <f>DATA!J54</f>
        <v xml:space="preserve">Program Pembangunan Sistem Pengelolaan Persampahan </v>
      </c>
      <c r="N61" s="3428"/>
      <c r="O61" s="31"/>
      <c r="P61" s="31"/>
      <c r="Q61" s="196"/>
      <c r="R61" s="197">
        <f>+R62+R63</f>
        <v>250000000</v>
      </c>
      <c r="S61" s="198">
        <f t="shared" ref="S61:AT61" si="8">+S62+S63</f>
        <v>250000000</v>
      </c>
      <c r="T61" s="81">
        <f t="shared" si="8"/>
        <v>12500000</v>
      </c>
      <c r="U61" s="81">
        <f t="shared" si="8"/>
        <v>0</v>
      </c>
      <c r="V61" s="81">
        <f t="shared" si="8"/>
        <v>262500000</v>
      </c>
      <c r="W61" s="81" t="e">
        <f t="shared" si="8"/>
        <v>#VALUE!</v>
      </c>
      <c r="X61" s="81" t="e">
        <f t="shared" si="8"/>
        <v>#VALUE!</v>
      </c>
      <c r="Y61" s="81">
        <f t="shared" si="8"/>
        <v>250000000</v>
      </c>
      <c r="Z61" s="81">
        <f t="shared" si="8"/>
        <v>0</v>
      </c>
      <c r="AA61" s="214"/>
      <c r="AB61" s="198">
        <f t="shared" si="8"/>
        <v>0</v>
      </c>
      <c r="AC61" s="81">
        <f t="shared" si="8"/>
        <v>4033</v>
      </c>
      <c r="AD61" s="81" t="e">
        <f t="shared" si="8"/>
        <v>#VALUE!</v>
      </c>
      <c r="AE61" s="81">
        <f t="shared" si="8"/>
        <v>0</v>
      </c>
      <c r="AF61" s="81" t="e">
        <f t="shared" si="8"/>
        <v>#VALUE!</v>
      </c>
      <c r="AG61" s="81" t="e">
        <f t="shared" si="8"/>
        <v>#VALUE!</v>
      </c>
      <c r="AH61" s="81"/>
      <c r="AI61" s="228"/>
      <c r="AJ61" s="229" t="e">
        <f t="shared" si="8"/>
        <v>#VALUE!</v>
      </c>
      <c r="AK61" s="198">
        <f t="shared" si="8"/>
        <v>0</v>
      </c>
      <c r="AL61" s="81" t="e">
        <f t="shared" si="8"/>
        <v>#VALUE!</v>
      </c>
      <c r="AM61" s="81" t="e">
        <f t="shared" si="8"/>
        <v>#VALUE!</v>
      </c>
      <c r="AN61" s="81" t="e">
        <f t="shared" si="8"/>
        <v>#VALUE!</v>
      </c>
      <c r="AO61" s="81" t="e">
        <f t="shared" si="8"/>
        <v>#VALUE!</v>
      </c>
      <c r="AP61" s="81" t="e">
        <f t="shared" si="8"/>
        <v>#REF!</v>
      </c>
      <c r="AQ61" s="81" t="e">
        <f t="shared" si="8"/>
        <v>#VALUE!</v>
      </c>
      <c r="AR61" s="81" t="e">
        <f t="shared" si="8"/>
        <v>#REF!</v>
      </c>
      <c r="AS61" s="243" t="e">
        <f t="shared" si="8"/>
        <v>#VALUE!</v>
      </c>
      <c r="AT61" s="244">
        <f t="shared" si="8"/>
        <v>250000000</v>
      </c>
      <c r="AU61" s="81" t="s">
        <v>21</v>
      </c>
      <c r="AV61" s="229"/>
    </row>
    <row r="62" spans="1:48" ht="46.5" customHeight="1">
      <c r="A62" s="10">
        <f>DATA!A54</f>
        <v>43</v>
      </c>
      <c r="B62" s="10">
        <f>DATA!B54</f>
        <v>0</v>
      </c>
      <c r="C62" s="10" t="str">
        <f>DATA!D54</f>
        <v>INFRASTRUKTUR</v>
      </c>
      <c r="D62" s="10">
        <f>DATA!E54</f>
        <v>1</v>
      </c>
      <c r="E62" s="10" t="str">
        <f>DATA!F54</f>
        <v>Kementerian Pekerjaan Umum dan Perumahan Rakyat</v>
      </c>
      <c r="F62" s="10" t="str">
        <f>DATA!H54</f>
        <v>Development of Solid Waste Management Program</v>
      </c>
      <c r="G62" s="10" t="str">
        <f>DATA!I54</f>
        <v>F</v>
      </c>
      <c r="H62" s="10" t="str">
        <f>DATA!J54</f>
        <v xml:space="preserve">Program Pembangunan Sistem Pengelolaan Persampahan </v>
      </c>
      <c r="I62" s="10">
        <f>DATA!K54</f>
        <v>1</v>
      </c>
      <c r="J62" s="181"/>
      <c r="K62" s="34"/>
      <c r="L62" s="35"/>
      <c r="M62" s="36">
        <v>40</v>
      </c>
      <c r="N62" s="37" t="str">
        <f>DATA!L54</f>
        <v xml:space="preserve">Advanced Solid Waste Management for Sustainable Urban Development (Advance SWM-SUD) </v>
      </c>
      <c r="O62" s="20">
        <f>DATA!Q54</f>
        <v>1</v>
      </c>
      <c r="P62" s="20">
        <f>DATA!R54</f>
        <v>1</v>
      </c>
      <c r="Q62" s="186">
        <f>DATA!S54</f>
        <v>37</v>
      </c>
      <c r="R62" s="187">
        <f>DATA!T54</f>
        <v>150000000</v>
      </c>
      <c r="S62" s="203">
        <f>DATA!U54</f>
        <v>150000000</v>
      </c>
      <c r="T62" s="77">
        <f>DATA!V54</f>
        <v>7500000</v>
      </c>
      <c r="U62" s="77">
        <f>DATA!W54</f>
        <v>0</v>
      </c>
      <c r="V62" s="77">
        <f>DATA!X54</f>
        <v>157500000</v>
      </c>
      <c r="W62" s="78" t="str">
        <f>DATA!Y54</f>
        <v>Jerman (KfW)</v>
      </c>
      <c r="X62" s="20" t="str">
        <f>DATA!Z54</f>
        <v>Bilateral</v>
      </c>
      <c r="Y62" s="77">
        <f>DATA!AA54</f>
        <v>150000000</v>
      </c>
      <c r="Z62" s="77">
        <v>0</v>
      </c>
      <c r="AA62" s="216" t="str">
        <f>DATA!Y54</f>
        <v>Jerman (KfW)</v>
      </c>
      <c r="AB62" s="188">
        <f>DATA!AG54</f>
        <v>0</v>
      </c>
      <c r="AC62" s="20">
        <f>DATA!AH54</f>
        <v>2017</v>
      </c>
      <c r="AD62" s="37" t="str">
        <f>DATA!AI54</f>
        <v>-</v>
      </c>
      <c r="AE62" s="152">
        <f>DATA!AM54</f>
        <v>0</v>
      </c>
      <c r="AF62" s="152" t="str">
        <f>DATA!AN54</f>
        <v>dalam proses
(penyusunan FS)</v>
      </c>
      <c r="AG62" s="152" t="str">
        <f>DATA!AO54</f>
        <v>belum ada keterangan</v>
      </c>
      <c r="AH62" s="37" t="str">
        <f>DATA!AJ54</f>
        <v>Telah dilakukan kajian awal oleh tim FFM KfW</v>
      </c>
      <c r="AI62" s="56" t="str">
        <f>DATA!AK54</f>
        <v>-</v>
      </c>
      <c r="AJ62" s="230" t="str">
        <f>DATA!AL54</f>
        <v>-</v>
      </c>
      <c r="AK62" s="231">
        <f>DATA!AM54</f>
        <v>0</v>
      </c>
      <c r="AL62" s="20" t="str">
        <f>DATA!AN54</f>
        <v>dalam proses
(penyusunan FS)</v>
      </c>
      <c r="AM62" s="20" t="str">
        <f>DATA!AO54</f>
        <v>belum ada keterangan</v>
      </c>
      <c r="AN62" s="20" t="str">
        <f>DATA!AP54</f>
        <v>belum ada proses tender/lelang</v>
      </c>
      <c r="AO62" s="20" t="str">
        <f>DATA!AY54</f>
        <v>- belum ada proses penyiapan
- Konfirmasi melalui surat Sekjen nomor KU.01.12-Sj/636 tgl 23 Oktober 2015</v>
      </c>
      <c r="AP62" s="20" t="e">
        <f>DATA!#REF!</f>
        <v>#REF!</v>
      </c>
      <c r="AQ62" s="20">
        <f>DATA!AZ54</f>
        <v>0</v>
      </c>
      <c r="AR62" s="152" t="e">
        <f>DATA!#REF!</f>
        <v>#REF!</v>
      </c>
      <c r="AS62" s="199" t="str">
        <f>DATA!BA54</f>
        <v>Pembangunan TPA baru, pembangunan unit sistem teknologi pengolahan sampah, pembangunan Intermediete Treatment Facility (ITF), infrastruktur penunjang, buffer zone, dan supervisi kegiatan konstruksi.</v>
      </c>
      <c r="AT62" s="245">
        <f>DATA!AT54</f>
        <v>150000000</v>
      </c>
      <c r="AU62" s="109" t="str">
        <f>DATA!AU54</f>
        <v>Jerman (KfW)</v>
      </c>
      <c r="AV62" s="246" t="str">
        <f>DATA!AW54</f>
        <v>-</v>
      </c>
    </row>
    <row r="63" spans="1:48" ht="46.5" customHeight="1">
      <c r="A63" s="10">
        <f>DATA!A55</f>
        <v>44</v>
      </c>
      <c r="B63" s="10">
        <f>DATA!B55</f>
        <v>0</v>
      </c>
      <c r="C63" s="10" t="str">
        <f>DATA!D55</f>
        <v>INFRASTRUKTUR</v>
      </c>
      <c r="D63" s="10">
        <f>DATA!E55</f>
        <v>1</v>
      </c>
      <c r="E63" s="10" t="str">
        <f>DATA!F55</f>
        <v>Kementerian Pekerjaan Umum dan Perumahan Rakyat</v>
      </c>
      <c r="F63" s="10" t="str">
        <f>DATA!H55</f>
        <v>Development of Solid Waste Management Program</v>
      </c>
      <c r="G63" s="10" t="str">
        <f>DATA!I55</f>
        <v>F</v>
      </c>
      <c r="H63" s="10" t="str">
        <f>DATA!J55</f>
        <v xml:space="preserve">Program Pembangunan Sistem Pengelolaan Persampahan </v>
      </c>
      <c r="I63" s="10">
        <f>DATA!K55</f>
        <v>2</v>
      </c>
      <c r="J63" s="181"/>
      <c r="K63" s="34"/>
      <c r="L63" s="54"/>
      <c r="M63" s="36">
        <v>41</v>
      </c>
      <c r="N63" s="37" t="str">
        <f>DATA!L55</f>
        <v>The Improvement of Solid Waste Management to Support Regional Area and Metropolitan Cities</v>
      </c>
      <c r="O63" s="20">
        <f>DATA!Q55</f>
        <v>1</v>
      </c>
      <c r="P63" s="20">
        <f>DATA!R55</f>
        <v>1</v>
      </c>
      <c r="Q63" s="186">
        <f>DATA!S55</f>
        <v>38</v>
      </c>
      <c r="R63" s="187">
        <f>DATA!T55</f>
        <v>100000000</v>
      </c>
      <c r="S63" s="203">
        <f>DATA!U55</f>
        <v>100000000</v>
      </c>
      <c r="T63" s="77">
        <f>DATA!V55</f>
        <v>5000000</v>
      </c>
      <c r="U63" s="77">
        <f>DATA!W55</f>
        <v>0</v>
      </c>
      <c r="V63" s="77">
        <f>DATA!X55</f>
        <v>105000000</v>
      </c>
      <c r="W63" s="78" t="str">
        <f>DATA!Y55</f>
        <v>Bank Dunia</v>
      </c>
      <c r="X63" s="20" t="str">
        <f>DATA!Z55</f>
        <v>Multilateral</v>
      </c>
      <c r="Y63" s="77">
        <f>DATA!AA55</f>
        <v>100000000</v>
      </c>
      <c r="Z63" s="77">
        <v>0</v>
      </c>
      <c r="AA63" s="216" t="str">
        <f>DATA!Y55</f>
        <v>Bank Dunia</v>
      </c>
      <c r="AB63" s="188">
        <f>DATA!AG55</f>
        <v>0</v>
      </c>
      <c r="AC63" s="20">
        <f>DATA!AH55</f>
        <v>2016</v>
      </c>
      <c r="AD63" s="37" t="str">
        <f>DATA!AI55</f>
        <v>-</v>
      </c>
      <c r="AE63" s="152">
        <f>DATA!AM55</f>
        <v>0</v>
      </c>
      <c r="AF63" s="152" t="str">
        <f>DATA!AN55</f>
        <v>dalam proses
(memiliki FS)</v>
      </c>
      <c r="AG63" s="152" t="str">
        <f>DATA!AO55</f>
        <v>dalam proses
(persiapan)</v>
      </c>
      <c r="AH63" s="37" t="str">
        <f>DATA!AJ55</f>
        <v>DED dalam proses finalisasi</v>
      </c>
      <c r="AI63" s="56" t="str">
        <f>DATA!AK55</f>
        <v>Dalam proses kepemilikan lahan</v>
      </c>
      <c r="AJ63" s="230" t="str">
        <f>DATA!AL55</f>
        <v>Belum ada tindak lanjut</v>
      </c>
      <c r="AK63" s="231">
        <f>DATA!AM55</f>
        <v>0</v>
      </c>
      <c r="AL63" s="20" t="str">
        <f>DATA!AN55</f>
        <v>dalam proses
(memiliki FS)</v>
      </c>
      <c r="AM63" s="20" t="str">
        <f>DATA!AO55</f>
        <v>dalam proses
(persiapan)</v>
      </c>
      <c r="AN63" s="20" t="str">
        <f>DATA!AP55</f>
        <v>belum ada proses tender/lelang</v>
      </c>
      <c r="AO63" s="20" t="str">
        <f>DATA!AY55</f>
        <v xml:space="preserve">- Konfirmasi melalui surat Sekjen nomor KU.01.12-Sj/636 tgl 23 Oktober 2015
- Bank Dunia membantu proses studi, DED, FS (CDIA, INDII Facility) </v>
      </c>
      <c r="AP63" s="20" t="e">
        <f>DATA!#REF!</f>
        <v>#REF!</v>
      </c>
      <c r="AQ63" s="20" t="str">
        <f>DATA!AZ55</f>
        <v>- FS
- Diusulkan untuk masuk Green Book 2016</v>
      </c>
      <c r="AR63" s="152" t="e">
        <f>DATA!#REF!</f>
        <v>#REF!</v>
      </c>
      <c r="AS63" s="199" t="str">
        <f>DATA!BA55</f>
        <v>Pembangunan TPA Sanitary Landfill  baru, pembangunan Intermediete Treatment Facility (ITF), dan pengembangan konsep Reuse, Reduce, and Recycle (3R).</v>
      </c>
      <c r="AT63" s="245">
        <f>DATA!AT55</f>
        <v>100000000</v>
      </c>
      <c r="AU63" s="109" t="str">
        <f>DATA!AU55</f>
        <v>Bank Dunia</v>
      </c>
      <c r="AV63" s="246" t="str">
        <f>DATA!AW55</f>
        <v>-</v>
      </c>
    </row>
    <row r="64" spans="1:48" s="5" customFormat="1" ht="33.75" customHeight="1">
      <c r="J64" s="180"/>
      <c r="K64" s="50"/>
      <c r="L64" s="30" t="str">
        <f>DATA!I56</f>
        <v>G</v>
      </c>
      <c r="M64" s="31" t="str">
        <f>DATA!J56</f>
        <v>Program Penanganan Kumuh</v>
      </c>
      <c r="N64" s="51"/>
      <c r="O64" s="31"/>
      <c r="P64" s="31"/>
      <c r="Q64" s="196"/>
      <c r="R64" s="197">
        <f>R65+R66+R69+R70</f>
        <v>3614740000</v>
      </c>
      <c r="S64" s="198">
        <f t="shared" ref="S64:AS64" si="9">S65+S66+S69+S70</f>
        <v>2562100000</v>
      </c>
      <c r="T64" s="81">
        <f t="shared" si="9"/>
        <v>128105000</v>
      </c>
      <c r="U64" s="81">
        <f t="shared" si="9"/>
        <v>0</v>
      </c>
      <c r="V64" s="81">
        <f t="shared" si="9"/>
        <v>2690205000</v>
      </c>
      <c r="W64" s="81" t="e">
        <f t="shared" si="9"/>
        <v>#VALUE!</v>
      </c>
      <c r="X64" s="81" t="e">
        <f t="shared" si="9"/>
        <v>#VALUE!</v>
      </c>
      <c r="Y64" s="81">
        <f>Y65+Y66+Y67+Y69+Y70</f>
        <v>3108360000</v>
      </c>
      <c r="Z64" s="81">
        <f t="shared" si="9"/>
        <v>0</v>
      </c>
      <c r="AA64" s="214"/>
      <c r="AB64" s="198">
        <f t="shared" si="9"/>
        <v>0</v>
      </c>
      <c r="AC64" s="81">
        <f t="shared" si="9"/>
        <v>8065</v>
      </c>
      <c r="AD64" s="81" t="e">
        <f t="shared" si="9"/>
        <v>#VALUE!</v>
      </c>
      <c r="AE64" s="81">
        <f t="shared" si="9"/>
        <v>2016</v>
      </c>
      <c r="AF64" s="81" t="e">
        <f t="shared" si="9"/>
        <v>#VALUE!</v>
      </c>
      <c r="AG64" s="81" t="e">
        <f t="shared" si="9"/>
        <v>#VALUE!</v>
      </c>
      <c r="AH64" s="81"/>
      <c r="AI64" s="228"/>
      <c r="AJ64" s="229" t="e">
        <f t="shared" si="9"/>
        <v>#VALUE!</v>
      </c>
      <c r="AK64" s="198">
        <f t="shared" si="9"/>
        <v>2016</v>
      </c>
      <c r="AL64" s="81" t="e">
        <f t="shared" si="9"/>
        <v>#VALUE!</v>
      </c>
      <c r="AM64" s="81" t="e">
        <f t="shared" si="9"/>
        <v>#VALUE!</v>
      </c>
      <c r="AN64" s="81" t="e">
        <f t="shared" si="9"/>
        <v>#VALUE!</v>
      </c>
      <c r="AO64" s="81" t="e">
        <f t="shared" si="9"/>
        <v>#VALUE!</v>
      </c>
      <c r="AP64" s="81" t="e">
        <f t="shared" si="9"/>
        <v>#REF!</v>
      </c>
      <c r="AQ64" s="81" t="e">
        <f t="shared" si="9"/>
        <v>#VALUE!</v>
      </c>
      <c r="AR64" s="81" t="e">
        <f t="shared" si="9"/>
        <v>#REF!</v>
      </c>
      <c r="AS64" s="243" t="e">
        <f t="shared" si="9"/>
        <v>#VALUE!</v>
      </c>
      <c r="AT64" s="244">
        <f>AT65+AT66+AT67+AT68+AT69+AT70</f>
        <v>3398240000</v>
      </c>
      <c r="AU64" s="81" t="s">
        <v>21</v>
      </c>
      <c r="AV64" s="229"/>
    </row>
    <row r="65" spans="1:48" ht="46.5" customHeight="1">
      <c r="A65" s="10">
        <f>DATA!A56</f>
        <v>45</v>
      </c>
      <c r="B65" s="10">
        <f>DATA!B56</f>
        <v>0</v>
      </c>
      <c r="C65" s="10" t="str">
        <f>DATA!D56</f>
        <v>INFRASTRUKTUR</v>
      </c>
      <c r="D65" s="10">
        <f>DATA!E56</f>
        <v>1</v>
      </c>
      <c r="E65" s="10" t="str">
        <f>DATA!F56</f>
        <v>Kementerian Pekerjaan Umum dan Perumahan Rakyat</v>
      </c>
      <c r="F65" s="10" t="str">
        <f>DATA!H56</f>
        <v>Slum Alleviation Program</v>
      </c>
      <c r="G65" s="10" t="str">
        <f>DATA!I56</f>
        <v>G</v>
      </c>
      <c r="H65" s="10" t="str">
        <f>DATA!J56</f>
        <v>Program Penanganan Kumuh</v>
      </c>
      <c r="I65" s="10">
        <f>DATA!K56</f>
        <v>1</v>
      </c>
      <c r="J65" s="181"/>
      <c r="K65" s="34"/>
      <c r="L65" s="35"/>
      <c r="M65" s="36">
        <v>42</v>
      </c>
      <c r="N65" s="37" t="str">
        <f>DATA!L56</f>
        <v>Slum Improvement in Strategic Human Settlements Area (SISHA)</v>
      </c>
      <c r="O65" s="20">
        <f>DATA!Q56</f>
        <v>1</v>
      </c>
      <c r="P65" s="20">
        <f>DATA!R56</f>
        <v>1</v>
      </c>
      <c r="Q65" s="186">
        <f>DATA!S56</f>
        <v>39</v>
      </c>
      <c r="R65" s="187">
        <f>DATA!T56</f>
        <v>2100000000</v>
      </c>
      <c r="S65" s="203">
        <f>DATA!U56</f>
        <v>2100000000</v>
      </c>
      <c r="T65" s="77">
        <f>DATA!V56</f>
        <v>105000000</v>
      </c>
      <c r="U65" s="77">
        <f>DATA!W56</f>
        <v>0</v>
      </c>
      <c r="V65" s="77">
        <f>DATA!X56</f>
        <v>2205000000</v>
      </c>
      <c r="W65" s="109" t="str">
        <f>DATA!Y56</f>
        <v>Bank Dunia/JICA/ADB</v>
      </c>
      <c r="X65" s="20" t="str">
        <f>DATA!Z56</f>
        <v>Multi Lender</v>
      </c>
      <c r="Y65" s="77">
        <f>DATA!AA56</f>
        <v>2100000000</v>
      </c>
      <c r="Z65" s="77">
        <v>0</v>
      </c>
      <c r="AA65" s="216" t="str">
        <f>DATA!Y56</f>
        <v>Bank Dunia/JICA/ADB</v>
      </c>
      <c r="AB65" s="188">
        <f>DATA!AG56</f>
        <v>0</v>
      </c>
      <c r="AC65" s="20">
        <f>DATA!AH56</f>
        <v>2017</v>
      </c>
      <c r="AD65" s="37" t="str">
        <f>DATA!AI56</f>
        <v>-</v>
      </c>
      <c r="AE65" s="152">
        <f>DATA!AM56</f>
        <v>0</v>
      </c>
      <c r="AF65" s="152" t="str">
        <f>DATA!AN56</f>
        <v>dalam proses
(penyusunan FS)</v>
      </c>
      <c r="AG65" s="152" t="str">
        <f>DATA!AO56</f>
        <v>dalam proses
(perencanaan)</v>
      </c>
      <c r="AH65" s="37" t="str">
        <f>DATA!AJ56</f>
        <v>117 kab/kota telah terfasilitasi pendampingan penyusunan rencana kawasan permukiman kumuh perkotaan (RKPKP) tahun 2015 sebagai rencana pencegahan dan peningkatan kualitas permukiman dan perumahan kumuh perkotaan.</v>
      </c>
      <c r="AI65" s="56" t="str">
        <f>DATA!AK56</f>
        <v xml:space="preserve">Pemerintah Daerah sudah menetapkan SK Bupati / Walikota untuk Penetapan Lokasi Perumahan Kumuh dan Permukiman Kumuh. </v>
      </c>
      <c r="AJ65" s="230" t="str">
        <f>DATA!AL56</f>
        <v>-</v>
      </c>
      <c r="AK65" s="231">
        <f>DATA!AM56</f>
        <v>0</v>
      </c>
      <c r="AL65" s="20" t="str">
        <f>DATA!AN56</f>
        <v>dalam proses
(penyusunan FS)</v>
      </c>
      <c r="AM65" s="20" t="str">
        <f>DATA!AO56</f>
        <v>dalam proses
(perencanaan)</v>
      </c>
      <c r="AN65" s="20" t="str">
        <f>DATA!AP56</f>
        <v>belum ada proses tender/lelang</v>
      </c>
      <c r="AO65" s="20" t="str">
        <f>DATA!AY56</f>
        <v>- Konsep kegiatan belum siap
- Konfirmasi melalui surat Sekjen nomor KU.01.12-Sj/636 tgl 23 Oktober 2015</v>
      </c>
      <c r="AP65" s="20" t="e">
        <f>DATA!#REF!</f>
        <v>#REF!</v>
      </c>
      <c r="AQ65" s="20">
        <f>DATA!AZ56</f>
        <v>0</v>
      </c>
      <c r="AR65" s="152" t="e">
        <f>DATA!#REF!</f>
        <v>#REF!</v>
      </c>
      <c r="AS65" s="199" t="str">
        <f>DATA!BA56</f>
        <v>Penanganan kawasan kumuh sebesar 4.400 ha</v>
      </c>
      <c r="AT65" s="245">
        <f>DATA!AT56</f>
        <v>2100000000</v>
      </c>
      <c r="AU65" s="109" t="str">
        <f>DATA!AU56</f>
        <v>Belum Ada Indikasi</v>
      </c>
      <c r="AV65" s="246" t="str">
        <f>DATA!AW56</f>
        <v xml:space="preserve">- usulan K/L lender: Bank Dunia/JICA/ADB.
- Pihak Bank Dunia, ADB dan JICA tidak berminat. </v>
      </c>
    </row>
    <row r="66" spans="1:48" ht="36.75" customHeight="1">
      <c r="A66" s="10">
        <f>DATA!A58</f>
        <v>46</v>
      </c>
      <c r="B66" s="10">
        <f>DATA!B58</f>
        <v>0</v>
      </c>
      <c r="C66" s="10" t="str">
        <f>DATA!D58</f>
        <v>INFRASTRUKTUR</v>
      </c>
      <c r="D66" s="10">
        <f>DATA!E58</f>
        <v>1</v>
      </c>
      <c r="E66" s="10" t="str">
        <f>DATA!F58</f>
        <v>Kementerian Pekerjaan Umum dan Perumahan Rakyat</v>
      </c>
      <c r="F66" s="10" t="str">
        <f>DATA!H58</f>
        <v>Slum Alleviation Program</v>
      </c>
      <c r="G66" s="10" t="str">
        <f>DATA!I58</f>
        <v>G</v>
      </c>
      <c r="H66" s="10" t="str">
        <f>DATA!J58</f>
        <v>Program Penanganan Kumuh</v>
      </c>
      <c r="I66" s="10">
        <f>DATA!K58</f>
        <v>2</v>
      </c>
      <c r="J66" s="181"/>
      <c r="K66" s="34"/>
      <c r="L66" s="34"/>
      <c r="M66" s="3399">
        <v>43</v>
      </c>
      <c r="N66" s="3393" t="str">
        <f>DATA!L58</f>
        <v>National Slum Upgrading</v>
      </c>
      <c r="O66" s="20">
        <f>DATA!Q58</f>
        <v>0.25</v>
      </c>
      <c r="P66" s="20">
        <f>DATA!R58</f>
        <v>0</v>
      </c>
      <c r="Q66" s="186">
        <f>DATA!S58</f>
        <v>0</v>
      </c>
      <c r="R66" s="3411">
        <f>DATA!T57</f>
        <v>1052640000</v>
      </c>
      <c r="S66" s="203">
        <f>DATA!U58</f>
        <v>0</v>
      </c>
      <c r="T66" s="77">
        <f>DATA!V58</f>
        <v>0</v>
      </c>
      <c r="U66" s="77">
        <f>DATA!W58</f>
        <v>0</v>
      </c>
      <c r="V66" s="77">
        <f>DATA!X58</f>
        <v>0</v>
      </c>
      <c r="W66" s="78" t="str">
        <f>DATA!Y58</f>
        <v>IDB</v>
      </c>
      <c r="X66" s="20" t="str">
        <f>DATA!Z58</f>
        <v>Multilateral</v>
      </c>
      <c r="Y66" s="77">
        <f>DATA!AA58</f>
        <v>329760000</v>
      </c>
      <c r="Z66" s="77">
        <v>0</v>
      </c>
      <c r="AA66" s="216" t="str">
        <f>DATA!Y58</f>
        <v>IDB</v>
      </c>
      <c r="AB66" s="188">
        <f>DATA!AG58</f>
        <v>0</v>
      </c>
      <c r="AC66" s="20">
        <f>DATA!AH58</f>
        <v>2016</v>
      </c>
      <c r="AD66" s="37" t="str">
        <f>DATA!AI58</f>
        <v>Green Book 2016</v>
      </c>
      <c r="AE66" s="152">
        <f>DATA!AM58</f>
        <v>2016</v>
      </c>
      <c r="AF66" s="152" t="str">
        <f>DATA!AN58</f>
        <v>dalam proses
(penyusunan FS)</v>
      </c>
      <c r="AG66" s="152" t="str">
        <f>DATA!AO58</f>
        <v>tidak butuh lahan</v>
      </c>
      <c r="AH66" s="37" t="str">
        <f>DATA!AJ58</f>
        <v>- Concept Paper, Baseline Survey, Draft Guidelines.
- Surat Komitmen Pemda untuk penanganan kumuh.</v>
      </c>
      <c r="AI66" s="56"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J66" s="230" t="str">
        <f>DATA!AL58</f>
        <v>-</v>
      </c>
      <c r="AK66" s="231">
        <f>DATA!AM58</f>
        <v>2016</v>
      </c>
      <c r="AL66" s="20" t="str">
        <f>DATA!AN58</f>
        <v>dalam proses
(penyusunan FS)</v>
      </c>
      <c r="AM66" s="20" t="str">
        <f>DATA!AO58</f>
        <v>tidak butuh lahan</v>
      </c>
      <c r="AN66" s="20" t="str">
        <f>DATA!AP58</f>
        <v>belum ada proses tender/lelang</v>
      </c>
      <c r="AO66" s="20"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P66" s="20" t="e">
        <f>DATA!#REF!</f>
        <v>#REF!</v>
      </c>
      <c r="AQ66" s="20" t="str">
        <f>DATA!AZ58</f>
        <v>Sudah ada R/C</v>
      </c>
      <c r="AR66" s="152" t="e">
        <f>DATA!#REF!</f>
        <v>#REF!</v>
      </c>
      <c r="AS66" s="199" t="str">
        <f>DATA!BA58</f>
        <v>Peningkatan kualitas permukiman di 21 provinsi, 257 kabupaten/kota,  6.626 kelurahan</v>
      </c>
      <c r="AT66" s="245">
        <f>DATA!AT58</f>
        <v>329760000</v>
      </c>
      <c r="AU66" s="109" t="str">
        <f>DATA!AU58</f>
        <v>IDB</v>
      </c>
      <c r="AV66" s="246" t="str">
        <f>DATA!AW58</f>
        <v>-</v>
      </c>
    </row>
    <row r="67" spans="1:48" ht="65.25" customHeight="1">
      <c r="A67" s="10">
        <f>DATA!A59</f>
        <v>47</v>
      </c>
      <c r="B67" s="10">
        <f>DATA!B59</f>
        <v>0</v>
      </c>
      <c r="C67" s="10" t="str">
        <f>DATA!D59</f>
        <v>INFRASTRUKTUR</v>
      </c>
      <c r="D67" s="10">
        <f>DATA!E59</f>
        <v>1</v>
      </c>
      <c r="E67" s="10" t="str">
        <f>DATA!F59</f>
        <v>Kementerian Pekerjaan Umum dan Perumahan Rakyat</v>
      </c>
      <c r="F67" s="10" t="str">
        <f>DATA!H59</f>
        <v>Slum Alleviation Program</v>
      </c>
      <c r="G67" s="10" t="str">
        <f>DATA!I59</f>
        <v>G</v>
      </c>
      <c r="H67" s="10" t="str">
        <f>DATA!J59</f>
        <v>Program Penanganan Kumuh</v>
      </c>
      <c r="I67" s="10">
        <f>DATA!K59</f>
        <v>2</v>
      </c>
      <c r="J67" s="181"/>
      <c r="K67" s="34"/>
      <c r="L67" s="34"/>
      <c r="M67" s="3401"/>
      <c r="N67" s="3397"/>
      <c r="O67" s="20"/>
      <c r="P67" s="20"/>
      <c r="Q67" s="186"/>
      <c r="R67" s="3412"/>
      <c r="S67" s="203">
        <f>DATA!U59</f>
        <v>0</v>
      </c>
      <c r="T67" s="77">
        <f>DATA!V59</f>
        <v>0</v>
      </c>
      <c r="U67" s="77">
        <f>DATA!W59</f>
        <v>0</v>
      </c>
      <c r="V67" s="77">
        <f>DATA!X59</f>
        <v>0</v>
      </c>
      <c r="W67" s="78" t="str">
        <f>DATA!Y59</f>
        <v>Bank Dunia</v>
      </c>
      <c r="X67" s="20" t="str">
        <f>DATA!Z59</f>
        <v>Multilateral</v>
      </c>
      <c r="Y67" s="3414">
        <f>DATA!AA59</f>
        <v>216500000</v>
      </c>
      <c r="Z67" s="3414">
        <v>0</v>
      </c>
      <c r="AA67" s="3416" t="str">
        <f>DATA!Y59</f>
        <v>Bank Dunia</v>
      </c>
      <c r="AB67" s="188">
        <f>DATA!AG59</f>
        <v>0</v>
      </c>
      <c r="AC67" s="20">
        <f>DATA!AH59</f>
        <v>2016</v>
      </c>
      <c r="AD67" s="37" t="str">
        <f>DATA!AI59</f>
        <v>Green Book 2016</v>
      </c>
      <c r="AE67" s="152">
        <f>DATA!AM59</f>
        <v>2016</v>
      </c>
      <c r="AF67" s="152" t="str">
        <f>DATA!AN59</f>
        <v>dalam proses
(penyusunan FS)</v>
      </c>
      <c r="AG67" s="152" t="str">
        <f>DATA!AO59</f>
        <v>tidak butuh lahan</v>
      </c>
      <c r="AH67" s="37" t="str">
        <f>DATA!AJ59</f>
        <v>- Concept Paper, Baseline Survey, Draft Guidelines.
- Surat Komitmen Pemda untuk penanganan kumuh.</v>
      </c>
      <c r="AI67" s="56"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J67" s="230" t="str">
        <f>DATA!AL59</f>
        <v>-</v>
      </c>
      <c r="AK67" s="231">
        <f>DATA!AM59</f>
        <v>2016</v>
      </c>
      <c r="AL67" s="20" t="str">
        <f>DATA!AN59</f>
        <v>dalam proses
(penyusunan FS)</v>
      </c>
      <c r="AM67" s="20" t="str">
        <f>DATA!AO59</f>
        <v>tidak butuh lahan</v>
      </c>
      <c r="AN67" s="20" t="str">
        <f>DATA!AP59</f>
        <v>belum ada proses tender/lelang</v>
      </c>
      <c r="AO67" s="20"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P67" s="20" t="e">
        <f>DATA!#REF!</f>
        <v>#REF!</v>
      </c>
      <c r="AQ67" s="20" t="str">
        <f>DATA!AZ59</f>
        <v>Sudah ada R/C</v>
      </c>
      <c r="AR67" s="152" t="e">
        <f>DATA!#REF!</f>
        <v>#REF!</v>
      </c>
      <c r="AS67" s="199" t="str">
        <f>DATA!BA59</f>
        <v>Peningkatan kualitas permukiman di 21 provinsi, 257 kabupaten/kota,  6.626 kelurahan</v>
      </c>
      <c r="AT67" s="245">
        <f>DATA!AT59</f>
        <v>216500000</v>
      </c>
      <c r="AU67" s="109" t="str">
        <f>DATA!AU59</f>
        <v>Bank Dunia</v>
      </c>
      <c r="AV67" s="246" t="str">
        <f>DATA!AW59</f>
        <v>- Berdasarkan surat Menteri Keuangan no. S-409/MK.08/2016 tgl 25 Mei '16
'- Bank Dunia berminat sebesar USD 433 juta.
- Ada informasi dari hasil rapat dengan K/L, bahwa nilai proyek turun menjadi USD 700 juta-an (pendanaan IDB dan Bank Dunia).</v>
      </c>
    </row>
    <row r="68" spans="1:48" ht="41.25" customHeight="1">
      <c r="J68" s="181"/>
      <c r="K68" s="34"/>
      <c r="L68" s="34"/>
      <c r="M68" s="3402"/>
      <c r="N68" s="3394"/>
      <c r="O68" s="20"/>
      <c r="P68" s="20"/>
      <c r="Q68" s="186"/>
      <c r="R68" s="3413"/>
      <c r="S68" s="203"/>
      <c r="T68" s="77"/>
      <c r="U68" s="77"/>
      <c r="V68" s="77"/>
      <c r="W68" s="78"/>
      <c r="X68" s="20"/>
      <c r="Y68" s="3415"/>
      <c r="Z68" s="3415"/>
      <c r="AA68" s="3417"/>
      <c r="AB68" s="188"/>
      <c r="AC68" s="20"/>
      <c r="AD68" s="37"/>
      <c r="AE68" s="152"/>
      <c r="AF68" s="152"/>
      <c r="AG68" s="152"/>
      <c r="AH68" s="37"/>
      <c r="AI68" s="56"/>
      <c r="AJ68" s="230"/>
      <c r="AK68" s="231"/>
      <c r="AL68" s="20"/>
      <c r="AM68" s="20"/>
      <c r="AN68" s="20"/>
      <c r="AO68" s="20"/>
      <c r="AP68" s="20"/>
      <c r="AQ68" s="20"/>
      <c r="AR68" s="152"/>
      <c r="AS68" s="199"/>
      <c r="AT68" s="245">
        <f>DATA!AT61</f>
        <v>289880000</v>
      </c>
      <c r="AU68" s="109" t="str">
        <f>DATA!AU61</f>
        <v>Belum Ada Indikasi</v>
      </c>
      <c r="AV68" s="252" t="str">
        <f>DATA!AW61</f>
        <v>co-financing dengan IDB (USD 329,7 juta), Bank Dunia (USD 216,5 juta) &amp; AIIB (USD 216,5 juta)</v>
      </c>
    </row>
    <row r="69" spans="1:48" ht="39" customHeight="1">
      <c r="A69" s="10">
        <f>DATA!A62</f>
        <v>48</v>
      </c>
      <c r="B69" s="10">
        <f>DATA!B62</f>
        <v>0</v>
      </c>
      <c r="C69" s="10" t="str">
        <f>DATA!D62</f>
        <v>INFRASTRUKTUR</v>
      </c>
      <c r="D69" s="10">
        <f>DATA!E62</f>
        <v>1</v>
      </c>
      <c r="E69" s="10" t="str">
        <f>DATA!F62</f>
        <v>Kementerian Pekerjaan Umum dan Perumahan Rakyat</v>
      </c>
      <c r="F69" s="10" t="str">
        <f>DATA!H62</f>
        <v>Slum Alleviation Program</v>
      </c>
      <c r="G69" s="10" t="str">
        <f>DATA!I62</f>
        <v>G</v>
      </c>
      <c r="H69" s="10" t="str">
        <f>DATA!J62</f>
        <v>Program Penanganan Kumuh</v>
      </c>
      <c r="I69" s="10">
        <f>DATA!K62</f>
        <v>3</v>
      </c>
      <c r="J69" s="181"/>
      <c r="K69" s="34"/>
      <c r="L69" s="34"/>
      <c r="M69" s="36">
        <v>44</v>
      </c>
      <c r="N69" s="37" t="str">
        <f>DATA!L62</f>
        <v>Rural Settlement Infrastructure Development (RSID)</v>
      </c>
      <c r="O69" s="20">
        <f>DATA!Q62</f>
        <v>1</v>
      </c>
      <c r="P69" s="20">
        <f>DATA!R62</f>
        <v>1</v>
      </c>
      <c r="Q69" s="186">
        <f>DATA!S62</f>
        <v>41</v>
      </c>
      <c r="R69" s="187">
        <f>DATA!T62</f>
        <v>201000000</v>
      </c>
      <c r="S69" s="203">
        <f>DATA!U62</f>
        <v>201000000</v>
      </c>
      <c r="T69" s="77">
        <f>DATA!V62</f>
        <v>10050000</v>
      </c>
      <c r="U69" s="77">
        <f>DATA!W62</f>
        <v>0</v>
      </c>
      <c r="V69" s="77">
        <f>DATA!X62</f>
        <v>211050000</v>
      </c>
      <c r="W69" s="78" t="str">
        <f>DATA!Y62</f>
        <v>JICA</v>
      </c>
      <c r="X69" s="20" t="str">
        <f>DATA!Z62</f>
        <v>Bilateral</v>
      </c>
      <c r="Y69" s="77">
        <f>DATA!AA62</f>
        <v>201000000</v>
      </c>
      <c r="Z69" s="77">
        <v>0</v>
      </c>
      <c r="AA69" s="216" t="str">
        <f>DATA!Y62</f>
        <v>JICA</v>
      </c>
      <c r="AB69" s="188">
        <f>DATA!AG62</f>
        <v>0</v>
      </c>
      <c r="AC69" s="20">
        <f>DATA!AH62</f>
        <v>2016</v>
      </c>
      <c r="AD69" s="37" t="str">
        <f>DATA!AI62</f>
        <v>-</v>
      </c>
      <c r="AE69" s="152">
        <f>DATA!AM62</f>
        <v>0</v>
      </c>
      <c r="AF69" s="152" t="str">
        <f>DATA!AN62</f>
        <v>dalam proses
(penyusunan FS)</v>
      </c>
      <c r="AG69" s="152" t="str">
        <f>DATA!AO62</f>
        <v>dalam proses
(perencanaan)</v>
      </c>
      <c r="AH69" s="37" t="str">
        <f>DATA!AJ62</f>
        <v>30 (tiga puluh) kabupaten yang sudah mempunyai Perda RTRW dan mempunyai Perda Kawasan Strategis Kabupaten (KSK)</v>
      </c>
      <c r="AI69" s="56" t="str">
        <f>DATA!AK62</f>
        <v>belum ada pedoman teknis untuk pemenuhan lahan.</v>
      </c>
      <c r="AJ69" s="230" t="str">
        <f>DATA!AL62</f>
        <v>belum ada</v>
      </c>
      <c r="AK69" s="231">
        <f>DATA!AM62</f>
        <v>0</v>
      </c>
      <c r="AL69" s="20" t="str">
        <f>DATA!AN62</f>
        <v>dalam proses
(penyusunan FS)</v>
      </c>
      <c r="AM69" s="20" t="str">
        <f>DATA!AO62</f>
        <v>dalam proses
(perencanaan)</v>
      </c>
      <c r="AN69" s="20" t="str">
        <f>DATA!AP62</f>
        <v>belum ada proses tender/lelang</v>
      </c>
      <c r="AO69" s="20" t="str">
        <f>DATA!AY62</f>
        <v>- semula Lender adalah IDB, namun berdasarkan hasil konfirmasi Kem. PUPR, Lender keg ini adalah JICA
- konsep kegiatan belum siap
- Konfirmasi melalui surat Sekjen nomor KU.01.12-Sj/636 tgl 23 Oktober 2015</v>
      </c>
      <c r="AP69" s="20" t="e">
        <f>DATA!#REF!</f>
        <v>#REF!</v>
      </c>
      <c r="AQ69" s="20">
        <f>DATA!AZ62</f>
        <v>0</v>
      </c>
      <c r="AR69" s="152" t="e">
        <f>DATA!#REF!</f>
        <v>#REF!</v>
      </c>
      <c r="AS69" s="199" t="str">
        <f>DATA!BA62</f>
        <v xml:space="preserve">Pembangunan infrastruktur perdesaan seluas 18.589 ha </v>
      </c>
      <c r="AT69" s="245">
        <f>DATA!AT62</f>
        <v>201000000</v>
      </c>
      <c r="AU69" s="109" t="str">
        <f>DATA!AU62</f>
        <v>JICA</v>
      </c>
      <c r="AV69" s="246" t="str">
        <f>DATA!AW62</f>
        <v>-</v>
      </c>
    </row>
    <row r="70" spans="1:48" ht="45" customHeight="1">
      <c r="A70" s="10">
        <f>DATA!A63</f>
        <v>49</v>
      </c>
      <c r="B70" s="10">
        <f>DATA!B63</f>
        <v>0</v>
      </c>
      <c r="C70" s="10" t="str">
        <f>DATA!D63</f>
        <v>INFRASTRUKTUR</v>
      </c>
      <c r="D70" s="10">
        <f>DATA!E63</f>
        <v>1</v>
      </c>
      <c r="E70" s="10" t="str">
        <f>DATA!F63</f>
        <v>Kementerian Pekerjaan Umum dan Perumahan Rakyat</v>
      </c>
      <c r="F70" s="10" t="str">
        <f>DATA!H63</f>
        <v>Slum Alleviation Program</v>
      </c>
      <c r="G70" s="10" t="str">
        <f>DATA!I63</f>
        <v>G</v>
      </c>
      <c r="H70" s="10" t="str">
        <f>DATA!J63</f>
        <v>Program Penanganan Kumuh</v>
      </c>
      <c r="I70" s="10">
        <f>DATA!K63</f>
        <v>4</v>
      </c>
      <c r="J70" s="181"/>
      <c r="K70" s="34"/>
      <c r="L70" s="54"/>
      <c r="M70" s="36">
        <v>45</v>
      </c>
      <c r="N70" s="37" t="str">
        <f>DATA!L63</f>
        <v>Building Administration and Capacity Enforcement Development for Seismic Resilience</v>
      </c>
      <c r="O70" s="20">
        <f>DATA!Q63</f>
        <v>1</v>
      </c>
      <c r="P70" s="20">
        <f>DATA!R63</f>
        <v>1</v>
      </c>
      <c r="Q70" s="186">
        <f>DATA!S63</f>
        <v>42</v>
      </c>
      <c r="R70" s="187">
        <f>DATA!T63</f>
        <v>261100000</v>
      </c>
      <c r="S70" s="203">
        <f>DATA!U63</f>
        <v>261100000</v>
      </c>
      <c r="T70" s="77">
        <f>DATA!V63</f>
        <v>13055000</v>
      </c>
      <c r="U70" s="77">
        <f>DATA!W63</f>
        <v>0</v>
      </c>
      <c r="V70" s="77">
        <f>DATA!X63</f>
        <v>274155000</v>
      </c>
      <c r="W70" s="78" t="str">
        <f>DATA!Y63</f>
        <v>JICA</v>
      </c>
      <c r="X70" s="20" t="str">
        <f>DATA!Z63</f>
        <v>Bilateral</v>
      </c>
      <c r="Y70" s="77">
        <f>DATA!AA63</f>
        <v>261100000</v>
      </c>
      <c r="Z70" s="77">
        <v>0</v>
      </c>
      <c r="AA70" s="216" t="str">
        <f>DATA!Y63</f>
        <v>JICA</v>
      </c>
      <c r="AB70" s="188">
        <f>DATA!AG63</f>
        <v>0</v>
      </c>
      <c r="AC70" s="20">
        <f>DATA!AH63</f>
        <v>2016</v>
      </c>
      <c r="AD70" s="37" t="str">
        <f>DATA!AI63</f>
        <v>-</v>
      </c>
      <c r="AE70" s="152">
        <f>DATA!AM63</f>
        <v>0</v>
      </c>
      <c r="AF70" s="152" t="str">
        <f>DATA!AN63</f>
        <v>dalam proses
(penyusunan FS)</v>
      </c>
      <c r="AG70" s="152" t="str">
        <f>DATA!AO63</f>
        <v>tidak butuh lahan</v>
      </c>
      <c r="AH70" s="37" t="str">
        <f>DATA!AJ63</f>
        <v>246 dari total 514 kota / kabupaten telah mengeluarkan Peraturan Daerah Bangunan Gedung).</v>
      </c>
      <c r="AI70" s="56" t="str">
        <f>DATA!AK63</f>
        <v>tidak ada kegiatan pengadaan lahan.</v>
      </c>
      <c r="AJ70" s="230" t="str">
        <f>DATA!AL63</f>
        <v>belum ada</v>
      </c>
      <c r="AK70" s="231">
        <f>DATA!AM63</f>
        <v>0</v>
      </c>
      <c r="AL70" s="20" t="str">
        <f>DATA!AN63</f>
        <v>dalam proses
(penyusunan FS)</v>
      </c>
      <c r="AM70" s="20" t="str">
        <f>DATA!AO63</f>
        <v>tidak butuh lahan</v>
      </c>
      <c r="AN70" s="20" t="str">
        <f>DATA!AP63</f>
        <v>belum ada proses tender/lelang</v>
      </c>
      <c r="AO70" s="20" t="str">
        <f>DATA!AY63</f>
        <v>- konsep kegiatan belum siap
- Konfirmasi melalui surat Sekjen nomor KU.01.12-Sj/636 tgl 23 Oktober 2015</v>
      </c>
      <c r="AP70" s="20" t="e">
        <f>DATA!#REF!</f>
        <v>#REF!</v>
      </c>
      <c r="AQ70" s="20" t="str">
        <f>DATA!AZ63</f>
        <v>- JICA diindikasikan akan mendanai kegiatan ini dan sudah ada kajian dengan pihak JICA</v>
      </c>
      <c r="AR70" s="152" t="e">
        <f>DATA!#REF!</f>
        <v>#REF!</v>
      </c>
      <c r="AS70" s="199" t="str">
        <f>DATA!BA63</f>
        <v>Pengembangan panduan/guidelines untuk 455 kota/kabupaten mengenai bangunan tahan gempa dan sosialisasi metode perkuatan/retrofitting untuk bangunan tahan gempa.</v>
      </c>
      <c r="AT70" s="245">
        <f>DATA!AT63</f>
        <v>261100000</v>
      </c>
      <c r="AU70" s="109" t="str">
        <f>DATA!AU63</f>
        <v>JICA</v>
      </c>
      <c r="AV70" s="246" t="str">
        <f>DATA!AW63</f>
        <v>-</v>
      </c>
    </row>
    <row r="71" spans="1:48" s="5" customFormat="1" ht="33.75" customHeight="1">
      <c r="J71" s="180"/>
      <c r="K71" s="50"/>
      <c r="L71" s="30" t="str">
        <f>DATA!I67</f>
        <v>I</v>
      </c>
      <c r="M71" s="31" t="str">
        <f>DATA!J67</f>
        <v>Program Pengembangan dan Pengelolaan Irigasi</v>
      </c>
      <c r="N71" s="51"/>
      <c r="O71" s="31"/>
      <c r="P71" s="31"/>
      <c r="Q71" s="196"/>
      <c r="R71" s="197">
        <f>SUM(R72:R84)</f>
        <v>2557531000</v>
      </c>
      <c r="S71" s="198">
        <f t="shared" ref="S71:AV71" si="10">SUM(S72:S84)</f>
        <v>2557531000</v>
      </c>
      <c r="T71" s="81">
        <f t="shared" si="10"/>
        <v>275159500</v>
      </c>
      <c r="U71" s="81">
        <f t="shared" si="10"/>
        <v>0</v>
      </c>
      <c r="V71" s="81">
        <f t="shared" si="10"/>
        <v>2832690500</v>
      </c>
      <c r="W71" s="81">
        <f t="shared" si="10"/>
        <v>0</v>
      </c>
      <c r="X71" s="81">
        <f t="shared" si="10"/>
        <v>0</v>
      </c>
      <c r="Y71" s="81">
        <f t="shared" si="10"/>
        <v>3257531000</v>
      </c>
      <c r="Z71" s="81">
        <f t="shared" si="10"/>
        <v>0</v>
      </c>
      <c r="AA71" s="214">
        <f t="shared" si="10"/>
        <v>0</v>
      </c>
      <c r="AB71" s="198">
        <f t="shared" si="10"/>
        <v>0</v>
      </c>
      <c r="AC71" s="81">
        <f t="shared" si="10"/>
        <v>16131</v>
      </c>
      <c r="AD71" s="81">
        <f t="shared" si="10"/>
        <v>0</v>
      </c>
      <c r="AE71" s="81">
        <f t="shared" si="10"/>
        <v>0</v>
      </c>
      <c r="AF71" s="81">
        <f t="shared" si="10"/>
        <v>0</v>
      </c>
      <c r="AG71" s="81">
        <f t="shared" si="10"/>
        <v>0</v>
      </c>
      <c r="AH71" s="81">
        <f t="shared" si="10"/>
        <v>0</v>
      </c>
      <c r="AI71" s="228">
        <f t="shared" si="10"/>
        <v>0</v>
      </c>
      <c r="AJ71" s="229">
        <f t="shared" si="10"/>
        <v>0</v>
      </c>
      <c r="AK71" s="198">
        <f t="shared" si="10"/>
        <v>0</v>
      </c>
      <c r="AL71" s="81">
        <f t="shared" si="10"/>
        <v>0</v>
      </c>
      <c r="AM71" s="81">
        <f t="shared" si="10"/>
        <v>0</v>
      </c>
      <c r="AN71" s="81">
        <f t="shared" si="10"/>
        <v>0</v>
      </c>
      <c r="AO71" s="81">
        <f t="shared" si="10"/>
        <v>0</v>
      </c>
      <c r="AP71" s="81" t="e">
        <f t="shared" si="10"/>
        <v>#REF!</v>
      </c>
      <c r="AQ71" s="81">
        <f t="shared" si="10"/>
        <v>0</v>
      </c>
      <c r="AR71" s="81" t="e">
        <f t="shared" si="10"/>
        <v>#REF!</v>
      </c>
      <c r="AS71" s="243">
        <f t="shared" si="10"/>
        <v>0</v>
      </c>
      <c r="AT71" s="244">
        <f t="shared" si="10"/>
        <v>3257531000</v>
      </c>
      <c r="AU71" s="81">
        <f t="shared" si="10"/>
        <v>0</v>
      </c>
      <c r="AV71" s="229">
        <f t="shared" si="10"/>
        <v>0</v>
      </c>
    </row>
    <row r="72" spans="1:48" ht="30" customHeight="1">
      <c r="A72" s="10">
        <f>DATA!A67</f>
        <v>51</v>
      </c>
      <c r="B72" s="10">
        <f>DATA!B67</f>
        <v>0</v>
      </c>
      <c r="C72" s="10" t="str">
        <f>DATA!D67</f>
        <v>INFRASTRUKTUR</v>
      </c>
      <c r="D72" s="10">
        <f>DATA!E67</f>
        <v>1</v>
      </c>
      <c r="E72" s="10" t="str">
        <f>DATA!F67</f>
        <v>Kementerian Pekerjaan Umum dan Perumahan Rakyat</v>
      </c>
      <c r="F72" s="10" t="str">
        <f>DATA!H67</f>
        <v xml:space="preserve">Development and Management of Irrigation Program </v>
      </c>
      <c r="G72" s="10" t="str">
        <f>DATA!I67</f>
        <v>I</v>
      </c>
      <c r="H72" s="10" t="str">
        <f>DATA!J67</f>
        <v>Program Pengembangan dan Pengelolaan Irigasi</v>
      </c>
      <c r="I72" s="10">
        <f>DATA!K67</f>
        <v>1</v>
      </c>
      <c r="J72" s="181"/>
      <c r="K72" s="34"/>
      <c r="L72" s="34"/>
      <c r="M72" s="3390">
        <v>46</v>
      </c>
      <c r="N72" s="3393" t="str">
        <f>DATA!L67</f>
        <v>Integrated Participatory Development and Management of Irrigation Project - Phase I</v>
      </c>
      <c r="O72" s="20">
        <f>DATA!Q67</f>
        <v>0.5</v>
      </c>
      <c r="P72" s="20">
        <f>DATA!R67</f>
        <v>0</v>
      </c>
      <c r="Q72" s="186">
        <f>DATA!S67</f>
        <v>43</v>
      </c>
      <c r="R72" s="3403">
        <f>DATA!T67</f>
        <v>0</v>
      </c>
      <c r="S72" s="203">
        <f>DATA!U67</f>
        <v>0</v>
      </c>
      <c r="T72" s="77">
        <f>DATA!V67</f>
        <v>0</v>
      </c>
      <c r="U72" s="77">
        <f>DATA!W67</f>
        <v>0</v>
      </c>
      <c r="V72" s="77">
        <f>DATA!X67</f>
        <v>0</v>
      </c>
      <c r="W72" s="78" t="str">
        <f>DATA!Y67</f>
        <v>ADB</v>
      </c>
      <c r="X72" s="20" t="str">
        <f>DATA!Z67</f>
        <v>Multilateral</v>
      </c>
      <c r="Y72" s="77">
        <f>DATA!AA67</f>
        <v>600000000</v>
      </c>
      <c r="Z72" s="77">
        <v>0</v>
      </c>
      <c r="AA72" s="216" t="str">
        <f>DATA!Y67</f>
        <v>ADB</v>
      </c>
      <c r="AB72" s="188">
        <f>DATA!AG67</f>
        <v>0</v>
      </c>
      <c r="AC72" s="20">
        <f>DATA!AH67</f>
        <v>2016</v>
      </c>
      <c r="AD72" s="37" t="str">
        <f>DATA!AI67</f>
        <v>- Sudah ada RC
- Green Book 2015
- Dalam proses pembahasan skema pinjaman</v>
      </c>
      <c r="AE72" s="152" t="str">
        <f>DATA!AM67</f>
        <v>2016; 2015</v>
      </c>
      <c r="AF72" s="152" t="str">
        <f>DATA!AN67</f>
        <v>siap</v>
      </c>
      <c r="AG72" s="152" t="str">
        <f>DATA!AO67</f>
        <v>belum ada keterangan</v>
      </c>
      <c r="AH72" s="37" t="str">
        <f>DATA!AJ67</f>
        <v>FS, DED, AMDAL, LARAP</v>
      </c>
      <c r="AI72" s="56" t="str">
        <f>DATA!AK67</f>
        <v>-</v>
      </c>
      <c r="AJ72" s="230" t="str">
        <f>DATA!AL67</f>
        <v>Belum ada tender/lelang</v>
      </c>
      <c r="AK72" s="231" t="str">
        <f>DATA!AM67</f>
        <v>2016; 2015</v>
      </c>
      <c r="AL72" s="20" t="str">
        <f>DATA!AN67</f>
        <v>siap</v>
      </c>
      <c r="AM72" s="20" t="str">
        <f>DATA!AO67</f>
        <v>belum ada keterangan</v>
      </c>
      <c r="AN72" s="20" t="str">
        <f>DATA!AP67</f>
        <v>belum ada proses tender/lelang</v>
      </c>
      <c r="AO72" s="20" t="str">
        <f>DATA!AY67</f>
        <v>- Cofinancing ADB USD 600 juta dan IFAD USD 100 juta
- Konfirmasi melalui surat Sekjen nomor KU.01.12-Sj/636 tgl 23 Oktober 2015</v>
      </c>
      <c r="AP72" s="20" t="e">
        <f>DATA!#REF!</f>
        <v>#REF!</v>
      </c>
      <c r="AQ72" s="20" t="str">
        <f>DATA!AZ67</f>
        <v>termasuk RBL</v>
      </c>
      <c r="AR72" s="152" t="e">
        <f>DATA!#REF!</f>
        <v>#REF!</v>
      </c>
      <c r="AS72" s="199"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c r="AT72" s="245">
        <f>DATA!AT67</f>
        <v>600000000</v>
      </c>
      <c r="AU72" s="109" t="str">
        <f>DATA!AU67</f>
        <v>ADB</v>
      </c>
      <c r="AV72" s="246" t="str">
        <f>DATA!AW67</f>
        <v>-</v>
      </c>
    </row>
    <row r="73" spans="1:48" ht="32.25" customHeight="1">
      <c r="A73" s="10">
        <f>DATA!A68</f>
        <v>52</v>
      </c>
      <c r="B73" s="10">
        <f>DATA!B68</f>
        <v>0</v>
      </c>
      <c r="C73" s="10" t="str">
        <f>DATA!D68</f>
        <v>INFRASTRUKTUR</v>
      </c>
      <c r="D73" s="10">
        <f>DATA!E68</f>
        <v>1</v>
      </c>
      <c r="E73" s="10" t="str">
        <f>DATA!F68</f>
        <v>Kementerian Pekerjaan Umum dan Perumahan Rakyat</v>
      </c>
      <c r="F73" s="10" t="str">
        <f>DATA!H68</f>
        <v xml:space="preserve">Development and Management of Irrigation Program </v>
      </c>
      <c r="G73" s="10" t="str">
        <f>DATA!I68</f>
        <v>I</v>
      </c>
      <c r="H73" s="10" t="str">
        <f>DATA!J68</f>
        <v>Program Pengembangan dan Pengelolaan Irigasi</v>
      </c>
      <c r="I73" s="10">
        <f>DATA!K68</f>
        <v>1</v>
      </c>
      <c r="J73" s="181"/>
      <c r="K73" s="34"/>
      <c r="L73" s="34"/>
      <c r="M73" s="3391"/>
      <c r="N73" s="3394"/>
      <c r="O73" s="20"/>
      <c r="P73" s="20"/>
      <c r="Q73" s="186"/>
      <c r="R73" s="3404"/>
      <c r="S73" s="203">
        <f>DATA!U68</f>
        <v>0</v>
      </c>
      <c r="T73" s="77">
        <f>DATA!V68</f>
        <v>0</v>
      </c>
      <c r="U73" s="77">
        <f>DATA!W68</f>
        <v>0</v>
      </c>
      <c r="V73" s="77">
        <f>DATA!X68</f>
        <v>0</v>
      </c>
      <c r="W73" s="78" t="str">
        <f>DATA!Y68</f>
        <v>IFAD</v>
      </c>
      <c r="X73" s="20" t="str">
        <f>DATA!Z68</f>
        <v>Multilateral</v>
      </c>
      <c r="Y73" s="77">
        <f>DATA!AA68</f>
        <v>100000000</v>
      </c>
      <c r="Z73" s="77">
        <v>0</v>
      </c>
      <c r="AA73" s="216" t="str">
        <f>DATA!Y68</f>
        <v>IFAD</v>
      </c>
      <c r="AB73" s="188">
        <f>DATA!AG68</f>
        <v>0</v>
      </c>
      <c r="AC73" s="20">
        <f>DATA!AH68</f>
        <v>2015</v>
      </c>
      <c r="AD73" s="37" t="str">
        <f>DATA!AI68</f>
        <v>- Sudah ada RC
- Green Book 2015
- Dalam proses pembahasan skema pinjaman</v>
      </c>
      <c r="AE73" s="152" t="str">
        <f>DATA!AM68</f>
        <v>2016; 2015</v>
      </c>
      <c r="AF73" s="152" t="str">
        <f>DATA!AN68</f>
        <v>siap</v>
      </c>
      <c r="AG73" s="152" t="str">
        <f>DATA!AO68</f>
        <v>belum ada keterangan</v>
      </c>
      <c r="AH73" s="37" t="str">
        <f>DATA!AJ68</f>
        <v>FS, DED, AMDAL, LARAP</v>
      </c>
      <c r="AI73" s="56" t="str">
        <f>DATA!AK68</f>
        <v>-</v>
      </c>
      <c r="AJ73" s="230" t="str">
        <f>DATA!AL68</f>
        <v>Belum ada tender/lelang</v>
      </c>
      <c r="AK73" s="231" t="str">
        <f>DATA!AM68</f>
        <v>2016; 2015</v>
      </c>
      <c r="AL73" s="20" t="str">
        <f>DATA!AN68</f>
        <v>siap</v>
      </c>
      <c r="AM73" s="20" t="str">
        <f>DATA!AO68</f>
        <v>belum ada keterangan</v>
      </c>
      <c r="AN73" s="20" t="str">
        <f>DATA!AP68</f>
        <v>belum ada proses tender/lelang</v>
      </c>
      <c r="AO73" s="20" t="str">
        <f>DATA!AY68</f>
        <v>- Cofinancing ADB USD 600 juta dan IFAD USD 100 juta
- Konfirmasi melalui surat Sekjen nomor KU.01.12-Sj/636 tgl 23 Oktober 2015</v>
      </c>
      <c r="AP73" s="20" t="e">
        <f>DATA!#REF!</f>
        <v>#REF!</v>
      </c>
      <c r="AQ73" s="20">
        <f>DATA!AZ68</f>
        <v>0</v>
      </c>
      <c r="AR73" s="152" t="e">
        <f>DATA!#REF!</f>
        <v>#REF!</v>
      </c>
      <c r="AS73" s="199"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c r="AT73" s="245">
        <f>DATA!AT68</f>
        <v>100000000</v>
      </c>
      <c r="AU73" s="109" t="str">
        <f>DATA!AU68</f>
        <v>IFAD</v>
      </c>
      <c r="AV73" s="246" t="str">
        <f>DATA!AW68</f>
        <v>-</v>
      </c>
    </row>
    <row r="74" spans="1:48" ht="38.25" customHeight="1">
      <c r="A74" s="10">
        <f>DATA!A70</f>
        <v>53</v>
      </c>
      <c r="B74" s="10">
        <f>DATA!B70</f>
        <v>0</v>
      </c>
      <c r="C74" s="10" t="str">
        <f>DATA!D70</f>
        <v>INFRASTRUKTUR</v>
      </c>
      <c r="D74" s="10">
        <f>DATA!E70</f>
        <v>1</v>
      </c>
      <c r="E74" s="10" t="str">
        <f>DATA!F70</f>
        <v>Kementerian Pekerjaan Umum dan Perumahan Rakyat</v>
      </c>
      <c r="F74" s="10" t="str">
        <f>DATA!H70</f>
        <v xml:space="preserve">Development and Management of Irrigation Program </v>
      </c>
      <c r="G74" s="10" t="str">
        <f>DATA!I70</f>
        <v>I</v>
      </c>
      <c r="H74" s="10" t="str">
        <f>DATA!J70</f>
        <v>Program Pengembangan dan Pengelolaan Irigasi</v>
      </c>
      <c r="I74" s="10">
        <f>DATA!K70</f>
        <v>1</v>
      </c>
      <c r="J74" s="181"/>
      <c r="K74" s="34"/>
      <c r="L74" s="34"/>
      <c r="M74" s="3392">
        <v>47</v>
      </c>
      <c r="N74" s="3393" t="str">
        <f>DATA!L70</f>
        <v>Integrated Participatory Development and Management of Irrigation Project - Phase II</v>
      </c>
      <c r="O74" s="20">
        <f>DATA!Q70</f>
        <v>1</v>
      </c>
      <c r="P74" s="20">
        <f>DATA!R70</f>
        <v>0</v>
      </c>
      <c r="Q74" s="186">
        <f>DATA!S70</f>
        <v>44</v>
      </c>
      <c r="R74" s="3403">
        <f>DATA!T70</f>
        <v>500000000</v>
      </c>
      <c r="S74" s="203">
        <f>DATA!U70</f>
        <v>500000000</v>
      </c>
      <c r="T74" s="77">
        <f>DATA!V70</f>
        <v>50000000</v>
      </c>
      <c r="U74" s="77">
        <f>DATA!W70</f>
        <v>0</v>
      </c>
      <c r="V74" s="77">
        <f>DATA!X70</f>
        <v>550000000</v>
      </c>
      <c r="W74" s="78" t="str">
        <f>DATA!Y70</f>
        <v>ADB</v>
      </c>
      <c r="X74" s="20" t="str">
        <f>DATA!Z70</f>
        <v>Multilateral</v>
      </c>
      <c r="Y74" s="3414">
        <f>DATA!AA70</f>
        <v>500000000</v>
      </c>
      <c r="Z74" s="3414">
        <v>0</v>
      </c>
      <c r="AA74" s="3416" t="str">
        <f>DATA!Y70</f>
        <v>ADB</v>
      </c>
      <c r="AB74" s="188">
        <f>DATA!AG70</f>
        <v>0</v>
      </c>
      <c r="AC74" s="20" t="str">
        <f>DATA!AH70</f>
        <v>Tanpa keterangan</v>
      </c>
      <c r="AD74" s="37" t="str">
        <f>DATA!AI70</f>
        <v>-</v>
      </c>
      <c r="AE74" s="152" t="str">
        <f>DATA!AR70</f>
        <v>- untuk yang Phase II: belum ada penyiapan
- belum ada dokumen R/C</v>
      </c>
      <c r="AF74" s="152" t="str">
        <f>DATA!AN70</f>
        <v>belum ada keterangan</v>
      </c>
      <c r="AG74" s="152" t="str">
        <f>DATA!AO70</f>
        <v>belum ada keterangan</v>
      </c>
      <c r="AH74" s="37" t="str">
        <f>DATA!AJ70</f>
        <v>-</v>
      </c>
      <c r="AI74" s="56" t="str">
        <f>DATA!AK70</f>
        <v>-</v>
      </c>
      <c r="AJ74" s="230" t="str">
        <f>DATA!AL70</f>
        <v>-</v>
      </c>
      <c r="AK74" s="231" t="str">
        <f>DATA!AR70</f>
        <v>- untuk yang Phase II: belum ada penyiapan
- belum ada dokumen R/C</v>
      </c>
      <c r="AL74" s="20" t="str">
        <f>DATA!AN70</f>
        <v>belum ada keterangan</v>
      </c>
      <c r="AM74" s="20" t="str">
        <f>DATA!AO70</f>
        <v>belum ada keterangan</v>
      </c>
      <c r="AN74" s="20" t="str">
        <f>DATA!AP70</f>
        <v>belum ada proses tender/lelang</v>
      </c>
      <c r="AO74" s="20" t="str">
        <f>DATA!AY70</f>
        <v>Konfirmasi melalui surat Sekjen nomor KU.01.12-Sj/636 tgl 23 Oktober 2015</v>
      </c>
      <c r="AP74" s="20" t="e">
        <f>DATA!#REF!</f>
        <v>#REF!</v>
      </c>
      <c r="AQ74" s="20">
        <f>DATA!AZ70</f>
        <v>0</v>
      </c>
      <c r="AR74" s="152" t="e">
        <f>DATA!#REF!</f>
        <v>#REF!</v>
      </c>
      <c r="AS74" s="199" t="str">
        <f>DATA!BA70</f>
        <v xml:space="preserve">Pembangunan irigasi baru dengan luas lebih dari 10.000 Ha, perbaikan sistem irigasi seluas 172.880 Ha yang tersebar di seluruh Indonesia. </v>
      </c>
      <c r="AT74" s="245">
        <f>DATA!AT70</f>
        <v>400000000</v>
      </c>
      <c r="AU74" s="109" t="str">
        <f>DATA!AU70</f>
        <v>ADB</v>
      </c>
      <c r="AV74" s="246" t="str">
        <f>DATA!AW70</f>
        <v>nilai kegiatan yang tercantum dalam COBP ADB sebesar USD 400 juta.</v>
      </c>
    </row>
    <row r="75" spans="1:48" ht="44.25" customHeight="1">
      <c r="J75" s="181"/>
      <c r="K75" s="34"/>
      <c r="L75" s="34"/>
      <c r="M75" s="3391"/>
      <c r="N75" s="3394"/>
      <c r="O75" s="20"/>
      <c r="P75" s="20"/>
      <c r="Q75" s="186"/>
      <c r="R75" s="3404"/>
      <c r="S75" s="203"/>
      <c r="T75" s="77"/>
      <c r="U75" s="77"/>
      <c r="V75" s="77"/>
      <c r="W75" s="78"/>
      <c r="X75" s="20"/>
      <c r="Y75" s="3415"/>
      <c r="Z75" s="3415"/>
      <c r="AA75" s="3417"/>
      <c r="AB75" s="188"/>
      <c r="AC75" s="20"/>
      <c r="AD75" s="37"/>
      <c r="AE75" s="152"/>
      <c r="AF75" s="152"/>
      <c r="AG75" s="152"/>
      <c r="AH75" s="37"/>
      <c r="AI75" s="56"/>
      <c r="AJ75" s="230"/>
      <c r="AK75" s="231"/>
      <c r="AL75" s="20"/>
      <c r="AM75" s="20"/>
      <c r="AN75" s="20"/>
      <c r="AO75" s="20"/>
      <c r="AP75" s="20"/>
      <c r="AQ75" s="20"/>
      <c r="AR75" s="152"/>
      <c r="AS75" s="199"/>
      <c r="AT75" s="245">
        <f>DATA!AT71</f>
        <v>100000000</v>
      </c>
      <c r="AU75" s="109" t="str">
        <f>DATA!AU71</f>
        <v>Belum Ada Indikasi</v>
      </c>
      <c r="AV75" s="252" t="str">
        <f>DATA!AW71</f>
        <v>-</v>
      </c>
    </row>
    <row r="76" spans="1:48" ht="37.5" customHeight="1">
      <c r="A76" s="10">
        <f>DATA!A72</f>
        <v>54</v>
      </c>
      <c r="B76" s="10">
        <f>DATA!B72</f>
        <v>0</v>
      </c>
      <c r="C76" s="10" t="str">
        <f>DATA!D72</f>
        <v>INFRASTRUKTUR</v>
      </c>
      <c r="D76" s="10">
        <f>DATA!E72</f>
        <v>1</v>
      </c>
      <c r="E76" s="10" t="str">
        <f>DATA!F72</f>
        <v>Kementerian Pekerjaan Umum dan Perumahan Rakyat</v>
      </c>
      <c r="F76" s="10" t="str">
        <f>DATA!H72</f>
        <v xml:space="preserve">Development and Management of Irrigation Program </v>
      </c>
      <c r="G76" s="10" t="str">
        <f>DATA!I72</f>
        <v>I</v>
      </c>
      <c r="H76" s="10" t="str">
        <f>DATA!J72</f>
        <v>Program Pengembangan dan Pengelolaan Irigasi</v>
      </c>
      <c r="I76" s="10">
        <f>DATA!K72</f>
        <v>2</v>
      </c>
      <c r="J76" s="181"/>
      <c r="K76" s="34"/>
      <c r="L76" s="34"/>
      <c r="M76" s="36">
        <v>48</v>
      </c>
      <c r="N76" s="37" t="str">
        <f>DATA!L72</f>
        <v>The Urgent Rehabilitation of Strategic Irrigation for Western Region of Indonesia</v>
      </c>
      <c r="O76" s="20">
        <f>DATA!Q72</f>
        <v>1</v>
      </c>
      <c r="P76" s="20">
        <f>DATA!R72</f>
        <v>1</v>
      </c>
      <c r="Q76" s="186">
        <f>DATA!S72</f>
        <v>45</v>
      </c>
      <c r="R76" s="187">
        <f>DATA!T72</f>
        <v>195778000</v>
      </c>
      <c r="S76" s="203">
        <f>DATA!U72</f>
        <v>195778000</v>
      </c>
      <c r="T76" s="77">
        <f>DATA!V72</f>
        <v>27149500</v>
      </c>
      <c r="U76" s="77">
        <f>DATA!W72</f>
        <v>0</v>
      </c>
      <c r="V76" s="77">
        <f>DATA!X72</f>
        <v>222927500</v>
      </c>
      <c r="W76" s="78" t="str">
        <f>DATA!Y72</f>
        <v>Korea</v>
      </c>
      <c r="X76" s="20" t="str">
        <f>DATA!Z72</f>
        <v>Bilateral</v>
      </c>
      <c r="Y76" s="77">
        <f>DATA!AA72</f>
        <v>195778000</v>
      </c>
      <c r="Z76" s="77">
        <v>0</v>
      </c>
      <c r="AA76" s="216" t="str">
        <f>DATA!Y72</f>
        <v>Korea</v>
      </c>
      <c r="AB76" s="188">
        <f>DATA!AG72</f>
        <v>0</v>
      </c>
      <c r="AC76" s="20">
        <f>DATA!AH72</f>
        <v>2016</v>
      </c>
      <c r="AD76" s="37" t="str">
        <f>DATA!AI72</f>
        <v>- Sudah ada R/C
- Green Book 2015</v>
      </c>
      <c r="AE76" s="152" t="str">
        <f>DATA!AR72</f>
        <v>-</v>
      </c>
      <c r="AF76" s="152" t="str">
        <f>DATA!AN72</f>
        <v>belum ada keterangan</v>
      </c>
      <c r="AG76" s="152" t="str">
        <f>DATA!AO72</f>
        <v>belum ada keterangan</v>
      </c>
      <c r="AH76" s="37" t="str">
        <f>DATA!AJ72</f>
        <v>FS, DED, AMDAL, LARAP</v>
      </c>
      <c r="AI76" s="56" t="str">
        <f>DATA!AK72</f>
        <v>Tidak dibutuhkan lahan</v>
      </c>
      <c r="AJ76" s="230" t="str">
        <f>DATA!AL72</f>
        <v>Belum ada tender/lelang</v>
      </c>
      <c r="AK76" s="231" t="str">
        <f>DATA!AR72</f>
        <v>-</v>
      </c>
      <c r="AL76" s="20" t="str">
        <f>DATA!AN72</f>
        <v>belum ada keterangan</v>
      </c>
      <c r="AM76" s="20" t="str">
        <f>DATA!AO72</f>
        <v>belum ada keterangan</v>
      </c>
      <c r="AN76" s="20" t="str">
        <f>DATA!AP72</f>
        <v>belum ada proses tender/lelang</v>
      </c>
      <c r="AO76" s="20" t="str">
        <f>DATA!AY72</f>
        <v>Konfirmasi melalui surat Sekjen nomor KU.01.12-Sj/636 tgl 23 Oktober 2015</v>
      </c>
      <c r="AP76" s="20" t="e">
        <f>DATA!#REF!</f>
        <v>#REF!</v>
      </c>
      <c r="AQ76" s="20">
        <f>DATA!AZ72</f>
        <v>0</v>
      </c>
      <c r="AR76" s="152" t="e">
        <f>DATA!#REF!</f>
        <v>#REF!</v>
      </c>
      <c r="AS76" s="199" t="str">
        <f>DATA!BA72</f>
        <v xml:space="preserve">Melakukan rehabilitasi fasilitas irigasi, meningkatkan sistem irigasi dan drainase dan peningkatan kapasitas O&amp;P seluas 38,523 Ha </v>
      </c>
      <c r="AT76" s="245">
        <f>DATA!AT72</f>
        <v>195778000</v>
      </c>
      <c r="AU76" s="109" t="str">
        <f>DATA!AU72</f>
        <v>Korea</v>
      </c>
      <c r="AV76" s="246" t="str">
        <f>DATA!AW72</f>
        <v>masuk rolling plan EDCF (Korea)</v>
      </c>
    </row>
    <row r="77" spans="1:48" ht="39" customHeight="1">
      <c r="A77" s="10">
        <f>DATA!A73</f>
        <v>55</v>
      </c>
      <c r="B77" s="10">
        <f>DATA!B73</f>
        <v>0</v>
      </c>
      <c r="C77" s="10" t="str">
        <f>DATA!D73</f>
        <v>INFRASTRUKTUR</v>
      </c>
      <c r="D77" s="10">
        <f>DATA!E73</f>
        <v>1</v>
      </c>
      <c r="E77" s="10" t="str">
        <f>DATA!F73</f>
        <v>Kementerian Pekerjaan Umum dan Perumahan Rakyat</v>
      </c>
      <c r="F77" s="10" t="str">
        <f>DATA!H73</f>
        <v xml:space="preserve">Development and Management of Irrigation Program </v>
      </c>
      <c r="G77" s="10" t="str">
        <f>DATA!I73</f>
        <v>I</v>
      </c>
      <c r="H77" s="10" t="str">
        <f>DATA!J73</f>
        <v>Program Pengembangan dan Pengelolaan Irigasi</v>
      </c>
      <c r="I77" s="10">
        <f>DATA!K73</f>
        <v>3</v>
      </c>
      <c r="J77" s="181"/>
      <c r="K77" s="34"/>
      <c r="L77" s="34"/>
      <c r="M77" s="36">
        <v>49</v>
      </c>
      <c r="N77" s="37" t="str">
        <f>DATA!L73</f>
        <v>Rentang Modernization Strategic Irrigation (RIMP)</v>
      </c>
      <c r="O77" s="20">
        <f>DATA!Q73</f>
        <v>1</v>
      </c>
      <c r="P77" s="20">
        <f>DATA!R73</f>
        <v>1</v>
      </c>
      <c r="Q77" s="186">
        <f>DATA!S73</f>
        <v>46</v>
      </c>
      <c r="R77" s="187">
        <f>DATA!T73</f>
        <v>480000000</v>
      </c>
      <c r="S77" s="203">
        <f>DATA!U73</f>
        <v>480000000</v>
      </c>
      <c r="T77" s="77">
        <f>DATA!V73</f>
        <v>48000000</v>
      </c>
      <c r="U77" s="77">
        <f>DATA!W73</f>
        <v>0</v>
      </c>
      <c r="V77" s="77">
        <f>DATA!X73</f>
        <v>528000000</v>
      </c>
      <c r="W77" s="78" t="str">
        <f>DATA!Y73</f>
        <v>JICA</v>
      </c>
      <c r="X77" s="20" t="str">
        <f>DATA!Z73</f>
        <v>Bilateral</v>
      </c>
      <c r="Y77" s="77">
        <f>DATA!AA73</f>
        <v>480000000</v>
      </c>
      <c r="Z77" s="77">
        <v>0</v>
      </c>
      <c r="AA77" s="216" t="str">
        <f>DATA!Y73</f>
        <v>JICA</v>
      </c>
      <c r="AB77" s="188">
        <f>DATA!AG73</f>
        <v>0</v>
      </c>
      <c r="AC77" s="20">
        <f>DATA!AH73</f>
        <v>2017</v>
      </c>
      <c r="AD77" s="37" t="str">
        <f>DATA!AI73</f>
        <v>Sudah ada R/C</v>
      </c>
      <c r="AE77" s="152" t="str">
        <f>DATA!AR73</f>
        <v>-</v>
      </c>
      <c r="AF77" s="152" t="str">
        <f>DATA!AN73</f>
        <v>siap</v>
      </c>
      <c r="AG77" s="152" t="str">
        <f>DATA!AO73</f>
        <v>tidak butuh lahan</v>
      </c>
      <c r="AH77" s="37" t="str">
        <f>DATA!AJ73</f>
        <v>FS, DED, AMDAL</v>
      </c>
      <c r="AI77" s="56" t="str">
        <f>DATA!AK73</f>
        <v>Tidak dibutuhkan lahan</v>
      </c>
      <c r="AJ77" s="230" t="str">
        <f>DATA!AL73</f>
        <v>-</v>
      </c>
      <c r="AK77" s="231" t="str">
        <f>DATA!AR73</f>
        <v>-</v>
      </c>
      <c r="AL77" s="20" t="str">
        <f>DATA!AN73</f>
        <v>siap</v>
      </c>
      <c r="AM77" s="20" t="str">
        <f>DATA!AO73</f>
        <v>tidak butuh lahan</v>
      </c>
      <c r="AN77" s="20" t="str">
        <f>DATA!AP73</f>
        <v>belum ada proses tender/lelang</v>
      </c>
      <c r="AO77" s="20" t="str">
        <f>DATA!AY73</f>
        <v>Konfirmasi melalui surat Sekjen nomor KU.01.12-Sj/636 tgl 23 Oktober 2015</v>
      </c>
      <c r="AP77" s="20" t="e">
        <f>DATA!#REF!</f>
        <v>#REF!</v>
      </c>
      <c r="AQ77" s="20">
        <f>DATA!AZ73</f>
        <v>0</v>
      </c>
      <c r="AR77" s="152" t="e">
        <f>DATA!#REF!</f>
        <v>#REF!</v>
      </c>
      <c r="AS77" s="199"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c r="AT77" s="245">
        <f>DATA!AT73</f>
        <v>480000000</v>
      </c>
      <c r="AU77" s="109" t="str">
        <f>DATA!AU73</f>
        <v>JICA</v>
      </c>
      <c r="AV77" s="246" t="str">
        <f>DATA!AW73</f>
        <v>-</v>
      </c>
    </row>
    <row r="78" spans="1:48" ht="32.25" customHeight="1">
      <c r="A78" s="10">
        <f>DATA!A74</f>
        <v>56</v>
      </c>
      <c r="B78" s="10">
        <f>DATA!B74</f>
        <v>0</v>
      </c>
      <c r="C78" s="10" t="str">
        <f>DATA!D74</f>
        <v>INFRASTRUKTUR</v>
      </c>
      <c r="D78" s="10">
        <f>DATA!E74</f>
        <v>1</v>
      </c>
      <c r="E78" s="10" t="str">
        <f>DATA!F74</f>
        <v>Kementerian Pekerjaan Umum dan Perumahan Rakyat</v>
      </c>
      <c r="F78" s="10" t="str">
        <f>DATA!H74</f>
        <v xml:space="preserve">Development and Management of Irrigation Program </v>
      </c>
      <c r="G78" s="10" t="str">
        <f>DATA!I74</f>
        <v>I</v>
      </c>
      <c r="H78" s="10" t="str">
        <f>DATA!J74</f>
        <v>Program Pengembangan dan Pengelolaan Irigasi</v>
      </c>
      <c r="I78" s="10">
        <f>DATA!K74</f>
        <v>4</v>
      </c>
      <c r="J78" s="181"/>
      <c r="K78" s="34"/>
      <c r="L78" s="34"/>
      <c r="M78" s="36">
        <v>50</v>
      </c>
      <c r="N78" s="37" t="str">
        <f>DATA!L74</f>
        <v>Komering Irrigation Project Stage III</v>
      </c>
      <c r="O78" s="20">
        <f>DATA!Q74</f>
        <v>1</v>
      </c>
      <c r="P78" s="20">
        <f>DATA!R74</f>
        <v>1</v>
      </c>
      <c r="Q78" s="186">
        <f>DATA!S74</f>
        <v>47</v>
      </c>
      <c r="R78" s="187">
        <f>DATA!T74</f>
        <v>120000000</v>
      </c>
      <c r="S78" s="203">
        <f>DATA!U74</f>
        <v>120000000</v>
      </c>
      <c r="T78" s="77">
        <f>DATA!V74</f>
        <v>12000000</v>
      </c>
      <c r="U78" s="77">
        <f>DATA!W74</f>
        <v>0</v>
      </c>
      <c r="V78" s="77">
        <f>DATA!X74</f>
        <v>132000000</v>
      </c>
      <c r="W78" s="78" t="str">
        <f>DATA!Y74</f>
        <v>JICA</v>
      </c>
      <c r="X78" s="20" t="str">
        <f>DATA!Z74</f>
        <v>Bilateral</v>
      </c>
      <c r="Y78" s="77">
        <f>DATA!AA74</f>
        <v>120000000</v>
      </c>
      <c r="Z78" s="77">
        <v>0</v>
      </c>
      <c r="AA78" s="216" t="str">
        <f>DATA!Y74</f>
        <v>JICA</v>
      </c>
      <c r="AB78" s="188">
        <f>DATA!AG74</f>
        <v>0</v>
      </c>
      <c r="AC78" s="20">
        <f>DATA!AH74</f>
        <v>2017</v>
      </c>
      <c r="AD78" s="37" t="str">
        <f>DATA!AI74</f>
        <v xml:space="preserve">Sudah ada R/C
</v>
      </c>
      <c r="AE78" s="152" t="str">
        <f>DATA!AR74</f>
        <v>Nilai pinjaman di:
- Rev. GB 16 USD 145.568 ribu
- GB 16 USD 120.000 ribu</v>
      </c>
      <c r="AF78" s="152" t="str">
        <f>DATA!AN74</f>
        <v>siap</v>
      </c>
      <c r="AG78" s="152" t="str">
        <f>DATA!AO74</f>
        <v>belum ada keterangan</v>
      </c>
      <c r="AH78" s="37" t="str">
        <f>DATA!AJ74</f>
        <v>FS, DED, AMDAL, LARAP</v>
      </c>
      <c r="AI78" s="56" t="str">
        <f>DATA!AK74</f>
        <v>-</v>
      </c>
      <c r="AJ78" s="230" t="str">
        <f>DATA!AL74</f>
        <v>-</v>
      </c>
      <c r="AK78" s="231" t="str">
        <f>DATA!AR74</f>
        <v>Nilai pinjaman di:
- Rev. GB 16 USD 145.568 ribu
- GB 16 USD 120.000 ribu</v>
      </c>
      <c r="AL78" s="20" t="str">
        <f>DATA!AN74</f>
        <v>siap</v>
      </c>
      <c r="AM78" s="20" t="str">
        <f>DATA!AO74</f>
        <v>belum ada keterangan</v>
      </c>
      <c r="AN78" s="20" t="str">
        <f>DATA!AP74</f>
        <v>belum ada proses tender/lelang</v>
      </c>
      <c r="AO78" s="20" t="str">
        <f>DATA!AY74</f>
        <v>Konfirmasi melalui surat Sekjen nomor KU.01.12-Sj/636 tgl 23 Oktober 2015</v>
      </c>
      <c r="AP78" s="20" t="e">
        <f>DATA!#REF!</f>
        <v>#REF!</v>
      </c>
      <c r="AQ78" s="20">
        <f>DATA!AZ74</f>
        <v>0</v>
      </c>
      <c r="AR78" s="152" t="e">
        <f>DATA!#REF!</f>
        <v>#REF!</v>
      </c>
      <c r="AS78" s="199"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c r="AT78" s="245">
        <f>DATA!AT74</f>
        <v>120000000</v>
      </c>
      <c r="AU78" s="109" t="str">
        <f>DATA!AU74</f>
        <v>JICA</v>
      </c>
      <c r="AV78" s="246" t="str">
        <f>DATA!AW74</f>
        <v>-</v>
      </c>
    </row>
    <row r="79" spans="1:48" ht="39" customHeight="1">
      <c r="A79" s="10">
        <f>DATA!A75</f>
        <v>57</v>
      </c>
      <c r="B79" s="10">
        <f>DATA!B75</f>
        <v>0</v>
      </c>
      <c r="C79" s="10" t="str">
        <f>DATA!D75</f>
        <v>INFRASTRUKTUR</v>
      </c>
      <c r="D79" s="10">
        <f>DATA!E75</f>
        <v>1</v>
      </c>
      <c r="E79" s="10" t="str">
        <f>DATA!F75</f>
        <v>Kementerian Pekerjaan Umum dan Perumahan Rakyat</v>
      </c>
      <c r="F79" s="10" t="str">
        <f>DATA!H75</f>
        <v xml:space="preserve">Development and Management of Irrigation Program </v>
      </c>
      <c r="G79" s="10" t="str">
        <f>DATA!I75</f>
        <v>I</v>
      </c>
      <c r="H79" s="10" t="str">
        <f>DATA!J75</f>
        <v>Program Pengembangan dan Pengelolaan Irigasi</v>
      </c>
      <c r="I79" s="10">
        <f>DATA!K75</f>
        <v>5</v>
      </c>
      <c r="J79" s="181"/>
      <c r="K79" s="34"/>
      <c r="L79" s="34"/>
      <c r="M79" s="36">
        <v>51</v>
      </c>
      <c r="N79" s="37" t="str">
        <f>DATA!L75</f>
        <v>Irrigation Development in North Sumatera</v>
      </c>
      <c r="O79" s="20">
        <f>DATA!Q75</f>
        <v>1</v>
      </c>
      <c r="P79" s="20">
        <f>DATA!R75</f>
        <v>1</v>
      </c>
      <c r="Q79" s="186">
        <f>DATA!S75</f>
        <v>48</v>
      </c>
      <c r="R79" s="187">
        <f>DATA!T75</f>
        <v>350000000</v>
      </c>
      <c r="S79" s="203">
        <f>DATA!U75</f>
        <v>350000000</v>
      </c>
      <c r="T79" s="77">
        <f>DATA!V75</f>
        <v>35000000</v>
      </c>
      <c r="U79" s="77">
        <f>DATA!W75</f>
        <v>0</v>
      </c>
      <c r="V79" s="77">
        <f>DATA!X75</f>
        <v>385000000</v>
      </c>
      <c r="W79" s="78" t="str">
        <f>DATA!Y75</f>
        <v>ADB</v>
      </c>
      <c r="X79" s="20" t="str">
        <f>DATA!Z75</f>
        <v>Multilateral</v>
      </c>
      <c r="Y79" s="77">
        <f>DATA!AA75</f>
        <v>350000000</v>
      </c>
      <c r="Z79" s="77">
        <v>0</v>
      </c>
      <c r="AA79" s="216" t="str">
        <f>DATA!Y75</f>
        <v>ADB</v>
      </c>
      <c r="AB79" s="188">
        <f>DATA!AG75</f>
        <v>0</v>
      </c>
      <c r="AC79" s="20" t="str">
        <f>DATA!AH75</f>
        <v>Tanpa keterangan</v>
      </c>
      <c r="AD79" s="37" t="str">
        <f>DATA!AI75</f>
        <v>-</v>
      </c>
      <c r="AE79" s="152" t="str">
        <f>DATA!AR75</f>
        <v>belum ada dokumen R/C</v>
      </c>
      <c r="AF79" s="152" t="str">
        <f>DATA!AN75</f>
        <v>dalam proses
(memiliki FS dan DED)</v>
      </c>
      <c r="AG79" s="152" t="str">
        <f>DATA!AO75</f>
        <v>belum ada keterangan</v>
      </c>
      <c r="AH79" s="37" t="str">
        <f>DATA!AJ75</f>
        <v>FS, DED, LARAP</v>
      </c>
      <c r="AI79" s="56" t="str">
        <f>DATA!AK75</f>
        <v>-</v>
      </c>
      <c r="AJ79" s="230" t="str">
        <f>DATA!AL75</f>
        <v>-</v>
      </c>
      <c r="AK79" s="231" t="str">
        <f>DATA!AR75</f>
        <v>belum ada dokumen R/C</v>
      </c>
      <c r="AL79" s="20" t="str">
        <f>DATA!AN75</f>
        <v>dalam proses
(memiliki FS dan DED)</v>
      </c>
      <c r="AM79" s="20" t="str">
        <f>DATA!AO75</f>
        <v>belum ada keterangan</v>
      </c>
      <c r="AN79" s="20" t="str">
        <f>DATA!AP75</f>
        <v>belum ada proses tender/lelang</v>
      </c>
      <c r="AO79" s="20" t="str">
        <f>DATA!AY75</f>
        <v>- dengan skema RBL
- Konfirmasi melalui surat Sekjen nomor KU.01.12-Sj/636 tgl 23 Oktober 2015</v>
      </c>
      <c r="AP79" s="20" t="e">
        <f>DATA!#REF!</f>
        <v>#REF!</v>
      </c>
      <c r="AQ79" s="20" t="str">
        <f>DATA!AZ75</f>
        <v>JICA&amp;IDB diindikasikan akan mendanai kegiatan ini namun belum ada keputusan</v>
      </c>
      <c r="AR79" s="152" t="e">
        <f>DATA!#REF!</f>
        <v>#REF!</v>
      </c>
      <c r="AS79" s="199" t="str">
        <f>DATA!BA75</f>
        <v>Pembahasan lahan dan relokasi, pengadaan, pembangunan bangunan utama, pembangunan jaringan irigasi seluas ±100.000 Ha, pencetakan lahan sawah, dan penyusunan O&amp;P</v>
      </c>
      <c r="AT79" s="245">
        <f>DATA!AT75</f>
        <v>350000000</v>
      </c>
      <c r="AU79" s="109" t="str">
        <f>DATA!AU75</f>
        <v>Belum Ada Indikasi</v>
      </c>
      <c r="AV79" s="246" t="str">
        <f>DATA!AW75</f>
        <v>- usulan K/L lender: ADB
- tidak masuk COBP ADB</v>
      </c>
    </row>
    <row r="80" spans="1:48" ht="49.5" customHeight="1">
      <c r="A80" s="10">
        <f>DATA!A76</f>
        <v>58</v>
      </c>
      <c r="B80" s="10">
        <f>DATA!B76</f>
        <v>0</v>
      </c>
      <c r="C80" s="10" t="str">
        <f>DATA!D76</f>
        <v>INFRASTRUKTUR</v>
      </c>
      <c r="D80" s="10">
        <f>DATA!E76</f>
        <v>1</v>
      </c>
      <c r="E80" s="10" t="str">
        <f>DATA!F76</f>
        <v>Kementerian Pekerjaan Umum dan Perumahan Rakyat</v>
      </c>
      <c r="F80" s="10" t="str">
        <f>DATA!H76</f>
        <v xml:space="preserve">Development and Management of Irrigation Program </v>
      </c>
      <c r="G80" s="10" t="str">
        <f>DATA!I76</f>
        <v>I</v>
      </c>
      <c r="H80" s="10" t="str">
        <f>DATA!J76</f>
        <v>Program Pengembangan dan Pengelolaan Irigasi</v>
      </c>
      <c r="I80" s="10">
        <f>DATA!K76</f>
        <v>6</v>
      </c>
      <c r="J80" s="181"/>
      <c r="K80" s="34"/>
      <c r="L80" s="34"/>
      <c r="M80" s="36">
        <v>52</v>
      </c>
      <c r="N80" s="37" t="str">
        <f>DATA!L76</f>
        <v>Integrated Participatory Development and Management of Lhok Guci and Peureulak Irrigation Project</v>
      </c>
      <c r="O80" s="20">
        <f>DATA!Q76</f>
        <v>1</v>
      </c>
      <c r="P80" s="20">
        <f>DATA!R76</f>
        <v>1</v>
      </c>
      <c r="Q80" s="186">
        <f>DATA!S76</f>
        <v>49</v>
      </c>
      <c r="R80" s="187">
        <f>DATA!T76</f>
        <v>161298000</v>
      </c>
      <c r="S80" s="203">
        <f>DATA!U76</f>
        <v>161298000</v>
      </c>
      <c r="T80" s="77">
        <f>DATA!V76</f>
        <v>24195000</v>
      </c>
      <c r="U80" s="77">
        <f>DATA!W76</f>
        <v>0</v>
      </c>
      <c r="V80" s="77">
        <f>DATA!X76</f>
        <v>185493000</v>
      </c>
      <c r="W80" s="78" t="str">
        <f>DATA!Y76</f>
        <v>ADB</v>
      </c>
      <c r="X80" s="20" t="str">
        <f>DATA!Z76</f>
        <v>Multilateral</v>
      </c>
      <c r="Y80" s="77">
        <f>DATA!AA76</f>
        <v>161298000</v>
      </c>
      <c r="Z80" s="77">
        <v>0</v>
      </c>
      <c r="AA80" s="216" t="str">
        <f>DATA!Y76</f>
        <v>ADB</v>
      </c>
      <c r="AB80" s="188">
        <f>DATA!AG76</f>
        <v>0</v>
      </c>
      <c r="AC80" s="20" t="str">
        <f>DATA!AH76</f>
        <v>Tanpa keterangan</v>
      </c>
      <c r="AD80" s="37" t="str">
        <f>DATA!AI76</f>
        <v>-</v>
      </c>
      <c r="AE80" s="152" t="str">
        <f>DATA!AR76</f>
        <v>belum ada dokumen R/C</v>
      </c>
      <c r="AF80" s="152" t="str">
        <f>DATA!AN76</f>
        <v>dalam proses
(memiliki FS dan DED)</v>
      </c>
      <c r="AG80" s="152" t="str">
        <f>DATA!AO76</f>
        <v>belum ada keterangan</v>
      </c>
      <c r="AH80" s="37" t="str">
        <f>DATA!AJ76</f>
        <v>FS, DED, LARAP</v>
      </c>
      <c r="AI80" s="56" t="str">
        <f>DATA!AK76</f>
        <v>-</v>
      </c>
      <c r="AJ80" s="230" t="str">
        <f>DATA!AL76</f>
        <v>-</v>
      </c>
      <c r="AK80" s="231" t="str">
        <f>DATA!AR76</f>
        <v>belum ada dokumen R/C</v>
      </c>
      <c r="AL80" s="20" t="str">
        <f>DATA!AN76</f>
        <v>dalam proses
(memiliki FS dan DED)</v>
      </c>
      <c r="AM80" s="20" t="str">
        <f>DATA!AO76</f>
        <v>belum ada keterangan</v>
      </c>
      <c r="AN80" s="20" t="str">
        <f>DATA!AP76</f>
        <v>belum ada proses tender/lelang</v>
      </c>
      <c r="AO80" s="20" t="str">
        <f>DATA!AY76</f>
        <v>- dengan skema RBL
- Konfirmasi melalui surat Sekjen nomor KU.01.12-Sj/636 tgl 23 Oktober 2015</v>
      </c>
      <c r="AP80" s="20" t="e">
        <f>DATA!#REF!</f>
        <v>#REF!</v>
      </c>
      <c r="AQ80" s="20" t="str">
        <f>DATA!AZ76</f>
        <v>JICA&amp;IDB diindikasikan akan mendanai kegiatan ini namun belum ada keputusan</v>
      </c>
      <c r="AR80" s="152" t="e">
        <f>DATA!#REF!</f>
        <v>#REF!</v>
      </c>
      <c r="AS80" s="199" t="str">
        <f>DATA!BA76</f>
        <v>Mendukung pengembangan terpadu fasilitas irigasi 18.542 Ha (lhok guci)  dan 5.000 Ha (peureulak) dengan SID partisipatif, konstruksi, dan operasi pemeliharaan.</v>
      </c>
      <c r="AT80" s="245">
        <f>DATA!AT76</f>
        <v>161298000</v>
      </c>
      <c r="AU80" s="109" t="str">
        <f>DATA!AU76</f>
        <v>Belum Ada Indikasi</v>
      </c>
      <c r="AV80" s="246" t="str">
        <f>DATA!AW76</f>
        <v>- usulan K/L lender: ADB
- tidak masuk COBP ADB</v>
      </c>
    </row>
    <row r="81" spans="1:51" ht="30" customHeight="1">
      <c r="A81" s="10">
        <f>DATA!A77</f>
        <v>59</v>
      </c>
      <c r="B81" s="10">
        <f>DATA!B77</f>
        <v>0</v>
      </c>
      <c r="C81" s="10" t="str">
        <f>DATA!D77</f>
        <v>INFRASTRUKTUR</v>
      </c>
      <c r="D81" s="10">
        <f>DATA!E77</f>
        <v>1</v>
      </c>
      <c r="E81" s="10" t="str">
        <f>DATA!F77</f>
        <v>Kementerian Pekerjaan Umum dan Perumahan Rakyat</v>
      </c>
      <c r="F81" s="10" t="str">
        <f>DATA!H77</f>
        <v xml:space="preserve">Development and Management of Irrigation Program </v>
      </c>
      <c r="G81" s="10" t="str">
        <f>DATA!I77</f>
        <v>I</v>
      </c>
      <c r="H81" s="10" t="str">
        <f>DATA!J77</f>
        <v>Program Pengembangan dan Pengelolaan Irigasi</v>
      </c>
      <c r="I81" s="10">
        <f>DATA!K77</f>
        <v>7</v>
      </c>
      <c r="J81" s="181"/>
      <c r="K81" s="34"/>
      <c r="L81" s="34"/>
      <c r="M81" s="36">
        <v>53</v>
      </c>
      <c r="N81" s="37" t="str">
        <f>DATA!L77</f>
        <v>Modernization Strategic Irrigation Project (MSIP)</v>
      </c>
      <c r="O81" s="20">
        <f>DATA!Q77</f>
        <v>1</v>
      </c>
      <c r="P81" s="20">
        <f>DATA!R77</f>
        <v>1</v>
      </c>
      <c r="Q81" s="186">
        <f>DATA!S77</f>
        <v>50</v>
      </c>
      <c r="R81" s="187">
        <f>DATA!T77</f>
        <v>278355000</v>
      </c>
      <c r="S81" s="203">
        <f>DATA!U77</f>
        <v>278355000</v>
      </c>
      <c r="T81" s="77">
        <f>DATA!V77</f>
        <v>28000000</v>
      </c>
      <c r="U81" s="77">
        <f>DATA!W77</f>
        <v>0</v>
      </c>
      <c r="V81" s="77">
        <f>DATA!X77</f>
        <v>306355000</v>
      </c>
      <c r="W81" s="78" t="str">
        <f>DATA!Y77</f>
        <v>JICA</v>
      </c>
      <c r="X81" s="20" t="str">
        <f>DATA!Z77</f>
        <v>Bilateral</v>
      </c>
      <c r="Y81" s="77">
        <f>DATA!AA77</f>
        <v>278355000</v>
      </c>
      <c r="Z81" s="77">
        <v>0</v>
      </c>
      <c r="AA81" s="216" t="str">
        <f>DATA!Y77</f>
        <v>JICA</v>
      </c>
      <c r="AB81" s="188">
        <f>DATA!AG77</f>
        <v>0</v>
      </c>
      <c r="AC81" s="20">
        <f>DATA!AH77</f>
        <v>2017</v>
      </c>
      <c r="AD81" s="37" t="str">
        <f>DATA!AI77</f>
        <v>-</v>
      </c>
      <c r="AE81" s="152" t="str">
        <f>DATA!AR77</f>
        <v>belum ada dokumen R/C</v>
      </c>
      <c r="AF81" s="152" t="str">
        <f>DATA!AN77</f>
        <v>belum ada keterangan</v>
      </c>
      <c r="AG81" s="152" t="str">
        <f>DATA!AO77</f>
        <v>belum ada keterangan</v>
      </c>
      <c r="AH81" s="37" t="str">
        <f>DATA!AJ77</f>
        <v>-</v>
      </c>
      <c r="AI81" s="56" t="str">
        <f>DATA!AK77</f>
        <v>-</v>
      </c>
      <c r="AJ81" s="230" t="str">
        <f>DATA!AL77</f>
        <v>-</v>
      </c>
      <c r="AK81" s="231" t="str">
        <f>DATA!AR77</f>
        <v>belum ada dokumen R/C</v>
      </c>
      <c r="AL81" s="20" t="str">
        <f>DATA!AN77</f>
        <v>belum ada keterangan</v>
      </c>
      <c r="AM81" s="20" t="str">
        <f>DATA!AO77</f>
        <v>belum ada keterangan</v>
      </c>
      <c r="AN81" s="20" t="str">
        <f>DATA!AP77</f>
        <v>belum ada proses tender/lelang</v>
      </c>
      <c r="AO81" s="20" t="str">
        <f>DATA!AY77</f>
        <v>Konfirmasi melalui surat Sekjen nomor KU.01.12-Sj/636 tgl 23 Oktober 2015</v>
      </c>
      <c r="AP81" s="20" t="e">
        <f>DATA!#REF!</f>
        <v>#REF!</v>
      </c>
      <c r="AQ81" s="20">
        <f>DATA!AZ77</f>
        <v>0</v>
      </c>
      <c r="AR81" s="152" t="e">
        <f>DATA!#REF!</f>
        <v>#REF!</v>
      </c>
      <c r="AS81" s="199"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c r="AT81" s="245">
        <f>DATA!AT77</f>
        <v>278355000</v>
      </c>
      <c r="AU81" s="109" t="str">
        <f>DATA!AU77</f>
        <v>JICA</v>
      </c>
      <c r="AV81" s="246" t="str">
        <f>DATA!AW77</f>
        <v>-</v>
      </c>
    </row>
    <row r="82" spans="1:51" ht="36" customHeight="1">
      <c r="A82" s="10">
        <f>DATA!A78</f>
        <v>60</v>
      </c>
      <c r="B82" s="10">
        <f>DATA!B78</f>
        <v>0</v>
      </c>
      <c r="C82" s="10" t="str">
        <f>DATA!D78</f>
        <v>INFRASTRUKTUR</v>
      </c>
      <c r="D82" s="10">
        <f>DATA!E78</f>
        <v>1</v>
      </c>
      <c r="E82" s="10" t="str">
        <f>DATA!F78</f>
        <v>Kementerian Pekerjaan Umum dan Perumahan Rakyat</v>
      </c>
      <c r="F82" s="10" t="str">
        <f>DATA!H78</f>
        <v xml:space="preserve">Development and Management of Irrigation Program </v>
      </c>
      <c r="G82" s="10" t="str">
        <f>DATA!I78</f>
        <v>I</v>
      </c>
      <c r="H82" s="10" t="str">
        <f>DATA!J78</f>
        <v>Program Pengembangan dan Pengelolaan Irigasi</v>
      </c>
      <c r="I82" s="10">
        <f>DATA!K78</f>
        <v>8</v>
      </c>
      <c r="J82" s="181"/>
      <c r="K82" s="34"/>
      <c r="L82" s="34"/>
      <c r="M82" s="36">
        <v>54</v>
      </c>
      <c r="N82" s="37" t="str">
        <f>DATA!L78</f>
        <v>Urgent Rehabilitation of  Irrigation Project in Indonesia (URIP)</v>
      </c>
      <c r="O82" s="20">
        <f>DATA!Q78</f>
        <v>1</v>
      </c>
      <c r="P82" s="20">
        <f>DATA!R78</f>
        <v>1</v>
      </c>
      <c r="Q82" s="186">
        <f>DATA!S78</f>
        <v>51</v>
      </c>
      <c r="R82" s="187">
        <f>DATA!T78</f>
        <v>272100000</v>
      </c>
      <c r="S82" s="203">
        <f>DATA!U78</f>
        <v>272100000</v>
      </c>
      <c r="T82" s="77">
        <f>DATA!V78</f>
        <v>40815000</v>
      </c>
      <c r="U82" s="77">
        <f>DATA!W78</f>
        <v>0</v>
      </c>
      <c r="V82" s="77">
        <f>DATA!X78</f>
        <v>312915000</v>
      </c>
      <c r="W82" s="78" t="str">
        <f>DATA!Y78</f>
        <v>Bank Dunia</v>
      </c>
      <c r="X82" s="20" t="str">
        <f>DATA!Z78</f>
        <v>Multilateral</v>
      </c>
      <c r="Y82" s="77">
        <f>DATA!AA78</f>
        <v>272100000</v>
      </c>
      <c r="Z82" s="77">
        <v>0</v>
      </c>
      <c r="AA82" s="216" t="str">
        <f>DATA!Y78</f>
        <v>Bank Dunia</v>
      </c>
      <c r="AB82" s="188">
        <f>DATA!AG78</f>
        <v>0</v>
      </c>
      <c r="AC82" s="20" t="str">
        <f>DATA!AH78</f>
        <v>Tanpa keterangan</v>
      </c>
      <c r="AD82" s="37" t="str">
        <f>DATA!AI78</f>
        <v>-</v>
      </c>
      <c r="AE82" s="152" t="str">
        <f>DATA!AR78</f>
        <v>belum ada dokumen R/C</v>
      </c>
      <c r="AF82" s="152" t="str">
        <f>DATA!AN78</f>
        <v>belum ada keterangan</v>
      </c>
      <c r="AG82" s="152" t="str">
        <f>DATA!AO78</f>
        <v>belum ada keterangan</v>
      </c>
      <c r="AH82" s="37" t="str">
        <f>DATA!AJ78</f>
        <v>-</v>
      </c>
      <c r="AI82" s="56" t="str">
        <f>DATA!AK78</f>
        <v>-</v>
      </c>
      <c r="AJ82" s="230" t="str">
        <f>DATA!AL78</f>
        <v>-</v>
      </c>
      <c r="AK82" s="231" t="str">
        <f>DATA!AR78</f>
        <v>belum ada dokumen R/C</v>
      </c>
      <c r="AL82" s="20" t="str">
        <f>DATA!AN78</f>
        <v>belum ada keterangan</v>
      </c>
      <c r="AM82" s="20" t="str">
        <f>DATA!AO78</f>
        <v>belum ada keterangan</v>
      </c>
      <c r="AN82" s="20" t="str">
        <f>DATA!AP78</f>
        <v>belum ada proses tender/lelang</v>
      </c>
      <c r="AO82" s="20" t="str">
        <f>DATA!AY78</f>
        <v>Konfirmasi melalui surat Sekjen nomor KU.01.12-Sj/636 tgl 23 Oktober 2015</v>
      </c>
      <c r="AP82" s="20" t="e">
        <f>DATA!#REF!</f>
        <v>#REF!</v>
      </c>
      <c r="AQ82" s="20" t="str">
        <f>DATA!AZ78</f>
        <v xml:space="preserve">Belum ada pembicaraan dgn Bank Dunia </v>
      </c>
      <c r="AR82" s="152" t="e">
        <f>DATA!#REF!</f>
        <v>#REF!</v>
      </c>
      <c r="AS82" s="199"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c r="AT82" s="245">
        <f>DATA!AT78</f>
        <v>272100000</v>
      </c>
      <c r="AU82" s="109" t="str">
        <f>DATA!AU78</f>
        <v>Bank Dunia</v>
      </c>
      <c r="AV82" s="246" t="str">
        <f>DATA!AW78</f>
        <v>-</v>
      </c>
    </row>
    <row r="83" spans="1:51" ht="27" customHeight="1">
      <c r="A83" s="10">
        <f>DATA!A79</f>
        <v>61</v>
      </c>
      <c r="B83" s="10">
        <f>DATA!B79</f>
        <v>0</v>
      </c>
      <c r="C83" s="10" t="str">
        <f>DATA!D79</f>
        <v>INFRASTRUKTUR</v>
      </c>
      <c r="D83" s="10">
        <f>DATA!E79</f>
        <v>1</v>
      </c>
      <c r="E83" s="10" t="str">
        <f>DATA!F79</f>
        <v>Kementerian Pekerjaan Umum dan Perumahan Rakyat</v>
      </c>
      <c r="F83" s="10" t="str">
        <f>DATA!H79</f>
        <v xml:space="preserve">Development and Management of Irrigation Program </v>
      </c>
      <c r="G83" s="10" t="str">
        <f>DATA!I79</f>
        <v>I</v>
      </c>
      <c r="H83" s="10" t="str">
        <f>DATA!J79</f>
        <v>Program Pengembangan dan Pengelolaan Irigasi</v>
      </c>
      <c r="I83" s="10">
        <f>DATA!K79</f>
        <v>9</v>
      </c>
      <c r="J83" s="181"/>
      <c r="K83" s="34"/>
      <c r="L83" s="34"/>
      <c r="M83" s="36">
        <v>55</v>
      </c>
      <c r="N83" s="37" t="str">
        <f>DATA!L79</f>
        <v>Revitalization Groundwater Irrigation in Indonesia</v>
      </c>
      <c r="O83" s="20">
        <f>DATA!Q79</f>
        <v>1</v>
      </c>
      <c r="P83" s="20">
        <f>DATA!R79</f>
        <v>1</v>
      </c>
      <c r="Q83" s="186">
        <f>DATA!S79</f>
        <v>52</v>
      </c>
      <c r="R83" s="187">
        <f>DATA!T79</f>
        <v>100000000</v>
      </c>
      <c r="S83" s="203">
        <f>DATA!U79</f>
        <v>100000000</v>
      </c>
      <c r="T83" s="77">
        <f>DATA!V79</f>
        <v>10000000</v>
      </c>
      <c r="U83" s="77">
        <f>DATA!W79</f>
        <v>0</v>
      </c>
      <c r="V83" s="77">
        <f>DATA!X79</f>
        <v>110000000</v>
      </c>
      <c r="W83" s="78" t="str">
        <f>DATA!Y79</f>
        <v>JICA</v>
      </c>
      <c r="X83" s="20" t="str">
        <f>DATA!Z79</f>
        <v>Bilateral</v>
      </c>
      <c r="Y83" s="77">
        <f>DATA!AA79</f>
        <v>100000000</v>
      </c>
      <c r="Z83" s="77">
        <v>0</v>
      </c>
      <c r="AA83" s="216" t="str">
        <f>DATA!Y79</f>
        <v>JICA</v>
      </c>
      <c r="AB83" s="188">
        <f>DATA!AG79</f>
        <v>0</v>
      </c>
      <c r="AC83" s="20">
        <f>DATA!AH79</f>
        <v>2017</v>
      </c>
      <c r="AD83" s="37" t="str">
        <f>DATA!AI79</f>
        <v>-</v>
      </c>
      <c r="AE83" s="152" t="str">
        <f>DATA!AR79</f>
        <v>belum ada dokumen R/C</v>
      </c>
      <c r="AF83" s="152" t="str">
        <f>DATA!AN79</f>
        <v>belum ada keterangan</v>
      </c>
      <c r="AG83" s="152" t="str">
        <f>DATA!AO79</f>
        <v>belum ada keterangan</v>
      </c>
      <c r="AH83" s="37" t="str">
        <f>DATA!AJ79</f>
        <v>-</v>
      </c>
      <c r="AI83" s="56" t="str">
        <f>DATA!AK79</f>
        <v>-</v>
      </c>
      <c r="AJ83" s="230" t="str">
        <f>DATA!AL79</f>
        <v>-</v>
      </c>
      <c r="AK83" s="231" t="str">
        <f>DATA!AR79</f>
        <v>belum ada dokumen R/C</v>
      </c>
      <c r="AL83" s="20" t="str">
        <f>DATA!AN79</f>
        <v>belum ada keterangan</v>
      </c>
      <c r="AM83" s="20" t="str">
        <f>DATA!AO79</f>
        <v>belum ada keterangan</v>
      </c>
      <c r="AN83" s="20" t="str">
        <f>DATA!AP79</f>
        <v>belum ada proses tender/lelang</v>
      </c>
      <c r="AO83" s="20" t="str">
        <f>DATA!AY79</f>
        <v>Konfirmasi melalui surat Sekjen nomor KU.01.12-Sj/636 tgl 23 Oktober 2015</v>
      </c>
      <c r="AP83" s="20" t="e">
        <f>DATA!#REF!</f>
        <v>#REF!</v>
      </c>
      <c r="AQ83" s="20">
        <f>DATA!AZ79</f>
        <v>0</v>
      </c>
      <c r="AR83" s="152" t="e">
        <f>DATA!#REF!</f>
        <v>#REF!</v>
      </c>
      <c r="AS83" s="199" t="str">
        <f>DATA!BA79</f>
        <v>Kegiatan review desain dan kegiatan konstruksi  meliputi: rehabilitasi 772 sumur, perbaikan pipa distribusi air tanah 1.618 km, perbaikan bangunan rumah pompa, penggantian mesin pompa dan atau penggerak</v>
      </c>
      <c r="AT83" s="245">
        <f>DATA!AT79</f>
        <v>100000000</v>
      </c>
      <c r="AU83" s="109" t="str">
        <f>DATA!AU79</f>
        <v>JICA</v>
      </c>
      <c r="AV83" s="246" t="str">
        <f>DATA!AW79</f>
        <v>-</v>
      </c>
    </row>
    <row r="84" spans="1:51" ht="38.25" customHeight="1">
      <c r="A84" s="10">
        <f>DATA!A80</f>
        <v>62</v>
      </c>
      <c r="B84" s="10">
        <f>DATA!B80</f>
        <v>0</v>
      </c>
      <c r="C84" s="10" t="str">
        <f>DATA!D80</f>
        <v>INFRASTRUKTUR</v>
      </c>
      <c r="D84" s="10">
        <f>DATA!E80</f>
        <v>1</v>
      </c>
      <c r="E84" s="10" t="str">
        <f>DATA!F80</f>
        <v>Kementerian Pekerjaan Umum dan Perumahan Rakyat</v>
      </c>
      <c r="F84" s="10" t="str">
        <f>DATA!H80</f>
        <v xml:space="preserve">Development and Management of Irrigation Program </v>
      </c>
      <c r="G84" s="10" t="str">
        <f>DATA!I80</f>
        <v>I</v>
      </c>
      <c r="H84" s="10" t="str">
        <f>DATA!J80</f>
        <v>Program Pengembangan dan Pengelolaan Irigasi</v>
      </c>
      <c r="I84" s="10">
        <f>DATA!K80</f>
        <v>10</v>
      </c>
      <c r="J84" s="181"/>
      <c r="K84" s="34"/>
      <c r="L84" s="54"/>
      <c r="M84" s="36">
        <v>56</v>
      </c>
      <c r="N84" s="37" t="str">
        <f>DATA!L80</f>
        <v>Engineering Service for Irrigation and Low Land Development Project</v>
      </c>
      <c r="O84" s="20">
        <f>DATA!Q80</f>
        <v>1</v>
      </c>
      <c r="P84" s="20">
        <f>DATA!R80</f>
        <v>1</v>
      </c>
      <c r="Q84" s="186">
        <f>DATA!S80</f>
        <v>53</v>
      </c>
      <c r="R84" s="187">
        <f>DATA!T80</f>
        <v>100000000</v>
      </c>
      <c r="S84" s="203">
        <f>DATA!U80</f>
        <v>100000000</v>
      </c>
      <c r="T84" s="77">
        <f>DATA!V80</f>
        <v>0</v>
      </c>
      <c r="U84" s="77">
        <f>DATA!W80</f>
        <v>0</v>
      </c>
      <c r="V84" s="77">
        <f>DATA!X80</f>
        <v>100000000</v>
      </c>
      <c r="W84" s="78" t="str">
        <f>DATA!Y80</f>
        <v>ADB</v>
      </c>
      <c r="X84" s="20" t="str">
        <f>DATA!Z80</f>
        <v>Multilateral</v>
      </c>
      <c r="Y84" s="77">
        <f>DATA!AA80</f>
        <v>100000000</v>
      </c>
      <c r="Z84" s="77">
        <v>0</v>
      </c>
      <c r="AA84" s="216" t="str">
        <f>DATA!Y80</f>
        <v>ADB</v>
      </c>
      <c r="AB84" s="188">
        <f>DATA!AG80</f>
        <v>0</v>
      </c>
      <c r="AC84" s="20">
        <f>DATA!AH80</f>
        <v>2016</v>
      </c>
      <c r="AD84" s="37" t="str">
        <f>DATA!AI80</f>
        <v>- Sudah ada RC- Green Book 2015</v>
      </c>
      <c r="AE84" s="152" t="str">
        <f>DATA!AR80</f>
        <v>- sudah GB 2016  
- Nilai pinjaman di GB 38.100 ribu</v>
      </c>
      <c r="AF84" s="152" t="str">
        <f>DATA!AN80</f>
        <v>siap</v>
      </c>
      <c r="AG84" s="152" t="str">
        <f>DATA!AO80</f>
        <v>tidak butuh lahan</v>
      </c>
      <c r="AH84" s="37" t="str">
        <f>DATA!AJ80</f>
        <v>FS, DED</v>
      </c>
      <c r="AI84" s="56" t="str">
        <f>DATA!AK80</f>
        <v>Tidak membutuhkan lahan</v>
      </c>
      <c r="AJ84" s="230" t="str">
        <f>DATA!AL80</f>
        <v>Belum ada tender/lelang</v>
      </c>
      <c r="AK84" s="231" t="str">
        <f>DATA!AR80</f>
        <v>- sudah GB 2016  
- Nilai pinjaman di GB 38.100 ribu</v>
      </c>
      <c r="AL84" s="20" t="str">
        <f>DATA!AN80</f>
        <v>siap</v>
      </c>
      <c r="AM84" s="20" t="str">
        <f>DATA!AO80</f>
        <v>tidak butuh lahan</v>
      </c>
      <c r="AN84" s="20" t="str">
        <f>DATA!AP80</f>
        <v>belum ada proses tender/lelang</v>
      </c>
      <c r="AO84"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P84" s="20" t="e">
        <f>DATA!#REF!</f>
        <v>#REF!</v>
      </c>
      <c r="AQ84" s="20">
        <f>DATA!AZ80</f>
        <v>0</v>
      </c>
      <c r="AR84" s="152" t="e">
        <f>DATA!#REF!</f>
        <v>#REF!</v>
      </c>
      <c r="AS84" s="199"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c r="AT84" s="245">
        <f>DATA!AT80</f>
        <v>100000000</v>
      </c>
      <c r="AU84" s="109" t="str">
        <f>DATA!AU80</f>
        <v>ADB</v>
      </c>
      <c r="AV84" s="246" t="str">
        <f>DATA!AW80</f>
        <v>-</v>
      </c>
    </row>
    <row r="85" spans="1:51" s="5" customFormat="1" ht="33.75" customHeight="1">
      <c r="J85" s="180"/>
      <c r="K85" s="50"/>
      <c r="L85" s="30" t="str">
        <f>DATA!I81</f>
        <v>J</v>
      </c>
      <c r="M85" s="31" t="str">
        <f>DATA!J81</f>
        <v xml:space="preserve">Program Penyediaan dan Pengelolaan Air Baku </v>
      </c>
      <c r="N85" s="51"/>
      <c r="O85" s="31"/>
      <c r="P85" s="31"/>
      <c r="Q85" s="196"/>
      <c r="R85" s="197">
        <f>SUM(R86:R88)</f>
        <v>623862000</v>
      </c>
      <c r="S85" s="198">
        <f t="shared" ref="S85:AU85" si="11">SUM(S86:S88)</f>
        <v>623862000</v>
      </c>
      <c r="T85" s="81">
        <f t="shared" si="11"/>
        <v>201074000</v>
      </c>
      <c r="U85" s="81">
        <f t="shared" si="11"/>
        <v>0</v>
      </c>
      <c r="V85" s="81">
        <f t="shared" si="11"/>
        <v>824936000</v>
      </c>
      <c r="W85" s="81">
        <f t="shared" si="11"/>
        <v>0</v>
      </c>
      <c r="X85" s="81">
        <f t="shared" si="11"/>
        <v>0</v>
      </c>
      <c r="Y85" s="81">
        <f t="shared" si="11"/>
        <v>623862000</v>
      </c>
      <c r="Z85" s="81">
        <f t="shared" si="11"/>
        <v>0</v>
      </c>
      <c r="AA85" s="214">
        <f t="shared" si="11"/>
        <v>0</v>
      </c>
      <c r="AB85" s="198">
        <f t="shared" si="11"/>
        <v>0</v>
      </c>
      <c r="AC85" s="81">
        <f t="shared" si="11"/>
        <v>2016</v>
      </c>
      <c r="AD85" s="81">
        <f t="shared" si="11"/>
        <v>0</v>
      </c>
      <c r="AE85" s="81">
        <f t="shared" si="11"/>
        <v>0</v>
      </c>
      <c r="AF85" s="81">
        <f t="shared" si="11"/>
        <v>0</v>
      </c>
      <c r="AG85" s="81">
        <f t="shared" si="11"/>
        <v>0</v>
      </c>
      <c r="AH85" s="81"/>
      <c r="AI85" s="228"/>
      <c r="AJ85" s="229">
        <f t="shared" si="11"/>
        <v>0</v>
      </c>
      <c r="AK85" s="198">
        <f t="shared" si="11"/>
        <v>0</v>
      </c>
      <c r="AL85" s="81">
        <f t="shared" si="11"/>
        <v>0</v>
      </c>
      <c r="AM85" s="81">
        <f t="shared" si="11"/>
        <v>0</v>
      </c>
      <c r="AN85" s="81">
        <f t="shared" si="11"/>
        <v>0</v>
      </c>
      <c r="AO85" s="81">
        <f t="shared" si="11"/>
        <v>0</v>
      </c>
      <c r="AP85" s="81" t="e">
        <f t="shared" si="11"/>
        <v>#REF!</v>
      </c>
      <c r="AQ85" s="81">
        <f t="shared" si="11"/>
        <v>0</v>
      </c>
      <c r="AR85" s="81" t="e">
        <f t="shared" si="11"/>
        <v>#REF!</v>
      </c>
      <c r="AS85" s="243">
        <f t="shared" si="11"/>
        <v>0</v>
      </c>
      <c r="AT85" s="244">
        <f t="shared" si="11"/>
        <v>623862000</v>
      </c>
      <c r="AU85" s="81">
        <f t="shared" si="11"/>
        <v>0</v>
      </c>
      <c r="AV85" s="229"/>
    </row>
    <row r="86" spans="1:51" ht="38.25" customHeight="1">
      <c r="A86" s="10">
        <f>DATA!A81</f>
        <v>63</v>
      </c>
      <c r="B86" s="10">
        <f>DATA!B81</f>
        <v>0</v>
      </c>
      <c r="C86" s="10" t="str">
        <f>DATA!D81</f>
        <v>INFRASTRUKTUR</v>
      </c>
      <c r="D86" s="10">
        <f>DATA!E81</f>
        <v>1</v>
      </c>
      <c r="E86" s="10" t="str">
        <f>DATA!F81</f>
        <v>Kementerian Pekerjaan Umum dan Perumahan Rakyat</v>
      </c>
      <c r="F86" s="10" t="str">
        <f>DATA!H81</f>
        <v>Provision and Management of Bulk Water Supply Program</v>
      </c>
      <c r="G86" s="10" t="str">
        <f>DATA!I81</f>
        <v>J</v>
      </c>
      <c r="H86" s="10" t="str">
        <f>DATA!J81</f>
        <v xml:space="preserve">Program Penyediaan dan Pengelolaan Air Baku </v>
      </c>
      <c r="I86" s="10">
        <f>DATA!K81</f>
        <v>1</v>
      </c>
      <c r="J86" s="181"/>
      <c r="K86" s="34"/>
      <c r="L86" s="35"/>
      <c r="M86" s="36">
        <v>57</v>
      </c>
      <c r="N86" s="37" t="str">
        <f>DATA!L81</f>
        <v>Integrated Citarum Water Resources Management Investment Program II</v>
      </c>
      <c r="O86" s="20">
        <f>DATA!Q81</f>
        <v>1</v>
      </c>
      <c r="P86" s="20">
        <f>DATA!R81</f>
        <v>1</v>
      </c>
      <c r="Q86" s="186">
        <f>DATA!S81</f>
        <v>54</v>
      </c>
      <c r="R86" s="187">
        <f>DATA!T81</f>
        <v>200000000</v>
      </c>
      <c r="S86" s="203">
        <f>DATA!U81</f>
        <v>200000000</v>
      </c>
      <c r="T86" s="77">
        <f>DATA!V81</f>
        <v>20000000</v>
      </c>
      <c r="U86" s="77">
        <f>DATA!W81</f>
        <v>0</v>
      </c>
      <c r="V86" s="77">
        <f>DATA!X81</f>
        <v>220000000</v>
      </c>
      <c r="W86" s="78" t="str">
        <f>DATA!Y81</f>
        <v>ADB</v>
      </c>
      <c r="X86" s="20" t="str">
        <f>DATA!Z81</f>
        <v>Multilateral</v>
      </c>
      <c r="Y86" s="77">
        <f>DATA!AA81</f>
        <v>200000000</v>
      </c>
      <c r="Z86" s="77">
        <v>0</v>
      </c>
      <c r="AA86" s="216" t="str">
        <f>DATA!Y81</f>
        <v>ADB</v>
      </c>
      <c r="AB86" s="188">
        <f>DATA!AG81</f>
        <v>0</v>
      </c>
      <c r="AC86" s="20" t="str">
        <f>DATA!AH81</f>
        <v>Tanpa keterangan</v>
      </c>
      <c r="AD86" s="37" t="str">
        <f>DATA!AI81</f>
        <v>-</v>
      </c>
      <c r="AE86" s="152" t="str">
        <f>DATA!AR81</f>
        <v>belum ada dokumen R/C</v>
      </c>
      <c r="AF86" s="152" t="str">
        <f>DATA!AN81</f>
        <v>dalam proses
(memiliki FS dan DED)</v>
      </c>
      <c r="AG86" s="152" t="str">
        <f>DATA!AO81</f>
        <v>dalam proses
(perencanaan)</v>
      </c>
      <c r="AH86" s="37" t="str">
        <f>DATA!AJ81</f>
        <v>FS, DED</v>
      </c>
      <c r="AI86" s="56" t="str">
        <f>DATA!AK81</f>
        <v>Penyusunan dokumen LARAP</v>
      </c>
      <c r="AJ86" s="230" t="str">
        <f>DATA!AL81</f>
        <v>-</v>
      </c>
      <c r="AK86" s="231" t="str">
        <f>DATA!AR81</f>
        <v>belum ada dokumen R/C</v>
      </c>
      <c r="AL86" s="20" t="str">
        <f>DATA!AN81</f>
        <v>dalam proses
(memiliki FS dan DED)</v>
      </c>
      <c r="AM86" s="20" t="str">
        <f>DATA!AO81</f>
        <v>dalam proses
(perencanaan)</v>
      </c>
      <c r="AN86" s="20" t="str">
        <f>DATA!AP81</f>
        <v>belum ada proses tender/lelang</v>
      </c>
      <c r="AO86" s="20" t="str">
        <f>DATA!AY81</f>
        <v>Konfirmasi melalui surat Sekjen nomor KU.01.12-Sj/636 tgl 23 Oktober 2015</v>
      </c>
      <c r="AP86" s="20" t="e">
        <f>DATA!#REF!</f>
        <v>#REF!</v>
      </c>
      <c r="AQ86" s="20" t="str">
        <f>DATA!AZ81</f>
        <v>ada penolakan dari ADB untuk membiayai kegiatan ini (info P'Dewo)</v>
      </c>
      <c r="AR86" s="152" t="e">
        <f>DATA!#REF!</f>
        <v>#REF!</v>
      </c>
      <c r="AS86" s="199" t="str">
        <f>DATA!BA81</f>
        <v>Pengembangan air baku di sungai citarum dan sekeliling bandung untuk memenuhi kebutuhan air baku lebih kurang 1,5 m3/det di Bandung serta menghindari erosi sungai Citarum</v>
      </c>
      <c r="AT86" s="245">
        <f>DATA!AT81</f>
        <v>200000000</v>
      </c>
      <c r="AU86" s="109" t="str">
        <f>DATA!AU81</f>
        <v>ADB</v>
      </c>
      <c r="AV86" s="246" t="str">
        <f>DATA!AW81</f>
        <v>-</v>
      </c>
    </row>
    <row r="87" spans="1:51" ht="46.5" customHeight="1">
      <c r="A87" s="10">
        <f>DATA!A82</f>
        <v>64</v>
      </c>
      <c r="B87" s="10">
        <f>DATA!B82</f>
        <v>0</v>
      </c>
      <c r="C87" s="10" t="str">
        <f>DATA!D82</f>
        <v>INFRASTRUKTUR</v>
      </c>
      <c r="D87" s="10">
        <f>DATA!E82</f>
        <v>1</v>
      </c>
      <c r="E87" s="10" t="str">
        <f>DATA!F82</f>
        <v>Kementerian Pekerjaan Umum dan Perumahan Rakyat</v>
      </c>
      <c r="F87" s="10" t="str">
        <f>DATA!H82</f>
        <v>Provision and Management of Bulk Water Supply Program</v>
      </c>
      <c r="G87" s="10" t="str">
        <f>DATA!I82</f>
        <v>I</v>
      </c>
      <c r="H87" s="10" t="str">
        <f>DATA!J82</f>
        <v xml:space="preserve">Program Penyediaan dan Pengelolaan Air Baku </v>
      </c>
      <c r="I87" s="10">
        <f>DATA!K82</f>
        <v>2</v>
      </c>
      <c r="J87" s="181"/>
      <c r="K87" s="34"/>
      <c r="L87" s="34"/>
      <c r="M87" s="36">
        <v>58</v>
      </c>
      <c r="N87" s="37" t="str">
        <f>DATA!L82</f>
        <v>Karian Dam-Serpong Water Conveyance and Supply System Project</v>
      </c>
      <c r="O87" s="20">
        <f>DATA!Q82</f>
        <v>1</v>
      </c>
      <c r="P87" s="20">
        <f>DATA!R82</f>
        <v>1</v>
      </c>
      <c r="Q87" s="186">
        <f>DATA!S82</f>
        <v>55</v>
      </c>
      <c r="R87" s="187">
        <f>DATA!T82</f>
        <v>373862000</v>
      </c>
      <c r="S87" s="203">
        <f>DATA!U82</f>
        <v>373862000</v>
      </c>
      <c r="T87" s="77">
        <f>DATA!V82</f>
        <v>181074000</v>
      </c>
      <c r="U87" s="77">
        <f>DATA!W82</f>
        <v>0</v>
      </c>
      <c r="V87" s="77">
        <f>DATA!X82</f>
        <v>554936000</v>
      </c>
      <c r="W87" s="78" t="str">
        <f>DATA!Y82</f>
        <v>Korea</v>
      </c>
      <c r="X87" s="20" t="str">
        <f>DATA!Z82</f>
        <v>Bilateral</v>
      </c>
      <c r="Y87" s="77">
        <f>DATA!AA82</f>
        <v>373862000</v>
      </c>
      <c r="Z87" s="77">
        <v>0</v>
      </c>
      <c r="AA87" s="216" t="str">
        <f>DATA!Y82</f>
        <v>Korea</v>
      </c>
      <c r="AB87" s="188">
        <f>DATA!AG82</f>
        <v>0</v>
      </c>
      <c r="AC87" s="20" t="str">
        <f>DATA!AH82</f>
        <v>Tanpa keterangan</v>
      </c>
      <c r="AD87" s="37" t="str">
        <f>DATA!AI82</f>
        <v>-</v>
      </c>
      <c r="AE87" s="152" t="str">
        <f>DATA!AR82</f>
        <v>belum ada dokumen R/C</v>
      </c>
      <c r="AF87" s="152" t="str">
        <f>DATA!AN82</f>
        <v>dalam proses
(memiliki FS)</v>
      </c>
      <c r="AG87" s="152" t="str">
        <f>DATA!AO82</f>
        <v>dalam proses
(perencanaan)</v>
      </c>
      <c r="AH87" s="37" t="str">
        <f>DATA!AJ82</f>
        <v>FS</v>
      </c>
      <c r="AI87" s="56" t="str">
        <f>DATA!AK82</f>
        <v>Persiapan penyusunan dokumen LARAP</v>
      </c>
      <c r="AJ87" s="230" t="str">
        <f>DATA!AL82</f>
        <v>-</v>
      </c>
      <c r="AK87" s="231" t="str">
        <f>DATA!AR82</f>
        <v>belum ada dokumen R/C</v>
      </c>
      <c r="AL87" s="20" t="str">
        <f>DATA!AN82</f>
        <v>dalam proses
(memiliki FS)</v>
      </c>
      <c r="AM87" s="20" t="str">
        <f>DATA!AO82</f>
        <v>dalam proses
(perencanaan)</v>
      </c>
      <c r="AN87" s="20" t="str">
        <f>DATA!AP82</f>
        <v>belum ada proses tender/lelang</v>
      </c>
      <c r="AO87" s="20" t="str">
        <f>DATA!AY82</f>
        <v>Konfirmasi melalui surat Sekjen nomor KU.01.12-Sj/636 tgl 23 Oktober 2015</v>
      </c>
      <c r="AP87" s="20" t="e">
        <f>DATA!#REF!</f>
        <v>#REF!</v>
      </c>
      <c r="AQ87" s="20">
        <f>DATA!AZ82</f>
        <v>0</v>
      </c>
      <c r="AR87" s="152" t="e">
        <f>DATA!#REF!</f>
        <v>#REF!</v>
      </c>
      <c r="AS87" s="199" t="str">
        <f>DATA!BA82</f>
        <v>Pembangunan sistem air baku sepanjang 47,9 km dari Bendungan Karian ke Serpong untuk meningkatkan pasokan air di Banten dan Jakarta</v>
      </c>
      <c r="AT87" s="245">
        <f>DATA!AT82</f>
        <v>373862000</v>
      </c>
      <c r="AU87" s="109" t="str">
        <f>DATA!AU82</f>
        <v>Korea</v>
      </c>
      <c r="AV87" s="246" t="str">
        <f>DATA!AW82</f>
        <v>masuk rolling plan EDCF (Korea)</v>
      </c>
    </row>
    <row r="88" spans="1:51" ht="48" customHeight="1">
      <c r="A88" s="10">
        <f>DATA!A83</f>
        <v>65</v>
      </c>
      <c r="B88" s="10">
        <f>DATA!B83</f>
        <v>0</v>
      </c>
      <c r="C88" s="10" t="str">
        <f>DATA!D83</f>
        <v>INFRASTRUKTUR</v>
      </c>
      <c r="D88" s="10">
        <f>DATA!E83</f>
        <v>1</v>
      </c>
      <c r="E88" s="10" t="str">
        <f>DATA!F83</f>
        <v>Kementerian Pekerjaan Umum dan Perumahan Rakyat</v>
      </c>
      <c r="F88" s="10" t="str">
        <f>DATA!H83</f>
        <v>Provision and Management of Bulk Water Supply Program</v>
      </c>
      <c r="G88" s="10" t="str">
        <f>DATA!I83</f>
        <v>I</v>
      </c>
      <c r="H88" s="10" t="str">
        <f>DATA!J83</f>
        <v xml:space="preserve">Program Penyediaan dan Pengelolaan Air Baku </v>
      </c>
      <c r="I88" s="10">
        <f>DATA!K83</f>
        <v>3</v>
      </c>
      <c r="J88" s="181"/>
      <c r="K88" s="34"/>
      <c r="L88" s="54"/>
      <c r="M88" s="36">
        <v>59</v>
      </c>
      <c r="N88" s="37" t="str">
        <f>DATA!L83</f>
        <v>Engineering Service for Bulk Water and Water Supply Development Project</v>
      </c>
      <c r="O88" s="20">
        <f>DATA!Q83</f>
        <v>1</v>
      </c>
      <c r="P88" s="20">
        <f>DATA!R83</f>
        <v>1</v>
      </c>
      <c r="Q88" s="186">
        <f>DATA!S83</f>
        <v>56</v>
      </c>
      <c r="R88" s="187">
        <f>DATA!T83</f>
        <v>50000000</v>
      </c>
      <c r="S88" s="203">
        <f>DATA!U83</f>
        <v>50000000</v>
      </c>
      <c r="T88" s="77">
        <f>DATA!V83</f>
        <v>0</v>
      </c>
      <c r="U88" s="77">
        <f>DATA!W83</f>
        <v>0</v>
      </c>
      <c r="V88" s="77">
        <f>DATA!X83</f>
        <v>50000000</v>
      </c>
      <c r="W88" s="78" t="str">
        <f>DATA!Y83</f>
        <v>ADB</v>
      </c>
      <c r="X88" s="20" t="str">
        <f>DATA!Z83</f>
        <v>Multilateral</v>
      </c>
      <c r="Y88" s="77">
        <f>DATA!AA83</f>
        <v>50000000</v>
      </c>
      <c r="Z88" s="77">
        <v>0</v>
      </c>
      <c r="AA88" s="216" t="str">
        <f>DATA!Y83</f>
        <v>ADB</v>
      </c>
      <c r="AB88" s="188">
        <f>DATA!AG83</f>
        <v>0</v>
      </c>
      <c r="AC88" s="20">
        <f>DATA!AH83</f>
        <v>2016</v>
      </c>
      <c r="AD88" s="37" t="str">
        <f>DATA!AI83</f>
        <v>- Sudah ada RC
- Green Book 2015</v>
      </c>
      <c r="AE88" s="152" t="str">
        <f>DATA!AR83</f>
        <v>- sudah GB 2016  
- Nilai pinjaman di GB USD 2.000 ribu</v>
      </c>
      <c r="AF88" s="152" t="str">
        <f>DATA!AN83</f>
        <v>siap</v>
      </c>
      <c r="AG88" s="152" t="str">
        <f>DATA!AO83</f>
        <v>tidak butuh lahan</v>
      </c>
      <c r="AH88" s="37" t="str">
        <f>DATA!AJ83</f>
        <v>FS, DED</v>
      </c>
      <c r="AI88" s="56" t="str">
        <f>DATA!AK83</f>
        <v>Tidak membutuhkan lahan</v>
      </c>
      <c r="AJ88" s="230" t="str">
        <f>DATA!AL83</f>
        <v>Belum ada tender/lelang</v>
      </c>
      <c r="AK88" s="231" t="str">
        <f>DATA!AR83</f>
        <v>- sudah GB 2016  
- Nilai pinjaman di GB USD 2.000 ribu</v>
      </c>
      <c r="AL88" s="20" t="str">
        <f>DATA!AN83</f>
        <v>siap</v>
      </c>
      <c r="AM88" s="20" t="str">
        <f>DATA!AO83</f>
        <v>tidak butuh lahan</v>
      </c>
      <c r="AN88" s="20" t="str">
        <f>DATA!AP83</f>
        <v>belum ada proses tender/lelang</v>
      </c>
      <c r="AO88"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P88" s="20" t="e">
        <f>DATA!#REF!</f>
        <v>#REF!</v>
      </c>
      <c r="AQ88" s="20">
        <f>DATA!AZ83</f>
        <v>0</v>
      </c>
      <c r="AR88" s="152" t="e">
        <f>DATA!#REF!</f>
        <v>#REF!</v>
      </c>
      <c r="AS88" s="199" t="str">
        <f>DATA!BA83</f>
        <v>Membuat perencanaan dan analisis untuk mendukung pembangunan sistem air baku dan menyediakan fasilitas pendukung pengembangan air baku masyarakat</v>
      </c>
      <c r="AT88" s="245">
        <f>DATA!AT83</f>
        <v>50000000</v>
      </c>
      <c r="AU88" s="109" t="str">
        <f>DATA!AU83</f>
        <v>ADB</v>
      </c>
      <c r="AV88" s="246" t="str">
        <f>DATA!AW83</f>
        <v>-</v>
      </c>
    </row>
    <row r="89" spans="1:51" s="5" customFormat="1" ht="33.75" customHeight="1">
      <c r="J89" s="180"/>
      <c r="K89" s="50"/>
      <c r="L89" s="30" t="str">
        <f>DATA!I84</f>
        <v>J</v>
      </c>
      <c r="M89" s="31" t="str">
        <f>DATA!J84</f>
        <v xml:space="preserve">Program Pembangunan Waduk </v>
      </c>
      <c r="N89" s="51"/>
      <c r="O89" s="31"/>
      <c r="P89" s="31"/>
      <c r="Q89" s="196"/>
      <c r="R89" s="197">
        <f t="shared" ref="R89:AU89" si="12">SUM(R90:R102)</f>
        <v>2133750000</v>
      </c>
      <c r="S89" s="198">
        <f t="shared" si="12"/>
        <v>2033750000</v>
      </c>
      <c r="T89" s="81">
        <f t="shared" si="12"/>
        <v>963200000</v>
      </c>
      <c r="U89" s="81">
        <f t="shared" si="12"/>
        <v>0</v>
      </c>
      <c r="V89" s="81">
        <f t="shared" si="12"/>
        <v>2996950000</v>
      </c>
      <c r="W89" s="81">
        <f t="shared" si="12"/>
        <v>0</v>
      </c>
      <c r="X89" s="81">
        <f t="shared" si="12"/>
        <v>0</v>
      </c>
      <c r="Y89" s="81">
        <f t="shared" si="12"/>
        <v>2057358596</v>
      </c>
      <c r="Z89" s="81">
        <f t="shared" si="12"/>
        <v>76391404</v>
      </c>
      <c r="AA89" s="214">
        <f t="shared" si="12"/>
        <v>0</v>
      </c>
      <c r="AB89" s="198">
        <f t="shared" si="12"/>
        <v>-76391404</v>
      </c>
      <c r="AC89" s="81">
        <f t="shared" si="12"/>
        <v>22187</v>
      </c>
      <c r="AD89" s="81">
        <f t="shared" si="12"/>
        <v>0</v>
      </c>
      <c r="AE89" s="81">
        <f t="shared" si="12"/>
        <v>2016</v>
      </c>
      <c r="AF89" s="81">
        <f t="shared" si="12"/>
        <v>0</v>
      </c>
      <c r="AG89" s="81">
        <f t="shared" si="12"/>
        <v>0</v>
      </c>
      <c r="AH89" s="81"/>
      <c r="AI89" s="228"/>
      <c r="AJ89" s="229">
        <f t="shared" si="12"/>
        <v>0</v>
      </c>
      <c r="AK89" s="198">
        <f t="shared" si="12"/>
        <v>2016</v>
      </c>
      <c r="AL89" s="81">
        <f t="shared" si="12"/>
        <v>0</v>
      </c>
      <c r="AM89" s="81">
        <f t="shared" si="12"/>
        <v>0</v>
      </c>
      <c r="AN89" s="81">
        <f t="shared" si="12"/>
        <v>0</v>
      </c>
      <c r="AO89" s="81">
        <f t="shared" si="12"/>
        <v>0</v>
      </c>
      <c r="AP89" s="81" t="e">
        <f t="shared" si="12"/>
        <v>#REF!</v>
      </c>
      <c r="AQ89" s="81">
        <f t="shared" si="12"/>
        <v>0</v>
      </c>
      <c r="AR89" s="81" t="e">
        <f t="shared" si="12"/>
        <v>#REF!</v>
      </c>
      <c r="AS89" s="243">
        <f t="shared" si="12"/>
        <v>0</v>
      </c>
      <c r="AT89" s="244">
        <f t="shared" si="12"/>
        <v>2133750000</v>
      </c>
      <c r="AU89" s="81">
        <f t="shared" si="12"/>
        <v>0</v>
      </c>
      <c r="AV89" s="229"/>
      <c r="AY89" s="253"/>
    </row>
    <row r="90" spans="1:51" ht="30" customHeight="1">
      <c r="A90" s="10">
        <f>DATA!A84</f>
        <v>66</v>
      </c>
      <c r="B90" s="10">
        <f>DATA!B84</f>
        <v>0</v>
      </c>
      <c r="C90" s="10" t="str">
        <f>DATA!D84</f>
        <v>INFRASTRUKTUR</v>
      </c>
      <c r="D90" s="10">
        <f>DATA!E84</f>
        <v>1</v>
      </c>
      <c r="E90" s="10" t="str">
        <f>DATA!F84</f>
        <v>Kementerian Pekerjaan Umum dan Perumahan Rakyat</v>
      </c>
      <c r="F90" s="10" t="str">
        <f>DATA!H84</f>
        <v>Dam Development Program</v>
      </c>
      <c r="G90" s="10" t="str">
        <f>DATA!I84</f>
        <v>J</v>
      </c>
      <c r="H90" s="10" t="str">
        <f>DATA!J84</f>
        <v xml:space="preserve">Program Pembangunan Waduk </v>
      </c>
      <c r="I90" s="10">
        <f>DATA!K84</f>
        <v>1</v>
      </c>
      <c r="J90" s="181"/>
      <c r="K90" s="34"/>
      <c r="L90" s="35"/>
      <c r="M90" s="36">
        <v>60</v>
      </c>
      <c r="N90" s="37" t="str">
        <f>DATA!L84</f>
        <v>Jambo Aye Multipurpose Dam Project</v>
      </c>
      <c r="O90" s="20">
        <f>DATA!Q84</f>
        <v>1</v>
      </c>
      <c r="P90" s="20">
        <f>DATA!R84</f>
        <v>1</v>
      </c>
      <c r="Q90" s="186">
        <f>DATA!S84</f>
        <v>57</v>
      </c>
      <c r="R90" s="187">
        <f>DATA!T84</f>
        <v>662200000</v>
      </c>
      <c r="S90" s="203">
        <f>DATA!U84</f>
        <v>662200000</v>
      </c>
      <c r="T90" s="77">
        <f>DATA!V84</f>
        <v>460700000</v>
      </c>
      <c r="U90" s="77">
        <f>DATA!W84</f>
        <v>0</v>
      </c>
      <c r="V90" s="77">
        <f>DATA!X84</f>
        <v>1122900000</v>
      </c>
      <c r="W90" s="78" t="str">
        <f>DATA!Y84</f>
        <v>Rupiah Murni</v>
      </c>
      <c r="X90" s="20" t="str">
        <f>DATA!Z84</f>
        <v>Pendanaan Dengan Rupiah Murni</v>
      </c>
      <c r="Y90" s="77">
        <f>DATA!AA84</f>
        <v>662200000</v>
      </c>
      <c r="Z90" s="77">
        <v>0</v>
      </c>
      <c r="AA90" s="216" t="str">
        <f>DATA!Y84</f>
        <v>Rupiah Murni</v>
      </c>
      <c r="AB90" s="188">
        <f>DATA!AG84</f>
        <v>0</v>
      </c>
      <c r="AC90" s="20">
        <f>DATA!AH84</f>
        <v>2018</v>
      </c>
      <c r="AD90" s="37" t="str">
        <f>DATA!AI84</f>
        <v>-</v>
      </c>
      <c r="AE90" s="152" t="str">
        <f>DATA!AR84</f>
        <v>belum ada dokumen R/C</v>
      </c>
      <c r="AF90" s="152" t="str">
        <f>DATA!AN84</f>
        <v>belum ada keterangan</v>
      </c>
      <c r="AG90" s="152" t="str">
        <f>DATA!AO84</f>
        <v>dalam proses
(perencanaan)</v>
      </c>
      <c r="AH90" s="37" t="str">
        <f>DATA!AJ84</f>
        <v xml:space="preserve">AMDAL siap dan penyiapan Review DED </v>
      </c>
      <c r="AI90" s="56" t="str">
        <f>DATA!AK84</f>
        <v>LARAP</v>
      </c>
      <c r="AJ90" s="230" t="str">
        <f>DATA!AL84</f>
        <v>-</v>
      </c>
      <c r="AK90" s="231" t="str">
        <f>DATA!AR84</f>
        <v>belum ada dokumen R/C</v>
      </c>
      <c r="AL90" s="20" t="str">
        <f>DATA!AN84</f>
        <v>belum ada keterangan</v>
      </c>
      <c r="AM90" s="20" t="str">
        <f>DATA!AO84</f>
        <v>dalam proses
(perencanaan)</v>
      </c>
      <c r="AN90" s="20" t="str">
        <f>DATA!AP84</f>
        <v>belum ada proses tender/lelang</v>
      </c>
      <c r="AO90" s="20" t="str">
        <f>DATA!AY84</f>
        <v>- Konfirmasi melalui surat Sekjen nomor KU.01.12-Sj/636 tgl 23 Oktober 2015
- Kegiatan akan dilaksanakan oleh pendanaan rupiah murni APBN</v>
      </c>
      <c r="AP90" s="20" t="e">
        <f>DATA!#REF!</f>
        <v>#REF!</v>
      </c>
      <c r="AQ90" s="20">
        <f>DATA!AZ84</f>
        <v>0</v>
      </c>
      <c r="AR90" s="152" t="e">
        <f>DATA!#REF!</f>
        <v>#REF!</v>
      </c>
      <c r="AS90" s="199" t="str">
        <f>DATA!BA84</f>
        <v>Meningkatkan luas areal irigasi sebesar ± 10.000 Ha dengan perbaikan akses jalan, relokasi penduduk, pembebasan lahan, pekerajaan pengelakan sungai jambo aye dan reubek, pembangunan bendungan dan pendukung lainnya, pembangunan fasilitas PLTA 106 MW</v>
      </c>
      <c r="AT90" s="245">
        <f>DATA!AT84</f>
        <v>662200000</v>
      </c>
      <c r="AU90" s="109" t="str">
        <f>DATA!AU84</f>
        <v>Belum Ada Indikasi</v>
      </c>
      <c r="AV90" s="246" t="str">
        <f>DATA!AW84</f>
        <v>-</v>
      </c>
      <c r="AY90" s="174">
        <f>Y89+Z89-AT89</f>
        <v>0</v>
      </c>
    </row>
    <row r="91" spans="1:51" ht="30" customHeight="1">
      <c r="A91" s="10">
        <f>DATA!A85</f>
        <v>67</v>
      </c>
      <c r="B91" s="10">
        <f>DATA!B85</f>
        <v>0</v>
      </c>
      <c r="C91" s="10" t="str">
        <f>DATA!D85</f>
        <v>INFRASTRUKTUR</v>
      </c>
      <c r="D91" s="10">
        <f>DATA!E85</f>
        <v>1</v>
      </c>
      <c r="E91" s="10" t="str">
        <f>DATA!F85</f>
        <v>Kementerian Pekerjaan Umum dan Perumahan Rakyat</v>
      </c>
      <c r="F91" s="10" t="str">
        <f>DATA!H85</f>
        <v>Dam Development Program</v>
      </c>
      <c r="G91" s="10" t="str">
        <f>DATA!I85</f>
        <v>J</v>
      </c>
      <c r="H91" s="10" t="str">
        <f>DATA!J85</f>
        <v xml:space="preserve">Program Pembangunan Waduk </v>
      </c>
      <c r="I91" s="10">
        <f>DATA!K85</f>
        <v>2</v>
      </c>
      <c r="J91" s="181"/>
      <c r="K91" s="34"/>
      <c r="L91" s="34"/>
      <c r="M91" s="36">
        <v>61</v>
      </c>
      <c r="N91" s="37" t="str">
        <f>DATA!L85</f>
        <v>Komering Multipurpose Dam Project - Phase II</v>
      </c>
      <c r="O91" s="20">
        <f>DATA!Q85</f>
        <v>1</v>
      </c>
      <c r="P91" s="20">
        <f>DATA!R85</f>
        <v>1</v>
      </c>
      <c r="Q91" s="186">
        <f>DATA!S85</f>
        <v>58</v>
      </c>
      <c r="R91" s="187">
        <f>DATA!T85</f>
        <v>200000000</v>
      </c>
      <c r="S91" s="203">
        <f>DATA!U85</f>
        <v>200000000</v>
      </c>
      <c r="T91" s="77">
        <f>DATA!V85</f>
        <v>20000000</v>
      </c>
      <c r="U91" s="77">
        <f>DATA!W85</f>
        <v>0</v>
      </c>
      <c r="V91" s="77">
        <f>DATA!X85</f>
        <v>220000000</v>
      </c>
      <c r="W91" s="78" t="str">
        <f>DATA!Y85</f>
        <v>Rupiah Murni</v>
      </c>
      <c r="X91" s="20" t="str">
        <f>DATA!Z85</f>
        <v>Pendanaan Dengan Rupiah Murni</v>
      </c>
      <c r="Y91" s="77">
        <f>DATA!AA85</f>
        <v>200000000</v>
      </c>
      <c r="Z91" s="77">
        <v>0</v>
      </c>
      <c r="AA91" s="216" t="str">
        <f>DATA!Y85</f>
        <v>Rupiah Murni</v>
      </c>
      <c r="AB91" s="188">
        <f>DATA!AG85</f>
        <v>0</v>
      </c>
      <c r="AC91" s="20">
        <f>DATA!AH85</f>
        <v>2016</v>
      </c>
      <c r="AD91" s="37" t="str">
        <f>DATA!AI85</f>
        <v>-</v>
      </c>
      <c r="AE91" s="152" t="str">
        <f>DATA!AR85</f>
        <v>belum ada dokumen R/C</v>
      </c>
      <c r="AF91" s="152" t="str">
        <f>DATA!AN85</f>
        <v>dalam proses
(penyusunan FS)</v>
      </c>
      <c r="AG91" s="152" t="str">
        <f>DATA!AO85</f>
        <v>dalam proses
(perencanaan)</v>
      </c>
      <c r="AH91" s="37" t="str">
        <f>DATA!AJ85</f>
        <v>FS, DED, AMDAL</v>
      </c>
      <c r="AI91" s="56" t="str">
        <f>DATA!AK85</f>
        <v>Revisi RTRW Kabupaten, LARAP</v>
      </c>
      <c r="AJ91" s="230" t="str">
        <f>DATA!AL85</f>
        <v>-</v>
      </c>
      <c r="AK91" s="231" t="str">
        <f>DATA!AR85</f>
        <v>belum ada dokumen R/C</v>
      </c>
      <c r="AL91" s="20" t="str">
        <f>DATA!AN85</f>
        <v>dalam proses
(penyusunan FS)</v>
      </c>
      <c r="AM91" s="20" t="str">
        <f>DATA!AO85</f>
        <v>dalam proses
(perencanaan)</v>
      </c>
      <c r="AN91" s="20" t="str">
        <f>DATA!AP85</f>
        <v>belum ada proses tender/lelang</v>
      </c>
      <c r="AO91" s="20" t="str">
        <f>DATA!AY85</f>
        <v>- Konfirmasi melalui surat Sekjen nomor KU.01.12-Sj/636 tgl 23 Oktober 2015
- Kegiatan akan dilaksanakan oleh pendanaan rupiah murni APBN</v>
      </c>
      <c r="AP91" s="20" t="e">
        <f>DATA!#REF!</f>
        <v>#REF!</v>
      </c>
      <c r="AQ91" s="20">
        <f>DATA!AZ85</f>
        <v>0</v>
      </c>
      <c r="AR91" s="152" t="e">
        <f>DATA!#REF!</f>
        <v>#REF!</v>
      </c>
      <c r="AS91" s="199" t="str">
        <f>DATA!BA85</f>
        <v>Pembangunan bendungan komering 110 juta cm3, pembangunan fasilitas tenaga hidrolik, komponen lunak untuk memperkuat O&amp;P, Hydropower 20,80 MW, pembangunan sistem irigasi utama dan tersier skema Lempuing untuk 8.500 Ha, dan perbaikan fasilitas irigasi yang ada</v>
      </c>
      <c r="AT91" s="245">
        <f>DATA!AT85</f>
        <v>200000000</v>
      </c>
      <c r="AU91" s="109" t="str">
        <f>DATA!AU85</f>
        <v>Belum Ada Indikasi</v>
      </c>
      <c r="AV91" s="246" t="str">
        <f>DATA!AW85</f>
        <v>-</v>
      </c>
    </row>
    <row r="92" spans="1:51" ht="30.75" customHeight="1">
      <c r="A92" s="10">
        <f>DATA!A86</f>
        <v>68</v>
      </c>
      <c r="B92" s="10">
        <f>DATA!B86</f>
        <v>0</v>
      </c>
      <c r="C92" s="10" t="str">
        <f>DATA!D86</f>
        <v>INFRASTRUKTUR</v>
      </c>
      <c r="D92" s="10">
        <f>DATA!E86</f>
        <v>1</v>
      </c>
      <c r="E92" s="10" t="str">
        <f>DATA!F86</f>
        <v>Kementerian Pekerjaan Umum dan Perumahan Rakyat</v>
      </c>
      <c r="F92" s="10" t="str">
        <f>DATA!H86</f>
        <v>Dam Development Program</v>
      </c>
      <c r="G92" s="10" t="str">
        <f>DATA!I86</f>
        <v>J</v>
      </c>
      <c r="H92" s="10" t="str">
        <f>DATA!J86</f>
        <v xml:space="preserve">Program Pembangunan Waduk </v>
      </c>
      <c r="I92" s="10">
        <f>DATA!K86</f>
        <v>3</v>
      </c>
      <c r="J92" s="181"/>
      <c r="K92" s="34"/>
      <c r="L92" s="34"/>
      <c r="M92" s="36">
        <v>62</v>
      </c>
      <c r="N92" s="37" t="str">
        <f>DATA!L86</f>
        <v>Pelosika Multipurpose Dam Construction Project</v>
      </c>
      <c r="O92" s="20">
        <f>DATA!Q86</f>
        <v>1</v>
      </c>
      <c r="P92" s="20">
        <f>DATA!R86</f>
        <v>1</v>
      </c>
      <c r="Q92" s="186">
        <f>DATA!S86</f>
        <v>59</v>
      </c>
      <c r="R92" s="187">
        <f>DATA!T86</f>
        <v>200000000</v>
      </c>
      <c r="S92" s="203">
        <f>DATA!U86</f>
        <v>200000000</v>
      </c>
      <c r="T92" s="77">
        <f>DATA!V86</f>
        <v>170000000</v>
      </c>
      <c r="U92" s="77">
        <f>DATA!W86</f>
        <v>0</v>
      </c>
      <c r="V92" s="77">
        <f>DATA!X86</f>
        <v>370000000</v>
      </c>
      <c r="W92" s="78" t="str">
        <f>DATA!Y86</f>
        <v>Rupiah Murni</v>
      </c>
      <c r="X92" s="20" t="str">
        <f>DATA!Z86</f>
        <v>Pendanaan Dengan Rupiah Murni</v>
      </c>
      <c r="Y92" s="77">
        <f>DATA!AA86</f>
        <v>200000000</v>
      </c>
      <c r="Z92" s="77">
        <v>0</v>
      </c>
      <c r="AA92" s="216" t="str">
        <f>DATA!Y86</f>
        <v>Rupiah Murni</v>
      </c>
      <c r="AB92" s="188">
        <f>DATA!AG86</f>
        <v>0</v>
      </c>
      <c r="AC92" s="20">
        <f>DATA!AH86</f>
        <v>2017</v>
      </c>
      <c r="AD92" s="37" t="str">
        <f>DATA!AI86</f>
        <v>-</v>
      </c>
      <c r="AE92" s="152" t="str">
        <f>DATA!AR86</f>
        <v>belum ada dokumen R/C</v>
      </c>
      <c r="AF92" s="152" t="str">
        <f>DATA!AN86</f>
        <v>dalam proses
(penyusunan FS)</v>
      </c>
      <c r="AG92" s="152" t="str">
        <f>DATA!AO86</f>
        <v>dalam proses
(perencanaan)</v>
      </c>
      <c r="AH92" s="37" t="str">
        <f>DATA!AJ86</f>
        <v>AMDAL, geologi detail 2015 dan Penyiapan Review DED</v>
      </c>
      <c r="AI92" s="56" t="str">
        <f>DATA!AK86</f>
        <v>LARAP</v>
      </c>
      <c r="AJ92" s="230" t="str">
        <f>DATA!AL86</f>
        <v>-</v>
      </c>
      <c r="AK92" s="231" t="str">
        <f>DATA!AR86</f>
        <v>belum ada dokumen R/C</v>
      </c>
      <c r="AL92" s="20" t="str">
        <f>DATA!AN86</f>
        <v>dalam proses
(penyusunan FS)</v>
      </c>
      <c r="AM92" s="20" t="str">
        <f>DATA!AO86</f>
        <v>dalam proses
(perencanaan)</v>
      </c>
      <c r="AN92" s="20" t="str">
        <f>DATA!AP86</f>
        <v>belum ada proses tender/lelang</v>
      </c>
      <c r="AO92" s="20" t="str">
        <f>DATA!AY86</f>
        <v>- Konfirmasi melalui surat Sekjen nomor KU.01.12-Sj/636 tgl 23 Oktober 2015
- Kegiatan akan dilaksanakan oleh pendanaan rupiah murni APBN</v>
      </c>
      <c r="AP92" s="20" t="e">
        <f>DATA!#REF!</f>
        <v>#REF!</v>
      </c>
      <c r="AQ92" s="20">
        <f>DATA!AZ86</f>
        <v>0</v>
      </c>
      <c r="AR92" s="152" t="e">
        <f>DATA!#REF!</f>
        <v>#REF!</v>
      </c>
      <c r="AS92" s="199"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c r="AT92" s="245">
        <f>DATA!AT86</f>
        <v>200000000</v>
      </c>
      <c r="AU92" s="109" t="str">
        <f>DATA!AU86</f>
        <v>RRT</v>
      </c>
      <c r="AV92" s="246" t="str">
        <f>DATA!AW86</f>
        <v>-</v>
      </c>
    </row>
    <row r="93" spans="1:51" ht="26.25" customHeight="1">
      <c r="A93" s="10">
        <f>DATA!A87</f>
        <v>69</v>
      </c>
      <c r="B93" s="10">
        <f>DATA!B87</f>
        <v>0</v>
      </c>
      <c r="C93" s="10" t="str">
        <f>DATA!D87</f>
        <v>INFRASTRUKTUR</v>
      </c>
      <c r="D93" s="10">
        <f>DATA!E87</f>
        <v>1</v>
      </c>
      <c r="E93" s="10" t="str">
        <f>DATA!F87</f>
        <v>Kementerian Pekerjaan Umum dan Perumahan Rakyat</v>
      </c>
      <c r="F93" s="10" t="str">
        <f>DATA!H87</f>
        <v>Dam Development Program</v>
      </c>
      <c r="G93" s="10" t="str">
        <f>DATA!I87</f>
        <v>J</v>
      </c>
      <c r="H93" s="10" t="str">
        <f>DATA!J87</f>
        <v xml:space="preserve">Program Pembangunan Waduk </v>
      </c>
      <c r="I93" s="10">
        <f>DATA!K87</f>
        <v>4</v>
      </c>
      <c r="J93" s="181"/>
      <c r="K93" s="34"/>
      <c r="L93" s="34"/>
      <c r="M93" s="36">
        <v>63</v>
      </c>
      <c r="N93" s="37" t="str">
        <f>DATA!L87</f>
        <v>Lambakan  Dam Project</v>
      </c>
      <c r="O93" s="20">
        <f>DATA!Q87</f>
        <v>1</v>
      </c>
      <c r="P93" s="20">
        <f>DATA!R87</f>
        <v>1</v>
      </c>
      <c r="Q93" s="186">
        <f>DATA!S87</f>
        <v>60</v>
      </c>
      <c r="R93" s="187">
        <f>DATA!T87</f>
        <v>258000000</v>
      </c>
      <c r="S93" s="203">
        <f>DATA!U87</f>
        <v>258000000</v>
      </c>
      <c r="T93" s="77">
        <f>DATA!V87</f>
        <v>227000000</v>
      </c>
      <c r="U93" s="77">
        <f>DATA!W87</f>
        <v>0</v>
      </c>
      <c r="V93" s="77">
        <f>DATA!X87</f>
        <v>485000000</v>
      </c>
      <c r="W93" s="78" t="str">
        <f>DATA!Y87</f>
        <v>IDB</v>
      </c>
      <c r="X93" s="20" t="str">
        <f>DATA!Z87</f>
        <v>Multilateral</v>
      </c>
      <c r="Y93" s="77">
        <f>DATA!AA87</f>
        <v>258000000</v>
      </c>
      <c r="Z93" s="77">
        <v>0</v>
      </c>
      <c r="AA93" s="216" t="str">
        <f>DATA!Y87</f>
        <v>IDB</v>
      </c>
      <c r="AB93" s="188">
        <f>DATA!AG87</f>
        <v>0</v>
      </c>
      <c r="AC93" s="20" t="str">
        <f>DATA!AH87</f>
        <v>Tanpa keterangan</v>
      </c>
      <c r="AD93" s="37" t="str">
        <f>DATA!AI87</f>
        <v>-</v>
      </c>
      <c r="AE93" s="152" t="str">
        <f>DATA!AR87</f>
        <v>belum ada dokumen R/C</v>
      </c>
      <c r="AF93" s="152" t="str">
        <f>DATA!AN87</f>
        <v>dalam proses
(penyusunan FS)</v>
      </c>
      <c r="AG93" s="152" t="str">
        <f>DATA!AO87</f>
        <v>dalam proses
(perencanaan)</v>
      </c>
      <c r="AH93" s="37" t="str">
        <f>DATA!AJ87</f>
        <v>AMDAL (2017), geologi detail 2015 dan Penyiapan Review DED</v>
      </c>
      <c r="AI93" s="56" t="str">
        <f>DATA!AK87</f>
        <v>LARAP (2016)</v>
      </c>
      <c r="AJ93" s="230" t="str">
        <f>DATA!AL87</f>
        <v>-</v>
      </c>
      <c r="AK93" s="231" t="str">
        <f>DATA!AR87</f>
        <v>belum ada dokumen R/C</v>
      </c>
      <c r="AL93" s="20" t="str">
        <f>DATA!AN87</f>
        <v>dalam proses
(penyusunan FS)</v>
      </c>
      <c r="AM93" s="20" t="str">
        <f>DATA!AO87</f>
        <v>dalam proses
(perencanaan)</v>
      </c>
      <c r="AN93" s="20" t="str">
        <f>DATA!AP87</f>
        <v>belum ada proses tender/lelang</v>
      </c>
      <c r="AO93" s="20" t="str">
        <f>DATA!AY87</f>
        <v>Konfirmasi melalui surat Sekjen nomor KU.01.12-Sj/636 tgl 23 Oktober 2015</v>
      </c>
      <c r="AP93" s="20" t="e">
        <f>DATA!#REF!</f>
        <v>#REF!</v>
      </c>
      <c r="AQ93" s="20">
        <f>DATA!AZ87</f>
        <v>0</v>
      </c>
      <c r="AR93" s="152" t="e">
        <f>DATA!#REF!</f>
        <v>#REF!</v>
      </c>
      <c r="AS93" s="199" t="str">
        <f>DATA!BA87</f>
        <v>Pembangunan PLTA sebesar 15 MW, pembangunan sistem irigasi untuk mengairi 18.000 Ha, menyediakan air baku 12 m3/det untuk Kabupaten pasir, Kabupaten  Penajam Pasir Utara dan Kota Balikpapan, 4. Pembangunan tanggul penahan banjir di DAS Telake sampai 30%</v>
      </c>
      <c r="AT93" s="245">
        <f>DATA!AT87</f>
        <v>258000000</v>
      </c>
      <c r="AU93" s="109" t="str">
        <f>DATA!AU87</f>
        <v>IDB</v>
      </c>
      <c r="AV93" s="246" t="str">
        <f>DATA!AW87</f>
        <v>-</v>
      </c>
    </row>
    <row r="94" spans="1:51" ht="31.5" customHeight="1">
      <c r="A94" s="10">
        <f>DATA!A88</f>
        <v>70</v>
      </c>
      <c r="B94" s="10">
        <f>DATA!B88</f>
        <v>0</v>
      </c>
      <c r="C94" s="10" t="str">
        <f>DATA!D88</f>
        <v>INFRASTRUKTUR</v>
      </c>
      <c r="D94" s="10">
        <f>DATA!E88</f>
        <v>1</v>
      </c>
      <c r="E94" s="10" t="str">
        <f>DATA!F88</f>
        <v>Kementerian Pekerjaan Umum dan Perumahan Rakyat</v>
      </c>
      <c r="F94" s="10" t="str">
        <f>DATA!H88</f>
        <v>Dam Development Program</v>
      </c>
      <c r="G94" s="10" t="str">
        <f>DATA!I88</f>
        <v>J</v>
      </c>
      <c r="H94" s="10" t="str">
        <f>DATA!J88</f>
        <v xml:space="preserve">Program Pembangunan Waduk </v>
      </c>
      <c r="I94" s="10">
        <f>DATA!K88</f>
        <v>5</v>
      </c>
      <c r="J94" s="181"/>
      <c r="K94" s="34"/>
      <c r="L94" s="34"/>
      <c r="M94" s="36">
        <v>64</v>
      </c>
      <c r="N94" s="37" t="str">
        <f>DATA!L88</f>
        <v>Jenelata Dam Construction Project</v>
      </c>
      <c r="O94" s="20">
        <f>DATA!Q88</f>
        <v>1</v>
      </c>
      <c r="P94" s="20">
        <f>DATA!R88</f>
        <v>1</v>
      </c>
      <c r="Q94" s="186">
        <f>DATA!S88</f>
        <v>61</v>
      </c>
      <c r="R94" s="187">
        <f>DATA!T88</f>
        <v>200000000</v>
      </c>
      <c r="S94" s="203">
        <f>DATA!U88</f>
        <v>200000000</v>
      </c>
      <c r="T94" s="77">
        <f>DATA!V88</f>
        <v>20000000</v>
      </c>
      <c r="U94" s="77">
        <f>DATA!W88</f>
        <v>0</v>
      </c>
      <c r="V94" s="77">
        <f>DATA!X88</f>
        <v>220000000</v>
      </c>
      <c r="W94" s="78" t="str">
        <f>DATA!Y88</f>
        <v>RRT</v>
      </c>
      <c r="X94" s="20" t="str">
        <f>DATA!Z88</f>
        <v>Bilateral</v>
      </c>
      <c r="Y94" s="77">
        <f>DATA!AA88</f>
        <v>200000000</v>
      </c>
      <c r="Z94" s="77">
        <v>0</v>
      </c>
      <c r="AA94" s="216" t="str">
        <f>DATA!Y88</f>
        <v>RRT</v>
      </c>
      <c r="AB94" s="188">
        <f>DATA!AG88</f>
        <v>0</v>
      </c>
      <c r="AC94" s="20">
        <f>DATA!AH88</f>
        <v>2018</v>
      </c>
      <c r="AD94" s="37" t="str">
        <f>DATA!AI88</f>
        <v>-</v>
      </c>
      <c r="AE94" s="152" t="str">
        <f>DATA!AR88</f>
        <v>belum ada dokumen R/C</v>
      </c>
      <c r="AF94" s="152" t="str">
        <f>DATA!AN88</f>
        <v>siap</v>
      </c>
      <c r="AG94" s="152" t="str">
        <f>DATA!AO88</f>
        <v>dalam proses
(perencanaan)</v>
      </c>
      <c r="AH94" s="37" t="str">
        <f>DATA!AJ88</f>
        <v>model test, penyelidikan geologi 2015, AMDAL (2015)</v>
      </c>
      <c r="AI94" s="56" t="str">
        <f>DATA!AK88</f>
        <v>LARAP (2016)</v>
      </c>
      <c r="AJ94" s="230" t="str">
        <f>DATA!AL88</f>
        <v>-</v>
      </c>
      <c r="AK94" s="231" t="str">
        <f>DATA!AR88</f>
        <v>belum ada dokumen R/C</v>
      </c>
      <c r="AL94" s="20" t="str">
        <f>DATA!AN88</f>
        <v>siap</v>
      </c>
      <c r="AM94" s="20" t="str">
        <f>DATA!AO88</f>
        <v>dalam proses
(perencanaan)</v>
      </c>
      <c r="AN94" s="20" t="str">
        <f>DATA!AP88</f>
        <v>belum ada proses tender/lelang</v>
      </c>
      <c r="AO94" s="20" t="str">
        <f>DATA!AY88</f>
        <v>Konfirmasi melalui surat Sekjen nomor KU.01.12-Sj/636 tgl 23 Oktober 2015</v>
      </c>
      <c r="AP94" s="20" t="e">
        <f>DATA!#REF!</f>
        <v>#REF!</v>
      </c>
      <c r="AQ94" s="20">
        <f>DATA!AZ88</f>
        <v>0</v>
      </c>
      <c r="AR94" s="152" t="e">
        <f>DATA!#REF!</f>
        <v>#REF!</v>
      </c>
      <c r="AS94" s="199" t="str">
        <f>DATA!BA88</f>
        <v>Membangun bendungan 223 juta m3, melakukan rehabilitasi jalan, membangun fasilitas PLTA ± 10,9 MW untuk kebutuhan energi listrik Kab.Gowa, perbaikan dan peningkatan jaringan irigasi 24.400 ha</v>
      </c>
      <c r="AT94" s="245">
        <f>DATA!AT88</f>
        <v>200000000</v>
      </c>
      <c r="AU94" s="109" t="str">
        <f>DATA!AU88</f>
        <v>RRT</v>
      </c>
      <c r="AV94" s="246" t="str">
        <f>DATA!AW88</f>
        <v>-</v>
      </c>
    </row>
    <row r="95" spans="1:51" ht="27.75" customHeight="1">
      <c r="A95" s="10">
        <f>DATA!A89</f>
        <v>71</v>
      </c>
      <c r="B95" s="10">
        <f>DATA!B89</f>
        <v>0</v>
      </c>
      <c r="C95" s="10" t="str">
        <f>DATA!D89</f>
        <v>INFRASTRUKTUR</v>
      </c>
      <c r="D95" s="10">
        <f>DATA!E89</f>
        <v>1</v>
      </c>
      <c r="E95" s="10" t="str">
        <f>DATA!F89</f>
        <v>Kementerian Pekerjaan Umum dan Perumahan Rakyat</v>
      </c>
      <c r="F95" s="10" t="str">
        <f>DATA!H89</f>
        <v>Dam Development Program</v>
      </c>
      <c r="G95" s="10" t="str">
        <f>DATA!I89</f>
        <v>J</v>
      </c>
      <c r="H95" s="10" t="str">
        <f>DATA!J89</f>
        <v xml:space="preserve">Program Pembangunan Waduk </v>
      </c>
      <c r="I95" s="10">
        <f>DATA!K89</f>
        <v>6</v>
      </c>
      <c r="J95" s="181"/>
      <c r="K95" s="34"/>
      <c r="L95" s="34"/>
      <c r="M95" s="36">
        <v>65</v>
      </c>
      <c r="N95" s="37" t="str">
        <f>DATA!L89</f>
        <v>Bonehulu Dam Construction Project</v>
      </c>
      <c r="O95" s="20">
        <f>DATA!Q89</f>
        <v>1</v>
      </c>
      <c r="P95" s="20">
        <f>DATA!R89</f>
        <v>1</v>
      </c>
      <c r="Q95" s="186">
        <f>DATA!S89</f>
        <v>62</v>
      </c>
      <c r="R95" s="187">
        <f>DATA!T89</f>
        <v>128250000</v>
      </c>
      <c r="S95" s="203">
        <f>DATA!U89</f>
        <v>128250000</v>
      </c>
      <c r="T95" s="77">
        <f>DATA!V89</f>
        <v>21000000</v>
      </c>
      <c r="U95" s="77">
        <f>DATA!W89</f>
        <v>0</v>
      </c>
      <c r="V95" s="77">
        <f>DATA!X89</f>
        <v>149250000</v>
      </c>
      <c r="W95" s="78" t="str">
        <f>DATA!Y89</f>
        <v>RRT</v>
      </c>
      <c r="X95" s="20" t="str">
        <f>DATA!Z89</f>
        <v>Bilateral</v>
      </c>
      <c r="Y95" s="77">
        <f>DATA!AA89</f>
        <v>128250000</v>
      </c>
      <c r="Z95" s="77">
        <v>0</v>
      </c>
      <c r="AA95" s="216" t="str">
        <f>DATA!Y89</f>
        <v>RRT</v>
      </c>
      <c r="AB95" s="188">
        <f>DATA!AG89</f>
        <v>0</v>
      </c>
      <c r="AC95" s="20">
        <f>DATA!AH89</f>
        <v>2019</v>
      </c>
      <c r="AD95" s="37" t="str">
        <f>DATA!AI89</f>
        <v>-</v>
      </c>
      <c r="AE95" s="152" t="str">
        <f>DATA!AR89</f>
        <v>belum ada dokumen R/C</v>
      </c>
      <c r="AF95" s="152" t="str">
        <f>DATA!AN89</f>
        <v>dalam proses
(penyusunan FS)</v>
      </c>
      <c r="AG95" s="152" t="str">
        <f>DATA!AO89</f>
        <v>dalam proses
(perencanaan)</v>
      </c>
      <c r="AH95" s="37" t="str">
        <f>DATA!AJ89</f>
        <v>DD, model test, penyelidikan geologi 2015, AMDAL (2017)</v>
      </c>
      <c r="AI95" s="56" t="str">
        <f>DATA!AK89</f>
        <v>LARAP (2015)</v>
      </c>
      <c r="AJ95" s="230" t="str">
        <f>DATA!AL89</f>
        <v>-</v>
      </c>
      <c r="AK95" s="231" t="str">
        <f>DATA!AR89</f>
        <v>belum ada dokumen R/C</v>
      </c>
      <c r="AL95" s="20" t="str">
        <f>DATA!AN89</f>
        <v>dalam proses
(penyusunan FS)</v>
      </c>
      <c r="AM95" s="20" t="str">
        <f>DATA!AO89</f>
        <v>dalam proses
(perencanaan)</v>
      </c>
      <c r="AN95" s="20" t="str">
        <f>DATA!AP89</f>
        <v>belum ada proses tender/lelang</v>
      </c>
      <c r="AO95" s="20" t="str">
        <f>DATA!AY89</f>
        <v>Konfirmasi melalui surat Sekjen nomor KU.01.12-Sj/636 tgl 23 Oktober 2015</v>
      </c>
      <c r="AP95" s="20" t="e">
        <f>DATA!#REF!</f>
        <v>#REF!</v>
      </c>
      <c r="AQ95" s="20">
        <f>DATA!AZ89</f>
        <v>0</v>
      </c>
      <c r="AR95" s="152" t="e">
        <f>DATA!#REF!</f>
        <v>#REF!</v>
      </c>
      <c r="AS95" s="199" t="str">
        <f>DATA!BA89</f>
        <v>Pembangunan PLTA sebesar 9,99 MW, Pembangunan sistem irigasi mengairi 6.800 Ha</v>
      </c>
      <c r="AT95" s="245">
        <f>DATA!AT89</f>
        <v>128250000</v>
      </c>
      <c r="AU95" s="109" t="str">
        <f>DATA!AU89</f>
        <v>RRT</v>
      </c>
      <c r="AV95" s="246" t="str">
        <f>DATA!AW89</f>
        <v>-</v>
      </c>
    </row>
    <row r="96" spans="1:51" ht="28.5" customHeight="1">
      <c r="A96" s="10">
        <f>DATA!A90</f>
        <v>72</v>
      </c>
      <c r="B96" s="10">
        <f>DATA!B90</f>
        <v>0</v>
      </c>
      <c r="C96" s="10" t="str">
        <f>DATA!D90</f>
        <v>INFRASTRUKTUR</v>
      </c>
      <c r="D96" s="10">
        <f>DATA!E90</f>
        <v>1</v>
      </c>
      <c r="E96" s="10" t="str">
        <f>DATA!F90</f>
        <v>Kementerian Pekerjaan Umum dan Perumahan Rakyat</v>
      </c>
      <c r="F96" s="10" t="str">
        <f>DATA!H90</f>
        <v>Dam Development Program</v>
      </c>
      <c r="G96" s="10" t="str">
        <f>DATA!I90</f>
        <v>J</v>
      </c>
      <c r="H96" s="10" t="str">
        <f>DATA!J90</f>
        <v xml:space="preserve">Program Pembangunan Waduk </v>
      </c>
      <c r="I96" s="10">
        <f>DATA!K90</f>
        <v>7</v>
      </c>
      <c r="J96" s="181"/>
      <c r="K96" s="34"/>
      <c r="L96" s="34"/>
      <c r="M96" s="36">
        <v>66</v>
      </c>
      <c r="N96" s="37" t="str">
        <f>DATA!L90</f>
        <v>Ladongi Dam Construction Project</v>
      </c>
      <c r="O96" s="20">
        <f>DATA!Q90</f>
        <v>1</v>
      </c>
      <c r="P96" s="20">
        <f>DATA!R90</f>
        <v>1</v>
      </c>
      <c r="Q96" s="186">
        <f>DATA!S90</f>
        <v>63</v>
      </c>
      <c r="R96" s="187">
        <f>DATA!T90</f>
        <v>70000000</v>
      </c>
      <c r="S96" s="203">
        <f>DATA!U90</f>
        <v>70000000</v>
      </c>
      <c r="T96" s="77">
        <f>DATA!V90</f>
        <v>7000000</v>
      </c>
      <c r="U96" s="77">
        <f>DATA!W90</f>
        <v>0</v>
      </c>
      <c r="V96" s="77">
        <f>DATA!X90</f>
        <v>77000000</v>
      </c>
      <c r="W96" s="78" t="str">
        <f>DATA!Y90</f>
        <v>RRT</v>
      </c>
      <c r="X96" s="20" t="str">
        <f>DATA!Z90</f>
        <v>Bilateral</v>
      </c>
      <c r="Y96" s="77">
        <f>DATA!AA90</f>
        <v>70000000</v>
      </c>
      <c r="Z96" s="77">
        <v>0</v>
      </c>
      <c r="AA96" s="216" t="str">
        <f>DATA!Y90</f>
        <v>RRT</v>
      </c>
      <c r="AB96" s="188">
        <f>DATA!AG90</f>
        <v>0</v>
      </c>
      <c r="AC96" s="20">
        <f>DATA!AH90</f>
        <v>2017</v>
      </c>
      <c r="AD96" s="37" t="str">
        <f>DATA!AI90</f>
        <v>-</v>
      </c>
      <c r="AE96" s="152" t="str">
        <f>DATA!AR90</f>
        <v>belum ada dokumen R/C</v>
      </c>
      <c r="AF96" s="152" t="str">
        <f>DATA!AN90</f>
        <v>siap</v>
      </c>
      <c r="AG96" s="152" t="str">
        <f>DATA!AO90</f>
        <v>dalam proses
(perencanaan)</v>
      </c>
      <c r="AH96" s="37" t="str">
        <f>DATA!AJ90</f>
        <v>SID, AMDAL (2015), penyelidikan geologi, DD, model test 2015</v>
      </c>
      <c r="AI96" s="56" t="str">
        <f>DATA!AK90</f>
        <v>LARAP (2015)</v>
      </c>
      <c r="AJ96" s="230" t="str">
        <f>DATA!AL90</f>
        <v>-</v>
      </c>
      <c r="AK96" s="231" t="str">
        <f>DATA!AR90</f>
        <v>belum ada dokumen R/C</v>
      </c>
      <c r="AL96" s="20" t="str">
        <f>DATA!AN90</f>
        <v>siap</v>
      </c>
      <c r="AM96" s="20" t="str">
        <f>DATA!AO90</f>
        <v>dalam proses
(perencanaan)</v>
      </c>
      <c r="AN96" s="20" t="str">
        <f>DATA!AP90</f>
        <v>belum ada proses tender/lelang</v>
      </c>
      <c r="AO96" s="20" t="str">
        <f>DATA!AY90</f>
        <v>Konfirmasi melalui surat Sekjen nomor KU.01.12-Sj/636 tgl 23 Oktober 2015</v>
      </c>
      <c r="AP96" s="20" t="e">
        <f>DATA!#REF!</f>
        <v>#REF!</v>
      </c>
      <c r="AQ96" s="20">
        <f>DATA!AZ90</f>
        <v>0</v>
      </c>
      <c r="AR96" s="152" t="e">
        <f>DATA!#REF!</f>
        <v>#REF!</v>
      </c>
      <c r="AS96" s="199" t="str">
        <f>DATA!BA90</f>
        <v>Membangun bendungan 25,57 juta m3  dan fasilitas pendukungnya, Melakukan rehabilitasi jalan akses, Membangun PLTA 1,15 MW untuk  Kab.Kolaka Timur dan Perbaikan jaringan irigasi</v>
      </c>
      <c r="AT96" s="245">
        <f>DATA!AT90</f>
        <v>70000000</v>
      </c>
      <c r="AU96" s="109" t="str">
        <f>DATA!AU90</f>
        <v>RRT</v>
      </c>
      <c r="AV96" s="246" t="str">
        <f>DATA!AW90</f>
        <v>-</v>
      </c>
    </row>
    <row r="97" spans="1:51" ht="30.75" customHeight="1">
      <c r="A97" s="10">
        <f>DATA!A91</f>
        <v>73</v>
      </c>
      <c r="B97" s="10">
        <f>DATA!B91</f>
        <v>0</v>
      </c>
      <c r="C97" s="10" t="str">
        <f>DATA!D91</f>
        <v>INFRASTRUKTUR</v>
      </c>
      <c r="D97" s="10">
        <f>DATA!E91</f>
        <v>1</v>
      </c>
      <c r="E97" s="10" t="str">
        <f>DATA!F91</f>
        <v>Kementerian Pekerjaan Umum dan Perumahan Rakyat</v>
      </c>
      <c r="F97" s="10" t="str">
        <f>DATA!H91</f>
        <v>Dam Development Program</v>
      </c>
      <c r="G97" s="10" t="str">
        <f>DATA!I91</f>
        <v>J</v>
      </c>
      <c r="H97" s="10" t="str">
        <f>DATA!J91</f>
        <v xml:space="preserve">Program Pembangunan Waduk </v>
      </c>
      <c r="I97" s="10">
        <f>DATA!K91</f>
        <v>8</v>
      </c>
      <c r="J97" s="181"/>
      <c r="K97" s="34"/>
      <c r="L97" s="34"/>
      <c r="M97" s="36">
        <v>67</v>
      </c>
      <c r="N97" s="37" t="str">
        <f>DATA!L91</f>
        <v>Kuwil Kawangkoan Dam Construction Project</v>
      </c>
      <c r="O97" s="20">
        <f>DATA!Q91</f>
        <v>1</v>
      </c>
      <c r="P97" s="20">
        <f>DATA!R91</f>
        <v>1</v>
      </c>
      <c r="Q97" s="186">
        <f>DATA!S91</f>
        <v>64</v>
      </c>
      <c r="R97" s="187">
        <f>DATA!T91</f>
        <v>110000000</v>
      </c>
      <c r="S97" s="203">
        <f>DATA!U91</f>
        <v>110000000</v>
      </c>
      <c r="T97" s="77">
        <f>DATA!V91</f>
        <v>11000000</v>
      </c>
      <c r="U97" s="77">
        <f>DATA!W91</f>
        <v>0</v>
      </c>
      <c r="V97" s="77">
        <f>DATA!X91</f>
        <v>121000000</v>
      </c>
      <c r="W97" s="78" t="str">
        <f>DATA!Y91</f>
        <v>Rupiah Murni</v>
      </c>
      <c r="X97" s="20" t="str">
        <f>DATA!Z91</f>
        <v>Pendanaan Dengan Rupiah Murni</v>
      </c>
      <c r="Y97" s="77">
        <f>DATA!AA91</f>
        <v>110000000</v>
      </c>
      <c r="Z97" s="77">
        <v>0</v>
      </c>
      <c r="AA97" s="216" t="str">
        <f>DATA!Y91</f>
        <v>Rupiah Murni</v>
      </c>
      <c r="AB97" s="188">
        <f>DATA!AG91</f>
        <v>0</v>
      </c>
      <c r="AC97" s="20">
        <f>DATA!AH91</f>
        <v>2016</v>
      </c>
      <c r="AD97" s="37" t="str">
        <f>DATA!AI91</f>
        <v>-</v>
      </c>
      <c r="AE97" s="152" t="str">
        <f>DATA!AR91</f>
        <v>belum ada dokumen R/C</v>
      </c>
      <c r="AF97" s="152" t="str">
        <f>DATA!AN91</f>
        <v>dalam proses
(penyusunan FS)</v>
      </c>
      <c r="AG97" s="152" t="str">
        <f>DATA!AO91</f>
        <v>dalam proses
(perencanaan)</v>
      </c>
      <c r="AH97" s="37" t="str">
        <f>DATA!AJ91</f>
        <v>Sertifikasi desain, penyelidikan geologi, AMDAL</v>
      </c>
      <c r="AI97" s="56" t="str">
        <f>DATA!AK91</f>
        <v>LARAP</v>
      </c>
      <c r="AJ97" s="230" t="str">
        <f>DATA!AL91</f>
        <v>Dalam proses tender</v>
      </c>
      <c r="AK97" s="231" t="str">
        <f>DATA!AR91</f>
        <v>belum ada dokumen R/C</v>
      </c>
      <c r="AL97" s="20" t="str">
        <f>DATA!AN91</f>
        <v>dalam proses
(penyusunan FS)</v>
      </c>
      <c r="AM97" s="20" t="str">
        <f>DATA!AO91</f>
        <v>dalam proses
(perencanaan)</v>
      </c>
      <c r="AN97" s="20" t="str">
        <f>DATA!AP91</f>
        <v>belum ada proses tender/lelang</v>
      </c>
      <c r="AO97" s="20" t="str">
        <f>DATA!AY91</f>
        <v>- Konfirmasi melalui surat Sekjen nomor KU.01.12-Sj/636 tgl 23 Oktober 2015
- Kegiatan akan dilaksanakan oleh pendanaan rupiah murni APBN</v>
      </c>
      <c r="AP97" s="20" t="e">
        <f>DATA!#REF!</f>
        <v>#REF!</v>
      </c>
      <c r="AQ97" s="20">
        <f>DATA!AZ91</f>
        <v>0</v>
      </c>
      <c r="AR97" s="152" t="e">
        <f>DATA!#REF!</f>
        <v>#REF!</v>
      </c>
      <c r="AS97" s="199" t="str">
        <f>DATA!BA91</f>
        <v>Melakukan konservasi sumber daya air, pelestarian lingkungan, dan pengendalian banjir, Membangun bendungan dan fasilitas pendukungnya, Melakukan rehabilitasi jalan akses , Membangun fasilitas PLTA ± 1.3 MW untuk provinsi Sulawesi Utara</v>
      </c>
      <c r="AT97" s="245">
        <f>DATA!AT91</f>
        <v>110000000</v>
      </c>
      <c r="AU97" s="109" t="str">
        <f>DATA!AU91</f>
        <v>Belum Ada Indikasi</v>
      </c>
      <c r="AV97" s="246" t="str">
        <f>DATA!AW91</f>
        <v>-</v>
      </c>
    </row>
    <row r="98" spans="1:51" ht="42.75" customHeight="1">
      <c r="A98" s="10">
        <f>DATA!A92</f>
        <v>74</v>
      </c>
      <c r="B98" s="10">
        <f>DATA!B92</f>
        <v>0</v>
      </c>
      <c r="C98" s="10" t="str">
        <f>DATA!D92</f>
        <v>INFRASTRUKTUR</v>
      </c>
      <c r="D98" s="10">
        <f>DATA!E92</f>
        <v>1</v>
      </c>
      <c r="E98" s="10" t="str">
        <f>DATA!F92</f>
        <v>Kementerian Pekerjaan Umum dan Perumahan Rakyat</v>
      </c>
      <c r="F98" s="10" t="str">
        <f>DATA!H92</f>
        <v>Dam Development Program</v>
      </c>
      <c r="G98" s="10" t="str">
        <f>DATA!I92</f>
        <v>J</v>
      </c>
      <c r="H98" s="10" t="str">
        <f>DATA!J92</f>
        <v xml:space="preserve">Program Pembangunan Waduk </v>
      </c>
      <c r="I98" s="10">
        <f>DATA!K92</f>
        <v>9</v>
      </c>
      <c r="J98" s="181"/>
      <c r="K98" s="34"/>
      <c r="L98" s="34"/>
      <c r="M98" s="36">
        <v>68</v>
      </c>
      <c r="N98" s="37" t="str">
        <f>DATA!L92</f>
        <v>Lompatan Harimau Dam Construction Project (Rokan Kiri Dam Construction Project)</v>
      </c>
      <c r="O98" s="20">
        <f>DATA!Q92</f>
        <v>1</v>
      </c>
      <c r="P98" s="20">
        <f>DATA!R92</f>
        <v>1</v>
      </c>
      <c r="Q98" s="186">
        <f>DATA!S92</f>
        <v>65</v>
      </c>
      <c r="R98" s="187">
        <f>DATA!T92</f>
        <v>152100000</v>
      </c>
      <c r="S98" s="203">
        <f>DATA!U92</f>
        <v>152100000</v>
      </c>
      <c r="T98" s="77">
        <f>DATA!V92</f>
        <v>26500000</v>
      </c>
      <c r="U98" s="77">
        <f>DATA!W92</f>
        <v>0</v>
      </c>
      <c r="V98" s="77">
        <f>DATA!X92</f>
        <v>178600000</v>
      </c>
      <c r="W98" s="78" t="str">
        <f>DATA!Y92</f>
        <v>RRT</v>
      </c>
      <c r="X98" s="20" t="str">
        <f>DATA!Z92</f>
        <v>Bilateral</v>
      </c>
      <c r="Y98" s="77">
        <f>DATA!AA92</f>
        <v>152100000</v>
      </c>
      <c r="Z98" s="77">
        <v>0</v>
      </c>
      <c r="AA98" s="216" t="str">
        <f>DATA!Y92</f>
        <v>RRT</v>
      </c>
      <c r="AB98" s="188">
        <f>DATA!AG92</f>
        <v>0</v>
      </c>
      <c r="AC98" s="20">
        <f>DATA!AH92</f>
        <v>2018</v>
      </c>
      <c r="AD98" s="37" t="str">
        <f>DATA!AI92</f>
        <v>-</v>
      </c>
      <c r="AE98" s="152" t="str">
        <f>DATA!AR92</f>
        <v>belum ada dokumen R/C</v>
      </c>
      <c r="AF98" s="152" t="str">
        <f>DATA!AN92</f>
        <v>dalam proses
(memiliki FS)</v>
      </c>
      <c r="AG98" s="152" t="str">
        <f>DATA!AO92</f>
        <v>dalam proses
(perencanaan)</v>
      </c>
      <c r="AH98" s="37" t="str">
        <f>DATA!AJ92</f>
        <v>FS (2015), DED (2016), AMDAL (2016)</v>
      </c>
      <c r="AI98" s="56" t="str">
        <f>DATA!AK92</f>
        <v>LARAP (2015)</v>
      </c>
      <c r="AJ98" s="230" t="str">
        <f>DATA!AL92</f>
        <v>-</v>
      </c>
      <c r="AK98" s="231" t="str">
        <f>DATA!AR92</f>
        <v>belum ada dokumen R/C</v>
      </c>
      <c r="AL98" s="20" t="str">
        <f>DATA!AN92</f>
        <v>dalam proses
(memiliki FS)</v>
      </c>
      <c r="AM98" s="20" t="str">
        <f>DATA!AO92</f>
        <v>dalam proses
(perencanaan)</v>
      </c>
      <c r="AN98" s="20" t="str">
        <f>DATA!AP92</f>
        <v>belum ada proses tender/lelang</v>
      </c>
      <c r="AO98" s="20" t="str">
        <f>DATA!AY92</f>
        <v>- Konfirmasi melalui surat Sekjen nomor KU.01.12-Sj/636 tgl 23 Oktober 2015
- Nama kegiatan diusulkan untuk diubah menjadi Rokan Kiri Dam Construction Project</v>
      </c>
      <c r="AP98" s="20" t="e">
        <f>DATA!#REF!</f>
        <v>#REF!</v>
      </c>
      <c r="AQ98" s="20">
        <f>DATA!AZ92</f>
        <v>0</v>
      </c>
      <c r="AR98" s="152" t="e">
        <f>DATA!#REF!</f>
        <v>#REF!</v>
      </c>
      <c r="AS98" s="199" t="str">
        <f>DATA!BA92</f>
        <v>Membangun bendungan dan fasilitas pendukungnya untuk kebutuhan irigasi seluas 4000 Ha, Melakukan konservasi SDA, pelestarian lingkungan, dan pengendalian banjir dan Membangun fasilitas PLTA ± 74,40 MW untuk Kab.Rokan</v>
      </c>
      <c r="AT98" s="245">
        <f>DATA!AT92</f>
        <v>152100000</v>
      </c>
      <c r="AU98" s="109" t="str">
        <f>DATA!AU92</f>
        <v>RRT</v>
      </c>
      <c r="AV98" s="246" t="str">
        <f>DATA!AW92</f>
        <v>-</v>
      </c>
    </row>
    <row r="99" spans="1:51" ht="29.25" customHeight="1">
      <c r="J99" s="181"/>
      <c r="K99" s="34"/>
      <c r="L99" s="34"/>
      <c r="M99" s="3390">
        <v>69</v>
      </c>
      <c r="N99" s="3393" t="str">
        <f>DATA!L94</f>
        <v>Engineering Service for Dam Multipurpose Development Project</v>
      </c>
      <c r="O99" s="20">
        <f>DATA!Q94</f>
        <v>0.33333333333333298</v>
      </c>
      <c r="P99" s="20">
        <f>DATA!R94</f>
        <v>0</v>
      </c>
      <c r="Q99" s="186">
        <f>DATA!S94</f>
        <v>66</v>
      </c>
      <c r="R99" s="3403">
        <f>DATA!T93</f>
        <v>100000000</v>
      </c>
      <c r="S99" s="203">
        <f>DATA!U94</f>
        <v>0</v>
      </c>
      <c r="T99" s="77">
        <f>DATA!V94</f>
        <v>0</v>
      </c>
      <c r="U99" s="77">
        <f>DATA!W94</f>
        <v>0</v>
      </c>
      <c r="V99" s="77">
        <f>DATA!X94</f>
        <v>0</v>
      </c>
      <c r="W99" s="78" t="str">
        <f>DATA!Y94</f>
        <v>ADB</v>
      </c>
      <c r="X99" s="20" t="str">
        <f>DATA!Z94</f>
        <v>Multilateral</v>
      </c>
      <c r="Y99" s="77">
        <f>DATA!AA94</f>
        <v>1930000</v>
      </c>
      <c r="Z99" s="77">
        <v>0</v>
      </c>
      <c r="AA99" s="216" t="str">
        <f>DATA!Y94</f>
        <v>ADB</v>
      </c>
      <c r="AB99" s="188">
        <f>DATA!AG94</f>
        <v>0</v>
      </c>
      <c r="AC99" s="20">
        <f>DATA!AH94</f>
        <v>2016</v>
      </c>
      <c r="AD99" s="37" t="str">
        <f>DATA!AI94</f>
        <v>- Sudah ada RC
- Green Book 2015</v>
      </c>
      <c r="AE99" s="152" t="str">
        <f>DATA!AM94</f>
        <v>2016; 2015</v>
      </c>
      <c r="AF99" s="152" t="str">
        <f>DATA!AN94</f>
        <v>siap</v>
      </c>
      <c r="AG99" s="152" t="str">
        <f>DATA!AO94</f>
        <v>tidak butuh lahan</v>
      </c>
      <c r="AH99" s="37" t="str">
        <f>DATA!AJ94</f>
        <v>FS, DED</v>
      </c>
      <c r="AI99" s="56" t="str">
        <f>DATA!AK94</f>
        <v>Tidak membutuhkan lahan</v>
      </c>
      <c r="AJ99" s="230" t="str">
        <f>DATA!AL94</f>
        <v>Belum ada tender/lelang</v>
      </c>
      <c r="AK99" s="231" t="str">
        <f>DATA!AM94</f>
        <v>2016; 2015</v>
      </c>
      <c r="AL99" s="20" t="str">
        <f>DATA!AN94</f>
        <v>siap</v>
      </c>
      <c r="AM99" s="20" t="str">
        <f>DATA!AO94</f>
        <v>tidak butuh lahan</v>
      </c>
      <c r="AN99" s="20" t="str">
        <f>DATA!AP94</f>
        <v>belum ada proses tender/lelang</v>
      </c>
      <c r="AO99" s="20"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P99" s="20" t="e">
        <f>DATA!#REF!</f>
        <v>#REF!</v>
      </c>
      <c r="AQ99" s="20">
        <f>DATA!AZ94</f>
        <v>0</v>
      </c>
      <c r="AR99" s="152" t="e">
        <f>DATA!#REF!</f>
        <v>#REF!</v>
      </c>
      <c r="AS99" s="199"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c r="AT99" s="245">
        <f>DATA!AT94</f>
        <v>1930000</v>
      </c>
      <c r="AU99" s="109" t="str">
        <f>DATA!AU94</f>
        <v>ADB</v>
      </c>
      <c r="AV99" s="246" t="str">
        <f>DATA!AW94</f>
        <v>co-financing dengan Korea (USD 21,7 juta) dan belum ada indikasi (USD 76,4 juta)</v>
      </c>
    </row>
    <row r="100" spans="1:51" ht="25.5" customHeight="1">
      <c r="J100" s="181"/>
      <c r="K100" s="34"/>
      <c r="L100" s="34"/>
      <c r="M100" s="3392"/>
      <c r="N100" s="3397"/>
      <c r="O100" s="20"/>
      <c r="P100" s="20"/>
      <c r="Q100" s="186"/>
      <c r="R100" s="3405"/>
      <c r="S100" s="203">
        <f>DATA!U95</f>
        <v>0</v>
      </c>
      <c r="T100" s="77">
        <f>DATA!V95</f>
        <v>0</v>
      </c>
      <c r="U100" s="77">
        <f>DATA!W95</f>
        <v>0</v>
      </c>
      <c r="V100" s="77">
        <f>DATA!X95</f>
        <v>0</v>
      </c>
      <c r="W100" s="78" t="str">
        <f>DATA!Y95</f>
        <v>Korea</v>
      </c>
      <c r="X100" s="20" t="str">
        <f>DATA!Z95</f>
        <v>Bilateral</v>
      </c>
      <c r="Y100" s="77">
        <f>DATA!AA95</f>
        <v>21678596</v>
      </c>
      <c r="Z100" s="77">
        <v>0</v>
      </c>
      <c r="AA100" s="216" t="str">
        <f>DATA!Y95</f>
        <v>Korea</v>
      </c>
      <c r="AB100" s="188">
        <f>DATA!AG95</f>
        <v>0</v>
      </c>
      <c r="AC100" s="20">
        <f>DATA!AH95</f>
        <v>2016</v>
      </c>
      <c r="AD100" s="37" t="str">
        <f>DATA!AI95</f>
        <v>- Sudah ada RC
- Diusulkan GB 2016</v>
      </c>
      <c r="AE100" s="152">
        <f>DATA!AM95</f>
        <v>2016</v>
      </c>
      <c r="AF100" s="152" t="str">
        <f>DATA!AN95</f>
        <v>siap</v>
      </c>
      <c r="AG100" s="152" t="str">
        <f>DATA!AO95</f>
        <v>tidak butuh lahan</v>
      </c>
      <c r="AH100" s="37" t="str">
        <f>DATA!AJ95</f>
        <v>FS, DED</v>
      </c>
      <c r="AI100" s="56" t="str">
        <f>DATA!AK95</f>
        <v>Tidak membutuhkan lahan</v>
      </c>
      <c r="AJ100" s="230" t="str">
        <f>DATA!AL95</f>
        <v>Belum ada tender/lelang</v>
      </c>
      <c r="AK100" s="231">
        <f>DATA!AM95</f>
        <v>2016</v>
      </c>
      <c r="AL100" s="20" t="str">
        <f>DATA!AN95</f>
        <v>siap</v>
      </c>
      <c r="AM100" s="20" t="str">
        <f>DATA!AO95</f>
        <v>tidak butuh lahan</v>
      </c>
      <c r="AN100" s="20" t="str">
        <f>DATA!AP95</f>
        <v>belum ada proses tender/lelang</v>
      </c>
      <c r="AO100" s="20"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P100" s="20" t="e">
        <f>DATA!#REF!</f>
        <v>#REF!</v>
      </c>
      <c r="AQ100" s="20">
        <f>DATA!AZ95</f>
        <v>0</v>
      </c>
      <c r="AR100" s="152" t="e">
        <f>DATA!#REF!</f>
        <v>#REF!</v>
      </c>
      <c r="AS100" s="199"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c r="AT100" s="245">
        <f>DATA!AT95</f>
        <v>21678596</v>
      </c>
      <c r="AU100" s="109" t="str">
        <f>DATA!AU95</f>
        <v>Korea</v>
      </c>
      <c r="AV100" s="246" t="str">
        <f>DATA!AW95</f>
        <v>- co-financing dengan ADB (USD 1,9 juta) dan belum ada indikasi (USD 76,4 juta)
- masuk rolling plan EDCF (Korea)</v>
      </c>
    </row>
    <row r="101" spans="1:51" ht="25.5" customHeight="1">
      <c r="J101" s="181"/>
      <c r="K101" s="34"/>
      <c r="L101" s="34"/>
      <c r="M101" s="3391"/>
      <c r="N101" s="3394"/>
      <c r="O101" s="20"/>
      <c r="P101" s="20"/>
      <c r="Q101" s="186"/>
      <c r="R101" s="3404"/>
      <c r="S101" s="203">
        <f>DATA!U96</f>
        <v>0</v>
      </c>
      <c r="T101" s="77">
        <f>DATA!V96</f>
        <v>0</v>
      </c>
      <c r="U101" s="77">
        <f>DATA!W96</f>
        <v>0</v>
      </c>
      <c r="V101" s="77">
        <f>DATA!X96</f>
        <v>0</v>
      </c>
      <c r="W101" s="78" t="str">
        <f>DATA!Y96</f>
        <v>Belum Ada Indikasi</v>
      </c>
      <c r="X101" s="20" t="str">
        <f>DATA!Z96</f>
        <v>Belum Ada Indikasi</v>
      </c>
      <c r="Y101" s="77">
        <v>0</v>
      </c>
      <c r="Z101" s="77">
        <f>DATA!AA96</f>
        <v>76391404</v>
      </c>
      <c r="AA101" s="216" t="str">
        <f>DATA!Y96</f>
        <v>Belum Ada Indikasi</v>
      </c>
      <c r="AB101" s="188">
        <f>DATA!AG96</f>
        <v>-76391404</v>
      </c>
      <c r="AC101" s="20" t="str">
        <f>DATA!AH96</f>
        <v>Tanpa keterangan</v>
      </c>
      <c r="AD101" s="37" t="str">
        <f>DATA!AI96</f>
        <v>-</v>
      </c>
      <c r="AE101" s="152">
        <f>DATA!AM96</f>
        <v>0</v>
      </c>
      <c r="AF101" s="152" t="str">
        <f>DATA!AN96</f>
        <v>belum ada keterangan</v>
      </c>
      <c r="AG101" s="152" t="str">
        <f>DATA!AO96</f>
        <v>belum ada keterangan</v>
      </c>
      <c r="AH101" s="37" t="str">
        <f>DATA!AJ96</f>
        <v>-</v>
      </c>
      <c r="AI101" s="56" t="str">
        <f>DATA!AK96</f>
        <v>-</v>
      </c>
      <c r="AJ101" s="230" t="str">
        <f>DATA!AL96</f>
        <v>-</v>
      </c>
      <c r="AK101" s="231"/>
      <c r="AL101" s="20"/>
      <c r="AM101" s="20"/>
      <c r="AN101" s="20"/>
      <c r="AO101" s="20"/>
      <c r="AP101" s="20"/>
      <c r="AQ101" s="20"/>
      <c r="AR101" s="152" t="e">
        <f>DATA!#REF!</f>
        <v>#REF!</v>
      </c>
      <c r="AS101" s="199"/>
      <c r="AT101" s="245">
        <f>DATA!AT96</f>
        <v>76391404</v>
      </c>
      <c r="AU101" s="109" t="str">
        <f>DATA!AU96</f>
        <v>Belum Ada Indikasi</v>
      </c>
      <c r="AV101" s="246" t="str">
        <f>DATA!AW96</f>
        <v>co-financing dengan Korea (USD 21,7 juta) dan ADB (USD 1,9 juta)</v>
      </c>
    </row>
    <row r="102" spans="1:51" ht="42.75" customHeight="1">
      <c r="A102" s="10">
        <f>DATA!A97</f>
        <v>76</v>
      </c>
      <c r="B102" s="10">
        <f>DATA!B97</f>
        <v>0</v>
      </c>
      <c r="C102" s="10" t="str">
        <f>DATA!D97</f>
        <v>INFRASTRUKTUR</v>
      </c>
      <c r="D102" s="10">
        <f>DATA!E97</f>
        <v>1</v>
      </c>
      <c r="E102" s="10" t="str">
        <f>DATA!F97</f>
        <v>Kementerian Pekerjaan Umum dan Perumahan Rakyat</v>
      </c>
      <c r="F102" s="10" t="str">
        <f>DATA!H97</f>
        <v>Dam Development Program</v>
      </c>
      <c r="G102" s="10" t="str">
        <f>DATA!I97</f>
        <v>J</v>
      </c>
      <c r="H102" s="10" t="str">
        <f>DATA!J97</f>
        <v xml:space="preserve">Program Pembangunan Waduk </v>
      </c>
      <c r="I102" s="10">
        <f>DATA!K97</f>
        <v>11</v>
      </c>
      <c r="J102" s="181"/>
      <c r="K102" s="34"/>
      <c r="L102" s="54"/>
      <c r="M102" s="36">
        <v>70</v>
      </c>
      <c r="N102" s="37" t="str">
        <f>DATA!L97</f>
        <v>Additional Loan for Jatigede Dam Project 2</v>
      </c>
      <c r="O102" s="20">
        <f>DATA!Q97</f>
        <v>1</v>
      </c>
      <c r="P102" s="20">
        <f>DATA!R97</f>
        <v>1</v>
      </c>
      <c r="Q102" s="186">
        <f>DATA!S97</f>
        <v>67</v>
      </c>
      <c r="R102" s="187">
        <f>DATA!T97</f>
        <v>53200000</v>
      </c>
      <c r="S102" s="203">
        <f>DATA!U97</f>
        <v>53200000</v>
      </c>
      <c r="T102" s="77">
        <f>DATA!V97</f>
        <v>0</v>
      </c>
      <c r="U102" s="77">
        <f>DATA!W97</f>
        <v>0</v>
      </c>
      <c r="V102" s="77">
        <f>DATA!X97</f>
        <v>53200000</v>
      </c>
      <c r="W102" s="78" t="str">
        <f>DATA!Y97</f>
        <v>RRT</v>
      </c>
      <c r="X102" s="20" t="str">
        <f>DATA!Z97</f>
        <v>Bilateral</v>
      </c>
      <c r="Y102" s="77">
        <f>DATA!AA97</f>
        <v>53200000</v>
      </c>
      <c r="Z102" s="77">
        <v>0</v>
      </c>
      <c r="AA102" s="216" t="str">
        <f>DATA!Y97</f>
        <v>RRT</v>
      </c>
      <c r="AB102" s="188">
        <f>DATA!AG97</f>
        <v>0</v>
      </c>
      <c r="AC102" s="20">
        <f>DATA!AH97</f>
        <v>2016</v>
      </c>
      <c r="AD102" s="37" t="str">
        <f>DATA!AI97</f>
        <v>- Sudah ada RC
- Green Book 2015</v>
      </c>
      <c r="AE102" s="152" t="str">
        <f>DATA!AR97</f>
        <v>-</v>
      </c>
      <c r="AF102" s="152" t="str">
        <f>DATA!AN97</f>
        <v>dalam proses
(memiliki FS dan DED)</v>
      </c>
      <c r="AG102" s="152" t="str">
        <f>DATA!AO97</f>
        <v>dalam proses
(persiapan)</v>
      </c>
      <c r="AH102" s="37" t="str">
        <f>DATA!AJ97</f>
        <v>FS, DED, persiapan impounding 2015</v>
      </c>
      <c r="AI102" s="56" t="str">
        <f>DATA!AK97</f>
        <v>- Proses perijinan penggunaan lahan dari Bupati dan Kemenhut
- Proses administrasi kependudukan</v>
      </c>
      <c r="AJ102" s="230" t="str">
        <f>DATA!AL97</f>
        <v>Belum ada tender/lelang</v>
      </c>
      <c r="AK102" s="231" t="str">
        <f>DATA!AR97</f>
        <v>-</v>
      </c>
      <c r="AL102" s="20" t="str">
        <f>DATA!AN97</f>
        <v>dalam proses
(memiliki FS dan DED)</v>
      </c>
      <c r="AM102" s="20" t="str">
        <f>DATA!AO97</f>
        <v>dalam proses
(persiapan)</v>
      </c>
      <c r="AN102" s="20" t="str">
        <f>DATA!AP97</f>
        <v>belum ada proses tender/lelang</v>
      </c>
      <c r="AO102" s="20" t="str">
        <f>DATA!AY97</f>
        <v>Konfirmasi melalui surat Sekjen nomor KU.01.12-Sj/636 tgl 23 Oktober 2015</v>
      </c>
      <c r="AP102" s="20" t="e">
        <f>DATA!#REF!</f>
        <v>#REF!</v>
      </c>
      <c r="AQ102" s="20">
        <f>DATA!AZ97</f>
        <v>0</v>
      </c>
      <c r="AR102" s="152" t="e">
        <f>DATA!#REF!</f>
        <v>#REF!</v>
      </c>
      <c r="AS102" s="199" t="str">
        <f>DATA!BA97</f>
        <v>Menyediakan air untuk keperluan irigasi sebesar 59,63 m3/dt dan membangun infrastruktur untuk PLTA 110 MW.</v>
      </c>
      <c r="AT102" s="245">
        <f>DATA!AT97</f>
        <v>53200000</v>
      </c>
      <c r="AU102" s="109" t="str">
        <f>DATA!AU97</f>
        <v>RRT</v>
      </c>
      <c r="AV102" s="246" t="str">
        <f>DATA!AW97</f>
        <v>-</v>
      </c>
    </row>
    <row r="103" spans="1:51" s="5" customFormat="1" ht="33.75" customHeight="1">
      <c r="J103" s="180"/>
      <c r="K103" s="50"/>
      <c r="L103" s="30" t="str">
        <f>DATA!I98</f>
        <v>K</v>
      </c>
      <c r="M103" s="31" t="str">
        <f>DATA!J98</f>
        <v>Program Mitigasi Terhadap Daya Rusak Air</v>
      </c>
      <c r="N103" s="51"/>
      <c r="O103" s="31"/>
      <c r="P103" s="31"/>
      <c r="Q103" s="196"/>
      <c r="R103" s="197">
        <f>+R104+R105+R106+R107+R108+R109+R110+R111</f>
        <v>1152636000</v>
      </c>
      <c r="S103" s="198">
        <f t="shared" ref="S103:AT103" si="13">+S104+S105+S106+S107+S108+S109+S110+S111</f>
        <v>1152636000</v>
      </c>
      <c r="T103" s="81">
        <f t="shared" si="13"/>
        <v>149840000</v>
      </c>
      <c r="U103" s="81">
        <f t="shared" si="13"/>
        <v>0</v>
      </c>
      <c r="V103" s="81">
        <f t="shared" si="13"/>
        <v>1302476000</v>
      </c>
      <c r="W103" s="81" t="e">
        <f t="shared" si="13"/>
        <v>#VALUE!</v>
      </c>
      <c r="X103" s="81" t="e">
        <f t="shared" si="13"/>
        <v>#VALUE!</v>
      </c>
      <c r="Y103" s="81">
        <f t="shared" si="13"/>
        <v>912256000</v>
      </c>
      <c r="Z103" s="81">
        <f t="shared" si="13"/>
        <v>200000000</v>
      </c>
      <c r="AA103" s="214"/>
      <c r="AB103" s="198">
        <f t="shared" si="13"/>
        <v>0</v>
      </c>
      <c r="AC103" s="81" t="e">
        <f t="shared" si="13"/>
        <v>#VALUE!</v>
      </c>
      <c r="AD103" s="81" t="e">
        <f t="shared" si="13"/>
        <v>#VALUE!</v>
      </c>
      <c r="AE103" s="81" t="e">
        <f t="shared" si="13"/>
        <v>#VALUE!</v>
      </c>
      <c r="AF103" s="81" t="e">
        <f t="shared" si="13"/>
        <v>#VALUE!</v>
      </c>
      <c r="AG103" s="81" t="e">
        <f t="shared" si="13"/>
        <v>#VALUE!</v>
      </c>
      <c r="AH103" s="81"/>
      <c r="AI103" s="228"/>
      <c r="AJ103" s="229" t="e">
        <f t="shared" si="13"/>
        <v>#VALUE!</v>
      </c>
      <c r="AK103" s="198" t="e">
        <f t="shared" si="13"/>
        <v>#VALUE!</v>
      </c>
      <c r="AL103" s="81" t="e">
        <f t="shared" si="13"/>
        <v>#VALUE!</v>
      </c>
      <c r="AM103" s="81" t="e">
        <f t="shared" si="13"/>
        <v>#VALUE!</v>
      </c>
      <c r="AN103" s="81" t="e">
        <f t="shared" si="13"/>
        <v>#VALUE!</v>
      </c>
      <c r="AO103" s="81" t="e">
        <f t="shared" si="13"/>
        <v>#VALUE!</v>
      </c>
      <c r="AP103" s="81" t="e">
        <f t="shared" si="13"/>
        <v>#REF!</v>
      </c>
      <c r="AQ103" s="81" t="e">
        <f t="shared" si="13"/>
        <v>#VALUE!</v>
      </c>
      <c r="AR103" s="81" t="e">
        <f t="shared" si="13"/>
        <v>#REF!</v>
      </c>
      <c r="AS103" s="243" t="e">
        <f t="shared" si="13"/>
        <v>#VALUE!</v>
      </c>
      <c r="AT103" s="244">
        <f t="shared" si="13"/>
        <v>1112256000</v>
      </c>
      <c r="AU103" s="81" t="s">
        <v>21</v>
      </c>
      <c r="AV103" s="229"/>
      <c r="AY103" s="253"/>
    </row>
    <row r="104" spans="1:51" ht="32.25" customHeight="1">
      <c r="A104" s="10">
        <f>DATA!A98</f>
        <v>77</v>
      </c>
      <c r="B104" s="10">
        <f>DATA!B98</f>
        <v>0</v>
      </c>
      <c r="C104" s="10" t="str">
        <f>DATA!D98</f>
        <v>INFRASTRUKTUR</v>
      </c>
      <c r="D104" s="10">
        <f>DATA!E98</f>
        <v>1</v>
      </c>
      <c r="E104" s="10" t="str">
        <f>DATA!F98</f>
        <v>Kementerian Pekerjaan Umum dan Perumahan Rakyat</v>
      </c>
      <c r="F104" s="10" t="str">
        <f>DATA!H98</f>
        <v>Mitigation of Water Hazards Program</v>
      </c>
      <c r="G104" s="10" t="str">
        <f>DATA!I98</f>
        <v>K</v>
      </c>
      <c r="H104" s="10" t="str">
        <f>DATA!J98</f>
        <v>Program Mitigasi Terhadap Daya Rusak Air</v>
      </c>
      <c r="I104" s="10">
        <f>DATA!K98</f>
        <v>1</v>
      </c>
      <c r="J104" s="181"/>
      <c r="K104" s="34"/>
      <c r="L104" s="35"/>
      <c r="M104" s="36">
        <v>71</v>
      </c>
      <c r="N104" s="37" t="str">
        <f>DATA!L98</f>
        <v>Lower Solo River Improvement Project - Phase II</v>
      </c>
      <c r="O104" s="20">
        <f>DATA!Q98</f>
        <v>1</v>
      </c>
      <c r="P104" s="20">
        <f>DATA!R98</f>
        <v>1</v>
      </c>
      <c r="Q104" s="186">
        <f>DATA!S98</f>
        <v>68</v>
      </c>
      <c r="R104" s="187">
        <f>DATA!T98</f>
        <v>155836000</v>
      </c>
      <c r="S104" s="203">
        <f>DATA!U98</f>
        <v>155836000</v>
      </c>
      <c r="T104" s="77">
        <f>DATA!V98</f>
        <v>22500000</v>
      </c>
      <c r="U104" s="77">
        <f>DATA!W98</f>
        <v>0</v>
      </c>
      <c r="V104" s="77">
        <f>DATA!X98</f>
        <v>178336000</v>
      </c>
      <c r="W104" s="78" t="str">
        <f>DATA!Y98</f>
        <v>JICA</v>
      </c>
      <c r="X104" s="20" t="str">
        <f>DATA!Z98</f>
        <v>Bilateral</v>
      </c>
      <c r="Y104" s="77">
        <f>DATA!AA98</f>
        <v>155836000</v>
      </c>
      <c r="Z104" s="77">
        <v>0</v>
      </c>
      <c r="AA104" s="216" t="str">
        <f>DATA!Y98</f>
        <v>JICA</v>
      </c>
      <c r="AB104" s="188">
        <f>DATA!AG98</f>
        <v>0</v>
      </c>
      <c r="AC104" s="20">
        <f>DATA!AH98</f>
        <v>2018</v>
      </c>
      <c r="AD104" s="37" t="str">
        <f>DATA!AI98</f>
        <v>-</v>
      </c>
      <c r="AE104" s="152" t="str">
        <f>DATA!AR98</f>
        <v>belum ada dokumen R/C</v>
      </c>
      <c r="AF104" s="152" t="str">
        <f>DATA!AN98</f>
        <v>siap</v>
      </c>
      <c r="AG104" s="152" t="str">
        <f>DATA!AO98</f>
        <v>dalam proses
(perencanaan)</v>
      </c>
      <c r="AH104" s="37" t="str">
        <f>DATA!AJ98</f>
        <v>FS, DED, AMDAL</v>
      </c>
      <c r="AI104" s="56" t="str">
        <f>DATA!AK98</f>
        <v>LARAP</v>
      </c>
      <c r="AJ104" s="230" t="str">
        <f>DATA!AL98</f>
        <v>-</v>
      </c>
      <c r="AK104" s="231" t="str">
        <f>DATA!AR98</f>
        <v>belum ada dokumen R/C</v>
      </c>
      <c r="AL104" s="20" t="str">
        <f>DATA!AN98</f>
        <v>siap</v>
      </c>
      <c r="AM104" s="20" t="str">
        <f>DATA!AO98</f>
        <v>dalam proses
(perencanaan)</v>
      </c>
      <c r="AN104" s="20" t="str">
        <f>DATA!AP98</f>
        <v>belum ada proses tender/lelang</v>
      </c>
      <c r="AO104" s="20" t="str">
        <f>DATA!AY98</f>
        <v>Konfirmasi melalui surat Sekjen nomor KU.01.12-Sj/636 tgl 23 Oktober 2015</v>
      </c>
      <c r="AP104" s="20" t="e">
        <f>DATA!#REF!</f>
        <v>#REF!</v>
      </c>
      <c r="AQ104" s="20">
        <f>DATA!AZ98</f>
        <v>0</v>
      </c>
      <c r="AR104" s="152" t="e">
        <f>DATA!#REF!</f>
        <v>#REF!</v>
      </c>
      <c r="AS104" s="199" t="str">
        <f>DATA!BA98</f>
        <v>Pekerjaan konstruksi dan supervisi pelaksanaan tanggul, parapet wall, pelindung tebing, sluiceway, jembatan, alur sudetan dan bangunan sungai lainnya</v>
      </c>
      <c r="AT104" s="245">
        <f>DATA!AT98</f>
        <v>155836000</v>
      </c>
      <c r="AU104" s="109" t="str">
        <f>DATA!AU98</f>
        <v>JICA</v>
      </c>
      <c r="AV104" s="246" t="str">
        <f>DATA!AW98</f>
        <v>-</v>
      </c>
    </row>
    <row r="105" spans="1:51" ht="42" customHeight="1">
      <c r="A105" s="10">
        <f>DATA!A99</f>
        <v>78</v>
      </c>
      <c r="B105" s="10">
        <f>DATA!B99</f>
        <v>0</v>
      </c>
      <c r="C105" s="10" t="str">
        <f>DATA!D99</f>
        <v>INFRASTRUKTUR</v>
      </c>
      <c r="D105" s="10">
        <f>DATA!E99</f>
        <v>1</v>
      </c>
      <c r="E105" s="10" t="str">
        <f>DATA!F99</f>
        <v>Kementerian Pekerjaan Umum dan Perumahan Rakyat</v>
      </c>
      <c r="F105" s="10" t="str">
        <f>DATA!H99</f>
        <v>Mitigation of Water Hazards Program</v>
      </c>
      <c r="G105" s="10" t="str">
        <f>DATA!I99</f>
        <v>K</v>
      </c>
      <c r="H105" s="10" t="str">
        <f>DATA!J99</f>
        <v>Program Mitigasi Terhadap Daya Rusak Air</v>
      </c>
      <c r="I105" s="10">
        <f>DATA!K99</f>
        <v>2</v>
      </c>
      <c r="J105" s="181"/>
      <c r="K105" s="34"/>
      <c r="L105" s="34"/>
      <c r="M105" s="36">
        <v>72</v>
      </c>
      <c r="N105" s="37" t="str">
        <f>DATA!L99</f>
        <v>Comprehensive Countermeasure for Sediment &amp; Flood Problems in South Sulawesi Province</v>
      </c>
      <c r="O105" s="20">
        <f>DATA!Q99</f>
        <v>1</v>
      </c>
      <c r="P105" s="20">
        <f>DATA!R99</f>
        <v>1</v>
      </c>
      <c r="Q105" s="186">
        <f>DATA!S99</f>
        <v>69</v>
      </c>
      <c r="R105" s="187">
        <f>DATA!T99</f>
        <v>108100000</v>
      </c>
      <c r="S105" s="203">
        <f>DATA!U99</f>
        <v>108100000</v>
      </c>
      <c r="T105" s="77">
        <f>DATA!V99</f>
        <v>3900000</v>
      </c>
      <c r="U105" s="77">
        <f>DATA!W99</f>
        <v>0</v>
      </c>
      <c r="V105" s="77">
        <f>DATA!X99</f>
        <v>112000000</v>
      </c>
      <c r="W105" s="78" t="str">
        <f>DATA!Y99</f>
        <v>JICA</v>
      </c>
      <c r="X105" s="20" t="str">
        <f>DATA!Z99</f>
        <v>Bilateral</v>
      </c>
      <c r="Y105" s="77">
        <f>DATA!AA99</f>
        <v>108100000</v>
      </c>
      <c r="Z105" s="77">
        <v>0</v>
      </c>
      <c r="AA105" s="216" t="str">
        <f>DATA!Y99</f>
        <v>JICA</v>
      </c>
      <c r="AB105" s="188">
        <f>DATA!AG99</f>
        <v>0</v>
      </c>
      <c r="AC105" s="20">
        <f>DATA!AH99</f>
        <v>2018</v>
      </c>
      <c r="AD105" s="37" t="str">
        <f>DATA!AI99</f>
        <v>-</v>
      </c>
      <c r="AE105" s="152" t="str">
        <f>DATA!AR99</f>
        <v>belum ada dokumen R/C</v>
      </c>
      <c r="AF105" s="152" t="str">
        <f>DATA!AN99</f>
        <v>dalam proses
(memiliki FS dan DED)</v>
      </c>
      <c r="AG105" s="152" t="str">
        <f>DATA!AO99</f>
        <v>belum ada keterangan</v>
      </c>
      <c r="AH105" s="37" t="str">
        <f>DATA!AJ99</f>
        <v>FS, DED</v>
      </c>
      <c r="AI105" s="56" t="str">
        <f>DATA!AK99</f>
        <v>-</v>
      </c>
      <c r="AJ105" s="230" t="str">
        <f>DATA!AL99</f>
        <v>-</v>
      </c>
      <c r="AK105" s="231" t="str">
        <f>DATA!AR99</f>
        <v>belum ada dokumen R/C</v>
      </c>
      <c r="AL105" s="20" t="str">
        <f>DATA!AN99</f>
        <v>dalam proses
(memiliki FS dan DED)</v>
      </c>
      <c r="AM105" s="20" t="str">
        <f>DATA!AO99</f>
        <v>belum ada keterangan</v>
      </c>
      <c r="AN105" s="20" t="str">
        <f>DATA!AP99</f>
        <v>belum ada proses tender/lelang</v>
      </c>
      <c r="AO105" s="20" t="str">
        <f>DATA!AY99</f>
        <v>Konfirmasi melalui surat Sekjen nomor KU.01.12-Sj/636 tgl 23 Oktober 2015</v>
      </c>
      <c r="AP105" s="20" t="e">
        <f>DATA!#REF!</f>
        <v>#REF!</v>
      </c>
      <c r="AQ105" s="20">
        <f>DATA!AZ99</f>
        <v>0</v>
      </c>
      <c r="AR105" s="152" t="e">
        <f>DATA!#REF!</f>
        <v>#REF!</v>
      </c>
      <c r="AS105" s="199" t="str">
        <f>DATA!BA99</f>
        <v>Rehabilitasi intake waduk bili-bili (1 buah), konstruksi giant sand trap facility (1 buah) di ujung waduk bili-bili dan konstruksi bangunan pengendali sedimen di luar kaldera untuk antisipasi potensi runtuhan lanjutan Bawakaraeng</v>
      </c>
      <c r="AT105" s="245">
        <f>DATA!AT99</f>
        <v>108100000</v>
      </c>
      <c r="AU105" s="109" t="str">
        <f>DATA!AU99</f>
        <v>JICA</v>
      </c>
      <c r="AV105" s="246" t="str">
        <f>DATA!AW99</f>
        <v>-</v>
      </c>
    </row>
    <row r="106" spans="1:51" ht="35.25" customHeight="1">
      <c r="A106" s="10">
        <f>DATA!A100</f>
        <v>79</v>
      </c>
      <c r="B106" s="10">
        <f>DATA!B100</f>
        <v>0</v>
      </c>
      <c r="C106" s="10" t="str">
        <f>DATA!D100</f>
        <v>INFRASTRUKTUR</v>
      </c>
      <c r="D106" s="10">
        <f>DATA!E100</f>
        <v>1</v>
      </c>
      <c r="E106" s="10" t="str">
        <f>DATA!F100</f>
        <v>Kementerian Pekerjaan Umum dan Perumahan Rakyat</v>
      </c>
      <c r="F106" s="10" t="str">
        <f>DATA!H100</f>
        <v>Mitigation of Water Hazards Program</v>
      </c>
      <c r="G106" s="10" t="str">
        <f>DATA!I100</f>
        <v>K</v>
      </c>
      <c r="H106" s="10" t="str">
        <f>DATA!J100</f>
        <v>Program Mitigasi Terhadap Daya Rusak Air</v>
      </c>
      <c r="I106" s="10">
        <f>DATA!K100</f>
        <v>3</v>
      </c>
      <c r="J106" s="181"/>
      <c r="K106" s="34"/>
      <c r="L106" s="34"/>
      <c r="M106" s="36">
        <v>73</v>
      </c>
      <c r="N106" s="37" t="str">
        <f>DATA!L100</f>
        <v>Bali Beach Conservation Project - Phase II</v>
      </c>
      <c r="O106" s="20">
        <f>DATA!Q100</f>
        <v>1</v>
      </c>
      <c r="P106" s="20">
        <f>DATA!R100</f>
        <v>1</v>
      </c>
      <c r="Q106" s="186">
        <f>DATA!S100</f>
        <v>70</v>
      </c>
      <c r="R106" s="187">
        <f>DATA!T100</f>
        <v>150000000</v>
      </c>
      <c r="S106" s="203">
        <f>DATA!U100</f>
        <v>150000000</v>
      </c>
      <c r="T106" s="77">
        <f>DATA!V100</f>
        <v>15000000</v>
      </c>
      <c r="U106" s="77">
        <f>DATA!W100</f>
        <v>0</v>
      </c>
      <c r="V106" s="77">
        <f>DATA!X100</f>
        <v>165000000</v>
      </c>
      <c r="W106" s="78" t="str">
        <f>DATA!Y100</f>
        <v>JICA</v>
      </c>
      <c r="X106" s="20" t="str">
        <f>DATA!Z100</f>
        <v>Bilateral</v>
      </c>
      <c r="Y106" s="77">
        <f>DATA!AA100</f>
        <v>150000000</v>
      </c>
      <c r="Z106" s="77">
        <v>0</v>
      </c>
      <c r="AA106" s="216" t="str">
        <f>DATA!Y100</f>
        <v>JICA</v>
      </c>
      <c r="AB106" s="188">
        <f>DATA!AG100</f>
        <v>0</v>
      </c>
      <c r="AC106" s="20">
        <f>DATA!AH100</f>
        <v>2017</v>
      </c>
      <c r="AD106" s="37" t="str">
        <f>DATA!AI100</f>
        <v>-</v>
      </c>
      <c r="AE106" s="152" t="str">
        <f>DATA!AR100</f>
        <v>Nilai pinjaman di GB USD 90.247 ribu</v>
      </c>
      <c r="AF106" s="152" t="str">
        <f>DATA!AN100</f>
        <v>dalam proses
(memiliki FS)</v>
      </c>
      <c r="AG106" s="152" t="str">
        <f>DATA!AO100</f>
        <v>belum ada keterangan</v>
      </c>
      <c r="AH106" s="37" t="str">
        <f>DATA!AJ100</f>
        <v>FS</v>
      </c>
      <c r="AI106" s="56" t="str">
        <f>DATA!AK100</f>
        <v>-</v>
      </c>
      <c r="AJ106" s="230" t="str">
        <f>DATA!AL100</f>
        <v>-</v>
      </c>
      <c r="AK106" s="231" t="str">
        <f>DATA!AR100</f>
        <v>Nilai pinjaman di GB USD 90.247 ribu</v>
      </c>
      <c r="AL106" s="20" t="str">
        <f>DATA!AN100</f>
        <v>dalam proses
(memiliki FS)</v>
      </c>
      <c r="AM106" s="20" t="str">
        <f>DATA!AO100</f>
        <v>belum ada keterangan</v>
      </c>
      <c r="AN106" s="20" t="str">
        <f>DATA!AP100</f>
        <v>belum ada proses tender/lelang</v>
      </c>
      <c r="AO106" s="20" t="str">
        <f>DATA!AY100</f>
        <v>- Konfirmasi melalui surat Sekjen nomor KU.01.12-Sj/636 tgl 23 Oktober 2015
- MoD Fact Finding belum dapat ditandatangani dan ditentukan kemudian</v>
      </c>
      <c r="AP106" s="20" t="e">
        <f>DATA!#REF!</f>
        <v>#REF!</v>
      </c>
      <c r="AQ106" s="20">
        <f>DATA!AZ100</f>
        <v>0</v>
      </c>
      <c r="AR106" s="152" t="e">
        <f>DATA!#REF!</f>
        <v>#REF!</v>
      </c>
      <c r="AS106" s="199" t="str">
        <f>DATA!BA100</f>
        <v>Pengamanan dan konservasi pantai timur bali (sanur utara ~ candidasa) dan Pantai Kuta Utara – Legian – Seminyak dan Canggu</v>
      </c>
      <c r="AT106" s="245">
        <f>DATA!AT100</f>
        <v>150000000</v>
      </c>
      <c r="AU106" s="109" t="str">
        <f>DATA!AU100</f>
        <v>JICA</v>
      </c>
      <c r="AV106" s="246" t="str">
        <f>DATA!AW100</f>
        <v>-</v>
      </c>
    </row>
    <row r="107" spans="1:51" ht="40.5" customHeight="1">
      <c r="A107" s="10">
        <f>DATA!A101</f>
        <v>80</v>
      </c>
      <c r="B107" s="10">
        <f>DATA!B101</f>
        <v>0</v>
      </c>
      <c r="C107" s="10" t="str">
        <f>DATA!D101</f>
        <v>INFRASTRUKTUR</v>
      </c>
      <c r="D107" s="10">
        <f>DATA!E101</f>
        <v>1</v>
      </c>
      <c r="E107" s="10" t="str">
        <f>DATA!F101</f>
        <v>Kementerian Pekerjaan Umum dan Perumahan Rakyat</v>
      </c>
      <c r="F107" s="10" t="str">
        <f>DATA!H101</f>
        <v>Mitigation of Water Hazards Program</v>
      </c>
      <c r="G107" s="10" t="str">
        <f>DATA!I101</f>
        <v>K</v>
      </c>
      <c r="H107" s="10" t="str">
        <f>DATA!J101</f>
        <v>Program Mitigasi Terhadap Daya Rusak Air</v>
      </c>
      <c r="I107" s="10">
        <f>DATA!K101</f>
        <v>4</v>
      </c>
      <c r="J107" s="181"/>
      <c r="K107" s="34"/>
      <c r="L107" s="34"/>
      <c r="M107" s="36">
        <v>74</v>
      </c>
      <c r="N107" s="37" t="str">
        <f>DATA!L101</f>
        <v xml:space="preserve">Urgent Disaster Reduction of Mt. Sinabung, Mt. Semeru, Mt. Kelud Mt. Lokon, and Mt. Gamalama </v>
      </c>
      <c r="O107" s="20">
        <f>DATA!Q101</f>
        <v>1</v>
      </c>
      <c r="P107" s="20">
        <f>DATA!R101</f>
        <v>1</v>
      </c>
      <c r="Q107" s="186">
        <f>DATA!S101</f>
        <v>71</v>
      </c>
      <c r="R107" s="187">
        <f>DATA!T101</f>
        <v>260000000</v>
      </c>
      <c r="S107" s="203">
        <f>DATA!U101</f>
        <v>260000000</v>
      </c>
      <c r="T107" s="77">
        <f>DATA!V101</f>
        <v>26000000</v>
      </c>
      <c r="U107" s="77">
        <f>DATA!W101</f>
        <v>0</v>
      </c>
      <c r="V107" s="77">
        <f>DATA!X101</f>
        <v>286000000</v>
      </c>
      <c r="W107" s="78" t="str">
        <f>DATA!Y101</f>
        <v>JICA</v>
      </c>
      <c r="X107" s="20" t="str">
        <f>DATA!Z101</f>
        <v>Bilateral</v>
      </c>
      <c r="Y107" s="77">
        <f>DATA!AA101</f>
        <v>260000000</v>
      </c>
      <c r="Z107" s="77">
        <v>0</v>
      </c>
      <c r="AA107" s="216" t="str">
        <f>DATA!Y101</f>
        <v>JICA</v>
      </c>
      <c r="AB107" s="188">
        <f>DATA!AG101</f>
        <v>0</v>
      </c>
      <c r="AC107" s="20">
        <f>DATA!AH101</f>
        <v>2017</v>
      </c>
      <c r="AD107" s="37" t="str">
        <f>DATA!AI101</f>
        <v>-</v>
      </c>
      <c r="AE107" s="152" t="str">
        <f>DATA!AR101</f>
        <v>belum ada dokumen R/C</v>
      </c>
      <c r="AF107" s="152" t="str">
        <f>DATA!AN101</f>
        <v>siap</v>
      </c>
      <c r="AG107" s="152" t="str">
        <f>DATA!AO101</f>
        <v>dalam proses
(persiapan)</v>
      </c>
      <c r="AH107" s="37" t="str">
        <f>DATA!AJ101</f>
        <v>FS, DED, AMDAL</v>
      </c>
      <c r="AI107" s="56" t="str">
        <f>DATA!AK101</f>
        <v>LARAP</v>
      </c>
      <c r="AJ107" s="230" t="str">
        <f>DATA!AL101</f>
        <v>-</v>
      </c>
      <c r="AK107" s="231" t="str">
        <f>DATA!AR101</f>
        <v>belum ada dokumen R/C</v>
      </c>
      <c r="AL107" s="20" t="str">
        <f>DATA!AN101</f>
        <v>siap</v>
      </c>
      <c r="AM107" s="20" t="str">
        <f>DATA!AO101</f>
        <v>dalam proses
(persiapan)</v>
      </c>
      <c r="AN107" s="20" t="str">
        <f>DATA!AP101</f>
        <v>belum ada proses tender/lelang</v>
      </c>
      <c r="AO107" s="20" t="str">
        <f>DATA!AY101</f>
        <v>Konfirmasi melalui surat Sekjen nomor KU.01.12-Sj/636 tgl 23 Oktober 2015</v>
      </c>
      <c r="AP107" s="20" t="e">
        <f>DATA!#REF!</f>
        <v>#REF!</v>
      </c>
      <c r="AQ107" s="20">
        <f>DATA!AZ101</f>
        <v>0</v>
      </c>
      <c r="AR107" s="152" t="e">
        <f>DATA!#REF!</f>
        <v>#REF!</v>
      </c>
      <c r="AS107" s="199" t="str">
        <f>DATA!BA101</f>
        <v>Tersedianya fasilitas Sabo dan bangunan pengontrol sedimen lainnya.</v>
      </c>
      <c r="AT107" s="245">
        <f>DATA!AT101</f>
        <v>260000000</v>
      </c>
      <c r="AU107" s="109" t="str">
        <f>DATA!AU101</f>
        <v>JICA</v>
      </c>
      <c r="AV107" s="246" t="str">
        <f>DATA!AW101</f>
        <v>-</v>
      </c>
    </row>
    <row r="108" spans="1:51" ht="42.75" customHeight="1">
      <c r="A108" s="10">
        <f>DATA!A102</f>
        <v>81</v>
      </c>
      <c r="B108" s="10">
        <f>DATA!B102</f>
        <v>0</v>
      </c>
      <c r="C108" s="10" t="str">
        <f>DATA!D102</f>
        <v>INFRASTRUKTUR</v>
      </c>
      <c r="D108" s="10">
        <f>DATA!E102</f>
        <v>1</v>
      </c>
      <c r="E108" s="10" t="str">
        <f>DATA!F102</f>
        <v>Kementerian Pekerjaan Umum dan Perumahan Rakyat</v>
      </c>
      <c r="F108" s="10" t="str">
        <f>DATA!H102</f>
        <v>Mitigation of Water Hazards Program</v>
      </c>
      <c r="G108" s="10" t="str">
        <f>DATA!I102</f>
        <v>K</v>
      </c>
      <c r="H108" s="10" t="str">
        <f>DATA!J102</f>
        <v>Program Mitigasi Terhadap Daya Rusak Air</v>
      </c>
      <c r="I108" s="10">
        <f>DATA!K102</f>
        <v>5</v>
      </c>
      <c r="J108" s="181"/>
      <c r="K108" s="34"/>
      <c r="L108" s="34"/>
      <c r="M108" s="36">
        <v>75</v>
      </c>
      <c r="N108" s="37" t="str">
        <f>DATA!L102</f>
        <v xml:space="preserve">Urban Flood Control System Improvement in Selected Cities -Phase II  </v>
      </c>
      <c r="O108" s="20">
        <f>DATA!Q102</f>
        <v>1</v>
      </c>
      <c r="P108" s="20">
        <f>DATA!R102</f>
        <v>1</v>
      </c>
      <c r="Q108" s="186">
        <f>DATA!S102</f>
        <v>72</v>
      </c>
      <c r="R108" s="187">
        <f>DATA!T102</f>
        <v>120000000</v>
      </c>
      <c r="S108" s="203">
        <f>DATA!U102</f>
        <v>120000000</v>
      </c>
      <c r="T108" s="77">
        <f>DATA!V102</f>
        <v>12000000</v>
      </c>
      <c r="U108" s="77">
        <f>DATA!W102</f>
        <v>0</v>
      </c>
      <c r="V108" s="77">
        <f>DATA!X102</f>
        <v>132000000</v>
      </c>
      <c r="W108" s="78" t="str">
        <f>DATA!Y102</f>
        <v>JICA</v>
      </c>
      <c r="X108" s="20" t="str">
        <f>DATA!Z102</f>
        <v>Bilateral</v>
      </c>
      <c r="Y108" s="77">
        <f>DATA!AA102</f>
        <v>120000000</v>
      </c>
      <c r="Z108" s="77">
        <v>0</v>
      </c>
      <c r="AA108" s="216" t="str">
        <f>DATA!Y102</f>
        <v>JICA</v>
      </c>
      <c r="AB108" s="188">
        <f>DATA!AG102</f>
        <v>0</v>
      </c>
      <c r="AC108" s="20">
        <f>DATA!AH102</f>
        <v>2018</v>
      </c>
      <c r="AD108" s="37" t="str">
        <f>DATA!AI102</f>
        <v>-</v>
      </c>
      <c r="AE108" s="152" t="str">
        <f>DATA!AR102</f>
        <v>belum ada dokumen R/C</v>
      </c>
      <c r="AF108" s="152" t="str">
        <f>DATA!AN102</f>
        <v>siap</v>
      </c>
      <c r="AG108" s="152" t="str">
        <f>DATA!AO102</f>
        <v>dalam proses
(perencanaan)</v>
      </c>
      <c r="AH108" s="37" t="str">
        <f>DATA!AJ102</f>
        <v>FS, DED, AMDAL</v>
      </c>
      <c r="AI108" s="56" t="str">
        <f>DATA!AK102</f>
        <v>LARAP</v>
      </c>
      <c r="AJ108" s="230" t="str">
        <f>DATA!AL102</f>
        <v>-</v>
      </c>
      <c r="AK108" s="231" t="str">
        <f>DATA!AR102</f>
        <v>belum ada dokumen R/C</v>
      </c>
      <c r="AL108" s="20" t="str">
        <f>DATA!AN102</f>
        <v>siap</v>
      </c>
      <c r="AM108" s="20" t="str">
        <f>DATA!AO102</f>
        <v>dalam proses
(perencanaan)</v>
      </c>
      <c r="AN108" s="20" t="str">
        <f>DATA!AP102</f>
        <v>belum ada proses tender/lelang</v>
      </c>
      <c r="AO108" s="20" t="str">
        <f>DATA!AY102</f>
        <v>Konfirmasi melalui surat Sekjen nomor KU.01.12-Sj/636 tgl 23 Oktober 2015</v>
      </c>
      <c r="AP108" s="20" t="e">
        <f>DATA!#REF!</f>
        <v>#REF!</v>
      </c>
      <c r="AQ108" s="20">
        <f>DATA!AZ102</f>
        <v>0</v>
      </c>
      <c r="AR108" s="152" t="e">
        <f>DATA!#REF!</f>
        <v>#REF!</v>
      </c>
      <c r="AS108" s="199" t="str">
        <f>DATA!BA102</f>
        <v>Meningkatkan kapasitas sistem sungai dengan total panjang 4.35 km dan drainase di kota-kota untuk mengalirkan air hujan dengan pembangunan tanggul 6,5 Km</v>
      </c>
      <c r="AT108" s="245">
        <f>DATA!AT102</f>
        <v>120000000</v>
      </c>
      <c r="AU108" s="109" t="str">
        <f>DATA!AU102</f>
        <v>JICA</v>
      </c>
      <c r="AV108" s="246" t="str">
        <f>DATA!AW102</f>
        <v>-</v>
      </c>
    </row>
    <row r="109" spans="1:51" ht="46.5" customHeight="1">
      <c r="A109" s="10">
        <f>DATA!A104</f>
        <v>0</v>
      </c>
      <c r="B109" s="10">
        <f>DATA!B104</f>
        <v>0</v>
      </c>
      <c r="C109" s="10" t="str">
        <f>DATA!D104</f>
        <v>INFRASTRUKTUR</v>
      </c>
      <c r="D109" s="10">
        <f>DATA!E104</f>
        <v>1</v>
      </c>
      <c r="E109" s="10" t="str">
        <f>DATA!F104</f>
        <v>Kementerian Pekerjaan Umum dan Perumahan Rakyat</v>
      </c>
      <c r="F109" s="10" t="str">
        <f>DATA!H104</f>
        <v>Mitigation of Water Hazards Program</v>
      </c>
      <c r="G109" s="10" t="str">
        <f>DATA!I104</f>
        <v>K</v>
      </c>
      <c r="H109" s="10" t="str">
        <f>DATA!J104</f>
        <v>Program Mitigasi Terhadap Daya Rusak Air</v>
      </c>
      <c r="I109" s="10">
        <f>DATA!K104</f>
        <v>6</v>
      </c>
      <c r="J109" s="181"/>
      <c r="K109" s="34"/>
      <c r="L109" s="34"/>
      <c r="M109" s="36">
        <v>76</v>
      </c>
      <c r="N109" s="37" t="str">
        <f>DATA!L104</f>
        <v>Engineering Service for Coastal and River Development Project</v>
      </c>
      <c r="O109" s="20">
        <f>DATA!Q104</f>
        <v>1</v>
      </c>
      <c r="P109" s="20">
        <f>DATA!R104</f>
        <v>1</v>
      </c>
      <c r="Q109" s="186">
        <f>DATA!S104</f>
        <v>73</v>
      </c>
      <c r="R109" s="187">
        <f>DATA!T104</f>
        <v>50000000</v>
      </c>
      <c r="S109" s="203">
        <f>DATA!U104</f>
        <v>50000000</v>
      </c>
      <c r="T109" s="77">
        <f>DATA!V104</f>
        <v>0</v>
      </c>
      <c r="U109" s="77">
        <f>DATA!W104</f>
        <v>0</v>
      </c>
      <c r="V109" s="77">
        <f>DATA!X104</f>
        <v>50000000</v>
      </c>
      <c r="W109" s="78" t="str">
        <f>DATA!Y104</f>
        <v>ADB</v>
      </c>
      <c r="X109" s="20" t="str">
        <f>DATA!Z104</f>
        <v>Multilateral</v>
      </c>
      <c r="Y109" s="77">
        <f>DATA!AA104</f>
        <v>9620000</v>
      </c>
      <c r="Z109" s="77">
        <v>0</v>
      </c>
      <c r="AA109" s="216" t="str">
        <f>DATA!Y104</f>
        <v>ADB</v>
      </c>
      <c r="AB109" s="188">
        <f>DATA!AG104</f>
        <v>0</v>
      </c>
      <c r="AC109" s="20">
        <f>DATA!AH104</f>
        <v>2016</v>
      </c>
      <c r="AD109" s="37" t="str">
        <f>DATA!AI104</f>
        <v>- Sudah ada RC
- Green Book 2016</v>
      </c>
      <c r="AE109" s="152" t="str">
        <f>DATA!AM104</f>
        <v>2016; 2015</v>
      </c>
      <c r="AF109" s="152" t="str">
        <f>DATA!AN104</f>
        <v>siap</v>
      </c>
      <c r="AG109" s="152" t="str">
        <f>DATA!AO104</f>
        <v>tidak butuh lahan</v>
      </c>
      <c r="AH109" s="37" t="str">
        <f>DATA!AJ104</f>
        <v>FS, DED</v>
      </c>
      <c r="AI109" s="56" t="str">
        <f>DATA!AK104</f>
        <v>Tidak membutuhkan lahan</v>
      </c>
      <c r="AJ109" s="230" t="str">
        <f>DATA!AL104</f>
        <v>Belum ada tender/lelang</v>
      </c>
      <c r="AK109" s="231" t="str">
        <f>DATA!AM104</f>
        <v>2016; 2015</v>
      </c>
      <c r="AL109" s="20" t="str">
        <f>DATA!AN104</f>
        <v>siap</v>
      </c>
      <c r="AM109" s="20" t="str">
        <f>DATA!AO104</f>
        <v>tidak butuh lahan</v>
      </c>
      <c r="AN109" s="20" t="str">
        <f>DATA!AP104</f>
        <v>belum ada proses tender/lelang</v>
      </c>
      <c r="AO109"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P109" s="20" t="e">
        <f>DATA!#REF!</f>
        <v>#REF!</v>
      </c>
      <c r="AQ109" s="20">
        <f>DATA!AZ104</f>
        <v>0</v>
      </c>
      <c r="AR109" s="152" t="e">
        <f>DATA!#REF!</f>
        <v>#REF!</v>
      </c>
      <c r="AS109" s="199" t="str">
        <f>DATA!BA104</f>
        <v>Analisis rencana teknis pembangunan infrastruktur sungai di 33 balai wilayah sungai  dan pantai beserta fasilitasnya, O&amp;P dan pengadaan barang dan jasa</v>
      </c>
      <c r="AT109" s="245">
        <f>DATA!AT104</f>
        <v>9620000</v>
      </c>
      <c r="AU109" s="109" t="str">
        <f>DATA!AU104</f>
        <v>ADB</v>
      </c>
      <c r="AV109" s="246" t="str">
        <f>DATA!AW104</f>
        <v>co-financing dengan Korea (USD 10,5 juta) dan belum ada indikasi (USD 29,9 juta)</v>
      </c>
    </row>
    <row r="110" spans="1:51" ht="42.75" customHeight="1">
      <c r="A110" s="10">
        <f>DATA!A108</f>
        <v>83</v>
      </c>
      <c r="B110" s="10">
        <f>DATA!B108</f>
        <v>0</v>
      </c>
      <c r="C110" s="10" t="str">
        <f>DATA!D108</f>
        <v>INFRASTRUKTUR</v>
      </c>
      <c r="D110" s="10">
        <f>DATA!E108</f>
        <v>1</v>
      </c>
      <c r="E110" s="10" t="str">
        <f>DATA!F108</f>
        <v>Kementerian Pekerjaan Umum dan Perumahan Rakyat</v>
      </c>
      <c r="F110" s="10" t="str">
        <f>DATA!H108</f>
        <v>Mitigation of Water Hazards Program</v>
      </c>
      <c r="G110" s="10" t="str">
        <f>DATA!I108</f>
        <v>K</v>
      </c>
      <c r="H110" s="10" t="str">
        <f>DATA!J108</f>
        <v>Program Mitigasi Terhadap Daya Rusak Air</v>
      </c>
      <c r="I110" s="10">
        <f>DATA!K108</f>
        <v>7</v>
      </c>
      <c r="J110" s="181"/>
      <c r="K110" s="34"/>
      <c r="L110" s="34"/>
      <c r="M110" s="36">
        <v>77</v>
      </c>
      <c r="N110" s="37" t="str">
        <f>DATA!L108</f>
        <v>Flood Management in Selected River Basins Sector Project (Additional Financing)</v>
      </c>
      <c r="O110" s="20">
        <f>DATA!Q108</f>
        <v>1</v>
      </c>
      <c r="P110" s="20">
        <f>DATA!R108</f>
        <v>1</v>
      </c>
      <c r="Q110" s="186">
        <f>DATA!S108</f>
        <v>74</v>
      </c>
      <c r="R110" s="187">
        <f>DATA!T108</f>
        <v>200000000</v>
      </c>
      <c r="S110" s="203">
        <f>DATA!U108</f>
        <v>200000000</v>
      </c>
      <c r="T110" s="77">
        <f>DATA!V108</f>
        <v>20000000</v>
      </c>
      <c r="U110" s="77">
        <f>DATA!W108</f>
        <v>0</v>
      </c>
      <c r="V110" s="77">
        <f>DATA!X108</f>
        <v>220000000</v>
      </c>
      <c r="W110" s="78" t="str">
        <f>DATA!Y108</f>
        <v>Belum Ada Indikasi</v>
      </c>
      <c r="X110" s="20" t="str">
        <f>DATA!Z108</f>
        <v>Multilateral</v>
      </c>
      <c r="Y110" s="77">
        <v>0</v>
      </c>
      <c r="Z110" s="77">
        <f>DATA!AA108</f>
        <v>200000000</v>
      </c>
      <c r="AA110" s="216" t="str">
        <f>DATA!Y108</f>
        <v>Belum Ada Indikasi</v>
      </c>
      <c r="AB110" s="188">
        <f>DATA!AG108</f>
        <v>0</v>
      </c>
      <c r="AC110" s="20" t="str">
        <f>DATA!AH108</f>
        <v>Tanpa keterangan</v>
      </c>
      <c r="AD110" s="37" t="str">
        <f>DATA!AI108</f>
        <v>-</v>
      </c>
      <c r="AE110" s="152" t="str">
        <f>DATA!AR108</f>
        <v>belum ada dokumen R/C</v>
      </c>
      <c r="AF110" s="152" t="str">
        <f>DATA!AN108</f>
        <v>belum ada keterangan</v>
      </c>
      <c r="AG110" s="152" t="str">
        <f>DATA!AO108</f>
        <v>belum ada keterangan</v>
      </c>
      <c r="AH110" s="37" t="str">
        <f>DATA!AJ108</f>
        <v>-</v>
      </c>
      <c r="AI110" s="56" t="str">
        <f>DATA!AK108</f>
        <v>-</v>
      </c>
      <c r="AJ110" s="230" t="str">
        <f>DATA!AL108</f>
        <v>-</v>
      </c>
      <c r="AK110" s="231" t="str">
        <f>DATA!AR108</f>
        <v>belum ada dokumen R/C</v>
      </c>
      <c r="AL110" s="20" t="str">
        <f>DATA!AN108</f>
        <v>belum ada keterangan</v>
      </c>
      <c r="AM110" s="20" t="str">
        <f>DATA!AO108</f>
        <v>belum ada keterangan</v>
      </c>
      <c r="AN110" s="20" t="str">
        <f>DATA!AP108</f>
        <v>belum ada proses tender/lelang</v>
      </c>
      <c r="AO110" s="20" t="str">
        <f>DATA!AY108</f>
        <v>Konfirmasi melalui surat Sekjen nomor KU.01.12-Sj/636 tgl 23 Oktober 2015</v>
      </c>
      <c r="AP110" s="20" t="e">
        <f>DATA!#REF!</f>
        <v>#REF!</v>
      </c>
      <c r="AQ110" s="20" t="str">
        <f>DATA!AZ108</f>
        <v>untuk wilayah Banten</v>
      </c>
      <c r="AR110" s="152" t="e">
        <f>DATA!#REF!</f>
        <v>#REF!</v>
      </c>
      <c r="AS110" s="199" t="str">
        <f>DATA!BA108</f>
        <v>Meningkatkan kesiapan untuk mengelola dan memitigasi banjir melalui pendekatan pengelolaan banjir terpadu di DAS terpilih</v>
      </c>
      <c r="AT110" s="245">
        <f>DATA!AT108</f>
        <v>200000000</v>
      </c>
      <c r="AU110" s="109" t="str">
        <f>DATA!AU108</f>
        <v>ADB</v>
      </c>
      <c r="AV110" s="246" t="str">
        <f>DATA!AW108</f>
        <v>sudah masuk COBP ADB</v>
      </c>
    </row>
    <row r="111" spans="1:51" ht="36" customHeight="1">
      <c r="A111" s="10">
        <f>DATA!A109</f>
        <v>84</v>
      </c>
      <c r="B111" s="10">
        <f>DATA!B109</f>
        <v>0</v>
      </c>
      <c r="C111" s="10" t="str">
        <f>DATA!D109</f>
        <v>INFRASTRUKTUR</v>
      </c>
      <c r="D111" s="10">
        <f>DATA!E109</f>
        <v>1</v>
      </c>
      <c r="E111" s="10" t="str">
        <f>DATA!F109</f>
        <v>Kementerian Pekerjaan Umum dan Perumahan Rakyat</v>
      </c>
      <c r="F111" s="10" t="str">
        <f>DATA!H109</f>
        <v>Mitigation of Water Hazards Program</v>
      </c>
      <c r="G111" s="10" t="str">
        <f>DATA!I109</f>
        <v>K</v>
      </c>
      <c r="H111" s="10" t="str">
        <f>DATA!J109</f>
        <v>Program Mitigasi Terhadap Daya Rusak Air</v>
      </c>
      <c r="I111" s="10">
        <f>DATA!K109</f>
        <v>7</v>
      </c>
      <c r="J111" s="181"/>
      <c r="K111" s="34"/>
      <c r="L111" s="54"/>
      <c r="M111" s="36">
        <v>78</v>
      </c>
      <c r="N111" s="37" t="str">
        <f>DATA!L109</f>
        <v>Flood Management in Selected River Basins</v>
      </c>
      <c r="O111" s="20">
        <f>DATA!Q109</f>
        <v>1</v>
      </c>
      <c r="P111" s="20">
        <f>DATA!R109</f>
        <v>1</v>
      </c>
      <c r="Q111" s="186">
        <f>DATA!S109</f>
        <v>75</v>
      </c>
      <c r="R111" s="187">
        <f>DATA!T109</f>
        <v>108700000</v>
      </c>
      <c r="S111" s="203">
        <f>DATA!U109</f>
        <v>108700000</v>
      </c>
      <c r="T111" s="77">
        <f>DATA!V109</f>
        <v>50440000</v>
      </c>
      <c r="U111" s="77">
        <f>DATA!W109</f>
        <v>0</v>
      </c>
      <c r="V111" s="77">
        <f>DATA!X109</f>
        <v>159140000</v>
      </c>
      <c r="W111" s="78" t="str">
        <f>DATA!Y109</f>
        <v>ADB</v>
      </c>
      <c r="X111" s="20" t="str">
        <f>DATA!Z109</f>
        <v>Multilateral</v>
      </c>
      <c r="Y111" s="77">
        <f>DATA!AA109</f>
        <v>108700000</v>
      </c>
      <c r="Z111" s="77">
        <v>0</v>
      </c>
      <c r="AA111" s="216" t="str">
        <f>DATA!Y109</f>
        <v>ADB</v>
      </c>
      <c r="AB111" s="188">
        <f>DATA!AG109</f>
        <v>0</v>
      </c>
      <c r="AC111" s="20" t="str">
        <f>DATA!AH109</f>
        <v>Tanpa keterangan</v>
      </c>
      <c r="AD111" s="37" t="str">
        <f>DATA!AI109</f>
        <v>- Sudah ada RC
- Green Book 2015</v>
      </c>
      <c r="AE111" s="152" t="str">
        <f>DATA!AR109</f>
        <v>-</v>
      </c>
      <c r="AF111" s="152" t="str">
        <f>DATA!AN109</f>
        <v>dalam proses
(memiliki FS dan DED)</v>
      </c>
      <c r="AG111" s="152" t="str">
        <f>DATA!AO109</f>
        <v>dalam proses
(persiapan)</v>
      </c>
      <c r="AH111" s="37" t="str">
        <f>DATA!AJ109</f>
        <v>FS, DED</v>
      </c>
      <c r="AI111" s="56" t="str">
        <f>DATA!AK109</f>
        <v>- Penetapan lokasi dengan SK Gubernur Banten dan Gubernur Maluku
- Izin AMDAL dengan SK Walikota Ambon</v>
      </c>
      <c r="AJ111" s="230" t="str">
        <f>DATA!AL109</f>
        <v>Belum ada tender/lelang</v>
      </c>
      <c r="AK111" s="231" t="str">
        <f>DATA!AR109</f>
        <v>-</v>
      </c>
      <c r="AL111" s="20" t="str">
        <f>DATA!AN109</f>
        <v>dalam proses
(memiliki FS dan DED)</v>
      </c>
      <c r="AM111" s="20" t="str">
        <f>DATA!AO109</f>
        <v>dalam proses
(persiapan)</v>
      </c>
      <c r="AN111" s="20" t="str">
        <f>DATA!AP109</f>
        <v>belum ada proses tender/lelang</v>
      </c>
      <c r="AO111" s="20" t="str">
        <f>DATA!AY109</f>
        <v>Konfirmasi melalui surat Sekjen nomor KU.01.12-Sj/636 tgl 23 Oktober 2015</v>
      </c>
      <c r="AP111" s="20" t="e">
        <f>DATA!#REF!</f>
        <v>#REF!</v>
      </c>
      <c r="AQ111" s="20" t="str">
        <f>DATA!AZ109</f>
        <v>Ambon appraisal MoU 2015</v>
      </c>
      <c r="AR111" s="152" t="e">
        <f>DATA!#REF!</f>
        <v>#REF!</v>
      </c>
      <c r="AS111" s="199" t="str">
        <f>DATA!BA109</f>
        <v>Meningkatkan kesiapan untuk mengelola dan memitigasi banjir melalui pendekatan pengelolaan banjir terpadu di DAS Ciujung, DAS Batu Merah, dan DAS Way Ruhu</v>
      </c>
      <c r="AT111" s="245">
        <f>DATA!AT109</f>
        <v>108700000</v>
      </c>
      <c r="AU111" s="109" t="str">
        <f>DATA!AU109</f>
        <v>ADB</v>
      </c>
      <c r="AV111" s="246" t="str">
        <f>DATA!AW109</f>
        <v>-</v>
      </c>
    </row>
    <row r="112" spans="1:51" s="5" customFormat="1" ht="33.75" customHeight="1">
      <c r="J112" s="180"/>
      <c r="K112" s="50"/>
      <c r="L112" s="30" t="str">
        <f>DATA!I110</f>
        <v>L</v>
      </c>
      <c r="M112" s="3427" t="str">
        <f>DATA!J110</f>
        <v xml:space="preserve">Program Pengelolaan Infrastruktur Sumber Daya Air </v>
      </c>
      <c r="N112" s="3428"/>
      <c r="O112" s="31"/>
      <c r="P112" s="31"/>
      <c r="Q112" s="196"/>
      <c r="R112" s="197">
        <f>+R113+R114+R115</f>
        <v>650000000</v>
      </c>
      <c r="S112" s="198">
        <f t="shared" ref="S112:AT112" si="14">+S113+S114+S115</f>
        <v>650000000</v>
      </c>
      <c r="T112" s="81">
        <f t="shared" si="14"/>
        <v>130000000</v>
      </c>
      <c r="U112" s="81">
        <f t="shared" si="14"/>
        <v>0</v>
      </c>
      <c r="V112" s="81">
        <f t="shared" si="14"/>
        <v>780000000</v>
      </c>
      <c r="W112" s="81" t="e">
        <f t="shared" si="14"/>
        <v>#VALUE!</v>
      </c>
      <c r="X112" s="81" t="e">
        <f t="shared" si="14"/>
        <v>#VALUE!</v>
      </c>
      <c r="Y112" s="81">
        <f t="shared" si="14"/>
        <v>600000000</v>
      </c>
      <c r="Z112" s="81">
        <f t="shared" si="14"/>
        <v>50000000</v>
      </c>
      <c r="AA112" s="214"/>
      <c r="AB112" s="198">
        <f t="shared" si="14"/>
        <v>-50000000</v>
      </c>
      <c r="AC112" s="81" t="e">
        <f t="shared" si="14"/>
        <v>#VALUE!</v>
      </c>
      <c r="AD112" s="81" t="e">
        <f t="shared" si="14"/>
        <v>#VALUE!</v>
      </c>
      <c r="AE112" s="81" t="e">
        <f t="shared" si="14"/>
        <v>#VALUE!</v>
      </c>
      <c r="AF112" s="81" t="e">
        <f t="shared" si="14"/>
        <v>#VALUE!</v>
      </c>
      <c r="AG112" s="81" t="e">
        <f t="shared" si="14"/>
        <v>#VALUE!</v>
      </c>
      <c r="AH112" s="81"/>
      <c r="AI112" s="228"/>
      <c r="AJ112" s="229" t="e">
        <f t="shared" si="14"/>
        <v>#VALUE!</v>
      </c>
      <c r="AK112" s="198" t="e">
        <f t="shared" si="14"/>
        <v>#VALUE!</v>
      </c>
      <c r="AL112" s="81" t="e">
        <f t="shared" si="14"/>
        <v>#VALUE!</v>
      </c>
      <c r="AM112" s="81" t="e">
        <f t="shared" si="14"/>
        <v>#VALUE!</v>
      </c>
      <c r="AN112" s="81" t="e">
        <f t="shared" si="14"/>
        <v>#VALUE!</v>
      </c>
      <c r="AO112" s="81" t="e">
        <f t="shared" si="14"/>
        <v>#VALUE!</v>
      </c>
      <c r="AP112" s="81" t="e">
        <f t="shared" si="14"/>
        <v>#REF!</v>
      </c>
      <c r="AQ112" s="81" t="e">
        <f t="shared" si="14"/>
        <v>#VALUE!</v>
      </c>
      <c r="AR112" s="81" t="e">
        <f t="shared" si="14"/>
        <v>#REF!</v>
      </c>
      <c r="AS112" s="243" t="e">
        <f t="shared" si="14"/>
        <v>#VALUE!</v>
      </c>
      <c r="AT112" s="244">
        <f t="shared" si="14"/>
        <v>650000000</v>
      </c>
      <c r="AU112" s="81" t="s">
        <v>21</v>
      </c>
      <c r="AV112" s="229"/>
    </row>
    <row r="113" spans="1:51" ht="45.75" customHeight="1">
      <c r="A113" s="10">
        <f>DATA!A110</f>
        <v>85</v>
      </c>
      <c r="B113" s="10">
        <f>DATA!B110</f>
        <v>0</v>
      </c>
      <c r="C113" s="10" t="str">
        <f>DATA!D110</f>
        <v>INFRASTRUKTUR</v>
      </c>
      <c r="D113" s="10">
        <f>DATA!E110</f>
        <v>1</v>
      </c>
      <c r="E113" s="10" t="str">
        <f>DATA!F110</f>
        <v>Kementerian Pekerjaan Umum dan Perumahan Rakyat</v>
      </c>
      <c r="F113" s="10" t="str">
        <f>DATA!H110</f>
        <v>Management of Water Resources Infrastructure Program</v>
      </c>
      <c r="G113" s="10" t="str">
        <f>DATA!I110</f>
        <v>L</v>
      </c>
      <c r="H113" s="10" t="str">
        <f>DATA!J110</f>
        <v xml:space="preserve">Program Pengelolaan Infrastruktur Sumber Daya Air </v>
      </c>
      <c r="I113" s="10">
        <f>DATA!K110</f>
        <v>1</v>
      </c>
      <c r="J113" s="181"/>
      <c r="K113" s="34"/>
      <c r="L113" s="35"/>
      <c r="M113" s="36">
        <v>79</v>
      </c>
      <c r="N113" s="37" t="str">
        <f>DATA!L110</f>
        <v xml:space="preserve">Dam Operational Improvement and Safety Project (DOISP) - Phase II </v>
      </c>
      <c r="O113" s="20">
        <f>DATA!Q110</f>
        <v>1</v>
      </c>
      <c r="P113" s="20">
        <f>DATA!R110</f>
        <v>1</v>
      </c>
      <c r="Q113" s="186">
        <f>DATA!S110</f>
        <v>76</v>
      </c>
      <c r="R113" s="187">
        <f>DATA!T110</f>
        <v>250000000</v>
      </c>
      <c r="S113" s="203">
        <f>DATA!U110</f>
        <v>250000000</v>
      </c>
      <c r="T113" s="77">
        <f>DATA!V110</f>
        <v>50000000</v>
      </c>
      <c r="U113" s="77">
        <f>DATA!W110</f>
        <v>0</v>
      </c>
      <c r="V113" s="77">
        <f>DATA!X110</f>
        <v>300000000</v>
      </c>
      <c r="W113" s="78" t="str">
        <f>DATA!Y110</f>
        <v>Bank Dunia</v>
      </c>
      <c r="X113" s="20" t="str">
        <f>DATA!Z110</f>
        <v>Multilateral</v>
      </c>
      <c r="Y113" s="77">
        <f>DATA!AA110</f>
        <v>250000000</v>
      </c>
      <c r="Z113" s="77">
        <v>0</v>
      </c>
      <c r="AA113" s="216" t="str">
        <f>DATA!Y110</f>
        <v>Bank Dunia</v>
      </c>
      <c r="AB113" s="188">
        <f>DATA!AG110</f>
        <v>0</v>
      </c>
      <c r="AC113" s="20" t="str">
        <f>DATA!AH110</f>
        <v>Tanpa keterangan</v>
      </c>
      <c r="AD113" s="37" t="str">
        <f>DATA!AI110</f>
        <v>-</v>
      </c>
      <c r="AE113" s="152" t="str">
        <f>DATA!AR110</f>
        <v>-</v>
      </c>
      <c r="AF113" s="152" t="str">
        <f>DATA!AN110</f>
        <v>dalam proses
(memiliki FS)</v>
      </c>
      <c r="AG113" s="152" t="str">
        <f>DATA!AO110</f>
        <v>belum ada keterangan</v>
      </c>
      <c r="AH113" s="37" t="str">
        <f>DATA!AJ110</f>
        <v>FS</v>
      </c>
      <c r="AI113" s="56" t="str">
        <f>DATA!AK110</f>
        <v>-</v>
      </c>
      <c r="AJ113" s="230" t="str">
        <f>DATA!AL110</f>
        <v>-</v>
      </c>
      <c r="AK113" s="231" t="str">
        <f>DATA!AR110</f>
        <v>-</v>
      </c>
      <c r="AL113" s="20" t="str">
        <f>DATA!AN110</f>
        <v>dalam proses
(memiliki FS)</v>
      </c>
      <c r="AM113" s="20" t="str">
        <f>DATA!AO110</f>
        <v>belum ada keterangan</v>
      </c>
      <c r="AN113" s="20" t="str">
        <f>DATA!AP110</f>
        <v>belum ada proses tender/lelang</v>
      </c>
      <c r="AO113" s="20" t="str">
        <f>DATA!AY110</f>
        <v>Konfirmasi melalui surat Sekjen nomor KU.01.12-Sj/636 tgl 23 Oktober 2015</v>
      </c>
      <c r="AP113" s="20" t="e">
        <f>DATA!#REF!</f>
        <v>#REF!</v>
      </c>
      <c r="AQ113" s="20">
        <f>DATA!AZ110</f>
        <v>0</v>
      </c>
      <c r="AR113" s="152" t="e">
        <f>DATA!#REF!</f>
        <v>#REF!</v>
      </c>
      <c r="AS113" s="199" t="str">
        <f>DATA!BA110</f>
        <v>Peningkatan operasi dan keamanan 63 bendungan, peningkatan OP dan kapasitas SDM, mitigasi sedimentasi waduk, peningkatan institusi keamanan bendungan dan manajemen proyek</v>
      </c>
      <c r="AT113" s="245">
        <f>DATA!AT110</f>
        <v>250000000</v>
      </c>
      <c r="AU113" s="109" t="str">
        <f>DATA!AU110</f>
        <v>Bank Dunia</v>
      </c>
      <c r="AV113" s="246" t="str">
        <f>DATA!AW110</f>
        <v>-</v>
      </c>
    </row>
    <row r="114" spans="1:51" ht="39.75" customHeight="1">
      <c r="A114" s="10">
        <f>DATA!A113</f>
        <v>86</v>
      </c>
      <c r="B114" s="10">
        <f>DATA!B113</f>
        <v>0</v>
      </c>
      <c r="C114" s="10" t="str">
        <f>DATA!D113</f>
        <v>INFRASTRUKTUR</v>
      </c>
      <c r="D114" s="10">
        <f>DATA!E113</f>
        <v>1</v>
      </c>
      <c r="E114" s="10" t="str">
        <f>DATA!F113</f>
        <v>Kementerian Pekerjaan Umum dan Perumahan Rakyat</v>
      </c>
      <c r="F114" s="10" t="str">
        <f>DATA!H113</f>
        <v>Management of Water Resources Infrastructure Program</v>
      </c>
      <c r="G114" s="10" t="str">
        <f>DATA!I113</f>
        <v>L</v>
      </c>
      <c r="H114" s="10" t="str">
        <f>DATA!J113</f>
        <v xml:space="preserve">Program Pengelolaan Infrastruktur Sumber Daya Air </v>
      </c>
      <c r="I114" s="10">
        <f>DATA!K113</f>
        <v>2</v>
      </c>
      <c r="J114" s="181"/>
      <c r="K114" s="34"/>
      <c r="L114" s="34"/>
      <c r="M114" s="36">
        <v>80</v>
      </c>
      <c r="N114" s="37" t="str">
        <f>DATA!L113</f>
        <v xml:space="preserve">Enhanced Water Security Investment Program    </v>
      </c>
      <c r="O114" s="20">
        <f>DATA!Q113</f>
        <v>1</v>
      </c>
      <c r="P114" s="20">
        <f>DATA!R113</f>
        <v>1</v>
      </c>
      <c r="Q114" s="186">
        <f>DATA!S113</f>
        <v>77</v>
      </c>
      <c r="R114" s="187">
        <f>DATA!T113</f>
        <v>350000000</v>
      </c>
      <c r="S114" s="203">
        <f>DATA!U113</f>
        <v>350000000</v>
      </c>
      <c r="T114" s="77">
        <f>DATA!V113</f>
        <v>70000000</v>
      </c>
      <c r="U114" s="77">
        <f>DATA!W113</f>
        <v>0</v>
      </c>
      <c r="V114" s="77">
        <f>DATA!X113</f>
        <v>420000000</v>
      </c>
      <c r="W114" s="78" t="str">
        <f>DATA!Y113</f>
        <v>ADB</v>
      </c>
      <c r="X114" s="20" t="str">
        <f>DATA!Z113</f>
        <v>Multilateral</v>
      </c>
      <c r="Y114" s="77">
        <f>DATA!AA113</f>
        <v>350000000</v>
      </c>
      <c r="Z114" s="77">
        <v>0</v>
      </c>
      <c r="AA114" s="216" t="str">
        <f>DATA!Y113</f>
        <v>ADB</v>
      </c>
      <c r="AB114" s="188">
        <f>DATA!AG113</f>
        <v>0</v>
      </c>
      <c r="AC114" s="20" t="str">
        <f>DATA!AH113</f>
        <v>Tanpa keterangan</v>
      </c>
      <c r="AD114" s="37" t="str">
        <f>DATA!AI113</f>
        <v>-</v>
      </c>
      <c r="AE114" s="152" t="str">
        <f>DATA!AR113</f>
        <v>belum ada dokumen R/C</v>
      </c>
      <c r="AF114" s="152" t="str">
        <f>DATA!AN113</f>
        <v>belum ada keterangan</v>
      </c>
      <c r="AG114" s="152" t="str">
        <f>DATA!AO113</f>
        <v>belum ada keterangan</v>
      </c>
      <c r="AH114" s="37" t="str">
        <f>DATA!AJ113</f>
        <v>-</v>
      </c>
      <c r="AI114" s="56" t="str">
        <f>DATA!AK113</f>
        <v>-</v>
      </c>
      <c r="AJ114" s="230" t="str">
        <f>DATA!AL113</f>
        <v>-</v>
      </c>
      <c r="AK114" s="231" t="str">
        <f>DATA!AR113</f>
        <v>belum ada dokumen R/C</v>
      </c>
      <c r="AL114" s="20" t="str">
        <f>DATA!AN113</f>
        <v>belum ada keterangan</v>
      </c>
      <c r="AM114" s="20" t="str">
        <f>DATA!AO113</f>
        <v>belum ada keterangan</v>
      </c>
      <c r="AN114" s="20" t="str">
        <f>DATA!AP113</f>
        <v>belum ada proses tender/lelang</v>
      </c>
      <c r="AO114" s="20" t="str">
        <f>DATA!AY113</f>
        <v>Konfirmasi melalui surat Sekjen nomor KU.01.12-Sj/636 tgl 23 Oktober 2015</v>
      </c>
      <c r="AP114" s="20" t="e">
        <f>DATA!#REF!</f>
        <v>#REF!</v>
      </c>
      <c r="AQ114" s="20" t="str">
        <f>DATA!AZ113</f>
        <v>Belum ada pembicaraan dgn ADB</v>
      </c>
      <c r="AR114" s="152" t="e">
        <f>DATA!#REF!</f>
        <v>#REF!</v>
      </c>
      <c r="AS114" s="199" t="str">
        <f>DATA!BA113</f>
        <v>Peningkatan kapasitas waduk, pemanfaatan potensi bendungan untuk pembangkit listrik dan manajemen proyek</v>
      </c>
      <c r="AT114" s="245">
        <f>DATA!AT113</f>
        <v>350000000</v>
      </c>
      <c r="AU114" s="109" t="str">
        <f>DATA!AU113</f>
        <v>ADB</v>
      </c>
      <c r="AV114" s="246" t="str">
        <f>DATA!AW113</f>
        <v>-</v>
      </c>
    </row>
    <row r="115" spans="1:51" ht="44.25" customHeight="1">
      <c r="A115" s="10">
        <f>DATA!A114</f>
        <v>87</v>
      </c>
      <c r="B115" s="10">
        <f>DATA!B114</f>
        <v>0</v>
      </c>
      <c r="C115" s="10" t="str">
        <f>DATA!D114</f>
        <v>INFRASTRUKTUR</v>
      </c>
      <c r="D115" s="10">
        <f>DATA!E114</f>
        <v>1</v>
      </c>
      <c r="E115" s="10" t="str">
        <f>DATA!F114</f>
        <v>Kementerian Pekerjaan Umum dan Perumahan Rakyat</v>
      </c>
      <c r="F115" s="10" t="str">
        <f>DATA!H114</f>
        <v>Management of Water Resources Infrastructure Program</v>
      </c>
      <c r="G115" s="10" t="str">
        <f>DATA!I114</f>
        <v>L</v>
      </c>
      <c r="H115" s="10" t="str">
        <f>DATA!J114</f>
        <v xml:space="preserve">Program Pengelolaan Infrastruktur Sumber Daya Air </v>
      </c>
      <c r="I115" s="10">
        <f>DATA!K114</f>
        <v>3</v>
      </c>
      <c r="J115" s="181"/>
      <c r="K115" s="34"/>
      <c r="L115" s="54"/>
      <c r="M115" s="36">
        <v>81</v>
      </c>
      <c r="N115" s="37" t="str">
        <f>DATA!L114</f>
        <v>Engineering Service for Water Resources Infrastructure Management</v>
      </c>
      <c r="O115" s="20">
        <f>DATA!Q114</f>
        <v>1</v>
      </c>
      <c r="P115" s="20">
        <f>DATA!R114</f>
        <v>1</v>
      </c>
      <c r="Q115" s="186">
        <f>DATA!S114</f>
        <v>78</v>
      </c>
      <c r="R115" s="187">
        <f>DATA!T114</f>
        <v>50000000</v>
      </c>
      <c r="S115" s="203">
        <f>DATA!U114</f>
        <v>50000000</v>
      </c>
      <c r="T115" s="77">
        <f>DATA!V114</f>
        <v>10000000</v>
      </c>
      <c r="U115" s="77">
        <f>DATA!W114</f>
        <v>0</v>
      </c>
      <c r="V115" s="77">
        <f>DATA!X114</f>
        <v>60000000</v>
      </c>
      <c r="W115" s="78" t="str">
        <f>DATA!Y114</f>
        <v>Belum Ada Indikasi</v>
      </c>
      <c r="X115" s="20" t="str">
        <f>DATA!Z114</f>
        <v>Multilateral</v>
      </c>
      <c r="Y115" s="77">
        <v>0</v>
      </c>
      <c r="Z115" s="77">
        <f>DATA!AA114</f>
        <v>50000000</v>
      </c>
      <c r="AA115" s="216" t="str">
        <f>DATA!Y114</f>
        <v>Belum Ada Indikasi</v>
      </c>
      <c r="AB115" s="188">
        <f>DATA!AG114</f>
        <v>-50000000</v>
      </c>
      <c r="AC115" s="20" t="str">
        <f>DATA!AH114</f>
        <v>Tanpa keterangan</v>
      </c>
      <c r="AD115" s="37" t="str">
        <f>DATA!AI114</f>
        <v>-</v>
      </c>
      <c r="AE115" s="152" t="str">
        <f>DATA!AR114</f>
        <v>belum ada dokumen R/C</v>
      </c>
      <c r="AF115" s="152" t="str">
        <f>DATA!AN114</f>
        <v>siap</v>
      </c>
      <c r="AG115" s="152" t="str">
        <f>DATA!AO114</f>
        <v>tidak butuh lahan</v>
      </c>
      <c r="AH115" s="37" t="str">
        <f>DATA!AJ114</f>
        <v>-</v>
      </c>
      <c r="AI115" s="56" t="str">
        <f>DATA!AK114</f>
        <v>-</v>
      </c>
      <c r="AJ115" s="230" t="str">
        <f>DATA!AL114</f>
        <v>-</v>
      </c>
      <c r="AK115" s="231" t="str">
        <f>DATA!AR114</f>
        <v>belum ada dokumen R/C</v>
      </c>
      <c r="AL115" s="20" t="str">
        <f>DATA!AN114</f>
        <v>siap</v>
      </c>
      <c r="AM115" s="20" t="str">
        <f>DATA!AO114</f>
        <v>tidak butuh lahan</v>
      </c>
      <c r="AN115" s="20" t="str">
        <f>DATA!AP114</f>
        <v>belum ada proses tender/lelang</v>
      </c>
      <c r="AO115" s="20" t="str">
        <f>DATA!AY114</f>
        <v>Konfirmasi melalui surat Sekjen nomor KU.01.12-Sj/636 tgl 23 Oktober 2015</v>
      </c>
      <c r="AP115" s="20" t="e">
        <f>DATA!#REF!</f>
        <v>#REF!</v>
      </c>
      <c r="AQ115" s="20" t="str">
        <f>DATA!AZ114</f>
        <v>Belum ada pembicaraan dgn ADB</v>
      </c>
      <c r="AR115" s="152" t="e">
        <f>DATA!#REF!</f>
        <v>#REF!</v>
      </c>
      <c r="AS115" s="199" t="str">
        <f>DATA!BA114</f>
        <v>Engineering services dan management project untuk pengelolaan infrastruktur sumber daya air</v>
      </c>
      <c r="AT115" s="245">
        <f>DATA!AT114</f>
        <v>50000000</v>
      </c>
      <c r="AU115" s="109" t="str">
        <f>DATA!AU114</f>
        <v>ADB</v>
      </c>
      <c r="AV115" s="246" t="str">
        <f>DATA!AW114</f>
        <v>sudah masuk COBP ADB</v>
      </c>
    </row>
    <row r="116" spans="1:51" s="5" customFormat="1" ht="33.75" customHeight="1">
      <c r="J116" s="180"/>
      <c r="K116" s="50"/>
      <c r="L116" s="30" t="str">
        <f>DATA!I117</f>
        <v>M</v>
      </c>
      <c r="M116" s="31" t="str">
        <f>DATA!J117</f>
        <v>Program Penyediaaan Perumahan Bagi MBR</v>
      </c>
      <c r="N116" s="51"/>
      <c r="O116" s="31"/>
      <c r="P116" s="31"/>
      <c r="Q116" s="196"/>
      <c r="R116" s="197">
        <f>+R117</f>
        <v>300000000</v>
      </c>
      <c r="S116" s="198">
        <f t="shared" ref="S116:AV116" si="15">+S117</f>
        <v>300000000</v>
      </c>
      <c r="T116" s="81">
        <f t="shared" si="15"/>
        <v>15000000</v>
      </c>
      <c r="U116" s="81">
        <f t="shared" si="15"/>
        <v>7000000</v>
      </c>
      <c r="V116" s="81">
        <f t="shared" si="15"/>
        <v>322000000</v>
      </c>
      <c r="W116" s="81" t="str">
        <f t="shared" si="15"/>
        <v>Bank Dunia</v>
      </c>
      <c r="X116" s="81" t="str">
        <f t="shared" si="15"/>
        <v>Multilateral</v>
      </c>
      <c r="Y116" s="81">
        <f t="shared" si="15"/>
        <v>300000000</v>
      </c>
      <c r="Z116" s="81">
        <f t="shared" si="15"/>
        <v>0</v>
      </c>
      <c r="AA116" s="214"/>
      <c r="AB116" s="198">
        <f t="shared" si="15"/>
        <v>0</v>
      </c>
      <c r="AC116" s="81">
        <f t="shared" si="15"/>
        <v>2017</v>
      </c>
      <c r="AD116" s="81" t="str">
        <f t="shared" si="15"/>
        <v>Penyusunan R/C</v>
      </c>
      <c r="AE116" s="81" t="str">
        <f t="shared" si="15"/>
        <v>belum ada dokumen R/C</v>
      </c>
      <c r="AF116" s="81" t="str">
        <f t="shared" si="15"/>
        <v>belum ada keterangan</v>
      </c>
      <c r="AG116" s="81" t="str">
        <f t="shared" si="15"/>
        <v>belum ada keterangan</v>
      </c>
      <c r="AH116" s="81" t="str">
        <f t="shared" si="15"/>
        <v>-</v>
      </c>
      <c r="AI116" s="228" t="str">
        <f t="shared" si="15"/>
        <v>-</v>
      </c>
      <c r="AJ116" s="229" t="str">
        <f t="shared" si="15"/>
        <v>-</v>
      </c>
      <c r="AK116" s="198" t="str">
        <f t="shared" si="15"/>
        <v>belum ada dokumen R/C</v>
      </c>
      <c r="AL116" s="81" t="str">
        <f t="shared" si="15"/>
        <v>belum ada keterangan</v>
      </c>
      <c r="AM116" s="81" t="str">
        <f t="shared" si="15"/>
        <v>belum ada keterangan</v>
      </c>
      <c r="AN116" s="81" t="str">
        <f t="shared" si="15"/>
        <v>belum ada proses tender/lelang</v>
      </c>
      <c r="AO116" s="81" t="str">
        <f t="shared" si="15"/>
        <v>Konfirmasi melalui surat Sekjen nomor KU.01.12-Sj/636 tgl 23 Oktober 2015</v>
      </c>
      <c r="AP116" s="81" t="e">
        <f t="shared" si="15"/>
        <v>#REF!</v>
      </c>
      <c r="AQ116" s="81" t="str">
        <f t="shared" si="15"/>
        <v>Tujuan kegiatan ini adalah untuk membantu uang muka pembangunan rumah</v>
      </c>
      <c r="AR116" s="81" t="e">
        <f t="shared" si="15"/>
        <v>#REF!</v>
      </c>
      <c r="AS116" s="243" t="str">
        <f t="shared" si="15"/>
        <v>Peningkatan kapasitas lembaga pembiayaan, pengembangan sistem pembiayaan perumahan mikro, dan pengembangan  sistem pembiayaan perumahan</v>
      </c>
      <c r="AT116" s="244">
        <f t="shared" si="15"/>
        <v>0</v>
      </c>
      <c r="AU116" s="81" t="s">
        <v>21</v>
      </c>
      <c r="AV116" s="229" t="str">
        <f t="shared" si="15"/>
        <v>-</v>
      </c>
    </row>
    <row r="117" spans="1:51" ht="45.75" customHeight="1">
      <c r="A117" s="10">
        <f>DATA!A117</f>
        <v>88</v>
      </c>
      <c r="B117" s="10">
        <f>DATA!B117</f>
        <v>0</v>
      </c>
      <c r="C117" s="10" t="str">
        <f>DATA!D117</f>
        <v>INFRASTRUKTUR</v>
      </c>
      <c r="D117" s="10">
        <f>DATA!E117</f>
        <v>1</v>
      </c>
      <c r="E117" s="10" t="str">
        <f>DATA!F117</f>
        <v>Kementerian Pekerjaan Umum dan Perumahan Rakyat</v>
      </c>
      <c r="F117" s="10" t="str">
        <f>DATA!H117</f>
        <v>Program for Provision of Housing For Low-Income Households</v>
      </c>
      <c r="G117" s="10" t="str">
        <f>DATA!I117</f>
        <v>M</v>
      </c>
      <c r="H117" s="10" t="str">
        <f>DATA!J117</f>
        <v>Program Penyediaaan Perumahan Bagi MBR</v>
      </c>
      <c r="I117" s="10">
        <f>DATA!K117</f>
        <v>1</v>
      </c>
      <c r="J117" s="181"/>
      <c r="K117" s="54"/>
      <c r="L117" s="20"/>
      <c r="M117" s="36">
        <v>82</v>
      </c>
      <c r="N117" s="37" t="str">
        <f>DATA!L117</f>
        <v xml:space="preserve">Financial Support for Low Income Households </v>
      </c>
      <c r="O117" s="20">
        <f>DATA!Q117</f>
        <v>0</v>
      </c>
      <c r="P117" s="20">
        <f>DATA!R117</f>
        <v>0</v>
      </c>
      <c r="Q117" s="186">
        <f>DATA!S117</f>
        <v>79</v>
      </c>
      <c r="R117" s="187">
        <f>DATA!T117</f>
        <v>300000000</v>
      </c>
      <c r="S117" s="203">
        <f>DATA!U117</f>
        <v>300000000</v>
      </c>
      <c r="T117" s="77">
        <f>DATA!V117</f>
        <v>15000000</v>
      </c>
      <c r="U117" s="77">
        <f>DATA!W117</f>
        <v>7000000</v>
      </c>
      <c r="V117" s="77">
        <f>DATA!X117</f>
        <v>322000000</v>
      </c>
      <c r="W117" s="78" t="str">
        <f>DATA!Y117</f>
        <v>Bank Dunia</v>
      </c>
      <c r="X117" s="20" t="str">
        <f>DATA!Z117</f>
        <v>Multilateral</v>
      </c>
      <c r="Y117" s="77">
        <f>DATA!AA117</f>
        <v>300000000</v>
      </c>
      <c r="Z117" s="77">
        <v>0</v>
      </c>
      <c r="AA117" s="216" t="str">
        <f>DATA!Y117</f>
        <v>Bank Dunia</v>
      </c>
      <c r="AB117" s="188">
        <f>DATA!AG117</f>
        <v>0</v>
      </c>
      <c r="AC117" s="20">
        <f>DATA!AH117</f>
        <v>2017</v>
      </c>
      <c r="AD117" s="37" t="str">
        <f>DATA!AI117</f>
        <v>Penyusunan R/C</v>
      </c>
      <c r="AE117" s="152" t="str">
        <f>DATA!AR117</f>
        <v>belum ada dokumen R/C</v>
      </c>
      <c r="AF117" s="152" t="str">
        <f>DATA!AN117</f>
        <v>belum ada keterangan</v>
      </c>
      <c r="AG117" s="152" t="str">
        <f>DATA!AO117</f>
        <v>belum ada keterangan</v>
      </c>
      <c r="AH117" s="37" t="str">
        <f>DATA!AJ117</f>
        <v>-</v>
      </c>
      <c r="AI117" s="56" t="str">
        <f>DATA!AK117</f>
        <v>-</v>
      </c>
      <c r="AJ117" s="230" t="str">
        <f>DATA!AL117</f>
        <v>-</v>
      </c>
      <c r="AK117" s="231" t="str">
        <f>DATA!AR117</f>
        <v>belum ada dokumen R/C</v>
      </c>
      <c r="AL117" s="20" t="str">
        <f>DATA!AN117</f>
        <v>belum ada keterangan</v>
      </c>
      <c r="AM117" s="20" t="str">
        <f>DATA!AO117</f>
        <v>belum ada keterangan</v>
      </c>
      <c r="AN117" s="20" t="str">
        <f>DATA!AP117</f>
        <v>belum ada proses tender/lelang</v>
      </c>
      <c r="AO117" s="20" t="str">
        <f>DATA!AY117</f>
        <v>Konfirmasi melalui surat Sekjen nomor KU.01.12-Sj/636 tgl 23 Oktober 2015</v>
      </c>
      <c r="AP117" s="20" t="e">
        <f>DATA!#REF!</f>
        <v>#REF!</v>
      </c>
      <c r="AQ117" s="20" t="str">
        <f>DATA!AZ117</f>
        <v>Tujuan kegiatan ini adalah untuk membantu uang muka pembangunan rumah</v>
      </c>
      <c r="AR117" s="152" t="e">
        <f>DATA!#REF!</f>
        <v>#REF!</v>
      </c>
      <c r="AS117" s="199" t="str">
        <f>DATA!BA117</f>
        <v>Peningkatan kapasitas lembaga pembiayaan, pengembangan sistem pembiayaan perumahan mikro, dan pengembangan  sistem pembiayaan perumahan</v>
      </c>
      <c r="AT117" s="245">
        <f>DATA!AT117</f>
        <v>0</v>
      </c>
      <c r="AU117" s="109">
        <f>DATA!AU117</f>
        <v>0</v>
      </c>
      <c r="AV117" s="246" t="str">
        <f>DATA!AW117</f>
        <v>-</v>
      </c>
    </row>
    <row r="118" spans="1:51" s="4" customFormat="1" ht="24.95" customHeight="1">
      <c r="J118" s="250"/>
      <c r="K118" s="25">
        <f>DATA!E118</f>
        <v>2</v>
      </c>
      <c r="L118" s="108" t="str">
        <f>DATA!F118</f>
        <v>PERUMNAS</v>
      </c>
      <c r="M118" s="26"/>
      <c r="N118" s="27"/>
      <c r="O118" s="26"/>
      <c r="P118" s="26"/>
      <c r="Q118" s="193"/>
      <c r="R118" s="194">
        <f>+R119</f>
        <v>200000000</v>
      </c>
      <c r="S118" s="195">
        <f t="shared" ref="S118:AV119" si="16">+S119</f>
        <v>200000000</v>
      </c>
      <c r="T118" s="80">
        <f t="shared" si="16"/>
        <v>20000000</v>
      </c>
      <c r="U118" s="80">
        <f t="shared" si="16"/>
        <v>0</v>
      </c>
      <c r="V118" s="80">
        <f t="shared" si="16"/>
        <v>220000000</v>
      </c>
      <c r="W118" s="80" t="str">
        <f t="shared" si="16"/>
        <v>JICA</v>
      </c>
      <c r="X118" s="80" t="str">
        <f t="shared" si="16"/>
        <v>Bilateral</v>
      </c>
      <c r="Y118" s="80">
        <f t="shared" si="16"/>
        <v>200000000</v>
      </c>
      <c r="Z118" s="80">
        <f t="shared" si="16"/>
        <v>0</v>
      </c>
      <c r="AA118" s="213">
        <f t="shared" si="16"/>
        <v>0</v>
      </c>
      <c r="AB118" s="195">
        <f t="shared" si="16"/>
        <v>0</v>
      </c>
      <c r="AC118" s="80">
        <f t="shared" si="16"/>
        <v>2017</v>
      </c>
      <c r="AD118" s="80" t="str">
        <f t="shared" si="16"/>
        <v>Penyusunan R/C</v>
      </c>
      <c r="AE118" s="80" t="str">
        <f t="shared" si="16"/>
        <v>belum ada dokumen R/C</v>
      </c>
      <c r="AF118" s="80" t="str">
        <f t="shared" si="16"/>
        <v>dalam proses
(memiliki FS dan DED)</v>
      </c>
      <c r="AG118" s="80" t="str">
        <f t="shared" si="16"/>
        <v>siap</v>
      </c>
      <c r="AH118" s="80"/>
      <c r="AI118" s="226"/>
      <c r="AJ118" s="227" t="str">
        <f t="shared" si="16"/>
        <v>Mengikuti tahapan setiap project sesuai Standart Operational Procedure (SOP) Perumnas</v>
      </c>
      <c r="AK118" s="195" t="str">
        <f t="shared" si="16"/>
        <v>belum ada dokumen R/C</v>
      </c>
      <c r="AL118" s="80" t="str">
        <f t="shared" si="16"/>
        <v>dalam proses
(memiliki FS dan DED)</v>
      </c>
      <c r="AM118" s="80" t="str">
        <f t="shared" si="16"/>
        <v>siap</v>
      </c>
      <c r="AN118" s="80" t="str">
        <f t="shared" si="16"/>
        <v>belum ada proses tender/lelang</v>
      </c>
      <c r="AO118" s="80" t="str">
        <f t="shared" si="16"/>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P118" s="80" t="e">
        <f t="shared" si="16"/>
        <v>#REF!</v>
      </c>
      <c r="AQ118" s="80">
        <f t="shared" si="16"/>
        <v>0</v>
      </c>
      <c r="AR118" s="80" t="e">
        <f t="shared" si="16"/>
        <v>#REF!</v>
      </c>
      <c r="AS118" s="241" t="str">
        <f t="shared" si="16"/>
        <v>Membangun 69.784 unit rumah (35.438 unit rumah sederhana tapak dan 34.346 unit rumah susun), meremajakan 3.816 unit rumah susun, dan mengelola perumahan umum (property management)</v>
      </c>
      <c r="AT118" s="242">
        <f t="shared" si="16"/>
        <v>200000000</v>
      </c>
      <c r="AU118" s="80" t="str">
        <f t="shared" si="16"/>
        <v>-</v>
      </c>
      <c r="AV118" s="227" t="str">
        <f t="shared" si="16"/>
        <v>-</v>
      </c>
    </row>
    <row r="119" spans="1:51" s="5" customFormat="1" ht="33.75" customHeight="1">
      <c r="J119" s="180"/>
      <c r="K119" s="29"/>
      <c r="L119" s="30" t="str">
        <f>DATA!I118</f>
        <v>A</v>
      </c>
      <c r="M119" s="31" t="str">
        <f>DATA!J118</f>
        <v>Program Penyediaaan Perumahan Bagi MBR</v>
      </c>
      <c r="N119" s="51"/>
      <c r="O119" s="31"/>
      <c r="P119" s="31"/>
      <c r="Q119" s="196"/>
      <c r="R119" s="197">
        <f>+R120</f>
        <v>200000000</v>
      </c>
      <c r="S119" s="198">
        <f t="shared" si="16"/>
        <v>200000000</v>
      </c>
      <c r="T119" s="81">
        <f t="shared" si="16"/>
        <v>20000000</v>
      </c>
      <c r="U119" s="81">
        <f t="shared" si="16"/>
        <v>0</v>
      </c>
      <c r="V119" s="81">
        <f t="shared" si="16"/>
        <v>220000000</v>
      </c>
      <c r="W119" s="81" t="str">
        <f t="shared" si="16"/>
        <v>JICA</v>
      </c>
      <c r="X119" s="81" t="str">
        <f t="shared" si="16"/>
        <v>Bilateral</v>
      </c>
      <c r="Y119" s="81">
        <f t="shared" si="16"/>
        <v>200000000</v>
      </c>
      <c r="Z119" s="81">
        <f t="shared" si="16"/>
        <v>0</v>
      </c>
      <c r="AA119" s="214"/>
      <c r="AB119" s="198">
        <f t="shared" si="16"/>
        <v>0</v>
      </c>
      <c r="AC119" s="81">
        <f t="shared" si="16"/>
        <v>2017</v>
      </c>
      <c r="AD119" s="81" t="str">
        <f t="shared" si="16"/>
        <v>Penyusunan R/C</v>
      </c>
      <c r="AE119" s="81" t="str">
        <f t="shared" si="16"/>
        <v>belum ada dokumen R/C</v>
      </c>
      <c r="AF119" s="81" t="str">
        <f t="shared" si="16"/>
        <v>dalam proses
(memiliki FS dan DED)</v>
      </c>
      <c r="AG119" s="81" t="str">
        <f t="shared" si="16"/>
        <v>siap</v>
      </c>
      <c r="AH119" s="81"/>
      <c r="AI119" s="228"/>
      <c r="AJ119" s="229" t="str">
        <f t="shared" si="16"/>
        <v>Mengikuti tahapan setiap project sesuai Standart Operational Procedure (SOP) Perumnas</v>
      </c>
      <c r="AK119" s="198" t="str">
        <f t="shared" si="16"/>
        <v>belum ada dokumen R/C</v>
      </c>
      <c r="AL119" s="81" t="str">
        <f t="shared" si="16"/>
        <v>dalam proses
(memiliki FS dan DED)</v>
      </c>
      <c r="AM119" s="81" t="str">
        <f t="shared" si="16"/>
        <v>siap</v>
      </c>
      <c r="AN119" s="81" t="str">
        <f t="shared" si="16"/>
        <v>belum ada proses tender/lelang</v>
      </c>
      <c r="AO119" s="81" t="str">
        <f t="shared" si="16"/>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P119" s="81" t="e">
        <f t="shared" si="16"/>
        <v>#REF!</v>
      </c>
      <c r="AQ119" s="81">
        <f t="shared" si="16"/>
        <v>0</v>
      </c>
      <c r="AR119" s="81" t="e">
        <f t="shared" si="16"/>
        <v>#REF!</v>
      </c>
      <c r="AS119" s="243" t="str">
        <f t="shared" si="16"/>
        <v>Membangun 69.784 unit rumah (35.438 unit rumah sederhana tapak dan 34.346 unit rumah susun), meremajakan 3.816 unit rumah susun, dan mengelola perumahan umum (property management)</v>
      </c>
      <c r="AT119" s="244">
        <f t="shared" si="16"/>
        <v>200000000</v>
      </c>
      <c r="AU119" s="81" t="s">
        <v>21</v>
      </c>
      <c r="AV119" s="229" t="str">
        <f t="shared" si="16"/>
        <v>-</v>
      </c>
    </row>
    <row r="120" spans="1:51" ht="60.75" customHeight="1">
      <c r="A120" s="10">
        <f>DATA!A118</f>
        <v>89</v>
      </c>
      <c r="B120" s="10">
        <f>DATA!B118</f>
        <v>0</v>
      </c>
      <c r="C120" s="10" t="str">
        <f>DATA!D118</f>
        <v>INFRASTRUKTUR</v>
      </c>
      <c r="D120" s="10">
        <f>DATA!E118</f>
        <v>2</v>
      </c>
      <c r="E120" s="10" t="str">
        <f>DATA!F118</f>
        <v>PERUMNAS</v>
      </c>
      <c r="F120" s="10" t="str">
        <f>DATA!H118</f>
        <v>Program for Provision of Housing For Low-Income Households</v>
      </c>
      <c r="G120" s="10" t="str">
        <f>DATA!I118</f>
        <v>A</v>
      </c>
      <c r="H120" s="10" t="str">
        <f>DATA!J118</f>
        <v>Program Penyediaaan Perumahan Bagi MBR</v>
      </c>
      <c r="I120" s="10">
        <f>DATA!K118</f>
        <v>1</v>
      </c>
      <c r="J120" s="181"/>
      <c r="K120" s="54"/>
      <c r="L120" s="20"/>
      <c r="M120" s="36">
        <v>83</v>
      </c>
      <c r="N120" s="37" t="str">
        <f>DATA!L118</f>
        <v>Support for National Housing and Urban Development Cooperation</v>
      </c>
      <c r="O120" s="20">
        <f>DATA!Q118</f>
        <v>1</v>
      </c>
      <c r="P120" s="20">
        <f>DATA!R118</f>
        <v>1</v>
      </c>
      <c r="Q120" s="186">
        <f>DATA!S118</f>
        <v>80</v>
      </c>
      <c r="R120" s="187">
        <f>DATA!T118</f>
        <v>200000000</v>
      </c>
      <c r="S120" s="203">
        <f>DATA!U118</f>
        <v>200000000</v>
      </c>
      <c r="T120" s="77">
        <f>DATA!V118</f>
        <v>20000000</v>
      </c>
      <c r="U120" s="77">
        <f>DATA!W118</f>
        <v>0</v>
      </c>
      <c r="V120" s="77">
        <f>DATA!X118</f>
        <v>220000000</v>
      </c>
      <c r="W120" s="78" t="str">
        <f>DATA!Y118</f>
        <v>JICA</v>
      </c>
      <c r="X120" s="20" t="str">
        <f>DATA!Z118</f>
        <v>Bilateral</v>
      </c>
      <c r="Y120" s="77">
        <f>DATA!AA118</f>
        <v>200000000</v>
      </c>
      <c r="Z120" s="77"/>
      <c r="AA120" s="216" t="str">
        <f>DATA!Y118</f>
        <v>JICA</v>
      </c>
      <c r="AB120" s="188">
        <f>DATA!AG118</f>
        <v>0</v>
      </c>
      <c r="AC120" s="20">
        <f>DATA!AH118</f>
        <v>2017</v>
      </c>
      <c r="AD120" s="37" t="str">
        <f>DATA!AI118</f>
        <v>Penyusunan R/C</v>
      </c>
      <c r="AE120" s="152" t="str">
        <f>DATA!AR118</f>
        <v>belum ada dokumen R/C</v>
      </c>
      <c r="AF120" s="152" t="str">
        <f>DATA!AN118</f>
        <v>dalam proses
(memiliki FS dan DED)</v>
      </c>
      <c r="AG120" s="152" t="str">
        <f>DATA!AO118</f>
        <v>siap</v>
      </c>
      <c r="AH120" s="37" t="str">
        <f>DATA!AJ118</f>
        <v>FS, DED</v>
      </c>
      <c r="AI120" s="56" t="str">
        <f>DATA!AK118</f>
        <v>100% (lahan milik PERUMNAS)</v>
      </c>
      <c r="AJ120" s="230" t="str">
        <f>DATA!AL118</f>
        <v>Mengikuti tahapan setiap project sesuai Standart Operational Procedure (SOP) Perumnas</v>
      </c>
      <c r="AK120" s="231" t="str">
        <f>DATA!AR118</f>
        <v>belum ada dokumen R/C</v>
      </c>
      <c r="AL120" s="20" t="str">
        <f>DATA!AN118</f>
        <v>dalam proses
(memiliki FS dan DED)</v>
      </c>
      <c r="AM120" s="20" t="str">
        <f>DATA!AO118</f>
        <v>siap</v>
      </c>
      <c r="AN120" s="20" t="str">
        <f>DATA!AP118</f>
        <v>belum ada proses tender/lelang</v>
      </c>
      <c r="AO120"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P120" s="20" t="e">
        <f>DATA!#REF!</f>
        <v>#REF!</v>
      </c>
      <c r="AQ120" s="20">
        <f>DATA!AZ118</f>
        <v>0</v>
      </c>
      <c r="AR120" s="152" t="e">
        <f>DATA!#REF!</f>
        <v>#REF!</v>
      </c>
      <c r="AS120" s="199" t="str">
        <f>DATA!BA118</f>
        <v>Membangun 69.784 unit rumah (35.438 unit rumah sederhana tapak dan 34.346 unit rumah susun), meremajakan 3.816 unit rumah susun, dan mengelola perumahan umum (property management)</v>
      </c>
      <c r="AT120" s="245">
        <f>DATA!AT118</f>
        <v>200000000</v>
      </c>
      <c r="AU120" s="109" t="str">
        <f>DATA!AU118</f>
        <v>JICA</v>
      </c>
      <c r="AV120" s="246" t="str">
        <f>DATA!AW118</f>
        <v>-</v>
      </c>
    </row>
    <row r="121" spans="1:51" s="4" customFormat="1" ht="24.95" customHeight="1">
      <c r="J121" s="250"/>
      <c r="K121" s="25">
        <f>DATA!E119</f>
        <v>3</v>
      </c>
      <c r="L121" s="108" t="str">
        <f>DATA!F119</f>
        <v>Kementerian Perhubungan</v>
      </c>
      <c r="M121" s="25"/>
      <c r="N121" s="27"/>
      <c r="O121" s="26"/>
      <c r="P121" s="26"/>
      <c r="Q121" s="193"/>
      <c r="R121" s="194">
        <f>+R122</f>
        <v>5765336700</v>
      </c>
      <c r="S121" s="195">
        <f t="shared" ref="S121:AT121" si="17">+S122</f>
        <v>5765336700</v>
      </c>
      <c r="T121" s="80">
        <f t="shared" si="17"/>
        <v>647453200</v>
      </c>
      <c r="U121" s="80">
        <f t="shared" si="17"/>
        <v>0</v>
      </c>
      <c r="V121" s="80">
        <f t="shared" si="17"/>
        <v>6412789900</v>
      </c>
      <c r="W121" s="80" t="e">
        <f t="shared" si="17"/>
        <v>#VALUE!</v>
      </c>
      <c r="X121" s="80" t="e">
        <f t="shared" si="17"/>
        <v>#VALUE!</v>
      </c>
      <c r="Y121" s="80">
        <f t="shared" si="17"/>
        <v>5473000000</v>
      </c>
      <c r="Z121" s="80">
        <f t="shared" si="17"/>
        <v>292336700</v>
      </c>
      <c r="AA121" s="213"/>
      <c r="AB121" s="195">
        <f t="shared" si="17"/>
        <v>0</v>
      </c>
      <c r="AC121" s="80">
        <f t="shared" si="17"/>
        <v>10081</v>
      </c>
      <c r="AD121" s="80" t="e">
        <f t="shared" si="17"/>
        <v>#VALUE!</v>
      </c>
      <c r="AE121" s="80" t="e">
        <f t="shared" si="17"/>
        <v>#VALUE!</v>
      </c>
      <c r="AF121" s="80" t="e">
        <f t="shared" si="17"/>
        <v>#VALUE!</v>
      </c>
      <c r="AG121" s="80" t="e">
        <f t="shared" si="17"/>
        <v>#VALUE!</v>
      </c>
      <c r="AH121" s="80"/>
      <c r="AI121" s="226"/>
      <c r="AJ121" s="227" t="e">
        <f t="shared" si="17"/>
        <v>#VALUE!</v>
      </c>
      <c r="AK121" s="195" t="e">
        <f t="shared" si="17"/>
        <v>#VALUE!</v>
      </c>
      <c r="AL121" s="80" t="e">
        <f t="shared" si="17"/>
        <v>#VALUE!</v>
      </c>
      <c r="AM121" s="80" t="e">
        <f t="shared" si="17"/>
        <v>#VALUE!</v>
      </c>
      <c r="AN121" s="80" t="e">
        <f t="shared" si="17"/>
        <v>#VALUE!</v>
      </c>
      <c r="AO121" s="80" t="e">
        <f t="shared" si="17"/>
        <v>#VALUE!</v>
      </c>
      <c r="AP121" s="80" t="e">
        <f t="shared" si="17"/>
        <v>#REF!</v>
      </c>
      <c r="AQ121" s="80">
        <f t="shared" si="17"/>
        <v>0</v>
      </c>
      <c r="AR121" s="80" t="e">
        <f t="shared" si="17"/>
        <v>#REF!</v>
      </c>
      <c r="AS121" s="241" t="e">
        <f t="shared" si="17"/>
        <v>#VALUE!</v>
      </c>
      <c r="AT121" s="242">
        <f t="shared" si="17"/>
        <v>5765336700</v>
      </c>
      <c r="AU121" s="80" t="s">
        <v>21</v>
      </c>
      <c r="AV121" s="227"/>
    </row>
    <row r="122" spans="1:51" s="5" customFormat="1" ht="33.75" customHeight="1">
      <c r="J122" s="180"/>
      <c r="K122" s="29"/>
      <c r="L122" s="30" t="str">
        <f>DATA!I119</f>
        <v>A</v>
      </c>
      <c r="M122" s="31" t="str">
        <f>DATA!J119</f>
        <v>Program Pengembangan Perkeretaapian</v>
      </c>
      <c r="N122" s="51"/>
      <c r="O122" s="31"/>
      <c r="P122" s="31"/>
      <c r="Q122" s="196"/>
      <c r="R122" s="197">
        <f>R123+R124+R125+R126+R127</f>
        <v>5765336700</v>
      </c>
      <c r="S122" s="198">
        <f t="shared" ref="S122:AT122" si="18">S123+S124+S125+S126+S127</f>
        <v>5765336700</v>
      </c>
      <c r="T122" s="81">
        <f t="shared" si="18"/>
        <v>647453200</v>
      </c>
      <c r="U122" s="81">
        <f t="shared" si="18"/>
        <v>0</v>
      </c>
      <c r="V122" s="81">
        <f t="shared" si="18"/>
        <v>6412789900</v>
      </c>
      <c r="W122" s="81" t="e">
        <f t="shared" si="18"/>
        <v>#VALUE!</v>
      </c>
      <c r="X122" s="81" t="e">
        <f t="shared" si="18"/>
        <v>#VALUE!</v>
      </c>
      <c r="Y122" s="81">
        <f t="shared" si="18"/>
        <v>5473000000</v>
      </c>
      <c r="Z122" s="81">
        <f t="shared" si="18"/>
        <v>292336700</v>
      </c>
      <c r="AA122" s="214"/>
      <c r="AB122" s="198">
        <f t="shared" si="18"/>
        <v>0</v>
      </c>
      <c r="AC122" s="81">
        <f t="shared" si="18"/>
        <v>10081</v>
      </c>
      <c r="AD122" s="81" t="e">
        <f t="shared" si="18"/>
        <v>#VALUE!</v>
      </c>
      <c r="AE122" s="81" t="e">
        <f t="shared" si="18"/>
        <v>#VALUE!</v>
      </c>
      <c r="AF122" s="81" t="e">
        <f t="shared" si="18"/>
        <v>#VALUE!</v>
      </c>
      <c r="AG122" s="81" t="e">
        <f t="shared" si="18"/>
        <v>#VALUE!</v>
      </c>
      <c r="AH122" s="81"/>
      <c r="AI122" s="228"/>
      <c r="AJ122" s="229" t="e">
        <f t="shared" si="18"/>
        <v>#VALUE!</v>
      </c>
      <c r="AK122" s="198" t="e">
        <f t="shared" si="18"/>
        <v>#VALUE!</v>
      </c>
      <c r="AL122" s="81" t="e">
        <f t="shared" si="18"/>
        <v>#VALUE!</v>
      </c>
      <c r="AM122" s="81" t="e">
        <f t="shared" si="18"/>
        <v>#VALUE!</v>
      </c>
      <c r="AN122" s="81" t="e">
        <f t="shared" si="18"/>
        <v>#VALUE!</v>
      </c>
      <c r="AO122" s="81" t="e">
        <f t="shared" si="18"/>
        <v>#VALUE!</v>
      </c>
      <c r="AP122" s="81" t="e">
        <f t="shared" si="18"/>
        <v>#REF!</v>
      </c>
      <c r="AQ122" s="81">
        <f t="shared" si="18"/>
        <v>0</v>
      </c>
      <c r="AR122" s="81" t="e">
        <f t="shared" si="18"/>
        <v>#REF!</v>
      </c>
      <c r="AS122" s="243" t="e">
        <f t="shared" si="18"/>
        <v>#VALUE!</v>
      </c>
      <c r="AT122" s="244">
        <f t="shared" si="18"/>
        <v>5765336700</v>
      </c>
      <c r="AU122" s="81" t="s">
        <v>21</v>
      </c>
      <c r="AV122" s="229"/>
      <c r="AY122" s="253">
        <f>Y122+Z122</f>
        <v>5765336700</v>
      </c>
    </row>
    <row r="123" spans="1:51" ht="49.5" customHeight="1">
      <c r="A123" s="10">
        <f>DATA!A120</f>
        <v>91</v>
      </c>
      <c r="B123" s="10">
        <f>DATA!B120</f>
        <v>0</v>
      </c>
      <c r="C123" s="10" t="str">
        <f>DATA!D120</f>
        <v>INFRASTRUKTUR</v>
      </c>
      <c r="D123" s="10">
        <f>DATA!E120</f>
        <v>3</v>
      </c>
      <c r="E123" s="10" t="str">
        <f>DATA!F120</f>
        <v>Kementerian Perhubungan</v>
      </c>
      <c r="F123" s="10" t="str">
        <f>DATA!H120</f>
        <v>Railway Development Program</v>
      </c>
      <c r="G123" s="10" t="str">
        <f>DATA!I120</f>
        <v>A</v>
      </c>
      <c r="H123" s="10" t="str">
        <f>DATA!J120</f>
        <v>Program Pengembangan Perkeretaapian</v>
      </c>
      <c r="I123" s="10">
        <f>DATA!K120</f>
        <v>1</v>
      </c>
      <c r="J123" s="181"/>
      <c r="K123" s="34"/>
      <c r="L123" s="34"/>
      <c r="M123" s="172">
        <v>84</v>
      </c>
      <c r="N123" s="37" t="str">
        <f>DATA!L120</f>
        <v>Procurement of Track Material and Turn Out - Phase II</v>
      </c>
      <c r="O123" s="20">
        <f>DATA!Q120</f>
        <v>1</v>
      </c>
      <c r="P123" s="20">
        <f>DATA!R120</f>
        <v>1</v>
      </c>
      <c r="Q123" s="186">
        <f>DATA!S120</f>
        <v>81</v>
      </c>
      <c r="R123" s="187">
        <f>DATA!T120</f>
        <v>200000000</v>
      </c>
      <c r="S123" s="203">
        <f>DATA!U120</f>
        <v>200000000</v>
      </c>
      <c r="T123" s="77">
        <f>DATA!V120</f>
        <v>46369000</v>
      </c>
      <c r="U123" s="77">
        <f>DATA!W120</f>
        <v>0</v>
      </c>
      <c r="V123" s="77">
        <f>DATA!X120</f>
        <v>246369000</v>
      </c>
      <c r="W123" s="78" t="str">
        <f>DATA!Y120</f>
        <v>RRT</v>
      </c>
      <c r="X123" s="20" t="str">
        <f>DATA!Z120</f>
        <v>Bilateral</v>
      </c>
      <c r="Y123" s="77">
        <f>DATA!AA120</f>
        <v>200000000</v>
      </c>
      <c r="Z123" s="77">
        <v>0</v>
      </c>
      <c r="AA123" s="216" t="str">
        <f>DATA!Y120</f>
        <v>RRT</v>
      </c>
      <c r="AB123" s="188">
        <f>DATA!AG120</f>
        <v>0</v>
      </c>
      <c r="AC123" s="20">
        <f>DATA!AH120</f>
        <v>2016</v>
      </c>
      <c r="AD123" s="37" t="str">
        <f>DATA!AI120</f>
        <v>- Sudah ada R/C
- Green Book 2015
- Proses E/N dan LA
- Dalam proses persiapan penandatanganan Loan Agreement</v>
      </c>
      <c r="AE123" s="152" t="str">
        <f>DATA!AR120</f>
        <v>Nilai pinjaman di:
- GB 16 USD 175.056 ribu
- GB 15 USD 185.470 ribu</v>
      </c>
      <c r="AF123" s="152" t="str">
        <f>DATA!AN120</f>
        <v>dalam proses</v>
      </c>
      <c r="AG123" s="152" t="str">
        <f>DATA!AO120</f>
        <v>tidak butuh lahan</v>
      </c>
      <c r="AH123" s="37" t="str">
        <f>DATA!AJ120</f>
        <v>- TOR
- RAB</v>
      </c>
      <c r="AI123" s="56" t="str">
        <f>DATA!AK120</f>
        <v xml:space="preserve">Tidak butuh pengadaan lahan </v>
      </c>
      <c r="AJ123" s="230" t="str">
        <f>DATA!AL120</f>
        <v>Proses persetujuan draft kontrak oleh Menteri Perhubungan</v>
      </c>
      <c r="AK123" s="231" t="str">
        <f>DATA!AR120</f>
        <v>Nilai pinjaman di:
- GB 16 USD 175.056 ribu
- GB 15 USD 185.470 ribu</v>
      </c>
      <c r="AL123" s="20" t="str">
        <f>DATA!AN120</f>
        <v>dalam proses</v>
      </c>
      <c r="AM123" s="20" t="str">
        <f>DATA!AO120</f>
        <v>tidak butuh lahan</v>
      </c>
      <c r="AN123" s="20" t="str">
        <f>DATA!AP120</f>
        <v>belum ada proses tender/lelang</v>
      </c>
      <c r="AO123" s="20" t="str">
        <f>DATA!AY120</f>
        <v>Surat Kepala Biro Perencanaan nomor 548/BI/SRT/IX/2015 tgl 10 September 2015</v>
      </c>
      <c r="AP123" s="20" t="e">
        <f>DATA!#REF!</f>
        <v>#REF!</v>
      </c>
      <c r="AQ123" s="20">
        <f>DATA!AZ120</f>
        <v>0</v>
      </c>
      <c r="AR123" s="152" t="e">
        <f>DATA!#REF!</f>
        <v>#REF!</v>
      </c>
      <c r="AS123" s="199" t="str">
        <f>DATA!BA120</f>
        <v>Pengadaan 1.500 km track material tipe UIC-54 dan pengadaan 300 unit wesel</v>
      </c>
      <c r="AT123" s="245">
        <f>DATA!AT120</f>
        <v>200000000</v>
      </c>
      <c r="AU123" s="109" t="str">
        <f>DATA!AU120</f>
        <v>RRT</v>
      </c>
      <c r="AV123" s="246" t="str">
        <f>DATA!AW120</f>
        <v>sudah kontrak</v>
      </c>
    </row>
    <row r="124" spans="1:51" ht="48" customHeight="1">
      <c r="A124" s="10">
        <f>DATA!A121</f>
        <v>92</v>
      </c>
      <c r="B124" s="10">
        <f>DATA!B121</f>
        <v>0</v>
      </c>
      <c r="C124" s="10" t="str">
        <f>DATA!D121</f>
        <v>INFRASTRUKTUR</v>
      </c>
      <c r="D124" s="10">
        <f>DATA!E121</f>
        <v>3</v>
      </c>
      <c r="E124" s="10" t="str">
        <f>DATA!F121</f>
        <v>Kementerian Perhubungan</v>
      </c>
      <c r="F124" s="10" t="str">
        <f>DATA!H121</f>
        <v>Railway Development Program</v>
      </c>
      <c r="G124" s="10" t="str">
        <f>DATA!I121</f>
        <v>A</v>
      </c>
      <c r="H124" s="10" t="str">
        <f>DATA!J121</f>
        <v>Program Pengembangan Perkeretaapian</v>
      </c>
      <c r="I124" s="10">
        <f>DATA!K121</f>
        <v>1</v>
      </c>
      <c r="J124" s="181"/>
      <c r="K124" s="34"/>
      <c r="L124" s="34"/>
      <c r="M124" s="172">
        <v>85</v>
      </c>
      <c r="N124" s="37" t="str">
        <f>DATA!L121</f>
        <v>Procurement of Track Material and Turn Out - Phase III</v>
      </c>
      <c r="O124" s="20">
        <f>DATA!Q121</f>
        <v>1</v>
      </c>
      <c r="P124" s="20">
        <f>DATA!R121</f>
        <v>1</v>
      </c>
      <c r="Q124" s="186">
        <f>DATA!S121</f>
        <v>82</v>
      </c>
      <c r="R124" s="187">
        <f>DATA!T121</f>
        <v>292336700</v>
      </c>
      <c r="S124" s="203">
        <f>DATA!U121</f>
        <v>292336700</v>
      </c>
      <c r="T124" s="77">
        <f>DATA!V121</f>
        <v>73084200</v>
      </c>
      <c r="U124" s="77">
        <f>DATA!W121</f>
        <v>0</v>
      </c>
      <c r="V124" s="77">
        <f>DATA!X121</f>
        <v>365420900</v>
      </c>
      <c r="W124" s="78" t="str">
        <f>DATA!Y121</f>
        <v>Belum Ada Indikasi</v>
      </c>
      <c r="X124" s="20" t="str">
        <f>DATA!Z121</f>
        <v>Belum Ada Indikasi</v>
      </c>
      <c r="Y124" s="77">
        <v>0</v>
      </c>
      <c r="Z124" s="77">
        <f>DATA!AA121</f>
        <v>292336700</v>
      </c>
      <c r="AA124" s="216" t="str">
        <f>DATA!Y121</f>
        <v>Belum Ada Indikasi</v>
      </c>
      <c r="AB124" s="188">
        <f>DATA!AG121</f>
        <v>0</v>
      </c>
      <c r="AC124" s="20">
        <f>DATA!AH121</f>
        <v>2016</v>
      </c>
      <c r="AD124" s="37" t="str">
        <f>DATA!AI121</f>
        <v>-</v>
      </c>
      <c r="AE124" s="152" t="str">
        <f>DATA!AR121</f>
        <v>belum ada dokumen R/C</v>
      </c>
      <c r="AF124" s="152" t="str">
        <f>DATA!AN121</f>
        <v>belum ada keterangan</v>
      </c>
      <c r="AG124" s="152" t="str">
        <f>DATA!AO121</f>
        <v>tidak butuh lahan</v>
      </c>
      <c r="AH124" s="37" t="str">
        <f>DATA!AJ121</f>
        <v>-</v>
      </c>
      <c r="AI124" s="56" t="str">
        <f>DATA!AK121</f>
        <v xml:space="preserve">Tidak butuh pengadaan lahan </v>
      </c>
      <c r="AJ124" s="230" t="str">
        <f>DATA!AL121</f>
        <v>-</v>
      </c>
      <c r="AK124" s="231" t="str">
        <f>DATA!AR121</f>
        <v>belum ada dokumen R/C</v>
      </c>
      <c r="AL124" s="20" t="str">
        <f>DATA!AN121</f>
        <v>belum ada keterangan</v>
      </c>
      <c r="AM124" s="20" t="str">
        <f>DATA!AO121</f>
        <v>tidak butuh lahan</v>
      </c>
      <c r="AN124" s="20" t="str">
        <f>DATA!AP121</f>
        <v>belum ada proses tender/lelang</v>
      </c>
      <c r="AO124" s="20" t="str">
        <f>DATA!AY121</f>
        <v xml:space="preserve">- Menunggu kepastian Lender
- Surat Kepala Biro Perencanaan nomor 548/BI/SRT/IX/2015 tgl 10 September 2015
</v>
      </c>
      <c r="AP124" s="20" t="e">
        <f>DATA!#REF!</f>
        <v>#REF!</v>
      </c>
      <c r="AQ124" s="20">
        <f>DATA!AZ121</f>
        <v>0</v>
      </c>
      <c r="AR124" s="152" t="e">
        <f>DATA!#REF!</f>
        <v>#REF!</v>
      </c>
      <c r="AS124" s="199" t="str">
        <f>DATA!BA121</f>
        <v>Pengadaan 3.000 km track material tipe R 60 dan pengadaan 350 unit wesel</v>
      </c>
      <c r="AT124" s="245">
        <f>DATA!AT121</f>
        <v>292336700</v>
      </c>
      <c r="AU124" s="109" t="str">
        <f>DATA!AU121</f>
        <v>AIIB</v>
      </c>
      <c r="AV124" s="246" t="str">
        <f>DATA!AW121</f>
        <v>- usulan K/L semula lender: Belum Ada Indikasi
- usulan Dit.Multilateral, diusulkan kepada AIIB.</v>
      </c>
    </row>
    <row r="125" spans="1:51" ht="56.25" customHeight="1">
      <c r="A125" s="10">
        <f>DATA!A123</f>
        <v>93</v>
      </c>
      <c r="B125" s="10">
        <f>DATA!B123</f>
        <v>0</v>
      </c>
      <c r="C125" s="10" t="str">
        <f>DATA!D123</f>
        <v>INFRASTRUKTUR</v>
      </c>
      <c r="D125" s="10">
        <f>DATA!E123</f>
        <v>3</v>
      </c>
      <c r="E125" s="10" t="str">
        <f>DATA!F123</f>
        <v>Kementerian Perhubungan</v>
      </c>
      <c r="F125" s="10" t="str">
        <f>DATA!H123</f>
        <v>Railway Development Program</v>
      </c>
      <c r="G125" s="10" t="str">
        <f>DATA!I123</f>
        <v>A</v>
      </c>
      <c r="H125" s="10" t="str">
        <f>DATA!J123</f>
        <v>Program Pengembangan Perkeretaapian</v>
      </c>
      <c r="I125" s="10">
        <f>DATA!K123</f>
        <v>2</v>
      </c>
      <c r="J125" s="181"/>
      <c r="K125" s="34"/>
      <c r="L125" s="34"/>
      <c r="M125" s="172">
        <v>86</v>
      </c>
      <c r="N125" s="37" t="str">
        <f>DATA!L123</f>
        <v xml:space="preserve">Construction of Jakarta Mass Rapid Transit Project - Phase II </v>
      </c>
      <c r="O125" s="20">
        <f>DATA!Q123</f>
        <v>1</v>
      </c>
      <c r="P125" s="20">
        <f>DATA!R123</f>
        <v>1</v>
      </c>
      <c r="Q125" s="186">
        <f>DATA!S123</f>
        <v>83</v>
      </c>
      <c r="R125" s="187">
        <f>DATA!T123</f>
        <v>1678000000</v>
      </c>
      <c r="S125" s="203">
        <f>DATA!U123</f>
        <v>1678000000</v>
      </c>
      <c r="T125" s="77">
        <f>DATA!V123</f>
        <v>167800000</v>
      </c>
      <c r="U125" s="77">
        <f>DATA!W123</f>
        <v>0</v>
      </c>
      <c r="V125" s="77">
        <f>DATA!X123</f>
        <v>1845800000</v>
      </c>
      <c r="W125" s="78" t="str">
        <f>DATA!Y123</f>
        <v>JICA</v>
      </c>
      <c r="X125" s="20" t="str">
        <f>DATA!Z123</f>
        <v>Bilateral</v>
      </c>
      <c r="Y125" s="77">
        <f>DATA!AA123</f>
        <v>1678000000</v>
      </c>
      <c r="Z125" s="77">
        <v>0</v>
      </c>
      <c r="AA125" s="216" t="str">
        <f>DATA!Y123</f>
        <v>JICA</v>
      </c>
      <c r="AB125" s="188">
        <f>DATA!AG123</f>
        <v>0</v>
      </c>
      <c r="AC125" s="20">
        <f>DATA!AH123</f>
        <v>2016</v>
      </c>
      <c r="AD125" s="37" t="str">
        <f>DATA!AI123</f>
        <v>-</v>
      </c>
      <c r="AE125" s="152" t="str">
        <f>DATA!AR123</f>
        <v>belum ada dokumen R/C</v>
      </c>
      <c r="AF125" s="152" t="str">
        <f>DATA!AN123</f>
        <v>dalam proses
(memiliki FS)</v>
      </c>
      <c r="AG125" s="152" t="str">
        <f>DATA!AO123</f>
        <v>dalam proses
(perencanaan)</v>
      </c>
      <c r="AH125" s="37" t="str">
        <f>DATA!AJ123</f>
        <v>- FS
- TOR (Disusun oleh Pemda DKI Jakarta)
-  RAB (Disusun oleh Pemda DKI Jakarta)</v>
      </c>
      <c r="AI125" s="56" t="str">
        <f>DATA!AK123</f>
        <v>Indikasi kebutuhan lahan menunggu hasil desain</v>
      </c>
      <c r="AJ125" s="230" t="str">
        <f>DATA!AL123</f>
        <v>- Dilaksanakan oleh Pemda DKI Jakarta (Implementing Agency)</v>
      </c>
      <c r="AK125" s="231" t="str">
        <f>DATA!AR123</f>
        <v>belum ada dokumen R/C</v>
      </c>
      <c r="AL125" s="20" t="str">
        <f>DATA!AN123</f>
        <v>dalam proses
(memiliki FS)</v>
      </c>
      <c r="AM125" s="20" t="str">
        <f>DATA!AO123</f>
        <v>dalam proses
(perencanaan)</v>
      </c>
      <c r="AN125" s="20" t="str">
        <f>DATA!AP123</f>
        <v>belum ada proses tender/lelang</v>
      </c>
      <c r="AO125" s="20" t="str">
        <f>DATA!AY123</f>
        <v>Surat Kepala Biro Perencanaan nomor 548/BI/SRT/IX/2015 tgl 10 September 2015</v>
      </c>
      <c r="AP125" s="20" t="e">
        <f>DATA!#REF!</f>
        <v>#REF!</v>
      </c>
      <c r="AQ125" s="20">
        <f>DATA!AZ123</f>
        <v>0</v>
      </c>
      <c r="AR125" s="152" t="e">
        <f>DATA!#REF!</f>
        <v>#REF!</v>
      </c>
      <c r="AS125" s="199" t="str">
        <f>DATA!BA123</f>
        <v>Terbangunnya jaringan MRT dari bundaran HI ke Kampung Bandan</v>
      </c>
      <c r="AT125" s="245">
        <f>DATA!AT123</f>
        <v>1678000000</v>
      </c>
      <c r="AU125" s="109" t="str">
        <f>DATA!AU123</f>
        <v>JICA</v>
      </c>
      <c r="AV125" s="246" t="str">
        <f>DATA!AW123</f>
        <v>Belum proses</v>
      </c>
    </row>
    <row r="126" spans="1:51" ht="47.25" customHeight="1">
      <c r="A126" s="10">
        <f>DATA!A124</f>
        <v>94</v>
      </c>
      <c r="B126" s="10">
        <f>DATA!B124</f>
        <v>0</v>
      </c>
      <c r="C126" s="10" t="str">
        <f>DATA!D124</f>
        <v>INFRASTRUKTUR</v>
      </c>
      <c r="D126" s="10">
        <f>DATA!E124</f>
        <v>3</v>
      </c>
      <c r="E126" s="10" t="str">
        <f>DATA!F124</f>
        <v>Kementerian Perhubungan</v>
      </c>
      <c r="F126" s="10" t="str">
        <f>DATA!H124</f>
        <v>Railway Development Program</v>
      </c>
      <c r="G126" s="10" t="str">
        <f>DATA!I124</f>
        <v>A</v>
      </c>
      <c r="H126" s="10" t="str">
        <f>DATA!J124</f>
        <v>Program Pengembangan Perkeretaapian</v>
      </c>
      <c r="I126" s="10">
        <f>DATA!K124</f>
        <v>3</v>
      </c>
      <c r="J126" s="181"/>
      <c r="K126" s="34"/>
      <c r="L126" s="34"/>
      <c r="M126" s="172">
        <v>87</v>
      </c>
      <c r="N126" s="37" t="str">
        <f>DATA!L124</f>
        <v>Construction of Jakarta Mass Rapid Transit East-West Line Project - Phase I</v>
      </c>
      <c r="O126" s="20">
        <f>DATA!Q124</f>
        <v>1</v>
      </c>
      <c r="P126" s="20">
        <f>DATA!R124</f>
        <v>1</v>
      </c>
      <c r="Q126" s="186">
        <f>DATA!S124</f>
        <v>84</v>
      </c>
      <c r="R126" s="187">
        <f>DATA!T124</f>
        <v>3572000000</v>
      </c>
      <c r="S126" s="203">
        <f>DATA!U124</f>
        <v>3572000000</v>
      </c>
      <c r="T126" s="77">
        <f>DATA!V124</f>
        <v>357200000</v>
      </c>
      <c r="U126" s="77">
        <f>DATA!W124</f>
        <v>0</v>
      </c>
      <c r="V126" s="77">
        <f>DATA!X124</f>
        <v>3929200000</v>
      </c>
      <c r="W126" s="78" t="str">
        <f>DATA!Y124</f>
        <v>JICA</v>
      </c>
      <c r="X126" s="20" t="str">
        <f>DATA!Z124</f>
        <v>Bilateral</v>
      </c>
      <c r="Y126" s="77">
        <f>DATA!AA124</f>
        <v>3572000000</v>
      </c>
      <c r="Z126" s="77">
        <v>0</v>
      </c>
      <c r="AA126" s="216" t="str">
        <f>DATA!Y124</f>
        <v>JICA</v>
      </c>
      <c r="AB126" s="188">
        <f>DATA!AG124</f>
        <v>0</v>
      </c>
      <c r="AC126" s="20">
        <f>DATA!AH124</f>
        <v>2018</v>
      </c>
      <c r="AD126" s="37" t="str">
        <f>DATA!AI124</f>
        <v>-</v>
      </c>
      <c r="AE126" s="152" t="str">
        <f>DATA!AR124</f>
        <v>belum ada dokumen R/C</v>
      </c>
      <c r="AF126" s="152" t="str">
        <f>DATA!AN124</f>
        <v>dalam proses
(memiliki FS)</v>
      </c>
      <c r="AG126" s="152" t="str">
        <f>DATA!AO124</f>
        <v>dalam proses
(perencanaan)</v>
      </c>
      <c r="AH126" s="37" t="str">
        <f>DATA!AJ124</f>
        <v>- FS
- TOR (Disusun oleh Pemda DKI Jakarta)
-  RAB (Disusun oleh Pemda DKI Jakarta)</v>
      </c>
      <c r="AI126" s="56" t="str">
        <f>DATA!AK124</f>
        <v>Indikasi kebutuhan lahan menunggu hasil desain</v>
      </c>
      <c r="AJ126" s="230" t="str">
        <f>DATA!AL124</f>
        <v>- Dilaksanakan oleh Pemda DKI Jakarta (Implementing Agency)</v>
      </c>
      <c r="AK126" s="231" t="str">
        <f>DATA!AR124</f>
        <v>belum ada dokumen R/C</v>
      </c>
      <c r="AL126" s="20" t="str">
        <f>DATA!AN124</f>
        <v>dalam proses
(memiliki FS)</v>
      </c>
      <c r="AM126" s="20" t="str">
        <f>DATA!AO124</f>
        <v>dalam proses
(perencanaan)</v>
      </c>
      <c r="AN126" s="20" t="str">
        <f>DATA!AP124</f>
        <v>belum ada proses tender/lelang</v>
      </c>
      <c r="AO126" s="20" t="str">
        <f>DATA!AY124</f>
        <v>Surat Kepala Biro Perencanaan nomor 548/BI/SRT/IX/2015 tgl 10 September 2015</v>
      </c>
      <c r="AP126" s="20" t="e">
        <f>DATA!#REF!</f>
        <v>#REF!</v>
      </c>
      <c r="AQ126" s="20">
        <f>DATA!AZ124</f>
        <v>0</v>
      </c>
      <c r="AR126" s="152" t="e">
        <f>DATA!#REF!</f>
        <v>#REF!</v>
      </c>
      <c r="AS126" s="199" t="str">
        <f>DATA!BA124</f>
        <v>Terbangunnya jaringan MRT dari Jakarta Timur ke Jakarta Barat</v>
      </c>
      <c r="AT126" s="245">
        <f>DATA!AT124</f>
        <v>3572000000</v>
      </c>
      <c r="AU126" s="109" t="str">
        <f>DATA!AU124</f>
        <v>JICA</v>
      </c>
      <c r="AV126" s="246" t="str">
        <f>DATA!AW124</f>
        <v>Sebagian akan diteruspinjamkan kepada Pemprov. DKI Jakarta</v>
      </c>
    </row>
    <row r="127" spans="1:51" ht="55.5" customHeight="1">
      <c r="A127" s="10">
        <f>DATA!A125</f>
        <v>95</v>
      </c>
      <c r="B127" s="10">
        <f>DATA!B125</f>
        <v>0</v>
      </c>
      <c r="C127" s="10" t="str">
        <f>DATA!D125</f>
        <v>INFRASTRUKTUR</v>
      </c>
      <c r="D127" s="10">
        <f>DATA!E125</f>
        <v>3</v>
      </c>
      <c r="E127" s="10" t="str">
        <f>DATA!F125</f>
        <v>Kementerian Perhubungan</v>
      </c>
      <c r="F127" s="10" t="str">
        <f>DATA!H125</f>
        <v>Railway Development Program</v>
      </c>
      <c r="G127" s="10" t="str">
        <f>DATA!I125</f>
        <v>A</v>
      </c>
      <c r="H127" s="10" t="str">
        <f>DATA!J125</f>
        <v>Program Pengembangan Perkeretaapian</v>
      </c>
      <c r="I127" s="10">
        <f>DATA!K125</f>
        <v>4</v>
      </c>
      <c r="J127" s="181"/>
      <c r="K127" s="54"/>
      <c r="L127" s="54"/>
      <c r="M127" s="172">
        <v>88</v>
      </c>
      <c r="N127" s="37" t="str">
        <f>DATA!L125</f>
        <v xml:space="preserve">Engineering Services Jakarta Mass Rapid Transit (MRT) East West Line Project - Phase I </v>
      </c>
      <c r="O127" s="20">
        <f>DATA!Q125</f>
        <v>1</v>
      </c>
      <c r="P127" s="20">
        <f>DATA!R125</f>
        <v>1</v>
      </c>
      <c r="Q127" s="186">
        <f>DATA!S125</f>
        <v>86</v>
      </c>
      <c r="R127" s="187">
        <f>DATA!T125</f>
        <v>23000000</v>
      </c>
      <c r="S127" s="203">
        <f>DATA!U125</f>
        <v>23000000</v>
      </c>
      <c r="T127" s="77">
        <f>DATA!V125</f>
        <v>3000000</v>
      </c>
      <c r="U127" s="77">
        <f>DATA!W125</f>
        <v>0</v>
      </c>
      <c r="V127" s="77">
        <f>DATA!X125</f>
        <v>26000000</v>
      </c>
      <c r="W127" s="78" t="str">
        <f>DATA!Y125</f>
        <v>JICA</v>
      </c>
      <c r="X127" s="20" t="str">
        <f>DATA!Z125</f>
        <v>Bilateral</v>
      </c>
      <c r="Y127" s="77">
        <f>DATA!AA125</f>
        <v>23000000</v>
      </c>
      <c r="Z127" s="77">
        <v>0</v>
      </c>
      <c r="AA127" s="216" t="str">
        <f>DATA!Y125</f>
        <v>JICA</v>
      </c>
      <c r="AB127" s="188">
        <f>DATA!AG125</f>
        <v>0</v>
      </c>
      <c r="AC127" s="20">
        <f>DATA!AH125</f>
        <v>2015</v>
      </c>
      <c r="AD127" s="37" t="str">
        <f>DATA!AI125</f>
        <v>- Sudah ada R/C
- Green Book 2015
- Loan Agreement tgl 4 Des'15</v>
      </c>
      <c r="AE127" s="152" t="str">
        <f>DATA!AR125</f>
        <v>Nilai pinjaman di GB 19.200 ribu</v>
      </c>
      <c r="AF127" s="152" t="str">
        <f>DATA!AN125</f>
        <v>siap</v>
      </c>
      <c r="AG127" s="152" t="str">
        <f>DATA!AO125</f>
        <v>tidak butuh lahan</v>
      </c>
      <c r="AH127" s="37" t="str">
        <f>DATA!AJ125</f>
        <v>- TOR
- RAB</v>
      </c>
      <c r="AI127" s="56" t="str">
        <f>DATA!AK125</f>
        <v>Tidak membutuhkan pengadaan lahan</v>
      </c>
      <c r="AJ127" s="230" t="str">
        <f>DATA!AL125</f>
        <v xml:space="preserve">- </v>
      </c>
      <c r="AK127" s="231" t="str">
        <f>DATA!AR125</f>
        <v>Nilai pinjaman di GB 19.200 ribu</v>
      </c>
      <c r="AL127" s="20" t="str">
        <f>DATA!AN125</f>
        <v>siap</v>
      </c>
      <c r="AM127" s="20" t="str">
        <f>DATA!AO125</f>
        <v>tidak butuh lahan</v>
      </c>
      <c r="AN127" s="20" t="str">
        <f>DATA!AP125</f>
        <v>belum ada proses tender/lelang</v>
      </c>
      <c r="AO127" s="20" t="str">
        <f>DATA!AY125</f>
        <v>Surat Kepala Biro Perencanaan nomor 548/BI/SRT/IX/2015 tgl 10 September 2015</v>
      </c>
      <c r="AP127" s="20" t="e">
        <f>DATA!#REF!</f>
        <v>#REF!</v>
      </c>
      <c r="AQ127" s="20">
        <f>DATA!AZ125</f>
        <v>0</v>
      </c>
      <c r="AR127" s="152" t="e">
        <f>DATA!#REF!</f>
        <v>#REF!</v>
      </c>
      <c r="AS127" s="199" t="str">
        <f>DATA!BA125</f>
        <v xml:space="preserve">Tersedianya DED dan dokumen tender </v>
      </c>
      <c r="AT127" s="245">
        <f>DATA!AT125</f>
        <v>23000000</v>
      </c>
      <c r="AU127" s="109" t="str">
        <f>DATA!AU125</f>
        <v>JICA</v>
      </c>
      <c r="AV127" s="246" t="str">
        <f>DATA!AW125</f>
        <v>LA sudah ditandatangani</v>
      </c>
    </row>
    <row r="128" spans="1:51" s="4" customFormat="1" ht="24.95" customHeight="1">
      <c r="J128" s="250"/>
      <c r="K128" s="25">
        <f>DATA!E130</f>
        <v>4</v>
      </c>
      <c r="L128" s="108" t="str">
        <f>DATA!F130</f>
        <v>Pemprov. DKI Jakarta</v>
      </c>
      <c r="M128" s="25"/>
      <c r="N128" s="27"/>
      <c r="O128" s="26"/>
      <c r="P128" s="26"/>
      <c r="Q128" s="193"/>
      <c r="R128" s="194">
        <f>+R129</f>
        <v>1050000000</v>
      </c>
      <c r="S128" s="195">
        <f t="shared" ref="S128:AV129" si="19">+S129</f>
        <v>1050000000</v>
      </c>
      <c r="T128" s="80">
        <f t="shared" si="19"/>
        <v>150000000</v>
      </c>
      <c r="U128" s="80">
        <f t="shared" si="19"/>
        <v>0</v>
      </c>
      <c r="V128" s="80">
        <f t="shared" si="19"/>
        <v>1200000000</v>
      </c>
      <c r="W128" s="80" t="str">
        <f t="shared" si="19"/>
        <v>JICA</v>
      </c>
      <c r="X128" s="80" t="str">
        <f t="shared" si="19"/>
        <v>Bilateral</v>
      </c>
      <c r="Y128" s="80">
        <f t="shared" si="19"/>
        <v>1050000000</v>
      </c>
      <c r="Z128" s="80">
        <f t="shared" si="19"/>
        <v>0</v>
      </c>
      <c r="AA128" s="213"/>
      <c r="AB128" s="195">
        <f t="shared" si="19"/>
        <v>0</v>
      </c>
      <c r="AC128" s="80">
        <f t="shared" si="19"/>
        <v>2016</v>
      </c>
      <c r="AD128" s="80" t="str">
        <f t="shared" si="19"/>
        <v>- Sudah ada R/C
- Green Book 2015
- Loan Agreement tgl 4 Des'15</v>
      </c>
      <c r="AE128" s="80" t="str">
        <f t="shared" si="19"/>
        <v>Nilai pinjaman di GB USD 752.200 ribu</v>
      </c>
      <c r="AF128" s="80" t="str">
        <f t="shared" si="19"/>
        <v>siap</v>
      </c>
      <c r="AG128" s="80" t="str">
        <f t="shared" si="19"/>
        <v>siap</v>
      </c>
      <c r="AH128" s="80"/>
      <c r="AI128" s="226"/>
      <c r="AJ128" s="227" t="str">
        <f t="shared" si="19"/>
        <v>- Menunggu penandatanganan Loan Agreement</v>
      </c>
      <c r="AK128" s="195" t="str">
        <f t="shared" si="19"/>
        <v>Nilai pinjaman di GB USD 752.200 ribu</v>
      </c>
      <c r="AL128" s="80" t="str">
        <f t="shared" si="19"/>
        <v>siap</v>
      </c>
      <c r="AM128" s="80" t="str">
        <f t="shared" si="19"/>
        <v>siap</v>
      </c>
      <c r="AN128" s="80" t="str">
        <f t="shared" si="19"/>
        <v>dalam proses tender/lelang</v>
      </c>
      <c r="AO128" s="80" t="str">
        <f t="shared" si="19"/>
        <v>Belum ada konfirmasi. Berdasarkan data dokumen kesiapan (RC)</v>
      </c>
      <c r="AP128" s="80" t="e">
        <f t="shared" si="19"/>
        <v>#REF!</v>
      </c>
      <c r="AQ128" s="80">
        <f t="shared" si="19"/>
        <v>0</v>
      </c>
      <c r="AR128" s="80" t="e">
        <f t="shared" si="19"/>
        <v>#REF!</v>
      </c>
      <c r="AS128" s="241" t="str">
        <f t="shared" si="19"/>
        <v>Terbangunnya jaringan MRT dari Utara ke Selatan</v>
      </c>
      <c r="AT128" s="242">
        <f t="shared" si="19"/>
        <v>1050000000</v>
      </c>
      <c r="AU128" s="80" t="str">
        <f t="shared" si="19"/>
        <v>-</v>
      </c>
      <c r="AV128" s="227" t="str">
        <f t="shared" si="19"/>
        <v>-</v>
      </c>
    </row>
    <row r="129" spans="1:48" s="5" customFormat="1" ht="33.75" customHeight="1">
      <c r="J129" s="180"/>
      <c r="K129" s="29"/>
      <c r="L129" s="30" t="str">
        <f>DATA!I130</f>
        <v>A</v>
      </c>
      <c r="M129" s="31" t="str">
        <f>DATA!J130</f>
        <v>Program Pengembangan Perkeretaapian</v>
      </c>
      <c r="N129" s="51"/>
      <c r="O129" s="31"/>
      <c r="P129" s="31"/>
      <c r="Q129" s="196"/>
      <c r="R129" s="197">
        <f>+R130</f>
        <v>1050000000</v>
      </c>
      <c r="S129" s="198">
        <f t="shared" si="19"/>
        <v>1050000000</v>
      </c>
      <c r="T129" s="81">
        <f t="shared" si="19"/>
        <v>150000000</v>
      </c>
      <c r="U129" s="81">
        <f t="shared" si="19"/>
        <v>0</v>
      </c>
      <c r="V129" s="81">
        <f t="shared" si="19"/>
        <v>1200000000</v>
      </c>
      <c r="W129" s="81" t="str">
        <f t="shared" si="19"/>
        <v>JICA</v>
      </c>
      <c r="X129" s="81" t="str">
        <f t="shared" si="19"/>
        <v>Bilateral</v>
      </c>
      <c r="Y129" s="81">
        <f t="shared" si="19"/>
        <v>1050000000</v>
      </c>
      <c r="Z129" s="81">
        <f t="shared" si="19"/>
        <v>0</v>
      </c>
      <c r="AA129" s="214"/>
      <c r="AB129" s="198">
        <f t="shared" si="19"/>
        <v>0</v>
      </c>
      <c r="AC129" s="81">
        <f t="shared" si="19"/>
        <v>2016</v>
      </c>
      <c r="AD129" s="81" t="str">
        <f t="shared" si="19"/>
        <v>- Sudah ada R/C
- Green Book 2015
- Loan Agreement tgl 4 Des'15</v>
      </c>
      <c r="AE129" s="81" t="str">
        <f t="shared" si="19"/>
        <v>Nilai pinjaman di GB USD 752.200 ribu</v>
      </c>
      <c r="AF129" s="81" t="str">
        <f t="shared" si="19"/>
        <v>siap</v>
      </c>
      <c r="AG129" s="81" t="str">
        <f t="shared" si="19"/>
        <v>siap</v>
      </c>
      <c r="AH129" s="81"/>
      <c r="AI129" s="228"/>
      <c r="AJ129" s="229" t="str">
        <f t="shared" si="19"/>
        <v>- Menunggu penandatanganan Loan Agreement</v>
      </c>
      <c r="AK129" s="198" t="str">
        <f t="shared" si="19"/>
        <v>Nilai pinjaman di GB USD 752.200 ribu</v>
      </c>
      <c r="AL129" s="81" t="str">
        <f t="shared" si="19"/>
        <v>siap</v>
      </c>
      <c r="AM129" s="81" t="str">
        <f t="shared" si="19"/>
        <v>siap</v>
      </c>
      <c r="AN129" s="81" t="str">
        <f t="shared" si="19"/>
        <v>dalam proses tender/lelang</v>
      </c>
      <c r="AO129" s="81" t="str">
        <f t="shared" si="19"/>
        <v>Belum ada konfirmasi. Berdasarkan data dokumen kesiapan (RC)</v>
      </c>
      <c r="AP129" s="81" t="e">
        <f t="shared" si="19"/>
        <v>#REF!</v>
      </c>
      <c r="AQ129" s="81">
        <f t="shared" si="19"/>
        <v>0</v>
      </c>
      <c r="AR129" s="81" t="e">
        <f t="shared" si="19"/>
        <v>#REF!</v>
      </c>
      <c r="AS129" s="243" t="str">
        <f t="shared" si="19"/>
        <v>Terbangunnya jaringan MRT dari Utara ke Selatan</v>
      </c>
      <c r="AT129" s="244">
        <f t="shared" si="19"/>
        <v>1050000000</v>
      </c>
      <c r="AU129" s="81" t="s">
        <v>21</v>
      </c>
      <c r="AV129" s="229" t="str">
        <f t="shared" si="19"/>
        <v>-</v>
      </c>
    </row>
    <row r="130" spans="1:48" s="9" customFormat="1" ht="48" customHeight="1">
      <c r="A130" s="9">
        <f>DATA!A130</f>
        <v>96</v>
      </c>
      <c r="B130" s="9">
        <f>DATA!B130</f>
        <v>0</v>
      </c>
      <c r="C130" s="9" t="str">
        <f>DATA!D130</f>
        <v>INFRASTRUKTUR</v>
      </c>
      <c r="D130" s="9">
        <f>DATA!E130</f>
        <v>4</v>
      </c>
      <c r="E130" s="9" t="str">
        <f>DATA!F130</f>
        <v>Pemprov. DKI Jakarta</v>
      </c>
      <c r="F130" s="9" t="str">
        <f>DATA!H130</f>
        <v>Railway Development Program</v>
      </c>
      <c r="G130" s="9" t="str">
        <f>DATA!I130</f>
        <v>A</v>
      </c>
      <c r="H130" s="9" t="str">
        <f>DATA!J130</f>
        <v>Program Pengembangan Perkeretaapian</v>
      </c>
      <c r="I130" s="9">
        <f>DATA!K130</f>
        <v>1</v>
      </c>
      <c r="J130" s="254"/>
      <c r="K130" s="255"/>
      <c r="L130" s="66"/>
      <c r="M130" s="64">
        <v>89</v>
      </c>
      <c r="N130" s="65" t="s">
        <v>1126</v>
      </c>
      <c r="O130" s="66">
        <f>DATA!Q130</f>
        <v>1</v>
      </c>
      <c r="P130" s="66">
        <f>DATA!R130</f>
        <v>1</v>
      </c>
      <c r="Q130" s="257">
        <f>DATA!S130</f>
        <v>85</v>
      </c>
      <c r="R130" s="258">
        <f>DATA!T130</f>
        <v>1050000000</v>
      </c>
      <c r="S130" s="259">
        <f>DATA!U130</f>
        <v>1050000000</v>
      </c>
      <c r="T130" s="91">
        <f>DATA!V130</f>
        <v>150000000</v>
      </c>
      <c r="U130" s="91">
        <f>DATA!W130</f>
        <v>0</v>
      </c>
      <c r="V130" s="91">
        <f>DATA!X130</f>
        <v>1200000000</v>
      </c>
      <c r="W130" s="92" t="str">
        <f>DATA!Y130</f>
        <v>JICA</v>
      </c>
      <c r="X130" s="66" t="str">
        <f>DATA!Z130</f>
        <v>Bilateral</v>
      </c>
      <c r="Y130" s="77">
        <f>DATA!AA130</f>
        <v>1050000000</v>
      </c>
      <c r="Z130" s="91">
        <v>0</v>
      </c>
      <c r="AA130" s="216" t="str">
        <f>DATA!Y130</f>
        <v>JICA</v>
      </c>
      <c r="AB130" s="260">
        <f>DATA!AG130</f>
        <v>0</v>
      </c>
      <c r="AC130" s="66">
        <f>DATA!AH130</f>
        <v>2016</v>
      </c>
      <c r="AD130" s="65" t="str">
        <f>DATA!AI130</f>
        <v>- Sudah ada R/C
- Green Book 2015
- Loan Agreement tgl 4 Des'15</v>
      </c>
      <c r="AE130" s="261" t="str">
        <f>DATA!AR130</f>
        <v>Nilai pinjaman di GB USD 752.200 ribu</v>
      </c>
      <c r="AF130" s="261" t="str">
        <f>DATA!AN130</f>
        <v>siap</v>
      </c>
      <c r="AG130" s="261" t="str">
        <f>DATA!AO130</f>
        <v>siap</v>
      </c>
      <c r="AH130" s="65" t="str">
        <f>DATA!AJ130</f>
        <v>- TOR
- RAB</v>
      </c>
      <c r="AI130" s="265">
        <f>DATA!AK130</f>
        <v>1</v>
      </c>
      <c r="AJ130" s="266" t="str">
        <f>DATA!AL130</f>
        <v>- Menunggu penandatanganan Loan Agreement</v>
      </c>
      <c r="AK130" s="267" t="str">
        <f>DATA!AR130</f>
        <v>Nilai pinjaman di GB USD 752.200 ribu</v>
      </c>
      <c r="AL130" s="66" t="str">
        <f>DATA!AN130</f>
        <v>siap</v>
      </c>
      <c r="AM130" s="66" t="str">
        <f>DATA!AO130</f>
        <v>siap</v>
      </c>
      <c r="AN130" s="66" t="str">
        <f>DATA!AP130</f>
        <v>dalam proses tender/lelang</v>
      </c>
      <c r="AO130" s="66" t="str">
        <f>DATA!AY130</f>
        <v>Belum ada konfirmasi. Berdasarkan data dokumen kesiapan (RC)</v>
      </c>
      <c r="AP130" s="66" t="e">
        <f>DATA!#REF!</f>
        <v>#REF!</v>
      </c>
      <c r="AQ130" s="66">
        <f>DATA!AZ130</f>
        <v>0</v>
      </c>
      <c r="AR130" s="261" t="e">
        <f>DATA!#REF!</f>
        <v>#REF!</v>
      </c>
      <c r="AS130" s="271" t="str">
        <f>DATA!BA130</f>
        <v>Terbangunnya jaringan MRT dari Utara ke Selatan</v>
      </c>
      <c r="AT130" s="272">
        <f>DATA!AT130</f>
        <v>1050000000</v>
      </c>
      <c r="AU130" s="273" t="str">
        <f>DATA!AU130</f>
        <v>JICA</v>
      </c>
      <c r="AV130" s="274" t="str">
        <f>DATA!AW130</f>
        <v>-</v>
      </c>
    </row>
    <row r="131" spans="1:48" s="4" customFormat="1" ht="24.95" customHeight="1">
      <c r="J131" s="250"/>
      <c r="K131" s="25">
        <f>DATA!E135</f>
        <v>5</v>
      </c>
      <c r="L131" s="108" t="str">
        <f>DATA!F135</f>
        <v>Kementerian Komunikasi dan Informatika</v>
      </c>
      <c r="M131" s="25"/>
      <c r="N131" s="27"/>
      <c r="O131" s="26"/>
      <c r="P131" s="26"/>
      <c r="Q131" s="193"/>
      <c r="R131" s="194">
        <f>+R132</f>
        <v>1056000000</v>
      </c>
      <c r="S131" s="195">
        <f t="shared" ref="S131:AT131" si="20">+S132</f>
        <v>1056000000</v>
      </c>
      <c r="T131" s="80">
        <f t="shared" si="20"/>
        <v>86000000</v>
      </c>
      <c r="U131" s="80">
        <f t="shared" si="20"/>
        <v>10000000</v>
      </c>
      <c r="V131" s="80">
        <f t="shared" si="20"/>
        <v>1152000000</v>
      </c>
      <c r="W131" s="80" t="e">
        <f t="shared" si="20"/>
        <v>#VALUE!</v>
      </c>
      <c r="X131" s="80" t="e">
        <f t="shared" si="20"/>
        <v>#VALUE!</v>
      </c>
      <c r="Y131" s="80">
        <f t="shared" si="20"/>
        <v>645000000</v>
      </c>
      <c r="Z131" s="80">
        <f t="shared" si="20"/>
        <v>411000000</v>
      </c>
      <c r="AA131" s="213"/>
      <c r="AB131" s="195">
        <f t="shared" si="20"/>
        <v>-411000000</v>
      </c>
      <c r="AC131" s="80" t="e">
        <f t="shared" si="20"/>
        <v>#VALUE!</v>
      </c>
      <c r="AD131" s="80" t="e">
        <f t="shared" si="20"/>
        <v>#VALUE!</v>
      </c>
      <c r="AE131" s="80" t="e">
        <f t="shared" si="20"/>
        <v>#VALUE!</v>
      </c>
      <c r="AF131" s="80" t="e">
        <f t="shared" si="20"/>
        <v>#VALUE!</v>
      </c>
      <c r="AG131" s="80" t="e">
        <f t="shared" si="20"/>
        <v>#VALUE!</v>
      </c>
      <c r="AH131" s="80"/>
      <c r="AI131" s="226"/>
      <c r="AJ131" s="227" t="e">
        <f t="shared" si="20"/>
        <v>#VALUE!</v>
      </c>
      <c r="AK131" s="195" t="e">
        <f t="shared" si="20"/>
        <v>#VALUE!</v>
      </c>
      <c r="AL131" s="80" t="e">
        <f t="shared" si="20"/>
        <v>#VALUE!</v>
      </c>
      <c r="AM131" s="80" t="e">
        <f t="shared" si="20"/>
        <v>#VALUE!</v>
      </c>
      <c r="AN131" s="80" t="e">
        <f t="shared" si="20"/>
        <v>#VALUE!</v>
      </c>
      <c r="AO131" s="80" t="e">
        <f t="shared" si="20"/>
        <v>#VALUE!</v>
      </c>
      <c r="AP131" s="80" t="e">
        <f t="shared" si="20"/>
        <v>#REF!</v>
      </c>
      <c r="AQ131" s="80">
        <f t="shared" si="20"/>
        <v>0</v>
      </c>
      <c r="AR131" s="80" t="e">
        <f t="shared" si="20"/>
        <v>#REF!</v>
      </c>
      <c r="AS131" s="241" t="e">
        <f t="shared" si="20"/>
        <v>#VALUE!</v>
      </c>
      <c r="AT131" s="242">
        <f t="shared" si="20"/>
        <v>1056000000</v>
      </c>
      <c r="AU131" s="80" t="s">
        <v>21</v>
      </c>
      <c r="AV131" s="227"/>
    </row>
    <row r="132" spans="1:48" s="5" customFormat="1" ht="33.75" customHeight="1">
      <c r="J132" s="180"/>
      <c r="K132" s="29"/>
      <c r="L132" s="30" t="str">
        <f>DATA!I135</f>
        <v>A</v>
      </c>
      <c r="M132" s="31" t="str">
        <f>DATA!J135</f>
        <v>Program Pengembangan Infrastruktur TIK dan Penyiaran</v>
      </c>
      <c r="N132" s="51"/>
      <c r="O132" s="31"/>
      <c r="P132" s="31"/>
      <c r="Q132" s="196"/>
      <c r="R132" s="197">
        <f>+R133+R134+R135</f>
        <v>1056000000</v>
      </c>
      <c r="S132" s="198">
        <f t="shared" ref="S132:AT132" si="21">+S133+S134+S135</f>
        <v>1056000000</v>
      </c>
      <c r="T132" s="81">
        <f t="shared" si="21"/>
        <v>86000000</v>
      </c>
      <c r="U132" s="81">
        <f t="shared" si="21"/>
        <v>10000000</v>
      </c>
      <c r="V132" s="81">
        <f t="shared" si="21"/>
        <v>1152000000</v>
      </c>
      <c r="W132" s="81" t="e">
        <f t="shared" si="21"/>
        <v>#VALUE!</v>
      </c>
      <c r="X132" s="81" t="e">
        <f t="shared" si="21"/>
        <v>#VALUE!</v>
      </c>
      <c r="Y132" s="81">
        <f t="shared" si="21"/>
        <v>645000000</v>
      </c>
      <c r="Z132" s="81">
        <f t="shared" si="21"/>
        <v>411000000</v>
      </c>
      <c r="AA132" s="214"/>
      <c r="AB132" s="198">
        <f t="shared" si="21"/>
        <v>-411000000</v>
      </c>
      <c r="AC132" s="81" t="e">
        <f t="shared" si="21"/>
        <v>#VALUE!</v>
      </c>
      <c r="AD132" s="81" t="e">
        <f t="shared" si="21"/>
        <v>#VALUE!</v>
      </c>
      <c r="AE132" s="81" t="e">
        <f t="shared" si="21"/>
        <v>#VALUE!</v>
      </c>
      <c r="AF132" s="81" t="e">
        <f t="shared" si="21"/>
        <v>#VALUE!</v>
      </c>
      <c r="AG132" s="81" t="e">
        <f t="shared" si="21"/>
        <v>#VALUE!</v>
      </c>
      <c r="AH132" s="81"/>
      <c r="AI132" s="228"/>
      <c r="AJ132" s="229" t="e">
        <f t="shared" si="21"/>
        <v>#VALUE!</v>
      </c>
      <c r="AK132" s="198" t="e">
        <f t="shared" si="21"/>
        <v>#VALUE!</v>
      </c>
      <c r="AL132" s="81" t="e">
        <f t="shared" si="21"/>
        <v>#VALUE!</v>
      </c>
      <c r="AM132" s="81" t="e">
        <f t="shared" si="21"/>
        <v>#VALUE!</v>
      </c>
      <c r="AN132" s="81" t="e">
        <f t="shared" si="21"/>
        <v>#VALUE!</v>
      </c>
      <c r="AO132" s="81" t="e">
        <f t="shared" si="21"/>
        <v>#VALUE!</v>
      </c>
      <c r="AP132" s="81" t="e">
        <f t="shared" si="21"/>
        <v>#REF!</v>
      </c>
      <c r="AQ132" s="81">
        <f t="shared" si="21"/>
        <v>0</v>
      </c>
      <c r="AR132" s="81" t="e">
        <f t="shared" si="21"/>
        <v>#REF!</v>
      </c>
      <c r="AS132" s="243" t="e">
        <f t="shared" si="21"/>
        <v>#VALUE!</v>
      </c>
      <c r="AT132" s="244">
        <f t="shared" si="21"/>
        <v>1056000000</v>
      </c>
      <c r="AU132" s="81" t="s">
        <v>21</v>
      </c>
      <c r="AV132" s="229"/>
    </row>
    <row r="133" spans="1:48" ht="46.5" customHeight="1">
      <c r="A133" s="10">
        <f>DATA!A135</f>
        <v>97</v>
      </c>
      <c r="B133" s="10">
        <f>DATA!B135</f>
        <v>0</v>
      </c>
      <c r="C133" s="10" t="str">
        <f>DATA!D135</f>
        <v>INFRASTRUKTUR</v>
      </c>
      <c r="D133" s="10">
        <f>DATA!E135</f>
        <v>5</v>
      </c>
      <c r="E133" s="10" t="str">
        <f>DATA!F135</f>
        <v>Kementerian Komunikasi dan Informatika</v>
      </c>
      <c r="F133" s="10" t="str">
        <f>DATA!H135</f>
        <v>Information Communication And Technology (ICT) And Broadcasting Infrastructure Development Program</v>
      </c>
      <c r="G133" s="10" t="str">
        <f>DATA!I135</f>
        <v>A</v>
      </c>
      <c r="H133" s="10" t="str">
        <f>DATA!J135</f>
        <v>Program Pengembangan Infrastruktur TIK dan Penyiaran</v>
      </c>
      <c r="I133" s="10">
        <f>DATA!K135</f>
        <v>1</v>
      </c>
      <c r="J133" s="181"/>
      <c r="K133" s="34"/>
      <c r="L133" s="35"/>
      <c r="M133" s="36">
        <v>90</v>
      </c>
      <c r="N133" s="37" t="str">
        <f>DATA!L135</f>
        <v>Improvement on TV Transmitting Stations (Digitalization of TVRI) - Phase III</v>
      </c>
      <c r="O133" s="20">
        <f>DATA!Q135</f>
        <v>1</v>
      </c>
      <c r="P133" s="20">
        <f>DATA!R135</f>
        <v>1</v>
      </c>
      <c r="Q133" s="186">
        <f>DATA!S135</f>
        <v>87</v>
      </c>
      <c r="R133" s="187">
        <f>DATA!T135</f>
        <v>411000000</v>
      </c>
      <c r="S133" s="203">
        <f>DATA!U135</f>
        <v>411000000</v>
      </c>
      <c r="T133" s="77">
        <f>DATA!V135</f>
        <v>41000000</v>
      </c>
      <c r="U133" s="77">
        <f>DATA!W135</f>
        <v>0</v>
      </c>
      <c r="V133" s="77">
        <f>DATA!X135</f>
        <v>452000000</v>
      </c>
      <c r="W133" s="78" t="str">
        <f>DATA!Y135</f>
        <v>Belum Ada Indikasi</v>
      </c>
      <c r="X133" s="20" t="str">
        <f>DATA!Z135</f>
        <v>Belum Ada Indikasi</v>
      </c>
      <c r="Y133" s="77">
        <v>0</v>
      </c>
      <c r="Z133" s="77">
        <f>DATA!AA135</f>
        <v>411000000</v>
      </c>
      <c r="AA133" s="216" t="str">
        <f>DATA!Y135</f>
        <v>Belum Ada Indikasi</v>
      </c>
      <c r="AB133" s="188">
        <f>DATA!AG135</f>
        <v>-411000000</v>
      </c>
      <c r="AC133" s="20" t="str">
        <f>DATA!AH135</f>
        <v>Tanpa keterangan</v>
      </c>
      <c r="AD133" s="37" t="str">
        <f>DATA!AI135</f>
        <v>(tidak ada data)</v>
      </c>
      <c r="AE133" s="152" t="str">
        <f>DATA!AR135</f>
        <v>belum ada dokumen R/C</v>
      </c>
      <c r="AF133" s="152" t="str">
        <f>DATA!AN135</f>
        <v>dalam proses
(penyusunan FS)</v>
      </c>
      <c r="AG133" s="152" t="str">
        <f>DATA!AO135</f>
        <v>siap</v>
      </c>
      <c r="AH133" s="37" t="str">
        <f>DATA!AJ135</f>
        <v>Persiapan penyusunan FS</v>
      </c>
      <c r="AI133" s="56" t="str">
        <f>DATA!AK135</f>
        <v>Menggunakan lahan milik TVRI</v>
      </c>
      <c r="AJ133" s="230" t="str">
        <f>DATA!AL135</f>
        <v>Belum ada lelang/tender</v>
      </c>
      <c r="AK133" s="231" t="str">
        <f>DATA!AR135</f>
        <v>belum ada dokumen R/C</v>
      </c>
      <c r="AL133" s="20" t="str">
        <f>DATA!AN135</f>
        <v>dalam proses
(penyusunan FS)</v>
      </c>
      <c r="AM133" s="20" t="str">
        <f>DATA!AO135</f>
        <v>siap</v>
      </c>
      <c r="AN133" s="20" t="str">
        <f>DATA!AP135</f>
        <v>belum ada proses tender/lelang</v>
      </c>
      <c r="AO133" s="20" t="str">
        <f>DATA!AY135</f>
        <v xml:space="preserve">- Belum ada indikasi Lender, Dit. Telsus sedang melakukan penjajakan, belum bisa diidentifikasikan sampai proses penjajakan selesai
- Surat Karoren Kem. Kominfo nomor S-1075/KOMINFO/SJ.1/PR.01.01/09/2015 tgl 9 September 2015
</v>
      </c>
      <c r="AP133" s="20" t="e">
        <f>DATA!#REF!</f>
        <v>#REF!</v>
      </c>
      <c r="AQ133" s="20">
        <f>DATA!AZ135</f>
        <v>0</v>
      </c>
      <c r="AR133" s="152" t="e">
        <f>DATA!#REF!</f>
        <v>#REF!</v>
      </c>
      <c r="AS133" s="199" t="str">
        <f>DATA!BA135</f>
        <v>Pengadaan peralatan dan mesin untuk rehabilitasi fasilitas produksi dan pemancar TVRI dari sistem analog ke digital untuk: 29 studio (7 di pusat dan 22 di daerah), 250 stasiun transmisi, 30 lokasi untuk ICT Broadcast</v>
      </c>
      <c r="AT133" s="245">
        <f>DATA!AT135</f>
        <v>411000000</v>
      </c>
      <c r="AU133" s="109" t="str">
        <f>DATA!AU135</f>
        <v>US EXIM/Perancis</v>
      </c>
      <c r="AV133" s="248" t="str">
        <f>DATA!AW135</f>
        <v>-</v>
      </c>
    </row>
    <row r="134" spans="1:48" ht="35.25" customHeight="1">
      <c r="A134" s="10">
        <f>DATA!A136</f>
        <v>98</v>
      </c>
      <c r="B134" s="10">
        <f>DATA!B136</f>
        <v>0</v>
      </c>
      <c r="C134" s="10" t="str">
        <f>DATA!D136</f>
        <v>INFRASTRUKTUR</v>
      </c>
      <c r="D134" s="10">
        <f>DATA!E136</f>
        <v>5</v>
      </c>
      <c r="E134" s="10" t="str">
        <f>DATA!F136</f>
        <v>Kementerian Komunikasi dan Informatika</v>
      </c>
      <c r="F134" s="10" t="str">
        <f>DATA!H136</f>
        <v>Information Communication And Technology (ICT) And Broadcasting Infrastructure Development Program</v>
      </c>
      <c r="G134" s="10" t="str">
        <f>DATA!I136</f>
        <v>A</v>
      </c>
      <c r="H134" s="10" t="str">
        <f>DATA!J136</f>
        <v>Program Pengembangan Infrastruktur TIK dan Penyiaran</v>
      </c>
      <c r="I134" s="10">
        <f>DATA!K136</f>
        <v>2</v>
      </c>
      <c r="J134" s="181"/>
      <c r="K134" s="34"/>
      <c r="L134" s="34"/>
      <c r="M134" s="36">
        <v>91</v>
      </c>
      <c r="N134" s="37" t="str">
        <f>DATA!L136</f>
        <v>Strengthening of e-Government Infrastructure</v>
      </c>
      <c r="O134" s="20">
        <f>DATA!Q136</f>
        <v>1</v>
      </c>
      <c r="P134" s="20">
        <f>DATA!R136</f>
        <v>1</v>
      </c>
      <c r="Q134" s="186">
        <f>DATA!S136</f>
        <v>88</v>
      </c>
      <c r="R134" s="187">
        <f>DATA!T136</f>
        <v>145000000</v>
      </c>
      <c r="S134" s="203">
        <f>DATA!U136</f>
        <v>145000000</v>
      </c>
      <c r="T134" s="77">
        <f>DATA!V136</f>
        <v>20000000</v>
      </c>
      <c r="U134" s="77">
        <f>DATA!W136</f>
        <v>10000000</v>
      </c>
      <c r="V134" s="77">
        <f>DATA!X136</f>
        <v>175000000</v>
      </c>
      <c r="W134" s="78" t="str">
        <f>DATA!Y136</f>
        <v>Korea</v>
      </c>
      <c r="X134" s="20" t="str">
        <f>DATA!Z136</f>
        <v>Bilateral</v>
      </c>
      <c r="Y134" s="77">
        <f>DATA!AA136</f>
        <v>145000000</v>
      </c>
      <c r="Z134" s="77"/>
      <c r="AA134" s="216" t="str">
        <f>DATA!Y136</f>
        <v>Korea</v>
      </c>
      <c r="AB134" s="188">
        <f>DATA!AG136</f>
        <v>0</v>
      </c>
      <c r="AC134" s="20" t="str">
        <f>DATA!AH136</f>
        <v>Tanpa keterangan</v>
      </c>
      <c r="AD134" s="37" t="str">
        <f>DATA!AI136</f>
        <v>Persiapan penyusunan R/C</v>
      </c>
      <c r="AE134" s="152" t="str">
        <f>DATA!AR136</f>
        <v>penyiapan dokumen R/C</v>
      </c>
      <c r="AF134" s="152" t="str">
        <f>DATA!AN136</f>
        <v>dalam proses
(penyusunan FS)</v>
      </c>
      <c r="AG134" s="152" t="str">
        <f>DATA!AO136</f>
        <v>dalam proses
(persiapan)</v>
      </c>
      <c r="AH134" s="37" t="str">
        <f>DATA!AJ136</f>
        <v>Persiapan penyusunan FS dan DED</v>
      </c>
      <c r="AI134" s="56" t="str">
        <f>DATA!AK136</f>
        <v>Permohonan ijin lokasi kepada Gubernur Kaltim telah direspon persetujuan menunggu survey</v>
      </c>
      <c r="AJ134" s="230" t="str">
        <f>DATA!AL136</f>
        <v>Belum ada lelang/tender</v>
      </c>
      <c r="AK134" s="231" t="str">
        <f>DATA!AR136</f>
        <v>penyiapan dokumen R/C</v>
      </c>
      <c r="AL134" s="20" t="str">
        <f>DATA!AN136</f>
        <v>dalam proses
(penyusunan FS)</v>
      </c>
      <c r="AM134" s="20" t="str">
        <f>DATA!AO136</f>
        <v>dalam proses
(persiapan)</v>
      </c>
      <c r="AN134" s="20" t="str">
        <f>DATA!AP136</f>
        <v>belum ada proses tender/lelang</v>
      </c>
      <c r="AO134"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P134" s="20" t="e">
        <f>DATA!#REF!</f>
        <v>#REF!</v>
      </c>
      <c r="AQ134" s="20">
        <f>DATA!AZ136</f>
        <v>0</v>
      </c>
      <c r="AR134" s="152" t="e">
        <f>DATA!#REF!</f>
        <v>#REF!</v>
      </c>
      <c r="AS134" s="199" t="str">
        <f>DATA!BA136</f>
        <v>Pembangunan Data Center (DC) Nasional, pembangunan Disaster Recovery Center (DRC), pembangunan National Network Operation Center (NNOC),  sistem Government-Certification of Authority (Govt-CA),  dan penyediaan bandwidth selama 3 tahun.</v>
      </c>
      <c r="AT134" s="245">
        <f>DATA!AT136</f>
        <v>145000000</v>
      </c>
      <c r="AU134" s="109" t="str">
        <f>DATA!AU136</f>
        <v>Korea</v>
      </c>
      <c r="AV134" s="248" t="str">
        <f>DATA!AW136</f>
        <v>masuk rolling plan EDCF (Korea)</v>
      </c>
    </row>
    <row r="135" spans="1:48" ht="40.5" customHeight="1">
      <c r="A135" s="10">
        <f>DATA!A137</f>
        <v>99</v>
      </c>
      <c r="B135" s="10">
        <f>DATA!B137</f>
        <v>0</v>
      </c>
      <c r="C135" s="10" t="str">
        <f>DATA!D137</f>
        <v>INFRASTRUKTUR</v>
      </c>
      <c r="D135" s="10">
        <f>DATA!E137</f>
        <v>5</v>
      </c>
      <c r="E135" s="10" t="str">
        <f>DATA!F137</f>
        <v>Kementerian Komunikasi dan Informatika</v>
      </c>
      <c r="F135" s="10" t="str">
        <f>DATA!H137</f>
        <v>Information Communication And Technology (ICT) And Broadcasting Infrastructure Development Program</v>
      </c>
      <c r="G135" s="10" t="str">
        <f>DATA!I137</f>
        <v>A</v>
      </c>
      <c r="H135" s="10" t="str">
        <f>DATA!J137</f>
        <v>Program Pengembangan Infrastruktur TIK dan Penyiaran</v>
      </c>
      <c r="I135" s="10">
        <f>DATA!K137</f>
        <v>3</v>
      </c>
      <c r="J135" s="181"/>
      <c r="K135" s="54"/>
      <c r="L135" s="54"/>
      <c r="M135" s="36">
        <v>92</v>
      </c>
      <c r="N135" s="37" t="str">
        <f>DATA!L137</f>
        <v>National Fiber Optic Backbone (Palapa Ring)</v>
      </c>
      <c r="O135" s="20">
        <f>DATA!Q137</f>
        <v>1</v>
      </c>
      <c r="P135" s="20">
        <f>DATA!R137</f>
        <v>1</v>
      </c>
      <c r="Q135" s="186">
        <f>DATA!S137</f>
        <v>89</v>
      </c>
      <c r="R135" s="187">
        <f>DATA!T137</f>
        <v>500000000</v>
      </c>
      <c r="S135" s="203">
        <f>DATA!U137</f>
        <v>500000000</v>
      </c>
      <c r="T135" s="77">
        <f>DATA!V137</f>
        <v>25000000</v>
      </c>
      <c r="U135" s="77">
        <f>DATA!W137</f>
        <v>0</v>
      </c>
      <c r="V135" s="77">
        <f>DATA!X137</f>
        <v>525000000</v>
      </c>
      <c r="W135" s="78" t="str">
        <f>DATA!Y137</f>
        <v>KPS</v>
      </c>
      <c r="X135" s="20" t="str">
        <f>DATA!Z137</f>
        <v>Dipindahkan ke KPS</v>
      </c>
      <c r="Y135" s="77">
        <f>DATA!AA137</f>
        <v>500000000</v>
      </c>
      <c r="Z135" s="77"/>
      <c r="AA135" s="216" t="str">
        <f>DATA!Y137</f>
        <v>KPS</v>
      </c>
      <c r="AB135" s="188">
        <f>DATA!AG137</f>
        <v>0</v>
      </c>
      <c r="AC135" s="20" t="str">
        <f>DATA!AH137</f>
        <v>Tanpa keterangan</v>
      </c>
      <c r="AD135" s="37" t="str">
        <f>DATA!AI137</f>
        <v>-</v>
      </c>
      <c r="AE135" s="152">
        <f>DATA!AM137</f>
        <v>0</v>
      </c>
      <c r="AF135" s="152" t="str">
        <f>DATA!AN137</f>
        <v>belum ada keterangan</v>
      </c>
      <c r="AG135" s="152" t="str">
        <f>DATA!AO137</f>
        <v>belum ada keterangan</v>
      </c>
      <c r="AH135" s="37" t="str">
        <f>DATA!AJ137</f>
        <v>-</v>
      </c>
      <c r="AI135" s="56" t="str">
        <f>DATA!AK137</f>
        <v>-</v>
      </c>
      <c r="AJ135" s="230" t="str">
        <f>DATA!AL137</f>
        <v>-</v>
      </c>
      <c r="AK135" s="231">
        <f>DATA!AM137</f>
        <v>0</v>
      </c>
      <c r="AL135" s="20" t="str">
        <f>DATA!AN137</f>
        <v>belum ada keterangan</v>
      </c>
      <c r="AM135" s="20" t="str">
        <f>DATA!AO137</f>
        <v>belum ada keterangan</v>
      </c>
      <c r="AN135" s="20" t="str">
        <f>DATA!AP137</f>
        <v>belum ada proses tender/lelang</v>
      </c>
      <c r="AO135"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P135" s="20" t="e">
        <f>DATA!#REF!</f>
        <v>#REF!</v>
      </c>
      <c r="AQ135" s="20">
        <f>DATA!AZ137</f>
        <v>0</v>
      </c>
      <c r="AR135" s="152" t="e">
        <f>DATA!#REF!</f>
        <v>#REF!</v>
      </c>
      <c r="AS135" s="199" t="str">
        <f>DATA!BA137</f>
        <v>Pembangunan jaringan telekomunikasi pitalebar/broadband Palapa Ring di 51 kabupaten/kota.</v>
      </c>
      <c r="AT135" s="245">
        <f>DATA!AT137</f>
        <v>500000000</v>
      </c>
      <c r="AU135" s="109" t="str">
        <f>DATA!AU137</f>
        <v>KPS</v>
      </c>
      <c r="AV135" s="248" t="str">
        <f>DATA!AW137</f>
        <v>-</v>
      </c>
    </row>
    <row r="136" spans="1:48" s="4" customFormat="1" ht="24.95" customHeight="1">
      <c r="J136" s="250"/>
      <c r="K136" s="25">
        <f>DATA!E138</f>
        <v>6</v>
      </c>
      <c r="L136" s="108" t="str">
        <f>DATA!F138</f>
        <v>Kepolisian RI</v>
      </c>
      <c r="M136" s="25"/>
      <c r="N136" s="27"/>
      <c r="O136" s="26"/>
      <c r="P136" s="26"/>
      <c r="Q136" s="193"/>
      <c r="R136" s="194">
        <f>+R137</f>
        <v>20000000</v>
      </c>
      <c r="S136" s="195">
        <f t="shared" ref="S136:AV137" si="22">+S137</f>
        <v>20000000</v>
      </c>
      <c r="T136" s="80">
        <f t="shared" si="22"/>
        <v>3500000</v>
      </c>
      <c r="U136" s="80">
        <f t="shared" si="22"/>
        <v>0</v>
      </c>
      <c r="V136" s="80">
        <f t="shared" si="22"/>
        <v>23500000</v>
      </c>
      <c r="W136" s="80" t="str">
        <f t="shared" si="22"/>
        <v>Korea</v>
      </c>
      <c r="X136" s="80" t="str">
        <f t="shared" si="22"/>
        <v>Bilateral</v>
      </c>
      <c r="Y136" s="80">
        <f t="shared" si="22"/>
        <v>20000000</v>
      </c>
      <c r="Z136" s="80">
        <f t="shared" si="22"/>
        <v>0</v>
      </c>
      <c r="AA136" s="213"/>
      <c r="AB136" s="195">
        <f t="shared" si="22"/>
        <v>1</v>
      </c>
      <c r="AC136" s="80" t="str">
        <f t="shared" si="22"/>
        <v xml:space="preserve">- Sudah ada R/C
- Green Book 2015
</v>
      </c>
      <c r="AD136" s="80" t="str">
        <f t="shared" si="22"/>
        <v>FS, AMDAL</v>
      </c>
      <c r="AE136" s="80" t="str">
        <f t="shared" si="22"/>
        <v>Tidak butuh lahan</v>
      </c>
      <c r="AF136" s="80" t="str">
        <f t="shared" si="22"/>
        <v>- Dalam proses penandatanganan perjanjian pinjaman</v>
      </c>
      <c r="AG136" s="80" t="e">
        <f t="shared" si="22"/>
        <v>#REF!</v>
      </c>
      <c r="AH136" s="80"/>
      <c r="AI136" s="226"/>
      <c r="AJ136" s="227" t="str">
        <f t="shared" si="22"/>
        <v>tidak butuh lahan</v>
      </c>
      <c r="AK136" s="195" t="e">
        <f t="shared" si="22"/>
        <v>#REF!</v>
      </c>
      <c r="AL136" s="80" t="str">
        <f t="shared" si="22"/>
        <v>dalam proses tender/lelang</v>
      </c>
      <c r="AM136" s="80">
        <f t="shared" si="22"/>
        <v>20000000</v>
      </c>
      <c r="AN136" s="80" t="str">
        <f t="shared" si="22"/>
        <v>Korea</v>
      </c>
      <c r="AO136" s="80" t="str">
        <f t="shared" si="22"/>
        <v>masuk rolling plan EDCF (Korea)</v>
      </c>
      <c r="AP136" s="80" t="str">
        <f t="shared" si="22"/>
        <v>Belum ada konfirmasi. Berdasarkan data dokumen kesiapan (RC)</v>
      </c>
      <c r="AQ136" s="80" t="e">
        <f t="shared" si="22"/>
        <v>#REF!</v>
      </c>
      <c r="AR136" s="80">
        <f t="shared" si="22"/>
        <v>0</v>
      </c>
      <c r="AS136" s="241" t="e">
        <f t="shared" si="22"/>
        <v>#REF!</v>
      </c>
      <c r="AT136" s="242">
        <f t="shared" si="22"/>
        <v>20000000</v>
      </c>
      <c r="AU136" s="80" t="s">
        <v>21</v>
      </c>
      <c r="AV136" s="227" t="str">
        <f t="shared" si="22"/>
        <v>masuk rolling plan EDCF (Korea)</v>
      </c>
    </row>
    <row r="137" spans="1:48" s="5" customFormat="1" ht="33.75" customHeight="1">
      <c r="J137" s="180"/>
      <c r="K137" s="29"/>
      <c r="L137" s="30" t="str">
        <f>DATA!I138</f>
        <v>A</v>
      </c>
      <c r="M137" s="3427" t="str">
        <f>DATA!J138</f>
        <v>Program Pengembangan Infrastruktur TIK dan Penyiaran</v>
      </c>
      <c r="N137" s="3428"/>
      <c r="O137" s="31"/>
      <c r="P137" s="31"/>
      <c r="Q137" s="196"/>
      <c r="R137" s="197">
        <f>+R138</f>
        <v>20000000</v>
      </c>
      <c r="S137" s="198">
        <f t="shared" si="22"/>
        <v>20000000</v>
      </c>
      <c r="T137" s="81">
        <f t="shared" si="22"/>
        <v>3500000</v>
      </c>
      <c r="U137" s="81">
        <f t="shared" si="22"/>
        <v>0</v>
      </c>
      <c r="V137" s="81">
        <f t="shared" si="22"/>
        <v>23500000</v>
      </c>
      <c r="W137" s="81" t="str">
        <f t="shared" si="22"/>
        <v>Korea</v>
      </c>
      <c r="X137" s="81" t="str">
        <f t="shared" si="22"/>
        <v>Bilateral</v>
      </c>
      <c r="Y137" s="81">
        <f t="shared" si="22"/>
        <v>20000000</v>
      </c>
      <c r="Z137" s="81">
        <f t="shared" si="22"/>
        <v>0</v>
      </c>
      <c r="AA137" s="214"/>
      <c r="AB137" s="198">
        <f t="shared" si="22"/>
        <v>1</v>
      </c>
      <c r="AC137" s="81" t="str">
        <f t="shared" si="22"/>
        <v xml:space="preserve">- Sudah ada R/C
- Green Book 2015
</v>
      </c>
      <c r="AD137" s="81" t="str">
        <f t="shared" si="22"/>
        <v>FS, AMDAL</v>
      </c>
      <c r="AE137" s="81" t="str">
        <f t="shared" si="22"/>
        <v>Tidak butuh lahan</v>
      </c>
      <c r="AF137" s="81" t="str">
        <f t="shared" si="22"/>
        <v>- Dalam proses penandatanganan perjanjian pinjaman</v>
      </c>
      <c r="AG137" s="81" t="e">
        <f t="shared" si="22"/>
        <v>#REF!</v>
      </c>
      <c r="AH137" s="81"/>
      <c r="AI137" s="228"/>
      <c r="AJ137" s="229" t="str">
        <f t="shared" si="22"/>
        <v>tidak butuh lahan</v>
      </c>
      <c r="AK137" s="198" t="e">
        <f t="shared" si="22"/>
        <v>#REF!</v>
      </c>
      <c r="AL137" s="81" t="str">
        <f t="shared" si="22"/>
        <v>dalam proses tender/lelang</v>
      </c>
      <c r="AM137" s="81">
        <f t="shared" si="22"/>
        <v>20000000</v>
      </c>
      <c r="AN137" s="81" t="str">
        <f t="shared" si="22"/>
        <v>Korea</v>
      </c>
      <c r="AO137" s="81" t="str">
        <f t="shared" si="22"/>
        <v>masuk rolling plan EDCF (Korea)</v>
      </c>
      <c r="AP137" s="81" t="str">
        <f t="shared" si="22"/>
        <v>Belum ada konfirmasi. Berdasarkan data dokumen kesiapan (RC)</v>
      </c>
      <c r="AQ137" s="81" t="e">
        <f t="shared" si="22"/>
        <v>#REF!</v>
      </c>
      <c r="AR137" s="81">
        <f t="shared" si="22"/>
        <v>0</v>
      </c>
      <c r="AS137" s="243" t="e">
        <f t="shared" si="22"/>
        <v>#REF!</v>
      </c>
      <c r="AT137" s="244">
        <f t="shared" si="22"/>
        <v>20000000</v>
      </c>
      <c r="AU137" s="81" t="s">
        <v>21</v>
      </c>
      <c r="AV137" s="229" t="str">
        <f t="shared" si="22"/>
        <v>masuk rolling plan EDCF (Korea)</v>
      </c>
    </row>
    <row r="138" spans="1:48" s="9" customFormat="1" ht="47.25" customHeight="1">
      <c r="A138" s="9">
        <f>DATA!A138</f>
        <v>100</v>
      </c>
      <c r="B138" s="9">
        <f>DATA!B138</f>
        <v>0</v>
      </c>
      <c r="C138" s="9" t="str">
        <f>DATA!D138</f>
        <v>INFRASTRUKTUR</v>
      </c>
      <c r="D138" s="9">
        <f>DATA!E138</f>
        <v>6</v>
      </c>
      <c r="E138" s="9" t="str">
        <f>DATA!F138</f>
        <v>Kepolisian RI</v>
      </c>
      <c r="F138" s="9" t="str">
        <f>DATA!H138</f>
        <v>Information Communication And Technology (ICT) And Broadcasting Infrastructure Development Program</v>
      </c>
      <c r="G138" s="9" t="str">
        <f>DATA!I138</f>
        <v>A</v>
      </c>
      <c r="H138" s="9" t="str">
        <f>DATA!J138</f>
        <v>Program Pengembangan Infrastruktur TIK dan Penyiaran</v>
      </c>
      <c r="I138" s="9">
        <f>DATA!K138</f>
        <v>1</v>
      </c>
      <c r="J138" s="254"/>
      <c r="K138" s="255"/>
      <c r="L138" s="66"/>
      <c r="M138" s="64">
        <v>93</v>
      </c>
      <c r="N138" s="65" t="s">
        <v>1127</v>
      </c>
      <c r="O138" s="66">
        <f>DATA!Q138</f>
        <v>1</v>
      </c>
      <c r="P138" s="66">
        <f>DATA!R138</f>
        <v>1</v>
      </c>
      <c r="Q138" s="257">
        <f>DATA!S138</f>
        <v>90</v>
      </c>
      <c r="R138" s="258">
        <f>DATA!T138</f>
        <v>20000000</v>
      </c>
      <c r="S138" s="259">
        <f>DATA!U138</f>
        <v>20000000</v>
      </c>
      <c r="T138" s="91">
        <f>DATA!V138</f>
        <v>3500000</v>
      </c>
      <c r="U138" s="91">
        <f>DATA!W138</f>
        <v>0</v>
      </c>
      <c r="V138" s="91">
        <f>DATA!X138</f>
        <v>23500000</v>
      </c>
      <c r="W138" s="92" t="str">
        <f>DATA!Y138</f>
        <v>Korea</v>
      </c>
      <c r="X138" s="66" t="str">
        <f>DATA!Z138</f>
        <v>Bilateral</v>
      </c>
      <c r="Y138" s="262">
        <f>DATA!AA138</f>
        <v>20000000</v>
      </c>
      <c r="Z138" s="91">
        <v>0</v>
      </c>
      <c r="AA138" s="263" t="str">
        <f>DATA!Y138</f>
        <v>Korea</v>
      </c>
      <c r="AB138" s="264">
        <f>DATA!AB138</f>
        <v>1</v>
      </c>
      <c r="AC138" s="258" t="str">
        <f>DATA!AI138</f>
        <v xml:space="preserve">- Sudah ada R/C
- Green Book 2015
</v>
      </c>
      <c r="AD138" s="258" t="str">
        <f>DATA!AJ138</f>
        <v>FS, AMDAL</v>
      </c>
      <c r="AE138" s="258" t="str">
        <f>DATA!AK138</f>
        <v>Tidak butuh lahan</v>
      </c>
      <c r="AF138" s="258" t="str">
        <f>DATA!AL138</f>
        <v>- Dalam proses penandatanganan perjanjian pinjaman</v>
      </c>
      <c r="AG138" s="258" t="e">
        <f>DATA!#REF!</f>
        <v>#REF!</v>
      </c>
      <c r="AH138" s="258">
        <f>DATA!AM138</f>
        <v>2015</v>
      </c>
      <c r="AI138" s="268" t="str">
        <f>DATA!AN138</f>
        <v>siap</v>
      </c>
      <c r="AJ138" s="269" t="str">
        <f>DATA!AO138</f>
        <v>tidak butuh lahan</v>
      </c>
      <c r="AK138" s="264" t="e">
        <f>DATA!#REF!</f>
        <v>#REF!</v>
      </c>
      <c r="AL138" s="258" t="str">
        <f>DATA!AP138</f>
        <v>dalam proses tender/lelang</v>
      </c>
      <c r="AM138" s="258">
        <f>DATA!AT138</f>
        <v>20000000</v>
      </c>
      <c r="AN138" s="258" t="str">
        <f>DATA!AU138</f>
        <v>Korea</v>
      </c>
      <c r="AO138" s="258" t="str">
        <f>DATA!AW138</f>
        <v>masuk rolling plan EDCF (Korea)</v>
      </c>
      <c r="AP138" s="258" t="str">
        <f>DATA!AY138</f>
        <v>Belum ada konfirmasi. Berdasarkan data dokumen kesiapan (RC)</v>
      </c>
      <c r="AQ138" s="258" t="e">
        <f>DATA!#REF!</f>
        <v>#REF!</v>
      </c>
      <c r="AR138" s="258">
        <f>DATA!AZ138</f>
        <v>0</v>
      </c>
      <c r="AS138" s="258" t="e">
        <f>DATA!#REF!</f>
        <v>#REF!</v>
      </c>
      <c r="AT138" s="272">
        <f>DATA!AT138</f>
        <v>20000000</v>
      </c>
      <c r="AU138" s="273" t="str">
        <f>DATA!AU138</f>
        <v>Korea</v>
      </c>
      <c r="AV138" s="274" t="str">
        <f>DATA!AW138</f>
        <v>masuk rolling plan EDCF (Korea)</v>
      </c>
    </row>
    <row r="139" spans="1:48" s="4" customFormat="1" ht="24.95" customHeight="1">
      <c r="J139" s="250"/>
      <c r="K139" s="25">
        <f>DATA!E139</f>
        <v>7</v>
      </c>
      <c r="L139" s="108" t="str">
        <f>DATA!F139</f>
        <v xml:space="preserve">PT. PLN    </v>
      </c>
      <c r="M139" s="25"/>
      <c r="N139" s="27"/>
      <c r="O139" s="26"/>
      <c r="P139" s="26"/>
      <c r="Q139" s="193"/>
      <c r="R139" s="194">
        <f>+R140</f>
        <v>4906600000</v>
      </c>
      <c r="S139" s="195">
        <f t="shared" ref="S139:AT139" si="23">+S140</f>
        <v>4906600000</v>
      </c>
      <c r="T139" s="80">
        <f t="shared" si="23"/>
        <v>931600000</v>
      </c>
      <c r="U139" s="80">
        <f t="shared" si="23"/>
        <v>0</v>
      </c>
      <c r="V139" s="80">
        <f t="shared" si="23"/>
        <v>5838200000</v>
      </c>
      <c r="W139" s="80" t="e">
        <f t="shared" si="23"/>
        <v>#VALUE!</v>
      </c>
      <c r="X139" s="80" t="e">
        <f t="shared" si="23"/>
        <v>#VALUE!</v>
      </c>
      <c r="Y139" s="80">
        <f t="shared" si="23"/>
        <v>4906600000</v>
      </c>
      <c r="Z139" s="80">
        <f t="shared" si="23"/>
        <v>0</v>
      </c>
      <c r="AA139" s="213"/>
      <c r="AB139" s="195">
        <f t="shared" si="23"/>
        <v>0</v>
      </c>
      <c r="AC139" s="80" t="e">
        <f t="shared" si="23"/>
        <v>#VALUE!</v>
      </c>
      <c r="AD139" s="80" t="e">
        <f t="shared" si="23"/>
        <v>#VALUE!</v>
      </c>
      <c r="AE139" s="80" t="e">
        <f t="shared" si="23"/>
        <v>#VALUE!</v>
      </c>
      <c r="AF139" s="80" t="e">
        <f t="shared" si="23"/>
        <v>#VALUE!</v>
      </c>
      <c r="AG139" s="80" t="e">
        <f t="shared" si="23"/>
        <v>#VALUE!</v>
      </c>
      <c r="AH139" s="80"/>
      <c r="AI139" s="226"/>
      <c r="AJ139" s="227" t="e">
        <f t="shared" si="23"/>
        <v>#VALUE!</v>
      </c>
      <c r="AK139" s="195" t="e">
        <f t="shared" si="23"/>
        <v>#VALUE!</v>
      </c>
      <c r="AL139" s="80" t="e">
        <f t="shared" si="23"/>
        <v>#VALUE!</v>
      </c>
      <c r="AM139" s="80" t="e">
        <f t="shared" si="23"/>
        <v>#VALUE!</v>
      </c>
      <c r="AN139" s="80" t="e">
        <f t="shared" si="23"/>
        <v>#VALUE!</v>
      </c>
      <c r="AO139" s="80" t="e">
        <f t="shared" si="23"/>
        <v>#VALUE!</v>
      </c>
      <c r="AP139" s="80" t="e">
        <f t="shared" si="23"/>
        <v>#REF!</v>
      </c>
      <c r="AQ139" s="80">
        <f t="shared" si="23"/>
        <v>0</v>
      </c>
      <c r="AR139" s="80" t="e">
        <f t="shared" si="23"/>
        <v>#REF!</v>
      </c>
      <c r="AS139" s="241" t="e">
        <f t="shared" si="23"/>
        <v>#VALUE!</v>
      </c>
      <c r="AT139" s="242">
        <f t="shared" si="23"/>
        <v>4906600000</v>
      </c>
      <c r="AU139" s="80" t="s">
        <v>21</v>
      </c>
      <c r="AV139" s="227"/>
    </row>
    <row r="140" spans="1:48" s="5" customFormat="1" ht="33.75" customHeight="1">
      <c r="J140" s="180"/>
      <c r="K140" s="29"/>
      <c r="L140" s="30" t="str">
        <f>DATA!I139</f>
        <v>A</v>
      </c>
      <c r="M140" s="3427" t="str">
        <f>DATA!J139</f>
        <v>Program Pembangunan Infrastruktur Ketenagalistrikan</v>
      </c>
      <c r="N140" s="3428"/>
      <c r="O140" s="31"/>
      <c r="P140" s="31"/>
      <c r="Q140" s="196"/>
      <c r="R140" s="197">
        <f>R141+R142+R143+R144+R145+R146+R147+R148+R149+R150</f>
        <v>4906600000</v>
      </c>
      <c r="S140" s="198">
        <f t="shared" ref="S140:AT140" si="24">S141+S142+S143+S144+S145+S146+S147+S148+S149+S150</f>
        <v>4906600000</v>
      </c>
      <c r="T140" s="81">
        <f t="shared" si="24"/>
        <v>931600000</v>
      </c>
      <c r="U140" s="81">
        <f t="shared" si="24"/>
        <v>0</v>
      </c>
      <c r="V140" s="81">
        <f t="shared" si="24"/>
        <v>5838200000</v>
      </c>
      <c r="W140" s="81" t="e">
        <f t="shared" si="24"/>
        <v>#VALUE!</v>
      </c>
      <c r="X140" s="81" t="e">
        <f t="shared" si="24"/>
        <v>#VALUE!</v>
      </c>
      <c r="Y140" s="81">
        <f t="shared" si="24"/>
        <v>4906600000</v>
      </c>
      <c r="Z140" s="81">
        <f t="shared" si="24"/>
        <v>0</v>
      </c>
      <c r="AA140" s="214"/>
      <c r="AB140" s="198">
        <f t="shared" si="24"/>
        <v>0</v>
      </c>
      <c r="AC140" s="81" t="e">
        <f t="shared" si="24"/>
        <v>#VALUE!</v>
      </c>
      <c r="AD140" s="81" t="e">
        <f t="shared" si="24"/>
        <v>#VALUE!</v>
      </c>
      <c r="AE140" s="81" t="e">
        <f t="shared" si="24"/>
        <v>#VALUE!</v>
      </c>
      <c r="AF140" s="81" t="e">
        <f t="shared" si="24"/>
        <v>#VALUE!</v>
      </c>
      <c r="AG140" s="81" t="e">
        <f t="shared" si="24"/>
        <v>#VALUE!</v>
      </c>
      <c r="AH140" s="81"/>
      <c r="AI140" s="228"/>
      <c r="AJ140" s="229" t="e">
        <f t="shared" si="24"/>
        <v>#VALUE!</v>
      </c>
      <c r="AK140" s="198" t="e">
        <f t="shared" si="24"/>
        <v>#VALUE!</v>
      </c>
      <c r="AL140" s="81" t="e">
        <f t="shared" si="24"/>
        <v>#VALUE!</v>
      </c>
      <c r="AM140" s="81" t="e">
        <f t="shared" si="24"/>
        <v>#VALUE!</v>
      </c>
      <c r="AN140" s="81" t="e">
        <f t="shared" si="24"/>
        <v>#VALUE!</v>
      </c>
      <c r="AO140" s="81" t="e">
        <f t="shared" si="24"/>
        <v>#VALUE!</v>
      </c>
      <c r="AP140" s="81" t="e">
        <f t="shared" si="24"/>
        <v>#REF!</v>
      </c>
      <c r="AQ140" s="81">
        <f t="shared" si="24"/>
        <v>0</v>
      </c>
      <c r="AR140" s="81" t="e">
        <f t="shared" si="24"/>
        <v>#REF!</v>
      </c>
      <c r="AS140" s="243" t="e">
        <f t="shared" si="24"/>
        <v>#VALUE!</v>
      </c>
      <c r="AT140" s="244">
        <f t="shared" si="24"/>
        <v>4906600000</v>
      </c>
      <c r="AU140" s="81" t="s">
        <v>21</v>
      </c>
      <c r="AV140" s="229"/>
    </row>
    <row r="141" spans="1:48" ht="42.75" customHeight="1">
      <c r="A141" s="10">
        <f>DATA!A140</f>
        <v>102</v>
      </c>
      <c r="B141" s="10">
        <f>DATA!B140</f>
        <v>0</v>
      </c>
      <c r="C141" s="10" t="str">
        <f>DATA!D140</f>
        <v>INFRASTRUKTUR</v>
      </c>
      <c r="D141" s="10">
        <f>DATA!E140</f>
        <v>7</v>
      </c>
      <c r="E141" s="10" t="str">
        <f>DATA!F140</f>
        <v xml:space="preserve">PT. PLN    </v>
      </c>
      <c r="F141" s="10" t="str">
        <f>DATA!H140</f>
        <v>Electricity Infrastructure Development Program</v>
      </c>
      <c r="G141" s="10" t="str">
        <f>DATA!I140</f>
        <v>A</v>
      </c>
      <c r="H141" s="10" t="str">
        <f>DATA!J140</f>
        <v>Program Pembangunan Infrastruktur Ketenagalistrikan</v>
      </c>
      <c r="I141" s="10">
        <f>DATA!K140</f>
        <v>1</v>
      </c>
      <c r="J141" s="181"/>
      <c r="K141" s="34"/>
      <c r="L141" s="34"/>
      <c r="M141" s="36">
        <v>94</v>
      </c>
      <c r="N141" s="37" t="str">
        <f>DATA!L140</f>
        <v>Java-Sumatera Interconnection Transmission Line (HVDC) 500 kV (Phase II)</v>
      </c>
      <c r="O141" s="20">
        <f>DATA!Q140</f>
        <v>1</v>
      </c>
      <c r="P141" s="20">
        <f>DATA!R140</f>
        <v>1</v>
      </c>
      <c r="Q141" s="186">
        <f>DATA!S140</f>
        <v>91</v>
      </c>
      <c r="R141" s="187">
        <f>DATA!T140</f>
        <v>629000000</v>
      </c>
      <c r="S141" s="203">
        <f>DATA!U140</f>
        <v>629000000</v>
      </c>
      <c r="T141" s="77">
        <f>DATA!V140</f>
        <v>88000000</v>
      </c>
      <c r="U141" s="77">
        <f>DATA!W140</f>
        <v>0</v>
      </c>
      <c r="V141" s="77">
        <f>DATA!X140</f>
        <v>717000000</v>
      </c>
      <c r="W141" s="78" t="str">
        <f>DATA!Y140</f>
        <v>JICA</v>
      </c>
      <c r="X141" s="20" t="str">
        <f>DATA!Z140</f>
        <v>Bilateral</v>
      </c>
      <c r="Y141" s="77">
        <f>DATA!AA140</f>
        <v>629000000</v>
      </c>
      <c r="Z141" s="77">
        <v>0</v>
      </c>
      <c r="AA141" s="216" t="str">
        <f>DATA!Y140</f>
        <v>JICA</v>
      </c>
      <c r="AB141" s="188">
        <f>DATA!AG140</f>
        <v>0</v>
      </c>
      <c r="AC141" s="20">
        <f>DATA!AH140</f>
        <v>2015</v>
      </c>
      <c r="AD141" s="37" t="str">
        <f>DATA!AI140</f>
        <v>- Sudah ada R/C
- Green Book 2015
- Loan Agreement tgl 18 Des'15</v>
      </c>
      <c r="AE141" s="152" t="str">
        <f>DATA!AR140</f>
        <v>Nilai pinjaman di GB USD 629.140 ribu</v>
      </c>
      <c r="AF141" s="152" t="str">
        <f>DATA!AN140</f>
        <v>siap</v>
      </c>
      <c r="AG141" s="152" t="str">
        <f>DATA!AO140</f>
        <v>dalam proses
(pelaksanaan 30%)</v>
      </c>
      <c r="AH141" s="37" t="str">
        <f>DATA!AJ140</f>
        <v>FS, AMDAL</v>
      </c>
      <c r="AI141" s="232">
        <f>DATA!AK140</f>
        <v>0.3</v>
      </c>
      <c r="AJ141" s="230" t="str">
        <f>DATA!AL140</f>
        <v>- Paket 1 = Proses lelang, evaluasi tahap I 
- Paket 2 = Proses lelang, akhir proses tahap I 
- Paket 3 = Kontrak 29 Okt 2014 
- Paket 4 = Proses lelang, RFP 2 Sept 2015 
- Paket 5 = Penyusunan Dokumen Tender</v>
      </c>
      <c r="AK141" s="231" t="str">
        <f>DATA!AR140</f>
        <v>Nilai pinjaman di GB USD 629.140 ribu</v>
      </c>
      <c r="AL141" s="20" t="str">
        <f>DATA!AN140</f>
        <v>siap</v>
      </c>
      <c r="AM141" s="20" t="str">
        <f>DATA!AO140</f>
        <v>dalam proses
(pelaksanaan 30%)</v>
      </c>
      <c r="AN141" s="20" t="str">
        <f>DATA!AP140</f>
        <v>dalam proses tender/lelang</v>
      </c>
      <c r="AO141" s="20"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P141" s="20" t="e">
        <f>DATA!#REF!</f>
        <v>#REF!</v>
      </c>
      <c r="AQ141" s="20">
        <f>DATA!AZ140</f>
        <v>0</v>
      </c>
      <c r="AR141" s="152" t="e">
        <f>DATA!#REF!</f>
        <v>#REF!</v>
      </c>
      <c r="AS141" s="199" t="str">
        <f>DATA!BA140</f>
        <v>Pembangunan dan instalasi: 500 kV AC Overhead line; 500 IW DC Overhead line; kabel bawah laut HVDC; Stasiun converter HVDC; 275 kV Overhead line (OHL)</v>
      </c>
      <c r="AT141" s="245">
        <f>DATA!AT140</f>
        <v>629000000</v>
      </c>
      <c r="AU141" s="109" t="str">
        <f>DATA!AU140</f>
        <v>JICA</v>
      </c>
      <c r="AV141" s="248" t="str">
        <f>DATA!AW140</f>
        <v>-</v>
      </c>
    </row>
    <row r="142" spans="1:48" ht="40.5" customHeight="1">
      <c r="A142" s="10">
        <f>DATA!A141</f>
        <v>103</v>
      </c>
      <c r="B142" s="10">
        <f>DATA!B141</f>
        <v>0</v>
      </c>
      <c r="C142" s="10" t="str">
        <f>DATA!D141</f>
        <v>INFRASTRUKTUR</v>
      </c>
      <c r="D142" s="10">
        <f>DATA!E141</f>
        <v>7</v>
      </c>
      <c r="E142" s="10" t="str">
        <f>DATA!F141</f>
        <v xml:space="preserve">PT. PLN    </v>
      </c>
      <c r="F142" s="10" t="str">
        <f>DATA!H141</f>
        <v>Electricity Infrastructure Development Program</v>
      </c>
      <c r="G142" s="10" t="str">
        <f>DATA!I141</f>
        <v>A</v>
      </c>
      <c r="H142" s="10" t="str">
        <f>DATA!J141</f>
        <v>Program Pembangunan Infrastruktur Ketenagalistrikan</v>
      </c>
      <c r="I142" s="10">
        <f>DATA!K141</f>
        <v>1</v>
      </c>
      <c r="J142" s="181"/>
      <c r="K142" s="34"/>
      <c r="L142" s="34"/>
      <c r="M142" s="52">
        <v>95</v>
      </c>
      <c r="N142" s="37" t="str">
        <f>DATA!L141</f>
        <v>Construction of Java Sumatera Interconnection 500 kV (HVDC-Phase 3 &amp; 4)</v>
      </c>
      <c r="O142" s="20">
        <f>DATA!Q141</f>
        <v>1</v>
      </c>
      <c r="P142" s="20">
        <f>DATA!R141</f>
        <v>1</v>
      </c>
      <c r="Q142" s="186">
        <f>DATA!S141</f>
        <v>92</v>
      </c>
      <c r="R142" s="187">
        <f>DATA!T141</f>
        <v>933000000</v>
      </c>
      <c r="S142" s="203">
        <f>DATA!U141</f>
        <v>933000000</v>
      </c>
      <c r="T142" s="77">
        <f>DATA!V141</f>
        <v>165000000</v>
      </c>
      <c r="U142" s="77">
        <f>DATA!W141</f>
        <v>0</v>
      </c>
      <c r="V142" s="77">
        <f>DATA!X141</f>
        <v>1098000000</v>
      </c>
      <c r="W142" s="78" t="str">
        <f>DATA!Y141</f>
        <v>JICA</v>
      </c>
      <c r="X142" s="20" t="str">
        <f>DATA!Z141</f>
        <v>Bilateral</v>
      </c>
      <c r="Y142" s="77">
        <f>DATA!AA141</f>
        <v>933000000</v>
      </c>
      <c r="Z142" s="77">
        <v>0</v>
      </c>
      <c r="AA142" s="216" t="str">
        <f>DATA!Y141</f>
        <v>JICA</v>
      </c>
      <c r="AB142" s="188">
        <f>DATA!AG141</f>
        <v>0</v>
      </c>
      <c r="AC142" s="20">
        <f>DATA!AH141</f>
        <v>2015</v>
      </c>
      <c r="AD142" s="37" t="str">
        <f>DATA!AI141</f>
        <v xml:space="preserve">Penyiapan R/C
</v>
      </c>
      <c r="AE142" s="152" t="str">
        <f>DATA!AR141</f>
        <v>penyiapan dokumen R/C</v>
      </c>
      <c r="AF142" s="152" t="str">
        <f>DATA!AN141</f>
        <v>belum ada keterangan</v>
      </c>
      <c r="AG142" s="152" t="str">
        <f>DATA!AO141</f>
        <v>belum ada keterangan</v>
      </c>
      <c r="AH142" s="37" t="str">
        <f>DATA!AJ141</f>
        <v>-</v>
      </c>
      <c r="AI142" s="56" t="str">
        <f>DATA!AK141</f>
        <v>-</v>
      </c>
      <c r="AJ142" s="230" t="str">
        <f>DATA!AL141</f>
        <v>-</v>
      </c>
      <c r="AK142" s="231" t="str">
        <f>DATA!AR141</f>
        <v>penyiapan dokumen R/C</v>
      </c>
      <c r="AL142" s="20" t="str">
        <f>DATA!AN141</f>
        <v>belum ada keterangan</v>
      </c>
      <c r="AM142" s="20" t="str">
        <f>DATA!AO141</f>
        <v>belum ada keterangan</v>
      </c>
      <c r="AN142" s="20" t="str">
        <f>DATA!AP141</f>
        <v>belum ada proses tender/lelang</v>
      </c>
      <c r="AO142" s="20" t="str">
        <f>DATA!AY141</f>
        <v>Surat Dirut PT. PLN nomor 716/REN.08.01/DIR/2015 tgl 9 September 2015</v>
      </c>
      <c r="AP142" s="20" t="e">
        <f>DATA!#REF!</f>
        <v>#REF!</v>
      </c>
      <c r="AQ142" s="20">
        <f>DATA!AZ141</f>
        <v>0</v>
      </c>
      <c r="AR142" s="152" t="e">
        <f>DATA!#REF!</f>
        <v>#REF!</v>
      </c>
      <c r="AS142" s="199" t="str">
        <f>DATA!BA141</f>
        <v>Pembangunan dan instalasi: 500 kV AC Overhead line; 500 IW DC Overhead line; kabel bawah laut HVDC; Stasiun converter HVDC; 275 kV Overhead line (OHL)</v>
      </c>
      <c r="AT142" s="245">
        <f>DATA!AT141</f>
        <v>933000000</v>
      </c>
      <c r="AU142" s="109" t="str">
        <f>DATA!AU141</f>
        <v>JICA</v>
      </c>
      <c r="AV142" s="248" t="str">
        <f>DATA!AW141</f>
        <v>-</v>
      </c>
    </row>
    <row r="143" spans="1:48" ht="47.25" customHeight="1">
      <c r="A143" s="10">
        <f>DATA!A143</f>
        <v>105</v>
      </c>
      <c r="B143" s="10">
        <f>DATA!B143</f>
        <v>0</v>
      </c>
      <c r="C143" s="10" t="str">
        <f>DATA!D143</f>
        <v>INFRASTRUKTUR</v>
      </c>
      <c r="D143" s="10">
        <f>DATA!E143</f>
        <v>7</v>
      </c>
      <c r="E143" s="10" t="str">
        <f>DATA!F143</f>
        <v xml:space="preserve">PT. PLN    </v>
      </c>
      <c r="F143" s="10" t="str">
        <f>DATA!H143</f>
        <v>Electricity Infrastructure Development Program</v>
      </c>
      <c r="G143" s="10" t="str">
        <f>DATA!I143</f>
        <v>A</v>
      </c>
      <c r="H143" s="10" t="str">
        <f>DATA!J143</f>
        <v>Program Pembangunan Infrastruktur Ketenagalistrikan</v>
      </c>
      <c r="I143" s="10">
        <f>DATA!K143</f>
        <v>2</v>
      </c>
      <c r="J143" s="181"/>
      <c r="K143" s="34"/>
      <c r="L143" s="34"/>
      <c r="M143" s="52">
        <v>96</v>
      </c>
      <c r="N143" s="37" t="str">
        <f>DATA!L143</f>
        <v>Engineering Service for Hululais 1&amp;2 Geothermal Power Plant Project (2x55 MW)</v>
      </c>
      <c r="O143" s="20">
        <f>DATA!Q143</f>
        <v>1</v>
      </c>
      <c r="P143" s="20">
        <f>DATA!R143</f>
        <v>1</v>
      </c>
      <c r="Q143" s="186">
        <f>DATA!S143</f>
        <v>93</v>
      </c>
      <c r="R143" s="187">
        <f>DATA!T143</f>
        <v>6600000</v>
      </c>
      <c r="S143" s="203">
        <f>DATA!U143</f>
        <v>6600000</v>
      </c>
      <c r="T143" s="77">
        <f>DATA!V143</f>
        <v>600000</v>
      </c>
      <c r="U143" s="77">
        <f>DATA!W143</f>
        <v>0</v>
      </c>
      <c r="V143" s="77">
        <f>DATA!X143</f>
        <v>7200000</v>
      </c>
      <c r="W143" s="78" t="str">
        <f>DATA!Y143</f>
        <v>JICA</v>
      </c>
      <c r="X143" s="20" t="str">
        <f>DATA!Z143</f>
        <v>Bilateral</v>
      </c>
      <c r="Y143" s="77">
        <f>DATA!AA143</f>
        <v>6600000</v>
      </c>
      <c r="Z143" s="77">
        <v>0</v>
      </c>
      <c r="AA143" s="216" t="str">
        <f>DATA!Y143</f>
        <v>JICA</v>
      </c>
      <c r="AB143" s="188">
        <f>DATA!AG143</f>
        <v>0</v>
      </c>
      <c r="AC143" s="20">
        <f>DATA!AH143</f>
        <v>2015</v>
      </c>
      <c r="AD143" s="37" t="str">
        <f>DATA!AI143</f>
        <v>- Sudah ada R/C0
- Green Book 2015
- Loan Agreement tgl 18 Des'15</v>
      </c>
      <c r="AE143" s="152" t="str">
        <f>DATA!AR143</f>
        <v>Nilai pinjaman di GB USD 6.570 ribu</v>
      </c>
      <c r="AF143" s="152" t="str">
        <f>DATA!AN143</f>
        <v>siap</v>
      </c>
      <c r="AG143" s="152" t="str">
        <f>DATA!AO143</f>
        <v>tidak butuh lahan</v>
      </c>
      <c r="AH143" s="37" t="str">
        <f>DATA!AJ143</f>
        <v>- AMDAL sedang di proses
- Pengeboran eksplorasi sedang di proses</v>
      </c>
      <c r="AI143" s="56" t="str">
        <f>DATA!AK143</f>
        <v>Belum</v>
      </c>
      <c r="AJ143" s="230" t="str">
        <f>DATA!AL143</f>
        <v>Dalam proses persiapan pengadaan konsultan</v>
      </c>
      <c r="AK143" s="231" t="str">
        <f>DATA!AR143</f>
        <v>Nilai pinjaman di GB USD 6.570 ribu</v>
      </c>
      <c r="AL143" s="20" t="str">
        <f>DATA!AN143</f>
        <v>siap</v>
      </c>
      <c r="AM143" s="20" t="str">
        <f>DATA!AO143</f>
        <v>tidak butuh lahan</v>
      </c>
      <c r="AN143" s="20" t="str">
        <f>DATA!AP143</f>
        <v>belum ada proses tender/lelang</v>
      </c>
      <c r="AO143" s="20" t="str">
        <f>DATA!AY143</f>
        <v>Surat Dirut PT. PLN nomor 716/REN.08.01/DIR/2015 tgl 9 September 2015</v>
      </c>
      <c r="AP143" s="20" t="e">
        <f>DATA!#REF!</f>
        <v>#REF!</v>
      </c>
      <c r="AQ143" s="20">
        <f>DATA!AZ143</f>
        <v>0</v>
      </c>
      <c r="AR143" s="152" t="e">
        <f>DATA!#REF!</f>
        <v>#REF!</v>
      </c>
      <c r="AS143" s="199" t="str">
        <f>DATA!BA143</f>
        <v>Memfasilitasi penyusunan DED, tender dokumen, dan pengawasan konstruksi untuk PLTP Hululais 1 dan 2 (2x55 MW)</v>
      </c>
      <c r="AT143" s="245">
        <f>DATA!AT143</f>
        <v>6600000</v>
      </c>
      <c r="AU143" s="109" t="str">
        <f>DATA!AU143</f>
        <v>JICA</v>
      </c>
      <c r="AV143" s="248" t="str">
        <f>DATA!AW143</f>
        <v>-</v>
      </c>
    </row>
    <row r="144" spans="1:48" ht="31.5" customHeight="1">
      <c r="A144" s="10">
        <f>DATA!A144</f>
        <v>106</v>
      </c>
      <c r="B144" s="10">
        <f>DATA!B144</f>
        <v>0</v>
      </c>
      <c r="C144" s="10" t="str">
        <f>DATA!D144</f>
        <v>INFRASTRUKTUR</v>
      </c>
      <c r="D144" s="10">
        <f>DATA!E144</f>
        <v>7</v>
      </c>
      <c r="E144" s="10" t="str">
        <f>DATA!F144</f>
        <v xml:space="preserve">PT. PLN    </v>
      </c>
      <c r="F144" s="10" t="str">
        <f>DATA!H144</f>
        <v>Electricity Infrastructure Development Program</v>
      </c>
      <c r="G144" s="10" t="str">
        <f>DATA!I144</f>
        <v>A</v>
      </c>
      <c r="H144" s="10" t="str">
        <f>DATA!J144</f>
        <v>Program Pembangunan Infrastruktur Ketenagalistrikan</v>
      </c>
      <c r="I144" s="10">
        <f>DATA!K144</f>
        <v>2</v>
      </c>
      <c r="J144" s="181"/>
      <c r="K144" s="34"/>
      <c r="L144" s="34"/>
      <c r="M144" s="52">
        <v>97</v>
      </c>
      <c r="N144" s="37" t="str">
        <f>DATA!L144</f>
        <v>Hululais Geothermal Power Plant  1&amp;2 (2x55MW)</v>
      </c>
      <c r="O144" s="20">
        <f>DATA!Q144</f>
        <v>1</v>
      </c>
      <c r="P144" s="20">
        <f>DATA!R144</f>
        <v>1</v>
      </c>
      <c r="Q144" s="186">
        <f>DATA!S144</f>
        <v>94</v>
      </c>
      <c r="R144" s="187">
        <f>DATA!T144</f>
        <v>204000000</v>
      </c>
      <c r="S144" s="203">
        <f>DATA!U144</f>
        <v>204000000</v>
      </c>
      <c r="T144" s="77">
        <f>DATA!V144</f>
        <v>42000000</v>
      </c>
      <c r="U144" s="77">
        <f>DATA!W144</f>
        <v>0</v>
      </c>
      <c r="V144" s="77">
        <f>DATA!X144</f>
        <v>246000000</v>
      </c>
      <c r="W144" s="78" t="str">
        <f>DATA!Y144</f>
        <v>JICA</v>
      </c>
      <c r="X144" s="20" t="str">
        <f>DATA!Z144</f>
        <v>Bilateral</v>
      </c>
      <c r="Y144" s="77">
        <f>DATA!AA144</f>
        <v>204000000</v>
      </c>
      <c r="Z144" s="77">
        <v>0</v>
      </c>
      <c r="AA144" s="216" t="str">
        <f>DATA!Y144</f>
        <v>JICA</v>
      </c>
      <c r="AB144" s="188">
        <f>DATA!AG144</f>
        <v>0</v>
      </c>
      <c r="AC144" s="20">
        <f>DATA!AH144</f>
        <v>2015</v>
      </c>
      <c r="AD144" s="37" t="str">
        <f>DATA!AI144</f>
        <v>-</v>
      </c>
      <c r="AE144" s="152" t="str">
        <f>DATA!AR144</f>
        <v>belum ada dokumen R/C</v>
      </c>
      <c r="AF144" s="152" t="str">
        <f>DATA!AN144</f>
        <v>belum ada keterangan</v>
      </c>
      <c r="AG144" s="152" t="str">
        <f>DATA!AO144</f>
        <v>belum ada keterangan</v>
      </c>
      <c r="AH144" s="37" t="str">
        <f>DATA!AJ144</f>
        <v>-</v>
      </c>
      <c r="AI144" s="56" t="str">
        <f>DATA!AK144</f>
        <v>-</v>
      </c>
      <c r="AJ144" s="230" t="str">
        <f>DATA!AL144</f>
        <v>-</v>
      </c>
      <c r="AK144" s="231" t="str">
        <f>DATA!AR144</f>
        <v>belum ada dokumen R/C</v>
      </c>
      <c r="AL144" s="20" t="str">
        <f>DATA!AN144</f>
        <v>belum ada keterangan</v>
      </c>
      <c r="AM144" s="20" t="str">
        <f>DATA!AO144</f>
        <v>belum ada keterangan</v>
      </c>
      <c r="AN144" s="20" t="str">
        <f>DATA!AP144</f>
        <v>belum ada proses tender/lelang</v>
      </c>
      <c r="AO144" s="20" t="str">
        <f>DATA!AY144</f>
        <v>Surat Dirut PT. PLN nomor 716/REN.08.01/DIR/2015 tgl 9 September 2015</v>
      </c>
      <c r="AP144" s="20" t="e">
        <f>DATA!#REF!</f>
        <v>#REF!</v>
      </c>
      <c r="AQ144" s="20">
        <f>DATA!AZ144</f>
        <v>0</v>
      </c>
      <c r="AR144" s="152" t="e">
        <f>DATA!#REF!</f>
        <v>#REF!</v>
      </c>
      <c r="AS144" s="199" t="str">
        <f>DATA!BA144</f>
        <v>Pembangunan PLTP Hululais 2x55 MW dan pembangunan jaringan transmisi 150 kV</v>
      </c>
      <c r="AT144" s="245">
        <f>DATA!AT144</f>
        <v>204000000</v>
      </c>
      <c r="AU144" s="109" t="str">
        <f>DATA!AU144</f>
        <v>JICA</v>
      </c>
      <c r="AV144" s="248" t="str">
        <f>DATA!AW144</f>
        <v>-</v>
      </c>
    </row>
    <row r="145" spans="1:48" ht="39" customHeight="1">
      <c r="A145" s="10">
        <f>DATA!A145</f>
        <v>107</v>
      </c>
      <c r="B145" s="10">
        <f>DATA!B145</f>
        <v>0</v>
      </c>
      <c r="C145" s="10" t="str">
        <f>DATA!D145</f>
        <v>INFRASTRUKTUR</v>
      </c>
      <c r="D145" s="10">
        <f>DATA!E145</f>
        <v>7</v>
      </c>
      <c r="E145" s="10" t="str">
        <f>DATA!F145</f>
        <v xml:space="preserve">PT. PLN    </v>
      </c>
      <c r="F145" s="10" t="str">
        <f>DATA!H145</f>
        <v>Electricity Infrastructure Development Program</v>
      </c>
      <c r="G145" s="10" t="str">
        <f>DATA!I145</f>
        <v>A</v>
      </c>
      <c r="H145" s="10" t="str">
        <f>DATA!J145</f>
        <v>Program Pembangunan Infrastruktur Ketenagalistrikan</v>
      </c>
      <c r="I145" s="10">
        <f>DATA!K145</f>
        <v>3</v>
      </c>
      <c r="J145" s="181"/>
      <c r="K145" s="34"/>
      <c r="L145" s="34"/>
      <c r="M145" s="52">
        <v>98</v>
      </c>
      <c r="N145" s="37" t="str">
        <f>DATA!L145</f>
        <v>Bakaru II Hydro Electrical Power Plant (2x63MW)</v>
      </c>
      <c r="O145" s="20">
        <f>DATA!Q145</f>
        <v>1</v>
      </c>
      <c r="P145" s="20">
        <f>DATA!R145</f>
        <v>1</v>
      </c>
      <c r="Q145" s="186">
        <f>DATA!S145</f>
        <v>95</v>
      </c>
      <c r="R145" s="187">
        <f>DATA!T145</f>
        <v>280000000</v>
      </c>
      <c r="S145" s="203">
        <f>DATA!U145</f>
        <v>280000000</v>
      </c>
      <c r="T145" s="77">
        <f>DATA!V145</f>
        <v>20000000</v>
      </c>
      <c r="U145" s="77">
        <f>DATA!W145</f>
        <v>0</v>
      </c>
      <c r="V145" s="77">
        <f>DATA!X145</f>
        <v>300000000</v>
      </c>
      <c r="W145" s="78" t="str">
        <f>DATA!Y145</f>
        <v>Jerman (KfW)</v>
      </c>
      <c r="X145" s="20" t="str">
        <f>DATA!Z145</f>
        <v>Bilateral</v>
      </c>
      <c r="Y145" s="77">
        <f>DATA!AA145</f>
        <v>280000000</v>
      </c>
      <c r="Z145" s="77">
        <v>0</v>
      </c>
      <c r="AA145" s="216" t="str">
        <f>DATA!Y145</f>
        <v>Jerman (KfW)</v>
      </c>
      <c r="AB145" s="188">
        <f>DATA!AG145</f>
        <v>0</v>
      </c>
      <c r="AC145" s="20">
        <f>DATA!AH145</f>
        <v>2016</v>
      </c>
      <c r="AD145" s="37" t="str">
        <f>DATA!AI145</f>
        <v>-</v>
      </c>
      <c r="AE145" s="152">
        <f>DATA!AM145</f>
        <v>0</v>
      </c>
      <c r="AF145" s="152" t="str">
        <f>DATA!AN145</f>
        <v>dalam proses</v>
      </c>
      <c r="AG145" s="152" t="str">
        <f>DATA!AO145</f>
        <v>dalam proses
(perencanaan)</v>
      </c>
      <c r="AH145" s="37" t="str">
        <f>DATA!AJ145</f>
        <v>Dalam tahap reviu FS, Penyusunan AMDAL</v>
      </c>
      <c r="AI145" s="56" t="str">
        <f>DATA!AK145</f>
        <v>Pembebasan lahan menunggu hasil reviu FS</v>
      </c>
      <c r="AJ145" s="230" t="str">
        <f>DATA!AL145</f>
        <v>Belum ada lelang/tender</v>
      </c>
      <c r="AK145" s="231">
        <f>DATA!AM145</f>
        <v>0</v>
      </c>
      <c r="AL145" s="20" t="str">
        <f>DATA!AN145</f>
        <v>dalam proses</v>
      </c>
      <c r="AM145" s="20" t="str">
        <f>DATA!AO145</f>
        <v>dalam proses
(perencanaan)</v>
      </c>
      <c r="AN145" s="20" t="str">
        <f>DATA!AP145</f>
        <v>belum ada proses tender/lelang</v>
      </c>
      <c r="AO145"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P145" s="20" t="e">
        <f>DATA!#REF!</f>
        <v>#REF!</v>
      </c>
      <c r="AQ145" s="20">
        <f>DATA!AZ145</f>
        <v>0</v>
      </c>
      <c r="AR145" s="152" t="e">
        <f>DATA!#REF!</f>
        <v>#REF!</v>
      </c>
      <c r="AS145" s="199" t="str">
        <f>DATA!BA145</f>
        <v xml:space="preserve"> Pembangunan PLTA Bakaru II (2x63 MW), rehabilitasi bendungan dan turbin PLTA Bakaru I, sedimentasi penanggulangan dan Engineering Services PLTA Bakaru II</v>
      </c>
      <c r="AT145" s="245">
        <f>DATA!AT145</f>
        <v>280000000</v>
      </c>
      <c r="AU145" s="109" t="str">
        <f>DATA!AU145</f>
        <v>Jerman (KfW)</v>
      </c>
      <c r="AV145" s="248" t="str">
        <f>DATA!AW145</f>
        <v>-</v>
      </c>
    </row>
    <row r="146" spans="1:48" ht="42.75" customHeight="1">
      <c r="A146" s="10">
        <f>DATA!A146</f>
        <v>108</v>
      </c>
      <c r="B146" s="10">
        <f>DATA!B146</f>
        <v>0</v>
      </c>
      <c r="C146" s="10" t="str">
        <f>DATA!D146</f>
        <v>INFRASTRUKTUR</v>
      </c>
      <c r="D146" s="10">
        <f>DATA!E146</f>
        <v>7</v>
      </c>
      <c r="E146" s="10" t="str">
        <f>DATA!F146</f>
        <v xml:space="preserve">PT. PLN    </v>
      </c>
      <c r="F146" s="10" t="str">
        <f>DATA!H146</f>
        <v>Electricity Infrastructure Development Program</v>
      </c>
      <c r="G146" s="10" t="str">
        <f>DATA!I146</f>
        <v>A</v>
      </c>
      <c r="H146" s="10" t="str">
        <f>DATA!J146</f>
        <v>Program Pembangunan Infrastruktur Ketenagalistrikan</v>
      </c>
      <c r="I146" s="10">
        <f>DATA!K146</f>
        <v>4</v>
      </c>
      <c r="J146" s="181"/>
      <c r="K146" s="34"/>
      <c r="L146" s="34"/>
      <c r="M146" s="52">
        <v>99</v>
      </c>
      <c r="N146" s="37" t="str">
        <f>DATA!L146</f>
        <v>Tulehu Geothermal Power Plant Project Unit 1&amp;2 (2x10MW)</v>
      </c>
      <c r="O146" s="20">
        <f>DATA!Q146</f>
        <v>1</v>
      </c>
      <c r="P146" s="20">
        <f>DATA!R146</f>
        <v>1</v>
      </c>
      <c r="Q146" s="186">
        <f>DATA!S146</f>
        <v>96</v>
      </c>
      <c r="R146" s="187">
        <f>DATA!T146</f>
        <v>104000000</v>
      </c>
      <c r="S146" s="203">
        <f>DATA!U146</f>
        <v>104000000</v>
      </c>
      <c r="T146" s="77">
        <f>DATA!V146</f>
        <v>18000000</v>
      </c>
      <c r="U146" s="77">
        <f>DATA!W146</f>
        <v>0</v>
      </c>
      <c r="V146" s="77">
        <f>DATA!X146</f>
        <v>122000000</v>
      </c>
      <c r="W146" s="78" t="str">
        <f>DATA!Y146</f>
        <v>JICA</v>
      </c>
      <c r="X146" s="20" t="str">
        <f>DATA!Z146</f>
        <v>Bilateral</v>
      </c>
      <c r="Y146" s="77">
        <f>DATA!AA146</f>
        <v>104000000</v>
      </c>
      <c r="Z146" s="77">
        <v>0</v>
      </c>
      <c r="AA146" s="216" t="str">
        <f>DATA!Y146</f>
        <v>JICA</v>
      </c>
      <c r="AB146" s="188">
        <f>DATA!AG146</f>
        <v>0</v>
      </c>
      <c r="AC146" s="20">
        <f>DATA!AH146</f>
        <v>2018</v>
      </c>
      <c r="AD146" s="37" t="str">
        <f>DATA!AI146</f>
        <v>-</v>
      </c>
      <c r="AE146" s="152" t="str">
        <f>DATA!AR146</f>
        <v>belum ada dokumen R/C</v>
      </c>
      <c r="AF146" s="152" t="str">
        <f>DATA!AN146</f>
        <v>dalam proses
(penyusunan FS)</v>
      </c>
      <c r="AG146" s="152" t="str">
        <f>DATA!AO146</f>
        <v>dalam proses
(pelaksanaan 63%)</v>
      </c>
      <c r="AH146" s="37" t="str">
        <f>DATA!AJ146</f>
        <v>Dalam proses reviu oleh BLH</v>
      </c>
      <c r="AI146" s="232">
        <f>DATA!AK146</f>
        <v>0.63</v>
      </c>
      <c r="AJ146" s="230" t="str">
        <f>DATA!AL146</f>
        <v>- Direncanakan PQ IPM Drilling Sumur Produksi/Injeksi dimulai akhir Sept 2015
- Proses finalisasi dokumen lelang</v>
      </c>
      <c r="AK146" s="231" t="str">
        <f>DATA!AR146</f>
        <v>belum ada dokumen R/C</v>
      </c>
      <c r="AL146" s="20" t="str">
        <f>DATA!AN146</f>
        <v>dalam proses
(penyusunan FS)</v>
      </c>
      <c r="AM146" s="20" t="str">
        <f>DATA!AO146</f>
        <v>dalam proses
(pelaksanaan 63%)</v>
      </c>
      <c r="AN146" s="20" t="str">
        <f>DATA!AP146</f>
        <v>belum ada proses tender/lelang</v>
      </c>
      <c r="AO146" s="20" t="str">
        <f>DATA!AY146</f>
        <v>- Pembebasan lahan untuk lokasi power plant dan pad B masih terkendala batas wilayah antara dua desa
- Surat Dirut PT. PLN nomor 716/REN.08.01/DIR/2015 tgl 9 September 2015</v>
      </c>
      <c r="AP146" s="20" t="e">
        <f>DATA!#REF!</f>
        <v>#REF!</v>
      </c>
      <c r="AQ146" s="20">
        <f>DATA!AZ146</f>
        <v>0</v>
      </c>
      <c r="AR146" s="152" t="e">
        <f>DATA!#REF!</f>
        <v>#REF!</v>
      </c>
      <c r="AS146" s="199" t="str">
        <f>DATA!BA146</f>
        <v>Pembangunan PLTP Tulehu 2x10 MW dan tambahan pengeboran untuk 3 sumur produksi/injeksi</v>
      </c>
      <c r="AT146" s="245">
        <f>DATA!AT146</f>
        <v>104000000</v>
      </c>
      <c r="AU146" s="109" t="str">
        <f>DATA!AU146</f>
        <v>JICA</v>
      </c>
      <c r="AV146" s="248" t="str">
        <f>DATA!AW146</f>
        <v>-</v>
      </c>
    </row>
    <row r="147" spans="1:48" ht="39.75" customHeight="1">
      <c r="A147" s="10">
        <f>DATA!A147</f>
        <v>109</v>
      </c>
      <c r="B147" s="10">
        <f>DATA!B147</f>
        <v>0</v>
      </c>
      <c r="C147" s="10" t="str">
        <f>DATA!D147</f>
        <v>INFRASTRUKTUR</v>
      </c>
      <c r="D147" s="10">
        <f>DATA!E147</f>
        <v>7</v>
      </c>
      <c r="E147" s="10" t="str">
        <f>DATA!F147</f>
        <v xml:space="preserve">PT. PLN    </v>
      </c>
      <c r="F147" s="10" t="str">
        <f>DATA!H147</f>
        <v>Electricity Infrastructure Development Program</v>
      </c>
      <c r="G147" s="10" t="str">
        <f>DATA!I147</f>
        <v>A</v>
      </c>
      <c r="H147" s="10" t="str">
        <f>DATA!J147</f>
        <v>Program Pembangunan Infrastruktur Ketenagalistrikan</v>
      </c>
      <c r="I147" s="10">
        <f>DATA!K147</f>
        <v>5</v>
      </c>
      <c r="J147" s="181"/>
      <c r="K147" s="34"/>
      <c r="L147" s="34"/>
      <c r="M147" s="52">
        <v>100</v>
      </c>
      <c r="N147" s="37" t="str">
        <f>DATA!L147</f>
        <v>Indramayu Coal Fired Power Plant  #4 (1x1000MW)</v>
      </c>
      <c r="O147" s="20">
        <f>DATA!Q147</f>
        <v>1</v>
      </c>
      <c r="P147" s="20">
        <f>DATA!R147</f>
        <v>1</v>
      </c>
      <c r="Q147" s="186">
        <f>DATA!S147</f>
        <v>97</v>
      </c>
      <c r="R147" s="187">
        <f>DATA!T147</f>
        <v>1845000000</v>
      </c>
      <c r="S147" s="203">
        <f>DATA!U147</f>
        <v>1845000000</v>
      </c>
      <c r="T147" s="77">
        <f>DATA!V147</f>
        <v>333000000</v>
      </c>
      <c r="U147" s="77">
        <f>DATA!W147</f>
        <v>0</v>
      </c>
      <c r="V147" s="77">
        <f>DATA!X147</f>
        <v>2178000000</v>
      </c>
      <c r="W147" s="78" t="str">
        <f>DATA!Y147</f>
        <v>JICA</v>
      </c>
      <c r="X147" s="20" t="str">
        <f>DATA!Z147</f>
        <v>Bilateral</v>
      </c>
      <c r="Y147" s="77">
        <f>DATA!AA147</f>
        <v>1845000000</v>
      </c>
      <c r="Z147" s="77">
        <v>0</v>
      </c>
      <c r="AA147" s="216" t="str">
        <f>DATA!Y147</f>
        <v>JICA</v>
      </c>
      <c r="AB147" s="188">
        <f>DATA!AG147</f>
        <v>0</v>
      </c>
      <c r="AC147" s="20">
        <f>DATA!AH147</f>
        <v>2017</v>
      </c>
      <c r="AD147" s="37" t="str">
        <f>DATA!AI147</f>
        <v>-</v>
      </c>
      <c r="AE147" s="152" t="str">
        <f>DATA!AR147</f>
        <v>belum ada dokumen R/C</v>
      </c>
      <c r="AF147" s="152" t="str">
        <f>DATA!AN147</f>
        <v>siap</v>
      </c>
      <c r="AG147" s="152" t="str">
        <f>DATA!AO147</f>
        <v>dalam proses
(perencanaan)</v>
      </c>
      <c r="AH147" s="37" t="str">
        <f>DATA!AJ147</f>
        <v>FS, AMDAL</v>
      </c>
      <c r="AI147" s="56" t="str">
        <f>DATA!AK147</f>
        <v>Pembebasan lahan tahun 2016</v>
      </c>
      <c r="AJ147" s="230" t="str">
        <f>DATA!AL147</f>
        <v>Rencana pengadaan konsultan ES selesai Nov 2015</v>
      </c>
      <c r="AK147" s="231" t="str">
        <f>DATA!AR147</f>
        <v>belum ada dokumen R/C</v>
      </c>
      <c r="AL147" s="20" t="str">
        <f>DATA!AN147</f>
        <v>siap</v>
      </c>
      <c r="AM147" s="20" t="str">
        <f>DATA!AO147</f>
        <v>dalam proses
(perencanaan)</v>
      </c>
      <c r="AN147" s="20" t="str">
        <f>DATA!AP147</f>
        <v>belum ada proses tender/lelang</v>
      </c>
      <c r="AO147" s="20" t="str">
        <f>DATA!AY147</f>
        <v>Surat Dirut PT. PLN nomor 716/REN.08.01/DIR/2015 tgl 9 September 2015</v>
      </c>
      <c r="AP147" s="20" t="e">
        <f>DATA!#REF!</f>
        <v>#REF!</v>
      </c>
      <c r="AQ147" s="20">
        <f>DATA!AZ147</f>
        <v>0</v>
      </c>
      <c r="AR147" s="152" t="e">
        <f>DATA!#REF!</f>
        <v>#REF!</v>
      </c>
      <c r="AS147" s="199"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c r="AT147" s="245">
        <f>DATA!AT147</f>
        <v>1845000000</v>
      </c>
      <c r="AU147" s="109" t="str">
        <f>DATA!AU147</f>
        <v>JICA</v>
      </c>
      <c r="AV147" s="248" t="str">
        <f>DATA!AW147</f>
        <v>-</v>
      </c>
    </row>
    <row r="148" spans="1:48" ht="46.5" customHeight="1">
      <c r="A148" s="10">
        <f>DATA!A148</f>
        <v>110</v>
      </c>
      <c r="B148" s="10">
        <f>DATA!B148</f>
        <v>0</v>
      </c>
      <c r="C148" s="10" t="str">
        <f>DATA!D148</f>
        <v>INFRASTRUKTUR</v>
      </c>
      <c r="D148" s="10">
        <f>DATA!E148</f>
        <v>7</v>
      </c>
      <c r="E148" s="10" t="str">
        <f>DATA!F148</f>
        <v xml:space="preserve">PT. PLN    </v>
      </c>
      <c r="F148" s="10" t="str">
        <f>DATA!H148</f>
        <v>Electricity Infrastructure Development Program</v>
      </c>
      <c r="G148" s="10" t="str">
        <f>DATA!I148</f>
        <v>A</v>
      </c>
      <c r="H148" s="10" t="str">
        <f>DATA!J148</f>
        <v>Program Pembangunan Infrastruktur Ketenagalistrikan</v>
      </c>
      <c r="I148" s="10">
        <f>DATA!K148</f>
        <v>6</v>
      </c>
      <c r="J148" s="181"/>
      <c r="K148" s="34"/>
      <c r="L148" s="34"/>
      <c r="M148" s="52">
        <v>101</v>
      </c>
      <c r="N148" s="37" t="str">
        <f>DATA!L148</f>
        <v>Additional Loan for Upper Cisokan Pumped Storage Hydro Electrical Power Plant (4x260MW)</v>
      </c>
      <c r="O148" s="20">
        <f>DATA!Q148</f>
        <v>1</v>
      </c>
      <c r="P148" s="20">
        <f>DATA!R148</f>
        <v>1</v>
      </c>
      <c r="Q148" s="186">
        <f>DATA!S148</f>
        <v>98</v>
      </c>
      <c r="R148" s="187">
        <f>DATA!T148</f>
        <v>200000000</v>
      </c>
      <c r="S148" s="203">
        <f>DATA!U148</f>
        <v>200000000</v>
      </c>
      <c r="T148" s="77">
        <f>DATA!V148</f>
        <v>0</v>
      </c>
      <c r="U148" s="77">
        <f>DATA!W148</f>
        <v>0</v>
      </c>
      <c r="V148" s="77">
        <f>DATA!X148</f>
        <v>200000000</v>
      </c>
      <c r="W148" s="78" t="str">
        <f>DATA!Y148</f>
        <v>Bank Dunia</v>
      </c>
      <c r="X148" s="20" t="str">
        <f>DATA!Z148</f>
        <v>Multilateral</v>
      </c>
      <c r="Y148" s="77">
        <f>DATA!AA148</f>
        <v>200000000</v>
      </c>
      <c r="Z148" s="77">
        <v>0</v>
      </c>
      <c r="AA148" s="216" t="str">
        <f>DATA!Y148</f>
        <v>Bank Dunia</v>
      </c>
      <c r="AB148" s="188">
        <f>DATA!AG148</f>
        <v>0</v>
      </c>
      <c r="AC148" s="20">
        <f>DATA!AH148</f>
        <v>2017</v>
      </c>
      <c r="AD148" s="37" t="str">
        <f>DATA!AI148</f>
        <v>-</v>
      </c>
      <c r="AE148" s="152" t="str">
        <f>DATA!AR148</f>
        <v>belum ada dokumen R/C</v>
      </c>
      <c r="AF148" s="152" t="str">
        <f>DATA!AN148</f>
        <v>siap</v>
      </c>
      <c r="AG148" s="152" t="str">
        <f>DATA!AO148</f>
        <v>dalam proses
(pelaksanaan 95%)</v>
      </c>
      <c r="AH148" s="37" t="str">
        <f>DATA!AJ148</f>
        <v>FS, AMDAL</v>
      </c>
      <c r="AI148" s="232">
        <f>DATA!AK148</f>
        <v>0.95</v>
      </c>
      <c r="AJ148" s="230"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K148" s="231" t="str">
        <f>DATA!AR148</f>
        <v>belum ada dokumen R/C</v>
      </c>
      <c r="AL148" s="20" t="str">
        <f>DATA!AN148</f>
        <v>siap</v>
      </c>
      <c r="AM148" s="20" t="str">
        <f>DATA!AO148</f>
        <v>dalam proses
(pelaksanaan 95%)</v>
      </c>
      <c r="AN148" s="20" t="str">
        <f>DATA!AP148</f>
        <v>belum ada proses tender/lelang</v>
      </c>
      <c r="AO148"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P148" s="20" t="e">
        <f>DATA!#REF!</f>
        <v>#REF!</v>
      </c>
      <c r="AQ148" s="20">
        <f>DATA!AZ148</f>
        <v>0</v>
      </c>
      <c r="AR148" s="152" t="e">
        <f>DATA!#REF!</f>
        <v>#REF!</v>
      </c>
      <c r="AS148" s="199"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c r="AT148" s="245">
        <f>DATA!AT148</f>
        <v>200000000</v>
      </c>
      <c r="AU148" s="109" t="str">
        <f>DATA!AU148</f>
        <v>Bank Dunia</v>
      </c>
      <c r="AV148" s="248" t="str">
        <f>DATA!AW148</f>
        <v>-</v>
      </c>
    </row>
    <row r="149" spans="1:48" ht="43.5" customHeight="1">
      <c r="A149" s="10">
        <f>DATA!A149</f>
        <v>111</v>
      </c>
      <c r="B149" s="10">
        <f>DATA!B149</f>
        <v>0</v>
      </c>
      <c r="C149" s="10" t="str">
        <f>DATA!D149</f>
        <v>INFRASTRUKTUR</v>
      </c>
      <c r="D149" s="10">
        <f>DATA!E149</f>
        <v>7</v>
      </c>
      <c r="E149" s="10" t="str">
        <f>DATA!F149</f>
        <v xml:space="preserve">PT. PLN    </v>
      </c>
      <c r="F149" s="10" t="str">
        <f>DATA!H149</f>
        <v>Electricity Infrastructure Development Program</v>
      </c>
      <c r="G149" s="10" t="str">
        <f>DATA!I149</f>
        <v>A</v>
      </c>
      <c r="H149" s="10" t="str">
        <f>DATA!J149</f>
        <v>Program Pembangunan Infrastruktur Ketenagalistrikan</v>
      </c>
      <c r="I149" s="10">
        <f>DATA!K149</f>
        <v>7</v>
      </c>
      <c r="J149" s="181"/>
      <c r="K149" s="34"/>
      <c r="L149" s="34"/>
      <c r="M149" s="52">
        <v>102</v>
      </c>
      <c r="N149" s="37" t="str">
        <f>DATA!L149</f>
        <v>Sungai Penuh Geothermal Power Plant 1&amp;2 (2x55MW)</v>
      </c>
      <c r="O149" s="20">
        <f>DATA!Q149</f>
        <v>1</v>
      </c>
      <c r="P149" s="20">
        <f>DATA!R149</f>
        <v>1</v>
      </c>
      <c r="Q149" s="186">
        <f>DATA!S149</f>
        <v>99</v>
      </c>
      <c r="R149" s="187">
        <f>DATA!T149</f>
        <v>205000000</v>
      </c>
      <c r="S149" s="203">
        <f>DATA!U149</f>
        <v>205000000</v>
      </c>
      <c r="T149" s="77">
        <f>DATA!V149</f>
        <v>45000000</v>
      </c>
      <c r="U149" s="77">
        <f>DATA!W149</f>
        <v>0</v>
      </c>
      <c r="V149" s="77">
        <f>DATA!X149</f>
        <v>250000000</v>
      </c>
      <c r="W149" s="78" t="str">
        <f>DATA!Y149</f>
        <v>ADB</v>
      </c>
      <c r="X149" s="20" t="str">
        <f>DATA!Z149</f>
        <v>Multilateral</v>
      </c>
      <c r="Y149" s="77">
        <f>DATA!AA149</f>
        <v>205000000</v>
      </c>
      <c r="Z149" s="77">
        <v>0</v>
      </c>
      <c r="AA149" s="216" t="str">
        <f>DATA!Y149</f>
        <v>ADB</v>
      </c>
      <c r="AB149" s="188">
        <f>DATA!AG149</f>
        <v>0</v>
      </c>
      <c r="AC149" s="20" t="str">
        <f>DATA!AH149</f>
        <v>Tanpa keterangan</v>
      </c>
      <c r="AD149" s="37" t="str">
        <f>DATA!AI149</f>
        <v>-</v>
      </c>
      <c r="AE149" s="152" t="str">
        <f>DATA!AR149</f>
        <v>belum ada dokumen R/C</v>
      </c>
      <c r="AF149" s="152" t="str">
        <f>DATA!AN149</f>
        <v>siap</v>
      </c>
      <c r="AG149" s="152" t="str">
        <f>DATA!AO149</f>
        <v>belum ada keterangan</v>
      </c>
      <c r="AH149" s="37" t="str">
        <f>DATA!AJ149</f>
        <v>AMDAL</v>
      </c>
      <c r="AI149" s="56" t="str">
        <f>DATA!AK149</f>
        <v>-</v>
      </c>
      <c r="AJ149" s="230" t="str">
        <f>DATA!AL149</f>
        <v>-</v>
      </c>
      <c r="AK149" s="231" t="str">
        <f>DATA!AR149</f>
        <v>belum ada dokumen R/C</v>
      </c>
      <c r="AL149" s="20" t="str">
        <f>DATA!AN149</f>
        <v>siap</v>
      </c>
      <c r="AM149" s="20" t="str">
        <f>DATA!AO149</f>
        <v>belum ada keterangan</v>
      </c>
      <c r="AN149" s="20" t="str">
        <f>DATA!AP149</f>
        <v>belum ada proses tender/lelang</v>
      </c>
      <c r="AO149" s="20" t="str">
        <f>DATA!AY149</f>
        <v xml:space="preserve">- FS report terkait resource confirmation dari PGE belum ada
- Surat Dirut PT. PLN nomor 716/REN.08.01/DIR/2015 tgl 9 September 2015
</v>
      </c>
      <c r="AP149" s="20" t="e">
        <f>DATA!#REF!</f>
        <v>#REF!</v>
      </c>
      <c r="AQ149" s="20">
        <f>DATA!AZ149</f>
        <v>0</v>
      </c>
      <c r="AR149" s="152" t="e">
        <f>DATA!#REF!</f>
        <v>#REF!</v>
      </c>
      <c r="AS149" s="199" t="str">
        <f>DATA!BA149</f>
        <v>Pengembangan PLTP Sungai Penuh dengan kapasitas 2x55 MW dan jaringan transmisi terkait</v>
      </c>
      <c r="AT149" s="245">
        <f>DATA!AT149</f>
        <v>205000000</v>
      </c>
      <c r="AU149" s="109" t="str">
        <f>DATA!AU149</f>
        <v>ADB</v>
      </c>
      <c r="AV149" s="248" t="str">
        <f>DATA!AW149</f>
        <v>-</v>
      </c>
    </row>
    <row r="150" spans="1:48" ht="40.5" customHeight="1">
      <c r="A150" s="10">
        <f>DATA!A150</f>
        <v>112</v>
      </c>
      <c r="B150" s="10">
        <f>DATA!B150</f>
        <v>0</v>
      </c>
      <c r="C150" s="10" t="str">
        <f>DATA!D150</f>
        <v>INFRASTRUKTUR</v>
      </c>
      <c r="D150" s="10">
        <f>DATA!E150</f>
        <v>7</v>
      </c>
      <c r="E150" s="10" t="str">
        <f>DATA!F150</f>
        <v xml:space="preserve">PT. PLN    </v>
      </c>
      <c r="F150" s="10" t="str">
        <f>DATA!H150</f>
        <v>Electricity Infrastructure Development Program</v>
      </c>
      <c r="G150" s="10" t="str">
        <f>DATA!I150</f>
        <v>A</v>
      </c>
      <c r="H150" s="10" t="str">
        <f>DATA!J150</f>
        <v>Program Pembangunan Infrastruktur Ketenagalistrikan</v>
      </c>
      <c r="I150" s="10">
        <f>DATA!K150</f>
        <v>8</v>
      </c>
      <c r="J150" s="256"/>
      <c r="K150" s="54"/>
      <c r="L150" s="54"/>
      <c r="M150" s="52">
        <v>103</v>
      </c>
      <c r="N150" s="37" t="str">
        <f>DATA!L150</f>
        <v>Matenggeng Pumped Storage Hydro Electrical Power Plant (4x225MW)</v>
      </c>
      <c r="O150" s="20">
        <f>DATA!Q150</f>
        <v>1</v>
      </c>
      <c r="P150" s="20">
        <f>DATA!R150</f>
        <v>1</v>
      </c>
      <c r="Q150" s="186">
        <f>DATA!S150</f>
        <v>100</v>
      </c>
      <c r="R150" s="187">
        <f>DATA!T150</f>
        <v>500000000</v>
      </c>
      <c r="S150" s="203">
        <f>DATA!U150</f>
        <v>500000000</v>
      </c>
      <c r="T150" s="77">
        <f>DATA!V150</f>
        <v>220000000</v>
      </c>
      <c r="U150" s="77">
        <f>DATA!W150</f>
        <v>0</v>
      </c>
      <c r="V150" s="77">
        <f>DATA!X150</f>
        <v>720000000</v>
      </c>
      <c r="W150" s="78" t="str">
        <f>DATA!Y150</f>
        <v>Bank Dunia</v>
      </c>
      <c r="X150" s="20" t="str">
        <f>DATA!Z150</f>
        <v>Multilateral</v>
      </c>
      <c r="Y150" s="77">
        <f>DATA!AA150</f>
        <v>500000000</v>
      </c>
      <c r="Z150" s="77">
        <v>0</v>
      </c>
      <c r="AA150" s="216" t="str">
        <f>DATA!Y150</f>
        <v>Bank Dunia</v>
      </c>
      <c r="AB150" s="188">
        <f>DATA!AG150</f>
        <v>0</v>
      </c>
      <c r="AC150" s="20">
        <f>DATA!AH150</f>
        <v>2017</v>
      </c>
      <c r="AD150" s="37" t="str">
        <f>DATA!AI150</f>
        <v>-</v>
      </c>
      <c r="AE150" s="152" t="str">
        <f>DATA!AR150</f>
        <v>belum ada dokumen R/C</v>
      </c>
      <c r="AF150" s="152" t="str">
        <f>DATA!AN150</f>
        <v>dalam proses
(penyusunan FS)</v>
      </c>
      <c r="AG150" s="152" t="str">
        <f>DATA!AO150</f>
        <v>belum ada keterangan</v>
      </c>
      <c r="AH150" s="37" t="str">
        <f>DATA!AJ150</f>
        <v>Penyusunan FS</v>
      </c>
      <c r="AI150" s="56" t="str">
        <f>DATA!AK150</f>
        <v>-</v>
      </c>
      <c r="AJ150" s="230" t="str">
        <f>DATA!AL150</f>
        <v>-</v>
      </c>
      <c r="AK150" s="231" t="str">
        <f>DATA!AR150</f>
        <v>belum ada dokumen R/C</v>
      </c>
      <c r="AL150" s="20" t="str">
        <f>DATA!AN150</f>
        <v>dalam proses
(penyusunan FS)</v>
      </c>
      <c r="AM150" s="20" t="str">
        <f>DATA!AO150</f>
        <v>belum ada keterangan</v>
      </c>
      <c r="AN150" s="20" t="str">
        <f>DATA!AP150</f>
        <v>belum ada proses tender/lelang</v>
      </c>
      <c r="AO150" s="20" t="str">
        <f>DATA!AY150</f>
        <v>- Direncanakan menggunakan skema direct lending
- AMDAL direncanakan mulai tahun 2016
- Layout terkini tidak terindikasi overlapping dengan bendungan Matenggeng milik PU
- Surat Dirut PT. PLN nomor 716/REN.08.01/DIR/2015 tgl 9 September 2015</v>
      </c>
      <c r="AP150" s="20" t="e">
        <f>DATA!#REF!</f>
        <v>#REF!</v>
      </c>
      <c r="AQ150" s="20">
        <f>DATA!AZ150</f>
        <v>0</v>
      </c>
      <c r="AR150" s="152" t="e">
        <f>DATA!#REF!</f>
        <v>#REF!</v>
      </c>
      <c r="AS150" s="199" t="str">
        <f>DATA!BA150</f>
        <v>Pengembangan PLTA Matenggeng dengan kapasitas 4x225 MW dan jaringan transmisi terkait</v>
      </c>
      <c r="AT150" s="245">
        <f>DATA!AT150</f>
        <v>500000000</v>
      </c>
      <c r="AU150" s="109" t="str">
        <f>DATA!AU150</f>
        <v>Bank Dunia</v>
      </c>
      <c r="AV150" s="248" t="str">
        <f>DATA!AW150</f>
        <v>-</v>
      </c>
    </row>
    <row r="151" spans="1:48" s="3" customFormat="1" ht="30" customHeight="1">
      <c r="J151" s="178" t="str">
        <f>DATA!B160</f>
        <v>II</v>
      </c>
      <c r="K151" s="112" t="str">
        <f>DATA!D160</f>
        <v>NON-INFRASTRUKTUR</v>
      </c>
      <c r="L151" s="22"/>
      <c r="M151" s="22"/>
      <c r="N151" s="23"/>
      <c r="O151" s="22"/>
      <c r="P151" s="22"/>
      <c r="Q151" s="190"/>
      <c r="R151" s="191">
        <f t="shared" ref="R151:Z151" si="25">+R152+R161+R169+R172+R183+R186+R197+R200+R203+R206</f>
        <v>4590772100</v>
      </c>
      <c r="S151" s="192" t="e">
        <f t="shared" si="25"/>
        <v>#REF!</v>
      </c>
      <c r="T151" s="79" t="e">
        <f t="shared" si="25"/>
        <v>#REF!</v>
      </c>
      <c r="U151" s="79" t="e">
        <f t="shared" si="25"/>
        <v>#REF!</v>
      </c>
      <c r="V151" s="79" t="e">
        <f t="shared" si="25"/>
        <v>#REF!</v>
      </c>
      <c r="W151" s="79" t="e">
        <f t="shared" si="25"/>
        <v>#VALUE!</v>
      </c>
      <c r="X151" s="79" t="e">
        <f t="shared" si="25"/>
        <v>#VALUE!</v>
      </c>
      <c r="Y151" s="79">
        <f t="shared" si="25"/>
        <v>3088329500</v>
      </c>
      <c r="Z151" s="79">
        <f t="shared" si="25"/>
        <v>1502442600</v>
      </c>
      <c r="AA151" s="212"/>
      <c r="AB151" s="192">
        <f t="shared" ref="AB151:AT151" si="26">+AB152+AB161+AB169+AB172+AB183+AB186+AB197+AB200+AB203+AB206</f>
        <v>-1502442600</v>
      </c>
      <c r="AC151" s="79" t="e">
        <f t="shared" si="26"/>
        <v>#VALUE!</v>
      </c>
      <c r="AD151" s="79" t="e">
        <f t="shared" si="26"/>
        <v>#VALUE!</v>
      </c>
      <c r="AE151" s="79" t="e">
        <f t="shared" si="26"/>
        <v>#VALUE!</v>
      </c>
      <c r="AF151" s="79" t="e">
        <f t="shared" si="26"/>
        <v>#VALUE!</v>
      </c>
      <c r="AG151" s="79" t="e">
        <f t="shared" si="26"/>
        <v>#VALUE!</v>
      </c>
      <c r="AH151" s="79"/>
      <c r="AI151" s="224"/>
      <c r="AJ151" s="225" t="e">
        <f t="shared" si="26"/>
        <v>#VALUE!</v>
      </c>
      <c r="AK151" s="192" t="e">
        <f t="shared" si="26"/>
        <v>#VALUE!</v>
      </c>
      <c r="AL151" s="79" t="e">
        <f t="shared" si="26"/>
        <v>#VALUE!</v>
      </c>
      <c r="AM151" s="79" t="e">
        <f t="shared" si="26"/>
        <v>#VALUE!</v>
      </c>
      <c r="AN151" s="79" t="e">
        <f t="shared" si="26"/>
        <v>#VALUE!</v>
      </c>
      <c r="AO151" s="79" t="e">
        <f t="shared" si="26"/>
        <v>#VALUE!</v>
      </c>
      <c r="AP151" s="79" t="e">
        <f t="shared" si="26"/>
        <v>#REF!</v>
      </c>
      <c r="AQ151" s="79" t="e">
        <f t="shared" si="26"/>
        <v>#VALUE!</v>
      </c>
      <c r="AR151" s="79" t="e">
        <f t="shared" si="26"/>
        <v>#REF!</v>
      </c>
      <c r="AS151" s="239" t="e">
        <f t="shared" si="26"/>
        <v>#VALUE!</v>
      </c>
      <c r="AT151" s="240">
        <f t="shared" si="26"/>
        <v>4590772100</v>
      </c>
      <c r="AU151" s="79" t="s">
        <v>21</v>
      </c>
      <c r="AV151" s="225"/>
    </row>
    <row r="152" spans="1:48" s="4" customFormat="1" ht="24.95" customHeight="1">
      <c r="J152" s="179"/>
      <c r="K152" s="25">
        <f>DATA!E160</f>
        <v>8</v>
      </c>
      <c r="L152" s="108" t="str">
        <f>DATA!F160</f>
        <v>Kementerian Riset, Teknologi, dan Pendidikan Tinggi</v>
      </c>
      <c r="M152" s="25"/>
      <c r="N152" s="27"/>
      <c r="O152" s="26"/>
      <c r="P152" s="26"/>
      <c r="Q152" s="193"/>
      <c r="R152" s="194">
        <f>+R153</f>
        <v>290311500</v>
      </c>
      <c r="S152" s="195">
        <f>+S153</f>
        <v>290311500</v>
      </c>
      <c r="T152" s="80">
        <f t="shared" ref="T152:AT152" si="27">+T153</f>
        <v>25421200</v>
      </c>
      <c r="U152" s="80">
        <f t="shared" si="27"/>
        <v>0</v>
      </c>
      <c r="V152" s="80">
        <f t="shared" si="27"/>
        <v>315732700</v>
      </c>
      <c r="W152" s="80"/>
      <c r="X152" s="80" t="e">
        <f t="shared" si="27"/>
        <v>#VALUE!</v>
      </c>
      <c r="Y152" s="80">
        <f t="shared" si="27"/>
        <v>290311500</v>
      </c>
      <c r="Z152" s="80">
        <f t="shared" si="27"/>
        <v>0</v>
      </c>
      <c r="AA152" s="213"/>
      <c r="AB152" s="195">
        <f t="shared" si="27"/>
        <v>0</v>
      </c>
      <c r="AC152" s="80" t="e">
        <f t="shared" si="27"/>
        <v>#VALUE!</v>
      </c>
      <c r="AD152" s="80" t="e">
        <f t="shared" si="27"/>
        <v>#VALUE!</v>
      </c>
      <c r="AE152" s="80" t="e">
        <f t="shared" si="27"/>
        <v>#VALUE!</v>
      </c>
      <c r="AF152" s="80" t="e">
        <f t="shared" si="27"/>
        <v>#VALUE!</v>
      </c>
      <c r="AG152" s="80" t="e">
        <f t="shared" si="27"/>
        <v>#VALUE!</v>
      </c>
      <c r="AH152" s="80"/>
      <c r="AI152" s="226"/>
      <c r="AJ152" s="227" t="e">
        <f t="shared" si="27"/>
        <v>#VALUE!</v>
      </c>
      <c r="AK152" s="195" t="e">
        <f t="shared" si="27"/>
        <v>#VALUE!</v>
      </c>
      <c r="AL152" s="80" t="e">
        <f t="shared" si="27"/>
        <v>#VALUE!</v>
      </c>
      <c r="AM152" s="80" t="e">
        <f t="shared" si="27"/>
        <v>#VALUE!</v>
      </c>
      <c r="AN152" s="80" t="e">
        <f t="shared" si="27"/>
        <v>#VALUE!</v>
      </c>
      <c r="AO152" s="80" t="e">
        <f t="shared" si="27"/>
        <v>#VALUE!</v>
      </c>
      <c r="AP152" s="80" t="e">
        <f t="shared" si="27"/>
        <v>#REF!</v>
      </c>
      <c r="AQ152" s="80">
        <f t="shared" si="27"/>
        <v>0</v>
      </c>
      <c r="AR152" s="80" t="e">
        <f t="shared" si="27"/>
        <v>#REF!</v>
      </c>
      <c r="AS152" s="241" t="e">
        <f t="shared" si="27"/>
        <v>#VALUE!</v>
      </c>
      <c r="AT152" s="242">
        <f t="shared" si="27"/>
        <v>290311500</v>
      </c>
      <c r="AU152" s="80" t="s">
        <v>21</v>
      </c>
      <c r="AV152" s="227"/>
    </row>
    <row r="153" spans="1:48" s="5" customFormat="1" ht="33.75" customHeight="1">
      <c r="J153" s="180"/>
      <c r="K153" s="29"/>
      <c r="L153" s="30" t="str">
        <f>DATA!I160</f>
        <v>A</v>
      </c>
      <c r="M153" s="3427" t="str">
        <f>DATA!J160</f>
        <v xml:space="preserve">Program Peningkatan Akses, Kualitas, Relevansi, dan Daya Saing Pendidikan Tinggi </v>
      </c>
      <c r="N153" s="3428"/>
      <c r="O153" s="31"/>
      <c r="P153" s="31"/>
      <c r="Q153" s="196"/>
      <c r="R153" s="197">
        <f>R154+R155+R156+R157+R158+R159+R160</f>
        <v>290311500</v>
      </c>
      <c r="S153" s="198">
        <f t="shared" ref="S153:AT153" si="28">S154+S155+S156+S157+S158+S159+S160</f>
        <v>290311500</v>
      </c>
      <c r="T153" s="81">
        <f t="shared" si="28"/>
        <v>25421200</v>
      </c>
      <c r="U153" s="81">
        <f t="shared" si="28"/>
        <v>0</v>
      </c>
      <c r="V153" s="81">
        <f t="shared" si="28"/>
        <v>315732700</v>
      </c>
      <c r="W153" s="81" t="e">
        <f t="shared" si="28"/>
        <v>#VALUE!</v>
      </c>
      <c r="X153" s="81" t="e">
        <f t="shared" si="28"/>
        <v>#VALUE!</v>
      </c>
      <c r="Y153" s="81">
        <f t="shared" si="28"/>
        <v>290311500</v>
      </c>
      <c r="Z153" s="81">
        <f t="shared" si="28"/>
        <v>0</v>
      </c>
      <c r="AA153" s="214"/>
      <c r="AB153" s="198">
        <f t="shared" si="28"/>
        <v>0</v>
      </c>
      <c r="AC153" s="81" t="e">
        <f t="shared" si="28"/>
        <v>#VALUE!</v>
      </c>
      <c r="AD153" s="81" t="e">
        <f t="shared" si="28"/>
        <v>#VALUE!</v>
      </c>
      <c r="AE153" s="81" t="e">
        <f t="shared" si="28"/>
        <v>#VALUE!</v>
      </c>
      <c r="AF153" s="81" t="e">
        <f t="shared" si="28"/>
        <v>#VALUE!</v>
      </c>
      <c r="AG153" s="81" t="e">
        <f t="shared" si="28"/>
        <v>#VALUE!</v>
      </c>
      <c r="AH153" s="81"/>
      <c r="AI153" s="228"/>
      <c r="AJ153" s="229" t="e">
        <f t="shared" si="28"/>
        <v>#VALUE!</v>
      </c>
      <c r="AK153" s="198" t="e">
        <f t="shared" si="28"/>
        <v>#VALUE!</v>
      </c>
      <c r="AL153" s="81" t="e">
        <f t="shared" si="28"/>
        <v>#VALUE!</v>
      </c>
      <c r="AM153" s="81" t="e">
        <f t="shared" si="28"/>
        <v>#VALUE!</v>
      </c>
      <c r="AN153" s="81" t="e">
        <f t="shared" si="28"/>
        <v>#VALUE!</v>
      </c>
      <c r="AO153" s="81" t="e">
        <f t="shared" si="28"/>
        <v>#VALUE!</v>
      </c>
      <c r="AP153" s="81" t="e">
        <f t="shared" si="28"/>
        <v>#REF!</v>
      </c>
      <c r="AQ153" s="81">
        <f t="shared" si="28"/>
        <v>0</v>
      </c>
      <c r="AR153" s="81" t="e">
        <f t="shared" si="28"/>
        <v>#REF!</v>
      </c>
      <c r="AS153" s="243" t="e">
        <f t="shared" si="28"/>
        <v>#VALUE!</v>
      </c>
      <c r="AT153" s="244">
        <f t="shared" si="28"/>
        <v>290311500</v>
      </c>
      <c r="AU153" s="81" t="s">
        <v>21</v>
      </c>
      <c r="AV153" s="229"/>
    </row>
    <row r="154" spans="1:48" ht="39" customHeight="1">
      <c r="A154" s="10">
        <f>DATA!A161</f>
        <v>114</v>
      </c>
      <c r="B154" s="10">
        <f>DATA!B161</f>
        <v>0</v>
      </c>
      <c r="C154" s="10" t="str">
        <f>DATA!D161</f>
        <v>NON-INFRASTRUKTUR</v>
      </c>
      <c r="D154" s="10">
        <f>DATA!E161</f>
        <v>8</v>
      </c>
      <c r="E154" s="10" t="str">
        <f>DATA!F161</f>
        <v>Kementerian Riset, Teknologi, dan Pendidikan Tinggi</v>
      </c>
      <c r="F154" s="10" t="str">
        <f>DATA!H161</f>
        <v>Improving Access, Quality, Relevance, and Competitiveness of Higher Education Program</v>
      </c>
      <c r="G154" s="10" t="str">
        <f>DATA!I161</f>
        <v>A</v>
      </c>
      <c r="H154" s="10" t="str">
        <f>DATA!J161</f>
        <v xml:space="preserve">Program Peningkatan Akses, Kualitas, Relevansi, dan Daya Saing Pendidikan Tinggi </v>
      </c>
      <c r="I154" s="10">
        <f>DATA!K161</f>
        <v>1</v>
      </c>
      <c r="J154" s="181"/>
      <c r="K154" s="34"/>
      <c r="L154" s="34"/>
      <c r="M154" s="172">
        <v>104</v>
      </c>
      <c r="N154" s="37" t="str">
        <f>DATA!L161</f>
        <v>The Development of Sultan Ageng Tirtayasa University (UNTIRTA)</v>
      </c>
      <c r="O154" s="20">
        <f>DATA!Q161</f>
        <v>0.14285714285714285</v>
      </c>
      <c r="P154" s="20">
        <f>DATA!R161</f>
        <v>0</v>
      </c>
      <c r="Q154" s="186">
        <f>DATA!S161</f>
        <v>0</v>
      </c>
      <c r="R154" s="187">
        <f>DATA!T161</f>
        <v>49882300</v>
      </c>
      <c r="S154" s="203">
        <f>DATA!U161</f>
        <v>49882300</v>
      </c>
      <c r="T154" s="77">
        <f>DATA!V161</f>
        <v>3797300</v>
      </c>
      <c r="U154" s="77">
        <f>DATA!W161</f>
        <v>0</v>
      </c>
      <c r="V154" s="77">
        <f>DATA!X161</f>
        <v>53679600</v>
      </c>
      <c r="W154" s="78" t="str">
        <f>DATA!Y161</f>
        <v>IDB</v>
      </c>
      <c r="X154" s="20" t="str">
        <f>DATA!Z161</f>
        <v>Multilateral</v>
      </c>
      <c r="Y154" s="77">
        <f>DATA!AA161</f>
        <v>49882300</v>
      </c>
      <c r="Z154" s="77"/>
      <c r="AA154" s="216" t="str">
        <f>DATA!Y161</f>
        <v>IDB</v>
      </c>
      <c r="AB154" s="188">
        <f>DATA!AG161</f>
        <v>0</v>
      </c>
      <c r="AC154" s="20" t="str">
        <f>DATA!AH161</f>
        <v>Tanpa keterangan</v>
      </c>
      <c r="AD154" s="37" t="str">
        <f>DATA!AI161</f>
        <v xml:space="preserve">Penyusunan R/C
</v>
      </c>
      <c r="AE154" s="152" t="str">
        <f>DATA!AR161</f>
        <v>-</v>
      </c>
      <c r="AF154" s="152" t="str">
        <f>DATA!AN161</f>
        <v>siap</v>
      </c>
      <c r="AG154" s="152" t="str">
        <f>DATA!AO161</f>
        <v>siap</v>
      </c>
      <c r="AH154" s="37" t="str">
        <f>DATA!AJ161</f>
        <v>- Pemrosesan FS
- AMDAL proses lelang</v>
      </c>
      <c r="AI154" s="232">
        <f>DATA!AK161</f>
        <v>1</v>
      </c>
      <c r="AJ154" s="230" t="str">
        <f>DATA!AL161</f>
        <v>-</v>
      </c>
      <c r="AK154" s="231" t="str">
        <f>DATA!AR161</f>
        <v>-</v>
      </c>
      <c r="AL154" s="20" t="str">
        <f>DATA!AN161</f>
        <v>siap</v>
      </c>
      <c r="AM154" s="20" t="str">
        <f>DATA!AO161</f>
        <v>siap</v>
      </c>
      <c r="AN154" s="20" t="str">
        <f>DATA!AP161</f>
        <v>belum ada proses tender/lelang</v>
      </c>
      <c r="AO154" s="20" t="str">
        <f>DATA!AY161</f>
        <v>Surat Sekjen nomor 1532/A.A1/PR/2015 tgl 9 September 2015</v>
      </c>
      <c r="AP154" s="20" t="e">
        <f>DATA!#REF!</f>
        <v>#REF!</v>
      </c>
      <c r="AQ154" s="20">
        <f>DATA!AZ161</f>
        <v>0</v>
      </c>
      <c r="AR154" s="152" t="e">
        <f>DATA!#REF!</f>
        <v>#REF!</v>
      </c>
      <c r="AS154" s="199" t="str">
        <f>DATA!BA161</f>
        <v>Pembangunan sarana dan prasarana pendidikan (gedung perkuliahan, laboratorium dan sarana pendukung lainnya)  dan pengembangan landscape dan infrastruktur</v>
      </c>
      <c r="AT154" s="245">
        <f>DATA!AT161</f>
        <v>49882300</v>
      </c>
      <c r="AU154" s="109" t="str">
        <f>DATA!AU161</f>
        <v>IDB</v>
      </c>
      <c r="AV154" s="248" t="str">
        <f>DATA!AW161</f>
        <v>-</v>
      </c>
    </row>
    <row r="155" spans="1:48" ht="40.5" customHeight="1">
      <c r="A155" s="10">
        <f>DATA!A162</f>
        <v>115</v>
      </c>
      <c r="B155" s="10">
        <f>DATA!B162</f>
        <v>0</v>
      </c>
      <c r="C155" s="10" t="str">
        <f>DATA!D162</f>
        <v>NON-INFRASTRUKTUR</v>
      </c>
      <c r="D155" s="10">
        <f>DATA!E162</f>
        <v>8</v>
      </c>
      <c r="E155" s="10" t="str">
        <f>DATA!F162</f>
        <v>Kementerian Riset, Teknologi, dan Pendidikan Tinggi</v>
      </c>
      <c r="F155" s="10" t="str">
        <f>DATA!H162</f>
        <v>Improving Access, Quality, Relevance, and Competitiveness of Higher Education Program</v>
      </c>
      <c r="G155" s="10" t="str">
        <f>DATA!I162</f>
        <v>A</v>
      </c>
      <c r="H155" s="10" t="str">
        <f>DATA!J162</f>
        <v xml:space="preserve">Program Peningkatan Akses, Kualitas, Relevansi, dan Daya Saing Pendidikan Tinggi </v>
      </c>
      <c r="I155" s="10">
        <f>DATA!K162</f>
        <v>1</v>
      </c>
      <c r="J155" s="181"/>
      <c r="K155" s="34"/>
      <c r="L155" s="34"/>
      <c r="M155" s="172">
        <v>105</v>
      </c>
      <c r="N155" s="37" t="str">
        <f>DATA!L162</f>
        <v>Development for State University of Malang as The Learning University</v>
      </c>
      <c r="O155" s="20">
        <f>DATA!Q162</f>
        <v>0.14285714285714285</v>
      </c>
      <c r="P155" s="20">
        <f>DATA!R162</f>
        <v>0</v>
      </c>
      <c r="Q155" s="186">
        <f>DATA!S162</f>
        <v>0</v>
      </c>
      <c r="R155" s="187">
        <f>DATA!T162</f>
        <v>38400000</v>
      </c>
      <c r="S155" s="203">
        <f>DATA!U162</f>
        <v>38400000</v>
      </c>
      <c r="T155" s="77">
        <f>DATA!V162</f>
        <v>9335300</v>
      </c>
      <c r="U155" s="77">
        <f>DATA!W162</f>
        <v>0</v>
      </c>
      <c r="V155" s="77">
        <f>DATA!X162</f>
        <v>47735300</v>
      </c>
      <c r="W155" s="78" t="str">
        <f>DATA!Y162</f>
        <v>IDB</v>
      </c>
      <c r="X155" s="20" t="str">
        <f>DATA!Z162</f>
        <v>Multilateral</v>
      </c>
      <c r="Y155" s="77">
        <f>DATA!AA162</f>
        <v>38400000</v>
      </c>
      <c r="Z155" s="77"/>
      <c r="AA155" s="216" t="str">
        <f>DATA!Y162</f>
        <v>IDB</v>
      </c>
      <c r="AB155" s="188">
        <f>DATA!AG162</f>
        <v>0</v>
      </c>
      <c r="AC155" s="20" t="str">
        <f>DATA!AH162</f>
        <v>Tanpa keterangan</v>
      </c>
      <c r="AD155" s="37" t="str">
        <f>DATA!AI162</f>
        <v xml:space="preserve">Penyusunan R/C
</v>
      </c>
      <c r="AE155" s="152" t="str">
        <f>DATA!AR162</f>
        <v>-</v>
      </c>
      <c r="AF155" s="152" t="str">
        <f>DATA!AN162</f>
        <v>siap</v>
      </c>
      <c r="AG155" s="152" t="str">
        <f>DATA!AO162</f>
        <v>siap</v>
      </c>
      <c r="AH155" s="37" t="str">
        <f>DATA!AJ162</f>
        <v>- FS
- AMDAL dalam proses</v>
      </c>
      <c r="AI155" s="232">
        <f>DATA!AK162</f>
        <v>1</v>
      </c>
      <c r="AJ155" s="230" t="str">
        <f>DATA!AL162</f>
        <v>-</v>
      </c>
      <c r="AK155" s="231" t="str">
        <f>DATA!AR162</f>
        <v>-</v>
      </c>
      <c r="AL155" s="20" t="str">
        <f>DATA!AN162</f>
        <v>siap</v>
      </c>
      <c r="AM155" s="20" t="str">
        <f>DATA!AO162</f>
        <v>siap</v>
      </c>
      <c r="AN155" s="20" t="str">
        <f>DATA!AP162</f>
        <v>belum ada proses tender/lelang</v>
      </c>
      <c r="AO155" s="20" t="str">
        <f>DATA!AY162</f>
        <v>Surat Sekjen nomor 1532/A.A1/PR/2015 tgl 9 September 2015</v>
      </c>
      <c r="AP155" s="20" t="e">
        <f>DATA!#REF!</f>
        <v>#REF!</v>
      </c>
      <c r="AQ155" s="20">
        <f>DATA!AZ162</f>
        <v>0</v>
      </c>
      <c r="AR155" s="152" t="e">
        <f>DATA!#REF!</f>
        <v>#REF!</v>
      </c>
      <c r="AS155" s="199" t="str">
        <f>DATA!BA162</f>
        <v>Pembangunan sarana dan prasarana perkuliahan (ruang kuliah, ruang dosen, peralatan laboratorium, instalasi jaringan listrik dan telekomunikasi, instalasi air bersih, sanitasi dan mekanikal engineering) dan pengembangan SDM.</v>
      </c>
      <c r="AT155" s="245">
        <f>DATA!AT162</f>
        <v>38400000</v>
      </c>
      <c r="AU155" s="109" t="str">
        <f>DATA!AU162</f>
        <v>IDB</v>
      </c>
      <c r="AV155" s="248" t="str">
        <f>DATA!AW162</f>
        <v>-</v>
      </c>
    </row>
    <row r="156" spans="1:48" ht="45" customHeight="1">
      <c r="A156" s="10">
        <f>DATA!A163</f>
        <v>116</v>
      </c>
      <c r="B156" s="10">
        <f>DATA!B163</f>
        <v>0</v>
      </c>
      <c r="C156" s="10" t="str">
        <f>DATA!D163</f>
        <v>NON-INFRASTRUKTUR</v>
      </c>
      <c r="D156" s="10">
        <f>DATA!E163</f>
        <v>8</v>
      </c>
      <c r="E156" s="10" t="str">
        <f>DATA!F163</f>
        <v>Kementerian Riset, Teknologi, dan Pendidikan Tinggi</v>
      </c>
      <c r="F156" s="10" t="str">
        <f>DATA!H163</f>
        <v>Improving Access, Quality, Relevance, and Competitiveness of Higher Education Program</v>
      </c>
      <c r="G156" s="10" t="str">
        <f>DATA!I163</f>
        <v>A</v>
      </c>
      <c r="H156" s="10" t="str">
        <f>DATA!J163</f>
        <v xml:space="preserve">Program Peningkatan Akses, Kualitas, Relevansi, dan Daya Saing Pendidikan Tinggi </v>
      </c>
      <c r="I156" s="10">
        <f>DATA!K163</f>
        <v>1</v>
      </c>
      <c r="J156" s="181"/>
      <c r="K156" s="34"/>
      <c r="L156" s="34"/>
      <c r="M156" s="172">
        <v>106</v>
      </c>
      <c r="N156" s="37" t="str">
        <f>DATA!L163</f>
        <v>The Development and Upgrading Mulawarman University</v>
      </c>
      <c r="O156" s="20">
        <f>DATA!Q163</f>
        <v>0.14285714285714285</v>
      </c>
      <c r="P156" s="20">
        <f>DATA!R163</f>
        <v>0</v>
      </c>
      <c r="Q156" s="186">
        <f>DATA!S163</f>
        <v>0</v>
      </c>
      <c r="R156" s="187">
        <f>DATA!T163</f>
        <v>44400000</v>
      </c>
      <c r="S156" s="203">
        <f>DATA!U163</f>
        <v>44400000</v>
      </c>
      <c r="T156" s="77">
        <f>DATA!V163</f>
        <v>485800</v>
      </c>
      <c r="U156" s="77">
        <f>DATA!W163</f>
        <v>0</v>
      </c>
      <c r="V156" s="77">
        <f>DATA!X163</f>
        <v>44885800</v>
      </c>
      <c r="W156" s="78" t="str">
        <f>DATA!Y163</f>
        <v>IDB</v>
      </c>
      <c r="X156" s="20" t="str">
        <f>DATA!Z163</f>
        <v>Multilateral</v>
      </c>
      <c r="Y156" s="77">
        <f>DATA!AA163</f>
        <v>44400000</v>
      </c>
      <c r="Z156" s="77"/>
      <c r="AA156" s="216" t="str">
        <f>DATA!Y163</f>
        <v>IDB</v>
      </c>
      <c r="AB156" s="188">
        <f>DATA!AG163</f>
        <v>0</v>
      </c>
      <c r="AC156" s="20" t="str">
        <f>DATA!AH163</f>
        <v>Tanpa keterangan</v>
      </c>
      <c r="AD156" s="37" t="str">
        <f>DATA!AI163</f>
        <v xml:space="preserve">Penyusunan R/C
</v>
      </c>
      <c r="AE156" s="152" t="str">
        <f>DATA!AR163</f>
        <v>-</v>
      </c>
      <c r="AF156" s="152" t="str">
        <f>DATA!AN163</f>
        <v>siap</v>
      </c>
      <c r="AG156" s="152" t="str">
        <f>DATA!AO163</f>
        <v>siap</v>
      </c>
      <c r="AH156" s="37" t="str">
        <f>DATA!AJ163</f>
        <v>FS dan AMDAL target Desember 2015</v>
      </c>
      <c r="AI156" s="232">
        <f>DATA!AK163</f>
        <v>1</v>
      </c>
      <c r="AJ156" s="230" t="str">
        <f>DATA!AL163</f>
        <v>-</v>
      </c>
      <c r="AK156" s="231" t="str">
        <f>DATA!AR163</f>
        <v>-</v>
      </c>
      <c r="AL156" s="20" t="str">
        <f>DATA!AN163</f>
        <v>siap</v>
      </c>
      <c r="AM156" s="20" t="str">
        <f>DATA!AO163</f>
        <v>siap</v>
      </c>
      <c r="AN156" s="20" t="str">
        <f>DATA!AP163</f>
        <v>belum ada proses tender/lelang</v>
      </c>
      <c r="AO156" s="20" t="str">
        <f>DATA!AY163</f>
        <v>Surat Sekjen nomor 1532/A.A1/PR/2015 tgl 9 September 2015</v>
      </c>
      <c r="AP156" s="20" t="e">
        <f>DATA!#REF!</f>
        <v>#REF!</v>
      </c>
      <c r="AQ156" s="20">
        <f>DATA!AZ163</f>
        <v>0</v>
      </c>
      <c r="AR156" s="152" t="e">
        <f>DATA!#REF!</f>
        <v>#REF!</v>
      </c>
      <c r="AS156" s="199"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c r="AT156" s="245">
        <f>DATA!AT163</f>
        <v>44400000</v>
      </c>
      <c r="AU156" s="109" t="str">
        <f>DATA!AU163</f>
        <v>IDB</v>
      </c>
      <c r="AV156" s="248" t="str">
        <f>DATA!AW163</f>
        <v>-</v>
      </c>
    </row>
    <row r="157" spans="1:48" ht="67.5" customHeight="1">
      <c r="A157" s="10">
        <f>DATA!A164</f>
        <v>117</v>
      </c>
      <c r="B157" s="10">
        <f>DATA!B164</f>
        <v>0</v>
      </c>
      <c r="C157" s="10" t="str">
        <f>DATA!D164</f>
        <v>NON-INFRASTRUKTUR</v>
      </c>
      <c r="D157" s="10">
        <f>DATA!E164</f>
        <v>8</v>
      </c>
      <c r="E157" s="10" t="str">
        <f>DATA!F164</f>
        <v>Kementerian Riset, Teknologi, dan Pendidikan Tinggi</v>
      </c>
      <c r="F157" s="10" t="str">
        <f>DATA!H164</f>
        <v>Improving Access, Quality, Relevance, and Competitiveness of Higher Education Program</v>
      </c>
      <c r="G157" s="10" t="str">
        <f>DATA!I164</f>
        <v>A</v>
      </c>
      <c r="H157" s="10" t="str">
        <f>DATA!J164</f>
        <v xml:space="preserve">Program Peningkatan Akses, Kualitas, Relevansi, dan Daya Saing Pendidikan Tinggi </v>
      </c>
      <c r="I157" s="10">
        <f>DATA!K164</f>
        <v>1</v>
      </c>
      <c r="J157" s="181"/>
      <c r="K157" s="34"/>
      <c r="L157" s="34"/>
      <c r="M157" s="172">
        <v>107</v>
      </c>
      <c r="N157" s="37" t="str">
        <f>DATA!L164</f>
        <v>Improvement of The Capacity and Contribution of The University of Jember on Standardized and Excellent Tridharma Implementation in South East Asia Region</v>
      </c>
      <c r="O157" s="20">
        <f>DATA!Q164</f>
        <v>0.14285714285714285</v>
      </c>
      <c r="P157" s="20">
        <f>DATA!R164</f>
        <v>0</v>
      </c>
      <c r="Q157" s="186">
        <f>DATA!S164</f>
        <v>0</v>
      </c>
      <c r="R157" s="187">
        <f>DATA!T164</f>
        <v>44091200</v>
      </c>
      <c r="S157" s="203">
        <f>DATA!U164</f>
        <v>44091200</v>
      </c>
      <c r="T157" s="77">
        <f>DATA!V164</f>
        <v>1992700</v>
      </c>
      <c r="U157" s="77">
        <f>DATA!W164</f>
        <v>0</v>
      </c>
      <c r="V157" s="77">
        <f>DATA!X164</f>
        <v>46083900</v>
      </c>
      <c r="W157" s="78" t="str">
        <f>DATA!Y164</f>
        <v>IDB</v>
      </c>
      <c r="X157" s="20" t="str">
        <f>DATA!Z164</f>
        <v>Multilateral</v>
      </c>
      <c r="Y157" s="77">
        <f>DATA!AA164</f>
        <v>44091200</v>
      </c>
      <c r="Z157" s="77"/>
      <c r="AA157" s="216" t="str">
        <f>DATA!Y164</f>
        <v>IDB</v>
      </c>
      <c r="AB157" s="188">
        <f>DATA!AG164</f>
        <v>0</v>
      </c>
      <c r="AC157" s="20" t="str">
        <f>DATA!AH164</f>
        <v>Tanpa keterangan</v>
      </c>
      <c r="AD157" s="37" t="str">
        <f>DATA!AI164</f>
        <v xml:space="preserve">Penyusunan R/C
</v>
      </c>
      <c r="AE157" s="152" t="str">
        <f>DATA!AR164</f>
        <v>-</v>
      </c>
      <c r="AF157" s="152" t="str">
        <f>DATA!AN164</f>
        <v>siap</v>
      </c>
      <c r="AG157" s="152" t="str">
        <f>DATA!AO164</f>
        <v>siap</v>
      </c>
      <c r="AH157" s="37" t="str">
        <f>DATA!AJ164</f>
        <v>- Penyusunan AMDAL dan DED</v>
      </c>
      <c r="AI157" s="232">
        <f>DATA!AK164</f>
        <v>1</v>
      </c>
      <c r="AJ157" s="230" t="str">
        <f>DATA!AL164</f>
        <v>-</v>
      </c>
      <c r="AK157" s="231" t="str">
        <f>DATA!AR164</f>
        <v>-</v>
      </c>
      <c r="AL157" s="20" t="str">
        <f>DATA!AN164</f>
        <v>siap</v>
      </c>
      <c r="AM157" s="20" t="str">
        <f>DATA!AO164</f>
        <v>siap</v>
      </c>
      <c r="AN157" s="20" t="str">
        <f>DATA!AP164</f>
        <v>belum ada proses tender/lelang</v>
      </c>
      <c r="AO157" s="20" t="str">
        <f>DATA!AY164</f>
        <v>Surat Sekjen nomor 1532/A.A1/PR/2015 tgl 9 September 2015</v>
      </c>
      <c r="AP157" s="20" t="e">
        <f>DATA!#REF!</f>
        <v>#REF!</v>
      </c>
      <c r="AQ157" s="20">
        <f>DATA!AZ164</f>
        <v>0</v>
      </c>
      <c r="AR157" s="152" t="e">
        <f>DATA!#REF!</f>
        <v>#REF!</v>
      </c>
      <c r="AS157" s="199" t="str">
        <f>DATA!BA164</f>
        <v>Pembangunan sarana dan prasarana perkuliahan, pengadaan peralatan, pengembangan SDM, dan jasa konsultan</v>
      </c>
      <c r="AT157" s="245">
        <f>DATA!AT164</f>
        <v>44091200</v>
      </c>
      <c r="AU157" s="109" t="str">
        <f>DATA!AU164</f>
        <v>IDB</v>
      </c>
      <c r="AV157" s="248" t="str">
        <f>DATA!AW164</f>
        <v>-</v>
      </c>
    </row>
    <row r="158" spans="1:48" ht="48" customHeight="1">
      <c r="A158" s="10">
        <f>DATA!A165</f>
        <v>118</v>
      </c>
      <c r="B158" s="10">
        <f>DATA!B165</f>
        <v>0</v>
      </c>
      <c r="C158" s="10" t="str">
        <f>DATA!D165</f>
        <v>NON-INFRASTRUKTUR</v>
      </c>
      <c r="D158" s="10">
        <f>DATA!E165</f>
        <v>8</v>
      </c>
      <c r="E158" s="10" t="str">
        <f>DATA!F165</f>
        <v>Kementerian Riset, Teknologi, dan Pendidikan Tinggi</v>
      </c>
      <c r="F158" s="10" t="str">
        <f>DATA!H165</f>
        <v>Improving Access, Quality, Relevance, and Competitiveness of Higher Education Program</v>
      </c>
      <c r="G158" s="10" t="str">
        <f>DATA!I165</f>
        <v>A</v>
      </c>
      <c r="H158" s="10" t="str">
        <f>DATA!J165</f>
        <v xml:space="preserve">Program Peningkatan Akses, Kualitas, Relevansi, dan Daya Saing Pendidikan Tinggi </v>
      </c>
      <c r="I158" s="10">
        <f>DATA!K165</f>
        <v>1</v>
      </c>
      <c r="J158" s="181"/>
      <c r="K158" s="34"/>
      <c r="L158" s="34"/>
      <c r="M158" s="172">
        <v>108</v>
      </c>
      <c r="N158" s="37" t="str">
        <f>DATA!L165</f>
        <v>The Plan of Hasanuddin University Hospital Development</v>
      </c>
      <c r="O158" s="20">
        <f>DATA!Q165</f>
        <v>0.14285714285714285</v>
      </c>
      <c r="P158" s="20">
        <f>DATA!R165</f>
        <v>0</v>
      </c>
      <c r="Q158" s="186">
        <f>DATA!S165</f>
        <v>0</v>
      </c>
      <c r="R158" s="187">
        <f>DATA!T165</f>
        <v>31565800</v>
      </c>
      <c r="S158" s="203">
        <f>DATA!U165</f>
        <v>31565800</v>
      </c>
      <c r="T158" s="77">
        <f>DATA!V165</f>
        <v>2586200</v>
      </c>
      <c r="U158" s="77">
        <f>DATA!W165</f>
        <v>0</v>
      </c>
      <c r="V158" s="77">
        <f>DATA!X165</f>
        <v>34152000</v>
      </c>
      <c r="W158" s="78" t="str">
        <f>DATA!Y165</f>
        <v>Jerman (KfW)</v>
      </c>
      <c r="X158" s="20" t="str">
        <f>DATA!Z165</f>
        <v>Bilateral</v>
      </c>
      <c r="Y158" s="77">
        <f>DATA!AA165</f>
        <v>31565800</v>
      </c>
      <c r="Z158" s="77"/>
      <c r="AA158" s="216" t="str">
        <f>DATA!Y165</f>
        <v>Jerman (KfW)</v>
      </c>
      <c r="AB158" s="188">
        <f>DATA!AG165</f>
        <v>0</v>
      </c>
      <c r="AC158" s="20" t="str">
        <f>DATA!AH165</f>
        <v>Tanpa keterangan</v>
      </c>
      <c r="AD158" s="37" t="str">
        <f>DATA!AI165</f>
        <v xml:space="preserve">Penyusunan R/C
</v>
      </c>
      <c r="AE158" s="152" t="str">
        <f>DATA!AR165</f>
        <v>-</v>
      </c>
      <c r="AF158" s="152" t="str">
        <f>DATA!AN165</f>
        <v>siap</v>
      </c>
      <c r="AG158" s="152" t="str">
        <f>DATA!AO165</f>
        <v>siap</v>
      </c>
      <c r="AH158" s="37" t="str">
        <f>DATA!AJ165</f>
        <v>AMDAL</v>
      </c>
      <c r="AI158" s="232">
        <f>DATA!AK165</f>
        <v>1</v>
      </c>
      <c r="AJ158" s="230" t="str">
        <f>DATA!AL165</f>
        <v>-</v>
      </c>
      <c r="AK158" s="231" t="str">
        <f>DATA!AR165</f>
        <v>-</v>
      </c>
      <c r="AL158" s="20" t="str">
        <f>DATA!AN165</f>
        <v>siap</v>
      </c>
      <c r="AM158" s="20" t="str">
        <f>DATA!AO165</f>
        <v>siap</v>
      </c>
      <c r="AN158" s="20" t="str">
        <f>DATA!AP165</f>
        <v>belum ada proses tender/lelang</v>
      </c>
      <c r="AO158" s="20" t="str">
        <f>DATA!AY165</f>
        <v>Surat Sekjen nomor 1532/A.A1/PR/2015 tgl 9 September 2015</v>
      </c>
      <c r="AP158" s="20" t="e">
        <f>DATA!#REF!</f>
        <v>#REF!</v>
      </c>
      <c r="AQ158" s="20">
        <f>DATA!AZ165</f>
        <v>0</v>
      </c>
      <c r="AR158" s="152" t="e">
        <f>DATA!#REF!</f>
        <v>#REF!</v>
      </c>
      <c r="AS158" s="199" t="str">
        <f>DATA!BA165</f>
        <v>Pengadaan peralatan, pengembangan SDM, pengembangan telemedicine dan sistem manajemen informasi, dan manajemen dan jasa konsultasi</v>
      </c>
      <c r="AT158" s="245">
        <f>DATA!AT165</f>
        <v>31565800</v>
      </c>
      <c r="AU158" s="109" t="str">
        <f>DATA!AU165</f>
        <v>Jerman (KfW)</v>
      </c>
      <c r="AV158" s="248" t="str">
        <f>DATA!AW165</f>
        <v>-</v>
      </c>
    </row>
    <row r="159" spans="1:48" ht="37.5" customHeight="1">
      <c r="A159" s="10">
        <f>DATA!A166</f>
        <v>119</v>
      </c>
      <c r="B159" s="10">
        <f>DATA!B166</f>
        <v>0</v>
      </c>
      <c r="C159" s="10" t="str">
        <f>DATA!D166</f>
        <v>NON-INFRASTRUKTUR</v>
      </c>
      <c r="D159" s="10">
        <f>DATA!E166</f>
        <v>8</v>
      </c>
      <c r="E159" s="10" t="str">
        <f>DATA!F166</f>
        <v>Kementerian Riset, Teknologi, dan Pendidikan Tinggi</v>
      </c>
      <c r="F159" s="10" t="str">
        <f>DATA!H166</f>
        <v>Improving Access, Quality, Relevance, and Competitiveness of Higher Education Program</v>
      </c>
      <c r="G159" s="10" t="str">
        <f>DATA!I166</f>
        <v>A</v>
      </c>
      <c r="H159" s="10" t="str">
        <f>DATA!J166</f>
        <v xml:space="preserve">Program Peningkatan Akses, Kualitas, Relevansi, dan Daya Saing Pendidikan Tinggi </v>
      </c>
      <c r="I159" s="10">
        <f>DATA!K166</f>
        <v>1</v>
      </c>
      <c r="J159" s="181"/>
      <c r="K159" s="34"/>
      <c r="L159" s="34"/>
      <c r="M159" s="172">
        <v>109</v>
      </c>
      <c r="N159" s="37" t="str">
        <f>DATA!L166</f>
        <v>Establishment of University of Bengkulu’s Hospital</v>
      </c>
      <c r="O159" s="20">
        <f>DATA!Q166</f>
        <v>18000000</v>
      </c>
      <c r="P159" s="20">
        <f>DATA!R166</f>
        <v>0</v>
      </c>
      <c r="Q159" s="186">
        <f>DATA!S166</f>
        <v>0</v>
      </c>
      <c r="R159" s="187">
        <f>DATA!T166</f>
        <v>10278200</v>
      </c>
      <c r="S159" s="203">
        <f>DATA!U166</f>
        <v>10278200</v>
      </c>
      <c r="T159" s="77">
        <f>DATA!V166</f>
        <v>182000</v>
      </c>
      <c r="U159" s="77">
        <f>DATA!W166</f>
        <v>0</v>
      </c>
      <c r="V159" s="77">
        <f>DATA!X166</f>
        <v>10460200</v>
      </c>
      <c r="W159" s="78" t="str">
        <f>DATA!Y166</f>
        <v>JICA</v>
      </c>
      <c r="X159" s="20" t="str">
        <f>DATA!Z166</f>
        <v>Bilateral</v>
      </c>
      <c r="Y159" s="77">
        <f>DATA!AA166</f>
        <v>10278200</v>
      </c>
      <c r="Z159" s="77"/>
      <c r="AA159" s="216" t="str">
        <f>DATA!Y166</f>
        <v>JICA</v>
      </c>
      <c r="AB159" s="188">
        <f>DATA!AG166</f>
        <v>0</v>
      </c>
      <c r="AC159" s="20" t="str">
        <f>DATA!AH166</f>
        <v>Tanpa keterangan</v>
      </c>
      <c r="AD159" s="37" t="str">
        <f>DATA!AI166</f>
        <v xml:space="preserve">Penyusunan R/C
</v>
      </c>
      <c r="AE159" s="152" t="str">
        <f>DATA!AR166</f>
        <v>penyiapan dokumen R/C</v>
      </c>
      <c r="AF159" s="152" t="str">
        <f>DATA!AN166</f>
        <v>siap</v>
      </c>
      <c r="AG159" s="152" t="str">
        <f>DATA!AO166</f>
        <v>siap</v>
      </c>
      <c r="AH159" s="37" t="str">
        <f>DATA!AJ166</f>
        <v>- FS
- AMDAL</v>
      </c>
      <c r="AI159" s="232">
        <f>DATA!AK166</f>
        <v>1</v>
      </c>
      <c r="AJ159" s="230" t="str">
        <f>DATA!AL166</f>
        <v>-</v>
      </c>
      <c r="AK159" s="231" t="str">
        <f>DATA!AR166</f>
        <v>penyiapan dokumen R/C</v>
      </c>
      <c r="AL159" s="20" t="str">
        <f>DATA!AN166</f>
        <v>siap</v>
      </c>
      <c r="AM159" s="20" t="str">
        <f>DATA!AO166</f>
        <v>siap</v>
      </c>
      <c r="AN159" s="20" t="str">
        <f>DATA!AP166</f>
        <v>belum ada proses tender/lelang</v>
      </c>
      <c r="AO159" s="20" t="str">
        <f>DATA!AY166</f>
        <v>- Lender semula adalah IDB namun pihak Kemristekdikti mengkonfirmasikan  Lender untuk kegiatan ini adalah JICA
- Surat Sekjen nomor 1532/A.A1/PR/2015 tgl 9 September 2015</v>
      </c>
      <c r="AP159" s="20" t="e">
        <f>DATA!#REF!</f>
        <v>#REF!</v>
      </c>
      <c r="AQ159" s="20">
        <f>DATA!AZ166</f>
        <v>0</v>
      </c>
      <c r="AR159" s="152" t="e">
        <f>DATA!#REF!</f>
        <v>#REF!</v>
      </c>
      <c r="AS159" s="199" t="str">
        <f>DATA!BA166</f>
        <v>Pembangunan RS Pendidikan di Universitas Bengkulu, pengadaan peralatan medis dan furniture, pengembangan SDM, manajemen proyek, koordinasi, dan pembelajaran</v>
      </c>
      <c r="AT159" s="245">
        <f>DATA!AT166</f>
        <v>10278200</v>
      </c>
      <c r="AU159" s="109" t="str">
        <f>DATA!AU166</f>
        <v>JICA</v>
      </c>
      <c r="AV159" s="248" t="str">
        <f>DATA!AW166</f>
        <v>-</v>
      </c>
    </row>
    <row r="160" spans="1:48" ht="45.75" customHeight="1">
      <c r="A160" s="10">
        <f>DATA!A167</f>
        <v>120</v>
      </c>
      <c r="B160" s="10">
        <f>DATA!B167</f>
        <v>0</v>
      </c>
      <c r="C160" s="10" t="str">
        <f>DATA!D167</f>
        <v>NON-INFRASTRUKTUR</v>
      </c>
      <c r="D160" s="10">
        <f>DATA!E167</f>
        <v>8</v>
      </c>
      <c r="E160" s="10" t="str">
        <f>DATA!F167</f>
        <v>Kementerian Riset, Teknologi, dan Pendidikan Tinggi</v>
      </c>
      <c r="F160" s="10" t="str">
        <f>DATA!H167</f>
        <v>Improving Access, Quality, Relevance, and Competitiveness of Higher Education Program</v>
      </c>
      <c r="G160" s="10" t="str">
        <f>DATA!I167</f>
        <v>A</v>
      </c>
      <c r="H160" s="10" t="str">
        <f>DATA!J167</f>
        <v xml:space="preserve">Program Peningkatan Akses, Kualitas, Relevansi, dan Daya Saing Pendidikan Tinggi </v>
      </c>
      <c r="I160" s="10">
        <f>DATA!K167</f>
        <v>1</v>
      </c>
      <c r="J160" s="181"/>
      <c r="K160" s="54"/>
      <c r="L160" s="54"/>
      <c r="M160" s="172">
        <v>110</v>
      </c>
      <c r="N160" s="37" t="str">
        <f>DATA!L167</f>
        <v>University of Gadjah Mada Achieving World Class University with Socio-Entrepreneurial Spirit</v>
      </c>
      <c r="O160" s="20">
        <f>DATA!Q167</f>
        <v>0.14285714285714285</v>
      </c>
      <c r="P160" s="20">
        <f>DATA!R167</f>
        <v>0</v>
      </c>
      <c r="Q160" s="186">
        <f>DATA!S167</f>
        <v>0</v>
      </c>
      <c r="R160" s="187">
        <f>DATA!T167</f>
        <v>71694000</v>
      </c>
      <c r="S160" s="203">
        <f>DATA!U167</f>
        <v>71694000</v>
      </c>
      <c r="T160" s="77">
        <f>DATA!V167</f>
        <v>7041900</v>
      </c>
      <c r="U160" s="77">
        <f>DATA!W167</f>
        <v>0</v>
      </c>
      <c r="V160" s="77">
        <f>DATA!X167</f>
        <v>78735900</v>
      </c>
      <c r="W160" s="78" t="str">
        <f>DATA!Y167</f>
        <v>JICA</v>
      </c>
      <c r="X160" s="20" t="str">
        <f>DATA!Z167</f>
        <v>Bilateral</v>
      </c>
      <c r="Y160" s="77">
        <f>DATA!AA167</f>
        <v>71694000</v>
      </c>
      <c r="Z160" s="77"/>
      <c r="AA160" s="216" t="str">
        <f>DATA!Y167</f>
        <v>JICA</v>
      </c>
      <c r="AB160" s="188">
        <f>DATA!AG167</f>
        <v>0</v>
      </c>
      <c r="AC160" s="20" t="str">
        <f>DATA!AH167</f>
        <v>Tanpa keterangan</v>
      </c>
      <c r="AD160" s="37" t="str">
        <f>DATA!AI167</f>
        <v xml:space="preserve">Penyusunan R/C
</v>
      </c>
      <c r="AE160" s="152" t="str">
        <f>DATA!AR167</f>
        <v>-</v>
      </c>
      <c r="AF160" s="152" t="str">
        <f>DATA!AN167</f>
        <v>siap</v>
      </c>
      <c r="AG160" s="152" t="str">
        <f>DATA!AO167</f>
        <v>siap</v>
      </c>
      <c r="AH160" s="37" t="str">
        <f>DATA!AJ167</f>
        <v>- FS
- AMDAL dan DED dalam proses</v>
      </c>
      <c r="AI160" s="232">
        <f>DATA!AK167</f>
        <v>0.95</v>
      </c>
      <c r="AJ160" s="230" t="str">
        <f>DATA!AL167</f>
        <v>-</v>
      </c>
      <c r="AK160" s="231" t="str">
        <f>DATA!AR167</f>
        <v>-</v>
      </c>
      <c r="AL160" s="20" t="str">
        <f>DATA!AN167</f>
        <v>siap</v>
      </c>
      <c r="AM160" s="20" t="str">
        <f>DATA!AO167</f>
        <v>siap</v>
      </c>
      <c r="AN160" s="20" t="str">
        <f>DATA!AP167</f>
        <v>belum ada proses tender/lelang</v>
      </c>
      <c r="AO160" s="20" t="str">
        <f>DATA!AY167</f>
        <v>- Lender semula adalah IDB namun pihak Kemristekdikti mengkonfirmasikan  Lender untuk kegiatan ini adalah JICA
- Target penyelesaian lahan akhir Desember 2015
- Surat Sekjen nomor 1532/A.A1/PR/2015 tgl 9 September 2015</v>
      </c>
      <c r="AP160" s="20" t="e">
        <f>DATA!#REF!</f>
        <v>#REF!</v>
      </c>
      <c r="AQ160" s="20">
        <f>DATA!AZ167</f>
        <v>0</v>
      </c>
      <c r="AR160" s="152" t="e">
        <f>DATA!#REF!</f>
        <v>#REF!</v>
      </c>
      <c r="AS160" s="199" t="str">
        <f>DATA!BA167</f>
        <v>Pembangunan gedung baru, pengadaan peralatan, pengembangan SDM dan desain kurikulum, jasa konsultan, dan manajemen proyek</v>
      </c>
      <c r="AT160" s="245">
        <f>DATA!AT167</f>
        <v>71694000</v>
      </c>
      <c r="AU160" s="109" t="str">
        <f>DATA!AU167</f>
        <v>JICA</v>
      </c>
      <c r="AV160" s="248" t="str">
        <f>DATA!AW167</f>
        <v>-</v>
      </c>
    </row>
    <row r="161" spans="1:49" s="4" customFormat="1" ht="24.95" customHeight="1">
      <c r="J161" s="250"/>
      <c r="K161" s="25">
        <f>DATA!E173</f>
        <v>9</v>
      </c>
      <c r="L161" s="108" t="str">
        <f>DATA!F173</f>
        <v>Kementerian Agama</v>
      </c>
      <c r="M161" s="25"/>
      <c r="N161" s="27"/>
      <c r="O161" s="26"/>
      <c r="P161" s="26"/>
      <c r="Q161" s="193"/>
      <c r="R161" s="194">
        <f>+R162</f>
        <v>238210000</v>
      </c>
      <c r="S161" s="195">
        <f t="shared" ref="S161:AT161" si="29">+S162</f>
        <v>238210000</v>
      </c>
      <c r="T161" s="80">
        <f t="shared" si="29"/>
        <v>50447100</v>
      </c>
      <c r="U161" s="80">
        <f t="shared" si="29"/>
        <v>0</v>
      </c>
      <c r="V161" s="80">
        <f t="shared" si="29"/>
        <v>288657100</v>
      </c>
      <c r="W161" s="80" t="e">
        <f t="shared" si="29"/>
        <v>#VALUE!</v>
      </c>
      <c r="X161" s="80" t="e">
        <f t="shared" si="29"/>
        <v>#VALUE!</v>
      </c>
      <c r="Y161" s="80">
        <f t="shared" si="29"/>
        <v>238210000</v>
      </c>
      <c r="Z161" s="80">
        <f t="shared" si="29"/>
        <v>0</v>
      </c>
      <c r="AA161" s="213"/>
      <c r="AB161" s="195">
        <f t="shared" si="29"/>
        <v>0</v>
      </c>
      <c r="AC161" s="80" t="e">
        <f t="shared" si="29"/>
        <v>#VALUE!</v>
      </c>
      <c r="AD161" s="80" t="e">
        <f t="shared" si="29"/>
        <v>#VALUE!</v>
      </c>
      <c r="AE161" s="80" t="e">
        <f t="shared" si="29"/>
        <v>#VALUE!</v>
      </c>
      <c r="AF161" s="80" t="e">
        <f t="shared" si="29"/>
        <v>#VALUE!</v>
      </c>
      <c r="AG161" s="80" t="e">
        <f t="shared" si="29"/>
        <v>#VALUE!</v>
      </c>
      <c r="AH161" s="80"/>
      <c r="AI161" s="226"/>
      <c r="AJ161" s="227" t="e">
        <f t="shared" si="29"/>
        <v>#VALUE!</v>
      </c>
      <c r="AK161" s="195" t="e">
        <f t="shared" si="29"/>
        <v>#VALUE!</v>
      </c>
      <c r="AL161" s="80" t="e">
        <f t="shared" si="29"/>
        <v>#VALUE!</v>
      </c>
      <c r="AM161" s="80" t="e">
        <f t="shared" si="29"/>
        <v>#VALUE!</v>
      </c>
      <c r="AN161" s="80" t="e">
        <f t="shared" si="29"/>
        <v>#VALUE!</v>
      </c>
      <c r="AO161" s="80" t="e">
        <f t="shared" si="29"/>
        <v>#VALUE!</v>
      </c>
      <c r="AP161" s="80" t="e">
        <f t="shared" si="29"/>
        <v>#REF!</v>
      </c>
      <c r="AQ161" s="80">
        <f t="shared" si="29"/>
        <v>0</v>
      </c>
      <c r="AR161" s="80" t="e">
        <f t="shared" si="29"/>
        <v>#REF!</v>
      </c>
      <c r="AS161" s="241" t="e">
        <f t="shared" si="29"/>
        <v>#VALUE!</v>
      </c>
      <c r="AT161" s="242">
        <f t="shared" si="29"/>
        <v>238210000</v>
      </c>
      <c r="AU161" s="80" t="s">
        <v>21</v>
      </c>
      <c r="AV161" s="227"/>
    </row>
    <row r="162" spans="1:49" s="5" customFormat="1" ht="33.75" customHeight="1">
      <c r="J162" s="180"/>
      <c r="K162" s="29"/>
      <c r="L162" s="30" t="str">
        <f>DATA!I173</f>
        <v>A</v>
      </c>
      <c r="M162" s="3427" t="str">
        <f>DATA!J173</f>
        <v>Program Peningkatan Akses, Kualitas, Relevansi, dan Daya Saing Pendidikan Tinggi Islam</v>
      </c>
      <c r="N162" s="3428"/>
      <c r="O162" s="31"/>
      <c r="P162" s="31"/>
      <c r="Q162" s="196"/>
      <c r="R162" s="197">
        <f>R163+R164+R165+R166+R167+R168</f>
        <v>238210000</v>
      </c>
      <c r="S162" s="198">
        <f t="shared" ref="S162:AT162" si="30">S163+S164+S165+S166+S167+S168</f>
        <v>238210000</v>
      </c>
      <c r="T162" s="81">
        <f t="shared" si="30"/>
        <v>50447100</v>
      </c>
      <c r="U162" s="81">
        <f t="shared" si="30"/>
        <v>0</v>
      </c>
      <c r="V162" s="81">
        <f t="shared" si="30"/>
        <v>288657100</v>
      </c>
      <c r="W162" s="81" t="e">
        <f t="shared" si="30"/>
        <v>#VALUE!</v>
      </c>
      <c r="X162" s="81" t="e">
        <f t="shared" si="30"/>
        <v>#VALUE!</v>
      </c>
      <c r="Y162" s="81">
        <f t="shared" si="30"/>
        <v>238210000</v>
      </c>
      <c r="Z162" s="81">
        <f t="shared" si="30"/>
        <v>0</v>
      </c>
      <c r="AA162" s="214"/>
      <c r="AB162" s="198">
        <f t="shared" si="30"/>
        <v>0</v>
      </c>
      <c r="AC162" s="81" t="e">
        <f t="shared" si="30"/>
        <v>#VALUE!</v>
      </c>
      <c r="AD162" s="81" t="e">
        <f t="shared" si="30"/>
        <v>#VALUE!</v>
      </c>
      <c r="AE162" s="81" t="e">
        <f t="shared" si="30"/>
        <v>#VALUE!</v>
      </c>
      <c r="AF162" s="81" t="e">
        <f t="shared" si="30"/>
        <v>#VALUE!</v>
      </c>
      <c r="AG162" s="81" t="e">
        <f t="shared" si="30"/>
        <v>#VALUE!</v>
      </c>
      <c r="AH162" s="81"/>
      <c r="AI162" s="228"/>
      <c r="AJ162" s="229" t="e">
        <f t="shared" si="30"/>
        <v>#VALUE!</v>
      </c>
      <c r="AK162" s="198" t="e">
        <f t="shared" si="30"/>
        <v>#VALUE!</v>
      </c>
      <c r="AL162" s="81" t="e">
        <f t="shared" si="30"/>
        <v>#VALUE!</v>
      </c>
      <c r="AM162" s="81" t="e">
        <f t="shared" si="30"/>
        <v>#VALUE!</v>
      </c>
      <c r="AN162" s="81" t="e">
        <f t="shared" si="30"/>
        <v>#VALUE!</v>
      </c>
      <c r="AO162" s="81" t="e">
        <f t="shared" si="30"/>
        <v>#VALUE!</v>
      </c>
      <c r="AP162" s="81" t="e">
        <f t="shared" si="30"/>
        <v>#REF!</v>
      </c>
      <c r="AQ162" s="81">
        <f t="shared" si="30"/>
        <v>0</v>
      </c>
      <c r="AR162" s="81" t="e">
        <f t="shared" si="30"/>
        <v>#REF!</v>
      </c>
      <c r="AS162" s="243" t="e">
        <f t="shared" si="30"/>
        <v>#VALUE!</v>
      </c>
      <c r="AT162" s="244">
        <f t="shared" si="30"/>
        <v>238210000</v>
      </c>
      <c r="AU162" s="81" t="s">
        <v>21</v>
      </c>
      <c r="AV162" s="229"/>
    </row>
    <row r="163" spans="1:49" ht="40.5" customHeight="1">
      <c r="A163" s="10">
        <f>DATA!A174</f>
        <v>124</v>
      </c>
      <c r="B163" s="10">
        <f>DATA!B174</f>
        <v>0</v>
      </c>
      <c r="C163" s="10" t="str">
        <f>DATA!D174</f>
        <v>NON-INFRASTRUKTUR</v>
      </c>
      <c r="D163" s="10">
        <f>DATA!E174</f>
        <v>9</v>
      </c>
      <c r="E163" s="10" t="str">
        <f>DATA!F174</f>
        <v>Kementerian Agama</v>
      </c>
      <c r="F163" s="10" t="str">
        <f>DATA!H174</f>
        <v>Improving Access, Quality, Relevance, and Competitiveness of Islamic Higher Education Program</v>
      </c>
      <c r="G163" s="10" t="str">
        <f>DATA!I174</f>
        <v>A</v>
      </c>
      <c r="H163" s="10" t="str">
        <f>DATA!J174</f>
        <v>Program Peningkatan Akses, Kualitas, Relevansi, dan Daya Saing Pendidikan Tinggi Islam</v>
      </c>
      <c r="I163" s="10">
        <f>DATA!K174</f>
        <v>1</v>
      </c>
      <c r="J163" s="181"/>
      <c r="K163" s="34"/>
      <c r="L163" s="34"/>
      <c r="M163" s="172">
        <v>111</v>
      </c>
      <c r="N163" s="37" t="str">
        <f>DATA!L174</f>
        <v>Improvement and Optimalization of Sunan Ampel Surabaya State Islamic University</v>
      </c>
      <c r="O163" s="20">
        <f>DATA!Q174</f>
        <v>0.16666666666666666</v>
      </c>
      <c r="P163" s="20">
        <f>DATA!R174</f>
        <v>0</v>
      </c>
      <c r="Q163" s="186">
        <f>DATA!S174</f>
        <v>0</v>
      </c>
      <c r="R163" s="187">
        <f>DATA!T174</f>
        <v>40000000</v>
      </c>
      <c r="S163" s="203">
        <f>DATA!U174</f>
        <v>40000000</v>
      </c>
      <c r="T163" s="77">
        <f>DATA!V174</f>
        <v>10000000</v>
      </c>
      <c r="U163" s="77">
        <f>DATA!W174</f>
        <v>0</v>
      </c>
      <c r="V163" s="77">
        <f>DATA!X174</f>
        <v>50000000</v>
      </c>
      <c r="W163" s="78" t="str">
        <f>DATA!Y174</f>
        <v>IDB</v>
      </c>
      <c r="X163" s="20" t="str">
        <f>DATA!Z174</f>
        <v>Multilateral</v>
      </c>
      <c r="Y163" s="77">
        <f>DATA!AA174</f>
        <v>40000000</v>
      </c>
      <c r="Z163" s="77"/>
      <c r="AA163" s="216" t="str">
        <f>DATA!Y174</f>
        <v>IDB</v>
      </c>
      <c r="AB163" s="188">
        <f>DATA!AG174</f>
        <v>0</v>
      </c>
      <c r="AC163" s="20" t="str">
        <f>DATA!AH174</f>
        <v>Tanpa keterangan</v>
      </c>
      <c r="AD163" s="37" t="str">
        <f>DATA!AI174</f>
        <v>Penyusunan R/C</v>
      </c>
      <c r="AE163" s="152" t="str">
        <f>DATA!AR174</f>
        <v>-</v>
      </c>
      <c r="AF163" s="152" t="str">
        <f>DATA!AN174</f>
        <v>siap</v>
      </c>
      <c r="AG163" s="152" t="str">
        <f>DATA!AO174</f>
        <v>siap</v>
      </c>
      <c r="AH163" s="37" t="str">
        <f>DATA!AJ174</f>
        <v>- FS dan Proposal
- Penyusunan R/C</v>
      </c>
      <c r="AI163" s="232">
        <f>DATA!AK174</f>
        <v>0.85</v>
      </c>
      <c r="AJ163" s="230" t="str">
        <f>DATA!AL174</f>
        <v>-</v>
      </c>
      <c r="AK163" s="231" t="str">
        <f>DATA!AR174</f>
        <v>-</v>
      </c>
      <c r="AL163" s="20" t="str">
        <f>DATA!AN174</f>
        <v>siap</v>
      </c>
      <c r="AM163" s="20" t="str">
        <f>DATA!AO174</f>
        <v>siap</v>
      </c>
      <c r="AN163" s="20" t="str">
        <f>DATA!AP174</f>
        <v>belum ada proses tender/lelang</v>
      </c>
      <c r="AO163" s="20" t="str">
        <f>DATA!AY174</f>
        <v xml:space="preserve">- Pembebasan kekurangan lahan dilakukan tahun 2016
- Surat Sekjen a/n Menteri Agama nomor SJ/B.I/1/KU.00.2/6260/2015 tanggal 17 September 2015
</v>
      </c>
      <c r="AP163" s="20" t="e">
        <f>DATA!#REF!</f>
        <v>#REF!</v>
      </c>
      <c r="AQ163" s="20">
        <f>DATA!AZ174</f>
        <v>0</v>
      </c>
      <c r="AR163" s="152" t="e">
        <f>DATA!#REF!</f>
        <v>#REF!</v>
      </c>
      <c r="AS163" s="199" t="str">
        <f>DATA!BA174</f>
        <v xml:space="preserve">Pengembangan sarana prasarana perkuliahan (fakultas Saintek, Psikologi dan Kesehatan, Humaniora dan Ilmu Sosial), pengembangan kurikulum dan manajemen akademik, dan pengembangan SDM 
</v>
      </c>
      <c r="AT163" s="245">
        <f>DATA!AT174</f>
        <v>40000000</v>
      </c>
      <c r="AU163" s="109" t="str">
        <f>DATA!AU174</f>
        <v>IDB</v>
      </c>
      <c r="AV163" s="248" t="str">
        <f>DATA!AW174</f>
        <v>-</v>
      </c>
    </row>
    <row r="164" spans="1:49" ht="44.25" customHeight="1">
      <c r="A164" s="10">
        <f>DATA!A175</f>
        <v>125</v>
      </c>
      <c r="B164" s="10">
        <f>DATA!B175</f>
        <v>0</v>
      </c>
      <c r="C164" s="10" t="str">
        <f>DATA!D175</f>
        <v>NON-INFRASTRUKTUR</v>
      </c>
      <c r="D164" s="10">
        <f>DATA!E175</f>
        <v>9</v>
      </c>
      <c r="E164" s="10" t="str">
        <f>DATA!F175</f>
        <v>Kementerian Agama</v>
      </c>
      <c r="F164" s="10" t="str">
        <f>DATA!H175</f>
        <v>Improving Access, Quality, Relevance, and Competitiveness of Islamic Higher Education Program</v>
      </c>
      <c r="G164" s="10" t="str">
        <f>DATA!I175</f>
        <v>A</v>
      </c>
      <c r="H164" s="10" t="str">
        <f>DATA!J175</f>
        <v>Program Peningkatan Akses, Kualitas, Relevansi, dan Daya Saing Pendidikan Tinggi Islam</v>
      </c>
      <c r="I164" s="10">
        <f>DATA!K175</f>
        <v>1</v>
      </c>
      <c r="J164" s="181"/>
      <c r="K164" s="34"/>
      <c r="L164" s="34"/>
      <c r="M164" s="172">
        <v>112</v>
      </c>
      <c r="N164" s="37" t="str">
        <f>DATA!L175</f>
        <v>Improvement Access and Quality of State Islamic Institute  Suthan Maulana Hasanuddin Banten</v>
      </c>
      <c r="O164" s="20">
        <f>DATA!Q175</f>
        <v>0.16666666666666666</v>
      </c>
      <c r="P164" s="20">
        <f>DATA!R175</f>
        <v>0</v>
      </c>
      <c r="Q164" s="186">
        <f>DATA!S175</f>
        <v>0</v>
      </c>
      <c r="R164" s="187">
        <f>DATA!T175</f>
        <v>40000000</v>
      </c>
      <c r="S164" s="203">
        <f>DATA!U175</f>
        <v>40000000</v>
      </c>
      <c r="T164" s="77">
        <f>DATA!V175</f>
        <v>5985000</v>
      </c>
      <c r="U164" s="77">
        <f>DATA!W175</f>
        <v>0</v>
      </c>
      <c r="V164" s="77">
        <f>DATA!X175</f>
        <v>45985000</v>
      </c>
      <c r="W164" s="78" t="str">
        <f>DATA!Y175</f>
        <v>IDB</v>
      </c>
      <c r="X164" s="20" t="str">
        <f>DATA!Z175</f>
        <v>Multilateral</v>
      </c>
      <c r="Y164" s="77">
        <f>DATA!AA175</f>
        <v>40000000</v>
      </c>
      <c r="Z164" s="77"/>
      <c r="AA164" s="216" t="str">
        <f>DATA!Y175</f>
        <v>IDB</v>
      </c>
      <c r="AB164" s="188">
        <f>DATA!AG175</f>
        <v>0</v>
      </c>
      <c r="AC164" s="20" t="str">
        <f>DATA!AH175</f>
        <v>Tanpa keterangan</v>
      </c>
      <c r="AD164" s="37" t="str">
        <f>DATA!AI175</f>
        <v>Penyusunan R/C</v>
      </c>
      <c r="AE164" s="152" t="str">
        <f>DATA!AR175</f>
        <v>-</v>
      </c>
      <c r="AF164" s="152" t="str">
        <f>DATA!AN175</f>
        <v>siap</v>
      </c>
      <c r="AG164" s="152" t="str">
        <f>DATA!AO175</f>
        <v>siap</v>
      </c>
      <c r="AH164" s="37" t="str">
        <f>DATA!AJ175</f>
        <v>- Sudah ada Master Plan
- AMDAL</v>
      </c>
      <c r="AI164" s="232">
        <f>DATA!AK175</f>
        <v>1</v>
      </c>
      <c r="AJ164" s="230" t="str">
        <f>DATA!AL175</f>
        <v>-</v>
      </c>
      <c r="AK164" s="231" t="str">
        <f>DATA!AR175</f>
        <v>-</v>
      </c>
      <c r="AL164" s="20" t="str">
        <f>DATA!AN175</f>
        <v>siap</v>
      </c>
      <c r="AM164" s="20" t="str">
        <f>DATA!AO175</f>
        <v>siap</v>
      </c>
      <c r="AN164" s="20" t="str">
        <f>DATA!AP175</f>
        <v>belum ada proses tender/lelang</v>
      </c>
      <c r="AO164" s="20"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P164" s="20" t="e">
        <f>DATA!#REF!</f>
        <v>#REF!</v>
      </c>
      <c r="AQ164" s="20">
        <f>DATA!AZ175</f>
        <v>0</v>
      </c>
      <c r="AR164" s="152" t="e">
        <f>DATA!#REF!</f>
        <v>#REF!</v>
      </c>
      <c r="AS164" s="199" t="str">
        <f>DATA!BA175</f>
        <v>Pembangunan gedung dan infrastruktur, pengadaaan mebelair dan peralatan, peningkatan SDM, dan pengembangan kurikulum akademik</v>
      </c>
      <c r="AT164" s="245">
        <f>DATA!AT175</f>
        <v>40000000</v>
      </c>
      <c r="AU164" s="109" t="str">
        <f>DATA!AU175</f>
        <v>IDB</v>
      </c>
      <c r="AV164" s="248" t="str">
        <f>DATA!AW175</f>
        <v>-</v>
      </c>
    </row>
    <row r="165" spans="1:49" ht="45.75" customHeight="1">
      <c r="A165" s="10">
        <f>DATA!A176</f>
        <v>126</v>
      </c>
      <c r="B165" s="10">
        <f>DATA!B176</f>
        <v>0</v>
      </c>
      <c r="C165" s="10" t="str">
        <f>DATA!D176</f>
        <v>NON-INFRASTRUKTUR</v>
      </c>
      <c r="D165" s="10">
        <f>DATA!E176</f>
        <v>9</v>
      </c>
      <c r="E165" s="10" t="str">
        <f>DATA!F176</f>
        <v>Kementerian Agama</v>
      </c>
      <c r="F165" s="10" t="str">
        <f>DATA!H176</f>
        <v>Improving Access, Quality, Relevance, and Competitiveness of Islamic Higher Education Program</v>
      </c>
      <c r="G165" s="10" t="str">
        <f>DATA!I176</f>
        <v>A</v>
      </c>
      <c r="H165" s="10" t="str">
        <f>DATA!J176</f>
        <v>Program Peningkatan Akses, Kualitas, Relevansi, dan Daya Saing Pendidikan Tinggi Islam</v>
      </c>
      <c r="I165" s="10">
        <f>DATA!K176</f>
        <v>1</v>
      </c>
      <c r="J165" s="181"/>
      <c r="K165" s="34"/>
      <c r="L165" s="34"/>
      <c r="M165" s="172">
        <v>113</v>
      </c>
      <c r="N165" s="37" t="str">
        <f>DATA!L176</f>
        <v xml:space="preserve">Development and Quality Improvement  of Antasari State Islamic Institute </v>
      </c>
      <c r="O165" s="20">
        <f>DATA!Q176</f>
        <v>0.16666666666666666</v>
      </c>
      <c r="P165" s="20">
        <f>DATA!R176</f>
        <v>0</v>
      </c>
      <c r="Q165" s="186">
        <f>DATA!S176</f>
        <v>0</v>
      </c>
      <c r="R165" s="187">
        <f>DATA!T176</f>
        <v>39908600</v>
      </c>
      <c r="S165" s="203">
        <f>DATA!U176</f>
        <v>39908600</v>
      </c>
      <c r="T165" s="77">
        <f>DATA!V176</f>
        <v>10290700</v>
      </c>
      <c r="U165" s="77">
        <f>DATA!W176</f>
        <v>0</v>
      </c>
      <c r="V165" s="77">
        <f>DATA!X176</f>
        <v>50199300</v>
      </c>
      <c r="W165" s="78" t="str">
        <f>DATA!Y176</f>
        <v>IDB</v>
      </c>
      <c r="X165" s="20" t="str">
        <f>DATA!Z176</f>
        <v>Multilateral</v>
      </c>
      <c r="Y165" s="77">
        <f>DATA!AA176</f>
        <v>39900000</v>
      </c>
      <c r="Z165" s="77"/>
      <c r="AA165" s="216" t="str">
        <f>DATA!Y176</f>
        <v>IDB</v>
      </c>
      <c r="AB165" s="188">
        <f>DATA!AG176</f>
        <v>0</v>
      </c>
      <c r="AC165" s="20" t="str">
        <f>DATA!AH176</f>
        <v>Tanpa keterangan</v>
      </c>
      <c r="AD165" s="37" t="str">
        <f>DATA!AI176</f>
        <v>Penyusunan R/C</v>
      </c>
      <c r="AE165" s="152" t="str">
        <f>DATA!AR176</f>
        <v>-</v>
      </c>
      <c r="AF165" s="152" t="str">
        <f>DATA!AN176</f>
        <v>siap</v>
      </c>
      <c r="AG165" s="152" t="str">
        <f>DATA!AO176</f>
        <v>siap</v>
      </c>
      <c r="AH165" s="37" t="str">
        <f>DATA!AJ176</f>
        <v>Sudah melakukan penyiapan perencanaan</v>
      </c>
      <c r="AI165" s="232">
        <f>DATA!AK176</f>
        <v>1</v>
      </c>
      <c r="AJ165" s="230" t="str">
        <f>DATA!AL176</f>
        <v>-</v>
      </c>
      <c r="AK165" s="231" t="str">
        <f>DATA!AR176</f>
        <v>-</v>
      </c>
      <c r="AL165" s="20" t="str">
        <f>DATA!AN176</f>
        <v>siap</v>
      </c>
      <c r="AM165" s="20" t="str">
        <f>DATA!AO176</f>
        <v>siap</v>
      </c>
      <c r="AN165" s="20" t="str">
        <f>DATA!AP176</f>
        <v>belum ada proses tender/lelang</v>
      </c>
      <c r="AO165" s="20" t="str">
        <f>DATA!AY176</f>
        <v>Surat Sekjen a/n Menteri Agama nomor SJ/B.I/1/KU.00.2/6260/2015 tanggal 17 September 2015</v>
      </c>
      <c r="AP165" s="20" t="e">
        <f>DATA!#REF!</f>
        <v>#REF!</v>
      </c>
      <c r="AQ165" s="20">
        <f>DATA!AZ176</f>
        <v>0</v>
      </c>
      <c r="AR165" s="152" t="e">
        <f>DATA!#REF!</f>
        <v>#REF!</v>
      </c>
      <c r="AS165" s="199" t="str">
        <f>DATA!BA176</f>
        <v>Pembangunan gedung dan infrastruktur, penguatan kelembagaan (pengembangan kurikulum, prodi, manajemen dan peningkatan jumlah dan kualitas riset), dan pengembangan SDM</v>
      </c>
      <c r="AT165" s="245">
        <f>DATA!AT176</f>
        <v>39900000</v>
      </c>
      <c r="AU165" s="109" t="str">
        <f>DATA!AU176</f>
        <v>IDB</v>
      </c>
      <c r="AV165" s="248" t="str">
        <f>DATA!AW176</f>
        <v>-</v>
      </c>
    </row>
    <row r="166" spans="1:49" ht="42" customHeight="1">
      <c r="A166" s="10">
        <f>DATA!A177</f>
        <v>127</v>
      </c>
      <c r="B166" s="10">
        <f>DATA!B177</f>
        <v>0</v>
      </c>
      <c r="C166" s="10" t="str">
        <f>DATA!D177</f>
        <v>NON-INFRASTRUKTUR</v>
      </c>
      <c r="D166" s="10" t="str">
        <f>DATA!E177</f>
        <v>z</v>
      </c>
      <c r="E166" s="10" t="str">
        <f>DATA!F177</f>
        <v>Kementerian Agama</v>
      </c>
      <c r="F166" s="10" t="str">
        <f>DATA!H177</f>
        <v>Improving Access, Quality, Relevance, and Competitiveness of Islamic Higher Education Program</v>
      </c>
      <c r="G166" s="10" t="str">
        <f>DATA!I177</f>
        <v>A</v>
      </c>
      <c r="H166" s="10" t="str">
        <f>DATA!J177</f>
        <v>Program Peningkatan Akses, Kualitas, Relevansi, dan Daya Saing Pendidikan Tinggi Islam</v>
      </c>
      <c r="I166" s="10">
        <f>DATA!K177</f>
        <v>1</v>
      </c>
      <c r="J166" s="181"/>
      <c r="K166" s="34"/>
      <c r="L166" s="34"/>
      <c r="M166" s="172">
        <v>114</v>
      </c>
      <c r="N166" s="37" t="str">
        <f>DATA!L177</f>
        <v xml:space="preserve">Tranformation of State Islamic Institute  Sulthan Thaha Saifuddin to State Islamic University </v>
      </c>
      <c r="O166" s="20">
        <f>DATA!Q177</f>
        <v>0.16666666666666666</v>
      </c>
      <c r="P166" s="20">
        <f>DATA!R177</f>
        <v>0</v>
      </c>
      <c r="Q166" s="186">
        <f>DATA!S177</f>
        <v>0</v>
      </c>
      <c r="R166" s="187">
        <f>DATA!T177</f>
        <v>40000000</v>
      </c>
      <c r="S166" s="203">
        <f>DATA!U177</f>
        <v>40000000</v>
      </c>
      <c r="T166" s="77">
        <f>DATA!V177</f>
        <v>10000000</v>
      </c>
      <c r="U166" s="77">
        <f>DATA!W177</f>
        <v>0</v>
      </c>
      <c r="V166" s="77">
        <f>DATA!X177</f>
        <v>50000000</v>
      </c>
      <c r="W166" s="78" t="str">
        <f>DATA!Y177</f>
        <v>IDB</v>
      </c>
      <c r="X166" s="20" t="str">
        <f>DATA!Z177</f>
        <v>Multilateral</v>
      </c>
      <c r="Y166" s="77">
        <f>DATA!AA177</f>
        <v>40000000</v>
      </c>
      <c r="Z166" s="77"/>
      <c r="AA166" s="216" t="str">
        <f>DATA!Y177</f>
        <v>IDB</v>
      </c>
      <c r="AB166" s="188">
        <f>DATA!AG177</f>
        <v>0</v>
      </c>
      <c r="AC166" s="20" t="str">
        <f>DATA!AH177</f>
        <v>Tanpa keterangan</v>
      </c>
      <c r="AD166" s="37" t="str">
        <f>DATA!AI177</f>
        <v>Penyusunan R/C</v>
      </c>
      <c r="AE166" s="152" t="str">
        <f>DATA!AR177</f>
        <v>-</v>
      </c>
      <c r="AF166" s="152" t="str">
        <f>DATA!AN177</f>
        <v>siap</v>
      </c>
      <c r="AG166" s="152" t="str">
        <f>DATA!AO177</f>
        <v>siap</v>
      </c>
      <c r="AH166" s="37" t="str">
        <f>DATA!AJ177</f>
        <v>Sedang merinci kegiatan</v>
      </c>
      <c r="AI166" s="232">
        <f>DATA!AK177</f>
        <v>1</v>
      </c>
      <c r="AJ166" s="230" t="str">
        <f>DATA!AL177</f>
        <v>-</v>
      </c>
      <c r="AK166" s="231" t="str">
        <f>DATA!AR177</f>
        <v>-</v>
      </c>
      <c r="AL166" s="20" t="str">
        <f>DATA!AN177</f>
        <v>siap</v>
      </c>
      <c r="AM166" s="20" t="str">
        <f>DATA!AO177</f>
        <v>siap</v>
      </c>
      <c r="AN166" s="20" t="str">
        <f>DATA!AP177</f>
        <v>belum ada proses tender/lelang</v>
      </c>
      <c r="AO166" s="20" t="str">
        <f>DATA!AY177</f>
        <v>Surat Sekjen a/n Menteri Agama nomor SJ/B.I/1/KU.00.2/6260/2015 tanggal 17 September 2015</v>
      </c>
      <c r="AP166" s="20" t="e">
        <f>DATA!#REF!</f>
        <v>#REF!</v>
      </c>
      <c r="AQ166" s="20">
        <f>DATA!AZ177</f>
        <v>0</v>
      </c>
      <c r="AR166" s="152" t="e">
        <f>DATA!#REF!</f>
        <v>#REF!</v>
      </c>
      <c r="AS166" s="199"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c r="AT166" s="245">
        <f>DATA!AT177</f>
        <v>40000000</v>
      </c>
      <c r="AU166" s="109" t="str">
        <f>DATA!AU177</f>
        <v>IDB</v>
      </c>
      <c r="AV166" s="248" t="str">
        <f>DATA!AW177</f>
        <v>-</v>
      </c>
    </row>
    <row r="167" spans="1:49" ht="48" customHeight="1">
      <c r="A167" s="10">
        <f>DATA!A178</f>
        <v>128</v>
      </c>
      <c r="B167" s="10">
        <f>DATA!B178</f>
        <v>0</v>
      </c>
      <c r="C167" s="10" t="str">
        <f>DATA!D178</f>
        <v>NON-INFRASTRUKTUR</v>
      </c>
      <c r="D167" s="10">
        <f>DATA!E178</f>
        <v>9</v>
      </c>
      <c r="E167" s="10" t="str">
        <f>DATA!F178</f>
        <v>Kementerian Agama</v>
      </c>
      <c r="F167" s="10" t="str">
        <f>DATA!H178</f>
        <v>Improving Access, Quality, Relevance, and Competitiveness of Islamic Higher Education Program</v>
      </c>
      <c r="G167" s="10" t="str">
        <f>DATA!I178</f>
        <v>A</v>
      </c>
      <c r="H167" s="10" t="str">
        <f>DATA!J178</f>
        <v>Program Peningkatan Akses, Kualitas, Relevansi, dan Daya Saing Pendidikan Tinggi Islam</v>
      </c>
      <c r="I167" s="10">
        <f>DATA!K178</f>
        <v>1</v>
      </c>
      <c r="J167" s="181"/>
      <c r="K167" s="34"/>
      <c r="L167" s="34"/>
      <c r="M167" s="172">
        <v>115</v>
      </c>
      <c r="N167" s="37" t="str">
        <f>DATA!L178</f>
        <v>Development and Institutional Transformation of State Islamic Institute  Raden Intan Lampung</v>
      </c>
      <c r="O167" s="20">
        <f>DATA!Q178</f>
        <v>0.16666666666666666</v>
      </c>
      <c r="P167" s="20">
        <f>DATA!R178</f>
        <v>0</v>
      </c>
      <c r="Q167" s="186">
        <f>DATA!S178</f>
        <v>0</v>
      </c>
      <c r="R167" s="187">
        <f>DATA!T178</f>
        <v>40000000</v>
      </c>
      <c r="S167" s="203">
        <f>DATA!U178</f>
        <v>40000000</v>
      </c>
      <c r="T167" s="77">
        <f>DATA!V178</f>
        <v>10000000</v>
      </c>
      <c r="U167" s="77">
        <f>DATA!W178</f>
        <v>0</v>
      </c>
      <c r="V167" s="77">
        <f>DATA!X178</f>
        <v>50000000</v>
      </c>
      <c r="W167" s="78" t="str">
        <f>DATA!Y178</f>
        <v>IDB</v>
      </c>
      <c r="X167" s="20" t="str">
        <f>DATA!Z178</f>
        <v>Multilateral</v>
      </c>
      <c r="Y167" s="77">
        <f>DATA!AA178</f>
        <v>40000000</v>
      </c>
      <c r="Z167" s="77"/>
      <c r="AA167" s="216" t="str">
        <f>DATA!Y178</f>
        <v>IDB</v>
      </c>
      <c r="AB167" s="188">
        <f>DATA!AG178</f>
        <v>0</v>
      </c>
      <c r="AC167" s="20" t="str">
        <f>DATA!AH178</f>
        <v>Tanpa keterangan</v>
      </c>
      <c r="AD167" s="37" t="str">
        <f>DATA!AI178</f>
        <v>Penyusunan R/C</v>
      </c>
      <c r="AE167" s="152" t="str">
        <f>DATA!AR178</f>
        <v>-</v>
      </c>
      <c r="AF167" s="152" t="str">
        <f>DATA!AN178</f>
        <v>siap</v>
      </c>
      <c r="AG167" s="152" t="str">
        <f>DATA!AO178</f>
        <v>siap</v>
      </c>
      <c r="AH167" s="37" t="str">
        <f>DATA!AJ178</f>
        <v>- Sudah ada Master Plan</v>
      </c>
      <c r="AI167" s="232">
        <f>DATA!AK178</f>
        <v>1</v>
      </c>
      <c r="AJ167" s="230" t="str">
        <f>DATA!AL178</f>
        <v>-</v>
      </c>
      <c r="AK167" s="231" t="str">
        <f>DATA!AR178</f>
        <v>-</v>
      </c>
      <c r="AL167" s="20" t="str">
        <f>DATA!AN178</f>
        <v>siap</v>
      </c>
      <c r="AM167" s="20" t="str">
        <f>DATA!AO178</f>
        <v>siap</v>
      </c>
      <c r="AN167" s="20" t="str">
        <f>DATA!AP178</f>
        <v>belum ada proses tender/lelang</v>
      </c>
      <c r="AO167" s="20"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P167" s="20" t="e">
        <f>DATA!#REF!</f>
        <v>#REF!</v>
      </c>
      <c r="AQ167" s="20">
        <f>DATA!AZ178</f>
        <v>0</v>
      </c>
      <c r="AR167" s="152" t="e">
        <f>DATA!#REF!</f>
        <v>#REF!</v>
      </c>
      <c r="AS167" s="199"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c r="AT167" s="245">
        <f>DATA!AT178</f>
        <v>40000000</v>
      </c>
      <c r="AU167" s="109" t="str">
        <f>DATA!AU178</f>
        <v>IDB</v>
      </c>
      <c r="AV167" s="248" t="str">
        <f>DATA!AW178</f>
        <v>-</v>
      </c>
    </row>
    <row r="168" spans="1:49" ht="38.25" customHeight="1">
      <c r="A168" s="10">
        <f>DATA!A179</f>
        <v>123</v>
      </c>
      <c r="B168" s="10">
        <f>DATA!B179</f>
        <v>0</v>
      </c>
      <c r="C168" s="10" t="str">
        <f>DATA!D179</f>
        <v>NON-INFRASTRUKTUR</v>
      </c>
      <c r="D168" s="10">
        <f>DATA!E179</f>
        <v>9</v>
      </c>
      <c r="E168" s="10" t="str">
        <f>DATA!F179</f>
        <v>Kementerian Agama</v>
      </c>
      <c r="F168" s="10" t="str">
        <f>DATA!H179</f>
        <v>Improving Access, Quality, Relevance, and Competitiveness of Islamic Higher Education Program</v>
      </c>
      <c r="G168" s="10" t="str">
        <f>DATA!I179</f>
        <v>A</v>
      </c>
      <c r="H168" s="10" t="str">
        <f>DATA!J179</f>
        <v>Program Peningkatan Akses, Kualitas, Relevansi, dan Daya Saing Pendidikan Tinggi Islam</v>
      </c>
      <c r="I168" s="10">
        <f>DATA!K179</f>
        <v>1</v>
      </c>
      <c r="J168" s="181"/>
      <c r="K168" s="54"/>
      <c r="L168" s="54"/>
      <c r="M168" s="172">
        <v>116</v>
      </c>
      <c r="N168" s="37" t="str">
        <f>DATA!L179</f>
        <v xml:space="preserve">Development of Imam Bonjol State Islamic Institute Project </v>
      </c>
      <c r="O168" s="20">
        <f>DATA!Q179</f>
        <v>0.16666666666666666</v>
      </c>
      <c r="P168" s="20">
        <f>DATA!R179</f>
        <v>0</v>
      </c>
      <c r="Q168" s="186">
        <f>DATA!S179</f>
        <v>0</v>
      </c>
      <c r="R168" s="187">
        <f>DATA!T179</f>
        <v>38301400</v>
      </c>
      <c r="S168" s="203">
        <f>DATA!U179</f>
        <v>38301400</v>
      </c>
      <c r="T168" s="77">
        <f>DATA!V179</f>
        <v>4171400</v>
      </c>
      <c r="U168" s="77">
        <f>DATA!W179</f>
        <v>0</v>
      </c>
      <c r="V168" s="77">
        <f>DATA!X179</f>
        <v>42472800</v>
      </c>
      <c r="W168" s="78" t="str">
        <f>DATA!Y179</f>
        <v>IDB</v>
      </c>
      <c r="X168" s="20" t="str">
        <f>DATA!Z179</f>
        <v>Multilateral</v>
      </c>
      <c r="Y168" s="77">
        <f>DATA!AA179</f>
        <v>38310000</v>
      </c>
      <c r="Z168" s="77"/>
      <c r="AA168" s="216" t="str">
        <f>DATA!Y179</f>
        <v>IDB</v>
      </c>
      <c r="AB168" s="188">
        <f>DATA!AG179</f>
        <v>0</v>
      </c>
      <c r="AC168" s="20" t="str">
        <f>DATA!AH179</f>
        <v>Tanpa keterangan</v>
      </c>
      <c r="AD168" s="37" t="str">
        <f>DATA!AI179</f>
        <v>Penyusunan R/C</v>
      </c>
      <c r="AE168" s="152" t="str">
        <f>DATA!AR179</f>
        <v>-</v>
      </c>
      <c r="AF168" s="152" t="str">
        <f>DATA!AN179</f>
        <v>siap</v>
      </c>
      <c r="AG168" s="152" t="str">
        <f>DATA!AO179</f>
        <v>siap</v>
      </c>
      <c r="AH168" s="37" t="str">
        <f>DATA!AJ179</f>
        <v>Sedang merinci rencana kegiatan</v>
      </c>
      <c r="AI168" s="232">
        <f>DATA!AK179</f>
        <v>1</v>
      </c>
      <c r="AJ168" s="230" t="str">
        <f>DATA!AL179</f>
        <v>-</v>
      </c>
      <c r="AK168" s="231" t="str">
        <f>DATA!AR179</f>
        <v>-</v>
      </c>
      <c r="AL168" s="20" t="str">
        <f>DATA!AN179</f>
        <v>siap</v>
      </c>
      <c r="AM168" s="20" t="str">
        <f>DATA!AO179</f>
        <v>siap</v>
      </c>
      <c r="AN168" s="20" t="str">
        <f>DATA!AP179</f>
        <v>belum ada proses tender/lelang</v>
      </c>
      <c r="AO168" s="20" t="str">
        <f>DATA!AY179</f>
        <v>Surat Sekjen a/n Menteri Agama nomor SJ/B.I/1/KU.00.2/6260/2015 tanggal 17 September 2015</v>
      </c>
      <c r="AP168" s="20" t="e">
        <f>DATA!#REF!</f>
        <v>#REF!</v>
      </c>
      <c r="AQ168" s="20">
        <f>DATA!AZ179</f>
        <v>0</v>
      </c>
      <c r="AR168" s="152" t="e">
        <f>DATA!#REF!</f>
        <v>#REF!</v>
      </c>
      <c r="AS168" s="199" t="str">
        <f>DATA!BA179</f>
        <v>Pembangunan sarana dan prasarana perkuliahan,  Peningkatan kualitas SDM, pengembangan kurikulum</v>
      </c>
      <c r="AT168" s="245">
        <f>DATA!AT179</f>
        <v>38310000</v>
      </c>
      <c r="AU168" s="109" t="str">
        <f>DATA!AU179</f>
        <v>IDB</v>
      </c>
      <c r="AV168" s="248" t="str">
        <f>DATA!AW179</f>
        <v>-</v>
      </c>
    </row>
    <row r="169" spans="1:49" s="4" customFormat="1" ht="24.95" customHeight="1">
      <c r="J169" s="250"/>
      <c r="K169" s="25">
        <f>DATA!E181</f>
        <v>10</v>
      </c>
      <c r="L169" s="108" t="str">
        <f>DATA!F181</f>
        <v>Kementerian PPN/Bappenas</v>
      </c>
      <c r="M169" s="25"/>
      <c r="N169" s="27"/>
      <c r="O169" s="26"/>
      <c r="P169" s="26"/>
      <c r="Q169" s="193"/>
      <c r="R169" s="194">
        <f>+R170</f>
        <v>300000000</v>
      </c>
      <c r="S169" s="195">
        <f t="shared" ref="S169:AT170" si="31">+S170</f>
        <v>300000000</v>
      </c>
      <c r="T169" s="80">
        <f t="shared" si="31"/>
        <v>0</v>
      </c>
      <c r="U169" s="80">
        <f t="shared" si="31"/>
        <v>0</v>
      </c>
      <c r="V169" s="80">
        <f t="shared" si="31"/>
        <v>300000000</v>
      </c>
      <c r="W169" s="80" t="str">
        <f t="shared" si="31"/>
        <v>Bank Dunia</v>
      </c>
      <c r="X169" s="80" t="str">
        <f t="shared" si="31"/>
        <v>Multilateral</v>
      </c>
      <c r="Y169" s="80">
        <f t="shared" si="31"/>
        <v>300000000</v>
      </c>
      <c r="Z169" s="80">
        <f t="shared" si="31"/>
        <v>0</v>
      </c>
      <c r="AA169" s="213"/>
      <c r="AB169" s="195">
        <f t="shared" si="31"/>
        <v>0</v>
      </c>
      <c r="AC169" s="80" t="str">
        <f t="shared" si="31"/>
        <v>Tanpa keterangan</v>
      </c>
      <c r="AD169" s="80" t="str">
        <f t="shared" si="31"/>
        <v>Penyusunan R/C</v>
      </c>
      <c r="AE169" s="80" t="str">
        <f t="shared" si="31"/>
        <v>belum ada dokumen R/C</v>
      </c>
      <c r="AF169" s="80" t="str">
        <f t="shared" si="31"/>
        <v>dalam proses
(penyusunan FS)</v>
      </c>
      <c r="AG169" s="80" t="str">
        <f t="shared" si="31"/>
        <v>tidak butuh lahan</v>
      </c>
      <c r="AH169" s="80"/>
      <c r="AI169" s="226"/>
      <c r="AJ169" s="227" t="str">
        <f t="shared" si="31"/>
        <v>-</v>
      </c>
      <c r="AK169" s="195" t="str">
        <f t="shared" si="31"/>
        <v>belum ada dokumen R/C</v>
      </c>
      <c r="AL169" s="80" t="str">
        <f t="shared" si="31"/>
        <v>dalam proses
(penyusunan FS)</v>
      </c>
      <c r="AM169" s="80" t="str">
        <f t="shared" si="31"/>
        <v>tidak butuh lahan</v>
      </c>
      <c r="AN169" s="80" t="str">
        <f t="shared" si="31"/>
        <v>belum ada proses tender/lelang</v>
      </c>
      <c r="AO169" s="80" t="str">
        <f t="shared" si="31"/>
        <v>Surat Sesmen PPN/Sestama Bappenas nomor 5877/SES/09/2015 tgl 14 September 2015</v>
      </c>
      <c r="AP169" s="80" t="e">
        <f t="shared" si="31"/>
        <v>#REF!</v>
      </c>
      <c r="AQ169" s="80" t="str">
        <f t="shared" si="31"/>
        <v>Diusulkan untuk masuk GB 2016</v>
      </c>
      <c r="AR169" s="80" t="e">
        <f t="shared" si="31"/>
        <v>#REF!</v>
      </c>
      <c r="AS169" s="241" t="str">
        <f t="shared" si="31"/>
        <v>Menghasilkan sekitar 2.109 lulusan gelar dan non gelar</v>
      </c>
      <c r="AT169" s="242">
        <f t="shared" si="31"/>
        <v>300000000</v>
      </c>
      <c r="AU169" s="80" t="s">
        <v>21</v>
      </c>
      <c r="AV169" s="227"/>
    </row>
    <row r="170" spans="1:49" s="5" customFormat="1" ht="33.75" customHeight="1">
      <c r="J170" s="180"/>
      <c r="K170" s="29"/>
      <c r="L170" s="30" t="str">
        <f>DATA!I181</f>
        <v>A</v>
      </c>
      <c r="M170" s="3427" t="str">
        <f>DATA!J181</f>
        <v>Program Pengembangan Sumber Daya Aparatur  dalam Rangka Reformasi Birokrasi</v>
      </c>
      <c r="N170" s="3428"/>
      <c r="O170" s="31"/>
      <c r="P170" s="31"/>
      <c r="Q170" s="196"/>
      <c r="R170" s="197">
        <f>+R171</f>
        <v>300000000</v>
      </c>
      <c r="S170" s="198">
        <f t="shared" si="31"/>
        <v>300000000</v>
      </c>
      <c r="T170" s="81">
        <f t="shared" si="31"/>
        <v>0</v>
      </c>
      <c r="U170" s="81">
        <f t="shared" si="31"/>
        <v>0</v>
      </c>
      <c r="V170" s="81">
        <f t="shared" si="31"/>
        <v>300000000</v>
      </c>
      <c r="W170" s="81" t="str">
        <f t="shared" si="31"/>
        <v>Bank Dunia</v>
      </c>
      <c r="X170" s="81" t="str">
        <f t="shared" si="31"/>
        <v>Multilateral</v>
      </c>
      <c r="Y170" s="81">
        <f t="shared" si="31"/>
        <v>300000000</v>
      </c>
      <c r="Z170" s="81">
        <f t="shared" si="31"/>
        <v>0</v>
      </c>
      <c r="AA170" s="214"/>
      <c r="AB170" s="198">
        <f t="shared" si="31"/>
        <v>0</v>
      </c>
      <c r="AC170" s="81" t="str">
        <f t="shared" si="31"/>
        <v>Tanpa keterangan</v>
      </c>
      <c r="AD170" s="81" t="str">
        <f t="shared" si="31"/>
        <v>Penyusunan R/C</v>
      </c>
      <c r="AE170" s="81" t="str">
        <f t="shared" si="31"/>
        <v>belum ada dokumen R/C</v>
      </c>
      <c r="AF170" s="81" t="str">
        <f t="shared" si="31"/>
        <v>dalam proses
(penyusunan FS)</v>
      </c>
      <c r="AG170" s="81" t="str">
        <f t="shared" si="31"/>
        <v>tidak butuh lahan</v>
      </c>
      <c r="AH170" s="81"/>
      <c r="AI170" s="228"/>
      <c r="AJ170" s="229" t="str">
        <f t="shared" si="31"/>
        <v>-</v>
      </c>
      <c r="AK170" s="198" t="str">
        <f t="shared" si="31"/>
        <v>belum ada dokumen R/C</v>
      </c>
      <c r="AL170" s="81" t="str">
        <f t="shared" si="31"/>
        <v>dalam proses
(penyusunan FS)</v>
      </c>
      <c r="AM170" s="81" t="str">
        <f t="shared" si="31"/>
        <v>tidak butuh lahan</v>
      </c>
      <c r="AN170" s="81" t="str">
        <f t="shared" si="31"/>
        <v>belum ada proses tender/lelang</v>
      </c>
      <c r="AO170" s="81" t="str">
        <f t="shared" si="31"/>
        <v>Surat Sesmen PPN/Sestama Bappenas nomor 5877/SES/09/2015 tgl 14 September 2015</v>
      </c>
      <c r="AP170" s="81" t="e">
        <f t="shared" si="31"/>
        <v>#REF!</v>
      </c>
      <c r="AQ170" s="81" t="str">
        <f t="shared" si="31"/>
        <v>Diusulkan untuk masuk GB 2016</v>
      </c>
      <c r="AR170" s="81" t="e">
        <f t="shared" si="31"/>
        <v>#REF!</v>
      </c>
      <c r="AS170" s="243" t="str">
        <f t="shared" si="31"/>
        <v>Menghasilkan sekitar 2.109 lulusan gelar dan non gelar</v>
      </c>
      <c r="AT170" s="244">
        <f t="shared" si="31"/>
        <v>300000000</v>
      </c>
      <c r="AU170" s="81" t="s">
        <v>21</v>
      </c>
      <c r="AV170" s="229"/>
    </row>
    <row r="171" spans="1:49" ht="47.25" customHeight="1">
      <c r="A171" s="10">
        <f>DATA!A181</f>
        <v>129</v>
      </c>
      <c r="B171" s="10">
        <f>DATA!B181</f>
        <v>0</v>
      </c>
      <c r="C171" s="10" t="str">
        <f>DATA!D181</f>
        <v>NON-INFRASTRUKTUR</v>
      </c>
      <c r="D171" s="10">
        <f>DATA!E181</f>
        <v>10</v>
      </c>
      <c r="E171" s="10" t="str">
        <f>DATA!F181</f>
        <v>Kementerian PPN/Bappenas</v>
      </c>
      <c r="F171" s="10" t="str">
        <f>DATA!H181</f>
        <v>Human Resources Development for Bureaucracy Reform Program</v>
      </c>
      <c r="G171" s="10" t="str">
        <f>DATA!I181</f>
        <v>A</v>
      </c>
      <c r="H171" s="10" t="str">
        <f>DATA!J181</f>
        <v>Program Pengembangan Sumber Daya Aparatur  dalam Rangka Reformasi Birokrasi</v>
      </c>
      <c r="I171" s="10">
        <f>DATA!K181</f>
        <v>1</v>
      </c>
      <c r="J171" s="181"/>
      <c r="K171" s="54"/>
      <c r="L171" s="34"/>
      <c r="M171" s="33">
        <v>117</v>
      </c>
      <c r="N171" s="37" t="str">
        <f>DATA!L181</f>
        <v>Development of Capacity, Quality, and Competency of Human Resources for Government Officer</v>
      </c>
      <c r="O171" s="20">
        <f>DATA!Q181</f>
        <v>1</v>
      </c>
      <c r="P171" s="20">
        <f>DATA!R181</f>
        <v>1</v>
      </c>
      <c r="Q171" s="186">
        <f>DATA!S181</f>
        <v>103</v>
      </c>
      <c r="R171" s="187">
        <f>DATA!T181</f>
        <v>300000000</v>
      </c>
      <c r="S171" s="203">
        <f>DATA!U181</f>
        <v>300000000</v>
      </c>
      <c r="T171" s="77">
        <f>DATA!V181</f>
        <v>0</v>
      </c>
      <c r="U171" s="77">
        <f>DATA!W181</f>
        <v>0</v>
      </c>
      <c r="V171" s="77">
        <f>DATA!X181</f>
        <v>300000000</v>
      </c>
      <c r="W171" s="78" t="str">
        <f>DATA!Y181</f>
        <v>Bank Dunia</v>
      </c>
      <c r="X171" s="20" t="str">
        <f>DATA!Z181</f>
        <v>Multilateral</v>
      </c>
      <c r="Y171" s="77">
        <f>DATA!AA181</f>
        <v>300000000</v>
      </c>
      <c r="Z171" s="77"/>
      <c r="AA171" s="216" t="str">
        <f>DATA!Y181</f>
        <v>Bank Dunia</v>
      </c>
      <c r="AB171" s="188">
        <f>DATA!AG181</f>
        <v>0</v>
      </c>
      <c r="AC171" s="20" t="str">
        <f>DATA!AH181</f>
        <v>Tanpa keterangan</v>
      </c>
      <c r="AD171" s="37" t="str">
        <f>DATA!AI181</f>
        <v>Penyusunan R/C</v>
      </c>
      <c r="AE171" s="152" t="str">
        <f>DATA!AR181</f>
        <v>belum ada dokumen R/C</v>
      </c>
      <c r="AF171" s="152" t="str">
        <f>DATA!AN181</f>
        <v>dalam proses
(penyusunan FS)</v>
      </c>
      <c r="AG171" s="152" t="str">
        <f>DATA!AO181</f>
        <v>tidak butuh lahan</v>
      </c>
      <c r="AH171" s="37" t="str">
        <f>DATA!AJ181</f>
        <v>Sedang evaluasi SPIRIT tahap sebelumnya</v>
      </c>
      <c r="AI171" s="56" t="str">
        <f>DATA!AK181</f>
        <v>Tidak membutuhkan lahan</v>
      </c>
      <c r="AJ171" s="230" t="str">
        <f>DATA!AL181</f>
        <v>-</v>
      </c>
      <c r="AK171" s="231" t="str">
        <f>DATA!AR181</f>
        <v>belum ada dokumen R/C</v>
      </c>
      <c r="AL171" s="20" t="str">
        <f>DATA!AN181</f>
        <v>dalam proses
(penyusunan FS)</v>
      </c>
      <c r="AM171" s="20" t="str">
        <f>DATA!AO181</f>
        <v>tidak butuh lahan</v>
      </c>
      <c r="AN171" s="20" t="str">
        <f>DATA!AP181</f>
        <v>belum ada proses tender/lelang</v>
      </c>
      <c r="AO171" s="20" t="str">
        <f>DATA!AY181</f>
        <v>Surat Sesmen PPN/Sestama Bappenas nomor 5877/SES/09/2015 tgl 14 September 2015</v>
      </c>
      <c r="AP171" s="20" t="e">
        <f>DATA!#REF!</f>
        <v>#REF!</v>
      </c>
      <c r="AQ171" s="20" t="str">
        <f>DATA!AZ181</f>
        <v>Diusulkan untuk masuk GB 2016</v>
      </c>
      <c r="AR171" s="152" t="e">
        <f>DATA!#REF!</f>
        <v>#REF!</v>
      </c>
      <c r="AS171" s="199" t="str">
        <f>DATA!BA181</f>
        <v>Menghasilkan sekitar 2.109 lulusan gelar dan non gelar</v>
      </c>
      <c r="AT171" s="245">
        <f>DATA!AT181</f>
        <v>300000000</v>
      </c>
      <c r="AU171" s="109" t="str">
        <f>DATA!AU181</f>
        <v>Bank Dunia</v>
      </c>
      <c r="AV171" s="248" t="str">
        <f>DATA!AW181</f>
        <v>-</v>
      </c>
      <c r="AW171" s="275"/>
    </row>
    <row r="172" spans="1:49" s="4" customFormat="1" ht="24.95" customHeight="1">
      <c r="J172" s="250"/>
      <c r="K172" s="25">
        <f>DATA!E182</f>
        <v>11</v>
      </c>
      <c r="L172" s="108" t="str">
        <f>DATA!F182</f>
        <v>Kementerian Kesehatan</v>
      </c>
      <c r="M172" s="25"/>
      <c r="N172" s="27"/>
      <c r="O172" s="26"/>
      <c r="P172" s="26"/>
      <c r="Q172" s="193"/>
      <c r="R172" s="194">
        <f>+R173+R175+R177+R179</f>
        <v>1746000000</v>
      </c>
      <c r="S172" s="195" t="e">
        <f t="shared" ref="S172:AT172" si="32">+S173+S175+S177+S179</f>
        <v>#REF!</v>
      </c>
      <c r="T172" s="80" t="e">
        <f t="shared" si="32"/>
        <v>#REF!</v>
      </c>
      <c r="U172" s="80" t="e">
        <f t="shared" si="32"/>
        <v>#REF!</v>
      </c>
      <c r="V172" s="80" t="e">
        <f t="shared" si="32"/>
        <v>#REF!</v>
      </c>
      <c r="W172" s="80" t="e">
        <f t="shared" si="32"/>
        <v>#VALUE!</v>
      </c>
      <c r="X172" s="80" t="e">
        <f t="shared" si="32"/>
        <v>#VALUE!</v>
      </c>
      <c r="Y172" s="80">
        <f t="shared" si="32"/>
        <v>990400000</v>
      </c>
      <c r="Z172" s="80">
        <f t="shared" si="32"/>
        <v>755600000</v>
      </c>
      <c r="AA172" s="213">
        <f t="shared" si="32"/>
        <v>0</v>
      </c>
      <c r="AB172" s="195">
        <f t="shared" si="32"/>
        <v>-755600000</v>
      </c>
      <c r="AC172" s="80" t="e">
        <f t="shared" si="32"/>
        <v>#VALUE!</v>
      </c>
      <c r="AD172" s="80" t="e">
        <f t="shared" si="32"/>
        <v>#VALUE!</v>
      </c>
      <c r="AE172" s="80" t="e">
        <f t="shared" si="32"/>
        <v>#VALUE!</v>
      </c>
      <c r="AF172" s="80" t="e">
        <f t="shared" si="32"/>
        <v>#VALUE!</v>
      </c>
      <c r="AG172" s="80" t="e">
        <f t="shared" si="32"/>
        <v>#VALUE!</v>
      </c>
      <c r="AH172" s="80"/>
      <c r="AI172" s="226"/>
      <c r="AJ172" s="227" t="e">
        <f t="shared" si="32"/>
        <v>#VALUE!</v>
      </c>
      <c r="AK172" s="195" t="e">
        <f t="shared" si="32"/>
        <v>#VALUE!</v>
      </c>
      <c r="AL172" s="80" t="e">
        <f t="shared" si="32"/>
        <v>#VALUE!</v>
      </c>
      <c r="AM172" s="80" t="e">
        <f t="shared" si="32"/>
        <v>#VALUE!</v>
      </c>
      <c r="AN172" s="80" t="e">
        <f t="shared" si="32"/>
        <v>#VALUE!</v>
      </c>
      <c r="AO172" s="80" t="e">
        <f t="shared" si="32"/>
        <v>#VALUE!</v>
      </c>
      <c r="AP172" s="80" t="e">
        <f t="shared" si="32"/>
        <v>#REF!</v>
      </c>
      <c r="AQ172" s="80">
        <f t="shared" si="32"/>
        <v>0</v>
      </c>
      <c r="AR172" s="80" t="e">
        <f t="shared" si="32"/>
        <v>#REF!</v>
      </c>
      <c r="AS172" s="241" t="e">
        <f t="shared" si="32"/>
        <v>#VALUE!</v>
      </c>
      <c r="AT172" s="242">
        <f t="shared" si="32"/>
        <v>1746000000</v>
      </c>
      <c r="AU172" s="80" t="s">
        <v>21</v>
      </c>
      <c r="AV172" s="227"/>
    </row>
    <row r="173" spans="1:49" s="5" customFormat="1" ht="33.75" customHeight="1">
      <c r="J173" s="180"/>
      <c r="K173" s="29"/>
      <c r="L173" s="30" t="str">
        <f>DATA!I181</f>
        <v>A</v>
      </c>
      <c r="M173" s="31" t="str">
        <f>DATA!J182</f>
        <v>Program Pelayanan Kesehatan Dasar</v>
      </c>
      <c r="N173" s="51"/>
      <c r="O173" s="31"/>
      <c r="P173" s="31"/>
      <c r="Q173" s="196"/>
      <c r="R173" s="197">
        <f>+R174</f>
        <v>150000000</v>
      </c>
      <c r="S173" s="198">
        <f t="shared" ref="S173:AT173" si="33">+S174</f>
        <v>150000000</v>
      </c>
      <c r="T173" s="81">
        <f t="shared" si="33"/>
        <v>15000000</v>
      </c>
      <c r="U173" s="81">
        <f t="shared" si="33"/>
        <v>0</v>
      </c>
      <c r="V173" s="81">
        <f t="shared" si="33"/>
        <v>165000000</v>
      </c>
      <c r="W173" s="81" t="str">
        <f t="shared" si="33"/>
        <v>Bank Dunia</v>
      </c>
      <c r="X173" s="81" t="str">
        <f t="shared" si="33"/>
        <v>Multilateral</v>
      </c>
      <c r="Y173" s="81">
        <f t="shared" si="33"/>
        <v>150000000</v>
      </c>
      <c r="Z173" s="81">
        <f t="shared" si="33"/>
        <v>0</v>
      </c>
      <c r="AA173" s="214"/>
      <c r="AB173" s="198">
        <f t="shared" si="33"/>
        <v>0</v>
      </c>
      <c r="AC173" s="81" t="str">
        <f t="shared" si="33"/>
        <v>Tanpa keterangan</v>
      </c>
      <c r="AD173" s="81" t="str">
        <f t="shared" si="33"/>
        <v>-</v>
      </c>
      <c r="AE173" s="81" t="str">
        <f t="shared" si="33"/>
        <v>belum ada dokumen R/C</v>
      </c>
      <c r="AF173" s="81" t="str">
        <f t="shared" si="33"/>
        <v>belum ada keterangan</v>
      </c>
      <c r="AG173" s="81" t="str">
        <f t="shared" si="33"/>
        <v>tidak butuh lahan</v>
      </c>
      <c r="AH173" s="81"/>
      <c r="AI173" s="228"/>
      <c r="AJ173" s="229" t="str">
        <f t="shared" si="33"/>
        <v>-</v>
      </c>
      <c r="AK173" s="198" t="str">
        <f t="shared" si="33"/>
        <v>belum ada dokumen R/C</v>
      </c>
      <c r="AL173" s="81" t="str">
        <f t="shared" si="33"/>
        <v>belum ada keterangan</v>
      </c>
      <c r="AM173" s="81" t="str">
        <f t="shared" si="33"/>
        <v>tidak butuh lahan</v>
      </c>
      <c r="AN173" s="81" t="str">
        <f t="shared" si="33"/>
        <v>belum ada proses tender/lelang</v>
      </c>
      <c r="AO173" s="81" t="str">
        <f t="shared" si="33"/>
        <v>Surat Sekjen nomor PR.02.03/I/1814/2015 tanggal 9 September 2015</v>
      </c>
      <c r="AP173" s="81" t="e">
        <f t="shared" si="33"/>
        <v>#REF!</v>
      </c>
      <c r="AQ173" s="81">
        <f t="shared" si="33"/>
        <v>0</v>
      </c>
      <c r="AR173" s="81" t="e">
        <f t="shared" si="33"/>
        <v>#REF!</v>
      </c>
      <c r="AS173" s="243" t="str">
        <f t="shared" si="33"/>
        <v>Kegiatan akreditasi pusat kesehatan, pengembangan sistem informasi kesehatan, pemenuhan kebutuhan pelayanan kesehatan pada daerah perbatasan, dan memfasilitasi hubungan pusat kesehatan dengan unit transfusi darah</v>
      </c>
      <c r="AT173" s="244">
        <f t="shared" si="33"/>
        <v>150000000</v>
      </c>
      <c r="AU173" s="81" t="s">
        <v>21</v>
      </c>
      <c r="AV173" s="229"/>
    </row>
    <row r="174" spans="1:49" ht="36.75" customHeight="1">
      <c r="A174" s="10">
        <f>DATA!A182</f>
        <v>130</v>
      </c>
      <c r="B174" s="10">
        <f>DATA!B182</f>
        <v>0</v>
      </c>
      <c r="C174" s="10" t="str">
        <f>DATA!D182</f>
        <v>NON-INFRASTRUKTUR</v>
      </c>
      <c r="D174" s="10">
        <f>DATA!E182</f>
        <v>11</v>
      </c>
      <c r="E174" s="10" t="str">
        <f>DATA!F182</f>
        <v>Kementerian Kesehatan</v>
      </c>
      <c r="F174" s="10" t="str">
        <f>DATA!H182</f>
        <v>Basic Health Care Program</v>
      </c>
      <c r="G174" s="10" t="str">
        <f>DATA!I182</f>
        <v>A</v>
      </c>
      <c r="H174" s="10" t="str">
        <f>DATA!J182</f>
        <v>Program Pelayanan Kesehatan Dasar</v>
      </c>
      <c r="I174" s="10">
        <f>DATA!K182</f>
        <v>1</v>
      </c>
      <c r="J174" s="181"/>
      <c r="K174" s="34"/>
      <c r="L174" s="54"/>
      <c r="M174" s="52">
        <v>118</v>
      </c>
      <c r="N174" s="37" t="str">
        <f>DATA!L182</f>
        <v>Improvement of Primary Health Care</v>
      </c>
      <c r="O174" s="20">
        <f>DATA!Q182</f>
        <v>1</v>
      </c>
      <c r="P174" s="20">
        <f>DATA!R182</f>
        <v>1</v>
      </c>
      <c r="Q174" s="186">
        <f>DATA!S182</f>
        <v>104</v>
      </c>
      <c r="R174" s="187">
        <f>DATA!T182</f>
        <v>150000000</v>
      </c>
      <c r="S174" s="203">
        <f>DATA!U182</f>
        <v>150000000</v>
      </c>
      <c r="T174" s="77">
        <f>DATA!V182</f>
        <v>15000000</v>
      </c>
      <c r="U174" s="77">
        <f>DATA!W182</f>
        <v>0</v>
      </c>
      <c r="V174" s="77">
        <f>DATA!X182</f>
        <v>165000000</v>
      </c>
      <c r="W174" s="78" t="str">
        <f>DATA!Y182</f>
        <v>Bank Dunia</v>
      </c>
      <c r="X174" s="20" t="str">
        <f>DATA!Z182</f>
        <v>Multilateral</v>
      </c>
      <c r="Y174" s="77">
        <f>DATA!AA182</f>
        <v>150000000</v>
      </c>
      <c r="Z174" s="77"/>
      <c r="AA174" s="216" t="str">
        <f>DATA!Y182</f>
        <v>Bank Dunia</v>
      </c>
      <c r="AB174" s="188">
        <f>DATA!AG182</f>
        <v>0</v>
      </c>
      <c r="AC174" s="20" t="str">
        <f>DATA!AH182</f>
        <v>Tanpa keterangan</v>
      </c>
      <c r="AD174" s="37" t="str">
        <f>DATA!AI182</f>
        <v>-</v>
      </c>
      <c r="AE174" s="152" t="str">
        <f>DATA!AR182</f>
        <v>belum ada dokumen R/C</v>
      </c>
      <c r="AF174" s="152" t="str">
        <f>DATA!AN182</f>
        <v>belum ada keterangan</v>
      </c>
      <c r="AG174" s="152" t="str">
        <f>DATA!AO182</f>
        <v>tidak butuh lahan</v>
      </c>
      <c r="AH174" s="37" t="str">
        <f>DATA!AJ182</f>
        <v>-</v>
      </c>
      <c r="AI174" s="56" t="str">
        <f>DATA!AK182</f>
        <v>Tidak dibutuhkan lahan</v>
      </c>
      <c r="AJ174" s="230" t="str">
        <f>DATA!AL182</f>
        <v>-</v>
      </c>
      <c r="AK174" s="231" t="str">
        <f>DATA!AR182</f>
        <v>belum ada dokumen R/C</v>
      </c>
      <c r="AL174" s="20" t="str">
        <f>DATA!AN182</f>
        <v>belum ada keterangan</v>
      </c>
      <c r="AM174" s="20" t="str">
        <f>DATA!AO182</f>
        <v>tidak butuh lahan</v>
      </c>
      <c r="AN174" s="20" t="str">
        <f>DATA!AP182</f>
        <v>belum ada proses tender/lelang</v>
      </c>
      <c r="AO174" s="20" t="str">
        <f>DATA!AY182</f>
        <v>Surat Sekjen nomor PR.02.03/I/1814/2015 tanggal 9 September 2015</v>
      </c>
      <c r="AP174" s="20" t="e">
        <f>DATA!#REF!</f>
        <v>#REF!</v>
      </c>
      <c r="AQ174" s="20">
        <f>DATA!AZ182</f>
        <v>0</v>
      </c>
      <c r="AR174" s="152" t="e">
        <f>DATA!#REF!</f>
        <v>#REF!</v>
      </c>
      <c r="AS174" s="199" t="str">
        <f>DATA!BA182</f>
        <v>Kegiatan akreditasi pusat kesehatan, pengembangan sistem informasi kesehatan, pemenuhan kebutuhan pelayanan kesehatan pada daerah perbatasan, dan memfasilitasi hubungan pusat kesehatan dengan unit transfusi darah</v>
      </c>
      <c r="AT174" s="245">
        <f>DATA!AT182</f>
        <v>150000000</v>
      </c>
      <c r="AU174" s="109" t="str">
        <f>DATA!AU182</f>
        <v>Bank Dunia</v>
      </c>
      <c r="AV174" s="248" t="str">
        <f>DATA!AW182</f>
        <v>-</v>
      </c>
    </row>
    <row r="175" spans="1:49" s="5" customFormat="1" ht="33.75" customHeight="1">
      <c r="J175" s="180"/>
      <c r="K175" s="50"/>
      <c r="L175" s="30" t="str">
        <f>DATA!I183</f>
        <v>B</v>
      </c>
      <c r="M175" s="3427" t="str">
        <f>DATA!J183</f>
        <v>Program Pengembangan Sumber Daya Manusia Kesehatan</v>
      </c>
      <c r="N175" s="3428"/>
      <c r="O175" s="31"/>
      <c r="P175" s="31"/>
      <c r="Q175" s="196"/>
      <c r="R175" s="197">
        <f>+R176</f>
        <v>240000000</v>
      </c>
      <c r="S175" s="198">
        <f t="shared" ref="S175:AT175" si="34">+S176</f>
        <v>240000000</v>
      </c>
      <c r="T175" s="81">
        <f t="shared" si="34"/>
        <v>24000000</v>
      </c>
      <c r="U175" s="81">
        <f t="shared" si="34"/>
        <v>0</v>
      </c>
      <c r="V175" s="81">
        <f t="shared" si="34"/>
        <v>264000000</v>
      </c>
      <c r="W175" s="81" t="str">
        <f t="shared" si="34"/>
        <v>IDB</v>
      </c>
      <c r="X175" s="81" t="str">
        <f t="shared" si="34"/>
        <v>Multilateral</v>
      </c>
      <c r="Y175" s="81">
        <f t="shared" si="34"/>
        <v>240000000</v>
      </c>
      <c r="Z175" s="81">
        <f t="shared" si="34"/>
        <v>0</v>
      </c>
      <c r="AA175" s="214"/>
      <c r="AB175" s="198">
        <f t="shared" si="34"/>
        <v>0</v>
      </c>
      <c r="AC175" s="81" t="str">
        <f t="shared" si="34"/>
        <v>Tanpa keterangan</v>
      </c>
      <c r="AD175" s="81" t="str">
        <f t="shared" si="34"/>
        <v>Penyusunan R/C</v>
      </c>
      <c r="AE175" s="81">
        <f t="shared" si="34"/>
        <v>0</v>
      </c>
      <c r="AF175" s="81" t="str">
        <f t="shared" si="34"/>
        <v>dalam proses
(memiliki FS dan DED)</v>
      </c>
      <c r="AG175" s="81" t="str">
        <f t="shared" si="34"/>
        <v>siap</v>
      </c>
      <c r="AH175" s="81"/>
      <c r="AI175" s="228"/>
      <c r="AJ175" s="229" t="str">
        <f t="shared" si="34"/>
        <v>Belum ada lelang/tender</v>
      </c>
      <c r="AK175" s="198">
        <f t="shared" si="34"/>
        <v>0</v>
      </c>
      <c r="AL175" s="81" t="str">
        <f t="shared" si="34"/>
        <v>dalam proses
(memiliki FS dan DED)</v>
      </c>
      <c r="AM175" s="81" t="str">
        <f t="shared" si="34"/>
        <v>siap</v>
      </c>
      <c r="AN175" s="81" t="str">
        <f t="shared" si="34"/>
        <v>belum ada proses tender/lelang</v>
      </c>
      <c r="AO175" s="81" t="str">
        <f t="shared" si="34"/>
        <v>- Pelaksanaan tahun 2017
- Surat Sekjen nomor PR.02.03/I/1814/2015 tanggal 9 September 2015</v>
      </c>
      <c r="AP175" s="81" t="e">
        <f t="shared" si="34"/>
        <v>#REF!</v>
      </c>
      <c r="AQ175" s="81">
        <f t="shared" si="34"/>
        <v>0</v>
      </c>
      <c r="AR175" s="81" t="e">
        <f t="shared" si="34"/>
        <v>#REF!</v>
      </c>
      <c r="AS175" s="243" t="str">
        <f t="shared" si="34"/>
        <v>'Peningkatan infrastruktur Poltekkes, BPPK, Bapelkes dan UPT</v>
      </c>
      <c r="AT175" s="244">
        <f t="shared" si="34"/>
        <v>240000000</v>
      </c>
      <c r="AU175" s="81" t="s">
        <v>21</v>
      </c>
      <c r="AV175" s="229"/>
    </row>
    <row r="176" spans="1:49" ht="57" customHeight="1">
      <c r="A176" s="10">
        <f>DATA!A183</f>
        <v>131</v>
      </c>
      <c r="B176" s="10">
        <f>DATA!B183</f>
        <v>0</v>
      </c>
      <c r="C176" s="10" t="str">
        <f>DATA!D183</f>
        <v>NON-INFRASTRUKTUR</v>
      </c>
      <c r="D176" s="10">
        <f>DATA!E183</f>
        <v>11</v>
      </c>
      <c r="E176" s="10" t="str">
        <f>DATA!F183</f>
        <v>Kementerian Kesehatan</v>
      </c>
      <c r="F176" s="10" t="str">
        <f>DATA!H183</f>
        <v>Program for Human Resources Development in Health Sector</v>
      </c>
      <c r="G176" s="10" t="str">
        <f>DATA!I183</f>
        <v>B</v>
      </c>
      <c r="H176" s="10" t="str">
        <f>DATA!J183</f>
        <v>Program Pengembangan Sumber Daya Manusia Kesehatan</v>
      </c>
      <c r="I176" s="10">
        <f>DATA!K183</f>
        <v>1</v>
      </c>
      <c r="J176" s="181"/>
      <c r="K176" s="34"/>
      <c r="L176" s="20"/>
      <c r="M176" s="36">
        <v>119</v>
      </c>
      <c r="N176" s="37" t="str">
        <f>DATA!L183</f>
        <v>Improvement of Facilities and Infrastructure for Teaching and Learning Activities in Health Sector</v>
      </c>
      <c r="O176" s="20">
        <f>DATA!Q183</f>
        <v>1</v>
      </c>
      <c r="P176" s="20">
        <f>DATA!R183</f>
        <v>1</v>
      </c>
      <c r="Q176" s="186">
        <f>DATA!S183</f>
        <v>105</v>
      </c>
      <c r="R176" s="187">
        <f>DATA!T183</f>
        <v>240000000</v>
      </c>
      <c r="S176" s="203">
        <f>DATA!U183</f>
        <v>240000000</v>
      </c>
      <c r="T176" s="77">
        <f>DATA!V183</f>
        <v>24000000</v>
      </c>
      <c r="U176" s="77">
        <f>DATA!W183</f>
        <v>0</v>
      </c>
      <c r="V176" s="77">
        <f>DATA!X183</f>
        <v>264000000</v>
      </c>
      <c r="W176" s="78" t="str">
        <f>DATA!Y183</f>
        <v>IDB</v>
      </c>
      <c r="X176" s="20" t="str">
        <f>DATA!Z183</f>
        <v>Multilateral</v>
      </c>
      <c r="Y176" s="77">
        <f>DATA!AA183</f>
        <v>240000000</v>
      </c>
      <c r="Z176" s="77">
        <f>DATA!AG183</f>
        <v>0</v>
      </c>
      <c r="AA176" s="216" t="str">
        <f>DATA!Y183</f>
        <v>IDB</v>
      </c>
      <c r="AB176" s="188">
        <f>DATA!AG183</f>
        <v>0</v>
      </c>
      <c r="AC176" s="20" t="str">
        <f>DATA!AH183</f>
        <v>Tanpa keterangan</v>
      </c>
      <c r="AD176" s="37" t="str">
        <f>DATA!AI183</f>
        <v>Penyusunan R/C</v>
      </c>
      <c r="AE176" s="152">
        <f>DATA!AM183</f>
        <v>0</v>
      </c>
      <c r="AF176" s="152" t="str">
        <f>DATA!AN183</f>
        <v>dalam proses
(memiliki FS dan DED)</v>
      </c>
      <c r="AG176" s="152" t="str">
        <f>DATA!AO183</f>
        <v>siap</v>
      </c>
      <c r="AH176" s="37" t="str">
        <f>DATA!AJ183</f>
        <v>FS. DED</v>
      </c>
      <c r="AI176" s="232">
        <f>DATA!AK183</f>
        <v>1</v>
      </c>
      <c r="AJ176" s="230" t="str">
        <f>DATA!AL183</f>
        <v>Belum ada lelang/tender</v>
      </c>
      <c r="AK176" s="231">
        <f>DATA!AM183</f>
        <v>0</v>
      </c>
      <c r="AL176" s="20" t="str">
        <f>DATA!AN183</f>
        <v>dalam proses
(memiliki FS dan DED)</v>
      </c>
      <c r="AM176" s="20" t="str">
        <f>DATA!AO183</f>
        <v>siap</v>
      </c>
      <c r="AN176" s="20" t="str">
        <f>DATA!AP183</f>
        <v>belum ada proses tender/lelang</v>
      </c>
      <c r="AO176" s="20" t="str">
        <f>DATA!AY183</f>
        <v>- Pelaksanaan tahun 2017
- Surat Sekjen nomor PR.02.03/I/1814/2015 tanggal 9 September 2015</v>
      </c>
      <c r="AP176" s="20" t="e">
        <f>DATA!#REF!</f>
        <v>#REF!</v>
      </c>
      <c r="AQ176" s="20">
        <f>DATA!AZ183</f>
        <v>0</v>
      </c>
      <c r="AR176" s="152" t="e">
        <f>DATA!#REF!</f>
        <v>#REF!</v>
      </c>
      <c r="AS176" s="199" t="str">
        <f>DATA!BA183</f>
        <v>'Peningkatan infrastruktur Poltekkes, BPPK, Bapelkes dan UPT</v>
      </c>
      <c r="AT176" s="245">
        <f>DATA!AT183</f>
        <v>240000000</v>
      </c>
      <c r="AU176" s="109" t="str">
        <f>DATA!AU183</f>
        <v>IDB</v>
      </c>
      <c r="AV176" s="248" t="str">
        <f>DATA!AW183</f>
        <v>-</v>
      </c>
    </row>
    <row r="177" spans="1:51" s="5" customFormat="1" ht="37.5" customHeight="1">
      <c r="J177" s="180"/>
      <c r="K177" s="50"/>
      <c r="L177" s="30" t="str">
        <f>DATA!I184</f>
        <v>C</v>
      </c>
      <c r="M177" s="3427" t="str">
        <f>DATA!J184</f>
        <v>Program Pengendalian Penyakit, Penyehatan Lingkungan, dan Penguatan Litbang Kesehatan</v>
      </c>
      <c r="N177" s="3428"/>
      <c r="O177" s="31"/>
      <c r="P177" s="31"/>
      <c r="Q177" s="196"/>
      <c r="R177" s="197">
        <f>+R178</f>
        <v>100400000</v>
      </c>
      <c r="S177" s="198">
        <f t="shared" ref="S177:AT177" si="35">+S178</f>
        <v>100400000</v>
      </c>
      <c r="T177" s="81">
        <f t="shared" si="35"/>
        <v>10040000</v>
      </c>
      <c r="U177" s="81">
        <f t="shared" si="35"/>
        <v>0</v>
      </c>
      <c r="V177" s="81">
        <f t="shared" si="35"/>
        <v>110440000</v>
      </c>
      <c r="W177" s="81" t="str">
        <f t="shared" si="35"/>
        <v>Jerman (KfW)</v>
      </c>
      <c r="X177" s="81" t="str">
        <f t="shared" si="35"/>
        <v>Bilateral</v>
      </c>
      <c r="Y177" s="81">
        <f t="shared" si="35"/>
        <v>100400000</v>
      </c>
      <c r="Z177" s="81">
        <f t="shared" si="35"/>
        <v>0</v>
      </c>
      <c r="AA177" s="214"/>
      <c r="AB177" s="198">
        <f t="shared" si="35"/>
        <v>0</v>
      </c>
      <c r="AC177" s="81" t="str">
        <f t="shared" si="35"/>
        <v>Tanpa keterangan</v>
      </c>
      <c r="AD177" s="81" t="str">
        <f t="shared" si="35"/>
        <v>Penyusunan R/C</v>
      </c>
      <c r="AE177" s="81">
        <f t="shared" si="35"/>
        <v>0</v>
      </c>
      <c r="AF177" s="81" t="str">
        <f t="shared" si="35"/>
        <v>dalam proses
(memiliki)</v>
      </c>
      <c r="AG177" s="81" t="str">
        <f t="shared" si="35"/>
        <v>dalam proses
(pelaksanaan)</v>
      </c>
      <c r="AH177" s="81"/>
      <c r="AI177" s="228"/>
      <c r="AJ177" s="229" t="str">
        <f t="shared" si="35"/>
        <v>Belum ada lelang/tender</v>
      </c>
      <c r="AK177" s="198">
        <f t="shared" si="35"/>
        <v>0</v>
      </c>
      <c r="AL177" s="81" t="str">
        <f t="shared" si="35"/>
        <v>dalam proses
(memiliki)</v>
      </c>
      <c r="AM177" s="81" t="str">
        <f t="shared" si="35"/>
        <v>dalam proses
(pelaksanaan)</v>
      </c>
      <c r="AN177" s="81" t="str">
        <f t="shared" si="35"/>
        <v>belum ada proses tender/lelang</v>
      </c>
      <c r="AO177" s="81" t="str">
        <f t="shared" si="35"/>
        <v>- Tahap perencanaan selesai tahun 2016, tahap penyiapan dilakukan setelah tahap perencanaan selesai.Pelaksanaan diusulkan mulai tahun 2017.
- Surat Sekjen nomor PR.02.03/I/1814/2015 tanggal 9 September 2015</v>
      </c>
      <c r="AP177" s="81" t="e">
        <f t="shared" si="35"/>
        <v>#REF!</v>
      </c>
      <c r="AQ177" s="81">
        <f t="shared" si="35"/>
        <v>0</v>
      </c>
      <c r="AR177" s="81" t="e">
        <f t="shared" si="35"/>
        <v>#REF!</v>
      </c>
      <c r="AS177" s="243" t="str">
        <f t="shared" si="35"/>
        <v>Penguatan lembaga penelitian dan pengembangan kesehatan, melengkapi fasilitas laboratorium untuk mendukung deteksi dan penelitian macam-macam virus dan bakteri, peningkatan kesadaran masyarakat terhadap kesehatan dan Peningkatan SDM kesehatan</v>
      </c>
      <c r="AT177" s="244">
        <f t="shared" si="35"/>
        <v>100400000</v>
      </c>
      <c r="AU177" s="81" t="s">
        <v>21</v>
      </c>
      <c r="AV177" s="229"/>
    </row>
    <row r="178" spans="1:51" ht="74.25" customHeight="1">
      <c r="A178" s="10">
        <f>DATA!A184</f>
        <v>132</v>
      </c>
      <c r="B178" s="10">
        <f>DATA!B184</f>
        <v>0</v>
      </c>
      <c r="C178" s="10" t="str">
        <f>DATA!D184</f>
        <v>NON-INFRASTRUKTUR</v>
      </c>
      <c r="D178" s="10">
        <f>DATA!E184</f>
        <v>11</v>
      </c>
      <c r="E178" s="10" t="str">
        <f>DATA!F184</f>
        <v>Kementerian Kesehatan</v>
      </c>
      <c r="F178" s="10" t="str">
        <f>DATA!H184</f>
        <v>Program for Disease Control, Environmental Health, and Strengthening Health Research and Development</v>
      </c>
      <c r="G178" s="10" t="str">
        <f>DATA!I184</f>
        <v>C</v>
      </c>
      <c r="H178" s="10" t="str">
        <f>DATA!J184</f>
        <v>Program Pengendalian Penyakit, Penyehatan Lingkungan, dan Penguatan Litbang Kesehatan</v>
      </c>
      <c r="I178" s="10">
        <f>DATA!K184</f>
        <v>1</v>
      </c>
      <c r="J178" s="181"/>
      <c r="K178" s="34"/>
      <c r="L178" s="20"/>
      <c r="M178" s="36">
        <v>120</v>
      </c>
      <c r="N178" s="37" t="str">
        <f>DATA!L184</f>
        <v>Improvement of Capacity on Disease Control, Environmental Health, and Strengthening Health’s Research and Development</v>
      </c>
      <c r="O178" s="20">
        <f>DATA!Q184</f>
        <v>1</v>
      </c>
      <c r="P178" s="20">
        <f>DATA!R184</f>
        <v>1</v>
      </c>
      <c r="Q178" s="186">
        <f>DATA!S184</f>
        <v>106</v>
      </c>
      <c r="R178" s="187">
        <f>DATA!T184</f>
        <v>100400000</v>
      </c>
      <c r="S178" s="203">
        <f>DATA!U184</f>
        <v>100400000</v>
      </c>
      <c r="T178" s="77">
        <f>DATA!V184</f>
        <v>10040000</v>
      </c>
      <c r="U178" s="77">
        <f>DATA!W184</f>
        <v>0</v>
      </c>
      <c r="V178" s="77">
        <f>DATA!X184</f>
        <v>110440000</v>
      </c>
      <c r="W178" s="78" t="str">
        <f>DATA!Y184</f>
        <v>Jerman (KfW)</v>
      </c>
      <c r="X178" s="20" t="str">
        <f>DATA!Z184</f>
        <v>Bilateral</v>
      </c>
      <c r="Y178" s="77">
        <f>DATA!AA184</f>
        <v>100400000</v>
      </c>
      <c r="Z178" s="77">
        <f>DATA!AG184</f>
        <v>0</v>
      </c>
      <c r="AA178" s="216" t="str">
        <f>DATA!Y184</f>
        <v>Jerman (KfW)</v>
      </c>
      <c r="AB178" s="188">
        <f>DATA!AG184</f>
        <v>0</v>
      </c>
      <c r="AC178" s="20" t="str">
        <f>DATA!AH184</f>
        <v>Tanpa keterangan</v>
      </c>
      <c r="AD178" s="37" t="str">
        <f>DATA!AI184</f>
        <v>Penyusunan R/C</v>
      </c>
      <c r="AE178" s="152">
        <f>DATA!AM184</f>
        <v>0</v>
      </c>
      <c r="AF178" s="152" t="str">
        <f>DATA!AN184</f>
        <v>dalam proses
(memiliki)</v>
      </c>
      <c r="AG178" s="152" t="str">
        <f>DATA!AO184</f>
        <v>dalam proses
(pelaksanaan)</v>
      </c>
      <c r="AH178" s="37" t="str">
        <f>DATA!AJ184</f>
        <v>Belum ada DED &amp; AMDAL</v>
      </c>
      <c r="AI178" s="232">
        <f>DATA!AK184</f>
        <v>0.5</v>
      </c>
      <c r="AJ178" s="230" t="str">
        <f>DATA!AL184</f>
        <v>Belum ada lelang/tender</v>
      </c>
      <c r="AK178" s="231">
        <f>DATA!AM184</f>
        <v>0</v>
      </c>
      <c r="AL178" s="20" t="str">
        <f>DATA!AN184</f>
        <v>dalam proses
(memiliki)</v>
      </c>
      <c r="AM178" s="20" t="str">
        <f>DATA!AO184</f>
        <v>dalam proses
(pelaksanaan)</v>
      </c>
      <c r="AN178" s="20" t="str">
        <f>DATA!AP184</f>
        <v>belum ada proses tender/lelang</v>
      </c>
      <c r="AO178" s="20" t="str">
        <f>DATA!AY184</f>
        <v>- Tahap perencanaan selesai tahun 2016, tahap penyiapan dilakukan setelah tahap perencanaan selesai.Pelaksanaan diusulkan mulai tahun 2017.
- Surat Sekjen nomor PR.02.03/I/1814/2015 tanggal 9 September 2015</v>
      </c>
      <c r="AP178" s="20" t="e">
        <f>DATA!#REF!</f>
        <v>#REF!</v>
      </c>
      <c r="AQ178" s="20">
        <f>DATA!AZ184</f>
        <v>0</v>
      </c>
      <c r="AR178" s="152" t="e">
        <f>DATA!#REF!</f>
        <v>#REF!</v>
      </c>
      <c r="AS178" s="199" t="str">
        <f>DATA!BA184</f>
        <v>Penguatan lembaga penelitian dan pengembangan kesehatan, melengkapi fasilitas laboratorium untuk mendukung deteksi dan penelitian macam-macam virus dan bakteri, peningkatan kesadaran masyarakat terhadap kesehatan dan Peningkatan SDM kesehatan</v>
      </c>
      <c r="AT178" s="245">
        <f>DATA!AT184</f>
        <v>100400000</v>
      </c>
      <c r="AU178" s="109" t="str">
        <f>DATA!AU184</f>
        <v>Jerman (KfW)</v>
      </c>
      <c r="AV178" s="248" t="str">
        <f>DATA!AW184</f>
        <v>-</v>
      </c>
    </row>
    <row r="179" spans="1:51" s="5" customFormat="1" ht="33.75" customHeight="1">
      <c r="J179" s="180"/>
      <c r="K179" s="50"/>
      <c r="L179" s="30" t="str">
        <f>DATA!I185</f>
        <v>D</v>
      </c>
      <c r="M179" s="31" t="str">
        <f>DATA!J185</f>
        <v>Program Pelayanan Kesehatan Rujukan</v>
      </c>
      <c r="N179" s="51"/>
      <c r="O179" s="31"/>
      <c r="P179" s="31"/>
      <c r="Q179" s="196"/>
      <c r="R179" s="197">
        <f>R180</f>
        <v>1255600000</v>
      </c>
      <c r="S179" s="198" t="e">
        <f>+#REF!</f>
        <v>#REF!</v>
      </c>
      <c r="T179" s="81" t="e">
        <f>+#REF!</f>
        <v>#REF!</v>
      </c>
      <c r="U179" s="81" t="e">
        <f>+#REF!</f>
        <v>#REF!</v>
      </c>
      <c r="V179" s="81" t="e">
        <f>+#REF!</f>
        <v>#REF!</v>
      </c>
      <c r="W179" s="81"/>
      <c r="X179" s="81" t="e">
        <f>+#REF!</f>
        <v>#REF!</v>
      </c>
      <c r="Y179" s="81">
        <f>Y180+Y181+Y182</f>
        <v>500000000</v>
      </c>
      <c r="Z179" s="81">
        <f>Z180+Z181+Z182</f>
        <v>755600000</v>
      </c>
      <c r="AA179" s="214"/>
      <c r="AB179" s="198">
        <f t="shared" ref="AB179:AT179" si="36">AB180+AB181+AB182</f>
        <v>-755600000</v>
      </c>
      <c r="AC179" s="81" t="e">
        <f t="shared" si="36"/>
        <v>#VALUE!</v>
      </c>
      <c r="AD179" s="81" t="e">
        <f t="shared" si="36"/>
        <v>#VALUE!</v>
      </c>
      <c r="AE179" s="81">
        <f t="shared" si="36"/>
        <v>0</v>
      </c>
      <c r="AF179" s="81" t="e">
        <f t="shared" si="36"/>
        <v>#VALUE!</v>
      </c>
      <c r="AG179" s="81" t="e">
        <f t="shared" si="36"/>
        <v>#VALUE!</v>
      </c>
      <c r="AH179" s="81"/>
      <c r="AI179" s="228"/>
      <c r="AJ179" s="229" t="e">
        <f t="shared" si="36"/>
        <v>#VALUE!</v>
      </c>
      <c r="AK179" s="198">
        <f t="shared" si="36"/>
        <v>0</v>
      </c>
      <c r="AL179" s="81" t="e">
        <f t="shared" si="36"/>
        <v>#VALUE!</v>
      </c>
      <c r="AM179" s="81" t="e">
        <f t="shared" si="36"/>
        <v>#VALUE!</v>
      </c>
      <c r="AN179" s="81" t="e">
        <f t="shared" si="36"/>
        <v>#VALUE!</v>
      </c>
      <c r="AO179" s="81" t="e">
        <f t="shared" si="36"/>
        <v>#VALUE!</v>
      </c>
      <c r="AP179" s="81" t="e">
        <f t="shared" si="36"/>
        <v>#REF!</v>
      </c>
      <c r="AQ179" s="81">
        <f t="shared" si="36"/>
        <v>0</v>
      </c>
      <c r="AR179" s="81" t="e">
        <f t="shared" si="36"/>
        <v>#REF!</v>
      </c>
      <c r="AS179" s="243" t="e">
        <f t="shared" si="36"/>
        <v>#VALUE!</v>
      </c>
      <c r="AT179" s="244">
        <f t="shared" si="36"/>
        <v>1255600000</v>
      </c>
      <c r="AU179" s="81" t="s">
        <v>21</v>
      </c>
      <c r="AV179" s="229"/>
    </row>
    <row r="180" spans="1:51" ht="35.25" customHeight="1">
      <c r="A180" s="10">
        <f>DATA!A186</f>
        <v>133</v>
      </c>
      <c r="B180" s="10">
        <f>DATA!B186</f>
        <v>0</v>
      </c>
      <c r="C180" s="10" t="str">
        <f>DATA!D186</f>
        <v>NON-INFRASTRUKTUR</v>
      </c>
      <c r="D180" s="10">
        <f>DATA!E186</f>
        <v>11</v>
      </c>
      <c r="E180" s="10" t="str">
        <f>DATA!F186</f>
        <v>Kementerian Kesehatan</v>
      </c>
      <c r="F180" s="10" t="str">
        <f>DATA!H186</f>
        <v>Referral Health Services Program</v>
      </c>
      <c r="G180" s="10" t="str">
        <f>DATA!I186</f>
        <v>D</v>
      </c>
      <c r="H180" s="10" t="str">
        <f>DATA!J186</f>
        <v>Program Pelayanan Kesehatan Rujukan</v>
      </c>
      <c r="I180" s="10">
        <f>DATA!K186</f>
        <v>1</v>
      </c>
      <c r="J180" s="181"/>
      <c r="K180" s="34"/>
      <c r="L180" s="34"/>
      <c r="M180" s="3390">
        <v>121</v>
      </c>
      <c r="N180" s="3393" t="str">
        <f>DATA!L186</f>
        <v>Strengthening of National Referral Hospitals, Province Referral Hospital and Vertical Technical Units</v>
      </c>
      <c r="O180" s="20">
        <f>DATA!Q186</f>
        <v>0.33333333333333331</v>
      </c>
      <c r="P180" s="20">
        <f>DATA!R186</f>
        <v>0</v>
      </c>
      <c r="Q180" s="186">
        <f>DATA!S186</f>
        <v>0</v>
      </c>
      <c r="R180" s="3408">
        <f>DATA!T185</f>
        <v>1255600000</v>
      </c>
      <c r="S180" s="203">
        <f>DATA!U186</f>
        <v>0</v>
      </c>
      <c r="T180" s="77">
        <f>DATA!V186</f>
        <v>0</v>
      </c>
      <c r="U180" s="77">
        <f>DATA!W186</f>
        <v>0</v>
      </c>
      <c r="V180" s="77">
        <f>DATA!X186</f>
        <v>0</v>
      </c>
      <c r="W180" s="78" t="str">
        <f>DATA!Y186</f>
        <v>IDB</v>
      </c>
      <c r="X180" s="20" t="str">
        <f>DATA!Z186</f>
        <v>Multilateral</v>
      </c>
      <c r="Y180" s="77">
        <f>DATA!AA186</f>
        <v>250000000</v>
      </c>
      <c r="Z180" s="77"/>
      <c r="AA180" s="216" t="str">
        <f>DATA!Y186</f>
        <v>IDB</v>
      </c>
      <c r="AB180" s="188">
        <f>DATA!AG186</f>
        <v>0</v>
      </c>
      <c r="AC180" s="20" t="str">
        <f>DATA!AH186</f>
        <v>Tanpa keterangan</v>
      </c>
      <c r="AD180" s="37" t="str">
        <f>DATA!AI186</f>
        <v>-</v>
      </c>
      <c r="AE180" s="152">
        <f>DATA!AM186</f>
        <v>0</v>
      </c>
      <c r="AF180" s="152" t="str">
        <f>DATA!AN186</f>
        <v>belum ada keterangan</v>
      </c>
      <c r="AG180" s="152" t="str">
        <f>DATA!AO186</f>
        <v>belum ada keterangan</v>
      </c>
      <c r="AH180" s="37" t="str">
        <f>DATA!AJ186</f>
        <v>-</v>
      </c>
      <c r="AI180" s="270" t="str">
        <f>DATA!AK186</f>
        <v>-</v>
      </c>
      <c r="AJ180" s="230" t="str">
        <f>DATA!AL186</f>
        <v>-</v>
      </c>
      <c r="AK180" s="231">
        <f>DATA!AM186</f>
        <v>0</v>
      </c>
      <c r="AL180" s="20" t="str">
        <f>DATA!AN186</f>
        <v>belum ada keterangan</v>
      </c>
      <c r="AM180" s="20" t="str">
        <f>DATA!AO186</f>
        <v>belum ada keterangan</v>
      </c>
      <c r="AN180" s="20" t="str">
        <f>DATA!AP186</f>
        <v>belum ada proses tender/lelang</v>
      </c>
      <c r="AO180" s="20" t="str">
        <f>DATA!AY186</f>
        <v>- (tidak ada data)
- Surat Sekjen nomor PR.02.03/I/1814/2015 tanggal 9 September 2015</v>
      </c>
      <c r="AP180" s="20" t="e">
        <f>DATA!#REF!</f>
        <v>#REF!</v>
      </c>
      <c r="AQ180" s="20">
        <f>DATA!AZ186</f>
        <v>0</v>
      </c>
      <c r="AR180" s="152" t="e">
        <f>DATA!#REF!</f>
        <v>#REF!</v>
      </c>
      <c r="AS180" s="199" t="str">
        <f>DATA!BA186</f>
        <v>Meningkatkan sarana dan prasarana di 14 rumah sakit pusat rujukan nasional, 20 rumah sakit rujukan provinsi dan 39 UPT (unit pelaksana teknis) vertikal sebagai pusat rujukan tersier</v>
      </c>
      <c r="AT180" s="245">
        <f>DATA!AT186</f>
        <v>250000000</v>
      </c>
      <c r="AU180" s="109" t="str">
        <f>DATA!AU186</f>
        <v>IDB</v>
      </c>
      <c r="AV180" s="248" t="str">
        <f>DATA!AW186</f>
        <v>co-financing dengan Jerman (KfW) (USD 250 juta) dan belum ada indikasi (USD 755,6 juta)</v>
      </c>
    </row>
    <row r="181" spans="1:51" ht="35.25" customHeight="1">
      <c r="A181" s="10">
        <f>DATA!A187</f>
        <v>134</v>
      </c>
      <c r="B181" s="10">
        <f>DATA!B187</f>
        <v>0</v>
      </c>
      <c r="C181" s="10" t="str">
        <f>DATA!D187</f>
        <v>NON-INFRASTRUKTUR</v>
      </c>
      <c r="D181" s="10">
        <f>DATA!E187</f>
        <v>11</v>
      </c>
      <c r="E181" s="10" t="str">
        <f>DATA!F187</f>
        <v>Kementerian Kesehatan</v>
      </c>
      <c r="F181" s="10" t="str">
        <f>DATA!H187</f>
        <v>Referral Health Services Program</v>
      </c>
      <c r="G181" s="10" t="str">
        <f>DATA!I187</f>
        <v>D</v>
      </c>
      <c r="H181" s="10" t="str">
        <f>DATA!J187</f>
        <v>Program Pelayanan Kesehatan Rujukan</v>
      </c>
      <c r="I181" s="10">
        <f>DATA!K187</f>
        <v>1</v>
      </c>
      <c r="J181" s="181"/>
      <c r="K181" s="34"/>
      <c r="L181" s="34"/>
      <c r="M181" s="3392"/>
      <c r="N181" s="3397"/>
      <c r="O181" s="20"/>
      <c r="P181" s="20"/>
      <c r="Q181" s="186"/>
      <c r="R181" s="4014"/>
      <c r="S181" s="203">
        <f>DATA!U187</f>
        <v>0</v>
      </c>
      <c r="T181" s="77">
        <f>DATA!V187</f>
        <v>0</v>
      </c>
      <c r="U181" s="77">
        <f>DATA!W187</f>
        <v>0</v>
      </c>
      <c r="V181" s="77">
        <f>DATA!X187</f>
        <v>0</v>
      </c>
      <c r="W181" s="78" t="str">
        <f>DATA!Y187</f>
        <v>Jerman (KfW)</v>
      </c>
      <c r="X181" s="20" t="str">
        <f>DATA!Z187</f>
        <v>Bilateral</v>
      </c>
      <c r="Y181" s="77">
        <f>DATA!AA187</f>
        <v>250000000</v>
      </c>
      <c r="Z181" s="77"/>
      <c r="AA181" s="216" t="str">
        <f>DATA!Y187</f>
        <v>Jerman (KfW)</v>
      </c>
      <c r="AB181" s="188">
        <f>DATA!AG187</f>
        <v>0</v>
      </c>
      <c r="AC181" s="20" t="str">
        <f>DATA!AH187</f>
        <v>Tanpa keterangan</v>
      </c>
      <c r="AD181" s="37" t="str">
        <f>DATA!AI187</f>
        <v>-</v>
      </c>
      <c r="AE181" s="152">
        <f>DATA!AM187</f>
        <v>0</v>
      </c>
      <c r="AF181" s="152" t="str">
        <f>DATA!AN187</f>
        <v>belum ada keterangan</v>
      </c>
      <c r="AG181" s="152" t="str">
        <f>DATA!AO187</f>
        <v>belum ada keterangan</v>
      </c>
      <c r="AH181" s="37" t="str">
        <f>DATA!AJ187</f>
        <v>-</v>
      </c>
      <c r="AI181" s="56" t="str">
        <f>DATA!AK187</f>
        <v>-</v>
      </c>
      <c r="AJ181" s="230" t="str">
        <f>DATA!AL187</f>
        <v>-</v>
      </c>
      <c r="AK181" s="231">
        <f>DATA!AM187</f>
        <v>0</v>
      </c>
      <c r="AL181" s="20" t="str">
        <f>DATA!AN187</f>
        <v>belum ada keterangan</v>
      </c>
      <c r="AM181" s="20" t="str">
        <f>DATA!AO187</f>
        <v>belum ada keterangan</v>
      </c>
      <c r="AN181" s="20" t="str">
        <f>DATA!AP187</f>
        <v>belum ada proses tender/lelang</v>
      </c>
      <c r="AO181" s="20" t="str">
        <f>DATA!AY187</f>
        <v>- Keg ini bukan area prioritas dari Pem. Jerman
- Surat Sekjen nomor PR.02.03/I/1814/2015 tanggal 9 September 2015</v>
      </c>
      <c r="AP181" s="20" t="e">
        <f>DATA!#REF!</f>
        <v>#REF!</v>
      </c>
      <c r="AQ181" s="20">
        <f>DATA!AZ187</f>
        <v>0</v>
      </c>
      <c r="AR181" s="152" t="e">
        <f>DATA!#REF!</f>
        <v>#REF!</v>
      </c>
      <c r="AS181" s="199" t="str">
        <f>DATA!BA187</f>
        <v>Meningkatkan sarana dan prasarana di 14 rumah sakit pusat rujukan nasional, 20 rumah sakit rujukan provinsi dan 39 UPT (unit pelaksana teknis) vertikal sebagai pusat rujukan tersier</v>
      </c>
      <c r="AT181" s="245">
        <f>DATA!AT187</f>
        <v>250000000</v>
      </c>
      <c r="AU181" s="109" t="str">
        <f>DATA!AU187</f>
        <v>Jerman (KfW)</v>
      </c>
      <c r="AV181" s="248" t="str">
        <f>DATA!AW187</f>
        <v>co-financing dengan IDB (USD 250 juta) dan belum ada indikasi (USD 755,6 juta)</v>
      </c>
    </row>
    <row r="182" spans="1:51" ht="32.25" customHeight="1">
      <c r="A182" s="10">
        <f>DATA!A188</f>
        <v>135</v>
      </c>
      <c r="B182" s="10">
        <f>DATA!B188</f>
        <v>0</v>
      </c>
      <c r="C182" s="10" t="str">
        <f>DATA!D188</f>
        <v>NON-INFRASTRUKTUR</v>
      </c>
      <c r="D182" s="10">
        <f>DATA!E188</f>
        <v>11</v>
      </c>
      <c r="E182" s="10" t="str">
        <f>DATA!F188</f>
        <v>Kementerian Kesehatan</v>
      </c>
      <c r="F182" s="10" t="str">
        <f>DATA!H188</f>
        <v>Referral Health Services Program</v>
      </c>
      <c r="G182" s="10" t="str">
        <f>DATA!I188</f>
        <v>D</v>
      </c>
      <c r="H182" s="10" t="str">
        <f>DATA!J188</f>
        <v>Program Pelayanan Kesehatan Rujukan</v>
      </c>
      <c r="I182" s="10">
        <f>DATA!K188</f>
        <v>1</v>
      </c>
      <c r="J182" s="181"/>
      <c r="K182" s="54"/>
      <c r="L182" s="54"/>
      <c r="M182" s="3391"/>
      <c r="N182" s="3394"/>
      <c r="O182" s="20"/>
      <c r="P182" s="20"/>
      <c r="Q182" s="186"/>
      <c r="R182" s="3409"/>
      <c r="S182" s="203">
        <f>DATA!U188</f>
        <v>0</v>
      </c>
      <c r="T182" s="77">
        <f>DATA!V188</f>
        <v>0</v>
      </c>
      <c r="U182" s="77">
        <f>DATA!W188</f>
        <v>0</v>
      </c>
      <c r="V182" s="77">
        <f>DATA!X188</f>
        <v>0</v>
      </c>
      <c r="W182" s="78" t="str">
        <f>DATA!Y188</f>
        <v>Belum Ada Indikasi</v>
      </c>
      <c r="X182" s="20" t="str">
        <f>DATA!Z188</f>
        <v>Belum Ada Indikasi</v>
      </c>
      <c r="Y182" s="77">
        <v>0</v>
      </c>
      <c r="Z182" s="77">
        <f>DATA!AA188</f>
        <v>755600000</v>
      </c>
      <c r="AA182" s="216" t="str">
        <f>DATA!Y188</f>
        <v>Belum Ada Indikasi</v>
      </c>
      <c r="AB182" s="188">
        <f>DATA!AG188</f>
        <v>-755600000</v>
      </c>
      <c r="AC182" s="20" t="str">
        <f>DATA!AH188</f>
        <v>Tanpa keterangan</v>
      </c>
      <c r="AD182" s="37" t="str">
        <f>DATA!AI188</f>
        <v>-</v>
      </c>
      <c r="AE182" s="152">
        <f>DATA!AM188</f>
        <v>0</v>
      </c>
      <c r="AF182" s="152" t="str">
        <f>DATA!AN188</f>
        <v>belum ada keterangan</v>
      </c>
      <c r="AG182" s="152" t="str">
        <f>DATA!AO188</f>
        <v>belum ada keterangan</v>
      </c>
      <c r="AH182" s="37" t="str">
        <f>DATA!AJ188</f>
        <v>-</v>
      </c>
      <c r="AI182" s="56" t="str">
        <f>DATA!AK188</f>
        <v>-</v>
      </c>
      <c r="AJ182" s="230" t="str">
        <f>DATA!AL188</f>
        <v>-</v>
      </c>
      <c r="AK182" s="231">
        <f>DATA!AM188</f>
        <v>0</v>
      </c>
      <c r="AL182" s="20" t="str">
        <f>DATA!AN188</f>
        <v>belum ada keterangan</v>
      </c>
      <c r="AM182" s="20" t="str">
        <f>DATA!AO188</f>
        <v>belum ada keterangan</v>
      </c>
      <c r="AN182" s="20" t="str">
        <f>DATA!AP188</f>
        <v>belum ada proses tender/lelang</v>
      </c>
      <c r="AO182" s="20" t="str">
        <f>DATA!AY188</f>
        <v>Surat Sekjen nomor PR.02.03/I/1814/2015 tanggal 9 September 2015</v>
      </c>
      <c r="AP182" s="20" t="e">
        <f>DATA!#REF!</f>
        <v>#REF!</v>
      </c>
      <c r="AQ182" s="20">
        <f>DATA!AZ188</f>
        <v>0</v>
      </c>
      <c r="AR182" s="152" t="e">
        <f>DATA!#REF!</f>
        <v>#REF!</v>
      </c>
      <c r="AS182" s="199" t="str">
        <f>DATA!BA188</f>
        <v>Meningkatkan sarana dan prasarana di 14 rumah sakit pusat rujukan nasional, 20 rumah sakit rujukan provinsi dan 39 UPT (unit pelaksana teknis) vertikal sebagai pusat rujukan tersier</v>
      </c>
      <c r="AT182" s="245">
        <f>DATA!AT188</f>
        <v>755600000</v>
      </c>
      <c r="AU182" s="109" t="str">
        <f>DATA!AU188</f>
        <v>Belum Ada Indikasi</v>
      </c>
      <c r="AV182" s="248" t="str">
        <f>DATA!AW188</f>
        <v>co-financing dengan IDB (USD 250 juta) dan Jerman (KfW) (USD 250 juta)</v>
      </c>
    </row>
    <row r="183" spans="1:51" s="4" customFormat="1" ht="24.95" customHeight="1">
      <c r="J183" s="250"/>
      <c r="K183" s="25">
        <f>DATA!E189</f>
        <v>12</v>
      </c>
      <c r="L183" s="108" t="str">
        <f>DATA!F189</f>
        <v>Pemprov. Aceh</v>
      </c>
      <c r="M183" s="25"/>
      <c r="N183" s="27"/>
      <c r="O183" s="26"/>
      <c r="P183" s="26"/>
      <c r="Q183" s="193"/>
      <c r="R183" s="194">
        <f>+R184</f>
        <v>106800000</v>
      </c>
      <c r="S183" s="195">
        <f>+S184</f>
        <v>106800000</v>
      </c>
      <c r="T183" s="80">
        <f t="shared" ref="T183:AG184" si="37">+T184</f>
        <v>10700000</v>
      </c>
      <c r="U183" s="80">
        <f t="shared" si="37"/>
        <v>0</v>
      </c>
      <c r="V183" s="80">
        <f t="shared" si="37"/>
        <v>117500000</v>
      </c>
      <c r="W183" s="80"/>
      <c r="X183" s="80" t="str">
        <f t="shared" si="37"/>
        <v>Bilateral</v>
      </c>
      <c r="Y183" s="80">
        <f t="shared" si="37"/>
        <v>106800000</v>
      </c>
      <c r="Z183" s="80">
        <f t="shared" si="37"/>
        <v>0</v>
      </c>
      <c r="AA183" s="213">
        <f t="shared" si="37"/>
        <v>0</v>
      </c>
      <c r="AB183" s="195">
        <f t="shared" si="37"/>
        <v>0</v>
      </c>
      <c r="AC183" s="80" t="str">
        <f t="shared" si="37"/>
        <v>Tanpa keterangan</v>
      </c>
      <c r="AD183" s="80" t="str">
        <f t="shared" si="37"/>
        <v xml:space="preserve">- Sudah ada R/C
- Green Book 2015
</v>
      </c>
      <c r="AE183" s="80" t="str">
        <f t="shared" si="37"/>
        <v>2016; 2015</v>
      </c>
      <c r="AF183" s="80" t="str">
        <f t="shared" si="37"/>
        <v>dalam proses
(memiliki FS dan DED)</v>
      </c>
      <c r="AG183" s="80" t="str">
        <f t="shared" si="37"/>
        <v>siap</v>
      </c>
      <c r="AH183" s="80"/>
      <c r="AI183" s="226"/>
      <c r="AJ183" s="227" t="str">
        <f t="shared" ref="AJ183:AU184" si="38">+AJ184</f>
        <v>-</v>
      </c>
      <c r="AK183" s="195" t="str">
        <f t="shared" si="38"/>
        <v>2016; 2015</v>
      </c>
      <c r="AL183" s="80" t="str">
        <f t="shared" si="38"/>
        <v>dalam proses
(memiliki FS dan DED)</v>
      </c>
      <c r="AM183" s="80" t="str">
        <f t="shared" si="38"/>
        <v>siap</v>
      </c>
      <c r="AN183" s="80" t="str">
        <f t="shared" si="38"/>
        <v>belum ada proses tender/lelang</v>
      </c>
      <c r="AO183" s="80" t="str">
        <f t="shared" si="38"/>
        <v>Surat Kepala Dinas Kesehatan Prov. Aceh nomor 443.02/998/V/2015 tanggal 27 April 2015 tentang penyampaian dokumen kesiapan (RC)</v>
      </c>
      <c r="AP183" s="80" t="e">
        <f t="shared" si="38"/>
        <v>#REF!</v>
      </c>
      <c r="AQ183" s="80">
        <f t="shared" si="38"/>
        <v>0</v>
      </c>
      <c r="AR183" s="80" t="e">
        <f t="shared" si="38"/>
        <v>#REF!</v>
      </c>
      <c r="AS183" s="241" t="str">
        <f t="shared" si="38"/>
        <v xml:space="preserve">Pengembangan infrastruktur (pembangunan rumah sakit baru, rehabilitasi rumah sakit lama, dan kantor dinas kesehatan, pengadaan peralatan dan operasional, dan peningkatan SDM rumah sakit </v>
      </c>
      <c r="AT183" s="242">
        <f t="shared" si="38"/>
        <v>106800000</v>
      </c>
      <c r="AU183" s="80" t="str">
        <f t="shared" si="38"/>
        <v>-</v>
      </c>
      <c r="AV183" s="227"/>
    </row>
    <row r="184" spans="1:51" s="5" customFormat="1" ht="33.75" customHeight="1">
      <c r="J184" s="180"/>
      <c r="K184" s="29"/>
      <c r="L184" s="30" t="str">
        <f>DATA!I189</f>
        <v>A</v>
      </c>
      <c r="M184" s="31" t="str">
        <f>DATA!J189</f>
        <v>Program Pelayanan Kesehatan Rujukan</v>
      </c>
      <c r="N184" s="51"/>
      <c r="O184" s="31"/>
      <c r="P184" s="31"/>
      <c r="Q184" s="196"/>
      <c r="R184" s="197">
        <f>+R185</f>
        <v>106800000</v>
      </c>
      <c r="S184" s="198">
        <f>+S185</f>
        <v>106800000</v>
      </c>
      <c r="T184" s="81">
        <f t="shared" si="37"/>
        <v>10700000</v>
      </c>
      <c r="U184" s="81">
        <f t="shared" si="37"/>
        <v>0</v>
      </c>
      <c r="V184" s="81">
        <f t="shared" si="37"/>
        <v>117500000</v>
      </c>
      <c r="W184" s="81"/>
      <c r="X184" s="81" t="str">
        <f t="shared" si="37"/>
        <v>Bilateral</v>
      </c>
      <c r="Y184" s="81">
        <f t="shared" si="37"/>
        <v>106800000</v>
      </c>
      <c r="Z184" s="81">
        <f t="shared" si="37"/>
        <v>0</v>
      </c>
      <c r="AA184" s="214"/>
      <c r="AB184" s="198">
        <f t="shared" si="37"/>
        <v>0</v>
      </c>
      <c r="AC184" s="81" t="str">
        <f t="shared" si="37"/>
        <v>Tanpa keterangan</v>
      </c>
      <c r="AD184" s="81" t="str">
        <f t="shared" si="37"/>
        <v xml:space="preserve">- Sudah ada R/C
- Green Book 2015
</v>
      </c>
      <c r="AE184" s="81" t="str">
        <f t="shared" si="37"/>
        <v>2016; 2015</v>
      </c>
      <c r="AF184" s="81" t="str">
        <f t="shared" si="37"/>
        <v>dalam proses
(memiliki FS dan DED)</v>
      </c>
      <c r="AG184" s="81" t="str">
        <f t="shared" si="37"/>
        <v>siap</v>
      </c>
      <c r="AH184" s="81"/>
      <c r="AI184" s="228"/>
      <c r="AJ184" s="229" t="str">
        <f t="shared" si="38"/>
        <v>-</v>
      </c>
      <c r="AK184" s="198" t="str">
        <f t="shared" si="38"/>
        <v>2016; 2015</v>
      </c>
      <c r="AL184" s="81" t="str">
        <f t="shared" si="38"/>
        <v>dalam proses
(memiliki FS dan DED)</v>
      </c>
      <c r="AM184" s="81" t="str">
        <f t="shared" si="38"/>
        <v>siap</v>
      </c>
      <c r="AN184" s="81" t="str">
        <f t="shared" si="38"/>
        <v>belum ada proses tender/lelang</v>
      </c>
      <c r="AO184" s="81" t="str">
        <f t="shared" si="38"/>
        <v>Surat Kepala Dinas Kesehatan Prov. Aceh nomor 443.02/998/V/2015 tanggal 27 April 2015 tentang penyampaian dokumen kesiapan (RC)</v>
      </c>
      <c r="AP184" s="81" t="e">
        <f t="shared" si="38"/>
        <v>#REF!</v>
      </c>
      <c r="AQ184" s="81">
        <f t="shared" si="38"/>
        <v>0</v>
      </c>
      <c r="AR184" s="81" t="e">
        <f t="shared" si="38"/>
        <v>#REF!</v>
      </c>
      <c r="AS184" s="243" t="str">
        <f t="shared" si="38"/>
        <v xml:space="preserve">Pengembangan infrastruktur (pembangunan rumah sakit baru, rehabilitasi rumah sakit lama, dan kantor dinas kesehatan, pengadaan peralatan dan operasional, dan peningkatan SDM rumah sakit </v>
      </c>
      <c r="AT184" s="244">
        <f t="shared" si="38"/>
        <v>106800000</v>
      </c>
      <c r="AU184" s="81" t="s">
        <v>21</v>
      </c>
      <c r="AV184" s="229"/>
    </row>
    <row r="185" spans="1:51" ht="51" customHeight="1">
      <c r="A185" s="10">
        <f>DATA!A189</f>
        <v>136</v>
      </c>
      <c r="B185" s="10">
        <f>DATA!B189</f>
        <v>0</v>
      </c>
      <c r="C185" s="10" t="str">
        <f>DATA!D189</f>
        <v>NON-INFRASTRUKTUR</v>
      </c>
      <c r="D185" s="10">
        <f>DATA!E189</f>
        <v>12</v>
      </c>
      <c r="E185" s="10" t="str">
        <f>DATA!F189</f>
        <v>Pemprov. Aceh</v>
      </c>
      <c r="F185" s="10" t="str">
        <f>DATA!H189</f>
        <v>Health Services Referral Program</v>
      </c>
      <c r="G185" s="10" t="str">
        <f>DATA!I189</f>
        <v>A</v>
      </c>
      <c r="H185" s="10" t="str">
        <f>DATA!J189</f>
        <v>Program Pelayanan Kesehatan Rujukan</v>
      </c>
      <c r="I185" s="10">
        <f>DATA!K189</f>
        <v>1</v>
      </c>
      <c r="J185" s="181"/>
      <c r="K185" s="54"/>
      <c r="L185" s="20"/>
      <c r="M185" s="36">
        <v>122</v>
      </c>
      <c r="N185" s="37" t="str">
        <f>DATA!L189</f>
        <v>Reengineering and Improving The Hospital and Referral System in Selected Aceh Districts</v>
      </c>
      <c r="O185" s="20">
        <f>DATA!Q189</f>
        <v>1</v>
      </c>
      <c r="P185" s="20">
        <f>DATA!R189</f>
        <v>1</v>
      </c>
      <c r="Q185" s="186">
        <f>DATA!S189</f>
        <v>108</v>
      </c>
      <c r="R185" s="187">
        <f>DATA!T189</f>
        <v>106800000</v>
      </c>
      <c r="S185" s="203">
        <f>DATA!U189</f>
        <v>106800000</v>
      </c>
      <c r="T185" s="77">
        <f>DATA!V189</f>
        <v>10700000</v>
      </c>
      <c r="U185" s="77">
        <f>DATA!W189</f>
        <v>0</v>
      </c>
      <c r="V185" s="77">
        <f>DATA!X189</f>
        <v>117500000</v>
      </c>
      <c r="W185" s="78" t="str">
        <f>DATA!Y189</f>
        <v>Jerman (KfW)</v>
      </c>
      <c r="X185" s="20" t="str">
        <f>DATA!Z189</f>
        <v>Bilateral</v>
      </c>
      <c r="Y185" s="77">
        <f>DATA!AA189</f>
        <v>106800000</v>
      </c>
      <c r="Z185" s="77">
        <v>0</v>
      </c>
      <c r="AA185" s="216" t="str">
        <f>DATA!Y189</f>
        <v>Jerman (KfW)</v>
      </c>
      <c r="AB185" s="188">
        <f>DATA!AG189</f>
        <v>0</v>
      </c>
      <c r="AC185" s="20" t="str">
        <f>DATA!AH189</f>
        <v>Tanpa keterangan</v>
      </c>
      <c r="AD185" s="37" t="str">
        <f>DATA!AI189</f>
        <v xml:space="preserve">- Sudah ada R/C
- Green Book 2015
</v>
      </c>
      <c r="AE185" s="152" t="str">
        <f>DATA!AM189</f>
        <v>2016; 2015</v>
      </c>
      <c r="AF185" s="152" t="str">
        <f>DATA!AN189</f>
        <v>dalam proses
(memiliki FS dan DED)</v>
      </c>
      <c r="AG185" s="152" t="str">
        <f>DATA!AO189</f>
        <v>siap</v>
      </c>
      <c r="AH185" s="37" t="str">
        <f>DATA!AJ189</f>
        <v>FS, DED</v>
      </c>
      <c r="AI185" s="232">
        <f>DATA!AK189</f>
        <v>1</v>
      </c>
      <c r="AJ185" s="230" t="str">
        <f>DATA!AL189</f>
        <v>-</v>
      </c>
      <c r="AK185" s="231" t="str">
        <f>DATA!AM189</f>
        <v>2016; 2015</v>
      </c>
      <c r="AL185" s="20" t="str">
        <f>DATA!AN189</f>
        <v>dalam proses
(memiliki FS dan DED)</v>
      </c>
      <c r="AM185" s="20" t="str">
        <f>DATA!AO189</f>
        <v>siap</v>
      </c>
      <c r="AN185" s="20" t="str">
        <f>DATA!AP189</f>
        <v>belum ada proses tender/lelang</v>
      </c>
      <c r="AO185" s="20" t="str">
        <f>DATA!AY189</f>
        <v>Surat Kepala Dinas Kesehatan Prov. Aceh nomor 443.02/998/V/2015 tanggal 27 April 2015 tentang penyampaian dokumen kesiapan (RC)</v>
      </c>
      <c r="AP185" s="20" t="e">
        <f>DATA!#REF!</f>
        <v>#REF!</v>
      </c>
      <c r="AQ185" s="20">
        <f>DATA!AZ189</f>
        <v>0</v>
      </c>
      <c r="AR185" s="152" t="e">
        <f>DATA!#REF!</f>
        <v>#REF!</v>
      </c>
      <c r="AS185" s="199" t="str">
        <f>DATA!BA189</f>
        <v xml:space="preserve">Pengembangan infrastruktur (pembangunan rumah sakit baru, rehabilitasi rumah sakit lama, dan kantor dinas kesehatan, pengadaan peralatan dan operasional, dan peningkatan SDM rumah sakit </v>
      </c>
      <c r="AT185" s="245">
        <f>DATA!AT189</f>
        <v>106800000</v>
      </c>
      <c r="AU185" s="109" t="str">
        <f>DATA!AU189</f>
        <v>Jerman (KfW)</v>
      </c>
      <c r="AV185" s="248" t="str">
        <f>DATA!AW189</f>
        <v>-</v>
      </c>
    </row>
    <row r="186" spans="1:51" s="4" customFormat="1" ht="24.95" customHeight="1">
      <c r="J186" s="250"/>
      <c r="K186" s="25">
        <f>DATA!E190</f>
        <v>13</v>
      </c>
      <c r="L186" s="108" t="str">
        <f>DATA!F190</f>
        <v>Kementerian Pertanian</v>
      </c>
      <c r="M186" s="25"/>
      <c r="N186" s="27"/>
      <c r="O186" s="26"/>
      <c r="P186" s="26"/>
      <c r="Q186" s="193"/>
      <c r="R186" s="194">
        <f>+R187+R194</f>
        <v>1445742600</v>
      </c>
      <c r="S186" s="195" t="e">
        <f t="shared" ref="S186:AT186" si="39">+S187+S194</f>
        <v>#REF!</v>
      </c>
      <c r="T186" s="80" t="e">
        <f t="shared" si="39"/>
        <v>#REF!</v>
      </c>
      <c r="U186" s="80" t="e">
        <f t="shared" si="39"/>
        <v>#REF!</v>
      </c>
      <c r="V186" s="80" t="e">
        <f t="shared" si="39"/>
        <v>#REF!</v>
      </c>
      <c r="W186" s="80">
        <f t="shared" si="39"/>
        <v>0</v>
      </c>
      <c r="X186" s="80" t="e">
        <f t="shared" si="39"/>
        <v>#REF!</v>
      </c>
      <c r="Y186" s="80">
        <f t="shared" si="39"/>
        <v>698900000</v>
      </c>
      <c r="Z186" s="80">
        <f t="shared" si="39"/>
        <v>746842600</v>
      </c>
      <c r="AA186" s="213"/>
      <c r="AB186" s="195">
        <f t="shared" si="39"/>
        <v>-746842600</v>
      </c>
      <c r="AC186" s="80" t="e">
        <f t="shared" si="39"/>
        <v>#VALUE!</v>
      </c>
      <c r="AD186" s="80" t="e">
        <f t="shared" si="39"/>
        <v>#VALUE!</v>
      </c>
      <c r="AE186" s="80">
        <f t="shared" si="39"/>
        <v>0</v>
      </c>
      <c r="AF186" s="80" t="e">
        <f t="shared" si="39"/>
        <v>#VALUE!</v>
      </c>
      <c r="AG186" s="80" t="e">
        <f t="shared" si="39"/>
        <v>#VALUE!</v>
      </c>
      <c r="AH186" s="80"/>
      <c r="AI186" s="226"/>
      <c r="AJ186" s="227" t="e">
        <f t="shared" si="39"/>
        <v>#VALUE!</v>
      </c>
      <c r="AK186" s="195">
        <f t="shared" si="39"/>
        <v>0</v>
      </c>
      <c r="AL186" s="80" t="e">
        <f t="shared" si="39"/>
        <v>#VALUE!</v>
      </c>
      <c r="AM186" s="80" t="e">
        <f t="shared" si="39"/>
        <v>#VALUE!</v>
      </c>
      <c r="AN186" s="80" t="e">
        <f t="shared" si="39"/>
        <v>#VALUE!</v>
      </c>
      <c r="AO186" s="80" t="e">
        <f t="shared" si="39"/>
        <v>#VALUE!</v>
      </c>
      <c r="AP186" s="80" t="e">
        <f t="shared" si="39"/>
        <v>#REF!</v>
      </c>
      <c r="AQ186" s="80">
        <f t="shared" si="39"/>
        <v>0</v>
      </c>
      <c r="AR186" s="80" t="e">
        <f t="shared" si="39"/>
        <v>#REF!</v>
      </c>
      <c r="AS186" s="241" t="e">
        <f t="shared" si="39"/>
        <v>#VALUE!</v>
      </c>
      <c r="AT186" s="242">
        <f t="shared" si="39"/>
        <v>1445742600</v>
      </c>
      <c r="AU186" s="80" t="s">
        <v>21</v>
      </c>
      <c r="AV186" s="227"/>
    </row>
    <row r="187" spans="1:51" s="5" customFormat="1" ht="33.75" customHeight="1">
      <c r="J187" s="180"/>
      <c r="K187" s="29"/>
      <c r="L187" s="30" t="str">
        <f>DATA!I190</f>
        <v>A</v>
      </c>
      <c r="M187" s="3427" t="str">
        <f>DATA!J190</f>
        <v>Program Penyediaan dan Pengembangan Prasarana dan Sarana Pertanian</v>
      </c>
      <c r="N187" s="3428"/>
      <c r="O187" s="31"/>
      <c r="P187" s="31"/>
      <c r="Q187" s="196"/>
      <c r="R187" s="197">
        <f>R188+R191</f>
        <v>1346842600</v>
      </c>
      <c r="S187" s="198" t="e">
        <f>+#REF!+#REF!</f>
        <v>#REF!</v>
      </c>
      <c r="T187" s="81" t="e">
        <f>+#REF!+#REF!</f>
        <v>#REF!</v>
      </c>
      <c r="U187" s="81" t="e">
        <f>+#REF!+#REF!</f>
        <v>#REF!</v>
      </c>
      <c r="V187" s="81" t="e">
        <f>+#REF!+#REF!</f>
        <v>#REF!</v>
      </c>
      <c r="W187" s="81"/>
      <c r="X187" s="81" t="e">
        <f>+#REF!+#REF!</f>
        <v>#REF!</v>
      </c>
      <c r="Y187" s="81">
        <f>Y188+Y189+Y190+Y191+Y192+Y193</f>
        <v>600000000</v>
      </c>
      <c r="Z187" s="81">
        <f t="shared" ref="Z187:AT187" si="40">Z188+Z189+Z190+Z191+Z192+Z193</f>
        <v>746842600</v>
      </c>
      <c r="AA187" s="214"/>
      <c r="AB187" s="198">
        <f t="shared" si="40"/>
        <v>-746842600</v>
      </c>
      <c r="AC187" s="81" t="e">
        <f t="shared" si="40"/>
        <v>#VALUE!</v>
      </c>
      <c r="AD187" s="81" t="e">
        <f t="shared" si="40"/>
        <v>#VALUE!</v>
      </c>
      <c r="AE187" s="81">
        <f t="shared" si="40"/>
        <v>0</v>
      </c>
      <c r="AF187" s="81" t="e">
        <f t="shared" si="40"/>
        <v>#VALUE!</v>
      </c>
      <c r="AG187" s="81" t="e">
        <f t="shared" si="40"/>
        <v>#VALUE!</v>
      </c>
      <c r="AH187" s="81"/>
      <c r="AI187" s="228"/>
      <c r="AJ187" s="229" t="e">
        <f t="shared" si="40"/>
        <v>#VALUE!</v>
      </c>
      <c r="AK187" s="198">
        <f t="shared" si="40"/>
        <v>0</v>
      </c>
      <c r="AL187" s="81" t="e">
        <f t="shared" si="40"/>
        <v>#VALUE!</v>
      </c>
      <c r="AM187" s="81" t="e">
        <f t="shared" si="40"/>
        <v>#VALUE!</v>
      </c>
      <c r="AN187" s="81" t="e">
        <f t="shared" si="40"/>
        <v>#VALUE!</v>
      </c>
      <c r="AO187" s="81" t="e">
        <f t="shared" si="40"/>
        <v>#VALUE!</v>
      </c>
      <c r="AP187" s="81" t="e">
        <f t="shared" si="40"/>
        <v>#REF!</v>
      </c>
      <c r="AQ187" s="81">
        <f t="shared" si="40"/>
        <v>0</v>
      </c>
      <c r="AR187" s="81" t="e">
        <f t="shared" si="40"/>
        <v>#REF!</v>
      </c>
      <c r="AS187" s="243" t="e">
        <f t="shared" si="40"/>
        <v>#VALUE!</v>
      </c>
      <c r="AT187" s="244">
        <f t="shared" si="40"/>
        <v>1346842600</v>
      </c>
      <c r="AU187" s="81" t="s">
        <v>21</v>
      </c>
      <c r="AV187" s="229"/>
    </row>
    <row r="188" spans="1:51" ht="29.25" customHeight="1">
      <c r="A188" s="10">
        <f>DATA!A191</f>
        <v>137</v>
      </c>
      <c r="B188" s="10">
        <f>DATA!B191</f>
        <v>0</v>
      </c>
      <c r="C188" s="10" t="str">
        <f>DATA!D191</f>
        <v>NON-INFRASTRUKTUR</v>
      </c>
      <c r="D188" s="10">
        <f>DATA!E191</f>
        <v>13</v>
      </c>
      <c r="E188" s="10" t="str">
        <f>DATA!F191</f>
        <v>Kementerian Pertanian</v>
      </c>
      <c r="F188" s="10" t="str">
        <f>DATA!H191</f>
        <v>Provision and Development of Agriculture Infrastructure Program</v>
      </c>
      <c r="G188" s="10" t="str">
        <f>DATA!I191</f>
        <v>A</v>
      </c>
      <c r="H188" s="10" t="str">
        <f>DATA!J191</f>
        <v>Program Penyediaan dan Pengembangan Prasarana dan Sarana Pertanian</v>
      </c>
      <c r="I188" s="10">
        <f>DATA!K191</f>
        <v>1</v>
      </c>
      <c r="J188" s="181"/>
      <c r="K188" s="34"/>
      <c r="L188" s="34"/>
      <c r="M188" s="3390">
        <v>123</v>
      </c>
      <c r="N188" s="3393" t="str">
        <f>DATA!L191</f>
        <v>Extensification of New Paddy Field Area</v>
      </c>
      <c r="O188" s="20">
        <f>DATA!Q191</f>
        <v>0.33333333333333331</v>
      </c>
      <c r="P188" s="20">
        <f>DATA!R191</f>
        <v>0</v>
      </c>
      <c r="Q188" s="186">
        <f>DATA!S191</f>
        <v>0</v>
      </c>
      <c r="R188" s="3408">
        <f>DATA!T190</f>
        <v>811166600</v>
      </c>
      <c r="S188" s="203">
        <f>DATA!U191</f>
        <v>0</v>
      </c>
      <c r="T188" s="77">
        <f>DATA!V191</f>
        <v>0</v>
      </c>
      <c r="U188" s="77">
        <f>DATA!W191</f>
        <v>0</v>
      </c>
      <c r="V188" s="77">
        <f>DATA!X191</f>
        <v>0</v>
      </c>
      <c r="W188" s="78" t="str">
        <f>DATA!Y191</f>
        <v>Bank Dunia</v>
      </c>
      <c r="X188" s="20" t="str">
        <f>DATA!Z191</f>
        <v>Multilateral</v>
      </c>
      <c r="Y188" s="77">
        <f>DATA!AA191</f>
        <v>225000000</v>
      </c>
      <c r="Z188" s="77"/>
      <c r="AA188" s="216" t="str">
        <f>DATA!Y191</f>
        <v>Bank Dunia</v>
      </c>
      <c r="AB188" s="188">
        <f>DATA!AG191</f>
        <v>0</v>
      </c>
      <c r="AC188" s="20" t="str">
        <f>DATA!AH191</f>
        <v>Tanpa keterangan</v>
      </c>
      <c r="AD188" s="37" t="str">
        <f>DATA!AI191</f>
        <v>-</v>
      </c>
      <c r="AE188" s="152">
        <f>DATA!AM191</f>
        <v>0</v>
      </c>
      <c r="AF188" s="152" t="str">
        <f>DATA!AN191</f>
        <v>dalam proses
(penyusunan FS)</v>
      </c>
      <c r="AG188" s="152" t="str">
        <f>DATA!AO191</f>
        <v>belum ada keterangan</v>
      </c>
      <c r="AH188" s="37" t="str">
        <f>DATA!AJ191</f>
        <v xml:space="preserve">TOR </v>
      </c>
      <c r="AI188" s="232">
        <f>DATA!AK191</f>
        <v>0</v>
      </c>
      <c r="AJ188" s="230" t="str">
        <f>DATA!AL191</f>
        <v>-</v>
      </c>
      <c r="AK188" s="231">
        <f>DATA!AM191</f>
        <v>0</v>
      </c>
      <c r="AL188" s="20" t="str">
        <f>DATA!AN191</f>
        <v>dalam proses
(penyusunan FS)</v>
      </c>
      <c r="AM188" s="20" t="str">
        <f>DATA!AO191</f>
        <v>belum ada keterangan</v>
      </c>
      <c r="AN188" s="20" t="str">
        <f>DATA!AP191</f>
        <v>belum ada proses tender/lelang</v>
      </c>
      <c r="AO188" s="20" t="str">
        <f>DATA!AY191</f>
        <v>Surat Plh. Kepala Pusat Kem.Pertanian nomor 246/KL.230/A.6.3/09/2015 tgl 9 September 2015</v>
      </c>
      <c r="AP188" s="20" t="e">
        <f>DATA!#REF!</f>
        <v>#REF!</v>
      </c>
      <c r="AQ188" s="20">
        <f>DATA!AZ191</f>
        <v>0</v>
      </c>
      <c r="AR188" s="152" t="e">
        <f>DATA!#REF!</f>
        <v>#REF!</v>
      </c>
      <c r="AS188" s="199" t="str">
        <f>DATA!BA191</f>
        <v>Pembentukan lahan pertanian padi baru di 34 provinsi, meliputi: identifikasi calon petani dan calon lokasi (CPCL), survey/investigasi, penetapan lokasi, penyiapan lahan (land clearing and land leveling), bantuan sarana produksi, dan pertanian untuk budidaya padi.</v>
      </c>
      <c r="AT188" s="245">
        <f>DATA!AT191</f>
        <v>225000000</v>
      </c>
      <c r="AU188" s="109" t="str">
        <f>DATA!AU191</f>
        <v>Belum Ada Indikasi</v>
      </c>
      <c r="AV188" s="252" t="str">
        <f>DATA!AW191</f>
        <v xml:space="preserve">- co-financing dengan IDB (USD 125 juta) dan belum ada indikasi (USD 686,2 juta)
- Bank Dunia tidak berminat mendanai kegiatan ini. </v>
      </c>
      <c r="AY188" s="174">
        <f>Y188+Z190</f>
        <v>686166600</v>
      </c>
    </row>
    <row r="189" spans="1:51" ht="40.5" customHeight="1">
      <c r="A189" s="10">
        <f>DATA!A192</f>
        <v>138</v>
      </c>
      <c r="B189" s="10">
        <f>DATA!B192</f>
        <v>0</v>
      </c>
      <c r="C189" s="10" t="str">
        <f>DATA!D192</f>
        <v>NON-INFRASTRUKTUR</v>
      </c>
      <c r="D189" s="10">
        <f>DATA!E192</f>
        <v>13</v>
      </c>
      <c r="E189" s="10" t="str">
        <f>DATA!F192</f>
        <v>Kementerian Pertanian</v>
      </c>
      <c r="F189" s="10" t="str">
        <f>DATA!H192</f>
        <v>Provision and Development of Agriculture Infrastructure Program</v>
      </c>
      <c r="G189" s="10" t="str">
        <f>DATA!I192</f>
        <v>A</v>
      </c>
      <c r="H189" s="10" t="str">
        <f>DATA!J192</f>
        <v>Program Penyediaan dan Pengembangan Prasarana dan Sarana Pertanian</v>
      </c>
      <c r="I189" s="10">
        <f>DATA!K192</f>
        <v>1</v>
      </c>
      <c r="J189" s="181"/>
      <c r="K189" s="34"/>
      <c r="L189" s="34"/>
      <c r="M189" s="3392"/>
      <c r="N189" s="3397"/>
      <c r="O189" s="20"/>
      <c r="P189" s="20"/>
      <c r="Q189" s="186"/>
      <c r="R189" s="4014"/>
      <c r="S189" s="203">
        <f>DATA!U192</f>
        <v>0</v>
      </c>
      <c r="T189" s="77">
        <f>DATA!V192</f>
        <v>0</v>
      </c>
      <c r="U189" s="77">
        <f>DATA!W192</f>
        <v>0</v>
      </c>
      <c r="V189" s="77">
        <f>DATA!X192</f>
        <v>0</v>
      </c>
      <c r="W189" s="78" t="str">
        <f>DATA!Y192</f>
        <v>IDB</v>
      </c>
      <c r="X189" s="20" t="str">
        <f>DATA!Z192</f>
        <v>Multilateral</v>
      </c>
      <c r="Y189" s="77">
        <f>DATA!AA192</f>
        <v>125000000</v>
      </c>
      <c r="Z189" s="77"/>
      <c r="AA189" s="216" t="str">
        <f>DATA!Y192</f>
        <v>IDB</v>
      </c>
      <c r="AB189" s="188">
        <f>DATA!AG192</f>
        <v>0</v>
      </c>
      <c r="AC189" s="20" t="str">
        <f>DATA!AH192</f>
        <v>Tanpa keterangan</v>
      </c>
      <c r="AD189" s="37" t="str">
        <f>DATA!AI192</f>
        <v>-</v>
      </c>
      <c r="AE189" s="152">
        <f>DATA!AM192</f>
        <v>0</v>
      </c>
      <c r="AF189" s="152" t="str">
        <f>DATA!AN192</f>
        <v>dalam proses
(penyusunan FS)</v>
      </c>
      <c r="AG189" s="152" t="str">
        <f>DATA!AO192</f>
        <v>belum ada keterangan</v>
      </c>
      <c r="AH189" s="37" t="str">
        <f>DATA!AJ192</f>
        <v>-</v>
      </c>
      <c r="AI189" s="232" t="str">
        <f>DATA!AK192</f>
        <v>-</v>
      </c>
      <c r="AJ189" s="230" t="str">
        <f>DATA!AL192</f>
        <v>-</v>
      </c>
      <c r="AK189" s="231">
        <f>DATA!AM192</f>
        <v>0</v>
      </c>
      <c r="AL189" s="20" t="str">
        <f>DATA!AN192</f>
        <v>dalam proses
(penyusunan FS)</v>
      </c>
      <c r="AM189" s="20" t="str">
        <f>DATA!AO192</f>
        <v>belum ada keterangan</v>
      </c>
      <c r="AN189" s="20" t="str">
        <f>DATA!AP192</f>
        <v>belum ada proses tender/lelang</v>
      </c>
      <c r="AO189" s="20" t="str">
        <f>DATA!AY192</f>
        <v>Surat Plh. Kepala Pusat Kem.Pertanian nomor 246/KL.230/A.6.3/09/2015 tgl 9 September 2015</v>
      </c>
      <c r="AP189" s="20" t="e">
        <f>DATA!#REF!</f>
        <v>#REF!</v>
      </c>
      <c r="AQ189" s="20">
        <f>DATA!AZ192</f>
        <v>0</v>
      </c>
      <c r="AR189" s="152" t="e">
        <f>DATA!#REF!</f>
        <v>#REF!</v>
      </c>
      <c r="AS189" s="199" t="str">
        <f>DATA!BA192</f>
        <v>Pembentukan lahan pertanian padi baru di 34 provinsi, meliputi: identifikasi calon petani dan calon lokasi (CPCL), survey/investigasi, penetapan lokasi, penyiapan lahan (land clearing and land leveling), bantuan sarana produksi, dan pertanian untuk budidaya padi.</v>
      </c>
      <c r="AT189" s="245">
        <f>DATA!AT192</f>
        <v>125000000</v>
      </c>
      <c r="AU189" s="109" t="str">
        <f>DATA!AU192</f>
        <v>IDB</v>
      </c>
      <c r="AV189" s="252" t="str">
        <f>DATA!AW192</f>
        <v xml:space="preserve">terdapat sisa pendanaan yang belum ada indikasi lender (USD 686,2 juta)
</v>
      </c>
    </row>
    <row r="190" spans="1:51" ht="60" customHeight="1">
      <c r="A190" s="10">
        <f>DATA!A193</f>
        <v>139</v>
      </c>
      <c r="B190" s="10">
        <f>DATA!B193</f>
        <v>0</v>
      </c>
      <c r="C190" s="10" t="str">
        <f>DATA!D193</f>
        <v>NON-INFRASTRUKTUR</v>
      </c>
      <c r="D190" s="10">
        <f>DATA!E193</f>
        <v>13</v>
      </c>
      <c r="E190" s="10" t="str">
        <f>DATA!F193</f>
        <v>Kementerian Pertanian</v>
      </c>
      <c r="F190" s="10" t="str">
        <f>DATA!H193</f>
        <v>Provision and Development of Agriculture Infrastructure Program</v>
      </c>
      <c r="G190" s="10" t="str">
        <f>DATA!I193</f>
        <v>A</v>
      </c>
      <c r="H190" s="10" t="str">
        <f>DATA!J193</f>
        <v>Program Penyediaan dan Pengembangan Prasarana dan Sarana Pertanian</v>
      </c>
      <c r="I190" s="10">
        <f>DATA!K193</f>
        <v>1</v>
      </c>
      <c r="J190" s="181"/>
      <c r="K190" s="34"/>
      <c r="L190" s="34"/>
      <c r="M190" s="3391"/>
      <c r="N190" s="3394"/>
      <c r="O190" s="20"/>
      <c r="P190" s="20"/>
      <c r="Q190" s="186"/>
      <c r="R190" s="3409"/>
      <c r="S190" s="203">
        <f>DATA!U193</f>
        <v>0</v>
      </c>
      <c r="T190" s="77">
        <f>DATA!V193</f>
        <v>0</v>
      </c>
      <c r="U190" s="77">
        <f>DATA!W193</f>
        <v>0</v>
      </c>
      <c r="V190" s="77">
        <f>DATA!X193</f>
        <v>0</v>
      </c>
      <c r="W190" s="78" t="str">
        <f>DATA!Y193</f>
        <v>Belum Ada Indikasi</v>
      </c>
      <c r="X190" s="20" t="str">
        <f>DATA!Z193</f>
        <v>Belum Ada Indikasi</v>
      </c>
      <c r="Y190" s="77">
        <v>0</v>
      </c>
      <c r="Z190" s="77">
        <f>DATA!AA193</f>
        <v>461166600</v>
      </c>
      <c r="AA190" s="216" t="str">
        <f>DATA!Y193</f>
        <v>Belum Ada Indikasi</v>
      </c>
      <c r="AB190" s="188">
        <f>DATA!AG193</f>
        <v>-461166600</v>
      </c>
      <c r="AC190" s="20" t="str">
        <f>DATA!AH193</f>
        <v>Tanpa keterangan</v>
      </c>
      <c r="AD190" s="37" t="str">
        <f>DATA!AI193</f>
        <v>-</v>
      </c>
      <c r="AE190" s="152">
        <f>DATA!AM193</f>
        <v>0</v>
      </c>
      <c r="AF190" s="152" t="str">
        <f>DATA!AN193</f>
        <v>belum ada keterangan</v>
      </c>
      <c r="AG190" s="152" t="str">
        <f>DATA!AO193</f>
        <v>belum ada keterangan</v>
      </c>
      <c r="AH190" s="37" t="str">
        <f>DATA!AJ193</f>
        <v>-</v>
      </c>
      <c r="AI190" s="232" t="str">
        <f>DATA!AK193</f>
        <v>-</v>
      </c>
      <c r="AJ190" s="230" t="str">
        <f>DATA!AL193</f>
        <v>-</v>
      </c>
      <c r="AK190" s="231">
        <f>DATA!AM193</f>
        <v>0</v>
      </c>
      <c r="AL190" s="20" t="str">
        <f>DATA!AN193</f>
        <v>belum ada keterangan</v>
      </c>
      <c r="AM190" s="20" t="str">
        <f>DATA!AO193</f>
        <v>belum ada keterangan</v>
      </c>
      <c r="AN190" s="20" t="str">
        <f>DATA!AP193</f>
        <v>belum ada proses tender/lelang</v>
      </c>
      <c r="AO190" s="20" t="str">
        <f>DATA!AY193</f>
        <v>Surat Plh. Kepala Pusat Kem.Pertanian nomor 246/KL.230/A.6.3/09/2015 tgl 9 September 2015</v>
      </c>
      <c r="AP190" s="20" t="e">
        <f>DATA!#REF!</f>
        <v>#REF!</v>
      </c>
      <c r="AQ190" s="20">
        <f>DATA!AZ193</f>
        <v>0</v>
      </c>
      <c r="AR190" s="152" t="e">
        <f>DATA!#REF!</f>
        <v>#REF!</v>
      </c>
      <c r="AS190" s="199" t="str">
        <f>DATA!BA193</f>
        <v>Pembentukan lahan pertanian padi baru di 34 provinsi, meliputi: identifikasi calon petani dan calon lokasi (CPCL), survey/investigasi, penetapan lokasi, penyiapan lahan (land clearing and land leveling), bantuan sarana produksi, dan pertanian untuk budidaya padi.</v>
      </c>
      <c r="AT190" s="245">
        <f>DATA!AT193</f>
        <v>461166600</v>
      </c>
      <c r="AU190" s="109" t="str">
        <f>DATA!AU193</f>
        <v>Belum Ada Indikasi</v>
      </c>
      <c r="AV190" s="252" t="str">
        <f>DATA!AW193</f>
        <v>total belum ada indikasi menjadi USD 686,2 juta karena ditambahkan USD 125 juta yang sebelumnya Bank Dunia.</v>
      </c>
    </row>
    <row r="191" spans="1:51" ht="30.75" customHeight="1">
      <c r="A191" s="10">
        <f>DATA!A195</f>
        <v>140</v>
      </c>
      <c r="B191" s="10">
        <f>DATA!B195</f>
        <v>0</v>
      </c>
      <c r="C191" s="10" t="str">
        <f>DATA!D195</f>
        <v>NON-INFRASTRUKTUR</v>
      </c>
      <c r="D191" s="10">
        <f>DATA!E195</f>
        <v>13</v>
      </c>
      <c r="E191" s="10" t="str">
        <f>DATA!F195</f>
        <v>Kementerian Pertanian</v>
      </c>
      <c r="F191" s="10" t="str">
        <f>DATA!H195</f>
        <v>Provision and Development of Agriculture Infrastructure Program</v>
      </c>
      <c r="G191" s="10" t="str">
        <f>DATA!I195</f>
        <v>A</v>
      </c>
      <c r="H191" s="10" t="str">
        <f>DATA!J195</f>
        <v>Program Penyediaan dan Pengembangan Prasarana dan Sarana Pertanian</v>
      </c>
      <c r="I191" s="10">
        <f>DATA!K195</f>
        <v>2</v>
      </c>
      <c r="J191" s="181"/>
      <c r="K191" s="34"/>
      <c r="L191" s="34"/>
      <c r="M191" s="3390">
        <v>124</v>
      </c>
      <c r="N191" s="3393" t="str">
        <f>DATA!L194</f>
        <v>Upland Development for National Food Security</v>
      </c>
      <c r="O191" s="20">
        <f>DATA!Q195</f>
        <v>0.33333333333333331</v>
      </c>
      <c r="P191" s="20">
        <f>DATA!R195</f>
        <v>0</v>
      </c>
      <c r="Q191" s="186">
        <f>DATA!S195</f>
        <v>0</v>
      </c>
      <c r="R191" s="3408">
        <f>DATA!T194</f>
        <v>535676000</v>
      </c>
      <c r="S191" s="203">
        <f>DATA!U195</f>
        <v>0</v>
      </c>
      <c r="T191" s="77">
        <f>DATA!V195</f>
        <v>0</v>
      </c>
      <c r="U191" s="77">
        <f>DATA!W195</f>
        <v>0</v>
      </c>
      <c r="V191" s="77">
        <f>DATA!X195</f>
        <v>0</v>
      </c>
      <c r="W191" s="78" t="str">
        <f>DATA!Y195</f>
        <v>Bank Dunia</v>
      </c>
      <c r="X191" s="20" t="str">
        <f>DATA!Z195</f>
        <v>Multilateral</v>
      </c>
      <c r="Y191" s="77">
        <f>DATA!AA195</f>
        <v>125000000</v>
      </c>
      <c r="Z191" s="77"/>
      <c r="AA191" s="216" t="str">
        <f>DATA!Y195</f>
        <v>Bank Dunia</v>
      </c>
      <c r="AB191" s="188">
        <f>DATA!AG195</f>
        <v>0</v>
      </c>
      <c r="AC191" s="20" t="str">
        <f>DATA!AH195</f>
        <v>Tanpa keterangan</v>
      </c>
      <c r="AD191" s="37" t="str">
        <f>DATA!AI195</f>
        <v>-</v>
      </c>
      <c r="AE191" s="152">
        <f>DATA!AM195</f>
        <v>0</v>
      </c>
      <c r="AF191" s="152" t="str">
        <f>DATA!AN195</f>
        <v>dalam proses
(penyusunan FS)</v>
      </c>
      <c r="AG191" s="152" t="str">
        <f>DATA!AO195</f>
        <v>belum ada keterangan</v>
      </c>
      <c r="AH191" s="37" t="str">
        <f>DATA!AJ195</f>
        <v xml:space="preserve">TOR </v>
      </c>
      <c r="AI191" s="232">
        <f>DATA!AK195</f>
        <v>0</v>
      </c>
      <c r="AJ191" s="230" t="str">
        <f>DATA!AL195</f>
        <v>-</v>
      </c>
      <c r="AK191" s="231">
        <f>DATA!AM195</f>
        <v>0</v>
      </c>
      <c r="AL191" s="20" t="str">
        <f>DATA!AN195</f>
        <v>dalam proses
(penyusunan FS)</v>
      </c>
      <c r="AM191" s="20" t="str">
        <f>DATA!AO195</f>
        <v>belum ada keterangan</v>
      </c>
      <c r="AN191" s="20" t="str">
        <f>DATA!AP195</f>
        <v>belum ada proses tender/lelang</v>
      </c>
      <c r="AO191" s="20" t="str">
        <f>DATA!AY195</f>
        <v>Surat Plh. Kepala Pusat Kem.Pertanian nomor 246/KL.230/A.6.3/09/2015 tgl 9 September 2015</v>
      </c>
      <c r="AP191" s="20" t="e">
        <f>DATA!#REF!</f>
        <v>#REF!</v>
      </c>
      <c r="AQ191" s="20">
        <f>DATA!AZ195</f>
        <v>0</v>
      </c>
      <c r="AR191" s="152" t="e">
        <f>DATA!#REF!</f>
        <v>#REF!</v>
      </c>
      <c r="AS191" s="199" t="str">
        <f>DATA!BA195</f>
        <v>Rencana penggunaan lahan di dataran tinggi berdasarkan kesesuaiannya, konservasi lahan dan air di dataran tinggi, dan budidaya pertanian ramah lingkungan untuk dataran tinggi</v>
      </c>
      <c r="AT191" s="245">
        <f>DATA!AT195</f>
        <v>125000000</v>
      </c>
      <c r="AU191" s="109" t="str">
        <f>DATA!AU195</f>
        <v>Belum Ada Indikasi</v>
      </c>
      <c r="AV191" s="252" t="str">
        <f>DATA!AW195</f>
        <v xml:space="preserve">- co-financing dengan IDB (USD 125 juta) dan belum ada indikasi (USD 410,7 juta)
Bank Dunia tidak berminat mendanai kegiatan ini. </v>
      </c>
    </row>
    <row r="192" spans="1:51" ht="45" customHeight="1">
      <c r="A192" s="10">
        <f>DATA!A196</f>
        <v>141</v>
      </c>
      <c r="B192" s="10">
        <f>DATA!B196</f>
        <v>0</v>
      </c>
      <c r="C192" s="10" t="str">
        <f>DATA!D196</f>
        <v>NON-INFRASTRUKTUR</v>
      </c>
      <c r="D192" s="10">
        <f>DATA!E196</f>
        <v>13</v>
      </c>
      <c r="E192" s="10" t="str">
        <f>DATA!F196</f>
        <v>Kementerian Pertanian</v>
      </c>
      <c r="F192" s="10" t="str">
        <f>DATA!H196</f>
        <v>Provision and Development of Agriculture Infrastructure Program</v>
      </c>
      <c r="G192" s="10" t="str">
        <f>DATA!I196</f>
        <v>A</v>
      </c>
      <c r="H192" s="10" t="str">
        <f>DATA!J196</f>
        <v>Program Penyediaan dan Pengembangan Prasarana dan Sarana Pertanian</v>
      </c>
      <c r="I192" s="10">
        <f>DATA!K196</f>
        <v>2</v>
      </c>
      <c r="J192" s="181"/>
      <c r="K192" s="34"/>
      <c r="L192" s="34"/>
      <c r="M192" s="3392"/>
      <c r="N192" s="3397"/>
      <c r="O192" s="20"/>
      <c r="P192" s="20"/>
      <c r="Q192" s="186"/>
      <c r="R192" s="4014"/>
      <c r="S192" s="203">
        <f>DATA!U196</f>
        <v>0</v>
      </c>
      <c r="T192" s="77">
        <f>DATA!V196</f>
        <v>0</v>
      </c>
      <c r="U192" s="77">
        <f>DATA!W196</f>
        <v>0</v>
      </c>
      <c r="V192" s="77">
        <f>DATA!X196</f>
        <v>0</v>
      </c>
      <c r="W192" s="78" t="str">
        <f>DATA!Y196</f>
        <v>IDB</v>
      </c>
      <c r="X192" s="20" t="str">
        <f>DATA!Z196</f>
        <v>Multilateral</v>
      </c>
      <c r="Y192" s="77">
        <f>DATA!AA196</f>
        <v>125000000</v>
      </c>
      <c r="Z192" s="77"/>
      <c r="AA192" s="216" t="str">
        <f>DATA!Y196</f>
        <v>IDB</v>
      </c>
      <c r="AB192" s="188">
        <f>DATA!AG196</f>
        <v>0</v>
      </c>
      <c r="AC192" s="20" t="str">
        <f>DATA!AH196</f>
        <v>Tanpa keterangan</v>
      </c>
      <c r="AD192" s="37" t="str">
        <f>DATA!AI196</f>
        <v>-</v>
      </c>
      <c r="AE192" s="152">
        <f>DATA!AM196</f>
        <v>0</v>
      </c>
      <c r="AF192" s="152" t="str">
        <f>DATA!AN196</f>
        <v>dalam proses
(penyusunan FS)</v>
      </c>
      <c r="AG192" s="152" t="str">
        <f>DATA!AO196</f>
        <v>belum ada keterangan</v>
      </c>
      <c r="AH192" s="37" t="str">
        <f>DATA!AJ196</f>
        <v>-</v>
      </c>
      <c r="AI192" s="232" t="str">
        <f>DATA!AK196</f>
        <v>-</v>
      </c>
      <c r="AJ192" s="230" t="str">
        <f>DATA!AL196</f>
        <v>-</v>
      </c>
      <c r="AK192" s="231">
        <f>DATA!AM196</f>
        <v>0</v>
      </c>
      <c r="AL192" s="20" t="str">
        <f>DATA!AN196</f>
        <v>dalam proses
(penyusunan FS)</v>
      </c>
      <c r="AM192" s="20" t="str">
        <f>DATA!AO196</f>
        <v>belum ada keterangan</v>
      </c>
      <c r="AN192" s="20" t="str">
        <f>DATA!AP196</f>
        <v>belum ada proses tender/lelang</v>
      </c>
      <c r="AO192" s="20" t="str">
        <f>DATA!AY196</f>
        <v>Surat Plh. Kepala Pusat Kem.Pertanian nomor 246/KL.230/A.6.3/09/2015 tgl 9 September 2015</v>
      </c>
      <c r="AP192" s="20" t="e">
        <f>DATA!#REF!</f>
        <v>#REF!</v>
      </c>
      <c r="AQ192" s="20">
        <f>DATA!AZ196</f>
        <v>0</v>
      </c>
      <c r="AR192" s="152" t="e">
        <f>DATA!#REF!</f>
        <v>#REF!</v>
      </c>
      <c r="AS192" s="199" t="str">
        <f>DATA!BA196</f>
        <v>Rencana penggunaan lahan di dataran tinggi berdasarkan kesesuaiannya, konservasi lahan dan air di dataran tinggi, dan budidaya pertanian ramah lingkungan untuk dataran tinggi</v>
      </c>
      <c r="AT192" s="245">
        <f>DATA!AT196</f>
        <v>125000000</v>
      </c>
      <c r="AU192" s="109" t="str">
        <f>DATA!AU196</f>
        <v>IDB</v>
      </c>
      <c r="AV192" s="252" t="str">
        <f>DATA!AW196</f>
        <v xml:space="preserve">terdapat sisa pendanaan yang belum ada indikasi lender (USD 410,7 juta)
</v>
      </c>
    </row>
    <row r="193" spans="1:48" ht="52.5" customHeight="1">
      <c r="A193" s="10">
        <f>DATA!A197</f>
        <v>142</v>
      </c>
      <c r="B193" s="10">
        <f>DATA!B197</f>
        <v>0</v>
      </c>
      <c r="C193" s="10" t="str">
        <f>DATA!D197</f>
        <v>NON-INFRASTRUKTUR</v>
      </c>
      <c r="D193" s="10">
        <f>DATA!E197</f>
        <v>13</v>
      </c>
      <c r="E193" s="10" t="str">
        <f>DATA!F197</f>
        <v>Kementerian Pertanian</v>
      </c>
      <c r="F193" s="10" t="str">
        <f>DATA!H197</f>
        <v>Provision and Development of Agriculture Infrastructure Program</v>
      </c>
      <c r="G193" s="10" t="str">
        <f>DATA!I197</f>
        <v>A</v>
      </c>
      <c r="H193" s="10" t="str">
        <f>DATA!J197</f>
        <v>Program Penyediaan dan Pengembangan Prasarana dan Sarana Pertanian</v>
      </c>
      <c r="I193" s="10">
        <f>DATA!K197</f>
        <v>2</v>
      </c>
      <c r="J193" s="181"/>
      <c r="K193" s="34"/>
      <c r="L193" s="54"/>
      <c r="M193" s="3391"/>
      <c r="N193" s="3394"/>
      <c r="O193" s="20"/>
      <c r="P193" s="20"/>
      <c r="Q193" s="186"/>
      <c r="R193" s="3409"/>
      <c r="S193" s="203">
        <f>DATA!U197</f>
        <v>0</v>
      </c>
      <c r="T193" s="77">
        <f>DATA!V197</f>
        <v>0</v>
      </c>
      <c r="U193" s="77">
        <f>DATA!W197</f>
        <v>0</v>
      </c>
      <c r="V193" s="77">
        <f>DATA!X197</f>
        <v>0</v>
      </c>
      <c r="W193" s="78" t="str">
        <f>DATA!Y197</f>
        <v>Belum Ada Indikasi</v>
      </c>
      <c r="X193" s="20" t="str">
        <f>DATA!Z197</f>
        <v>Belum Ada Indikasi</v>
      </c>
      <c r="Y193" s="77">
        <v>0</v>
      </c>
      <c r="Z193" s="77">
        <f>DATA!AA197</f>
        <v>285676000</v>
      </c>
      <c r="AA193" s="216" t="str">
        <f>DATA!Y197</f>
        <v>Belum Ada Indikasi</v>
      </c>
      <c r="AB193" s="188">
        <f>DATA!AG197</f>
        <v>-285676000</v>
      </c>
      <c r="AC193" s="20" t="str">
        <f>DATA!AH197</f>
        <v>Tanpa keterangan</v>
      </c>
      <c r="AD193" s="37" t="str">
        <f>DATA!AI197</f>
        <v>-</v>
      </c>
      <c r="AE193" s="152">
        <f>DATA!AM197</f>
        <v>0</v>
      </c>
      <c r="AF193" s="152" t="str">
        <f>DATA!AN197</f>
        <v>belum ada keterangan</v>
      </c>
      <c r="AG193" s="152" t="str">
        <f>DATA!AO197</f>
        <v>belum ada keterangan</v>
      </c>
      <c r="AH193" s="37" t="str">
        <f>DATA!AJ197</f>
        <v>-</v>
      </c>
      <c r="AI193" s="232" t="str">
        <f>DATA!AK197</f>
        <v>-</v>
      </c>
      <c r="AJ193" s="230" t="str">
        <f>DATA!AL197</f>
        <v>-</v>
      </c>
      <c r="AK193" s="231">
        <f>DATA!AM197</f>
        <v>0</v>
      </c>
      <c r="AL193" s="20" t="str">
        <f>DATA!AN197</f>
        <v>belum ada keterangan</v>
      </c>
      <c r="AM193" s="20" t="str">
        <f>DATA!AO197</f>
        <v>belum ada keterangan</v>
      </c>
      <c r="AN193" s="20" t="str">
        <f>DATA!AP197</f>
        <v>belum ada proses tender/lelang</v>
      </c>
      <c r="AO193" s="20" t="str">
        <f>DATA!AY197</f>
        <v>Surat Plh. Kepala Pusat Kem.Pertanian nomor 246/KL.230/A.6.3/09/2015 tgl 9 September 2015</v>
      </c>
      <c r="AP193" s="20" t="e">
        <f>DATA!#REF!</f>
        <v>#REF!</v>
      </c>
      <c r="AQ193" s="20">
        <f>DATA!AZ197</f>
        <v>0</v>
      </c>
      <c r="AR193" s="152" t="e">
        <f>DATA!#REF!</f>
        <v>#REF!</v>
      </c>
      <c r="AS193" s="199" t="str">
        <f>DATA!BA197</f>
        <v>Rencana penggunaan lahan di dataran tinggi berdasarkan kesesuaiannya, konservasi lahan dan air di dataran tinggi, dan budidaya pertanian ramah lingkungan untuk dataran tinggi</v>
      </c>
      <c r="AT193" s="245">
        <f>DATA!AT197</f>
        <v>285676000</v>
      </c>
      <c r="AU193" s="109" t="str">
        <f>DATA!AU197</f>
        <v>Belum Ada Indikasi</v>
      </c>
      <c r="AV193" s="252" t="str">
        <f>DATA!AW197</f>
        <v>total belum ada indikasi menjadi USD 410,7 juta karena ditambahkan USD 125 juta yang sebelumnya Bank Dunia.</v>
      </c>
    </row>
    <row r="194" spans="1:48" s="5" customFormat="1" ht="33.75" customHeight="1">
      <c r="J194" s="180"/>
      <c r="K194" s="50"/>
      <c r="L194" s="30" t="str">
        <f>DATA!I198</f>
        <v>B</v>
      </c>
      <c r="M194" s="3427" t="str">
        <f>DATA!J198</f>
        <v>Program Peningkatan Penyuluhan, Pendidikan, dan Pelatihan Pertanian</v>
      </c>
      <c r="N194" s="3428"/>
      <c r="O194" s="31"/>
      <c r="P194" s="31"/>
      <c r="Q194" s="196"/>
      <c r="R194" s="197">
        <f>+R195+R196</f>
        <v>98900000</v>
      </c>
      <c r="S194" s="198">
        <f>+S195+S196</f>
        <v>98900000</v>
      </c>
      <c r="T194" s="81">
        <f t="shared" ref="T194:AT194" si="41">+T195+T196</f>
        <v>19780000</v>
      </c>
      <c r="U194" s="81">
        <f t="shared" si="41"/>
        <v>500000</v>
      </c>
      <c r="V194" s="81">
        <f t="shared" si="41"/>
        <v>119180000</v>
      </c>
      <c r="W194" s="81"/>
      <c r="X194" s="81" t="e">
        <f t="shared" si="41"/>
        <v>#VALUE!</v>
      </c>
      <c r="Y194" s="81">
        <f t="shared" si="41"/>
        <v>98900000</v>
      </c>
      <c r="Z194" s="81">
        <f t="shared" si="41"/>
        <v>0</v>
      </c>
      <c r="AA194" s="214"/>
      <c r="AB194" s="198">
        <f t="shared" si="41"/>
        <v>0</v>
      </c>
      <c r="AC194" s="81" t="e">
        <f t="shared" si="41"/>
        <v>#VALUE!</v>
      </c>
      <c r="AD194" s="81" t="e">
        <f t="shared" si="41"/>
        <v>#VALUE!</v>
      </c>
      <c r="AE194" s="81">
        <f t="shared" si="41"/>
        <v>0</v>
      </c>
      <c r="AF194" s="81" t="e">
        <f t="shared" si="41"/>
        <v>#VALUE!</v>
      </c>
      <c r="AG194" s="81" t="e">
        <f t="shared" si="41"/>
        <v>#VALUE!</v>
      </c>
      <c r="AH194" s="81"/>
      <c r="AI194" s="228"/>
      <c r="AJ194" s="229" t="e">
        <f t="shared" si="41"/>
        <v>#VALUE!</v>
      </c>
      <c r="AK194" s="198">
        <f t="shared" si="41"/>
        <v>0</v>
      </c>
      <c r="AL194" s="81" t="e">
        <f t="shared" si="41"/>
        <v>#VALUE!</v>
      </c>
      <c r="AM194" s="81" t="e">
        <f t="shared" si="41"/>
        <v>#VALUE!</v>
      </c>
      <c r="AN194" s="81" t="e">
        <f t="shared" si="41"/>
        <v>#VALUE!</v>
      </c>
      <c r="AO194" s="81" t="e">
        <f t="shared" si="41"/>
        <v>#VALUE!</v>
      </c>
      <c r="AP194" s="81" t="e">
        <f t="shared" si="41"/>
        <v>#REF!</v>
      </c>
      <c r="AQ194" s="81">
        <f t="shared" si="41"/>
        <v>0</v>
      </c>
      <c r="AR194" s="81" t="e">
        <f t="shared" si="41"/>
        <v>#REF!</v>
      </c>
      <c r="AS194" s="243" t="e">
        <f t="shared" si="41"/>
        <v>#VALUE!</v>
      </c>
      <c r="AT194" s="244">
        <f t="shared" si="41"/>
        <v>98900000</v>
      </c>
      <c r="AU194" s="81" t="s">
        <v>21</v>
      </c>
      <c r="AV194" s="229"/>
    </row>
    <row r="195" spans="1:48" ht="47.25" customHeight="1">
      <c r="A195" s="10">
        <f>DATA!A198</f>
        <v>143</v>
      </c>
      <c r="B195" s="10">
        <f>DATA!B198</f>
        <v>0</v>
      </c>
      <c r="C195" s="10" t="str">
        <f>DATA!D198</f>
        <v>NON-INFRASTRUKTUR</v>
      </c>
      <c r="D195" s="10">
        <f>DATA!E198</f>
        <v>13</v>
      </c>
      <c r="E195" s="10" t="str">
        <f>DATA!F198</f>
        <v>Kementerian Pertanian</v>
      </c>
      <c r="F195" s="10" t="str">
        <f>DATA!H198</f>
        <v>Agriculture Extention, Education, and Training Improvement Program</v>
      </c>
      <c r="G195" s="10" t="str">
        <f>DATA!I198</f>
        <v>B</v>
      </c>
      <c r="H195" s="10" t="str">
        <f>DATA!J198</f>
        <v>Program Peningkatan Penyuluhan, Pendidikan, dan Pelatihan Pertanian</v>
      </c>
      <c r="I195" s="10">
        <f>DATA!K198</f>
        <v>1</v>
      </c>
      <c r="J195" s="181"/>
      <c r="K195" s="34"/>
      <c r="L195" s="35"/>
      <c r="M195" s="36">
        <v>125</v>
      </c>
      <c r="N195" s="37" t="str">
        <f>DATA!L198</f>
        <v>Young Enterpreneur Growth and Development for Sustainable Agricultural Development</v>
      </c>
      <c r="O195" s="20">
        <f>DATA!Q198</f>
        <v>1</v>
      </c>
      <c r="P195" s="20">
        <f>DATA!R198</f>
        <v>1</v>
      </c>
      <c r="Q195" s="186">
        <f>DATA!S198</f>
        <v>111</v>
      </c>
      <c r="R195" s="187">
        <f>DATA!T198</f>
        <v>68900000</v>
      </c>
      <c r="S195" s="203">
        <f>DATA!U198</f>
        <v>68900000</v>
      </c>
      <c r="T195" s="77">
        <f>DATA!V198</f>
        <v>13780000</v>
      </c>
      <c r="U195" s="77">
        <f>DATA!W198</f>
        <v>0</v>
      </c>
      <c r="V195" s="77">
        <f>DATA!X198</f>
        <v>82680000</v>
      </c>
      <c r="W195" s="78" t="str">
        <f>DATA!Y198</f>
        <v>IFAD</v>
      </c>
      <c r="X195" s="20" t="str">
        <f>DATA!Z198</f>
        <v>Multilateral</v>
      </c>
      <c r="Y195" s="77">
        <f>DATA!AA198</f>
        <v>68900000</v>
      </c>
      <c r="Z195" s="77"/>
      <c r="AA195" s="216" t="str">
        <f>DATA!Y198</f>
        <v>IFAD</v>
      </c>
      <c r="AB195" s="188">
        <f>DATA!AG198</f>
        <v>0</v>
      </c>
      <c r="AC195" s="20" t="str">
        <f>DATA!AH198</f>
        <v>Tanpa keterangan</v>
      </c>
      <c r="AD195" s="37" t="str">
        <f>DATA!AI198</f>
        <v>Dalam tahap diskusi awal dengan pihak lender untuk penyempurnaan proposal</v>
      </c>
      <c r="AE195" s="152">
        <f>DATA!AM198</f>
        <v>0</v>
      </c>
      <c r="AF195" s="152" t="str">
        <f>DATA!AN198</f>
        <v>belum ada keterangan</v>
      </c>
      <c r="AG195" s="152" t="str">
        <f>DATA!AO198</f>
        <v>belum ada keterangan</v>
      </c>
      <c r="AH195" s="37" t="str">
        <f>DATA!AJ198</f>
        <v>-</v>
      </c>
      <c r="AI195" s="232" t="str">
        <f>DATA!AK199</f>
        <v>-</v>
      </c>
      <c r="AJ195" s="230" t="str">
        <f>DATA!AL198</f>
        <v>-</v>
      </c>
      <c r="AK195" s="231">
        <f>DATA!AM198</f>
        <v>0</v>
      </c>
      <c r="AL195" s="20" t="str">
        <f>DATA!AN198</f>
        <v>belum ada keterangan</v>
      </c>
      <c r="AM195" s="20" t="str">
        <f>DATA!AO198</f>
        <v>belum ada keterangan</v>
      </c>
      <c r="AN195" s="20" t="str">
        <f>DATA!AP198</f>
        <v>belum ada proses tender/lelang</v>
      </c>
      <c r="AO195" s="20" t="str">
        <f>DATA!AY198</f>
        <v>Surat Plh. Kepala Pusat Kem.Pertanian nomor 246/KL.230/A.6.3/09/2015 tgl 9 September 2015</v>
      </c>
      <c r="AP195" s="20" t="e">
        <f>DATA!#REF!</f>
        <v>#REF!</v>
      </c>
      <c r="AQ195" s="20">
        <f>DATA!AZ198</f>
        <v>0</v>
      </c>
      <c r="AR195" s="152" t="e">
        <f>DATA!#REF!</f>
        <v>#REF!</v>
      </c>
      <c r="AS195" s="199"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c r="AT195" s="245">
        <f>DATA!AT198</f>
        <v>68900000</v>
      </c>
      <c r="AU195" s="109" t="str">
        <f>DATA!AU198</f>
        <v>IFAD</v>
      </c>
      <c r="AV195" s="248" t="str">
        <f>DATA!AW198</f>
        <v>-</v>
      </c>
    </row>
    <row r="196" spans="1:48" ht="63.75">
      <c r="A196" s="10">
        <f>DATA!A199</f>
        <v>144</v>
      </c>
      <c r="B196" s="10">
        <f>DATA!B199</f>
        <v>0</v>
      </c>
      <c r="C196" s="10" t="str">
        <f>DATA!D199</f>
        <v>NON-INFRASTRUKTUR</v>
      </c>
      <c r="D196" s="10">
        <f>DATA!E199</f>
        <v>13</v>
      </c>
      <c r="E196" s="10" t="str">
        <f>DATA!F199</f>
        <v>Kementerian Pertanian</v>
      </c>
      <c r="F196" s="10" t="str">
        <f>DATA!H199</f>
        <v>Agriculture Extention, Education, and Training Improvement Program</v>
      </c>
      <c r="G196" s="10" t="str">
        <f>DATA!I199</f>
        <v>B</v>
      </c>
      <c r="H196" s="10" t="str">
        <f>DATA!J199</f>
        <v>Program Peningkatan Penyuluhan, Pendidikan, dan Pelatihan Pertanian</v>
      </c>
      <c r="I196" s="10">
        <f>DATA!K199</f>
        <v>2</v>
      </c>
      <c r="J196" s="181"/>
      <c r="K196" s="54"/>
      <c r="L196" s="54"/>
      <c r="M196" s="36">
        <v>126</v>
      </c>
      <c r="N196" s="37" t="str">
        <f>DATA!L199</f>
        <v>Rural Empowerment and Agricultural Development (READ) Programme in Sulawesi Island – Phase II</v>
      </c>
      <c r="O196" s="20">
        <f>DATA!Q199</f>
        <v>1</v>
      </c>
      <c r="P196" s="20">
        <f>DATA!R199</f>
        <v>1</v>
      </c>
      <c r="Q196" s="186">
        <f>DATA!S199</f>
        <v>112</v>
      </c>
      <c r="R196" s="187">
        <f>DATA!T199</f>
        <v>30000000</v>
      </c>
      <c r="S196" s="203">
        <f>DATA!U199</f>
        <v>30000000</v>
      </c>
      <c r="T196" s="77">
        <f>DATA!V199</f>
        <v>6000000</v>
      </c>
      <c r="U196" s="77">
        <f>DATA!W199</f>
        <v>500000</v>
      </c>
      <c r="V196" s="77">
        <f>DATA!X199</f>
        <v>36500000</v>
      </c>
      <c r="W196" s="78" t="str">
        <f>DATA!Y199</f>
        <v>IFAD</v>
      </c>
      <c r="X196" s="20" t="str">
        <f>DATA!Z199</f>
        <v>Multilateral</v>
      </c>
      <c r="Y196" s="77">
        <f>DATA!AA199</f>
        <v>30000000</v>
      </c>
      <c r="Z196" s="77"/>
      <c r="AA196" s="216" t="str">
        <f>DATA!Y199</f>
        <v>IFAD</v>
      </c>
      <c r="AB196" s="188">
        <f>DATA!AG199</f>
        <v>0</v>
      </c>
      <c r="AC196" s="20" t="str">
        <f>DATA!AH199</f>
        <v>Tanpa keterangan</v>
      </c>
      <c r="AD196" s="37" t="str">
        <f>DATA!AI199</f>
        <v>Dalam tahap diskusi awal dengan pihak lender untuk penyempurnaan proposal</v>
      </c>
      <c r="AE196" s="152">
        <f>DATA!AM199</f>
        <v>0</v>
      </c>
      <c r="AF196" s="152" t="str">
        <f>DATA!AN199</f>
        <v>belum ada keterangan</v>
      </c>
      <c r="AG196" s="152" t="str">
        <f>DATA!AO199</f>
        <v>belum ada keterangan</v>
      </c>
      <c r="AH196" s="37" t="str">
        <f>DATA!AJ199</f>
        <v>-</v>
      </c>
      <c r="AI196" s="232" t="str">
        <f>DATA!AK200</f>
        <v>-</v>
      </c>
      <c r="AJ196" s="230" t="str">
        <f>DATA!AL199</f>
        <v>-</v>
      </c>
      <c r="AK196" s="231">
        <f>DATA!AM199</f>
        <v>0</v>
      </c>
      <c r="AL196" s="20" t="str">
        <f>DATA!AN199</f>
        <v>belum ada keterangan</v>
      </c>
      <c r="AM196" s="20" t="str">
        <f>DATA!AO199</f>
        <v>belum ada keterangan</v>
      </c>
      <c r="AN196" s="20" t="str">
        <f>DATA!AP199</f>
        <v>belum ada proses tender/lelang</v>
      </c>
      <c r="AO196" s="20" t="str">
        <f>DATA!AY199</f>
        <v>Surat Plh. Kepala Pusat Kem.Pertanian nomor 246/KL.230/A.6.3/09/2015 tgl 9 September 2015</v>
      </c>
      <c r="AP196" s="20" t="e">
        <f>DATA!#REF!</f>
        <v>#REF!</v>
      </c>
      <c r="AQ196" s="20">
        <f>DATA!AZ199</f>
        <v>0</v>
      </c>
      <c r="AR196" s="152" t="e">
        <f>DATA!#REF!</f>
        <v>#REF!</v>
      </c>
      <c r="AS196" s="199" t="str">
        <f>DATA!BA199</f>
        <v>Pemberdayaan masyarakat petani, peningkatan mata pencaharian, dan pembangunan infrastruktur pertanian</v>
      </c>
      <c r="AT196" s="245">
        <f>DATA!AT199</f>
        <v>30000000</v>
      </c>
      <c r="AU196" s="109" t="str">
        <f>DATA!AU199</f>
        <v>IFAD</v>
      </c>
      <c r="AV196" s="248" t="str">
        <f>DATA!AW199</f>
        <v>-</v>
      </c>
    </row>
    <row r="197" spans="1:48" s="4" customFormat="1" ht="24.95" customHeight="1">
      <c r="J197" s="250"/>
      <c r="K197" s="25">
        <f>DATA!E200</f>
        <v>14</v>
      </c>
      <c r="L197" s="108" t="str">
        <f>DATA!F200</f>
        <v>Kementerian Ketenagakerjaan</v>
      </c>
      <c r="M197" s="25"/>
      <c r="N197" s="27"/>
      <c r="O197" s="26"/>
      <c r="P197" s="26"/>
      <c r="Q197" s="193"/>
      <c r="R197" s="194">
        <f>+R198</f>
        <v>92308000</v>
      </c>
      <c r="S197" s="195">
        <f>+S198</f>
        <v>92308000</v>
      </c>
      <c r="T197" s="80">
        <f t="shared" ref="T197:AI198" si="42">+T198</f>
        <v>2500000</v>
      </c>
      <c r="U197" s="80">
        <f t="shared" si="42"/>
        <v>0</v>
      </c>
      <c r="V197" s="80">
        <f t="shared" si="42"/>
        <v>94808000</v>
      </c>
      <c r="W197" s="120" t="str">
        <f t="shared" si="42"/>
        <v>-</v>
      </c>
      <c r="X197" s="80" t="str">
        <f t="shared" si="42"/>
        <v>Multi Lender</v>
      </c>
      <c r="Y197" s="80">
        <f t="shared" si="42"/>
        <v>92308000</v>
      </c>
      <c r="Z197" s="80">
        <f t="shared" si="42"/>
        <v>0</v>
      </c>
      <c r="AA197" s="213"/>
      <c r="AB197" s="195">
        <f t="shared" si="42"/>
        <v>0</v>
      </c>
      <c r="AC197" s="80" t="str">
        <f t="shared" si="42"/>
        <v>Tanpa keterangan</v>
      </c>
      <c r="AD197" s="80" t="str">
        <f t="shared" si="42"/>
        <v>-</v>
      </c>
      <c r="AE197" s="80">
        <f t="shared" si="42"/>
        <v>0</v>
      </c>
      <c r="AF197" s="80" t="str">
        <f t="shared" si="42"/>
        <v>belum ada keterangan</v>
      </c>
      <c r="AG197" s="80" t="str">
        <f t="shared" si="42"/>
        <v>belum ada keterangan</v>
      </c>
      <c r="AH197" s="80" t="str">
        <f t="shared" si="42"/>
        <v>-</v>
      </c>
      <c r="AI197" s="226" t="str">
        <f t="shared" si="42"/>
        <v>-</v>
      </c>
      <c r="AJ197" s="227" t="str">
        <f t="shared" ref="AJ197:AT198" si="43">+AJ198</f>
        <v>-</v>
      </c>
      <c r="AK197" s="195">
        <f t="shared" si="43"/>
        <v>0</v>
      </c>
      <c r="AL197" s="80" t="str">
        <f t="shared" si="43"/>
        <v>belum ada keterangan</v>
      </c>
      <c r="AM197" s="80" t="str">
        <f t="shared" si="43"/>
        <v>belum ada keterangan</v>
      </c>
      <c r="AN197" s="80" t="str">
        <f t="shared" si="43"/>
        <v>belum ada proses tender/lelang</v>
      </c>
      <c r="AO197" s="80" t="str">
        <f t="shared" si="43"/>
        <v xml:space="preserve">- Semula indikasi pendanaan oleh IDB namun pihak Kem. Naker mengkonfirmasikan bahwa Lender keg ini belum ada indikasi lender
- Konfirmasi Lender Austria didapatkan dari rapat dgn Dit. Multilateral tgl 15 Okt' 2015 di R.SG-4
</v>
      </c>
      <c r="AP197" s="80" t="e">
        <f t="shared" si="43"/>
        <v>#REF!</v>
      </c>
      <c r="AQ197" s="80" t="str">
        <f t="shared" si="43"/>
        <v>Konfirmasi Lender Austria didapatkan dari rapat dgn Dit. Multilateral tgl 15 Okt' 2015 di R.SG-4</v>
      </c>
      <c r="AR197" s="80" t="e">
        <f t="shared" si="43"/>
        <v>#REF!</v>
      </c>
      <c r="AS197" s="241" t="str">
        <f t="shared" si="43"/>
        <v>Penyediaan sarana dan peralatan BLK Maritim, rehabilitasi Workshop, pengembangan Software Pelatihan, dan Training of Trainers (ToT)</v>
      </c>
      <c r="AT197" s="242">
        <f t="shared" si="43"/>
        <v>92308000</v>
      </c>
      <c r="AU197" s="80" t="s">
        <v>21</v>
      </c>
      <c r="AV197" s="227"/>
    </row>
    <row r="198" spans="1:48" s="5" customFormat="1" ht="37.5" customHeight="1">
      <c r="J198" s="180"/>
      <c r="K198" s="29"/>
      <c r="L198" s="30" t="str">
        <f>DATA!I206</f>
        <v>A</v>
      </c>
      <c r="M198" s="3427" t="str">
        <f>DATA!J206</f>
        <v>Program Pengembangan dan Pembinaan Meteorologi, Klimatologi, dan Geofisika</v>
      </c>
      <c r="N198" s="3428"/>
      <c r="O198" s="31"/>
      <c r="P198" s="31"/>
      <c r="Q198" s="196"/>
      <c r="R198" s="197">
        <f>+R199</f>
        <v>92308000</v>
      </c>
      <c r="S198" s="198">
        <f>+S199</f>
        <v>92308000</v>
      </c>
      <c r="T198" s="81">
        <f t="shared" si="42"/>
        <v>2500000</v>
      </c>
      <c r="U198" s="81">
        <f t="shared" si="42"/>
        <v>0</v>
      </c>
      <c r="V198" s="81">
        <f t="shared" si="42"/>
        <v>94808000</v>
      </c>
      <c r="W198" s="121" t="s">
        <v>21</v>
      </c>
      <c r="X198" s="81" t="str">
        <f t="shared" si="42"/>
        <v>Multi Lender</v>
      </c>
      <c r="Y198" s="81">
        <f t="shared" si="42"/>
        <v>92308000</v>
      </c>
      <c r="Z198" s="81">
        <f t="shared" si="42"/>
        <v>0</v>
      </c>
      <c r="AA198" s="214"/>
      <c r="AB198" s="198">
        <f t="shared" si="42"/>
        <v>0</v>
      </c>
      <c r="AC198" s="81" t="str">
        <f t="shared" si="42"/>
        <v>Tanpa keterangan</v>
      </c>
      <c r="AD198" s="81" t="str">
        <f t="shared" si="42"/>
        <v>-</v>
      </c>
      <c r="AE198" s="81">
        <f t="shared" si="42"/>
        <v>0</v>
      </c>
      <c r="AF198" s="81" t="str">
        <f t="shared" si="42"/>
        <v>belum ada keterangan</v>
      </c>
      <c r="AG198" s="81" t="str">
        <f t="shared" si="42"/>
        <v>belum ada keterangan</v>
      </c>
      <c r="AH198" s="81" t="str">
        <f t="shared" si="42"/>
        <v>-</v>
      </c>
      <c r="AI198" s="228" t="str">
        <f t="shared" si="42"/>
        <v>-</v>
      </c>
      <c r="AJ198" s="229" t="str">
        <f t="shared" si="43"/>
        <v>-</v>
      </c>
      <c r="AK198" s="198">
        <f t="shared" si="43"/>
        <v>0</v>
      </c>
      <c r="AL198" s="81" t="str">
        <f t="shared" si="43"/>
        <v>belum ada keterangan</v>
      </c>
      <c r="AM198" s="81" t="str">
        <f t="shared" si="43"/>
        <v>belum ada keterangan</v>
      </c>
      <c r="AN198" s="81" t="str">
        <f t="shared" si="43"/>
        <v>belum ada proses tender/lelang</v>
      </c>
      <c r="AO198" s="81" t="str">
        <f t="shared" si="43"/>
        <v xml:space="preserve">- Semula indikasi pendanaan oleh IDB namun pihak Kem. Naker mengkonfirmasikan bahwa Lender keg ini belum ada indikasi lender
- Konfirmasi Lender Austria didapatkan dari rapat dgn Dit. Multilateral tgl 15 Okt' 2015 di R.SG-4
</v>
      </c>
      <c r="AP198" s="81" t="e">
        <f t="shared" si="43"/>
        <v>#REF!</v>
      </c>
      <c r="AQ198" s="81" t="str">
        <f t="shared" si="43"/>
        <v>Konfirmasi Lender Austria didapatkan dari rapat dgn Dit. Multilateral tgl 15 Okt' 2015 di R.SG-4</v>
      </c>
      <c r="AR198" s="81" t="e">
        <f t="shared" si="43"/>
        <v>#REF!</v>
      </c>
      <c r="AS198" s="243" t="str">
        <f t="shared" si="43"/>
        <v>Penyediaan sarana dan peralatan BLK Maritim, rehabilitasi Workshop, pengembangan Software Pelatihan, dan Training of Trainers (ToT)</v>
      </c>
      <c r="AT198" s="244">
        <f t="shared" si="43"/>
        <v>92308000</v>
      </c>
      <c r="AU198" s="81" t="s">
        <v>21</v>
      </c>
      <c r="AV198" s="229"/>
    </row>
    <row r="199" spans="1:48" ht="47.25" customHeight="1">
      <c r="A199" s="10">
        <f>DATA!A200</f>
        <v>145</v>
      </c>
      <c r="B199" s="10">
        <f>DATA!B200</f>
        <v>0</v>
      </c>
      <c r="C199" s="10" t="str">
        <f>DATA!D200</f>
        <v>NON-INFRASTRUKTUR</v>
      </c>
      <c r="D199" s="10">
        <f>DATA!E200</f>
        <v>14</v>
      </c>
      <c r="E199" s="10" t="str">
        <f>DATA!F200</f>
        <v>Kementerian Ketenagakerjaan</v>
      </c>
      <c r="F199" s="10" t="str">
        <f>DATA!H200</f>
        <v>Improving Labor Competitiveness Program</v>
      </c>
      <c r="G199" s="10" t="str">
        <f>DATA!I200</f>
        <v>A</v>
      </c>
      <c r="H199" s="10" t="str">
        <f>DATA!J200</f>
        <v>Program Peningkatan Daya Saing Tenaga Kerja</v>
      </c>
      <c r="I199" s="10">
        <f>DATA!K200</f>
        <v>1</v>
      </c>
      <c r="J199" s="181"/>
      <c r="K199" s="54"/>
      <c r="L199" s="20"/>
      <c r="M199" s="36">
        <v>127</v>
      </c>
      <c r="N199" s="37" t="str">
        <f>DATA!L200</f>
        <v>Development of Maritime Vocational Training Centers</v>
      </c>
      <c r="O199" s="20">
        <f>DATA!Q200</f>
        <v>1</v>
      </c>
      <c r="P199" s="20">
        <f>DATA!R200</f>
        <v>1</v>
      </c>
      <c r="Q199" s="186">
        <f>DATA!S200</f>
        <v>113</v>
      </c>
      <c r="R199" s="187">
        <f>DATA!T200</f>
        <v>92308000</v>
      </c>
      <c r="S199" s="203">
        <f>DATA!U200</f>
        <v>92308000</v>
      </c>
      <c r="T199" s="77">
        <f>DATA!V200</f>
        <v>2500000</v>
      </c>
      <c r="U199" s="77">
        <f>DATA!W200</f>
        <v>0</v>
      </c>
      <c r="V199" s="77">
        <f>DATA!X200</f>
        <v>94808000</v>
      </c>
      <c r="W199" s="78" t="str">
        <f>DATA!Y200</f>
        <v>Austria/ JICA/ Singapura</v>
      </c>
      <c r="X199" s="20" t="str">
        <f>DATA!Z200</f>
        <v>Multi Lender</v>
      </c>
      <c r="Y199" s="77">
        <f>DATA!AA200</f>
        <v>92308000</v>
      </c>
      <c r="Z199" s="77">
        <f>DATA!AG200</f>
        <v>0</v>
      </c>
      <c r="AA199" s="216" t="str">
        <f>DATA!Y200</f>
        <v>Austria/ JICA/ Singapura</v>
      </c>
      <c r="AB199" s="188">
        <f>DATA!AG200</f>
        <v>0</v>
      </c>
      <c r="AC199" s="20" t="str">
        <f>DATA!AH200</f>
        <v>Tanpa keterangan</v>
      </c>
      <c r="AD199" s="37" t="str">
        <f>DATA!AI200</f>
        <v>-</v>
      </c>
      <c r="AE199" s="152">
        <f>DATA!AM200</f>
        <v>0</v>
      </c>
      <c r="AF199" s="152" t="str">
        <f>DATA!AN200</f>
        <v>belum ada keterangan</v>
      </c>
      <c r="AG199" s="152" t="str">
        <f>DATA!AO200</f>
        <v>belum ada keterangan</v>
      </c>
      <c r="AH199" s="37" t="str">
        <f>DATA!AJ200</f>
        <v>-</v>
      </c>
      <c r="AI199" s="56" t="str">
        <f>DATA!AK200</f>
        <v>-</v>
      </c>
      <c r="AJ199" s="230" t="str">
        <f>DATA!AL200</f>
        <v>-</v>
      </c>
      <c r="AK199" s="231">
        <f>DATA!AM200</f>
        <v>0</v>
      </c>
      <c r="AL199" s="20" t="str">
        <f>DATA!AN200</f>
        <v>belum ada keterangan</v>
      </c>
      <c r="AM199" s="20" t="str">
        <f>DATA!AO200</f>
        <v>belum ada keterangan</v>
      </c>
      <c r="AN199" s="20" t="str">
        <f>DATA!AP200</f>
        <v>belum ada proses tender/lelang</v>
      </c>
      <c r="AO199" s="20" t="str">
        <f>DATA!AY200</f>
        <v xml:space="preserve">- Semula indikasi pendanaan oleh IDB namun pihak Kem. Naker mengkonfirmasikan bahwa Lender keg ini belum ada indikasi lender
- Konfirmasi Lender Austria didapatkan dari rapat dgn Dit. Multilateral tgl 15 Okt' 2015 di R.SG-4
</v>
      </c>
      <c r="AP199" s="20" t="e">
        <f>DATA!#REF!</f>
        <v>#REF!</v>
      </c>
      <c r="AQ199" s="20" t="str">
        <f>DATA!AZ200</f>
        <v>Konfirmasi Lender Austria didapatkan dari rapat dgn Dit. Multilateral tgl 15 Okt' 2015 di R.SG-4</v>
      </c>
      <c r="AR199" s="152" t="e">
        <f>DATA!#REF!</f>
        <v>#REF!</v>
      </c>
      <c r="AS199" s="199" t="str">
        <f>DATA!BA200</f>
        <v>Penyediaan sarana dan peralatan BLK Maritim, rehabilitasi Workshop, pengembangan Software Pelatihan, dan Training of Trainers (ToT)</v>
      </c>
      <c r="AT199" s="245">
        <f>DATA!AT200</f>
        <v>92308000</v>
      </c>
      <c r="AU199" s="109" t="str">
        <f>DATA!AU200</f>
        <v>Austria/ JICA/ Singapura</v>
      </c>
      <c r="AV199" s="252" t="str">
        <f>DATA!AW200</f>
        <v>belum ada konfirmasi lender yang berminat</v>
      </c>
    </row>
    <row r="200" spans="1:48" s="4" customFormat="1" ht="24.95" customHeight="1">
      <c r="J200" s="250"/>
      <c r="K200" s="25">
        <f>DATA!E201</f>
        <v>15</v>
      </c>
      <c r="L200" s="108" t="str">
        <f>DATA!F201</f>
        <v>Kementerian Kelautan dan Perikanan</v>
      </c>
      <c r="M200" s="25"/>
      <c r="N200" s="27"/>
      <c r="O200" s="26"/>
      <c r="P200" s="26"/>
      <c r="Q200" s="193"/>
      <c r="R200" s="194">
        <f>+R201</f>
        <v>107000000</v>
      </c>
      <c r="S200" s="195">
        <f t="shared" ref="S200:AT201" si="44">+S201</f>
        <v>107000000</v>
      </c>
      <c r="T200" s="80">
        <f t="shared" si="44"/>
        <v>4261000</v>
      </c>
      <c r="U200" s="80">
        <f t="shared" si="44"/>
        <v>2160000</v>
      </c>
      <c r="V200" s="80">
        <f t="shared" si="44"/>
        <v>113421000</v>
      </c>
      <c r="W200" s="80" t="str">
        <f t="shared" si="44"/>
        <v>-</v>
      </c>
      <c r="X200" s="80" t="str">
        <f t="shared" si="44"/>
        <v>-</v>
      </c>
      <c r="Y200" s="80">
        <f t="shared" si="44"/>
        <v>107000000</v>
      </c>
      <c r="Z200" s="80">
        <f t="shared" si="44"/>
        <v>0</v>
      </c>
      <c r="AA200" s="213"/>
      <c r="AB200" s="195">
        <f t="shared" si="44"/>
        <v>0</v>
      </c>
      <c r="AC200" s="80">
        <f t="shared" si="44"/>
        <v>0</v>
      </c>
      <c r="AD200" s="80">
        <f t="shared" si="44"/>
        <v>0</v>
      </c>
      <c r="AE200" s="80">
        <f t="shared" si="44"/>
        <v>0</v>
      </c>
      <c r="AF200" s="80">
        <f t="shared" si="44"/>
        <v>0</v>
      </c>
      <c r="AG200" s="80">
        <f t="shared" si="44"/>
        <v>0</v>
      </c>
      <c r="AH200" s="80">
        <f t="shared" si="44"/>
        <v>0</v>
      </c>
      <c r="AI200" s="226">
        <f t="shared" si="44"/>
        <v>0</v>
      </c>
      <c r="AJ200" s="227">
        <f t="shared" si="44"/>
        <v>0</v>
      </c>
      <c r="AK200" s="195">
        <f t="shared" si="44"/>
        <v>0</v>
      </c>
      <c r="AL200" s="80">
        <f t="shared" si="44"/>
        <v>0</v>
      </c>
      <c r="AM200" s="80">
        <f t="shared" si="44"/>
        <v>0</v>
      </c>
      <c r="AN200" s="80">
        <f t="shared" si="44"/>
        <v>0</v>
      </c>
      <c r="AO200" s="80">
        <f t="shared" si="44"/>
        <v>0</v>
      </c>
      <c r="AP200" s="80">
        <f t="shared" si="44"/>
        <v>0</v>
      </c>
      <c r="AQ200" s="80">
        <f t="shared" si="44"/>
        <v>0</v>
      </c>
      <c r="AR200" s="80">
        <f t="shared" si="44"/>
        <v>0</v>
      </c>
      <c r="AS200" s="241">
        <f t="shared" si="44"/>
        <v>0</v>
      </c>
      <c r="AT200" s="242">
        <f t="shared" si="44"/>
        <v>107000000</v>
      </c>
      <c r="AU200" s="80" t="s">
        <v>21</v>
      </c>
      <c r="AV200" s="227"/>
    </row>
    <row r="201" spans="1:48" s="5" customFormat="1" ht="33.75" customHeight="1">
      <c r="J201" s="180"/>
      <c r="K201" s="116"/>
      <c r="L201" s="30" t="str">
        <f>DATA!I201</f>
        <v>A</v>
      </c>
      <c r="M201" s="31" t="str">
        <f>DATA!J201</f>
        <v>Program Peningkatan Fasilitas Perikanan</v>
      </c>
      <c r="N201" s="51"/>
      <c r="O201" s="31"/>
      <c r="P201" s="31"/>
      <c r="Q201" s="196"/>
      <c r="R201" s="197">
        <f>+R202</f>
        <v>107000000</v>
      </c>
      <c r="S201" s="198">
        <f t="shared" si="44"/>
        <v>107000000</v>
      </c>
      <c r="T201" s="81">
        <f t="shared" si="44"/>
        <v>4261000</v>
      </c>
      <c r="U201" s="81">
        <f t="shared" si="44"/>
        <v>2160000</v>
      </c>
      <c r="V201" s="81">
        <f t="shared" si="44"/>
        <v>113421000</v>
      </c>
      <c r="W201" s="81" t="str">
        <f t="shared" si="44"/>
        <v>-</v>
      </c>
      <c r="X201" s="81" t="str">
        <f t="shared" si="44"/>
        <v>-</v>
      </c>
      <c r="Y201" s="81">
        <f>R201</f>
        <v>107000000</v>
      </c>
      <c r="Z201" s="81">
        <f t="shared" si="44"/>
        <v>0</v>
      </c>
      <c r="AA201" s="214"/>
      <c r="AB201" s="198">
        <f t="shared" si="44"/>
        <v>0</v>
      </c>
      <c r="AC201" s="81">
        <f t="shared" si="44"/>
        <v>0</v>
      </c>
      <c r="AD201" s="81">
        <f t="shared" si="44"/>
        <v>0</v>
      </c>
      <c r="AE201" s="81">
        <f t="shared" si="44"/>
        <v>0</v>
      </c>
      <c r="AF201" s="81">
        <f t="shared" si="44"/>
        <v>0</v>
      </c>
      <c r="AG201" s="81">
        <f t="shared" si="44"/>
        <v>0</v>
      </c>
      <c r="AH201" s="81">
        <f t="shared" si="44"/>
        <v>0</v>
      </c>
      <c r="AI201" s="228">
        <f t="shared" si="44"/>
        <v>0</v>
      </c>
      <c r="AJ201" s="229">
        <f t="shared" si="44"/>
        <v>0</v>
      </c>
      <c r="AK201" s="198">
        <f t="shared" si="44"/>
        <v>0</v>
      </c>
      <c r="AL201" s="81">
        <f t="shared" si="44"/>
        <v>0</v>
      </c>
      <c r="AM201" s="81">
        <f t="shared" si="44"/>
        <v>0</v>
      </c>
      <c r="AN201" s="81">
        <f t="shared" si="44"/>
        <v>0</v>
      </c>
      <c r="AO201" s="81">
        <f t="shared" si="44"/>
        <v>0</v>
      </c>
      <c r="AP201" s="81">
        <f t="shared" si="44"/>
        <v>0</v>
      </c>
      <c r="AQ201" s="81">
        <f t="shared" si="44"/>
        <v>0</v>
      </c>
      <c r="AR201" s="81">
        <f t="shared" si="44"/>
        <v>0</v>
      </c>
      <c r="AS201" s="243">
        <f t="shared" si="44"/>
        <v>0</v>
      </c>
      <c r="AT201" s="244">
        <f t="shared" si="44"/>
        <v>107000000</v>
      </c>
      <c r="AU201" s="81" t="s">
        <v>21</v>
      </c>
      <c r="AV201" s="229"/>
    </row>
    <row r="202" spans="1:48" s="9" customFormat="1" ht="58.5" customHeight="1">
      <c r="A202" s="9">
        <f>DATA!A201</f>
        <v>146</v>
      </c>
      <c r="B202" s="9">
        <f>DATA!B201</f>
        <v>0</v>
      </c>
      <c r="C202" s="9" t="str">
        <f>DATA!D201</f>
        <v>NON-INFRASTRUKTUR</v>
      </c>
      <c r="D202" s="9">
        <f>DATA!E201</f>
        <v>15</v>
      </c>
      <c r="E202" s="9" t="str">
        <f>DATA!F201</f>
        <v>Kementerian Kelautan dan Perikanan</v>
      </c>
      <c r="F202" s="9" t="str">
        <f>DATA!H201</f>
        <v>Improvement of Fisheries Facilities Program</v>
      </c>
      <c r="G202" s="9" t="str">
        <f>DATA!I201</f>
        <v>A</v>
      </c>
      <c r="H202" s="9" t="str">
        <f>DATA!J201</f>
        <v>Program Peningkatan Fasilitas Perikanan</v>
      </c>
      <c r="I202" s="9">
        <f>DATA!K201</f>
        <v>1</v>
      </c>
      <c r="J202" s="254"/>
      <c r="K202" s="66"/>
      <c r="L202" s="66"/>
      <c r="M202" s="64">
        <v>128</v>
      </c>
      <c r="N202" s="65" t="s">
        <v>1130</v>
      </c>
      <c r="O202" s="66">
        <f>DATA!Q201</f>
        <v>1</v>
      </c>
      <c r="P202" s="66">
        <f>DATA!R201</f>
        <v>1</v>
      </c>
      <c r="Q202" s="257">
        <f>DATA!S201</f>
        <v>114</v>
      </c>
      <c r="R202" s="258">
        <f>DATA!T201</f>
        <v>107000000</v>
      </c>
      <c r="S202" s="259">
        <f>DATA!U201</f>
        <v>107000000</v>
      </c>
      <c r="T202" s="91">
        <f>DATA!V201</f>
        <v>4261000</v>
      </c>
      <c r="U202" s="91">
        <f>DATA!W201</f>
        <v>2160000</v>
      </c>
      <c r="V202" s="91">
        <f>DATA!X201</f>
        <v>113421000</v>
      </c>
      <c r="W202" s="92" t="str">
        <f>DATA!Y201</f>
        <v>-</v>
      </c>
      <c r="X202" s="66" t="str">
        <f>DATA!Z201</f>
        <v>-</v>
      </c>
      <c r="Y202" s="91">
        <v>0</v>
      </c>
      <c r="Z202" s="91">
        <v>0</v>
      </c>
      <c r="AA202" s="216" t="str">
        <f>DATA!Y201</f>
        <v>-</v>
      </c>
      <c r="AB202" s="281">
        <v>0</v>
      </c>
      <c r="AC202" s="273">
        <v>0</v>
      </c>
      <c r="AD202" s="273">
        <v>0</v>
      </c>
      <c r="AE202" s="273">
        <v>0</v>
      </c>
      <c r="AF202" s="273">
        <v>0</v>
      </c>
      <c r="AG202" s="273">
        <v>0</v>
      </c>
      <c r="AH202" s="273">
        <v>0</v>
      </c>
      <c r="AI202" s="283">
        <v>0</v>
      </c>
      <c r="AJ202" s="274">
        <v>0</v>
      </c>
      <c r="AK202" s="281">
        <v>0</v>
      </c>
      <c r="AL202" s="273">
        <v>0</v>
      </c>
      <c r="AM202" s="273">
        <v>0</v>
      </c>
      <c r="AN202" s="273">
        <v>0</v>
      </c>
      <c r="AO202" s="273">
        <v>0</v>
      </c>
      <c r="AP202" s="273">
        <v>0</v>
      </c>
      <c r="AQ202" s="273">
        <v>0</v>
      </c>
      <c r="AR202" s="273">
        <v>0</v>
      </c>
      <c r="AS202" s="286">
        <v>0</v>
      </c>
      <c r="AT202" s="245">
        <f>DATA!AT201</f>
        <v>107000000</v>
      </c>
      <c r="AU202" s="109" t="str">
        <f>DATA!AU201</f>
        <v>Belum Ada Indikasi</v>
      </c>
      <c r="AV202" s="248" t="str">
        <f>DATA!AW201</f>
        <v>Dibatalkan oleh KKP (surat KKP 30 Nov 2015)</v>
      </c>
    </row>
    <row r="203" spans="1:48" s="4" customFormat="1" ht="24.95" customHeight="1">
      <c r="J203" s="250"/>
      <c r="K203" s="25">
        <f>DATA!E206</f>
        <v>16</v>
      </c>
      <c r="L203" s="108" t="str">
        <f>DATA!F206</f>
        <v>Badan Meteorologi, Klimatologi dan Geofisika (BMKG)</v>
      </c>
      <c r="M203" s="25"/>
      <c r="N203" s="27"/>
      <c r="O203" s="26"/>
      <c r="P203" s="26"/>
      <c r="Q203" s="193"/>
      <c r="R203" s="194">
        <f>+R204</f>
        <v>150000000</v>
      </c>
      <c r="S203" s="195">
        <f t="shared" ref="S203:AT204" si="45">+S204</f>
        <v>150000000</v>
      </c>
      <c r="T203" s="80">
        <f t="shared" si="45"/>
        <v>9000000</v>
      </c>
      <c r="U203" s="80">
        <f t="shared" si="45"/>
        <v>0</v>
      </c>
      <c r="V203" s="80">
        <f t="shared" si="45"/>
        <v>159000000</v>
      </c>
      <c r="W203" s="80">
        <f t="shared" si="45"/>
        <v>0</v>
      </c>
      <c r="X203" s="80">
        <f t="shared" si="45"/>
        <v>0</v>
      </c>
      <c r="Y203" s="80">
        <f t="shared" si="45"/>
        <v>150000000</v>
      </c>
      <c r="Z203" s="80">
        <f t="shared" si="45"/>
        <v>0</v>
      </c>
      <c r="AA203" s="213"/>
      <c r="AB203" s="195">
        <f t="shared" si="45"/>
        <v>0</v>
      </c>
      <c r="AC203" s="80" t="str">
        <f t="shared" si="45"/>
        <v>Tanpa keterangan</v>
      </c>
      <c r="AD203" s="80" t="str">
        <f t="shared" si="45"/>
        <v>a) Siap
b) -</v>
      </c>
      <c r="AE203" s="80">
        <f t="shared" si="45"/>
        <v>0</v>
      </c>
      <c r="AF203" s="80" t="str">
        <f t="shared" si="45"/>
        <v>dalam proses
(penyusunan FS)</v>
      </c>
      <c r="AG203" s="80" t="str">
        <f t="shared" si="45"/>
        <v>siap</v>
      </c>
      <c r="AH203" s="80"/>
      <c r="AI203" s="226"/>
      <c r="AJ203" s="227" t="str">
        <f t="shared" si="45"/>
        <v>a) -
b) -</v>
      </c>
      <c r="AK203" s="195">
        <f t="shared" si="45"/>
        <v>0</v>
      </c>
      <c r="AL203" s="80" t="str">
        <f t="shared" si="45"/>
        <v>dalam proses
(penyusunan FS)</v>
      </c>
      <c r="AM203" s="80" t="str">
        <f t="shared" si="45"/>
        <v>siap</v>
      </c>
      <c r="AN203" s="80" t="str">
        <f t="shared" si="45"/>
        <v>belum ada proses tender/lelang</v>
      </c>
      <c r="AO203" s="80" t="str">
        <f t="shared" si="45"/>
        <v>- Terintegrasi dengan sarana dan sistem hasil kegiatan fase 1 yang sudah terbangun sebelumnya
- Surat Kepala BMKG nomor KU.205/003/KB/IX/2015 tanggal 8 September 2015</v>
      </c>
      <c r="AP203" s="80" t="e">
        <f t="shared" si="45"/>
        <v>#REF!</v>
      </c>
      <c r="AQ203" s="80">
        <f t="shared" si="45"/>
        <v>0</v>
      </c>
      <c r="AR203" s="80" t="e">
        <f t="shared" si="45"/>
        <v>#REF!</v>
      </c>
      <c r="AS203" s="241" t="str">
        <f t="shared" si="45"/>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c r="AT203" s="242">
        <f t="shared" si="45"/>
        <v>150000000</v>
      </c>
      <c r="AU203" s="80" t="s">
        <v>21</v>
      </c>
      <c r="AV203" s="227"/>
    </row>
    <row r="204" spans="1:48" s="5" customFormat="1" ht="33.75" customHeight="1">
      <c r="J204" s="180"/>
      <c r="K204" s="29"/>
      <c r="L204" s="30" t="str">
        <f>DATA!I206</f>
        <v>A</v>
      </c>
      <c r="M204" s="3427" t="str">
        <f>DATA!J206</f>
        <v>Program Pengembangan dan Pembinaan Meteorologi, Klimatologi, dan Geofisika</v>
      </c>
      <c r="N204" s="3428"/>
      <c r="O204" s="31"/>
      <c r="P204" s="31"/>
      <c r="Q204" s="196"/>
      <c r="R204" s="197">
        <f>+R205</f>
        <v>150000000</v>
      </c>
      <c r="S204" s="198">
        <f>+S205</f>
        <v>150000000</v>
      </c>
      <c r="T204" s="81">
        <f t="shared" si="45"/>
        <v>9000000</v>
      </c>
      <c r="U204" s="81">
        <f t="shared" si="45"/>
        <v>0</v>
      </c>
      <c r="V204" s="81">
        <f t="shared" si="45"/>
        <v>159000000</v>
      </c>
      <c r="W204" s="82"/>
      <c r="X204" s="31"/>
      <c r="Y204" s="81">
        <f t="shared" si="45"/>
        <v>150000000</v>
      </c>
      <c r="Z204" s="81">
        <f t="shared" si="45"/>
        <v>0</v>
      </c>
      <c r="AA204" s="214"/>
      <c r="AB204" s="198">
        <f t="shared" si="45"/>
        <v>0</v>
      </c>
      <c r="AC204" s="81" t="str">
        <f t="shared" si="45"/>
        <v>Tanpa keterangan</v>
      </c>
      <c r="AD204" s="81" t="str">
        <f t="shared" si="45"/>
        <v>a) Siap
b) -</v>
      </c>
      <c r="AE204" s="81">
        <f t="shared" si="45"/>
        <v>0</v>
      </c>
      <c r="AF204" s="81" t="str">
        <f t="shared" si="45"/>
        <v>dalam proses
(penyusunan FS)</v>
      </c>
      <c r="AG204" s="81" t="str">
        <f t="shared" si="45"/>
        <v>siap</v>
      </c>
      <c r="AH204" s="81"/>
      <c r="AI204" s="228"/>
      <c r="AJ204" s="229" t="str">
        <f t="shared" si="45"/>
        <v>a) -
b) -</v>
      </c>
      <c r="AK204" s="198">
        <f t="shared" si="45"/>
        <v>0</v>
      </c>
      <c r="AL204" s="81" t="str">
        <f t="shared" si="45"/>
        <v>dalam proses
(penyusunan FS)</v>
      </c>
      <c r="AM204" s="81" t="str">
        <f t="shared" si="45"/>
        <v>siap</v>
      </c>
      <c r="AN204" s="81" t="str">
        <f t="shared" si="45"/>
        <v>belum ada proses tender/lelang</v>
      </c>
      <c r="AO204" s="81" t="str">
        <f t="shared" si="45"/>
        <v>- Terintegrasi dengan sarana dan sistem hasil kegiatan fase 1 yang sudah terbangun sebelumnya
- Surat Kepala BMKG nomor KU.205/003/KB/IX/2015 tanggal 8 September 2015</v>
      </c>
      <c r="AP204" s="81" t="e">
        <f t="shared" si="45"/>
        <v>#REF!</v>
      </c>
      <c r="AQ204" s="81">
        <f t="shared" si="45"/>
        <v>0</v>
      </c>
      <c r="AR204" s="81" t="e">
        <f t="shared" si="45"/>
        <v>#REF!</v>
      </c>
      <c r="AS204" s="243" t="str">
        <f t="shared" si="45"/>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c r="AT204" s="244">
        <f t="shared" si="45"/>
        <v>150000000</v>
      </c>
      <c r="AU204" s="81" t="s">
        <v>21</v>
      </c>
      <c r="AV204" s="229"/>
    </row>
    <row r="205" spans="1:48" ht="112.5" customHeight="1">
      <c r="A205" s="10">
        <f>DATA!A206</f>
        <v>147</v>
      </c>
      <c r="B205" s="10">
        <f>DATA!B206</f>
        <v>0</v>
      </c>
      <c r="C205" s="10" t="str">
        <f>DATA!D206</f>
        <v>NON-INFRASTRUKTUR</v>
      </c>
      <c r="D205" s="10">
        <f>DATA!E206</f>
        <v>16</v>
      </c>
      <c r="E205" s="10" t="str">
        <f>DATA!F206</f>
        <v>Badan Meteorologi, Klimatologi dan Geofisika (BMKG)</v>
      </c>
      <c r="F205" s="10" t="str">
        <f>DATA!H206</f>
        <v>Program for Capacity Development and Guidance of Meteorology, Climatology, and Geophysics</v>
      </c>
      <c r="G205" s="10" t="str">
        <f>DATA!I206</f>
        <v>A</v>
      </c>
      <c r="H205" s="10" t="str">
        <f>DATA!J206</f>
        <v>Program Pengembangan dan Pembinaan Meteorologi, Klimatologi, dan Geofisika</v>
      </c>
      <c r="I205" s="10">
        <f>DATA!K206</f>
        <v>1</v>
      </c>
      <c r="J205" s="181"/>
      <c r="K205" s="54"/>
      <c r="L205" s="36"/>
      <c r="M205" s="36">
        <v>129</v>
      </c>
      <c r="N205" s="37" t="str">
        <f>DATA!L206</f>
        <v xml:space="preserve">Strengthening Climate and Weather Service Capacity – Phase II:
a) Kegiatan lanjutan dari kegiatan Strengthening BMKG Climate and Weather Services Capacity Phase I
b) Kegiatan pengembangan sistem Layanan Informasi Meteorologi Maritim </v>
      </c>
      <c r="O205" s="20">
        <f>DATA!Q206</f>
        <v>1</v>
      </c>
      <c r="P205" s="20">
        <f>DATA!R206</f>
        <v>1</v>
      </c>
      <c r="Q205" s="186">
        <f>DATA!S206</f>
        <v>115</v>
      </c>
      <c r="R205" s="187">
        <f>DATA!T206</f>
        <v>150000000</v>
      </c>
      <c r="S205" s="203">
        <f>DATA!U206</f>
        <v>150000000</v>
      </c>
      <c r="T205" s="77">
        <f>DATA!V206</f>
        <v>9000000</v>
      </c>
      <c r="U205" s="77">
        <f>DATA!W206</f>
        <v>0</v>
      </c>
      <c r="V205" s="77">
        <f>DATA!X206</f>
        <v>159000000</v>
      </c>
      <c r="W205" s="78" t="str">
        <f>DATA!Y206</f>
        <v>US EXIM</v>
      </c>
      <c r="X205" s="20" t="str">
        <f>DATA!Z206</f>
        <v>Bilateral</v>
      </c>
      <c r="Y205" s="77">
        <f>DATA!AA206</f>
        <v>150000000</v>
      </c>
      <c r="Z205" s="77">
        <f>DATA!AG206</f>
        <v>0</v>
      </c>
      <c r="AA205" s="216" t="str">
        <f>DATA!Y206</f>
        <v>US EXIM</v>
      </c>
      <c r="AB205" s="188">
        <f>DATA!AG206</f>
        <v>0</v>
      </c>
      <c r="AC205" s="20" t="str">
        <f>DATA!AH206</f>
        <v>Tanpa keterangan</v>
      </c>
      <c r="AD205" s="37" t="str">
        <f>DATA!AI206</f>
        <v>a) Siap
b) -</v>
      </c>
      <c r="AE205" s="152">
        <f>DATA!AM206</f>
        <v>0</v>
      </c>
      <c r="AF205" s="152" t="str">
        <f>DATA!AN206</f>
        <v>dalam proses
(penyusunan FS)</v>
      </c>
      <c r="AG205" s="152" t="str">
        <f>DATA!AO206</f>
        <v>siap</v>
      </c>
      <c r="AH205" s="37" t="str">
        <f>DATA!AJ206</f>
        <v>a) Siap
b) -</v>
      </c>
      <c r="AI205" s="56" t="str">
        <f>DATA!AK206</f>
        <v>a) Siap
b) Siap</v>
      </c>
      <c r="AJ205" s="230" t="str">
        <f>DATA!AL206</f>
        <v>a) -
b) -</v>
      </c>
      <c r="AK205" s="231">
        <f>DATA!AM206</f>
        <v>0</v>
      </c>
      <c r="AL205" s="20" t="str">
        <f>DATA!AN206</f>
        <v>dalam proses
(penyusunan FS)</v>
      </c>
      <c r="AM205" s="20" t="str">
        <f>DATA!AO206</f>
        <v>siap</v>
      </c>
      <c r="AN205" s="20" t="str">
        <f>DATA!AP206</f>
        <v>belum ada proses tender/lelang</v>
      </c>
      <c r="AO205" s="20" t="str">
        <f>DATA!AY206</f>
        <v>- Terintegrasi dengan sarana dan sistem hasil kegiatan fase 1 yang sudah terbangun sebelumnya
- Surat Kepala BMKG nomor KU.205/003/KB/IX/2015 tanggal 8 September 2015</v>
      </c>
      <c r="AP205" s="20" t="e">
        <f>DATA!#REF!</f>
        <v>#REF!</v>
      </c>
      <c r="AQ205" s="20">
        <f>DATA!AZ206</f>
        <v>0</v>
      </c>
      <c r="AR205" s="152" t="e">
        <f>DATA!#REF!</f>
        <v>#REF!</v>
      </c>
      <c r="AS205" s="199"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c r="AT205" s="245">
        <f>DATA!AT206</f>
        <v>150000000</v>
      </c>
      <c r="AU205" s="109" t="str">
        <f>DATA!AU206</f>
        <v>US EXIM</v>
      </c>
      <c r="AV205" s="248" t="str">
        <f>DATA!AW206</f>
        <v>-</v>
      </c>
    </row>
    <row r="206" spans="1:48" s="4" customFormat="1" ht="24.95" customHeight="1">
      <c r="J206" s="250"/>
      <c r="K206" s="25">
        <f>DATA!E207</f>
        <v>17</v>
      </c>
      <c r="L206" s="108" t="str">
        <f>DATA!F207</f>
        <v>Badan Pengkajian dan Penerapan Teknologi (BPPT)</v>
      </c>
      <c r="M206" s="25"/>
      <c r="N206" s="27"/>
      <c r="O206" s="26"/>
      <c r="P206" s="26"/>
      <c r="Q206" s="193"/>
      <c r="R206" s="194">
        <f>+R207</f>
        <v>114400000</v>
      </c>
      <c r="S206" s="195">
        <f>+S207</f>
        <v>114400000</v>
      </c>
      <c r="T206" s="80">
        <f t="shared" ref="T206:AG207" si="46">+T207</f>
        <v>17200000</v>
      </c>
      <c r="U206" s="80">
        <f t="shared" si="46"/>
        <v>0</v>
      </c>
      <c r="V206" s="80">
        <f t="shared" si="46"/>
        <v>131600000</v>
      </c>
      <c r="W206" s="122"/>
      <c r="X206" s="26"/>
      <c r="Y206" s="80">
        <f t="shared" ref="Y206:AT207" si="47">+Y207</f>
        <v>114400000</v>
      </c>
      <c r="Z206" s="80">
        <f t="shared" si="47"/>
        <v>0</v>
      </c>
      <c r="AA206" s="213"/>
      <c r="AB206" s="195">
        <f t="shared" si="47"/>
        <v>0</v>
      </c>
      <c r="AC206" s="80" t="str">
        <f t="shared" si="47"/>
        <v>Tanpa keterangan</v>
      </c>
      <c r="AD206" s="80" t="str">
        <f t="shared" si="47"/>
        <v xml:space="preserve">  (1) Development of Maritime NTSP: (tidak ada data)
(2) Revitalization Infrastructure Marine Survey: (tidak ada data)  </v>
      </c>
      <c r="AE206" s="80">
        <f t="shared" si="47"/>
        <v>0</v>
      </c>
      <c r="AF206" s="80" t="str">
        <f t="shared" si="47"/>
        <v>dalam proses
(penyusunan FS)</v>
      </c>
      <c r="AG206" s="80" t="str">
        <f t="shared" si="47"/>
        <v>dalam proses
(pelaksanaan)</v>
      </c>
      <c r="AH206" s="80"/>
      <c r="AI206" s="226"/>
      <c r="AJ206" s="227" t="str">
        <f t="shared" si="47"/>
        <v xml:space="preserve">  (1) Development of Maritime NTSP: belum ada tender
(2) Revitalization Infrastructure Marine Survey:belum ada tender  </v>
      </c>
      <c r="AK206" s="195">
        <f t="shared" si="47"/>
        <v>0</v>
      </c>
      <c r="AL206" s="80" t="str">
        <f t="shared" si="47"/>
        <v>dalam proses
(penyusunan FS)</v>
      </c>
      <c r="AM206" s="80" t="str">
        <f t="shared" si="47"/>
        <v>dalam proses
(pelaksanaan)</v>
      </c>
      <c r="AN206" s="80" t="str">
        <f t="shared" si="47"/>
        <v>belum ada proses tender/lelang</v>
      </c>
      <c r="AO206" s="80" t="str">
        <f t="shared" si="47"/>
        <v>- Selain Perancis , pihak BPPT mengkonfirmasikan bahwa Korea berminat untuk menjadi lender pada proyek NSTP Maritim Kab. PPU
- Pelaksanaannya direncanakan tahun 2016 dan tahun 2017
-  Konfirmasi melalui e-mail tanggal 10 Sept 2015</v>
      </c>
      <c r="AP206" s="80" t="e">
        <f t="shared" si="47"/>
        <v>#REF!</v>
      </c>
      <c r="AQ206" s="80">
        <f t="shared" si="47"/>
        <v>0</v>
      </c>
      <c r="AR206" s="80" t="e">
        <f t="shared" si="47"/>
        <v>#REF!</v>
      </c>
      <c r="AS206" s="241" t="str">
        <f t="shared" si="47"/>
        <v>Pembangunan dermaga kapal riset, laboratorium kemaritiman, workshop, dan sarana prasarana penunjang darat lainnya serta Revitalisasi 4 buah kapal riset Baruna Jaya I, II, III, dan IV dan peralatan survei kelautan lainnya</v>
      </c>
      <c r="AT206" s="242">
        <f t="shared" si="47"/>
        <v>114400000</v>
      </c>
      <c r="AU206" s="80" t="s">
        <v>21</v>
      </c>
      <c r="AV206" s="227"/>
    </row>
    <row r="207" spans="1:48" s="5" customFormat="1" ht="33.75" customHeight="1">
      <c r="J207" s="180"/>
      <c r="K207" s="29"/>
      <c r="L207" s="30" t="str">
        <f>DATA!I207</f>
        <v>A</v>
      </c>
      <c r="M207" s="3427" t="str">
        <f>DATA!J207</f>
        <v>Program Pembangunan Science Park dan Technopark</v>
      </c>
      <c r="N207" s="3446"/>
      <c r="O207" s="31"/>
      <c r="P207" s="31"/>
      <c r="Q207" s="196"/>
      <c r="R207" s="197">
        <f>+R208</f>
        <v>114400000</v>
      </c>
      <c r="S207" s="198">
        <f>+S208</f>
        <v>114400000</v>
      </c>
      <c r="T207" s="81">
        <f t="shared" si="46"/>
        <v>17200000</v>
      </c>
      <c r="U207" s="81">
        <f t="shared" si="46"/>
        <v>0</v>
      </c>
      <c r="V207" s="81">
        <f t="shared" si="46"/>
        <v>131600000</v>
      </c>
      <c r="W207" s="81"/>
      <c r="X207" s="81" t="str">
        <f t="shared" si="46"/>
        <v>Bilateral</v>
      </c>
      <c r="Y207" s="81">
        <f t="shared" si="46"/>
        <v>114400000</v>
      </c>
      <c r="Z207" s="81">
        <f t="shared" si="46"/>
        <v>0</v>
      </c>
      <c r="AA207" s="214"/>
      <c r="AB207" s="198">
        <f t="shared" si="46"/>
        <v>0</v>
      </c>
      <c r="AC207" s="81" t="str">
        <f t="shared" si="46"/>
        <v>Tanpa keterangan</v>
      </c>
      <c r="AD207" s="81" t="str">
        <f t="shared" si="46"/>
        <v xml:space="preserve">  (1) Development of Maritime NTSP: (tidak ada data)
(2) Revitalization Infrastructure Marine Survey: (tidak ada data)  </v>
      </c>
      <c r="AE207" s="81">
        <f t="shared" si="46"/>
        <v>0</v>
      </c>
      <c r="AF207" s="81" t="str">
        <f t="shared" si="46"/>
        <v>dalam proses
(penyusunan FS)</v>
      </c>
      <c r="AG207" s="81" t="str">
        <f t="shared" si="46"/>
        <v>dalam proses
(pelaksanaan)</v>
      </c>
      <c r="AH207" s="81"/>
      <c r="AI207" s="228"/>
      <c r="AJ207" s="229" t="str">
        <f t="shared" si="47"/>
        <v xml:space="preserve">  (1) Development of Maritime NTSP: belum ada tender
(2) Revitalization Infrastructure Marine Survey:belum ada tender  </v>
      </c>
      <c r="AK207" s="198">
        <f t="shared" si="47"/>
        <v>0</v>
      </c>
      <c r="AL207" s="81" t="str">
        <f t="shared" si="47"/>
        <v>dalam proses
(penyusunan FS)</v>
      </c>
      <c r="AM207" s="81" t="str">
        <f t="shared" si="47"/>
        <v>dalam proses
(pelaksanaan)</v>
      </c>
      <c r="AN207" s="81" t="str">
        <f t="shared" si="47"/>
        <v>belum ada proses tender/lelang</v>
      </c>
      <c r="AO207" s="81" t="str">
        <f t="shared" si="47"/>
        <v>- Selain Perancis , pihak BPPT mengkonfirmasikan bahwa Korea berminat untuk menjadi lender pada proyek NSTP Maritim Kab. PPU
- Pelaksanaannya direncanakan tahun 2016 dan tahun 2017
-  Konfirmasi melalui e-mail tanggal 10 Sept 2015</v>
      </c>
      <c r="AP207" s="81" t="e">
        <f t="shared" si="47"/>
        <v>#REF!</v>
      </c>
      <c r="AQ207" s="81">
        <f t="shared" si="47"/>
        <v>0</v>
      </c>
      <c r="AR207" s="81" t="e">
        <f t="shared" si="47"/>
        <v>#REF!</v>
      </c>
      <c r="AS207" s="243" t="str">
        <f t="shared" si="47"/>
        <v>Pembangunan dermaga kapal riset, laboratorium kemaritiman, workshop, dan sarana prasarana penunjang darat lainnya serta Revitalisasi 4 buah kapal riset Baruna Jaya I, II, III, dan IV dan peralatan survei kelautan lainnya</v>
      </c>
      <c r="AT207" s="244">
        <f t="shared" si="47"/>
        <v>114400000</v>
      </c>
      <c r="AU207" s="81" t="s">
        <v>21</v>
      </c>
      <c r="AV207" s="229"/>
    </row>
    <row r="208" spans="1:48" ht="91.5" customHeight="1">
      <c r="A208" s="10">
        <f>DATA!A207</f>
        <v>148</v>
      </c>
      <c r="B208" s="10">
        <f>DATA!B207</f>
        <v>0</v>
      </c>
      <c r="C208" s="10" t="str">
        <f>DATA!D207</f>
        <v>NON-INFRASTRUKTUR</v>
      </c>
      <c r="D208" s="10">
        <f>DATA!E207</f>
        <v>17</v>
      </c>
      <c r="E208" s="10" t="str">
        <f>DATA!F207</f>
        <v>Badan Pengkajian dan Penerapan Teknologi (BPPT)</v>
      </c>
      <c r="F208" s="10" t="str">
        <f>DATA!H207</f>
        <v>Science Park and Technopark Development Program</v>
      </c>
      <c r="G208" s="10" t="str">
        <f>DATA!I207</f>
        <v>A</v>
      </c>
      <c r="H208" s="10" t="str">
        <f>DATA!J207</f>
        <v>Program Pembangunan Science Park dan Technopark</v>
      </c>
      <c r="I208" s="10">
        <f>DATA!K207</f>
        <v>1</v>
      </c>
      <c r="J208" s="256"/>
      <c r="K208" s="54"/>
      <c r="L208" s="36"/>
      <c r="M208" s="36">
        <v>130</v>
      </c>
      <c r="N208" s="37" t="str">
        <f>DATA!L207</f>
        <v>Development of Maritime National Science and Technology Park (NTSP) in the Northern Penajam Paser and Revitalization Infrastructure Marine Survey</v>
      </c>
      <c r="O208" s="20">
        <f>DATA!Q207</f>
        <v>1</v>
      </c>
      <c r="P208" s="20">
        <f>DATA!R207</f>
        <v>1</v>
      </c>
      <c r="Q208" s="186">
        <f>DATA!S207</f>
        <v>116</v>
      </c>
      <c r="R208" s="187">
        <f>DATA!T207</f>
        <v>114400000</v>
      </c>
      <c r="S208" s="203">
        <f>DATA!U207</f>
        <v>114400000</v>
      </c>
      <c r="T208" s="77">
        <f>DATA!V207</f>
        <v>17200000</v>
      </c>
      <c r="U208" s="77">
        <f>DATA!W207</f>
        <v>0</v>
      </c>
      <c r="V208" s="77">
        <f>DATA!X207</f>
        <v>131600000</v>
      </c>
      <c r="W208" s="78" t="str">
        <f>DATA!Y207</f>
        <v xml:space="preserve">Perancis (AFD)  </v>
      </c>
      <c r="X208" s="20" t="str">
        <f>DATA!Z207</f>
        <v>Bilateral</v>
      </c>
      <c r="Y208" s="77">
        <f>DATA!AA207</f>
        <v>114400000</v>
      </c>
      <c r="Z208" s="77">
        <f>DATA!AG207</f>
        <v>0</v>
      </c>
      <c r="AA208" s="216" t="str">
        <f>DATA!Y207</f>
        <v xml:space="preserve">Perancis (AFD)  </v>
      </c>
      <c r="AB208" s="188">
        <f>DATA!AG207</f>
        <v>0</v>
      </c>
      <c r="AC208" s="20" t="str">
        <f>DATA!AH207</f>
        <v>Tanpa keterangan</v>
      </c>
      <c r="AD208" s="37" t="str">
        <f>DATA!AI207</f>
        <v xml:space="preserve">  (1) Development of Maritime NTSP: (tidak ada data)
(2) Revitalization Infrastructure Marine Survey: (tidak ada data)  </v>
      </c>
      <c r="AE208" s="152">
        <f>DATA!AM207</f>
        <v>0</v>
      </c>
      <c r="AF208" s="152" t="str">
        <f>DATA!AN207</f>
        <v>dalam proses
(penyusunan FS)</v>
      </c>
      <c r="AG208" s="152" t="str">
        <f>DATA!AO207</f>
        <v>dalam proses
(pelaksanaan)</v>
      </c>
      <c r="AH208" s="37" t="str">
        <f>DATA!AJ207</f>
        <v xml:space="preserve">  (1) Development of Maritime NTSP: Pra-FS
(2) Revitalization Infrastructure Marine Survey: (tidak ada data)  </v>
      </c>
      <c r="AI208" s="56" t="str">
        <f>DATA!AK207</f>
        <v xml:space="preserve">  (1) Development of Maritime NTSP: 20%
(2) Revitalization Infrastructure Marine Survey: tidak memerlukan lahan  </v>
      </c>
      <c r="AJ208" s="230" t="str">
        <f>DATA!AL207</f>
        <v xml:space="preserve">  (1) Development of Maritime NTSP: belum ada tender
(2) Revitalization Infrastructure Marine Survey:belum ada tender  </v>
      </c>
      <c r="AK208" s="231">
        <f>DATA!AM207</f>
        <v>0</v>
      </c>
      <c r="AL208" s="20" t="str">
        <f>DATA!AN207</f>
        <v>dalam proses
(penyusunan FS)</v>
      </c>
      <c r="AM208" s="20" t="str">
        <f>DATA!AO207</f>
        <v>dalam proses
(pelaksanaan)</v>
      </c>
      <c r="AN208" s="20" t="str">
        <f>DATA!AP207</f>
        <v>belum ada proses tender/lelang</v>
      </c>
      <c r="AO208" s="20" t="str">
        <f>DATA!AY207</f>
        <v>- Selain Perancis , pihak BPPT mengkonfirmasikan bahwa Korea berminat untuk menjadi lender pada proyek NSTP Maritim Kab. PPU
- Pelaksanaannya direncanakan tahun 2016 dan tahun 2017
-  Konfirmasi melalui e-mail tanggal 10 Sept 2015</v>
      </c>
      <c r="AP208" s="20" t="e">
        <f>DATA!#REF!</f>
        <v>#REF!</v>
      </c>
      <c r="AQ208" s="20">
        <f>DATA!AZ207</f>
        <v>0</v>
      </c>
      <c r="AR208" s="152" t="e">
        <f>DATA!#REF!</f>
        <v>#REF!</v>
      </c>
      <c r="AS208" s="199" t="str">
        <f>DATA!BA207</f>
        <v>Pembangunan dermaga kapal riset, laboratorium kemaritiman, workshop, dan sarana prasarana penunjang darat lainnya serta Revitalisasi 4 buah kapal riset Baruna Jaya I, II, III, dan IV dan peralatan survei kelautan lainnya</v>
      </c>
      <c r="AT208" s="245">
        <f>DATA!AT207</f>
        <v>114400000</v>
      </c>
      <c r="AU208" s="109" t="str">
        <f>DATA!AU207</f>
        <v xml:space="preserve">Perancis (AFD)  </v>
      </c>
      <c r="AV208" s="248" t="str">
        <f>DATA!AW207</f>
        <v>-</v>
      </c>
    </row>
    <row r="209" spans="1:51" s="3" customFormat="1" ht="30" customHeight="1">
      <c r="J209" s="3450" t="s">
        <v>477</v>
      </c>
      <c r="K209" s="3451"/>
      <c r="L209" s="3451"/>
      <c r="M209" s="3451"/>
      <c r="N209" s="3452"/>
      <c r="O209" s="276"/>
      <c r="P209" s="276"/>
      <c r="Q209" s="277"/>
      <c r="R209" s="278">
        <f>+R9+R151</f>
        <v>39176907800</v>
      </c>
      <c r="S209" s="279" t="e">
        <f>+S9+S151</f>
        <v>#REF!</v>
      </c>
      <c r="T209" s="280" t="e">
        <f>+T9+T151</f>
        <v>#REF!</v>
      </c>
      <c r="U209" s="280" t="e">
        <f>+U9+U151</f>
        <v>#REF!</v>
      </c>
      <c r="V209" s="280" t="e">
        <f>+V9+V151</f>
        <v>#REF!</v>
      </c>
      <c r="W209" s="280"/>
      <c r="X209" s="280" t="e">
        <f t="shared" ref="X209:AV209" si="48">+X9+X151</f>
        <v>#VALUE!</v>
      </c>
      <c r="Y209" s="280">
        <f t="shared" si="48"/>
        <v>36797977096</v>
      </c>
      <c r="Z209" s="280">
        <f t="shared" si="48"/>
        <v>2532170704</v>
      </c>
      <c r="AA209" s="282">
        <f t="shared" si="48"/>
        <v>0</v>
      </c>
      <c r="AB209" s="279">
        <f t="shared" si="48"/>
        <v>-2039834003</v>
      </c>
      <c r="AC209" s="280" t="e">
        <f t="shared" si="48"/>
        <v>#VALUE!</v>
      </c>
      <c r="AD209" s="280" t="e">
        <f t="shared" si="48"/>
        <v>#VALUE!</v>
      </c>
      <c r="AE209" s="280" t="e">
        <f t="shared" si="48"/>
        <v>#VALUE!</v>
      </c>
      <c r="AF209" s="280" t="e">
        <f t="shared" si="48"/>
        <v>#VALUE!</v>
      </c>
      <c r="AG209" s="280" t="e">
        <f t="shared" si="48"/>
        <v>#VALUE!</v>
      </c>
      <c r="AH209" s="280">
        <f t="shared" si="48"/>
        <v>0</v>
      </c>
      <c r="AI209" s="284">
        <f t="shared" si="48"/>
        <v>0</v>
      </c>
      <c r="AJ209" s="285" t="e">
        <f t="shared" si="48"/>
        <v>#VALUE!</v>
      </c>
      <c r="AK209" s="279" t="e">
        <f t="shared" si="48"/>
        <v>#VALUE!</v>
      </c>
      <c r="AL209" s="280" t="e">
        <f t="shared" si="48"/>
        <v>#VALUE!</v>
      </c>
      <c r="AM209" s="280" t="e">
        <f t="shared" si="48"/>
        <v>#VALUE!</v>
      </c>
      <c r="AN209" s="280" t="e">
        <f t="shared" si="48"/>
        <v>#VALUE!</v>
      </c>
      <c r="AO209" s="280" t="e">
        <f t="shared" si="48"/>
        <v>#VALUE!</v>
      </c>
      <c r="AP209" s="280" t="e">
        <f t="shared" si="48"/>
        <v>#REF!</v>
      </c>
      <c r="AQ209" s="280" t="e">
        <f t="shared" si="48"/>
        <v>#VALUE!</v>
      </c>
      <c r="AR209" s="280" t="e">
        <f t="shared" si="48"/>
        <v>#REF!</v>
      </c>
      <c r="AS209" s="287" t="e">
        <f t="shared" si="48"/>
        <v>#VALUE!</v>
      </c>
      <c r="AT209" s="288">
        <f t="shared" si="48"/>
        <v>39320027800</v>
      </c>
      <c r="AU209" s="280" t="s">
        <v>21</v>
      </c>
      <c r="AV209" s="285">
        <f t="shared" si="48"/>
        <v>0</v>
      </c>
    </row>
    <row r="210" spans="1:51" s="12" customFormat="1">
      <c r="A210" s="10"/>
      <c r="B210" s="10"/>
      <c r="C210" s="10"/>
      <c r="D210" s="10"/>
      <c r="E210" s="10"/>
      <c r="F210" s="10"/>
      <c r="G210" s="10"/>
      <c r="H210" s="10"/>
      <c r="I210" s="10"/>
      <c r="J210" s="11"/>
      <c r="K210" s="10"/>
      <c r="L210" s="10"/>
      <c r="M210" s="10"/>
      <c r="O210" s="10"/>
      <c r="P210" s="10"/>
      <c r="Q210" s="10"/>
      <c r="R210" s="13"/>
      <c r="S210" s="13"/>
      <c r="T210" s="13"/>
      <c r="U210" s="13"/>
      <c r="V210" s="13"/>
      <c r="W210" s="14"/>
      <c r="X210" s="10"/>
      <c r="Y210" s="13"/>
      <c r="Z210" s="13"/>
      <c r="AA210" s="13"/>
      <c r="AB210" s="13"/>
      <c r="AC210" s="10"/>
      <c r="AI210" s="175"/>
      <c r="AK210" s="10"/>
      <c r="AL210" s="10"/>
      <c r="AM210" s="10"/>
      <c r="AN210" s="10"/>
      <c r="AO210" s="10"/>
      <c r="AP210" s="10"/>
      <c r="AQ210" s="10"/>
      <c r="AW210" s="10"/>
      <c r="AX210" s="10"/>
      <c r="AY210" s="10"/>
    </row>
    <row r="211" spans="1:51" s="12" customFormat="1">
      <c r="A211" s="10"/>
      <c r="B211" s="10"/>
      <c r="C211" s="10"/>
      <c r="D211" s="10"/>
      <c r="E211" s="10"/>
      <c r="F211" s="10"/>
      <c r="G211" s="10"/>
      <c r="H211" s="10"/>
      <c r="I211" s="10"/>
      <c r="J211" s="11"/>
      <c r="K211" s="10" t="s">
        <v>1132</v>
      </c>
      <c r="L211" s="10"/>
      <c r="M211" s="10"/>
      <c r="O211" s="10"/>
      <c r="P211" s="10"/>
      <c r="Q211" s="10"/>
      <c r="R211" s="13"/>
      <c r="S211" s="13"/>
      <c r="T211" s="13"/>
      <c r="U211" s="13"/>
      <c r="V211" s="13"/>
      <c r="W211" s="14"/>
      <c r="X211" s="10"/>
      <c r="Y211" s="13"/>
      <c r="Z211" s="13"/>
      <c r="AA211" s="13"/>
      <c r="AB211" s="13"/>
      <c r="AC211" s="10"/>
      <c r="AI211" s="175"/>
      <c r="AK211" s="10"/>
      <c r="AL211" s="10"/>
      <c r="AM211" s="10"/>
      <c r="AN211" s="10"/>
      <c r="AO211" s="10"/>
      <c r="AP211" s="10"/>
      <c r="AQ211" s="10"/>
      <c r="AW211" s="10"/>
      <c r="AX211" s="10"/>
      <c r="AY211" s="10"/>
    </row>
    <row r="212" spans="1:51" s="12" customFormat="1">
      <c r="A212" s="10"/>
      <c r="B212" s="10"/>
      <c r="C212" s="10"/>
      <c r="D212" s="10"/>
      <c r="E212" s="10"/>
      <c r="F212" s="10"/>
      <c r="G212" s="10"/>
      <c r="H212" s="10"/>
      <c r="I212" s="10"/>
      <c r="J212" s="11"/>
      <c r="K212" s="10" t="s">
        <v>1133</v>
      </c>
      <c r="L212" s="10"/>
      <c r="M212" s="10"/>
      <c r="O212" s="10"/>
      <c r="P212" s="10"/>
      <c r="Q212" s="10"/>
      <c r="R212" s="13"/>
      <c r="S212" s="13"/>
      <c r="T212" s="13"/>
      <c r="U212" s="13"/>
      <c r="V212" s="13"/>
      <c r="W212" s="14"/>
      <c r="X212" s="10"/>
      <c r="Y212" s="13"/>
      <c r="Z212" s="13"/>
      <c r="AA212" s="13"/>
      <c r="AB212" s="13"/>
      <c r="AC212" s="10"/>
      <c r="AI212" s="175"/>
      <c r="AK212" s="10"/>
      <c r="AL212" s="10"/>
      <c r="AM212" s="10"/>
      <c r="AN212" s="10"/>
      <c r="AO212" s="10"/>
      <c r="AP212" s="10"/>
      <c r="AQ212" s="10"/>
      <c r="AW212" s="10"/>
      <c r="AX212" s="10"/>
      <c r="AY212" s="10"/>
    </row>
    <row r="213" spans="1:51" s="12" customFormat="1">
      <c r="A213" s="10"/>
      <c r="B213" s="10"/>
      <c r="C213" s="10"/>
      <c r="D213" s="10"/>
      <c r="E213" s="10"/>
      <c r="F213" s="10"/>
      <c r="G213" s="10"/>
      <c r="H213" s="10"/>
      <c r="I213" s="10"/>
      <c r="J213" s="11"/>
      <c r="K213" s="10" t="s">
        <v>1134</v>
      </c>
      <c r="L213" s="10"/>
      <c r="M213" s="10"/>
      <c r="O213" s="10"/>
      <c r="P213" s="10"/>
      <c r="Q213" s="10"/>
      <c r="R213" s="13"/>
      <c r="S213" s="13"/>
      <c r="T213" s="13"/>
      <c r="U213" s="13"/>
      <c r="V213" s="13"/>
      <c r="W213" s="14"/>
      <c r="X213" s="10"/>
      <c r="Y213" s="13"/>
      <c r="Z213" s="13"/>
      <c r="AA213" s="13"/>
      <c r="AB213" s="13"/>
      <c r="AC213" s="10"/>
      <c r="AI213" s="175"/>
      <c r="AK213" s="10"/>
      <c r="AL213" s="10"/>
      <c r="AM213" s="10"/>
      <c r="AN213" s="10"/>
      <c r="AO213" s="10"/>
      <c r="AP213" s="10"/>
      <c r="AQ213" s="10"/>
      <c r="AW213" s="10"/>
      <c r="AX213" s="10"/>
      <c r="AY213" s="10"/>
    </row>
    <row r="218" spans="1:51" s="12" customFormat="1">
      <c r="A218" s="10"/>
      <c r="B218" s="10"/>
      <c r="C218" s="10"/>
      <c r="D218" s="10"/>
      <c r="E218" s="10"/>
      <c r="F218" s="10"/>
      <c r="G218" s="10"/>
      <c r="H218" s="10"/>
      <c r="I218" s="10"/>
      <c r="J218" s="11"/>
      <c r="K218" s="10"/>
      <c r="L218" s="10"/>
      <c r="M218" s="10"/>
      <c r="O218" s="10"/>
      <c r="P218" s="10"/>
      <c r="Q218" s="10"/>
      <c r="R218" s="13"/>
      <c r="S218" s="13"/>
      <c r="T218" s="13"/>
      <c r="U218" s="13"/>
      <c r="V218" s="13"/>
      <c r="W218" s="14"/>
      <c r="X218" s="10"/>
      <c r="Y218" s="13"/>
      <c r="Z218" s="13"/>
      <c r="AA218" s="13"/>
      <c r="AB218" s="13"/>
      <c r="AC218" s="10"/>
      <c r="AI218" s="175"/>
      <c r="AK218" s="10"/>
      <c r="AL218" s="10"/>
      <c r="AM218" s="10"/>
      <c r="AN218" s="10"/>
      <c r="AO218" s="10"/>
      <c r="AP218" s="10"/>
      <c r="AQ218" s="10"/>
      <c r="AU218" s="289">
        <f>R209-AT209</f>
        <v>-143120000</v>
      </c>
      <c r="AW218" s="10"/>
      <c r="AX218" s="10"/>
      <c r="AY218" s="10"/>
    </row>
    <row r="219" spans="1:51" s="12" customFormat="1">
      <c r="A219" s="10"/>
      <c r="B219" s="10"/>
      <c r="C219" s="10"/>
      <c r="D219" s="10"/>
      <c r="E219" s="10"/>
      <c r="F219" s="10"/>
      <c r="G219" s="10"/>
      <c r="H219" s="10"/>
      <c r="I219" s="10"/>
      <c r="J219" s="11"/>
      <c r="K219" s="10"/>
      <c r="L219" s="10"/>
      <c r="M219" s="10"/>
      <c r="O219" s="10"/>
      <c r="P219" s="10"/>
      <c r="Q219" s="10"/>
      <c r="R219" s="13"/>
      <c r="S219" s="13"/>
      <c r="T219" s="13"/>
      <c r="U219" s="13"/>
      <c r="V219" s="13"/>
      <c r="W219" s="14"/>
      <c r="X219" s="10"/>
      <c r="Y219" s="13">
        <f>Y209+Z209</f>
        <v>39330147800</v>
      </c>
      <c r="Z219" s="13"/>
      <c r="AA219" s="13"/>
      <c r="AB219" s="13"/>
      <c r="AC219" s="10"/>
      <c r="AI219" s="175"/>
      <c r="AK219" s="10"/>
      <c r="AL219" s="10"/>
      <c r="AM219" s="10"/>
      <c r="AN219" s="10"/>
      <c r="AO219" s="10"/>
      <c r="AP219" s="10"/>
      <c r="AQ219" s="10"/>
      <c r="AW219" s="10"/>
      <c r="AX219" s="10"/>
      <c r="AY219" s="10"/>
    </row>
    <row r="220" spans="1:51" s="12" customFormat="1">
      <c r="A220" s="10"/>
      <c r="B220" s="10"/>
      <c r="C220" s="10"/>
      <c r="D220" s="10"/>
      <c r="E220" s="10"/>
      <c r="F220" s="10"/>
      <c r="G220" s="10"/>
      <c r="H220" s="10"/>
      <c r="I220" s="10"/>
      <c r="J220" s="11"/>
      <c r="K220" s="10"/>
      <c r="L220" s="10"/>
      <c r="M220" s="10"/>
      <c r="O220" s="10"/>
      <c r="P220" s="10"/>
      <c r="Q220" s="10"/>
      <c r="R220" s="13"/>
      <c r="S220" s="13"/>
      <c r="T220" s="13"/>
      <c r="U220" s="13"/>
      <c r="V220" s="13"/>
      <c r="W220" s="14"/>
      <c r="X220" s="10"/>
      <c r="Y220" s="13">
        <f>Y219+R202</f>
        <v>39437147800</v>
      </c>
      <c r="Z220" s="13"/>
      <c r="AA220" s="13"/>
      <c r="AB220" s="13"/>
      <c r="AC220" s="10"/>
      <c r="AI220" s="175"/>
      <c r="AK220" s="10"/>
      <c r="AL220" s="10"/>
      <c r="AM220" s="10"/>
      <c r="AN220" s="10"/>
      <c r="AO220" s="10"/>
      <c r="AP220" s="10"/>
      <c r="AQ220" s="10"/>
      <c r="AW220" s="10"/>
      <c r="AX220" s="10"/>
      <c r="AY220" s="10"/>
    </row>
  </sheetData>
  <autoFilter ref="A8:AV209"/>
  <mergeCells count="75">
    <mergeCell ref="AA54:AA55"/>
    <mergeCell ref="AA67:AA68"/>
    <mergeCell ref="AA74:AA75"/>
    <mergeCell ref="AB6:AB7"/>
    <mergeCell ref="AC6:AC7"/>
    <mergeCell ref="Y12:Y13"/>
    <mergeCell ref="Y54:Y55"/>
    <mergeCell ref="Y67:Y68"/>
    <mergeCell ref="Y74:Y75"/>
    <mergeCell ref="Z54:Z55"/>
    <mergeCell ref="Z67:Z68"/>
    <mergeCell ref="Z74:Z75"/>
    <mergeCell ref="N180:N182"/>
    <mergeCell ref="N188:N190"/>
    <mergeCell ref="N191:N193"/>
    <mergeCell ref="R6:R7"/>
    <mergeCell ref="R12:R13"/>
    <mergeCell ref="R46:R47"/>
    <mergeCell ref="R50:R51"/>
    <mergeCell ref="R54:R57"/>
    <mergeCell ref="R66:R68"/>
    <mergeCell ref="R72:R73"/>
    <mergeCell ref="R74:R75"/>
    <mergeCell ref="R99:R101"/>
    <mergeCell ref="R180:R182"/>
    <mergeCell ref="R188:R190"/>
    <mergeCell ref="R191:R193"/>
    <mergeCell ref="J6:N7"/>
    <mergeCell ref="J209:N209"/>
    <mergeCell ref="M12:M13"/>
    <mergeCell ref="M46:M47"/>
    <mergeCell ref="M50:M51"/>
    <mergeCell ref="M54:M57"/>
    <mergeCell ref="M66:M68"/>
    <mergeCell ref="M72:M73"/>
    <mergeCell ref="M74:M75"/>
    <mergeCell ref="M99:M101"/>
    <mergeCell ref="M180:M182"/>
    <mergeCell ref="M188:M190"/>
    <mergeCell ref="M191:M193"/>
    <mergeCell ref="N12:N13"/>
    <mergeCell ref="N46:N47"/>
    <mergeCell ref="N50:N51"/>
    <mergeCell ref="N54:N57"/>
    <mergeCell ref="M187:N187"/>
    <mergeCell ref="M194:N194"/>
    <mergeCell ref="M198:N198"/>
    <mergeCell ref="M204:N204"/>
    <mergeCell ref="M207:N207"/>
    <mergeCell ref="M153:N153"/>
    <mergeCell ref="M162:N162"/>
    <mergeCell ref="M170:N170"/>
    <mergeCell ref="M175:N175"/>
    <mergeCell ref="M177:N177"/>
    <mergeCell ref="M49:N49"/>
    <mergeCell ref="M61:N61"/>
    <mergeCell ref="M112:N112"/>
    <mergeCell ref="M137:N137"/>
    <mergeCell ref="M140:N140"/>
    <mergeCell ref="N66:N68"/>
    <mergeCell ref="N72:N73"/>
    <mergeCell ref="N74:N75"/>
    <mergeCell ref="N99:N101"/>
    <mergeCell ref="J1:AV1"/>
    <mergeCell ref="J2:AV2"/>
    <mergeCell ref="J3:AV3"/>
    <mergeCell ref="W6:AA6"/>
    <mergeCell ref="AD6:AJ6"/>
    <mergeCell ref="AT6:AV6"/>
    <mergeCell ref="S6:S7"/>
    <mergeCell ref="T6:T7"/>
    <mergeCell ref="U6:U7"/>
    <mergeCell ref="V6:V7"/>
    <mergeCell ref="AR6:AR7"/>
    <mergeCell ref="AS6:AS7"/>
  </mergeCells>
  <printOptions horizontalCentered="1"/>
  <pageMargins left="0.39305555555555599" right="0.39305555555555599" top="0.39305555555555599" bottom="0.39305555555555599" header="0.31458333333333299" footer="0.196527777777778"/>
  <pageSetup paperSize="9" scale="55" fitToHeight="0" orientation="landscape"/>
  <headerFooter>
    <oddFooter>&amp;R&amp;"Cambria,Italic"&amp;9&amp;P/&amp;N</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C193"/>
  <sheetViews>
    <sheetView topLeftCell="J1" zoomScale="64" zoomScaleNormal="64" workbookViewId="0">
      <pane ySplit="7" topLeftCell="A39" activePane="bottomLeft" state="frozen"/>
      <selection pane="bottomLeft" activeCell="N52" sqref="N52"/>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7109375" style="10" customWidth="1"/>
    <col min="14" max="14" width="43.7109375" style="12" customWidth="1"/>
    <col min="15" max="17" width="9.140625" style="10" hidden="1" customWidth="1"/>
    <col min="18" max="19" width="21" style="13" customWidth="1"/>
    <col min="20" max="20" width="20.140625" style="13" customWidth="1"/>
    <col min="21" max="21" width="15.85546875" style="13" customWidth="1"/>
    <col min="22" max="22" width="21" style="13" customWidth="1"/>
    <col min="23" max="23" width="9.140625" style="10"/>
    <col min="24" max="24" width="13.7109375" style="10" customWidth="1"/>
    <col min="25" max="16384" width="9.140625" style="10"/>
  </cols>
  <sheetData>
    <row r="1" spans="1:22" s="1" customFormat="1" ht="18">
      <c r="J1" s="3356" t="s">
        <v>481</v>
      </c>
      <c r="K1" s="3356"/>
      <c r="L1" s="3356"/>
      <c r="M1" s="3356"/>
      <c r="N1" s="3356"/>
      <c r="O1" s="3356"/>
      <c r="P1" s="3356"/>
      <c r="Q1" s="3356"/>
      <c r="R1" s="3356"/>
      <c r="S1" s="3356"/>
      <c r="T1" s="3356"/>
    </row>
    <row r="2" spans="1:22" s="1" customFormat="1" ht="18">
      <c r="J2" s="3357" t="s">
        <v>482</v>
      </c>
      <c r="K2" s="3358"/>
      <c r="L2" s="3358"/>
      <c r="M2" s="3358"/>
      <c r="N2" s="3358"/>
      <c r="O2" s="3358"/>
      <c r="P2" s="3358"/>
      <c r="Q2" s="3358"/>
      <c r="R2" s="3358"/>
      <c r="S2" s="3358"/>
      <c r="T2" s="3358"/>
      <c r="U2" s="3358"/>
      <c r="V2" s="3358"/>
    </row>
    <row r="3" spans="1:22" s="1" customFormat="1" ht="15.75" customHeight="1">
      <c r="J3" s="15"/>
      <c r="K3" s="15"/>
      <c r="L3" s="15"/>
      <c r="M3" s="15"/>
      <c r="N3" s="15"/>
      <c r="O3" s="15"/>
      <c r="P3" s="15"/>
      <c r="Q3" s="15"/>
      <c r="R3" s="73"/>
      <c r="S3" s="73"/>
      <c r="T3" s="73"/>
      <c r="U3" s="73"/>
      <c r="V3" s="73"/>
    </row>
    <row r="5" spans="1:22" s="2" customFormat="1" ht="24.95" customHeight="1">
      <c r="J5" s="3359" t="s">
        <v>484</v>
      </c>
      <c r="K5" s="3359"/>
      <c r="L5" s="3359"/>
      <c r="M5" s="3359"/>
      <c r="N5" s="3359"/>
      <c r="O5" s="16"/>
      <c r="P5" s="16"/>
      <c r="Q5" s="16"/>
      <c r="R5" s="3366" t="s">
        <v>485</v>
      </c>
      <c r="S5" s="3368" t="s">
        <v>486</v>
      </c>
      <c r="T5" s="3366" t="s">
        <v>487</v>
      </c>
      <c r="U5" s="3366" t="s">
        <v>488</v>
      </c>
      <c r="V5" s="3366" t="s">
        <v>477</v>
      </c>
    </row>
    <row r="6" spans="1:22" s="2" customFormat="1" ht="24.95" customHeight="1">
      <c r="J6" s="3359"/>
      <c r="K6" s="3359"/>
      <c r="L6" s="3359"/>
      <c r="M6" s="3359"/>
      <c r="N6" s="3359"/>
      <c r="O6" s="16"/>
      <c r="P6" s="16"/>
      <c r="Q6" s="16"/>
      <c r="R6" s="3367"/>
      <c r="S6" s="3369"/>
      <c r="T6" s="3367"/>
      <c r="U6" s="3367"/>
      <c r="V6" s="3367"/>
    </row>
    <row r="7" spans="1:22">
      <c r="J7" s="17"/>
      <c r="K7" s="18"/>
      <c r="L7" s="18"/>
      <c r="M7" s="18"/>
      <c r="N7" s="19"/>
      <c r="O7" s="20"/>
      <c r="P7" s="20"/>
      <c r="Q7" s="20"/>
      <c r="R7" s="77"/>
      <c r="S7" s="77"/>
      <c r="T7" s="77"/>
      <c r="U7" s="77"/>
      <c r="V7" s="77"/>
    </row>
    <row r="8" spans="1:22" s="3" customFormat="1" ht="30" customHeight="1">
      <c r="A8" s="3" t="s">
        <v>21</v>
      </c>
      <c r="B8" s="3" t="s">
        <v>21</v>
      </c>
      <c r="C8" s="3" t="s">
        <v>21</v>
      </c>
      <c r="D8" s="3" t="s">
        <v>21</v>
      </c>
      <c r="E8" s="3" t="s">
        <v>21</v>
      </c>
      <c r="F8" s="3" t="s">
        <v>21</v>
      </c>
      <c r="G8" s="3" t="s">
        <v>21</v>
      </c>
      <c r="H8" s="3" t="s">
        <v>21</v>
      </c>
      <c r="I8" s="3" t="s">
        <v>21</v>
      </c>
      <c r="J8" s="21" t="str">
        <f>DATA!B2</f>
        <v>I</v>
      </c>
      <c r="K8" s="22" t="str">
        <f>DATA!D2</f>
        <v>INFRASTRUKTUR</v>
      </c>
      <c r="L8" s="22"/>
      <c r="M8" s="22"/>
      <c r="N8" s="23"/>
      <c r="O8" s="22"/>
      <c r="P8" s="22"/>
      <c r="Q8" s="22"/>
      <c r="R8" s="79">
        <f>+R9+R108+R111+R118+R121+R126+R129</f>
        <v>34586135700</v>
      </c>
      <c r="S8" s="79">
        <f>+S9+S108+S111+S118+S121+S126+S129</f>
        <v>34586135700</v>
      </c>
      <c r="T8" s="79">
        <f>+T9+T108+T111+T118+T121+T126+T129</f>
        <v>4654797700</v>
      </c>
      <c r="U8" s="79">
        <f>+U9+U108+U111+U118+U121+U126+U129</f>
        <v>17000000</v>
      </c>
      <c r="V8" s="79">
        <f>+V9+V108+V111+V118+V121+V126+V129</f>
        <v>39007933400</v>
      </c>
    </row>
    <row r="9" spans="1:22" s="4" customFormat="1" ht="24.95" customHeight="1">
      <c r="J9" s="24"/>
      <c r="K9" s="25">
        <f>DATA!E2</f>
        <v>1</v>
      </c>
      <c r="L9" s="26" t="str">
        <f>DATA!F2</f>
        <v>Kementerian Pekerjaan Umum dan Perumahan Rakyat</v>
      </c>
      <c r="M9" s="26"/>
      <c r="N9" s="27"/>
      <c r="O9" s="26"/>
      <c r="P9" s="26"/>
      <c r="Q9" s="26"/>
      <c r="R9" s="80">
        <f>+R10+R19+R25+R35+R49+R57+R60+R65+R77+R81+R93+R102+R106</f>
        <v>21588199000</v>
      </c>
      <c r="S9" s="80">
        <f>+S10+S19+S25+S35+S49+S57+S60+S65+S77+S81+S93+S102+S106</f>
        <v>21588199000</v>
      </c>
      <c r="T9" s="80">
        <f>+T10+T19+T25+T35+T49+T57+T60+T65+T77+T81+T93+T102+T106</f>
        <v>2816244500</v>
      </c>
      <c r="U9" s="80">
        <f>+U10+U19+U25+U35+U49+U57+U60+U65+U77+U81+U93+U102+U106</f>
        <v>7000000</v>
      </c>
      <c r="V9" s="80">
        <f>+V10+V19+V25+V35+V49+V57+V60+V65+V77+V81+V93+V102+V106</f>
        <v>24161443500</v>
      </c>
    </row>
    <row r="10" spans="1:22" s="5" customFormat="1" ht="24.95" customHeight="1">
      <c r="J10" s="28"/>
      <c r="K10" s="29"/>
      <c r="L10" s="30" t="str">
        <f>DATA!I2</f>
        <v>A</v>
      </c>
      <c r="M10" s="31" t="str">
        <f>DATA!J2</f>
        <v xml:space="preserve">Program Pembangunan Jalan Tol </v>
      </c>
      <c r="N10" s="32"/>
      <c r="O10" s="31"/>
      <c r="P10" s="31"/>
      <c r="Q10" s="31"/>
      <c r="R10" s="81">
        <f>R11+R15+R16+R17+R18</f>
        <v>2025000000</v>
      </c>
      <c r="S10" s="81">
        <f>S11+S15+S16+S17+S18</f>
        <v>2025000000</v>
      </c>
      <c r="T10" s="81">
        <f>T11+T15+T16+T17+T18</f>
        <v>173650000</v>
      </c>
      <c r="U10" s="81">
        <f>U11+U15+U16+U17+U18</f>
        <v>0</v>
      </c>
      <c r="V10" s="81">
        <f>V11+V15+V16+V17+V18</f>
        <v>2198650000</v>
      </c>
    </row>
    <row r="11" spans="1:22" ht="30" customHeight="1">
      <c r="A11" s="10">
        <f>DATA!A2</f>
        <v>1</v>
      </c>
      <c r="B11" s="10" t="str">
        <f>DATA!B2</f>
        <v>I</v>
      </c>
      <c r="C11" s="10" t="str">
        <f>DATA!D2</f>
        <v>INFRASTRUKTUR</v>
      </c>
      <c r="D11" s="10">
        <f>DATA!E2</f>
        <v>1</v>
      </c>
      <c r="E11" s="10" t="str">
        <f>DATA!F2</f>
        <v>Kementerian Pekerjaan Umum dan Perumahan Rakyat</v>
      </c>
      <c r="F11" s="10" t="str">
        <f>DATA!H2</f>
        <v>Toll Road Development Program</v>
      </c>
      <c r="G11" s="10" t="str">
        <f>DATA!I2</f>
        <v>A</v>
      </c>
      <c r="H11" s="10" t="str">
        <f>DATA!J2</f>
        <v xml:space="preserve">Program Pembangunan Jalan Tol </v>
      </c>
      <c r="I11" s="10">
        <f>DATA!K2</f>
        <v>1</v>
      </c>
      <c r="J11" s="33"/>
      <c r="K11" s="34"/>
      <c r="L11" s="35"/>
      <c r="M11" s="36">
        <f>DATA!K2</f>
        <v>1</v>
      </c>
      <c r="N11" s="37" t="str">
        <f>DATA!L2</f>
        <v>Toll Road Development in Kalimantan, Sumatera, and Java Islands</v>
      </c>
      <c r="O11" s="20">
        <f>DATA!Q2</f>
        <v>0</v>
      </c>
      <c r="P11" s="20">
        <f>DATA!R2</f>
        <v>1</v>
      </c>
      <c r="Q11" s="20">
        <f>DATA!S2</f>
        <v>1</v>
      </c>
      <c r="R11" s="77">
        <f>DATA!T2</f>
        <v>1250000000</v>
      </c>
      <c r="S11" s="77">
        <f>DATA!U2</f>
        <v>1250000000</v>
      </c>
      <c r="T11" s="77">
        <f>DATA!V2</f>
        <v>101250000</v>
      </c>
      <c r="U11" s="77">
        <f>DATA!W2</f>
        <v>0</v>
      </c>
      <c r="V11" s="77">
        <f>DATA!X2</f>
        <v>1351250000</v>
      </c>
    </row>
    <row r="12" spans="1:22" ht="43.5" hidden="1" customHeight="1">
      <c r="A12" s="10">
        <f>DATA!A3</f>
        <v>1</v>
      </c>
      <c r="B12" s="10">
        <f>DATA!B3</f>
        <v>0</v>
      </c>
      <c r="C12" s="10" t="str">
        <f>DATA!D3</f>
        <v>INFRASTRUKTUR</v>
      </c>
      <c r="D12" s="10">
        <f>DATA!E3</f>
        <v>1</v>
      </c>
      <c r="E12" s="10" t="str">
        <f>DATA!F3</f>
        <v>Kementerian Pekerjaan Umum dan Perumahan Rakyat</v>
      </c>
      <c r="F12" s="10" t="str">
        <f>DATA!H3</f>
        <v>Toll Road Development Program</v>
      </c>
      <c r="G12" s="10" t="str">
        <f>DATA!I3</f>
        <v>A</v>
      </c>
      <c r="H12" s="10" t="str">
        <f>DATA!J3</f>
        <v xml:space="preserve">Program Pembangunan Jalan Tol </v>
      </c>
      <c r="I12" s="10">
        <f>DATA!K3</f>
        <v>1</v>
      </c>
      <c r="J12" s="33"/>
      <c r="K12" s="34"/>
      <c r="L12" s="34"/>
      <c r="M12" s="172"/>
      <c r="N12" s="56" t="str">
        <f>DATA!L3</f>
        <v>Toll Road Development in Kalimantan, Sumatera, and Java Islands</v>
      </c>
      <c r="O12" s="20">
        <f>DATA!Q3</f>
        <v>0.5</v>
      </c>
      <c r="P12" s="20">
        <f>DATA!R3</f>
        <v>0</v>
      </c>
      <c r="Q12" s="20">
        <f>DATA!S3</f>
        <v>0</v>
      </c>
      <c r="R12" s="77">
        <f>DATA!T3</f>
        <v>0</v>
      </c>
      <c r="S12" s="77">
        <f>DATA!U3</f>
        <v>0</v>
      </c>
      <c r="T12" s="77">
        <f>DATA!V3</f>
        <v>0</v>
      </c>
      <c r="U12" s="77">
        <f>DATA!W3</f>
        <v>0</v>
      </c>
      <c r="V12" s="77">
        <f>DATA!X3</f>
        <v>0</v>
      </c>
    </row>
    <row r="13" spans="1:22" ht="45.75" hidden="1" customHeight="1">
      <c r="A13" s="10">
        <f>DATA!A4</f>
        <v>2</v>
      </c>
      <c r="B13" s="10">
        <f>DATA!B4</f>
        <v>0</v>
      </c>
      <c r="C13" s="10" t="str">
        <f>DATA!D4</f>
        <v>INFRASTRUKTUR</v>
      </c>
      <c r="D13" s="10">
        <f>DATA!E4</f>
        <v>1</v>
      </c>
      <c r="E13" s="10" t="str">
        <f>DATA!F4</f>
        <v>Kementerian Pekerjaan Umum dan Perumahan Rakyat</v>
      </c>
      <c r="F13" s="10" t="str">
        <f>DATA!H4</f>
        <v>Toll Road Development Program</v>
      </c>
      <c r="G13" s="10" t="str">
        <f>DATA!I4</f>
        <v>A</v>
      </c>
      <c r="H13" s="10" t="str">
        <f>DATA!J4</f>
        <v xml:space="preserve">Program Pembangunan Jalan Tol </v>
      </c>
      <c r="I13" s="10">
        <f>DATA!K4</f>
        <v>1</v>
      </c>
      <c r="J13" s="33"/>
      <c r="K13" s="34"/>
      <c r="L13" s="34"/>
      <c r="M13" s="52"/>
      <c r="N13" s="56" t="str">
        <f>DATA!L4</f>
        <v>Toll Road Development in Kalimantan, Sumatera, and Java Islands</v>
      </c>
      <c r="O13" s="20">
        <f>DATA!Q4</f>
        <v>0.5</v>
      </c>
      <c r="P13" s="20">
        <f>DATA!R4</f>
        <v>0</v>
      </c>
      <c r="Q13" s="20">
        <f>DATA!S4</f>
        <v>0</v>
      </c>
      <c r="R13" s="77">
        <f>DATA!T4</f>
        <v>0</v>
      </c>
      <c r="S13" s="77">
        <f>DATA!U4</f>
        <v>0</v>
      </c>
      <c r="T13" s="77">
        <f>DATA!V4</f>
        <v>0</v>
      </c>
      <c r="U13" s="77">
        <f>DATA!W4</f>
        <v>0</v>
      </c>
      <c r="V13" s="77">
        <f>DATA!X4</f>
        <v>0</v>
      </c>
    </row>
    <row r="14" spans="1:22" ht="22.5" hidden="1" customHeight="1">
      <c r="A14" s="10">
        <f>DATA!A5</f>
        <v>3</v>
      </c>
      <c r="B14" s="10">
        <f>DATA!B5</f>
        <v>0</v>
      </c>
      <c r="C14" s="10" t="str">
        <f>DATA!D5</f>
        <v>INFRASTRUKTUR</v>
      </c>
      <c r="D14" s="10">
        <f>DATA!E5</f>
        <v>1</v>
      </c>
      <c r="E14" s="10" t="str">
        <f>DATA!F5</f>
        <v>Kementerian Pekerjaan Umum dan Perumahan Rakyat</v>
      </c>
      <c r="F14" s="10" t="str">
        <f>DATA!H5</f>
        <v>Toll Road Development Program</v>
      </c>
      <c r="G14" s="10" t="str">
        <f>DATA!I5</f>
        <v>A</v>
      </c>
      <c r="H14" s="10" t="str">
        <f>DATA!J5</f>
        <v xml:space="preserve">Program Pembangunan Jalan Tol </v>
      </c>
      <c r="I14" s="10">
        <f>DATA!K5</f>
        <v>2</v>
      </c>
      <c r="J14" s="33"/>
      <c r="K14" s="34"/>
      <c r="L14" s="34"/>
      <c r="M14" s="36"/>
      <c r="N14" s="37" t="str">
        <f>DATA!L5</f>
        <v>Toll Road Development in Selected Area:</v>
      </c>
      <c r="O14" s="20">
        <f>DATA!Q5</f>
        <v>0</v>
      </c>
      <c r="P14" s="20">
        <f>DATA!R5</f>
        <v>0</v>
      </c>
      <c r="Q14" s="20">
        <f>DATA!S5</f>
        <v>0</v>
      </c>
      <c r="R14" s="77">
        <f>DATA!T5</f>
        <v>775000000</v>
      </c>
      <c r="S14" s="77">
        <f>DATA!U5</f>
        <v>775000000</v>
      </c>
      <c r="T14" s="77">
        <f>DATA!V5</f>
        <v>72400000</v>
      </c>
      <c r="U14" s="77">
        <f>DATA!W5</f>
        <v>0</v>
      </c>
      <c r="V14" s="77">
        <f>DATA!X5</f>
        <v>847400000</v>
      </c>
    </row>
    <row r="15" spans="1:22" ht="38.25" customHeight="1">
      <c r="A15" s="10">
        <f>DATA!A6</f>
        <v>4</v>
      </c>
      <c r="B15" s="10">
        <f>DATA!B6</f>
        <v>0</v>
      </c>
      <c r="C15" s="10" t="str">
        <f>DATA!D6</f>
        <v>INFRASTRUKTUR</v>
      </c>
      <c r="D15" s="10">
        <f>DATA!E6</f>
        <v>1</v>
      </c>
      <c r="E15" s="10" t="str">
        <f>DATA!F6</f>
        <v>Kementerian Pekerjaan Umum dan Perumahan Rakyat</v>
      </c>
      <c r="F15" s="10" t="str">
        <f>DATA!H6</f>
        <v>Toll Road Development Program</v>
      </c>
      <c r="G15" s="10" t="str">
        <f>DATA!I6</f>
        <v>A</v>
      </c>
      <c r="H15" s="10" t="str">
        <f>DATA!J6</f>
        <v xml:space="preserve">Program Pembangunan Jalan Tol </v>
      </c>
      <c r="I15" s="10">
        <f>DATA!K6</f>
        <v>2</v>
      </c>
      <c r="J15" s="33"/>
      <c r="K15" s="34"/>
      <c r="L15" s="34"/>
      <c r="M15" s="36">
        <v>2</v>
      </c>
      <c r="N15" s="56" t="str">
        <f>DATA!L6</f>
        <v>Development of Cileunyi - Sumedang - Dawuan Toll Road Phase II</v>
      </c>
      <c r="O15" s="20">
        <f>DATA!Q6</f>
        <v>1</v>
      </c>
      <c r="P15" s="20">
        <f>DATA!R6</f>
        <v>1</v>
      </c>
      <c r="Q15" s="20">
        <f>DATA!S6</f>
        <v>2</v>
      </c>
      <c r="R15" s="77">
        <f>DATA!T6</f>
        <v>330000000</v>
      </c>
      <c r="S15" s="77">
        <f>DATA!U6</f>
        <v>330000000</v>
      </c>
      <c r="T15" s="77">
        <f>DATA!V6</f>
        <v>26000000</v>
      </c>
      <c r="U15" s="77">
        <f>DATA!W6</f>
        <v>0</v>
      </c>
      <c r="V15" s="77">
        <f>DATA!X6</f>
        <v>356000000</v>
      </c>
    </row>
    <row r="16" spans="1:22" ht="30.75" customHeight="1">
      <c r="A16" s="10">
        <f>DATA!A7</f>
        <v>5</v>
      </c>
      <c r="B16" s="10">
        <f>DATA!B7</f>
        <v>0</v>
      </c>
      <c r="C16" s="10" t="str">
        <f>DATA!D7</f>
        <v>INFRASTRUKTUR</v>
      </c>
      <c r="D16" s="10">
        <f>DATA!E7</f>
        <v>1</v>
      </c>
      <c r="E16" s="10" t="str">
        <f>DATA!F7</f>
        <v>Kementerian Pekerjaan Umum dan Perumahan Rakyat</v>
      </c>
      <c r="F16" s="10" t="str">
        <f>DATA!H7</f>
        <v>Toll Road Development Program</v>
      </c>
      <c r="G16" s="10" t="str">
        <f>DATA!I7</f>
        <v>A</v>
      </c>
      <c r="H16" s="10" t="str">
        <f>DATA!J7</f>
        <v xml:space="preserve">Program Pembangunan Jalan Tol </v>
      </c>
      <c r="I16" s="10">
        <f>DATA!K7</f>
        <v>2</v>
      </c>
      <c r="J16" s="33"/>
      <c r="K16" s="34"/>
      <c r="L16" s="34"/>
      <c r="M16" s="36">
        <v>3</v>
      </c>
      <c r="N16" s="56" t="str">
        <f>DATA!L7</f>
        <v xml:space="preserve">Toll Road Development of Balikpapan - Samarinda </v>
      </c>
      <c r="O16" s="20">
        <f>DATA!Q7</f>
        <v>1</v>
      </c>
      <c r="P16" s="20">
        <f>DATA!R7</f>
        <v>1</v>
      </c>
      <c r="Q16" s="20">
        <f>DATA!S7</f>
        <v>3</v>
      </c>
      <c r="R16" s="77">
        <f>DATA!T7</f>
        <v>65000000</v>
      </c>
      <c r="S16" s="77">
        <f>DATA!U7</f>
        <v>65000000</v>
      </c>
      <c r="T16" s="77">
        <f>DATA!V7</f>
        <v>6500000</v>
      </c>
      <c r="U16" s="77">
        <f>DATA!W7</f>
        <v>0</v>
      </c>
      <c r="V16" s="77">
        <f>DATA!X7</f>
        <v>71500000</v>
      </c>
    </row>
    <row r="17" spans="1:22" ht="28.5" customHeight="1">
      <c r="A17" s="10">
        <f>DATA!A8</f>
        <v>6</v>
      </c>
      <c r="B17" s="10">
        <f>DATA!B8</f>
        <v>0</v>
      </c>
      <c r="C17" s="10" t="str">
        <f>DATA!D8</f>
        <v>INFRASTRUKTUR</v>
      </c>
      <c r="D17" s="10">
        <f>DATA!E8</f>
        <v>1</v>
      </c>
      <c r="E17" s="10" t="str">
        <f>DATA!F8</f>
        <v>Kementerian Pekerjaan Umum dan Perumahan Rakyat</v>
      </c>
      <c r="F17" s="10" t="str">
        <f>DATA!H8</f>
        <v>Toll Road Development Program</v>
      </c>
      <c r="G17" s="10" t="str">
        <f>DATA!I8</f>
        <v>A</v>
      </c>
      <c r="H17" s="10" t="str">
        <f>DATA!J8</f>
        <v xml:space="preserve">Program Pembangunan Jalan Tol </v>
      </c>
      <c r="I17" s="10">
        <f>DATA!K8</f>
        <v>2</v>
      </c>
      <c r="J17" s="33"/>
      <c r="K17" s="34"/>
      <c r="L17" s="34"/>
      <c r="M17" s="36">
        <v>4</v>
      </c>
      <c r="N17" s="56" t="str">
        <f>DATA!L8</f>
        <v xml:space="preserve">Toll Road Development of Manado - Bitung </v>
      </c>
      <c r="O17" s="20">
        <f>DATA!Q8</f>
        <v>1</v>
      </c>
      <c r="P17" s="20">
        <f>DATA!R8</f>
        <v>1</v>
      </c>
      <c r="Q17" s="20">
        <f>DATA!S8</f>
        <v>4</v>
      </c>
      <c r="R17" s="77">
        <f>DATA!T8</f>
        <v>80000000</v>
      </c>
      <c r="S17" s="77">
        <f>DATA!U8</f>
        <v>80000000</v>
      </c>
      <c r="T17" s="77">
        <f>DATA!V8</f>
        <v>8000000</v>
      </c>
      <c r="U17" s="77">
        <f>DATA!W8</f>
        <v>0</v>
      </c>
      <c r="V17" s="77">
        <f>DATA!X8</f>
        <v>88000000</v>
      </c>
    </row>
    <row r="18" spans="1:22" ht="30" customHeight="1">
      <c r="A18" s="10">
        <f>DATA!A9</f>
        <v>7</v>
      </c>
      <c r="B18" s="10">
        <f>DATA!B9</f>
        <v>0</v>
      </c>
      <c r="C18" s="10" t="str">
        <f>DATA!D9</f>
        <v>INFRASTRUKTUR</v>
      </c>
      <c r="D18" s="10">
        <f>DATA!E9</f>
        <v>1</v>
      </c>
      <c r="E18" s="10" t="str">
        <f>DATA!F9</f>
        <v>Kementerian Pekerjaan Umum dan Perumahan Rakyat</v>
      </c>
      <c r="F18" s="10" t="str">
        <f>DATA!H9</f>
        <v>Toll Road Development Program</v>
      </c>
      <c r="G18" s="10" t="str">
        <f>DATA!I9</f>
        <v>A</v>
      </c>
      <c r="H18" s="10" t="str">
        <f>DATA!J9</f>
        <v xml:space="preserve">Program Pembangunan Jalan Tol </v>
      </c>
      <c r="I18" s="10">
        <f>DATA!K9</f>
        <v>2</v>
      </c>
      <c r="J18" s="33"/>
      <c r="K18" s="34"/>
      <c r="L18" s="34"/>
      <c r="M18" s="172">
        <v>5</v>
      </c>
      <c r="N18" s="173" t="str">
        <f>DATA!L9</f>
        <v xml:space="preserve">Toll Road Development of Solo - Kertosono </v>
      </c>
      <c r="O18" s="20">
        <f>DATA!Q9</f>
        <v>1</v>
      </c>
      <c r="P18" s="20">
        <f>DATA!R9</f>
        <v>1</v>
      </c>
      <c r="Q18" s="20">
        <f>DATA!S9</f>
        <v>5</v>
      </c>
      <c r="R18" s="77">
        <f>DATA!T9</f>
        <v>300000000</v>
      </c>
      <c r="S18" s="77">
        <f>DATA!U9</f>
        <v>300000000</v>
      </c>
      <c r="T18" s="77">
        <f>DATA!V9</f>
        <v>31900000</v>
      </c>
      <c r="U18" s="77">
        <f>DATA!W9</f>
        <v>0</v>
      </c>
      <c r="V18" s="77">
        <f>DATA!X9</f>
        <v>331900000</v>
      </c>
    </row>
    <row r="19" spans="1:22" s="5" customFormat="1" ht="33.75" customHeight="1">
      <c r="J19" s="28"/>
      <c r="K19" s="50"/>
      <c r="L19" s="30" t="str">
        <f>DATA!I10</f>
        <v>B</v>
      </c>
      <c r="M19" s="31" t="str">
        <f>DATA!J10</f>
        <v xml:space="preserve">Program Pembangunan / Peningkatan Jembatan </v>
      </c>
      <c r="N19" s="51"/>
      <c r="O19" s="31"/>
      <c r="P19" s="31"/>
      <c r="Q19" s="31"/>
      <c r="R19" s="81">
        <f>SUM(R20:R24)</f>
        <v>1500000000</v>
      </c>
      <c r="S19" s="81">
        <f>SUM(S20:S24)</f>
        <v>1500000000</v>
      </c>
      <c r="T19" s="81">
        <f>SUM(T20:T24)</f>
        <v>126500000</v>
      </c>
      <c r="U19" s="81">
        <f>SUM(U20:U24)</f>
        <v>0</v>
      </c>
      <c r="V19" s="81">
        <f>SUM(V20:V24)</f>
        <v>1626500000</v>
      </c>
    </row>
    <row r="20" spans="1:22" ht="36.75" customHeight="1">
      <c r="A20" s="10">
        <f>DATA!A10</f>
        <v>8</v>
      </c>
      <c r="B20" s="10">
        <f>DATA!B10</f>
        <v>0</v>
      </c>
      <c r="C20" s="10" t="str">
        <f>DATA!D10</f>
        <v>INFRASTRUKTUR</v>
      </c>
      <c r="D20" s="10">
        <f>DATA!E10</f>
        <v>1</v>
      </c>
      <c r="E20" s="10" t="str">
        <f>DATA!F10</f>
        <v>Kementerian Pekerjaan Umum dan Perumahan Rakyat</v>
      </c>
      <c r="F20" s="10" t="str">
        <f>DATA!H10</f>
        <v>Development and Improvement of National Bridges Program</v>
      </c>
      <c r="G20" s="10" t="str">
        <f>DATA!I10</f>
        <v>B</v>
      </c>
      <c r="H20" s="10" t="str">
        <f>DATA!J10</f>
        <v xml:space="preserve">Program Pembangunan / Peningkatan Jembatan </v>
      </c>
      <c r="I20" s="10">
        <f>DATA!K10</f>
        <v>1</v>
      </c>
      <c r="J20" s="33"/>
      <c r="K20" s="34"/>
      <c r="L20" s="35"/>
      <c r="M20" s="52">
        <v>6</v>
      </c>
      <c r="N20" s="53" t="str">
        <f>DATA!L10</f>
        <v>Material Procurement for Construction and Bridge Rehabilitation</v>
      </c>
      <c r="O20" s="20">
        <f>DATA!Q10</f>
        <v>1</v>
      </c>
      <c r="P20" s="20">
        <f>DATA!R10</f>
        <v>1</v>
      </c>
      <c r="Q20" s="20">
        <f>DATA!S10</f>
        <v>6</v>
      </c>
      <c r="R20" s="77">
        <f>DATA!T10</f>
        <v>450000000</v>
      </c>
      <c r="S20" s="77">
        <f>DATA!U10</f>
        <v>450000000</v>
      </c>
      <c r="T20" s="77">
        <f>DATA!V10</f>
        <v>0</v>
      </c>
      <c r="U20" s="77">
        <f>DATA!W10</f>
        <v>0</v>
      </c>
      <c r="V20" s="77">
        <f>DATA!X10</f>
        <v>450000000</v>
      </c>
    </row>
    <row r="21" spans="1:22" ht="39" customHeight="1">
      <c r="A21" s="10">
        <f>DATA!A11</f>
        <v>9</v>
      </c>
      <c r="B21" s="10">
        <f>DATA!B11</f>
        <v>0</v>
      </c>
      <c r="C21" s="10" t="str">
        <f>DATA!D11</f>
        <v>INFRASTRUKTUR</v>
      </c>
      <c r="D21" s="10">
        <f>DATA!E11</f>
        <v>1</v>
      </c>
      <c r="E21" s="10" t="str">
        <f>DATA!F11</f>
        <v>Kementerian Pekerjaan Umum dan Perumahan Rakyat</v>
      </c>
      <c r="F21" s="10" t="str">
        <f>DATA!H11</f>
        <v>Development and Improvement of National Bridges Program</v>
      </c>
      <c r="G21" s="10" t="str">
        <f>DATA!I11</f>
        <v>B</v>
      </c>
      <c r="H21" s="10" t="str">
        <f>DATA!J11</f>
        <v xml:space="preserve">Program Pembangunan / Peningkatan Jembatan </v>
      </c>
      <c r="I21" s="10">
        <f>DATA!K11</f>
        <v>2</v>
      </c>
      <c r="J21" s="33"/>
      <c r="K21" s="34"/>
      <c r="L21" s="34"/>
      <c r="M21" s="36">
        <v>7</v>
      </c>
      <c r="N21" s="37" t="str">
        <f>DATA!L11</f>
        <v>Development of Fly Over/ Under Pass for Railways Crossing</v>
      </c>
      <c r="O21" s="20">
        <f>DATA!Q11</f>
        <v>1</v>
      </c>
      <c r="P21" s="20">
        <f>DATA!R11</f>
        <v>1</v>
      </c>
      <c r="Q21" s="20">
        <f>DATA!S11</f>
        <v>7</v>
      </c>
      <c r="R21" s="77">
        <f>DATA!T11</f>
        <v>250000000</v>
      </c>
      <c r="S21" s="77">
        <f>DATA!U11</f>
        <v>250000000</v>
      </c>
      <c r="T21" s="77">
        <f>DATA!V11</f>
        <v>50000000</v>
      </c>
      <c r="U21" s="77">
        <f>DATA!W11</f>
        <v>0</v>
      </c>
      <c r="V21" s="77">
        <f>DATA!X11</f>
        <v>300000000</v>
      </c>
    </row>
    <row r="22" spans="1:22" ht="43.5" customHeight="1">
      <c r="A22" s="10">
        <f>DATA!A12</f>
        <v>10</v>
      </c>
      <c r="B22" s="10">
        <f>DATA!B12</f>
        <v>0</v>
      </c>
      <c r="C22" s="10" t="str">
        <f>DATA!D12</f>
        <v>INFRASTRUKTUR</v>
      </c>
      <c r="D22" s="10">
        <f>DATA!E12</f>
        <v>1</v>
      </c>
      <c r="E22" s="10" t="str">
        <f>DATA!F12</f>
        <v>Kementerian Pekerjaan Umum dan Perumahan Rakyat</v>
      </c>
      <c r="F22" s="10" t="str">
        <f>DATA!H12</f>
        <v>Development and Improvement of National Bridges Program</v>
      </c>
      <c r="G22" s="10" t="str">
        <f>DATA!I12</f>
        <v>B</v>
      </c>
      <c r="H22" s="10" t="str">
        <f>DATA!J12</f>
        <v xml:space="preserve">Program Pembangunan / Peningkatan Jembatan </v>
      </c>
      <c r="I22" s="10">
        <f>DATA!K12</f>
        <v>3</v>
      </c>
      <c r="J22" s="33"/>
      <c r="K22" s="34"/>
      <c r="L22" s="34"/>
      <c r="M22" s="36">
        <v>8</v>
      </c>
      <c r="N22" s="37" t="str">
        <f>DATA!L12</f>
        <v>Development of Fly Over/ Under Pass in Major Cities</v>
      </c>
      <c r="O22" s="20">
        <f>DATA!Q12</f>
        <v>1</v>
      </c>
      <c r="P22" s="20">
        <f>DATA!R12</f>
        <v>1</v>
      </c>
      <c r="Q22" s="20">
        <f>DATA!S12</f>
        <v>8</v>
      </c>
      <c r="R22" s="77">
        <f>DATA!T12</f>
        <v>270000000</v>
      </c>
      <c r="S22" s="77">
        <f>DATA!U12</f>
        <v>270000000</v>
      </c>
      <c r="T22" s="77">
        <f>DATA!V12</f>
        <v>50000000</v>
      </c>
      <c r="U22" s="77">
        <f>DATA!W12</f>
        <v>0</v>
      </c>
      <c r="V22" s="77">
        <f>DATA!X12</f>
        <v>320000000</v>
      </c>
    </row>
    <row r="23" spans="1:22" ht="35.25" customHeight="1">
      <c r="A23" s="10">
        <f>DATA!A13</f>
        <v>11</v>
      </c>
      <c r="B23" s="10">
        <f>DATA!B13</f>
        <v>0</v>
      </c>
      <c r="C23" s="10" t="str">
        <f>DATA!D13</f>
        <v>INFRASTRUKTUR</v>
      </c>
      <c r="D23" s="10">
        <f>DATA!E13</f>
        <v>1</v>
      </c>
      <c r="E23" s="10" t="str">
        <f>DATA!F13</f>
        <v>Kementerian Pekerjaan Umum dan Perumahan Rakyat</v>
      </c>
      <c r="F23" s="10" t="str">
        <f>DATA!H13</f>
        <v>Development and Improvement of National Bridges Program</v>
      </c>
      <c r="G23" s="10" t="str">
        <f>DATA!I13</f>
        <v>B</v>
      </c>
      <c r="H23" s="10" t="str">
        <f>DATA!J13</f>
        <v xml:space="preserve">Program Pembangunan / Peningkatan Jembatan </v>
      </c>
      <c r="I23" s="10">
        <f>DATA!K13</f>
        <v>4</v>
      </c>
      <c r="J23" s="33"/>
      <c r="K23" s="34"/>
      <c r="L23" s="34"/>
      <c r="M23" s="36">
        <v>9</v>
      </c>
      <c r="N23" s="37" t="str">
        <f>DATA!L13</f>
        <v>Balinka - Matur - Ngarai Sianok Tunnel Construction</v>
      </c>
      <c r="O23" s="20">
        <f>DATA!Q13</f>
        <v>1</v>
      </c>
      <c r="P23" s="20">
        <f>DATA!R13</f>
        <v>1</v>
      </c>
      <c r="Q23" s="20">
        <f>DATA!S13</f>
        <v>9</v>
      </c>
      <c r="R23" s="77">
        <f>DATA!T13</f>
        <v>175000000</v>
      </c>
      <c r="S23" s="77">
        <f>DATA!U13</f>
        <v>175000000</v>
      </c>
      <c r="T23" s="77">
        <f>DATA!V13</f>
        <v>8750000</v>
      </c>
      <c r="U23" s="77">
        <f>DATA!W13</f>
        <v>0</v>
      </c>
      <c r="V23" s="77">
        <f>DATA!X13</f>
        <v>183750000</v>
      </c>
    </row>
    <row r="24" spans="1:22" ht="37.5" customHeight="1">
      <c r="A24" s="10">
        <f>DATA!A14</f>
        <v>12</v>
      </c>
      <c r="B24" s="10">
        <f>DATA!B14</f>
        <v>0</v>
      </c>
      <c r="C24" s="10" t="str">
        <f>DATA!D14</f>
        <v>INFRASTRUKTUR</v>
      </c>
      <c r="D24" s="10">
        <f>DATA!E14</f>
        <v>1</v>
      </c>
      <c r="E24" s="10" t="str">
        <f>DATA!F14</f>
        <v>Kementerian Pekerjaan Umum dan Perumahan Rakyat</v>
      </c>
      <c r="F24" s="10" t="str">
        <f>DATA!H14</f>
        <v>Development and Improvement of National Bridges Program</v>
      </c>
      <c r="G24" s="10" t="str">
        <f>DATA!I14</f>
        <v>B</v>
      </c>
      <c r="H24" s="10" t="str">
        <f>DATA!J14</f>
        <v xml:space="preserve">Program Pembangunan / Peningkatan Jembatan </v>
      </c>
      <c r="I24" s="10">
        <f>DATA!K14</f>
        <v>5</v>
      </c>
      <c r="J24" s="33"/>
      <c r="K24" s="34"/>
      <c r="L24" s="54"/>
      <c r="M24" s="36">
        <v>10</v>
      </c>
      <c r="N24" s="37" t="str">
        <f>DATA!L14</f>
        <v>Long Span Bridge Development for Selected Area</v>
      </c>
      <c r="O24" s="20">
        <f>DATA!Q14</f>
        <v>1</v>
      </c>
      <c r="P24" s="20">
        <f>DATA!R14</f>
        <v>1</v>
      </c>
      <c r="Q24" s="20">
        <f>DATA!S14</f>
        <v>10</v>
      </c>
      <c r="R24" s="77">
        <f>DATA!T14</f>
        <v>355000000</v>
      </c>
      <c r="S24" s="77">
        <f>DATA!U14</f>
        <v>355000000</v>
      </c>
      <c r="T24" s="77">
        <f>DATA!V14</f>
        <v>17750000</v>
      </c>
      <c r="U24" s="77">
        <f>DATA!W14</f>
        <v>0</v>
      </c>
      <c r="V24" s="77">
        <f>DATA!X14</f>
        <v>372750000</v>
      </c>
    </row>
    <row r="25" spans="1:22" s="5" customFormat="1" ht="33.75" customHeight="1">
      <c r="J25" s="28"/>
      <c r="K25" s="50"/>
      <c r="L25" s="30" t="str">
        <f>DATA!I15</f>
        <v>C</v>
      </c>
      <c r="M25" s="31" t="str">
        <f>DATA!J16</f>
        <v>Program Pembangunan / Peningkatan Jalan</v>
      </c>
      <c r="N25" s="51"/>
      <c r="O25" s="31"/>
      <c r="P25" s="31"/>
      <c r="Q25" s="31"/>
      <c r="R25" s="81">
        <f>SUM(R26:R33)</f>
        <v>2000000000</v>
      </c>
      <c r="S25" s="81">
        <f>SUM(S26:S34)</f>
        <v>2000000000</v>
      </c>
      <c r="T25" s="81">
        <f>SUM(T27:T33)</f>
        <v>350000000</v>
      </c>
      <c r="U25" s="81">
        <f>SUM(U27:U33)</f>
        <v>0</v>
      </c>
      <c r="V25" s="81">
        <f>SUM(V27:V33)</f>
        <v>2100000000</v>
      </c>
    </row>
    <row r="26" spans="1:22" s="5" customFormat="1" ht="33.75" customHeight="1">
      <c r="J26" s="28"/>
      <c r="K26" s="50"/>
      <c r="L26" s="55"/>
      <c r="M26" s="36">
        <v>11</v>
      </c>
      <c r="N26" s="37" t="str">
        <f>DATA!L15</f>
        <v>Urban Arterial Road Improvement Project</v>
      </c>
      <c r="O26" s="37">
        <f>DATA!Q15</f>
        <v>1</v>
      </c>
      <c r="P26" s="37">
        <f>DATA!R15</f>
        <v>1</v>
      </c>
      <c r="Q26" s="37">
        <f>DATA!S15</f>
        <v>0</v>
      </c>
      <c r="R26" s="87">
        <f>DATA!T15</f>
        <v>250000000</v>
      </c>
      <c r="S26" s="87">
        <f>DATA!U15</f>
        <v>205000000</v>
      </c>
      <c r="T26" s="87">
        <f>DATA!V15</f>
        <v>50000000</v>
      </c>
      <c r="U26" s="87">
        <f>DATA!W15</f>
        <v>0</v>
      </c>
      <c r="V26" s="87">
        <f>DATA!X15</f>
        <v>300000000</v>
      </c>
    </row>
    <row r="27" spans="1:22" ht="37.5" customHeight="1">
      <c r="A27" s="10">
        <f>DATA!A16</f>
        <v>14</v>
      </c>
      <c r="B27" s="10">
        <f>DATA!B16</f>
        <v>0</v>
      </c>
      <c r="C27" s="10" t="str">
        <f>DATA!D16</f>
        <v>INFRASTRUKTUR</v>
      </c>
      <c r="D27" s="10">
        <f>DATA!E16</f>
        <v>1</v>
      </c>
      <c r="E27" s="10" t="str">
        <f>DATA!F16</f>
        <v>Kementerian Pekerjaan Umum dan Perumahan Rakyat</v>
      </c>
      <c r="F27" s="10" t="str">
        <f>DATA!H16</f>
        <v>Development and Improvement of National Roads Program</v>
      </c>
      <c r="G27" s="10" t="str">
        <f>DATA!I16</f>
        <v>C</v>
      </c>
      <c r="H27" s="10" t="str">
        <f>DATA!J16</f>
        <v>Program Pembangunan / Peningkatan Jalan</v>
      </c>
      <c r="I27" s="10">
        <f>DATA!K16</f>
        <v>2</v>
      </c>
      <c r="J27" s="33"/>
      <c r="K27" s="34"/>
      <c r="L27" s="34"/>
      <c r="M27" s="36">
        <v>12</v>
      </c>
      <c r="N27" s="37" t="str">
        <f>DATA!L16</f>
        <v>Construction of Development of Trans South-South, Eastern Java</v>
      </c>
      <c r="O27" s="20">
        <f>DATA!Q16</f>
        <v>1</v>
      </c>
      <c r="P27" s="20">
        <f>DATA!R16</f>
        <v>1</v>
      </c>
      <c r="Q27" s="20">
        <f>DATA!S16</f>
        <v>12</v>
      </c>
      <c r="R27" s="77">
        <f>DATA!T16</f>
        <v>250000000</v>
      </c>
      <c r="S27" s="77">
        <f>DATA!U16</f>
        <v>250000000</v>
      </c>
      <c r="T27" s="77">
        <f>DATA!V16</f>
        <v>50000000</v>
      </c>
      <c r="U27" s="77">
        <f>DATA!W16</f>
        <v>0</v>
      </c>
      <c r="V27" s="77">
        <f>DATA!X16</f>
        <v>300000000</v>
      </c>
    </row>
    <row r="28" spans="1:22" ht="35.25" customHeight="1">
      <c r="A28" s="10">
        <f>DATA!A17</f>
        <v>15</v>
      </c>
      <c r="B28" s="10">
        <f>DATA!B17</f>
        <v>0</v>
      </c>
      <c r="C28" s="10" t="str">
        <f>DATA!D17</f>
        <v>INFRASTRUKTUR</v>
      </c>
      <c r="D28" s="10">
        <f>DATA!E17</f>
        <v>1</v>
      </c>
      <c r="E28" s="10" t="str">
        <f>DATA!F17</f>
        <v>Kementerian Pekerjaan Umum dan Perumahan Rakyat</v>
      </c>
      <c r="F28" s="10" t="str">
        <f>DATA!H17</f>
        <v>Development and Improvement of National Roads Program</v>
      </c>
      <c r="G28" s="10" t="str">
        <f>DATA!I17</f>
        <v>C</v>
      </c>
      <c r="H28" s="10" t="str">
        <f>DATA!J17</f>
        <v>Program Pembangunan / Peningkatan Jalan</v>
      </c>
      <c r="I28" s="10">
        <f>DATA!K17</f>
        <v>3</v>
      </c>
      <c r="J28" s="33"/>
      <c r="K28" s="34"/>
      <c r="L28" s="34"/>
      <c r="M28" s="36">
        <v>13</v>
      </c>
      <c r="N28" s="37" t="str">
        <f>DATA!L17</f>
        <v>Road Improvement Project to Support Integrated Land and Sea Toll Way - Northern Area</v>
      </c>
      <c r="O28" s="20">
        <f>DATA!Q17</f>
        <v>1</v>
      </c>
      <c r="P28" s="20">
        <f>DATA!R17</f>
        <v>1</v>
      </c>
      <c r="Q28" s="20">
        <f>DATA!S17</f>
        <v>13</v>
      </c>
      <c r="R28" s="77">
        <f>DATA!T17</f>
        <v>250000000</v>
      </c>
      <c r="S28" s="77">
        <f>DATA!U16</f>
        <v>250000000</v>
      </c>
      <c r="T28" s="77">
        <f>DATA!V17</f>
        <v>50000000</v>
      </c>
      <c r="U28" s="77">
        <f>DATA!W17</f>
        <v>0</v>
      </c>
      <c r="V28" s="77">
        <f>DATA!X17</f>
        <v>300000000</v>
      </c>
    </row>
    <row r="29" spans="1:22" ht="42" customHeight="1">
      <c r="A29" s="10">
        <f>DATA!A18</f>
        <v>16</v>
      </c>
      <c r="B29" s="10">
        <f>DATA!B18</f>
        <v>0</v>
      </c>
      <c r="C29" s="10" t="str">
        <f>DATA!D18</f>
        <v>INFRASTRUKTUR</v>
      </c>
      <c r="D29" s="10">
        <f>DATA!E18</f>
        <v>1</v>
      </c>
      <c r="E29" s="10" t="str">
        <f>DATA!F18</f>
        <v>Kementerian Pekerjaan Umum dan Perumahan Rakyat</v>
      </c>
      <c r="F29" s="10" t="str">
        <f>DATA!H18</f>
        <v>Development and Improvement of National Roads Program</v>
      </c>
      <c r="G29" s="10" t="str">
        <f>DATA!I18</f>
        <v>C</v>
      </c>
      <c r="H29" s="10" t="str">
        <f>DATA!J18</f>
        <v>Program Pembangunan / Peningkatan Jalan</v>
      </c>
      <c r="I29" s="10">
        <f>DATA!K18</f>
        <v>4</v>
      </c>
      <c r="J29" s="33"/>
      <c r="K29" s="34"/>
      <c r="L29" s="34"/>
      <c r="M29" s="36">
        <v>14</v>
      </c>
      <c r="N29" s="37" t="str">
        <f>DATA!L18</f>
        <v>Road Improvement Project to Support Integrated Land and Sea Toll Way - Southern Area</v>
      </c>
      <c r="O29" s="20">
        <f>DATA!Q18</f>
        <v>1</v>
      </c>
      <c r="P29" s="20">
        <f>DATA!R18</f>
        <v>1</v>
      </c>
      <c r="Q29" s="20">
        <f>DATA!S18</f>
        <v>14</v>
      </c>
      <c r="R29" s="77">
        <f>DATA!T18</f>
        <v>250000000</v>
      </c>
      <c r="S29" s="77">
        <f>DATA!U17</f>
        <v>250000000</v>
      </c>
      <c r="T29" s="77">
        <f>DATA!V18</f>
        <v>50000000</v>
      </c>
      <c r="U29" s="77">
        <f>DATA!W18</f>
        <v>0</v>
      </c>
      <c r="V29" s="77">
        <f>DATA!X18</f>
        <v>300000000</v>
      </c>
    </row>
    <row r="30" spans="1:22" ht="36.75" customHeight="1">
      <c r="A30" s="10">
        <f>DATA!A19</f>
        <v>17</v>
      </c>
      <c r="B30" s="10">
        <f>DATA!B19</f>
        <v>0</v>
      </c>
      <c r="C30" s="10" t="str">
        <f>DATA!D19</f>
        <v>INFRASTRUKTUR</v>
      </c>
      <c r="D30" s="10">
        <f>DATA!E19</f>
        <v>1</v>
      </c>
      <c r="E30" s="10" t="str">
        <f>DATA!F19</f>
        <v>Kementerian Pekerjaan Umum dan Perumahan Rakyat</v>
      </c>
      <c r="F30" s="10" t="str">
        <f>DATA!H19</f>
        <v>Development and Improvement of National Roads Program</v>
      </c>
      <c r="G30" s="10" t="str">
        <f>DATA!I19</f>
        <v>C</v>
      </c>
      <c r="H30" s="10" t="str">
        <f>DATA!J19</f>
        <v>Program Pembangunan / Peningkatan Jalan</v>
      </c>
      <c r="I30" s="10">
        <f>DATA!K19</f>
        <v>5</v>
      </c>
      <c r="J30" s="33"/>
      <c r="K30" s="34"/>
      <c r="L30" s="34"/>
      <c r="M30" s="36">
        <v>15</v>
      </c>
      <c r="N30" s="37" t="str">
        <f>DATA!L19</f>
        <v>National Road Improvement in West and South Kalimantan</v>
      </c>
      <c r="O30" s="20">
        <f>DATA!Q19</f>
        <v>1</v>
      </c>
      <c r="P30" s="20">
        <f>DATA!R19</f>
        <v>1</v>
      </c>
      <c r="Q30" s="20">
        <f>DATA!S19</f>
        <v>15</v>
      </c>
      <c r="R30" s="77">
        <f>DATA!T19</f>
        <v>250000000</v>
      </c>
      <c r="S30" s="77">
        <f>DATA!U18</f>
        <v>250000000</v>
      </c>
      <c r="T30" s="77">
        <f>DATA!V19</f>
        <v>50000000</v>
      </c>
      <c r="U30" s="77">
        <f>DATA!W19</f>
        <v>0</v>
      </c>
      <c r="V30" s="77">
        <f>DATA!X19</f>
        <v>300000000</v>
      </c>
    </row>
    <row r="31" spans="1:22" ht="36.75" customHeight="1">
      <c r="A31" s="10">
        <f>DATA!A20</f>
        <v>18</v>
      </c>
      <c r="B31" s="10">
        <f>DATA!B20</f>
        <v>0</v>
      </c>
      <c r="C31" s="10" t="str">
        <f>DATA!D20</f>
        <v>INFRASTRUKTUR</v>
      </c>
      <c r="D31" s="10">
        <f>DATA!E20</f>
        <v>1</v>
      </c>
      <c r="E31" s="10" t="str">
        <f>DATA!F20</f>
        <v>Kementerian Pekerjaan Umum dan Perumahan Rakyat</v>
      </c>
      <c r="F31" s="10" t="str">
        <f>DATA!H20</f>
        <v>Development and Improvement of National Roads Program</v>
      </c>
      <c r="G31" s="10" t="str">
        <f>DATA!I20</f>
        <v>C</v>
      </c>
      <c r="H31" s="10" t="str">
        <f>DATA!J20</f>
        <v>Program Pembangunan / Peningkatan Jalan</v>
      </c>
      <c r="I31" s="10">
        <f>DATA!K20</f>
        <v>6</v>
      </c>
      <c r="J31" s="33"/>
      <c r="K31" s="34"/>
      <c r="L31" s="34"/>
      <c r="M31" s="36">
        <v>16</v>
      </c>
      <c r="N31" s="37" t="str">
        <f>DATA!L20</f>
        <v>National Road Improvement in Central Kalimantan</v>
      </c>
      <c r="O31" s="20">
        <f>DATA!Q20</f>
        <v>1</v>
      </c>
      <c r="P31" s="20">
        <f>DATA!R20</f>
        <v>1</v>
      </c>
      <c r="Q31" s="20">
        <f>DATA!S20</f>
        <v>16</v>
      </c>
      <c r="R31" s="77">
        <f>DATA!T20</f>
        <v>250000000</v>
      </c>
      <c r="S31" s="77">
        <f>DATA!U19</f>
        <v>250000000</v>
      </c>
      <c r="T31" s="77">
        <f>DATA!V20</f>
        <v>50000000</v>
      </c>
      <c r="U31" s="77">
        <f>DATA!W20</f>
        <v>0</v>
      </c>
      <c r="V31" s="77">
        <f>DATA!X20</f>
        <v>300000000</v>
      </c>
    </row>
    <row r="32" spans="1:22" ht="31.5" customHeight="1">
      <c r="A32" s="10">
        <f>DATA!A21</f>
        <v>19</v>
      </c>
      <c r="B32" s="10">
        <f>DATA!B21</f>
        <v>0</v>
      </c>
      <c r="C32" s="10" t="str">
        <f>DATA!D21</f>
        <v>INFRASTRUKTUR</v>
      </c>
      <c r="D32" s="10">
        <f>DATA!E21</f>
        <v>1</v>
      </c>
      <c r="E32" s="10" t="str">
        <f>DATA!F21</f>
        <v>Kementerian Pekerjaan Umum dan Perumahan Rakyat</v>
      </c>
      <c r="F32" s="10" t="str">
        <f>DATA!H21</f>
        <v>Development and Improvement of National Roads Program</v>
      </c>
      <c r="G32" s="10" t="str">
        <f>DATA!I21</f>
        <v>C</v>
      </c>
      <c r="H32" s="10" t="str">
        <f>DATA!J21</f>
        <v>Program Pembangunan / Peningkatan Jalan</v>
      </c>
      <c r="I32" s="10">
        <f>DATA!K21</f>
        <v>7</v>
      </c>
      <c r="J32" s="33"/>
      <c r="K32" s="34"/>
      <c r="L32" s="34"/>
      <c r="M32" s="36">
        <v>17</v>
      </c>
      <c r="N32" s="37" t="str">
        <f>DATA!L21</f>
        <v>National Road Improvement in North and East Kalimantan</v>
      </c>
      <c r="O32" s="20">
        <f>DATA!Q21</f>
        <v>1</v>
      </c>
      <c r="P32" s="20">
        <f>DATA!R21</f>
        <v>1</v>
      </c>
      <c r="Q32" s="20">
        <f>DATA!S21</f>
        <v>17</v>
      </c>
      <c r="R32" s="77">
        <f>DATA!T21</f>
        <v>250000000</v>
      </c>
      <c r="S32" s="77">
        <f>DATA!U20</f>
        <v>250000000</v>
      </c>
      <c r="T32" s="77">
        <f>DATA!V21</f>
        <v>50000000</v>
      </c>
      <c r="U32" s="77">
        <f>DATA!W21</f>
        <v>0</v>
      </c>
      <c r="V32" s="77">
        <f>DATA!X21</f>
        <v>300000000</v>
      </c>
    </row>
    <row r="33" spans="1:22" ht="37.5" customHeight="1">
      <c r="A33" s="10">
        <f>DATA!A22</f>
        <v>20</v>
      </c>
      <c r="B33" s="10">
        <f>DATA!B22</f>
        <v>0</v>
      </c>
      <c r="C33" s="10" t="str">
        <f>DATA!D22</f>
        <v>INFRASTRUKTUR</v>
      </c>
      <c r="D33" s="10">
        <f>DATA!E22</f>
        <v>1</v>
      </c>
      <c r="E33" s="10" t="str">
        <f>DATA!F22</f>
        <v>Kementerian Pekerjaan Umum dan Perumahan Rakyat</v>
      </c>
      <c r="F33" s="10" t="str">
        <f>DATA!H22</f>
        <v>Development and Improvement of National Roads Program</v>
      </c>
      <c r="G33" s="10" t="str">
        <f>DATA!I22</f>
        <v>C</v>
      </c>
      <c r="H33" s="10" t="str">
        <f>DATA!J22</f>
        <v>Program Pembangunan / Peningkatan Jalan</v>
      </c>
      <c r="I33" s="10">
        <f>DATA!K22</f>
        <v>8</v>
      </c>
      <c r="J33" s="33"/>
      <c r="K33" s="34"/>
      <c r="L33" s="54"/>
      <c r="M33" s="36">
        <v>18</v>
      </c>
      <c r="N33" s="37" t="str">
        <f>DATA!L22</f>
        <v>Road Improvement Project in Sulawesi Island and Major Cities</v>
      </c>
      <c r="O33" s="20">
        <f>DATA!Q22</f>
        <v>1</v>
      </c>
      <c r="P33" s="20">
        <f>DATA!R22</f>
        <v>1</v>
      </c>
      <c r="Q33" s="20">
        <f>DATA!S22</f>
        <v>18</v>
      </c>
      <c r="R33" s="77">
        <f>DATA!T22</f>
        <v>250000000</v>
      </c>
      <c r="S33" s="77">
        <f>DATA!U21</f>
        <v>250000000</v>
      </c>
      <c r="T33" s="77">
        <f>DATA!V22</f>
        <v>50000000</v>
      </c>
      <c r="U33" s="77">
        <f>DATA!W22</f>
        <v>0</v>
      </c>
      <c r="V33" s="77">
        <f>DATA!X22</f>
        <v>300000000</v>
      </c>
    </row>
    <row r="34" spans="1:22" ht="39.75" customHeight="1">
      <c r="J34" s="33"/>
      <c r="K34" s="34"/>
      <c r="L34" s="54"/>
      <c r="M34" s="36">
        <v>19</v>
      </c>
      <c r="N34" s="56" t="str">
        <f>DATA!L23</f>
        <v>Engineering Service for National Roads Development Project</v>
      </c>
      <c r="O34" s="36">
        <f>DATA!Q23</f>
        <v>0</v>
      </c>
      <c r="P34" s="36">
        <f>DATA!R23</f>
        <v>1</v>
      </c>
      <c r="Q34" s="36">
        <f>DATA!S23</f>
        <v>0</v>
      </c>
      <c r="R34" s="88">
        <f>DATA!T23</f>
        <v>0</v>
      </c>
      <c r="S34" s="88">
        <f>DATA!U23</f>
        <v>45000000</v>
      </c>
      <c r="T34" s="88">
        <f>DATA!V23</f>
        <v>0</v>
      </c>
      <c r="U34" s="88">
        <f>DATA!W23</f>
        <v>0</v>
      </c>
      <c r="V34" s="88">
        <f>DATA!X23</f>
        <v>0</v>
      </c>
    </row>
    <row r="35" spans="1:22" s="5" customFormat="1" ht="33.75" customHeight="1">
      <c r="J35" s="28"/>
      <c r="K35" s="50"/>
      <c r="L35" s="30" t="str">
        <f>DATA!I24</f>
        <v>D</v>
      </c>
      <c r="M35" s="31" t="str">
        <f>DATA!J24</f>
        <v>Program Pembangunan Air Minum</v>
      </c>
      <c r="N35" s="51"/>
      <c r="O35" s="31"/>
      <c r="P35" s="31"/>
      <c r="Q35" s="31"/>
      <c r="R35" s="81">
        <f>SUM(R36:R48)</f>
        <v>1197680000</v>
      </c>
      <c r="S35" s="81">
        <f>SUM(S36:S48)</f>
        <v>1197680000</v>
      </c>
      <c r="T35" s="81">
        <f>SUM(T36:T48)</f>
        <v>59434000</v>
      </c>
      <c r="U35" s="81">
        <f>SUM(U36:U48)</f>
        <v>0</v>
      </c>
      <c r="V35" s="81">
        <f>SUM(V36:V48)</f>
        <v>1257114000</v>
      </c>
    </row>
    <row r="36" spans="1:22" ht="37.5" customHeight="1">
      <c r="A36" s="10">
        <f>DATA!A24</f>
        <v>21</v>
      </c>
      <c r="B36" s="10">
        <f>DATA!B24</f>
        <v>0</v>
      </c>
      <c r="C36" s="10" t="str">
        <f>DATA!D24</f>
        <v>INFRASTRUKTUR</v>
      </c>
      <c r="D36" s="10">
        <f>DATA!E24</f>
        <v>1</v>
      </c>
      <c r="E36" s="10" t="str">
        <f>DATA!F24</f>
        <v>Kementerian Pekerjaan Umum dan Perumahan Rakyat</v>
      </c>
      <c r="F36" s="10" t="str">
        <f>DATA!H24</f>
        <v>Drinking Water Development Program</v>
      </c>
      <c r="G36" s="10" t="str">
        <f>DATA!I24</f>
        <v>D</v>
      </c>
      <c r="H36" s="10" t="str">
        <f>DATA!J24</f>
        <v>Program Pembangunan Air Minum</v>
      </c>
      <c r="I36" s="10">
        <f>DATA!K24</f>
        <v>1</v>
      </c>
      <c r="J36" s="33"/>
      <c r="K36" s="34"/>
      <c r="L36" s="35"/>
      <c r="M36" s="36">
        <v>20</v>
      </c>
      <c r="N36" s="37" t="str">
        <f>DATA!L24</f>
        <v>Community Based Water and Sanitation Program  (PAMSIMAS)</v>
      </c>
      <c r="O36" s="20">
        <f>DATA!Q24</f>
        <v>1</v>
      </c>
      <c r="P36" s="20">
        <f>DATA!R24</f>
        <v>1</v>
      </c>
      <c r="Q36" s="20">
        <f>DATA!S24</f>
        <v>19</v>
      </c>
      <c r="R36" s="77">
        <f>DATA!T24</f>
        <v>300000000</v>
      </c>
      <c r="S36" s="88">
        <f>DATA!U24</f>
        <v>300000000</v>
      </c>
      <c r="T36" s="77">
        <f>DATA!V24</f>
        <v>15000000</v>
      </c>
      <c r="U36" s="77">
        <f>DATA!W24</f>
        <v>0</v>
      </c>
      <c r="V36" s="77">
        <f>DATA!X24</f>
        <v>315000000</v>
      </c>
    </row>
    <row r="37" spans="1:22" ht="29.25" customHeight="1">
      <c r="A37" s="10">
        <f>DATA!A25</f>
        <v>22</v>
      </c>
      <c r="B37" s="10">
        <f>DATA!B25</f>
        <v>0</v>
      </c>
      <c r="C37" s="10" t="str">
        <f>DATA!D25</f>
        <v>INFRASTRUKTUR</v>
      </c>
      <c r="D37" s="10">
        <f>DATA!E25</f>
        <v>1</v>
      </c>
      <c r="E37" s="10" t="str">
        <f>DATA!F25</f>
        <v>Kementerian Pekerjaan Umum dan Perumahan Rakyat</v>
      </c>
      <c r="F37" s="10" t="str">
        <f>DATA!H25</f>
        <v>Drinking Water Development Program</v>
      </c>
      <c r="G37" s="10" t="str">
        <f>DATA!I25</f>
        <v>D</v>
      </c>
      <c r="H37" s="10" t="str">
        <f>DATA!J25</f>
        <v>Program Pembangunan Air Minum</v>
      </c>
      <c r="I37" s="10">
        <f>DATA!K25</f>
        <v>2</v>
      </c>
      <c r="J37" s="33"/>
      <c r="K37" s="34"/>
      <c r="L37" s="34"/>
      <c r="M37" s="36">
        <v>21</v>
      </c>
      <c r="N37" s="37" t="str">
        <f>DATA!L25</f>
        <v>National Urban Water Supply</v>
      </c>
      <c r="O37" s="20">
        <f>DATA!Q25</f>
        <v>1</v>
      </c>
      <c r="P37" s="20">
        <f>DATA!R25</f>
        <v>1</v>
      </c>
      <c r="Q37" s="20">
        <f>DATA!S25</f>
        <v>20</v>
      </c>
      <c r="R37" s="77">
        <f>DATA!T25</f>
        <v>100000000</v>
      </c>
      <c r="S37" s="88">
        <f>DATA!U25</f>
        <v>100000000</v>
      </c>
      <c r="T37" s="77">
        <f>DATA!V25</f>
        <v>5000000</v>
      </c>
      <c r="U37" s="77">
        <f>DATA!W25</f>
        <v>0</v>
      </c>
      <c r="V37" s="77">
        <f>DATA!X25</f>
        <v>105000000</v>
      </c>
    </row>
    <row r="38" spans="1:22" ht="33.75" customHeight="1">
      <c r="A38" s="10">
        <f>DATA!A27</f>
        <v>24</v>
      </c>
      <c r="B38" s="10">
        <f>DATA!B27</f>
        <v>0</v>
      </c>
      <c r="C38" s="10" t="str">
        <f>DATA!D27</f>
        <v>INFRASTRUKTUR</v>
      </c>
      <c r="D38" s="10">
        <f>DATA!E27</f>
        <v>1</v>
      </c>
      <c r="E38" s="10" t="str">
        <f>DATA!F27</f>
        <v>Kementerian Pekerjaan Umum dan Perumahan Rakyat</v>
      </c>
      <c r="F38" s="10" t="str">
        <f>DATA!H27</f>
        <v>Drinking Water Development Program</v>
      </c>
      <c r="G38" s="10" t="str">
        <f>DATA!I27</f>
        <v>D</v>
      </c>
      <c r="H38" s="10" t="str">
        <f>DATA!J27</f>
        <v>Program Pembangunan Air Minum</v>
      </c>
      <c r="I38" s="10">
        <f>DATA!K27</f>
        <v>3</v>
      </c>
      <c r="J38" s="33"/>
      <c r="K38" s="34"/>
      <c r="L38" s="34"/>
      <c r="M38" s="36">
        <v>22</v>
      </c>
      <c r="N38" s="37" t="str">
        <f>DATA!L27</f>
        <v xml:space="preserve">Mamminasata Water Supply Development Project </v>
      </c>
      <c r="O38" s="20">
        <f>DATA!Q27</f>
        <v>1</v>
      </c>
      <c r="P38" s="20">
        <f>DATA!R27</f>
        <v>1</v>
      </c>
      <c r="Q38" s="20">
        <f>DATA!S27</f>
        <v>21</v>
      </c>
      <c r="R38" s="77">
        <f>DATA!T27</f>
        <v>100000000</v>
      </c>
      <c r="S38" s="88">
        <f>DATA!U27</f>
        <v>100000000</v>
      </c>
      <c r="T38" s="77">
        <f>DATA!V27</f>
        <v>5000000</v>
      </c>
      <c r="U38" s="77">
        <f>DATA!W27</f>
        <v>0</v>
      </c>
      <c r="V38" s="77">
        <f>DATA!X27</f>
        <v>105000000</v>
      </c>
    </row>
    <row r="39" spans="1:22" ht="52.5" customHeight="1">
      <c r="A39" s="10">
        <f>DATA!A28</f>
        <v>25</v>
      </c>
      <c r="B39" s="10">
        <f>DATA!B28</f>
        <v>0</v>
      </c>
      <c r="C39" s="10" t="str">
        <f>DATA!D28</f>
        <v>INFRASTRUKTUR</v>
      </c>
      <c r="D39" s="10">
        <f>DATA!E28</f>
        <v>1</v>
      </c>
      <c r="E39" s="10" t="str">
        <f>DATA!F28</f>
        <v>Kementerian Pekerjaan Umum dan Perumahan Rakyat</v>
      </c>
      <c r="F39" s="10" t="str">
        <f>DATA!H28</f>
        <v>Drinking Water Development Program</v>
      </c>
      <c r="G39" s="10" t="str">
        <f>DATA!I28</f>
        <v>D</v>
      </c>
      <c r="H39" s="10" t="str">
        <f>DATA!J28</f>
        <v>Program Pembangunan Air Minum</v>
      </c>
      <c r="I39" s="10">
        <f>DATA!K28</f>
        <v>3</v>
      </c>
      <c r="J39" s="33"/>
      <c r="K39" s="34"/>
      <c r="L39" s="34"/>
      <c r="M39" s="36">
        <v>23</v>
      </c>
      <c r="N39" s="37" t="str">
        <f>DATA!L28</f>
        <v xml:space="preserve">The Development of Regional Water Supply System in Benteng Kobema </v>
      </c>
      <c r="O39" s="20">
        <f>DATA!Q28</f>
        <v>1</v>
      </c>
      <c r="P39" s="20">
        <f>DATA!R28</f>
        <v>1</v>
      </c>
      <c r="Q39" s="20">
        <f>DATA!S28</f>
        <v>22</v>
      </c>
      <c r="R39" s="77">
        <f>DATA!T28</f>
        <v>74300000</v>
      </c>
      <c r="S39" s="88">
        <f>DATA!U28</f>
        <v>74300000</v>
      </c>
      <c r="T39" s="77">
        <f>DATA!V28</f>
        <v>3715000</v>
      </c>
      <c r="U39" s="77">
        <f>DATA!W28</f>
        <v>0</v>
      </c>
      <c r="V39" s="77">
        <f>DATA!X28</f>
        <v>78015000</v>
      </c>
    </row>
    <row r="40" spans="1:22" ht="45.75" customHeight="1">
      <c r="A40" s="10">
        <f>DATA!A29</f>
        <v>26</v>
      </c>
      <c r="B40" s="10">
        <f>DATA!B29</f>
        <v>0</v>
      </c>
      <c r="C40" s="10" t="str">
        <f>DATA!D29</f>
        <v>INFRASTRUKTUR</v>
      </c>
      <c r="D40" s="10">
        <f>DATA!E29</f>
        <v>1</v>
      </c>
      <c r="E40" s="10" t="str">
        <f>DATA!F29</f>
        <v>Kementerian Pekerjaan Umum dan Perumahan Rakyat</v>
      </c>
      <c r="F40" s="10" t="str">
        <f>DATA!H29</f>
        <v>Drinking Water Development Program</v>
      </c>
      <c r="G40" s="10" t="str">
        <f>DATA!I29</f>
        <v>D</v>
      </c>
      <c r="H40" s="10" t="str">
        <f>DATA!J29</f>
        <v>Program Pembangunan Air Minum</v>
      </c>
      <c r="I40" s="10">
        <f>DATA!K29</f>
        <v>3</v>
      </c>
      <c r="J40" s="33"/>
      <c r="K40" s="34"/>
      <c r="L40" s="34"/>
      <c r="M40" s="36">
        <v>24</v>
      </c>
      <c r="N40" s="37" t="str">
        <f>DATA!L29</f>
        <v xml:space="preserve">The Development of Regional Water Supply System in Wosusokas </v>
      </c>
      <c r="O40" s="20">
        <f>DATA!Q29</f>
        <v>1</v>
      </c>
      <c r="P40" s="20">
        <f>DATA!R29</f>
        <v>1</v>
      </c>
      <c r="Q40" s="20">
        <f>DATA!S29</f>
        <v>23</v>
      </c>
      <c r="R40" s="77">
        <f>DATA!T29</f>
        <v>106200000</v>
      </c>
      <c r="S40" s="88">
        <f>DATA!U29</f>
        <v>106200000</v>
      </c>
      <c r="T40" s="77">
        <f>DATA!V29</f>
        <v>5310000</v>
      </c>
      <c r="U40" s="77">
        <f>DATA!W29</f>
        <v>0</v>
      </c>
      <c r="V40" s="77">
        <f>DATA!X29</f>
        <v>111510000</v>
      </c>
    </row>
    <row r="41" spans="1:22" ht="33.75" customHeight="1">
      <c r="A41" s="10">
        <f>DATA!A30</f>
        <v>27</v>
      </c>
      <c r="B41" s="10">
        <f>DATA!B30</f>
        <v>0</v>
      </c>
      <c r="C41" s="10" t="str">
        <f>DATA!D30</f>
        <v>INFRASTRUKTUR</v>
      </c>
      <c r="D41" s="10">
        <f>DATA!E30</f>
        <v>1</v>
      </c>
      <c r="E41" s="10" t="str">
        <f>DATA!F30</f>
        <v>Kementerian Pekerjaan Umum dan Perumahan Rakyat</v>
      </c>
      <c r="F41" s="10" t="str">
        <f>DATA!H30</f>
        <v>Drinking Water Development Program</v>
      </c>
      <c r="G41" s="10" t="str">
        <f>DATA!I30</f>
        <v>D</v>
      </c>
      <c r="H41" s="10" t="str">
        <f>DATA!J30</f>
        <v>Program Pembangunan Air Minum</v>
      </c>
      <c r="I41" s="10">
        <f>DATA!K30</f>
        <v>3</v>
      </c>
      <c r="J41" s="33"/>
      <c r="K41" s="34"/>
      <c r="L41" s="34"/>
      <c r="M41" s="36">
        <v>25</v>
      </c>
      <c r="N41" s="37" t="str">
        <f>DATA!L30</f>
        <v xml:space="preserve">The Development of Regional Water Supply System of Jatigede </v>
      </c>
      <c r="O41" s="20">
        <f>DATA!Q30</f>
        <v>1</v>
      </c>
      <c r="P41" s="20">
        <f>DATA!R30</f>
        <v>1</v>
      </c>
      <c r="Q41" s="20">
        <f>DATA!S30</f>
        <v>24</v>
      </c>
      <c r="R41" s="77">
        <f>DATA!T30</f>
        <v>167000000</v>
      </c>
      <c r="S41" s="88">
        <f>DATA!U30</f>
        <v>140620000</v>
      </c>
      <c r="T41" s="77">
        <f>DATA!V30</f>
        <v>8350000</v>
      </c>
      <c r="U41" s="77">
        <f>DATA!W30</f>
        <v>0</v>
      </c>
      <c r="V41" s="77">
        <f>DATA!X30</f>
        <v>175350000</v>
      </c>
    </row>
    <row r="42" spans="1:22" ht="42" customHeight="1">
      <c r="A42" s="10">
        <f>DATA!A31</f>
        <v>28</v>
      </c>
      <c r="B42" s="10">
        <f>DATA!B31</f>
        <v>0</v>
      </c>
      <c r="C42" s="10" t="str">
        <f>DATA!D31</f>
        <v>INFRASTRUKTUR</v>
      </c>
      <c r="D42" s="10">
        <f>DATA!E31</f>
        <v>1</v>
      </c>
      <c r="E42" s="10" t="str">
        <f>DATA!F31</f>
        <v>Kementerian Pekerjaan Umum dan Perumahan Rakyat</v>
      </c>
      <c r="F42" s="10" t="str">
        <f>DATA!H31</f>
        <v>Drinking Water Development Program</v>
      </c>
      <c r="G42" s="10" t="str">
        <f>DATA!I31</f>
        <v>D</v>
      </c>
      <c r="H42" s="10" t="str">
        <f>DATA!J31</f>
        <v>Program Pembangunan Air Minum</v>
      </c>
      <c r="I42" s="10">
        <f>DATA!K31</f>
        <v>3</v>
      </c>
      <c r="J42" s="33"/>
      <c r="K42" s="34"/>
      <c r="L42" s="34"/>
      <c r="M42" s="36">
        <v>26</v>
      </c>
      <c r="N42" s="37" t="str">
        <f>DATA!L31</f>
        <v>The Development of Regional Water Supply System of Petanglong</v>
      </c>
      <c r="O42" s="20">
        <f>DATA!Q31</f>
        <v>1</v>
      </c>
      <c r="P42" s="20">
        <f>DATA!R31</f>
        <v>1</v>
      </c>
      <c r="Q42" s="20">
        <f>DATA!S31</f>
        <v>25</v>
      </c>
      <c r="R42" s="77">
        <f>DATA!T31</f>
        <v>95380000</v>
      </c>
      <c r="S42" s="88">
        <f>DATA!U31</f>
        <v>95380000</v>
      </c>
      <c r="T42" s="77">
        <f>DATA!V31</f>
        <v>4769000</v>
      </c>
      <c r="U42" s="77">
        <f>DATA!W31</f>
        <v>0</v>
      </c>
      <c r="V42" s="77">
        <f>DATA!X31</f>
        <v>100149000</v>
      </c>
    </row>
    <row r="43" spans="1:22" ht="37.5" customHeight="1">
      <c r="A43" s="10">
        <f>DATA!A32</f>
        <v>29</v>
      </c>
      <c r="B43" s="10">
        <f>DATA!B32</f>
        <v>0</v>
      </c>
      <c r="C43" s="10" t="str">
        <f>DATA!D32</f>
        <v>INFRASTRUKTUR</v>
      </c>
      <c r="D43" s="10">
        <f>DATA!E32</f>
        <v>1</v>
      </c>
      <c r="E43" s="10" t="str">
        <f>DATA!F32</f>
        <v>Kementerian Pekerjaan Umum dan Perumahan Rakyat</v>
      </c>
      <c r="F43" s="10" t="str">
        <f>DATA!H32</f>
        <v>Drinking Water Development Program</v>
      </c>
      <c r="G43" s="10" t="str">
        <f>DATA!I32</f>
        <v>D</v>
      </c>
      <c r="H43" s="10" t="str">
        <f>DATA!J32</f>
        <v>Program Pembangunan Air Minum</v>
      </c>
      <c r="I43" s="10">
        <f>DATA!K32</f>
        <v>3</v>
      </c>
      <c r="J43" s="33"/>
      <c r="K43" s="34"/>
      <c r="L43" s="34"/>
      <c r="M43" s="36">
        <v>27</v>
      </c>
      <c r="N43" s="37" t="str">
        <f>DATA!L32</f>
        <v xml:space="preserve">The Development of Regional Water Supply System of Durolis </v>
      </c>
      <c r="O43" s="20">
        <f>DATA!Q32</f>
        <v>1</v>
      </c>
      <c r="P43" s="20">
        <f>DATA!R32</f>
        <v>1</v>
      </c>
      <c r="Q43" s="20">
        <f>DATA!S32</f>
        <v>26</v>
      </c>
      <c r="R43" s="77">
        <f>DATA!T32</f>
        <v>33400000</v>
      </c>
      <c r="S43" s="88">
        <f>DATA!U32</f>
        <v>33400000</v>
      </c>
      <c r="T43" s="77">
        <f>DATA!V32</f>
        <v>1670000</v>
      </c>
      <c r="U43" s="77">
        <f>DATA!W32</f>
        <v>0</v>
      </c>
      <c r="V43" s="77">
        <f>DATA!X32</f>
        <v>35070000</v>
      </c>
    </row>
    <row r="44" spans="1:22" ht="42.75" customHeight="1">
      <c r="A44" s="10">
        <f>DATA!A33</f>
        <v>30</v>
      </c>
      <c r="B44" s="10">
        <f>DATA!B33</f>
        <v>0</v>
      </c>
      <c r="C44" s="10" t="str">
        <f>DATA!D33</f>
        <v>INFRASTRUKTUR</v>
      </c>
      <c r="D44" s="10">
        <f>DATA!E33</f>
        <v>1</v>
      </c>
      <c r="E44" s="10" t="str">
        <f>DATA!F33</f>
        <v>Kementerian Pekerjaan Umum dan Perumahan Rakyat</v>
      </c>
      <c r="F44" s="10" t="str">
        <f>DATA!H33</f>
        <v>Drinking Water Development Program</v>
      </c>
      <c r="G44" s="10" t="str">
        <f>DATA!I33</f>
        <v>D</v>
      </c>
      <c r="H44" s="10" t="str">
        <f>DATA!J33</f>
        <v>Program Pembangunan Air Minum</v>
      </c>
      <c r="I44" s="10">
        <f>DATA!K33</f>
        <v>3</v>
      </c>
      <c r="J44" s="33"/>
      <c r="K44" s="34"/>
      <c r="L44" s="34"/>
      <c r="M44" s="36">
        <v>28</v>
      </c>
      <c r="N44" s="37" t="str">
        <f>DATA!L33</f>
        <v xml:space="preserve">The Development of Regional Water Supply System of  Banten - Jakarta from Karian Dam </v>
      </c>
      <c r="O44" s="20">
        <f>DATA!Q33</f>
        <v>1</v>
      </c>
      <c r="P44" s="20">
        <f>DATA!R33</f>
        <v>1</v>
      </c>
      <c r="Q44" s="20">
        <f>DATA!S33</f>
        <v>27</v>
      </c>
      <c r="R44" s="77">
        <f>DATA!T33</f>
        <v>40000000</v>
      </c>
      <c r="S44" s="88">
        <f>DATA!U33</f>
        <v>40000000</v>
      </c>
      <c r="T44" s="77">
        <f>DATA!V33</f>
        <v>2000000</v>
      </c>
      <c r="U44" s="77">
        <f>DATA!W33</f>
        <v>0</v>
      </c>
      <c r="V44" s="77">
        <f>DATA!X33</f>
        <v>42000000</v>
      </c>
    </row>
    <row r="45" spans="1:22" ht="33" customHeight="1">
      <c r="A45" s="10">
        <f>DATA!A34</f>
        <v>31</v>
      </c>
      <c r="B45" s="10">
        <f>DATA!B34</f>
        <v>0</v>
      </c>
      <c r="C45" s="10" t="str">
        <f>DATA!D34</f>
        <v>INFRASTRUKTUR</v>
      </c>
      <c r="D45" s="10">
        <f>DATA!E34</f>
        <v>1</v>
      </c>
      <c r="E45" s="10" t="str">
        <f>DATA!F34</f>
        <v>Kementerian Pekerjaan Umum dan Perumahan Rakyat</v>
      </c>
      <c r="F45" s="10" t="str">
        <f>DATA!H34</f>
        <v>Drinking Water Development Program</v>
      </c>
      <c r="G45" s="10" t="str">
        <f>DATA!I34</f>
        <v>D</v>
      </c>
      <c r="H45" s="10" t="str">
        <f>DATA!J34</f>
        <v>Program Pembangunan Air Minum</v>
      </c>
      <c r="I45" s="10">
        <f>DATA!K34</f>
        <v>3</v>
      </c>
      <c r="J45" s="33"/>
      <c r="K45" s="34"/>
      <c r="L45" s="34"/>
      <c r="M45" s="36">
        <v>29</v>
      </c>
      <c r="N45" s="37" t="str">
        <f>DATA!L34</f>
        <v xml:space="preserve">The Development of Regional Water Supply System of Mebidang </v>
      </c>
      <c r="O45" s="20">
        <f>DATA!Q34</f>
        <v>1</v>
      </c>
      <c r="P45" s="20">
        <f>DATA!R34</f>
        <v>1</v>
      </c>
      <c r="Q45" s="20">
        <f>DATA!S34</f>
        <v>28</v>
      </c>
      <c r="R45" s="77">
        <f>DATA!T34</f>
        <v>56400000</v>
      </c>
      <c r="S45" s="88">
        <f>DATA!U34</f>
        <v>56400000</v>
      </c>
      <c r="T45" s="77">
        <f>DATA!V34</f>
        <v>2820000</v>
      </c>
      <c r="U45" s="77">
        <f>DATA!W34</f>
        <v>0</v>
      </c>
      <c r="V45" s="77">
        <f>DATA!X34</f>
        <v>59220000</v>
      </c>
    </row>
    <row r="46" spans="1:22" ht="39.75" customHeight="1">
      <c r="A46" s="10">
        <f>DATA!A36</f>
        <v>33</v>
      </c>
      <c r="B46" s="10">
        <f>DATA!B36</f>
        <v>0</v>
      </c>
      <c r="C46" s="10" t="str">
        <f>DATA!D36</f>
        <v>INFRASTRUKTUR</v>
      </c>
      <c r="D46" s="10">
        <f>DATA!E36</f>
        <v>1</v>
      </c>
      <c r="E46" s="10" t="str">
        <f>DATA!F36</f>
        <v>Kementerian Pekerjaan Umum dan Perumahan Rakyat</v>
      </c>
      <c r="F46" s="10" t="str">
        <f>DATA!H36</f>
        <v>Drinking Water Development Program</v>
      </c>
      <c r="G46" s="10" t="str">
        <f>DATA!I36</f>
        <v>D</v>
      </c>
      <c r="H46" s="10" t="str">
        <f>DATA!J36</f>
        <v>Program Pembangunan Air Minum</v>
      </c>
      <c r="I46" s="10">
        <f>DATA!K36</f>
        <v>4</v>
      </c>
      <c r="J46" s="33"/>
      <c r="K46" s="34"/>
      <c r="L46" s="34"/>
      <c r="M46" s="36">
        <v>30</v>
      </c>
      <c r="N46" s="37" t="str">
        <f>DATA!L36</f>
        <v xml:space="preserve">Small Scale Water Treatment Plants for Emergency Relief </v>
      </c>
      <c r="O46" s="20">
        <f>DATA!Q36</f>
        <v>1</v>
      </c>
      <c r="P46" s="20">
        <f>DATA!R36</f>
        <v>1</v>
      </c>
      <c r="Q46" s="20">
        <f>DATA!S36</f>
        <v>29</v>
      </c>
      <c r="R46" s="77">
        <f>DATA!T36</f>
        <v>25000000</v>
      </c>
      <c r="S46" s="88">
        <f>DATA!U36</f>
        <v>25000000</v>
      </c>
      <c r="T46" s="77">
        <f>DATA!V36</f>
        <v>800000</v>
      </c>
      <c r="U46" s="77">
        <f>DATA!W36</f>
        <v>0</v>
      </c>
      <c r="V46" s="77">
        <f>DATA!X36</f>
        <v>25800000</v>
      </c>
    </row>
    <row r="47" spans="1:22" ht="35.25" customHeight="1">
      <c r="J47" s="33"/>
      <c r="K47" s="34"/>
      <c r="L47" s="34"/>
      <c r="M47" s="36">
        <v>31</v>
      </c>
      <c r="N47" s="37" t="str">
        <f>DATA!L37</f>
        <v>IKK Water Supply Program and Small Water Treatment Plant for Water Scarcity Area</v>
      </c>
      <c r="O47" s="20">
        <f>DATA!Q37</f>
        <v>0</v>
      </c>
      <c r="P47" s="20">
        <f>DATA!R37</f>
        <v>1</v>
      </c>
      <c r="Q47" s="20">
        <f>DATA!S37</f>
        <v>30</v>
      </c>
      <c r="R47" s="77">
        <f>DATA!T37</f>
        <v>100000000</v>
      </c>
      <c r="S47" s="88">
        <f>DATA!U37</f>
        <v>100000000</v>
      </c>
      <c r="T47" s="77">
        <f>DATA!V37</f>
        <v>5000000</v>
      </c>
      <c r="U47" s="77">
        <f>DATA!W37</f>
        <v>0</v>
      </c>
      <c r="V47" s="77">
        <f>DATA!X37</f>
        <v>105000000</v>
      </c>
    </row>
    <row r="48" spans="1:22" ht="37.5" customHeight="1">
      <c r="J48" s="33"/>
      <c r="K48" s="34"/>
      <c r="L48" s="54"/>
      <c r="M48" s="36">
        <v>32</v>
      </c>
      <c r="N48" s="37" t="str">
        <f>DATA!L40</f>
        <v>Engineering Service for Water Supply Development Project</v>
      </c>
      <c r="O48" s="20">
        <f>DATA!Q40</f>
        <v>0</v>
      </c>
      <c r="P48" s="20">
        <f>DATA!R40</f>
        <v>1</v>
      </c>
      <c r="Q48" s="20">
        <f>DATA!S40</f>
        <v>0</v>
      </c>
      <c r="R48" s="77">
        <f>DATA!T40</f>
        <v>0</v>
      </c>
      <c r="S48" s="88">
        <f>DATA!U40</f>
        <v>26380000</v>
      </c>
      <c r="T48" s="77">
        <f>DATA!V40</f>
        <v>0</v>
      </c>
      <c r="U48" s="77">
        <f>DATA!W40</f>
        <v>0</v>
      </c>
      <c r="V48" s="77">
        <f>DATA!X40</f>
        <v>0</v>
      </c>
    </row>
    <row r="49" spans="1:24" s="5" customFormat="1" ht="33.75" customHeight="1">
      <c r="J49" s="28"/>
      <c r="K49" s="50"/>
      <c r="L49" s="30" t="str">
        <f>DATA!I41</f>
        <v>E</v>
      </c>
      <c r="M49" s="31" t="str">
        <f>DATA!J41</f>
        <v xml:space="preserve">Program Pembangunan Sistem Pengelolaan Air Limbah </v>
      </c>
      <c r="N49" s="51"/>
      <c r="O49" s="31"/>
      <c r="P49" s="31"/>
      <c r="Q49" s="31"/>
      <c r="R49" s="81">
        <f>+R50+R51+R52+R53+R54+R55+R56</f>
        <v>3583000000</v>
      </c>
      <c r="S49" s="81">
        <f>+S50+S51+S52+S53+S54+S55+S56</f>
        <v>3583000000</v>
      </c>
      <c r="T49" s="81">
        <f>+T50+T51+T52+T53+T54+T55</f>
        <v>179150000</v>
      </c>
      <c r="U49" s="81">
        <f>+U50+U51+U52+U53+U54+U55</f>
        <v>0</v>
      </c>
      <c r="V49" s="81">
        <f>+V50+V51+V52+V53+V54+V55</f>
        <v>3762150000</v>
      </c>
    </row>
    <row r="50" spans="1:24" ht="28.5" customHeight="1">
      <c r="A50" s="10">
        <f>DATA!A41</f>
        <v>35</v>
      </c>
      <c r="B50" s="10">
        <f>DATA!B41</f>
        <v>0</v>
      </c>
      <c r="C50" s="10" t="str">
        <f>DATA!D41</f>
        <v>INFRASTRUKTUR</v>
      </c>
      <c r="D50" s="10">
        <f>DATA!E41</f>
        <v>1</v>
      </c>
      <c r="E50" s="10" t="str">
        <f>DATA!F41</f>
        <v>Kementerian Pekerjaan Umum dan Perumahan Rakyat</v>
      </c>
      <c r="F50" s="10" t="str">
        <f>DATA!H41</f>
        <v>Development of Waste Water Management Program</v>
      </c>
      <c r="G50" s="10" t="str">
        <f>DATA!I41</f>
        <v>E</v>
      </c>
      <c r="H50" s="10" t="str">
        <f>DATA!J41</f>
        <v xml:space="preserve">Program Pembangunan Sistem Pengelolaan Air Limbah </v>
      </c>
      <c r="I50" s="10">
        <f>DATA!K41</f>
        <v>1</v>
      </c>
      <c r="J50" s="33"/>
      <c r="K50" s="34"/>
      <c r="L50" s="35"/>
      <c r="M50" s="36">
        <v>33</v>
      </c>
      <c r="N50" s="37" t="str">
        <f>DATA!L41</f>
        <v>Community Based Sanitation Program (SANIMAS)</v>
      </c>
      <c r="O50" s="37">
        <f>DATA!Q41</f>
        <v>0</v>
      </c>
      <c r="P50" s="37">
        <f>DATA!R41</f>
        <v>1</v>
      </c>
      <c r="Q50" s="37">
        <f>DATA!S41</f>
        <v>31</v>
      </c>
      <c r="R50" s="87">
        <f>DATA!T41</f>
        <v>250000000</v>
      </c>
      <c r="S50" s="88">
        <f>DATA!U41</f>
        <v>250000000</v>
      </c>
      <c r="T50" s="87">
        <f>DATA!V41</f>
        <v>12500000</v>
      </c>
      <c r="U50" s="87">
        <f>DATA!W41</f>
        <v>0</v>
      </c>
      <c r="V50" s="87">
        <f>DATA!X41</f>
        <v>262500000</v>
      </c>
    </row>
    <row r="51" spans="1:24" ht="39" customHeight="1">
      <c r="A51" s="10">
        <f>DATA!A44</f>
        <v>36</v>
      </c>
      <c r="B51" s="10">
        <f>DATA!B44</f>
        <v>0</v>
      </c>
      <c r="C51" s="10" t="str">
        <f>DATA!D44</f>
        <v>INFRASTRUKTUR</v>
      </c>
      <c r="D51" s="10">
        <f>DATA!E44</f>
        <v>1</v>
      </c>
      <c r="E51" s="10" t="str">
        <f>DATA!F44</f>
        <v>Kementerian Pekerjaan Umum dan Perumahan Rakyat</v>
      </c>
      <c r="F51" s="10" t="str">
        <f>DATA!H44</f>
        <v>Development of Waste Water Management Program</v>
      </c>
      <c r="G51" s="10" t="str">
        <f>DATA!I44</f>
        <v>E</v>
      </c>
      <c r="H51" s="10" t="str">
        <f>DATA!J44</f>
        <v xml:space="preserve">Program Pembangunan Sistem Pengelolaan Air Limbah </v>
      </c>
      <c r="I51" s="10">
        <f>DATA!K44</f>
        <v>2</v>
      </c>
      <c r="J51" s="33"/>
      <c r="K51" s="34"/>
      <c r="L51" s="34"/>
      <c r="M51" s="36">
        <v>34</v>
      </c>
      <c r="N51" s="37" t="str">
        <f>DATA!L44</f>
        <v>Jakarta Sewerage Development Project - Zone 1 and Zone 6</v>
      </c>
      <c r="O51" s="20">
        <f>DATA!Q44</f>
        <v>1</v>
      </c>
      <c r="P51" s="20">
        <f>DATA!R44</f>
        <v>1</v>
      </c>
      <c r="Q51" s="20">
        <f>DATA!S44</f>
        <v>32</v>
      </c>
      <c r="R51" s="77">
        <f>DATA!T44</f>
        <v>1950000000</v>
      </c>
      <c r="S51" s="88">
        <f>DATA!U44</f>
        <v>1950000000</v>
      </c>
      <c r="T51" s="77">
        <f>DATA!V44</f>
        <v>97500000</v>
      </c>
      <c r="U51" s="77">
        <f>DATA!W44</f>
        <v>0</v>
      </c>
      <c r="V51" s="77">
        <f>DATA!X44</f>
        <v>2047500000</v>
      </c>
    </row>
    <row r="52" spans="1:24" ht="41.25" customHeight="1">
      <c r="A52" s="10">
        <f>DATA!A45</f>
        <v>37</v>
      </c>
      <c r="B52" s="10">
        <f>DATA!B45</f>
        <v>0</v>
      </c>
      <c r="C52" s="10" t="str">
        <f>DATA!D45</f>
        <v>INFRASTRUKTUR</v>
      </c>
      <c r="D52" s="10">
        <f>DATA!E45</f>
        <v>1</v>
      </c>
      <c r="E52" s="10" t="str">
        <f>DATA!F45</f>
        <v>Kementerian Pekerjaan Umum dan Perumahan Rakyat</v>
      </c>
      <c r="F52" s="10" t="str">
        <f>DATA!H45</f>
        <v>Development of Waste Water Management Program</v>
      </c>
      <c r="G52" s="10" t="str">
        <f>DATA!I45</f>
        <v>E</v>
      </c>
      <c r="H52" s="10" t="str">
        <f>DATA!J45</f>
        <v xml:space="preserve">Program Pembangunan Sistem Pengelolaan Air Limbah </v>
      </c>
      <c r="I52" s="10">
        <f>DATA!K45</f>
        <v>3</v>
      </c>
      <c r="J52" s="33"/>
      <c r="K52" s="34"/>
      <c r="L52" s="34"/>
      <c r="M52" s="36">
        <v>35</v>
      </c>
      <c r="N52" s="37" t="str">
        <f>DATA!L45</f>
        <v>The Development of Sewage Treatment Plant Facility in Priority Area</v>
      </c>
      <c r="O52" s="20">
        <f>DATA!Q45</f>
        <v>1</v>
      </c>
      <c r="P52" s="20">
        <f>DATA!R45</f>
        <v>1</v>
      </c>
      <c r="Q52" s="20">
        <f>DATA!S45</f>
        <v>33</v>
      </c>
      <c r="R52" s="77">
        <f>DATA!T45</f>
        <v>75000000</v>
      </c>
      <c r="S52" s="88">
        <f>DATA!U45</f>
        <v>75000000</v>
      </c>
      <c r="T52" s="77">
        <f>DATA!V45</f>
        <v>3750000</v>
      </c>
      <c r="U52" s="77">
        <f>DATA!W45</f>
        <v>0</v>
      </c>
      <c r="V52" s="77">
        <f>DATA!X45</f>
        <v>78750000</v>
      </c>
    </row>
    <row r="53" spans="1:24" ht="24" customHeight="1">
      <c r="A53" s="10">
        <f>DATA!A46</f>
        <v>38</v>
      </c>
      <c r="B53" s="10">
        <f>DATA!B46</f>
        <v>0</v>
      </c>
      <c r="C53" s="10" t="str">
        <f>DATA!D46</f>
        <v>INFRASTRUKTUR</v>
      </c>
      <c r="D53" s="10">
        <f>DATA!E46</f>
        <v>1</v>
      </c>
      <c r="E53" s="10" t="str">
        <f>DATA!F46</f>
        <v>Kementerian Pekerjaan Umum dan Perumahan Rakyat</v>
      </c>
      <c r="F53" s="10" t="str">
        <f>DATA!H46</f>
        <v>Development of Waste Water Management Program</v>
      </c>
      <c r="G53" s="10" t="str">
        <f>DATA!I46</f>
        <v>E</v>
      </c>
      <c r="H53" s="10" t="str">
        <f>DATA!J46</f>
        <v xml:space="preserve">Program Pembangunan Sistem Pengelolaan Air Limbah </v>
      </c>
      <c r="I53" s="10">
        <f>DATA!K46</f>
        <v>4</v>
      </c>
      <c r="J53" s="33"/>
      <c r="K53" s="34"/>
      <c r="L53" s="34"/>
      <c r="M53" s="36">
        <v>36</v>
      </c>
      <c r="N53" s="37" t="str">
        <f>DATA!L46</f>
        <v>Sewerage System Development in Indonesia</v>
      </c>
      <c r="O53" s="20">
        <f>DATA!Q46</f>
        <v>0</v>
      </c>
      <c r="P53" s="20">
        <f>DATA!R46</f>
        <v>1</v>
      </c>
      <c r="Q53" s="20">
        <f>DATA!S46</f>
        <v>34</v>
      </c>
      <c r="R53" s="77">
        <f>DATA!T46</f>
        <v>975000000</v>
      </c>
      <c r="S53" s="88">
        <v>949800000</v>
      </c>
      <c r="T53" s="77">
        <f>DATA!V46</f>
        <v>48750000</v>
      </c>
      <c r="U53" s="77">
        <f>DATA!W46</f>
        <v>0</v>
      </c>
      <c r="V53" s="77">
        <f>DATA!X46</f>
        <v>1023750000</v>
      </c>
      <c r="X53" s="174">
        <f>S53-S56</f>
        <v>924600000</v>
      </c>
    </row>
    <row r="54" spans="1:24" ht="43.5" customHeight="1">
      <c r="A54" s="10">
        <f>DATA!A51</f>
        <v>41</v>
      </c>
      <c r="B54" s="10">
        <f>DATA!B51</f>
        <v>0</v>
      </c>
      <c r="C54" s="10" t="str">
        <f>DATA!D51</f>
        <v>INFRASTRUKTUR</v>
      </c>
      <c r="D54" s="10">
        <f>DATA!E51</f>
        <v>1</v>
      </c>
      <c r="E54" s="10" t="str">
        <f>DATA!F51</f>
        <v>Kementerian Pekerjaan Umum dan Perumahan Rakyat</v>
      </c>
      <c r="F54" s="10" t="str">
        <f>DATA!H51</f>
        <v>Development of Waste Water Management Program</v>
      </c>
      <c r="G54" s="10" t="str">
        <f>DATA!I51</f>
        <v>E</v>
      </c>
      <c r="H54" s="10" t="str">
        <f>DATA!J51</f>
        <v xml:space="preserve">Program Pembangunan Sistem Pengelolaan Air Limbah </v>
      </c>
      <c r="I54" s="10">
        <f>DATA!K51</f>
        <v>5</v>
      </c>
      <c r="J54" s="33"/>
      <c r="K54" s="34"/>
      <c r="L54" s="34"/>
      <c r="M54" s="36">
        <v>37</v>
      </c>
      <c r="N54" s="37" t="str">
        <f>DATA!L51</f>
        <v>Denpasar Sewerage Development Project - Phase III</v>
      </c>
      <c r="O54" s="20">
        <f>DATA!Q51</f>
        <v>1</v>
      </c>
      <c r="P54" s="20">
        <f>DATA!R51</f>
        <v>1</v>
      </c>
      <c r="Q54" s="20">
        <f>DATA!S51</f>
        <v>35</v>
      </c>
      <c r="R54" s="77">
        <f>DATA!T51</f>
        <v>233000000</v>
      </c>
      <c r="S54" s="88">
        <f>DATA!U51</f>
        <v>233000000</v>
      </c>
      <c r="T54" s="77">
        <f>DATA!V51</f>
        <v>11650000</v>
      </c>
      <c r="U54" s="77">
        <f>DATA!W51</f>
        <v>0</v>
      </c>
      <c r="V54" s="77">
        <f>DATA!X51</f>
        <v>244650000</v>
      </c>
    </row>
    <row r="55" spans="1:24" ht="36.75" customHeight="1">
      <c r="A55" s="10">
        <f>DATA!A52</f>
        <v>42</v>
      </c>
      <c r="B55" s="10">
        <f>DATA!B52</f>
        <v>0</v>
      </c>
      <c r="C55" s="10" t="str">
        <f>DATA!D52</f>
        <v>INFRASTRUKTUR</v>
      </c>
      <c r="D55" s="10">
        <f>DATA!E52</f>
        <v>1</v>
      </c>
      <c r="E55" s="10" t="str">
        <f>DATA!F52</f>
        <v>Kementerian Pekerjaan Umum dan Perumahan Rakyat</v>
      </c>
      <c r="F55" s="10" t="str">
        <f>DATA!H52</f>
        <v>Development of Waste Water Management Program</v>
      </c>
      <c r="G55" s="10" t="str">
        <f>DATA!I52</f>
        <v>E</v>
      </c>
      <c r="H55" s="10" t="str">
        <f>DATA!J52</f>
        <v xml:space="preserve">Program Pembangunan Sistem Pengelolaan Air Limbah </v>
      </c>
      <c r="I55" s="10">
        <f>DATA!K52</f>
        <v>6</v>
      </c>
      <c r="J55" s="33"/>
      <c r="K55" s="34"/>
      <c r="L55" s="54"/>
      <c r="M55" s="36">
        <v>38</v>
      </c>
      <c r="N55" s="37" t="str">
        <f>DATA!L52</f>
        <v>The Development and Optimization of Wastewater Treatment in Greater Bandung</v>
      </c>
      <c r="O55" s="20">
        <f>DATA!Q52</f>
        <v>1</v>
      </c>
      <c r="P55" s="20">
        <f>DATA!R52</f>
        <v>1</v>
      </c>
      <c r="Q55" s="20">
        <f>DATA!S52</f>
        <v>36</v>
      </c>
      <c r="R55" s="77">
        <f>DATA!T52</f>
        <v>100000000</v>
      </c>
      <c r="S55" s="88">
        <f>DATA!U52</f>
        <v>100000000</v>
      </c>
      <c r="T55" s="77">
        <f>DATA!V52</f>
        <v>5000000</v>
      </c>
      <c r="U55" s="77">
        <f>DATA!W52</f>
        <v>0</v>
      </c>
      <c r="V55" s="77">
        <f>DATA!X52</f>
        <v>105000000</v>
      </c>
    </row>
    <row r="56" spans="1:24" ht="36.75" customHeight="1">
      <c r="J56" s="33"/>
      <c r="K56" s="34"/>
      <c r="L56" s="54"/>
      <c r="M56" s="36">
        <v>39</v>
      </c>
      <c r="N56" s="56" t="str">
        <f>DATA!L53</f>
        <v>Engineering Service for Sanitation Improvement Project</v>
      </c>
      <c r="O56" s="36">
        <f>DATA!Q53</f>
        <v>0</v>
      </c>
      <c r="P56" s="36">
        <f>DATA!R53</f>
        <v>0</v>
      </c>
      <c r="Q56" s="36">
        <f>DATA!S53</f>
        <v>0</v>
      </c>
      <c r="R56" s="88">
        <f>DATA!T53</f>
        <v>0</v>
      </c>
      <c r="S56" s="88">
        <f>DATA!U53</f>
        <v>25200000</v>
      </c>
      <c r="T56" s="88">
        <f>DATA!V53</f>
        <v>0</v>
      </c>
      <c r="U56" s="88">
        <f>DATA!W53</f>
        <v>0</v>
      </c>
      <c r="V56" s="88">
        <f>DATA!X53</f>
        <v>25200000</v>
      </c>
    </row>
    <row r="57" spans="1:24" s="5" customFormat="1" ht="33.75" customHeight="1">
      <c r="J57" s="28"/>
      <c r="K57" s="50"/>
      <c r="L57" s="30" t="str">
        <f>DATA!I54</f>
        <v>F</v>
      </c>
      <c r="M57" s="31" t="str">
        <f>DATA!J54</f>
        <v xml:space="preserve">Program Pembangunan Sistem Pengelolaan Persampahan </v>
      </c>
      <c r="N57" s="51"/>
      <c r="O57" s="31"/>
      <c r="P57" s="31"/>
      <c r="Q57" s="31"/>
      <c r="R57" s="81">
        <f>+R58+R59</f>
        <v>250000000</v>
      </c>
      <c r="S57" s="81">
        <f>+S58+S59</f>
        <v>250000000</v>
      </c>
      <c r="T57" s="81">
        <f>+T58+T59</f>
        <v>12500000</v>
      </c>
      <c r="U57" s="81">
        <f>+U58+U59</f>
        <v>0</v>
      </c>
      <c r="V57" s="81">
        <f>+V58+V59</f>
        <v>262500000</v>
      </c>
    </row>
    <row r="58" spans="1:24" ht="55.5" customHeight="1">
      <c r="A58" s="10">
        <f>DATA!A54</f>
        <v>43</v>
      </c>
      <c r="B58" s="10">
        <f>DATA!B54</f>
        <v>0</v>
      </c>
      <c r="C58" s="10" t="str">
        <f>DATA!D54</f>
        <v>INFRASTRUKTUR</v>
      </c>
      <c r="D58" s="10">
        <f>DATA!E54</f>
        <v>1</v>
      </c>
      <c r="E58" s="10" t="str">
        <f>DATA!F54</f>
        <v>Kementerian Pekerjaan Umum dan Perumahan Rakyat</v>
      </c>
      <c r="F58" s="10" t="str">
        <f>DATA!H54</f>
        <v>Development of Solid Waste Management Program</v>
      </c>
      <c r="G58" s="10" t="str">
        <f>DATA!I54</f>
        <v>F</v>
      </c>
      <c r="H58" s="10" t="str">
        <f>DATA!J54</f>
        <v xml:space="preserve">Program Pembangunan Sistem Pengelolaan Persampahan </v>
      </c>
      <c r="I58" s="10">
        <f>DATA!K54</f>
        <v>1</v>
      </c>
      <c r="J58" s="33"/>
      <c r="K58" s="34"/>
      <c r="L58" s="35"/>
      <c r="M58" s="36">
        <v>40</v>
      </c>
      <c r="N58" s="37" t="str">
        <f>DATA!L54</f>
        <v xml:space="preserve">Advanced Solid Waste Management for Sustainable Urban Development (Advance SWM-SUD) </v>
      </c>
      <c r="O58" s="20">
        <f>DATA!Q54</f>
        <v>1</v>
      </c>
      <c r="P58" s="20">
        <f>DATA!R54</f>
        <v>1</v>
      </c>
      <c r="Q58" s="20">
        <f>DATA!S54</f>
        <v>37</v>
      </c>
      <c r="R58" s="77">
        <f>DATA!T54</f>
        <v>150000000</v>
      </c>
      <c r="S58" s="88">
        <f>DATA!U54</f>
        <v>150000000</v>
      </c>
      <c r="T58" s="77">
        <f>DATA!V54</f>
        <v>7500000</v>
      </c>
      <c r="U58" s="77">
        <f>DATA!W54</f>
        <v>0</v>
      </c>
      <c r="V58" s="77">
        <f>DATA!X54</f>
        <v>157500000</v>
      </c>
    </row>
    <row r="59" spans="1:24" ht="30" customHeight="1">
      <c r="A59" s="10">
        <f>DATA!A55</f>
        <v>44</v>
      </c>
      <c r="B59" s="10">
        <f>DATA!B55</f>
        <v>0</v>
      </c>
      <c r="C59" s="10" t="str">
        <f>DATA!D55</f>
        <v>INFRASTRUKTUR</v>
      </c>
      <c r="D59" s="10">
        <f>DATA!E55</f>
        <v>1</v>
      </c>
      <c r="E59" s="10" t="str">
        <f>DATA!F55</f>
        <v>Kementerian Pekerjaan Umum dan Perumahan Rakyat</v>
      </c>
      <c r="F59" s="10" t="str">
        <f>DATA!H55</f>
        <v>Development of Solid Waste Management Program</v>
      </c>
      <c r="G59" s="10" t="str">
        <f>DATA!I55</f>
        <v>F</v>
      </c>
      <c r="H59" s="10" t="str">
        <f>DATA!J55</f>
        <v xml:space="preserve">Program Pembangunan Sistem Pengelolaan Persampahan </v>
      </c>
      <c r="I59" s="10">
        <f>DATA!K55</f>
        <v>2</v>
      </c>
      <c r="J59" s="33"/>
      <c r="K59" s="34"/>
      <c r="L59" s="54"/>
      <c r="M59" s="36">
        <v>41</v>
      </c>
      <c r="N59" s="37" t="str">
        <f>DATA!L55</f>
        <v>The Improvement of Solid Waste Management to Support Regional Area and Metropolitan Cities</v>
      </c>
      <c r="O59" s="20">
        <f>DATA!Q55</f>
        <v>1</v>
      </c>
      <c r="P59" s="20">
        <f>DATA!R55</f>
        <v>1</v>
      </c>
      <c r="Q59" s="20">
        <f>DATA!S55</f>
        <v>38</v>
      </c>
      <c r="R59" s="77">
        <f>DATA!T55</f>
        <v>100000000</v>
      </c>
      <c r="S59" s="88">
        <f>DATA!U55</f>
        <v>100000000</v>
      </c>
      <c r="T59" s="77">
        <f>DATA!V55</f>
        <v>5000000</v>
      </c>
      <c r="U59" s="77">
        <f>DATA!W55</f>
        <v>0</v>
      </c>
      <c r="V59" s="77">
        <f>DATA!X55</f>
        <v>105000000</v>
      </c>
    </row>
    <row r="60" spans="1:24" s="5" customFormat="1" ht="33.75" customHeight="1">
      <c r="J60" s="28"/>
      <c r="K60" s="50"/>
      <c r="L60" s="30" t="str">
        <f>DATA!I56</f>
        <v>G</v>
      </c>
      <c r="M60" s="31" t="str">
        <f>DATA!J56</f>
        <v>Program Penanganan Kumuh</v>
      </c>
      <c r="N60" s="51"/>
      <c r="O60" s="31"/>
      <c r="P60" s="31"/>
      <c r="Q60" s="31"/>
      <c r="R60" s="81">
        <f>+R61+R62+R63+R64</f>
        <v>3614740000</v>
      </c>
      <c r="S60" s="81">
        <f>+S61+S62+S63+S64</f>
        <v>3614740000</v>
      </c>
      <c r="T60" s="81">
        <f>+T61+T62+T63+T64</f>
        <v>180737000</v>
      </c>
      <c r="U60" s="81">
        <f>+U61+U62+U63+U64</f>
        <v>0</v>
      </c>
      <c r="V60" s="81">
        <f>+V61+V62+V63+V64</f>
        <v>3795477000</v>
      </c>
    </row>
    <row r="61" spans="1:24" ht="33.75" customHeight="1">
      <c r="A61" s="10">
        <f>DATA!A56</f>
        <v>45</v>
      </c>
      <c r="B61" s="10">
        <f>DATA!B56</f>
        <v>0</v>
      </c>
      <c r="C61" s="10" t="str">
        <f>DATA!D56</f>
        <v>INFRASTRUKTUR</v>
      </c>
      <c r="D61" s="10">
        <f>DATA!E56</f>
        <v>1</v>
      </c>
      <c r="E61" s="10" t="str">
        <f>DATA!F56</f>
        <v>Kementerian Pekerjaan Umum dan Perumahan Rakyat</v>
      </c>
      <c r="F61" s="10" t="str">
        <f>DATA!H56</f>
        <v>Slum Alleviation Program</v>
      </c>
      <c r="G61" s="10" t="str">
        <f>DATA!I56</f>
        <v>G</v>
      </c>
      <c r="H61" s="10" t="str">
        <f>DATA!J56</f>
        <v>Program Penanganan Kumuh</v>
      </c>
      <c r="I61" s="10">
        <f>DATA!K56</f>
        <v>1</v>
      </c>
      <c r="J61" s="33"/>
      <c r="K61" s="34"/>
      <c r="L61" s="35"/>
      <c r="M61" s="36">
        <v>42</v>
      </c>
      <c r="N61" s="37" t="str">
        <f>DATA!L56</f>
        <v>Slum Improvement in Strategic Human Settlements Area (SISHA)</v>
      </c>
      <c r="O61" s="20">
        <f>DATA!Q56</f>
        <v>1</v>
      </c>
      <c r="P61" s="20">
        <f>DATA!R56</f>
        <v>1</v>
      </c>
      <c r="Q61" s="20">
        <f>DATA!S56</f>
        <v>39</v>
      </c>
      <c r="R61" s="77">
        <f>DATA!T56</f>
        <v>2100000000</v>
      </c>
      <c r="S61" s="88">
        <f>DATA!U56</f>
        <v>2100000000</v>
      </c>
      <c r="T61" s="77">
        <f>DATA!V56</f>
        <v>105000000</v>
      </c>
      <c r="U61" s="77">
        <f>DATA!W56</f>
        <v>0</v>
      </c>
      <c r="V61" s="77">
        <f>DATA!X56</f>
        <v>2205000000</v>
      </c>
    </row>
    <row r="62" spans="1:24" ht="19.5" customHeight="1">
      <c r="A62" s="10">
        <f>DATA!A57</f>
        <v>46</v>
      </c>
      <c r="B62" s="10">
        <f>DATA!B57</f>
        <v>0</v>
      </c>
      <c r="C62" s="10" t="str">
        <f>DATA!D57</f>
        <v>INFRASTRUKTUR</v>
      </c>
      <c r="D62" s="10">
        <f>DATA!E57</f>
        <v>1</v>
      </c>
      <c r="E62" s="10" t="str">
        <f>DATA!F57</f>
        <v>Kementerian Pekerjaan Umum dan Perumahan Rakyat</v>
      </c>
      <c r="F62" s="10" t="str">
        <f>DATA!H57</f>
        <v>Slum Alleviation Program</v>
      </c>
      <c r="G62" s="10" t="str">
        <f>DATA!I57</f>
        <v>G</v>
      </c>
      <c r="H62" s="10" t="str">
        <f>DATA!J57</f>
        <v>Program Penanganan Kumuh</v>
      </c>
      <c r="I62" s="10">
        <f>DATA!K57</f>
        <v>2</v>
      </c>
      <c r="J62" s="33"/>
      <c r="K62" s="34"/>
      <c r="L62" s="34"/>
      <c r="M62" s="36">
        <v>43</v>
      </c>
      <c r="N62" s="37" t="str">
        <f>DATA!L57</f>
        <v>National Slum Upgrading</v>
      </c>
      <c r="O62" s="20">
        <f>DATA!Q57</f>
        <v>0</v>
      </c>
      <c r="P62" s="20">
        <f>DATA!R57</f>
        <v>1</v>
      </c>
      <c r="Q62" s="20">
        <f>DATA!S57</f>
        <v>40</v>
      </c>
      <c r="R62" s="77">
        <f>DATA!T57</f>
        <v>1052640000</v>
      </c>
      <c r="S62" s="88">
        <f>DATA!U57</f>
        <v>1052640000</v>
      </c>
      <c r="T62" s="77">
        <f>DATA!V57</f>
        <v>52632000</v>
      </c>
      <c r="U62" s="77">
        <f>DATA!W57</f>
        <v>0</v>
      </c>
      <c r="V62" s="77">
        <f>DATA!X57</f>
        <v>1105272000</v>
      </c>
    </row>
    <row r="63" spans="1:24" ht="36" customHeight="1">
      <c r="A63" s="10">
        <f>DATA!A62</f>
        <v>48</v>
      </c>
      <c r="B63" s="10">
        <f>DATA!B62</f>
        <v>0</v>
      </c>
      <c r="C63" s="10" t="str">
        <f>DATA!D62</f>
        <v>INFRASTRUKTUR</v>
      </c>
      <c r="D63" s="10">
        <f>DATA!E62</f>
        <v>1</v>
      </c>
      <c r="E63" s="10" t="str">
        <f>DATA!F62</f>
        <v>Kementerian Pekerjaan Umum dan Perumahan Rakyat</v>
      </c>
      <c r="F63" s="10" t="str">
        <f>DATA!H62</f>
        <v>Slum Alleviation Program</v>
      </c>
      <c r="G63" s="10" t="str">
        <f>DATA!I62</f>
        <v>G</v>
      </c>
      <c r="H63" s="10" t="str">
        <f>DATA!J62</f>
        <v>Program Penanganan Kumuh</v>
      </c>
      <c r="I63" s="10">
        <f>DATA!K62</f>
        <v>3</v>
      </c>
      <c r="J63" s="33"/>
      <c r="K63" s="34"/>
      <c r="L63" s="34"/>
      <c r="M63" s="36">
        <v>44</v>
      </c>
      <c r="N63" s="37" t="str">
        <f>DATA!L62</f>
        <v>Rural Settlement Infrastructure Development (RSID)</v>
      </c>
      <c r="O63" s="20">
        <f>DATA!Q62</f>
        <v>1</v>
      </c>
      <c r="P63" s="20">
        <f>DATA!R62</f>
        <v>1</v>
      </c>
      <c r="Q63" s="20">
        <f>DATA!S62</f>
        <v>41</v>
      </c>
      <c r="R63" s="77">
        <f>DATA!T62</f>
        <v>201000000</v>
      </c>
      <c r="S63" s="88">
        <f>DATA!U62</f>
        <v>201000000</v>
      </c>
      <c r="T63" s="77">
        <f>DATA!V62</f>
        <v>10050000</v>
      </c>
      <c r="U63" s="77">
        <f>DATA!W62</f>
        <v>0</v>
      </c>
      <c r="V63" s="77">
        <f>DATA!X62</f>
        <v>211050000</v>
      </c>
    </row>
    <row r="64" spans="1:24" ht="36" customHeight="1">
      <c r="A64" s="10">
        <f>DATA!A63</f>
        <v>49</v>
      </c>
      <c r="B64" s="10">
        <f>DATA!B63</f>
        <v>0</v>
      </c>
      <c r="C64" s="10" t="str">
        <f>DATA!D63</f>
        <v>INFRASTRUKTUR</v>
      </c>
      <c r="D64" s="10">
        <f>DATA!E63</f>
        <v>1</v>
      </c>
      <c r="E64" s="10" t="str">
        <f>DATA!F63</f>
        <v>Kementerian Pekerjaan Umum dan Perumahan Rakyat</v>
      </c>
      <c r="F64" s="10" t="str">
        <f>DATA!H63</f>
        <v>Slum Alleviation Program</v>
      </c>
      <c r="G64" s="10" t="str">
        <f>DATA!I63</f>
        <v>G</v>
      </c>
      <c r="H64" s="10" t="str">
        <f>DATA!J63</f>
        <v>Program Penanganan Kumuh</v>
      </c>
      <c r="I64" s="10">
        <f>DATA!K63</f>
        <v>4</v>
      </c>
      <c r="J64" s="33"/>
      <c r="K64" s="34"/>
      <c r="L64" s="54"/>
      <c r="M64" s="36">
        <v>45</v>
      </c>
      <c r="N64" s="37" t="str">
        <f>DATA!L63</f>
        <v>Building Administration and Capacity Enforcement Development for Seismic Resilience</v>
      </c>
      <c r="O64" s="20">
        <f>DATA!Q63</f>
        <v>1</v>
      </c>
      <c r="P64" s="20">
        <f>DATA!R63</f>
        <v>1</v>
      </c>
      <c r="Q64" s="20">
        <f>DATA!S63</f>
        <v>42</v>
      </c>
      <c r="R64" s="77">
        <f>DATA!T63</f>
        <v>261100000</v>
      </c>
      <c r="S64" s="88">
        <f>DATA!U63</f>
        <v>261100000</v>
      </c>
      <c r="T64" s="77">
        <f>DATA!V63</f>
        <v>13055000</v>
      </c>
      <c r="U64" s="77">
        <f>DATA!W63</f>
        <v>0</v>
      </c>
      <c r="V64" s="77">
        <f>DATA!X63</f>
        <v>274155000</v>
      </c>
    </row>
    <row r="65" spans="1:22" s="5" customFormat="1" ht="33.75" customHeight="1">
      <c r="J65" s="28"/>
      <c r="K65" s="50"/>
      <c r="L65" s="30" t="str">
        <f>DATA!I67</f>
        <v>I</v>
      </c>
      <c r="M65" s="31" t="str">
        <f>DATA!J67</f>
        <v>Program Pengembangan dan Pengelolaan Irigasi</v>
      </c>
      <c r="N65" s="51"/>
      <c r="O65" s="31"/>
      <c r="P65" s="31"/>
      <c r="Q65" s="31"/>
      <c r="R65" s="81">
        <f>SUM(R66:R76)</f>
        <v>2557531000</v>
      </c>
      <c r="S65" s="81">
        <f>SUM(S66:S76)</f>
        <v>2557531000</v>
      </c>
      <c r="T65" s="81">
        <f>SUM(T66:T76)</f>
        <v>275159500</v>
      </c>
      <c r="U65" s="81">
        <f>SUM(U66:U76)</f>
        <v>0</v>
      </c>
      <c r="V65" s="81">
        <f>SUM(V66:V76)</f>
        <v>2832690500</v>
      </c>
    </row>
    <row r="66" spans="1:22" ht="36" customHeight="1">
      <c r="J66" s="33"/>
      <c r="K66" s="34"/>
      <c r="L66" s="34"/>
      <c r="M66" s="36">
        <v>46</v>
      </c>
      <c r="N66" s="37" t="str">
        <f>DATA!L67</f>
        <v>Integrated Participatory Development and Management of Irrigation Project - Phase I</v>
      </c>
      <c r="O66" s="20"/>
      <c r="P66" s="20"/>
      <c r="Q66" s="20"/>
      <c r="R66" s="77">
        <f>DATA!T67</f>
        <v>0</v>
      </c>
      <c r="S66" s="77">
        <f>DATA!U67</f>
        <v>0</v>
      </c>
      <c r="T66" s="77">
        <f>DATA!V67</f>
        <v>0</v>
      </c>
      <c r="U66" s="77">
        <f>DATA!W67</f>
        <v>0</v>
      </c>
      <c r="V66" s="77">
        <f>DATA!X67</f>
        <v>0</v>
      </c>
    </row>
    <row r="67" spans="1:22" ht="38.25" customHeight="1">
      <c r="J67" s="33"/>
      <c r="K67" s="34"/>
      <c r="L67" s="34"/>
      <c r="M67" s="36">
        <v>47</v>
      </c>
      <c r="N67" s="37" t="str">
        <f>DATA!L70</f>
        <v>Integrated Participatory Development and Management of Irrigation Project - Phase II</v>
      </c>
      <c r="O67" s="20"/>
      <c r="P67" s="20"/>
      <c r="Q67" s="20"/>
      <c r="R67" s="77">
        <f>DATA!T70</f>
        <v>500000000</v>
      </c>
      <c r="S67" s="77">
        <f>DATA!U70</f>
        <v>500000000</v>
      </c>
      <c r="T67" s="77">
        <f>DATA!V70</f>
        <v>50000000</v>
      </c>
      <c r="U67" s="77">
        <f>DATA!W70</f>
        <v>0</v>
      </c>
      <c r="V67" s="77">
        <f>DATA!X70</f>
        <v>550000000</v>
      </c>
    </row>
    <row r="68" spans="1:22" ht="41.25" customHeight="1">
      <c r="A68" s="10">
        <f>DATA!A72</f>
        <v>54</v>
      </c>
      <c r="B68" s="10">
        <f>DATA!B72</f>
        <v>0</v>
      </c>
      <c r="C68" s="10" t="str">
        <f>DATA!D72</f>
        <v>INFRASTRUKTUR</v>
      </c>
      <c r="D68" s="10">
        <f>DATA!E72</f>
        <v>1</v>
      </c>
      <c r="E68" s="10" t="str">
        <f>DATA!F72</f>
        <v>Kementerian Pekerjaan Umum dan Perumahan Rakyat</v>
      </c>
      <c r="F68" s="10" t="str">
        <f>DATA!H72</f>
        <v xml:space="preserve">Development and Management of Irrigation Program </v>
      </c>
      <c r="G68" s="10" t="str">
        <f>DATA!I72</f>
        <v>I</v>
      </c>
      <c r="H68" s="10" t="str">
        <f>DATA!J72</f>
        <v>Program Pengembangan dan Pengelolaan Irigasi</v>
      </c>
      <c r="I68" s="10">
        <f>DATA!K72</f>
        <v>2</v>
      </c>
      <c r="J68" s="33"/>
      <c r="K68" s="34"/>
      <c r="L68" s="34"/>
      <c r="M68" s="36">
        <v>48</v>
      </c>
      <c r="N68" s="37" t="str">
        <f>DATA!L72</f>
        <v>The Urgent Rehabilitation of Strategic Irrigation for Western Region of Indonesia</v>
      </c>
      <c r="O68" s="20">
        <f>DATA!Q72</f>
        <v>1</v>
      </c>
      <c r="P68" s="20">
        <f>DATA!R72</f>
        <v>1</v>
      </c>
      <c r="Q68" s="20">
        <f>DATA!S72</f>
        <v>45</v>
      </c>
      <c r="R68" s="77">
        <f>DATA!T72</f>
        <v>195778000</v>
      </c>
      <c r="S68" s="88">
        <f>DATA!U72</f>
        <v>195778000</v>
      </c>
      <c r="T68" s="77">
        <f>DATA!V72</f>
        <v>27149500</v>
      </c>
      <c r="U68" s="77">
        <f>DATA!W72</f>
        <v>0</v>
      </c>
      <c r="V68" s="77">
        <f>DATA!X72</f>
        <v>222927500</v>
      </c>
    </row>
    <row r="69" spans="1:22" ht="34.5" customHeight="1">
      <c r="A69" s="10">
        <f>DATA!A73</f>
        <v>55</v>
      </c>
      <c r="B69" s="10">
        <f>DATA!B73</f>
        <v>0</v>
      </c>
      <c r="C69" s="10" t="str">
        <f>DATA!D73</f>
        <v>INFRASTRUKTUR</v>
      </c>
      <c r="D69" s="10">
        <f>DATA!E73</f>
        <v>1</v>
      </c>
      <c r="E69" s="10" t="str">
        <f>DATA!F73</f>
        <v>Kementerian Pekerjaan Umum dan Perumahan Rakyat</v>
      </c>
      <c r="F69" s="10" t="str">
        <f>DATA!H73</f>
        <v xml:space="preserve">Development and Management of Irrigation Program </v>
      </c>
      <c r="G69" s="10" t="str">
        <f>DATA!I73</f>
        <v>I</v>
      </c>
      <c r="H69" s="10" t="str">
        <f>DATA!J73</f>
        <v>Program Pengembangan dan Pengelolaan Irigasi</v>
      </c>
      <c r="I69" s="10">
        <f>DATA!K73</f>
        <v>3</v>
      </c>
      <c r="J69" s="33"/>
      <c r="K69" s="34"/>
      <c r="L69" s="34"/>
      <c r="M69" s="36">
        <v>49</v>
      </c>
      <c r="N69" s="37" t="str">
        <f>DATA!L73</f>
        <v>Rentang Modernization Strategic Irrigation (RIMP)</v>
      </c>
      <c r="O69" s="20">
        <f>DATA!Q73</f>
        <v>1</v>
      </c>
      <c r="P69" s="20">
        <f>DATA!R73</f>
        <v>1</v>
      </c>
      <c r="Q69" s="20">
        <f>DATA!S73</f>
        <v>46</v>
      </c>
      <c r="R69" s="77">
        <f>DATA!T73</f>
        <v>480000000</v>
      </c>
      <c r="S69" s="88">
        <f>DATA!U73</f>
        <v>480000000</v>
      </c>
      <c r="T69" s="77">
        <f>DATA!V73</f>
        <v>48000000</v>
      </c>
      <c r="U69" s="77">
        <f>DATA!W73</f>
        <v>0</v>
      </c>
      <c r="V69" s="77">
        <f>DATA!X73</f>
        <v>528000000</v>
      </c>
    </row>
    <row r="70" spans="1:22" ht="25.5" customHeight="1">
      <c r="A70" s="10">
        <f>DATA!A74</f>
        <v>56</v>
      </c>
      <c r="B70" s="10">
        <f>DATA!B74</f>
        <v>0</v>
      </c>
      <c r="C70" s="10" t="str">
        <f>DATA!D74</f>
        <v>INFRASTRUKTUR</v>
      </c>
      <c r="D70" s="10">
        <f>DATA!E74</f>
        <v>1</v>
      </c>
      <c r="E70" s="10" t="str">
        <f>DATA!F74</f>
        <v>Kementerian Pekerjaan Umum dan Perumahan Rakyat</v>
      </c>
      <c r="F70" s="10" t="str">
        <f>DATA!H74</f>
        <v xml:space="preserve">Development and Management of Irrigation Program </v>
      </c>
      <c r="G70" s="10" t="str">
        <f>DATA!I74</f>
        <v>I</v>
      </c>
      <c r="H70" s="10" t="str">
        <f>DATA!J74</f>
        <v>Program Pengembangan dan Pengelolaan Irigasi</v>
      </c>
      <c r="I70" s="10">
        <f>DATA!K74</f>
        <v>4</v>
      </c>
      <c r="J70" s="33"/>
      <c r="K70" s="34"/>
      <c r="L70" s="34"/>
      <c r="M70" s="36">
        <v>50</v>
      </c>
      <c r="N70" s="37" t="str">
        <f>DATA!L74</f>
        <v>Komering Irrigation Project Stage III</v>
      </c>
      <c r="O70" s="20">
        <f>DATA!Q74</f>
        <v>1</v>
      </c>
      <c r="P70" s="20">
        <f>DATA!R74</f>
        <v>1</v>
      </c>
      <c r="Q70" s="20">
        <f>DATA!S74</f>
        <v>47</v>
      </c>
      <c r="R70" s="77">
        <f>DATA!T74</f>
        <v>120000000</v>
      </c>
      <c r="S70" s="88">
        <f>DATA!U74</f>
        <v>120000000</v>
      </c>
      <c r="T70" s="77">
        <f>DATA!V74</f>
        <v>12000000</v>
      </c>
      <c r="U70" s="77">
        <f>DATA!W74</f>
        <v>0</v>
      </c>
      <c r="V70" s="77">
        <f>DATA!X74</f>
        <v>132000000</v>
      </c>
    </row>
    <row r="71" spans="1:22" ht="28.5" customHeight="1">
      <c r="A71" s="10">
        <f>DATA!A75</f>
        <v>57</v>
      </c>
      <c r="B71" s="10">
        <f>DATA!B75</f>
        <v>0</v>
      </c>
      <c r="C71" s="10" t="str">
        <f>DATA!D75</f>
        <v>INFRASTRUKTUR</v>
      </c>
      <c r="D71" s="10">
        <f>DATA!E75</f>
        <v>1</v>
      </c>
      <c r="E71" s="10" t="str">
        <f>DATA!F75</f>
        <v>Kementerian Pekerjaan Umum dan Perumahan Rakyat</v>
      </c>
      <c r="F71" s="10" t="str">
        <f>DATA!H75</f>
        <v xml:space="preserve">Development and Management of Irrigation Program </v>
      </c>
      <c r="G71" s="10" t="str">
        <f>DATA!I75</f>
        <v>I</v>
      </c>
      <c r="H71" s="10" t="str">
        <f>DATA!J75</f>
        <v>Program Pengembangan dan Pengelolaan Irigasi</v>
      </c>
      <c r="I71" s="10">
        <f>DATA!K75</f>
        <v>5</v>
      </c>
      <c r="J71" s="33"/>
      <c r="K71" s="34"/>
      <c r="L71" s="34"/>
      <c r="M71" s="36">
        <v>51</v>
      </c>
      <c r="N71" s="37" t="str">
        <f>DATA!L75</f>
        <v>Irrigation Development in North Sumatera</v>
      </c>
      <c r="O71" s="20">
        <f>DATA!Q75</f>
        <v>1</v>
      </c>
      <c r="P71" s="20">
        <f>DATA!R75</f>
        <v>1</v>
      </c>
      <c r="Q71" s="20">
        <f>DATA!S75</f>
        <v>48</v>
      </c>
      <c r="R71" s="77">
        <f>DATA!T75</f>
        <v>350000000</v>
      </c>
      <c r="S71" s="88">
        <f>DATA!U75</f>
        <v>350000000</v>
      </c>
      <c r="T71" s="77">
        <f>DATA!V75</f>
        <v>35000000</v>
      </c>
      <c r="U71" s="77">
        <f>DATA!W75</f>
        <v>0</v>
      </c>
      <c r="V71" s="77">
        <f>DATA!X75</f>
        <v>385000000</v>
      </c>
    </row>
    <row r="72" spans="1:22" ht="46.5" customHeight="1">
      <c r="A72" s="10">
        <f>DATA!A76</f>
        <v>58</v>
      </c>
      <c r="B72" s="10">
        <f>DATA!B76</f>
        <v>0</v>
      </c>
      <c r="C72" s="10" t="str">
        <f>DATA!D76</f>
        <v>INFRASTRUKTUR</v>
      </c>
      <c r="D72" s="10">
        <f>DATA!E76</f>
        <v>1</v>
      </c>
      <c r="E72" s="10" t="str">
        <f>DATA!F76</f>
        <v>Kementerian Pekerjaan Umum dan Perumahan Rakyat</v>
      </c>
      <c r="F72" s="10" t="str">
        <f>DATA!H76</f>
        <v xml:space="preserve">Development and Management of Irrigation Program </v>
      </c>
      <c r="G72" s="10" t="str">
        <f>DATA!I76</f>
        <v>I</v>
      </c>
      <c r="H72" s="10" t="str">
        <f>DATA!J76</f>
        <v>Program Pengembangan dan Pengelolaan Irigasi</v>
      </c>
      <c r="I72" s="10">
        <f>DATA!K76</f>
        <v>6</v>
      </c>
      <c r="J72" s="33"/>
      <c r="K72" s="34"/>
      <c r="L72" s="34"/>
      <c r="M72" s="36">
        <v>52</v>
      </c>
      <c r="N72" s="37" t="str">
        <f>DATA!L76</f>
        <v>Integrated Participatory Development and Management of Lhok Guci and Peureulak Irrigation Project</v>
      </c>
      <c r="O72" s="20">
        <f>DATA!Q76</f>
        <v>1</v>
      </c>
      <c r="P72" s="20">
        <f>DATA!R76</f>
        <v>1</v>
      </c>
      <c r="Q72" s="20">
        <f>DATA!S76</f>
        <v>49</v>
      </c>
      <c r="R72" s="77">
        <f>DATA!T76</f>
        <v>161298000</v>
      </c>
      <c r="S72" s="88">
        <f>DATA!U76</f>
        <v>161298000</v>
      </c>
      <c r="T72" s="77">
        <f>DATA!V76</f>
        <v>24195000</v>
      </c>
      <c r="U72" s="77">
        <f>DATA!W76</f>
        <v>0</v>
      </c>
      <c r="V72" s="77">
        <f>DATA!X76</f>
        <v>185493000</v>
      </c>
    </row>
    <row r="73" spans="1:22" ht="28.5" customHeight="1">
      <c r="A73" s="10">
        <f>DATA!A77</f>
        <v>59</v>
      </c>
      <c r="B73" s="10">
        <f>DATA!B77</f>
        <v>0</v>
      </c>
      <c r="C73" s="10" t="str">
        <f>DATA!D77</f>
        <v>INFRASTRUKTUR</v>
      </c>
      <c r="D73" s="10">
        <f>DATA!E77</f>
        <v>1</v>
      </c>
      <c r="E73" s="10" t="str">
        <f>DATA!F77</f>
        <v>Kementerian Pekerjaan Umum dan Perumahan Rakyat</v>
      </c>
      <c r="F73" s="10" t="str">
        <f>DATA!H77</f>
        <v xml:space="preserve">Development and Management of Irrigation Program </v>
      </c>
      <c r="G73" s="10" t="str">
        <f>DATA!I77</f>
        <v>I</v>
      </c>
      <c r="H73" s="10" t="str">
        <f>DATA!J77</f>
        <v>Program Pengembangan dan Pengelolaan Irigasi</v>
      </c>
      <c r="I73" s="10">
        <f>DATA!K77</f>
        <v>7</v>
      </c>
      <c r="J73" s="33"/>
      <c r="K73" s="34"/>
      <c r="L73" s="34"/>
      <c r="M73" s="36">
        <v>53</v>
      </c>
      <c r="N73" s="37" t="str">
        <f>DATA!L77</f>
        <v>Modernization Strategic Irrigation Project (MSIP)</v>
      </c>
      <c r="O73" s="20">
        <f>DATA!Q77</f>
        <v>1</v>
      </c>
      <c r="P73" s="20">
        <f>DATA!R77</f>
        <v>1</v>
      </c>
      <c r="Q73" s="20">
        <f>DATA!S77</f>
        <v>50</v>
      </c>
      <c r="R73" s="77">
        <f>DATA!T77</f>
        <v>278355000</v>
      </c>
      <c r="S73" s="88">
        <f>DATA!U77</f>
        <v>278355000</v>
      </c>
      <c r="T73" s="77">
        <f>DATA!V77</f>
        <v>28000000</v>
      </c>
      <c r="U73" s="77">
        <f>DATA!W77</f>
        <v>0</v>
      </c>
      <c r="V73" s="77">
        <f>DATA!X77</f>
        <v>306355000</v>
      </c>
    </row>
    <row r="74" spans="1:22" ht="30" customHeight="1">
      <c r="A74" s="10">
        <f>DATA!A78</f>
        <v>60</v>
      </c>
      <c r="B74" s="10">
        <f>DATA!B78</f>
        <v>0</v>
      </c>
      <c r="C74" s="10" t="str">
        <f>DATA!D78</f>
        <v>INFRASTRUKTUR</v>
      </c>
      <c r="D74" s="10">
        <f>DATA!E78</f>
        <v>1</v>
      </c>
      <c r="E74" s="10" t="str">
        <f>DATA!F78</f>
        <v>Kementerian Pekerjaan Umum dan Perumahan Rakyat</v>
      </c>
      <c r="F74" s="10" t="str">
        <f>DATA!H78</f>
        <v xml:space="preserve">Development and Management of Irrigation Program </v>
      </c>
      <c r="G74" s="10" t="str">
        <f>DATA!I78</f>
        <v>I</v>
      </c>
      <c r="H74" s="10" t="str">
        <f>DATA!J78</f>
        <v>Program Pengembangan dan Pengelolaan Irigasi</v>
      </c>
      <c r="I74" s="10">
        <f>DATA!K78</f>
        <v>8</v>
      </c>
      <c r="J74" s="33"/>
      <c r="K74" s="34"/>
      <c r="L74" s="34"/>
      <c r="M74" s="36">
        <v>54</v>
      </c>
      <c r="N74" s="37" t="str">
        <f>DATA!L78</f>
        <v>Urgent Rehabilitation of  Irrigation Project in Indonesia (URIP)</v>
      </c>
      <c r="O74" s="20">
        <f>DATA!Q78</f>
        <v>1</v>
      </c>
      <c r="P74" s="20">
        <f>DATA!R78</f>
        <v>1</v>
      </c>
      <c r="Q74" s="20">
        <f>DATA!S78</f>
        <v>51</v>
      </c>
      <c r="R74" s="77">
        <f>DATA!T78</f>
        <v>272100000</v>
      </c>
      <c r="S74" s="88">
        <f>DATA!U78</f>
        <v>272100000</v>
      </c>
      <c r="T74" s="77">
        <f>DATA!V78</f>
        <v>40815000</v>
      </c>
      <c r="U74" s="77">
        <f>DATA!W78</f>
        <v>0</v>
      </c>
      <c r="V74" s="77">
        <f>DATA!X78</f>
        <v>312915000</v>
      </c>
    </row>
    <row r="75" spans="1:22" ht="29.25" customHeight="1">
      <c r="A75" s="10">
        <f>DATA!A79</f>
        <v>61</v>
      </c>
      <c r="B75" s="10">
        <f>DATA!B79</f>
        <v>0</v>
      </c>
      <c r="C75" s="10" t="str">
        <f>DATA!D79</f>
        <v>INFRASTRUKTUR</v>
      </c>
      <c r="D75" s="10">
        <f>DATA!E79</f>
        <v>1</v>
      </c>
      <c r="E75" s="10" t="str">
        <f>DATA!F79</f>
        <v>Kementerian Pekerjaan Umum dan Perumahan Rakyat</v>
      </c>
      <c r="F75" s="10" t="str">
        <f>DATA!H79</f>
        <v xml:space="preserve">Development and Management of Irrigation Program </v>
      </c>
      <c r="G75" s="10" t="str">
        <f>DATA!I79</f>
        <v>I</v>
      </c>
      <c r="H75" s="10" t="str">
        <f>DATA!J79</f>
        <v>Program Pengembangan dan Pengelolaan Irigasi</v>
      </c>
      <c r="I75" s="10">
        <f>DATA!K79</f>
        <v>9</v>
      </c>
      <c r="J75" s="33"/>
      <c r="K75" s="34"/>
      <c r="L75" s="34"/>
      <c r="M75" s="36">
        <v>55</v>
      </c>
      <c r="N75" s="37" t="str">
        <f>DATA!L79</f>
        <v>Revitalization Groundwater Irrigation in Indonesia</v>
      </c>
      <c r="O75" s="20">
        <f>DATA!Q79</f>
        <v>1</v>
      </c>
      <c r="P75" s="20">
        <f>DATA!R79</f>
        <v>1</v>
      </c>
      <c r="Q75" s="20">
        <f>DATA!S79</f>
        <v>52</v>
      </c>
      <c r="R75" s="77">
        <f>DATA!T79</f>
        <v>100000000</v>
      </c>
      <c r="S75" s="88">
        <f>DATA!U79</f>
        <v>100000000</v>
      </c>
      <c r="T75" s="77">
        <f>DATA!V79</f>
        <v>10000000</v>
      </c>
      <c r="U75" s="77">
        <f>DATA!W79</f>
        <v>0</v>
      </c>
      <c r="V75" s="77">
        <f>DATA!X79</f>
        <v>110000000</v>
      </c>
    </row>
    <row r="76" spans="1:22" ht="36" customHeight="1">
      <c r="A76" s="10">
        <f>DATA!A80</f>
        <v>62</v>
      </c>
      <c r="B76" s="10">
        <f>DATA!B80</f>
        <v>0</v>
      </c>
      <c r="C76" s="10" t="str">
        <f>DATA!D80</f>
        <v>INFRASTRUKTUR</v>
      </c>
      <c r="D76" s="10">
        <f>DATA!E80</f>
        <v>1</v>
      </c>
      <c r="E76" s="10" t="str">
        <f>DATA!F80</f>
        <v>Kementerian Pekerjaan Umum dan Perumahan Rakyat</v>
      </c>
      <c r="F76" s="10" t="str">
        <f>DATA!H80</f>
        <v xml:space="preserve">Development and Management of Irrigation Program </v>
      </c>
      <c r="G76" s="10" t="str">
        <f>DATA!I80</f>
        <v>I</v>
      </c>
      <c r="H76" s="10" t="str">
        <f>DATA!J80</f>
        <v>Program Pengembangan dan Pengelolaan Irigasi</v>
      </c>
      <c r="I76" s="10">
        <f>DATA!K80</f>
        <v>10</v>
      </c>
      <c r="J76" s="33"/>
      <c r="K76" s="34"/>
      <c r="L76" s="54"/>
      <c r="M76" s="36">
        <v>56</v>
      </c>
      <c r="N76" s="37" t="str">
        <f>DATA!L80</f>
        <v>Engineering Service for Irrigation and Low Land Development Project</v>
      </c>
      <c r="O76" s="20">
        <f>DATA!Q80</f>
        <v>1</v>
      </c>
      <c r="P76" s="20">
        <f>DATA!R80</f>
        <v>1</v>
      </c>
      <c r="Q76" s="20">
        <f>DATA!S80</f>
        <v>53</v>
      </c>
      <c r="R76" s="77">
        <f>DATA!T80</f>
        <v>100000000</v>
      </c>
      <c r="S76" s="88">
        <f>DATA!U80</f>
        <v>100000000</v>
      </c>
      <c r="T76" s="77">
        <f>DATA!V80</f>
        <v>0</v>
      </c>
      <c r="U76" s="77">
        <f>DATA!W80</f>
        <v>0</v>
      </c>
      <c r="V76" s="77">
        <f>DATA!X80</f>
        <v>100000000</v>
      </c>
    </row>
    <row r="77" spans="1:22" s="5" customFormat="1" ht="33.75" customHeight="1">
      <c r="J77" s="28"/>
      <c r="K77" s="50"/>
      <c r="L77" s="30" t="str">
        <f>DATA!I81</f>
        <v>J</v>
      </c>
      <c r="M77" s="31" t="str">
        <f>DATA!J81</f>
        <v xml:space="preserve">Program Penyediaan dan Pengelolaan Air Baku </v>
      </c>
      <c r="N77" s="51"/>
      <c r="O77" s="31"/>
      <c r="P77" s="31"/>
      <c r="Q77" s="31"/>
      <c r="R77" s="81">
        <f>SUM(R78:R80)</f>
        <v>623862000</v>
      </c>
      <c r="S77" s="81">
        <f>SUM(S78:S80)</f>
        <v>623862000</v>
      </c>
      <c r="T77" s="81">
        <f>SUM(T78:T80)</f>
        <v>201074000</v>
      </c>
      <c r="U77" s="81">
        <f>SUM(U78:U80)</f>
        <v>0</v>
      </c>
      <c r="V77" s="81">
        <f>SUM(V78:V80)</f>
        <v>824936000</v>
      </c>
    </row>
    <row r="78" spans="1:22" ht="44.25" customHeight="1">
      <c r="A78" s="10">
        <f>DATA!A81</f>
        <v>63</v>
      </c>
      <c r="B78" s="10">
        <f>DATA!B81</f>
        <v>0</v>
      </c>
      <c r="C78" s="10" t="str">
        <f>DATA!D81</f>
        <v>INFRASTRUKTUR</v>
      </c>
      <c r="D78" s="10">
        <f>DATA!E81</f>
        <v>1</v>
      </c>
      <c r="E78" s="10" t="str">
        <f>DATA!F81</f>
        <v>Kementerian Pekerjaan Umum dan Perumahan Rakyat</v>
      </c>
      <c r="F78" s="10" t="str">
        <f>DATA!H81</f>
        <v>Provision and Management of Bulk Water Supply Program</v>
      </c>
      <c r="G78" s="10" t="str">
        <f>DATA!I81</f>
        <v>J</v>
      </c>
      <c r="H78" s="10" t="str">
        <f>DATA!J81</f>
        <v xml:space="preserve">Program Penyediaan dan Pengelolaan Air Baku </v>
      </c>
      <c r="I78" s="10">
        <f>DATA!K81</f>
        <v>1</v>
      </c>
      <c r="J78" s="33"/>
      <c r="K78" s="34"/>
      <c r="L78" s="35"/>
      <c r="M78" s="36">
        <v>57</v>
      </c>
      <c r="N78" s="37" t="str">
        <f>DATA!L81</f>
        <v>Integrated Citarum Water Resources Management Investment Program II</v>
      </c>
      <c r="O78" s="20">
        <f>DATA!Q81</f>
        <v>1</v>
      </c>
      <c r="P78" s="20">
        <f>DATA!R81</f>
        <v>1</v>
      </c>
      <c r="Q78" s="20">
        <f>DATA!S81</f>
        <v>54</v>
      </c>
      <c r="R78" s="77">
        <f>DATA!T81</f>
        <v>200000000</v>
      </c>
      <c r="S78" s="88">
        <f>DATA!U81</f>
        <v>200000000</v>
      </c>
      <c r="T78" s="77">
        <f>DATA!V81</f>
        <v>20000000</v>
      </c>
      <c r="U78" s="77">
        <f>DATA!W81</f>
        <v>0</v>
      </c>
      <c r="V78" s="77">
        <f>DATA!X81</f>
        <v>220000000</v>
      </c>
    </row>
    <row r="79" spans="1:22" ht="32.25" customHeight="1">
      <c r="A79" s="10">
        <f>DATA!A82</f>
        <v>64</v>
      </c>
      <c r="B79" s="10">
        <f>DATA!B82</f>
        <v>0</v>
      </c>
      <c r="C79" s="10" t="str">
        <f>DATA!D82</f>
        <v>INFRASTRUKTUR</v>
      </c>
      <c r="D79" s="10">
        <f>DATA!E82</f>
        <v>1</v>
      </c>
      <c r="E79" s="10" t="str">
        <f>DATA!F82</f>
        <v>Kementerian Pekerjaan Umum dan Perumahan Rakyat</v>
      </c>
      <c r="F79" s="10" t="str">
        <f>DATA!H82</f>
        <v>Provision and Management of Bulk Water Supply Program</v>
      </c>
      <c r="G79" s="10" t="str">
        <f>DATA!I82</f>
        <v>I</v>
      </c>
      <c r="H79" s="10" t="str">
        <f>DATA!J82</f>
        <v xml:space="preserve">Program Penyediaan dan Pengelolaan Air Baku </v>
      </c>
      <c r="I79" s="10">
        <f>DATA!K82</f>
        <v>2</v>
      </c>
      <c r="J79" s="33"/>
      <c r="K79" s="34"/>
      <c r="L79" s="34"/>
      <c r="M79" s="36">
        <v>58</v>
      </c>
      <c r="N79" s="37" t="str">
        <f>DATA!L82</f>
        <v>Karian Dam-Serpong Water Conveyance and Supply System Project</v>
      </c>
      <c r="O79" s="20">
        <f>DATA!Q82</f>
        <v>1</v>
      </c>
      <c r="P79" s="20">
        <f>DATA!R82</f>
        <v>1</v>
      </c>
      <c r="Q79" s="20">
        <f>DATA!S82</f>
        <v>55</v>
      </c>
      <c r="R79" s="77">
        <f>DATA!T82</f>
        <v>373862000</v>
      </c>
      <c r="S79" s="88">
        <f>DATA!U82</f>
        <v>373862000</v>
      </c>
      <c r="T79" s="77">
        <f>DATA!V82</f>
        <v>181074000</v>
      </c>
      <c r="U79" s="77">
        <f>DATA!W82</f>
        <v>0</v>
      </c>
      <c r="V79" s="77">
        <f>DATA!X82</f>
        <v>554936000</v>
      </c>
    </row>
    <row r="80" spans="1:22" ht="47.25" customHeight="1">
      <c r="A80" s="10">
        <f>DATA!A83</f>
        <v>65</v>
      </c>
      <c r="B80" s="10">
        <f>DATA!B83</f>
        <v>0</v>
      </c>
      <c r="C80" s="10" t="str">
        <f>DATA!D83</f>
        <v>INFRASTRUKTUR</v>
      </c>
      <c r="D80" s="10">
        <f>DATA!E83</f>
        <v>1</v>
      </c>
      <c r="E80" s="10" t="str">
        <f>DATA!F83</f>
        <v>Kementerian Pekerjaan Umum dan Perumahan Rakyat</v>
      </c>
      <c r="F80" s="10" t="str">
        <f>DATA!H83</f>
        <v>Provision and Management of Bulk Water Supply Program</v>
      </c>
      <c r="G80" s="10" t="str">
        <f>DATA!I83</f>
        <v>I</v>
      </c>
      <c r="H80" s="10" t="str">
        <f>DATA!J83</f>
        <v xml:space="preserve">Program Penyediaan dan Pengelolaan Air Baku </v>
      </c>
      <c r="I80" s="10">
        <f>DATA!K83</f>
        <v>3</v>
      </c>
      <c r="J80" s="33"/>
      <c r="K80" s="34"/>
      <c r="L80" s="54"/>
      <c r="M80" s="36">
        <v>59</v>
      </c>
      <c r="N80" s="37" t="str">
        <f>DATA!L83</f>
        <v>Engineering Service for Bulk Water and Water Supply Development Project</v>
      </c>
      <c r="O80" s="20">
        <f>DATA!Q83</f>
        <v>1</v>
      </c>
      <c r="P80" s="20">
        <f>DATA!R83</f>
        <v>1</v>
      </c>
      <c r="Q80" s="20">
        <f>DATA!S83</f>
        <v>56</v>
      </c>
      <c r="R80" s="77">
        <f>DATA!T83</f>
        <v>50000000</v>
      </c>
      <c r="S80" s="88">
        <f>DATA!U83</f>
        <v>50000000</v>
      </c>
      <c r="T80" s="77">
        <f>DATA!V83</f>
        <v>0</v>
      </c>
      <c r="U80" s="77">
        <f>DATA!W83</f>
        <v>0</v>
      </c>
      <c r="V80" s="77">
        <f>DATA!X83</f>
        <v>50000000</v>
      </c>
    </row>
    <row r="81" spans="1:22" s="5" customFormat="1" ht="33.75" customHeight="1">
      <c r="J81" s="28"/>
      <c r="K81" s="50"/>
      <c r="L81" s="30" t="str">
        <f>DATA!I84</f>
        <v>J</v>
      </c>
      <c r="M81" s="31" t="str">
        <f>DATA!J84</f>
        <v xml:space="preserve">Program Pembangunan Waduk </v>
      </c>
      <c r="N81" s="51"/>
      <c r="O81" s="31"/>
      <c r="P81" s="31"/>
      <c r="Q81" s="31"/>
      <c r="R81" s="81">
        <f>SUM(R82:R92)</f>
        <v>2133750000</v>
      </c>
      <c r="S81" s="81">
        <f>SUM(S82:S92)</f>
        <v>2133750000</v>
      </c>
      <c r="T81" s="81">
        <f>SUM(T82:T92)</f>
        <v>963200000</v>
      </c>
      <c r="U81" s="81">
        <f>SUM(U82:U92)</f>
        <v>0</v>
      </c>
      <c r="V81" s="81">
        <f>SUM(V82:V92)</f>
        <v>3096950000</v>
      </c>
    </row>
    <row r="82" spans="1:22" ht="22.5" customHeight="1">
      <c r="A82" s="10">
        <f>DATA!A84</f>
        <v>66</v>
      </c>
      <c r="B82" s="10">
        <f>DATA!B84</f>
        <v>0</v>
      </c>
      <c r="C82" s="10" t="str">
        <f>DATA!D84</f>
        <v>INFRASTRUKTUR</v>
      </c>
      <c r="D82" s="10">
        <f>DATA!E84</f>
        <v>1</v>
      </c>
      <c r="E82" s="10" t="str">
        <f>DATA!F84</f>
        <v>Kementerian Pekerjaan Umum dan Perumahan Rakyat</v>
      </c>
      <c r="F82" s="10" t="str">
        <f>DATA!H84</f>
        <v>Dam Development Program</v>
      </c>
      <c r="G82" s="10" t="str">
        <f>DATA!I84</f>
        <v>J</v>
      </c>
      <c r="H82" s="10" t="str">
        <f>DATA!J84</f>
        <v xml:space="preserve">Program Pembangunan Waduk </v>
      </c>
      <c r="I82" s="10">
        <f>DATA!K84</f>
        <v>1</v>
      </c>
      <c r="J82" s="33"/>
      <c r="K82" s="34"/>
      <c r="L82" s="35"/>
      <c r="M82" s="36">
        <v>60</v>
      </c>
      <c r="N82" s="37" t="str">
        <f>DATA!L84</f>
        <v>Jambo Aye Multipurpose Dam Project</v>
      </c>
      <c r="O82" s="20">
        <f>DATA!Q84</f>
        <v>1</v>
      </c>
      <c r="P82" s="20">
        <f>DATA!R84</f>
        <v>1</v>
      </c>
      <c r="Q82" s="20">
        <f>DATA!S84</f>
        <v>57</v>
      </c>
      <c r="R82" s="77">
        <f>DATA!T84</f>
        <v>662200000</v>
      </c>
      <c r="S82" s="88">
        <f>DATA!U84</f>
        <v>662200000</v>
      </c>
      <c r="T82" s="77">
        <f>DATA!V84</f>
        <v>460700000</v>
      </c>
      <c r="U82" s="77">
        <f>DATA!W84</f>
        <v>0</v>
      </c>
      <c r="V82" s="77">
        <f>DATA!X84</f>
        <v>1122900000</v>
      </c>
    </row>
    <row r="83" spans="1:22" ht="39" customHeight="1">
      <c r="A83" s="10">
        <f>DATA!A85</f>
        <v>67</v>
      </c>
      <c r="B83" s="10">
        <f>DATA!B85</f>
        <v>0</v>
      </c>
      <c r="C83" s="10" t="str">
        <f>DATA!D85</f>
        <v>INFRASTRUKTUR</v>
      </c>
      <c r="D83" s="10">
        <f>DATA!E85</f>
        <v>1</v>
      </c>
      <c r="E83" s="10" t="str">
        <f>DATA!F85</f>
        <v>Kementerian Pekerjaan Umum dan Perumahan Rakyat</v>
      </c>
      <c r="F83" s="10" t="str">
        <f>DATA!H85</f>
        <v>Dam Development Program</v>
      </c>
      <c r="G83" s="10" t="str">
        <f>DATA!I85</f>
        <v>J</v>
      </c>
      <c r="H83" s="10" t="str">
        <f>DATA!J85</f>
        <v xml:space="preserve">Program Pembangunan Waduk </v>
      </c>
      <c r="I83" s="10">
        <f>DATA!K85</f>
        <v>2</v>
      </c>
      <c r="J83" s="33"/>
      <c r="K83" s="34"/>
      <c r="L83" s="34"/>
      <c r="M83" s="36">
        <v>61</v>
      </c>
      <c r="N83" s="37" t="str">
        <f>DATA!L85</f>
        <v>Komering Multipurpose Dam Project - Phase II</v>
      </c>
      <c r="O83" s="20">
        <f>DATA!Q85</f>
        <v>1</v>
      </c>
      <c r="P83" s="20">
        <f>DATA!R85</f>
        <v>1</v>
      </c>
      <c r="Q83" s="20">
        <f>DATA!S85</f>
        <v>58</v>
      </c>
      <c r="R83" s="77">
        <f>DATA!T85</f>
        <v>200000000</v>
      </c>
      <c r="S83" s="88">
        <f>DATA!U85</f>
        <v>200000000</v>
      </c>
      <c r="T83" s="77">
        <f>DATA!V85</f>
        <v>20000000</v>
      </c>
      <c r="U83" s="77">
        <f>DATA!W85</f>
        <v>0</v>
      </c>
      <c r="V83" s="77">
        <f>DATA!X85</f>
        <v>220000000</v>
      </c>
    </row>
    <row r="84" spans="1:22" ht="24.75" customHeight="1">
      <c r="A84" s="10">
        <f>DATA!A86</f>
        <v>68</v>
      </c>
      <c r="B84" s="10">
        <f>DATA!B86</f>
        <v>0</v>
      </c>
      <c r="C84" s="10" t="str">
        <f>DATA!D86</f>
        <v>INFRASTRUKTUR</v>
      </c>
      <c r="D84" s="10">
        <f>DATA!E86</f>
        <v>1</v>
      </c>
      <c r="E84" s="10" t="str">
        <f>DATA!F86</f>
        <v>Kementerian Pekerjaan Umum dan Perumahan Rakyat</v>
      </c>
      <c r="F84" s="10" t="str">
        <f>DATA!H86</f>
        <v>Dam Development Program</v>
      </c>
      <c r="G84" s="10" t="str">
        <f>DATA!I86</f>
        <v>J</v>
      </c>
      <c r="H84" s="10" t="str">
        <f>DATA!J86</f>
        <v xml:space="preserve">Program Pembangunan Waduk </v>
      </c>
      <c r="I84" s="10">
        <f>DATA!K86</f>
        <v>3</v>
      </c>
      <c r="J84" s="33"/>
      <c r="K84" s="34"/>
      <c r="L84" s="34"/>
      <c r="M84" s="36">
        <v>62</v>
      </c>
      <c r="N84" s="37" t="str">
        <f>DATA!L86</f>
        <v>Pelosika Multipurpose Dam Construction Project</v>
      </c>
      <c r="O84" s="20">
        <f>DATA!Q86</f>
        <v>1</v>
      </c>
      <c r="P84" s="20">
        <f>DATA!R86</f>
        <v>1</v>
      </c>
      <c r="Q84" s="20">
        <f>DATA!S86</f>
        <v>59</v>
      </c>
      <c r="R84" s="77">
        <f>DATA!T86</f>
        <v>200000000</v>
      </c>
      <c r="S84" s="88">
        <f>DATA!U86</f>
        <v>200000000</v>
      </c>
      <c r="T84" s="77">
        <f>DATA!V86</f>
        <v>170000000</v>
      </c>
      <c r="U84" s="77">
        <f>DATA!W86</f>
        <v>0</v>
      </c>
      <c r="V84" s="77">
        <f>DATA!X86</f>
        <v>370000000</v>
      </c>
    </row>
    <row r="85" spans="1:22" ht="24.75" customHeight="1">
      <c r="A85" s="10">
        <f>DATA!A87</f>
        <v>69</v>
      </c>
      <c r="B85" s="10">
        <f>DATA!B87</f>
        <v>0</v>
      </c>
      <c r="C85" s="10" t="str">
        <f>DATA!D87</f>
        <v>INFRASTRUKTUR</v>
      </c>
      <c r="D85" s="10">
        <f>DATA!E87</f>
        <v>1</v>
      </c>
      <c r="E85" s="10" t="str">
        <f>DATA!F87</f>
        <v>Kementerian Pekerjaan Umum dan Perumahan Rakyat</v>
      </c>
      <c r="F85" s="10" t="str">
        <f>DATA!H87</f>
        <v>Dam Development Program</v>
      </c>
      <c r="G85" s="10" t="str">
        <f>DATA!I87</f>
        <v>J</v>
      </c>
      <c r="H85" s="10" t="str">
        <f>DATA!J87</f>
        <v xml:space="preserve">Program Pembangunan Waduk </v>
      </c>
      <c r="I85" s="10">
        <f>DATA!K87</f>
        <v>4</v>
      </c>
      <c r="J85" s="33"/>
      <c r="K85" s="34"/>
      <c r="L85" s="34"/>
      <c r="M85" s="36">
        <v>63</v>
      </c>
      <c r="N85" s="37" t="str">
        <f>DATA!L87</f>
        <v>Lambakan  Dam Project</v>
      </c>
      <c r="O85" s="20">
        <f>DATA!Q87</f>
        <v>1</v>
      </c>
      <c r="P85" s="20">
        <f>DATA!R87</f>
        <v>1</v>
      </c>
      <c r="Q85" s="20">
        <f>DATA!S87</f>
        <v>60</v>
      </c>
      <c r="R85" s="77">
        <f>DATA!T87</f>
        <v>258000000</v>
      </c>
      <c r="S85" s="88">
        <f>DATA!U87</f>
        <v>258000000</v>
      </c>
      <c r="T85" s="77">
        <f>DATA!V87</f>
        <v>227000000</v>
      </c>
      <c r="U85" s="77">
        <f>DATA!W87</f>
        <v>0</v>
      </c>
      <c r="V85" s="77">
        <f>DATA!X87</f>
        <v>485000000</v>
      </c>
    </row>
    <row r="86" spans="1:22" ht="25.5" customHeight="1">
      <c r="A86" s="10">
        <f>DATA!A88</f>
        <v>70</v>
      </c>
      <c r="B86" s="10">
        <f>DATA!B88</f>
        <v>0</v>
      </c>
      <c r="C86" s="10" t="str">
        <f>DATA!D88</f>
        <v>INFRASTRUKTUR</v>
      </c>
      <c r="D86" s="10">
        <f>DATA!E88</f>
        <v>1</v>
      </c>
      <c r="E86" s="10" t="str">
        <f>DATA!F88</f>
        <v>Kementerian Pekerjaan Umum dan Perumahan Rakyat</v>
      </c>
      <c r="F86" s="10" t="str">
        <f>DATA!H88</f>
        <v>Dam Development Program</v>
      </c>
      <c r="G86" s="10" t="str">
        <f>DATA!I88</f>
        <v>J</v>
      </c>
      <c r="H86" s="10" t="str">
        <f>DATA!J88</f>
        <v xml:space="preserve">Program Pembangunan Waduk </v>
      </c>
      <c r="I86" s="10">
        <f>DATA!K88</f>
        <v>5</v>
      </c>
      <c r="J86" s="33"/>
      <c r="K86" s="34"/>
      <c r="L86" s="34"/>
      <c r="M86" s="36">
        <v>64</v>
      </c>
      <c r="N86" s="37" t="str">
        <f>DATA!L88</f>
        <v>Jenelata Dam Construction Project</v>
      </c>
      <c r="O86" s="20">
        <f>DATA!Q88</f>
        <v>1</v>
      </c>
      <c r="P86" s="20">
        <f>DATA!R88</f>
        <v>1</v>
      </c>
      <c r="Q86" s="20">
        <f>DATA!S88</f>
        <v>61</v>
      </c>
      <c r="R86" s="77">
        <f>DATA!T88</f>
        <v>200000000</v>
      </c>
      <c r="S86" s="88">
        <f>DATA!U88</f>
        <v>200000000</v>
      </c>
      <c r="T86" s="77">
        <f>DATA!V88</f>
        <v>20000000</v>
      </c>
      <c r="U86" s="77">
        <f>DATA!W88</f>
        <v>0</v>
      </c>
      <c r="V86" s="77">
        <f>DATA!X88</f>
        <v>220000000</v>
      </c>
    </row>
    <row r="87" spans="1:22" ht="22.5" customHeight="1">
      <c r="A87" s="10">
        <f>DATA!A89</f>
        <v>71</v>
      </c>
      <c r="B87" s="10">
        <f>DATA!B89</f>
        <v>0</v>
      </c>
      <c r="C87" s="10" t="str">
        <f>DATA!D89</f>
        <v>INFRASTRUKTUR</v>
      </c>
      <c r="D87" s="10">
        <f>DATA!E89</f>
        <v>1</v>
      </c>
      <c r="E87" s="10" t="str">
        <f>DATA!F89</f>
        <v>Kementerian Pekerjaan Umum dan Perumahan Rakyat</v>
      </c>
      <c r="F87" s="10" t="str">
        <f>DATA!H89</f>
        <v>Dam Development Program</v>
      </c>
      <c r="G87" s="10" t="str">
        <f>DATA!I89</f>
        <v>J</v>
      </c>
      <c r="H87" s="10" t="str">
        <f>DATA!J89</f>
        <v xml:space="preserve">Program Pembangunan Waduk </v>
      </c>
      <c r="I87" s="10">
        <f>DATA!K89</f>
        <v>6</v>
      </c>
      <c r="J87" s="33"/>
      <c r="K87" s="34"/>
      <c r="L87" s="34"/>
      <c r="M87" s="36">
        <v>65</v>
      </c>
      <c r="N87" s="37" t="str">
        <f>DATA!L89</f>
        <v>Bonehulu Dam Construction Project</v>
      </c>
      <c r="O87" s="20">
        <f>DATA!Q89</f>
        <v>1</v>
      </c>
      <c r="P87" s="20">
        <f>DATA!R89</f>
        <v>1</v>
      </c>
      <c r="Q87" s="20">
        <f>DATA!S89</f>
        <v>62</v>
      </c>
      <c r="R87" s="77">
        <f>DATA!T89</f>
        <v>128250000</v>
      </c>
      <c r="S87" s="88">
        <f>DATA!U89</f>
        <v>128250000</v>
      </c>
      <c r="T87" s="77">
        <f>DATA!V89</f>
        <v>21000000</v>
      </c>
      <c r="U87" s="77">
        <f>DATA!W89</f>
        <v>0</v>
      </c>
      <c r="V87" s="77">
        <f>DATA!X89</f>
        <v>149250000</v>
      </c>
    </row>
    <row r="88" spans="1:22" ht="32.25" customHeight="1">
      <c r="A88" s="10">
        <f>DATA!A90</f>
        <v>72</v>
      </c>
      <c r="B88" s="10">
        <f>DATA!B90</f>
        <v>0</v>
      </c>
      <c r="C88" s="10" t="str">
        <f>DATA!D90</f>
        <v>INFRASTRUKTUR</v>
      </c>
      <c r="D88" s="10">
        <f>DATA!E90</f>
        <v>1</v>
      </c>
      <c r="E88" s="10" t="str">
        <f>DATA!F90</f>
        <v>Kementerian Pekerjaan Umum dan Perumahan Rakyat</v>
      </c>
      <c r="F88" s="10" t="str">
        <f>DATA!H90</f>
        <v>Dam Development Program</v>
      </c>
      <c r="G88" s="10" t="str">
        <f>DATA!I90</f>
        <v>J</v>
      </c>
      <c r="H88" s="10" t="str">
        <f>DATA!J90</f>
        <v xml:space="preserve">Program Pembangunan Waduk </v>
      </c>
      <c r="I88" s="10">
        <f>DATA!K90</f>
        <v>7</v>
      </c>
      <c r="J88" s="33"/>
      <c r="K88" s="34"/>
      <c r="L88" s="34"/>
      <c r="M88" s="36">
        <v>66</v>
      </c>
      <c r="N88" s="37" t="str">
        <f>DATA!L90</f>
        <v>Ladongi Dam Construction Project</v>
      </c>
      <c r="O88" s="20">
        <f>DATA!Q90</f>
        <v>1</v>
      </c>
      <c r="P88" s="20">
        <f>DATA!R90</f>
        <v>1</v>
      </c>
      <c r="Q88" s="20">
        <f>DATA!S90</f>
        <v>63</v>
      </c>
      <c r="R88" s="77">
        <f>DATA!T90</f>
        <v>70000000</v>
      </c>
      <c r="S88" s="88">
        <f>DATA!U90</f>
        <v>70000000</v>
      </c>
      <c r="T88" s="77">
        <f>DATA!V90</f>
        <v>7000000</v>
      </c>
      <c r="U88" s="77">
        <f>DATA!W90</f>
        <v>0</v>
      </c>
      <c r="V88" s="77">
        <f>DATA!X90</f>
        <v>77000000</v>
      </c>
    </row>
    <row r="89" spans="1:22" ht="28.5" customHeight="1">
      <c r="A89" s="10">
        <f>DATA!A91</f>
        <v>73</v>
      </c>
      <c r="B89" s="10">
        <f>DATA!B91</f>
        <v>0</v>
      </c>
      <c r="C89" s="10" t="str">
        <f>DATA!D91</f>
        <v>INFRASTRUKTUR</v>
      </c>
      <c r="D89" s="10">
        <f>DATA!E91</f>
        <v>1</v>
      </c>
      <c r="E89" s="10" t="str">
        <f>DATA!F91</f>
        <v>Kementerian Pekerjaan Umum dan Perumahan Rakyat</v>
      </c>
      <c r="F89" s="10" t="str">
        <f>DATA!H91</f>
        <v>Dam Development Program</v>
      </c>
      <c r="G89" s="10" t="str">
        <f>DATA!I91</f>
        <v>J</v>
      </c>
      <c r="H89" s="10" t="str">
        <f>DATA!J91</f>
        <v xml:space="preserve">Program Pembangunan Waduk </v>
      </c>
      <c r="I89" s="10">
        <f>DATA!K91</f>
        <v>8</v>
      </c>
      <c r="J89" s="33"/>
      <c r="K89" s="34"/>
      <c r="L89" s="34"/>
      <c r="M89" s="36">
        <v>67</v>
      </c>
      <c r="N89" s="37" t="str">
        <f>DATA!L91</f>
        <v>Kuwil Kawangkoan Dam Construction Project</v>
      </c>
      <c r="O89" s="20">
        <f>DATA!Q91</f>
        <v>1</v>
      </c>
      <c r="P89" s="20">
        <f>DATA!R91</f>
        <v>1</v>
      </c>
      <c r="Q89" s="20">
        <f>DATA!S91</f>
        <v>64</v>
      </c>
      <c r="R89" s="77">
        <f>DATA!T91</f>
        <v>110000000</v>
      </c>
      <c r="S89" s="88">
        <f>DATA!U91</f>
        <v>110000000</v>
      </c>
      <c r="T89" s="77">
        <f>DATA!V91</f>
        <v>11000000</v>
      </c>
      <c r="U89" s="77">
        <f>DATA!W91</f>
        <v>0</v>
      </c>
      <c r="V89" s="77">
        <f>DATA!X91</f>
        <v>121000000</v>
      </c>
    </row>
    <row r="90" spans="1:22" ht="40.5" customHeight="1">
      <c r="A90" s="10">
        <f>DATA!A92</f>
        <v>74</v>
      </c>
      <c r="B90" s="10">
        <f>DATA!B92</f>
        <v>0</v>
      </c>
      <c r="C90" s="10" t="str">
        <f>DATA!D92</f>
        <v>INFRASTRUKTUR</v>
      </c>
      <c r="D90" s="10">
        <f>DATA!E92</f>
        <v>1</v>
      </c>
      <c r="E90" s="10" t="str">
        <f>DATA!F92</f>
        <v>Kementerian Pekerjaan Umum dan Perumahan Rakyat</v>
      </c>
      <c r="F90" s="10" t="str">
        <f>DATA!H92</f>
        <v>Dam Development Program</v>
      </c>
      <c r="G90" s="10" t="str">
        <f>DATA!I92</f>
        <v>J</v>
      </c>
      <c r="H90" s="10" t="str">
        <f>DATA!J92</f>
        <v xml:space="preserve">Program Pembangunan Waduk </v>
      </c>
      <c r="I90" s="10">
        <f>DATA!K92</f>
        <v>9</v>
      </c>
      <c r="J90" s="33"/>
      <c r="K90" s="34"/>
      <c r="L90" s="34"/>
      <c r="M90" s="36">
        <v>68</v>
      </c>
      <c r="N90" s="37" t="str">
        <f>DATA!L92</f>
        <v>Lompatan Harimau Dam Construction Project (Rokan Kiri Dam Construction Project)</v>
      </c>
      <c r="O90" s="20">
        <f>DATA!Q92</f>
        <v>1</v>
      </c>
      <c r="P90" s="20">
        <f>DATA!R92</f>
        <v>1</v>
      </c>
      <c r="Q90" s="20">
        <f>DATA!S92</f>
        <v>65</v>
      </c>
      <c r="R90" s="77">
        <f>DATA!T92</f>
        <v>152100000</v>
      </c>
      <c r="S90" s="88">
        <f>DATA!U92</f>
        <v>152100000</v>
      </c>
      <c r="T90" s="77">
        <f>DATA!V92</f>
        <v>26500000</v>
      </c>
      <c r="U90" s="77">
        <f>DATA!W92</f>
        <v>0</v>
      </c>
      <c r="V90" s="77">
        <f>DATA!X92</f>
        <v>178600000</v>
      </c>
    </row>
    <row r="91" spans="1:22" ht="33" customHeight="1">
      <c r="A91" s="10">
        <f>DATA!A93</f>
        <v>75</v>
      </c>
      <c r="B91" s="10">
        <f>DATA!B93</f>
        <v>0</v>
      </c>
      <c r="C91" s="10" t="str">
        <f>DATA!D93</f>
        <v>INFRASTRUKTUR</v>
      </c>
      <c r="D91" s="10">
        <f>DATA!E93</f>
        <v>1</v>
      </c>
      <c r="E91" s="10" t="str">
        <f>DATA!F93</f>
        <v>Kementerian Pekerjaan Umum dan Perumahan Rakyat</v>
      </c>
      <c r="F91" s="10" t="str">
        <f>DATA!H93</f>
        <v>Dam Development Program</v>
      </c>
      <c r="G91" s="10" t="str">
        <f>DATA!I93</f>
        <v>J</v>
      </c>
      <c r="H91" s="10" t="str">
        <f>DATA!J93</f>
        <v xml:space="preserve">Program Pembangunan Waduk </v>
      </c>
      <c r="I91" s="10">
        <f>DATA!K93</f>
        <v>10</v>
      </c>
      <c r="J91" s="33"/>
      <c r="K91" s="34"/>
      <c r="L91" s="34"/>
      <c r="M91" s="36">
        <v>69</v>
      </c>
      <c r="N91" s="37" t="str">
        <f>DATA!L93</f>
        <v>Engineering Service for Dam Multipurpose Development Project</v>
      </c>
      <c r="O91" s="20">
        <f>DATA!Q93</f>
        <v>0</v>
      </c>
      <c r="P91" s="20">
        <f>DATA!R93</f>
        <v>1</v>
      </c>
      <c r="Q91" s="20">
        <f>DATA!S93</f>
        <v>66</v>
      </c>
      <c r="R91" s="77">
        <f>DATA!T93</f>
        <v>100000000</v>
      </c>
      <c r="S91" s="88">
        <f>DATA!U93</f>
        <v>100000000</v>
      </c>
      <c r="T91" s="77">
        <f>DATA!V93</f>
        <v>0</v>
      </c>
      <c r="U91" s="77">
        <f>DATA!W93</f>
        <v>0</v>
      </c>
      <c r="V91" s="77">
        <f>DATA!X93</f>
        <v>100000000</v>
      </c>
    </row>
    <row r="92" spans="1:22" ht="25.5" customHeight="1">
      <c r="A92" s="10">
        <f>DATA!A97</f>
        <v>76</v>
      </c>
      <c r="B92" s="10">
        <f>DATA!B97</f>
        <v>0</v>
      </c>
      <c r="C92" s="10" t="str">
        <f>DATA!D97</f>
        <v>INFRASTRUKTUR</v>
      </c>
      <c r="D92" s="10">
        <f>DATA!E97</f>
        <v>1</v>
      </c>
      <c r="E92" s="10" t="str">
        <f>DATA!F97</f>
        <v>Kementerian Pekerjaan Umum dan Perumahan Rakyat</v>
      </c>
      <c r="F92" s="10" t="str">
        <f>DATA!H97</f>
        <v>Dam Development Program</v>
      </c>
      <c r="G92" s="10" t="str">
        <f>DATA!I97</f>
        <v>J</v>
      </c>
      <c r="H92" s="10" t="str">
        <f>DATA!J97</f>
        <v xml:space="preserve">Program Pembangunan Waduk </v>
      </c>
      <c r="I92" s="10">
        <f>DATA!K97</f>
        <v>11</v>
      </c>
      <c r="J92" s="33"/>
      <c r="K92" s="34"/>
      <c r="L92" s="54"/>
      <c r="M92" s="36">
        <v>70</v>
      </c>
      <c r="N92" s="37" t="str">
        <f>DATA!L97</f>
        <v>Additional Loan for Jatigede Dam Project 2</v>
      </c>
      <c r="O92" s="20">
        <f>DATA!Q97</f>
        <v>1</v>
      </c>
      <c r="P92" s="20">
        <f>DATA!R97</f>
        <v>1</v>
      </c>
      <c r="Q92" s="20">
        <f>DATA!S97</f>
        <v>67</v>
      </c>
      <c r="R92" s="77">
        <f>DATA!T97</f>
        <v>53200000</v>
      </c>
      <c r="S92" s="88">
        <f>DATA!U97</f>
        <v>53200000</v>
      </c>
      <c r="T92" s="77">
        <f>DATA!V97</f>
        <v>0</v>
      </c>
      <c r="U92" s="77">
        <f>DATA!W97</f>
        <v>0</v>
      </c>
      <c r="V92" s="77">
        <f>DATA!X97</f>
        <v>53200000</v>
      </c>
    </row>
    <row r="93" spans="1:22" s="5" customFormat="1" ht="33.75" customHeight="1">
      <c r="J93" s="28"/>
      <c r="K93" s="50"/>
      <c r="L93" s="30" t="str">
        <f>DATA!I98</f>
        <v>K</v>
      </c>
      <c r="M93" s="31" t="str">
        <f>DATA!J98</f>
        <v>Program Mitigasi Terhadap Daya Rusak Air</v>
      </c>
      <c r="N93" s="51"/>
      <c r="O93" s="31"/>
      <c r="P93" s="31"/>
      <c r="Q93" s="31"/>
      <c r="R93" s="81">
        <f>+R94+R95+R96+R97+R98+R99+R100+R101</f>
        <v>1152636000</v>
      </c>
      <c r="S93" s="81">
        <f>+S94+S95+S96+S97+S98+S99+S100+S101</f>
        <v>1152636000</v>
      </c>
      <c r="T93" s="81">
        <f>+T94+T95+T96+T97+T98+T99+T100+T101</f>
        <v>149840000</v>
      </c>
      <c r="U93" s="81">
        <f>+U94+U95+U96+U97+U98+U99+U100+U101</f>
        <v>0</v>
      </c>
      <c r="V93" s="81">
        <f>+V94+V95+V96+V97+V98+V99+V100+V101</f>
        <v>1302476000</v>
      </c>
    </row>
    <row r="94" spans="1:22" ht="36.75" customHeight="1">
      <c r="A94" s="10">
        <f>DATA!A98</f>
        <v>77</v>
      </c>
      <c r="B94" s="10">
        <f>DATA!B98</f>
        <v>0</v>
      </c>
      <c r="C94" s="10" t="str">
        <f>DATA!D98</f>
        <v>INFRASTRUKTUR</v>
      </c>
      <c r="D94" s="10">
        <f>DATA!E98</f>
        <v>1</v>
      </c>
      <c r="E94" s="10" t="str">
        <f>DATA!F98</f>
        <v>Kementerian Pekerjaan Umum dan Perumahan Rakyat</v>
      </c>
      <c r="F94" s="10" t="str">
        <f>DATA!H98</f>
        <v>Mitigation of Water Hazards Program</v>
      </c>
      <c r="G94" s="10" t="str">
        <f>DATA!I98</f>
        <v>K</v>
      </c>
      <c r="H94" s="10" t="str">
        <f>DATA!J98</f>
        <v>Program Mitigasi Terhadap Daya Rusak Air</v>
      </c>
      <c r="I94" s="10">
        <f>DATA!K98</f>
        <v>1</v>
      </c>
      <c r="J94" s="33"/>
      <c r="K94" s="34"/>
      <c r="L94" s="35"/>
      <c r="M94" s="36">
        <v>71</v>
      </c>
      <c r="N94" s="37" t="str">
        <f>DATA!L98</f>
        <v>Lower Solo River Improvement Project - Phase II</v>
      </c>
      <c r="O94" s="20">
        <f>DATA!Q98</f>
        <v>1</v>
      </c>
      <c r="P94" s="20">
        <f>DATA!R98</f>
        <v>1</v>
      </c>
      <c r="Q94" s="20">
        <f>DATA!S98</f>
        <v>68</v>
      </c>
      <c r="R94" s="77">
        <f>DATA!T98</f>
        <v>155836000</v>
      </c>
      <c r="S94" s="88">
        <f>DATA!U98</f>
        <v>155836000</v>
      </c>
      <c r="T94" s="77">
        <f>DATA!V98</f>
        <v>22500000</v>
      </c>
      <c r="U94" s="77">
        <f>DATA!W98</f>
        <v>0</v>
      </c>
      <c r="V94" s="77">
        <f>DATA!X98</f>
        <v>178336000</v>
      </c>
    </row>
    <row r="95" spans="1:22" ht="39.75" customHeight="1">
      <c r="A95" s="10">
        <f>DATA!A99</f>
        <v>78</v>
      </c>
      <c r="B95" s="10">
        <f>DATA!B99</f>
        <v>0</v>
      </c>
      <c r="C95" s="10" t="str">
        <f>DATA!D99</f>
        <v>INFRASTRUKTUR</v>
      </c>
      <c r="D95" s="10">
        <f>DATA!E99</f>
        <v>1</v>
      </c>
      <c r="E95" s="10" t="str">
        <f>DATA!F99</f>
        <v>Kementerian Pekerjaan Umum dan Perumahan Rakyat</v>
      </c>
      <c r="F95" s="10" t="str">
        <f>DATA!H99</f>
        <v>Mitigation of Water Hazards Program</v>
      </c>
      <c r="G95" s="10" t="str">
        <f>DATA!I99</f>
        <v>K</v>
      </c>
      <c r="H95" s="10" t="str">
        <f>DATA!J99</f>
        <v>Program Mitigasi Terhadap Daya Rusak Air</v>
      </c>
      <c r="I95" s="10">
        <f>DATA!K99</f>
        <v>2</v>
      </c>
      <c r="J95" s="33"/>
      <c r="K95" s="34"/>
      <c r="L95" s="34"/>
      <c r="M95" s="36">
        <v>72</v>
      </c>
      <c r="N95" s="37" t="str">
        <f>DATA!L99</f>
        <v>Comprehensive Countermeasure for Sediment &amp; Flood Problems in South Sulawesi Province</v>
      </c>
      <c r="O95" s="20">
        <f>DATA!Q99</f>
        <v>1</v>
      </c>
      <c r="P95" s="20">
        <f>DATA!R99</f>
        <v>1</v>
      </c>
      <c r="Q95" s="20">
        <f>DATA!S99</f>
        <v>69</v>
      </c>
      <c r="R95" s="77">
        <f>DATA!T99</f>
        <v>108100000</v>
      </c>
      <c r="S95" s="88">
        <f>DATA!U99</f>
        <v>108100000</v>
      </c>
      <c r="T95" s="77">
        <f>DATA!V99</f>
        <v>3900000</v>
      </c>
      <c r="U95" s="77">
        <f>DATA!W99</f>
        <v>0</v>
      </c>
      <c r="V95" s="77">
        <f>DATA!X99</f>
        <v>112000000</v>
      </c>
    </row>
    <row r="96" spans="1:22" ht="22.5" customHeight="1">
      <c r="A96" s="10">
        <f>DATA!A100</f>
        <v>79</v>
      </c>
      <c r="B96" s="10">
        <f>DATA!B100</f>
        <v>0</v>
      </c>
      <c r="C96" s="10" t="str">
        <f>DATA!D100</f>
        <v>INFRASTRUKTUR</v>
      </c>
      <c r="D96" s="10">
        <f>DATA!E100</f>
        <v>1</v>
      </c>
      <c r="E96" s="10" t="str">
        <f>DATA!F100</f>
        <v>Kementerian Pekerjaan Umum dan Perumahan Rakyat</v>
      </c>
      <c r="F96" s="10" t="str">
        <f>DATA!H100</f>
        <v>Mitigation of Water Hazards Program</v>
      </c>
      <c r="G96" s="10" t="str">
        <f>DATA!I100</f>
        <v>K</v>
      </c>
      <c r="H96" s="10" t="str">
        <f>DATA!J100</f>
        <v>Program Mitigasi Terhadap Daya Rusak Air</v>
      </c>
      <c r="I96" s="10">
        <f>DATA!K100</f>
        <v>3</v>
      </c>
      <c r="J96" s="33"/>
      <c r="K96" s="34"/>
      <c r="L96" s="34"/>
      <c r="M96" s="36">
        <v>73</v>
      </c>
      <c r="N96" s="37" t="str">
        <f>DATA!L100</f>
        <v>Bali Beach Conservation Project - Phase II</v>
      </c>
      <c r="O96" s="20">
        <f>DATA!Q100</f>
        <v>1</v>
      </c>
      <c r="P96" s="20">
        <f>DATA!R100</f>
        <v>1</v>
      </c>
      <c r="Q96" s="20">
        <f>DATA!S100</f>
        <v>70</v>
      </c>
      <c r="R96" s="77">
        <f>DATA!T100</f>
        <v>150000000</v>
      </c>
      <c r="S96" s="88">
        <f>DATA!U100</f>
        <v>150000000</v>
      </c>
      <c r="T96" s="77">
        <f>DATA!V100</f>
        <v>15000000</v>
      </c>
      <c r="U96" s="77">
        <f>DATA!W100</f>
        <v>0</v>
      </c>
      <c r="V96" s="77">
        <f>DATA!X100</f>
        <v>165000000</v>
      </c>
    </row>
    <row r="97" spans="1:29" ht="33" customHeight="1">
      <c r="A97" s="10">
        <f>DATA!A101</f>
        <v>80</v>
      </c>
      <c r="B97" s="10">
        <f>DATA!B101</f>
        <v>0</v>
      </c>
      <c r="C97" s="10" t="str">
        <f>DATA!D101</f>
        <v>INFRASTRUKTUR</v>
      </c>
      <c r="D97" s="10">
        <f>DATA!E101</f>
        <v>1</v>
      </c>
      <c r="E97" s="10" t="str">
        <f>DATA!F101</f>
        <v>Kementerian Pekerjaan Umum dan Perumahan Rakyat</v>
      </c>
      <c r="F97" s="10" t="str">
        <f>DATA!H101</f>
        <v>Mitigation of Water Hazards Program</v>
      </c>
      <c r="G97" s="10" t="str">
        <f>DATA!I101</f>
        <v>K</v>
      </c>
      <c r="H97" s="10" t="str">
        <f>DATA!J101</f>
        <v>Program Mitigasi Terhadap Daya Rusak Air</v>
      </c>
      <c r="I97" s="10">
        <f>DATA!K101</f>
        <v>4</v>
      </c>
      <c r="J97" s="33"/>
      <c r="K97" s="34"/>
      <c r="L97" s="34"/>
      <c r="M97" s="36">
        <v>74</v>
      </c>
      <c r="N97" s="37" t="str">
        <f>DATA!L101</f>
        <v xml:space="preserve">Urgent Disaster Reduction of Mt. Sinabung, Mt. Semeru, Mt. Kelud Mt. Lokon, and Mt. Gamalama </v>
      </c>
      <c r="O97" s="20">
        <f>DATA!Q101</f>
        <v>1</v>
      </c>
      <c r="P97" s="20">
        <f>DATA!R101</f>
        <v>1</v>
      </c>
      <c r="Q97" s="20">
        <f>DATA!S101</f>
        <v>71</v>
      </c>
      <c r="R97" s="77">
        <f>DATA!T101</f>
        <v>260000000</v>
      </c>
      <c r="S97" s="88">
        <f>DATA!U101</f>
        <v>260000000</v>
      </c>
      <c r="T97" s="77">
        <f>DATA!V101</f>
        <v>26000000</v>
      </c>
      <c r="U97" s="77">
        <f>DATA!W101</f>
        <v>0</v>
      </c>
      <c r="V97" s="77">
        <f>DATA!X101</f>
        <v>286000000</v>
      </c>
    </row>
    <row r="98" spans="1:29" ht="39" customHeight="1">
      <c r="A98" s="10">
        <f>DATA!A102</f>
        <v>81</v>
      </c>
      <c r="B98" s="10">
        <f>DATA!B102</f>
        <v>0</v>
      </c>
      <c r="C98" s="10" t="str">
        <f>DATA!D102</f>
        <v>INFRASTRUKTUR</v>
      </c>
      <c r="D98" s="10">
        <f>DATA!E102</f>
        <v>1</v>
      </c>
      <c r="E98" s="10" t="str">
        <f>DATA!F102</f>
        <v>Kementerian Pekerjaan Umum dan Perumahan Rakyat</v>
      </c>
      <c r="F98" s="10" t="str">
        <f>DATA!H102</f>
        <v>Mitigation of Water Hazards Program</v>
      </c>
      <c r="G98" s="10" t="str">
        <f>DATA!I102</f>
        <v>K</v>
      </c>
      <c r="H98" s="10" t="str">
        <f>DATA!J102</f>
        <v>Program Mitigasi Terhadap Daya Rusak Air</v>
      </c>
      <c r="I98" s="10">
        <f>DATA!K102</f>
        <v>5</v>
      </c>
      <c r="J98" s="33"/>
      <c r="K98" s="34"/>
      <c r="L98" s="34"/>
      <c r="M98" s="36">
        <v>75</v>
      </c>
      <c r="N98" s="37" t="str">
        <f>DATA!L102</f>
        <v xml:space="preserve">Urban Flood Control System Improvement in Selected Cities -Phase II  </v>
      </c>
      <c r="O98" s="20">
        <f>DATA!Q102</f>
        <v>1</v>
      </c>
      <c r="P98" s="20">
        <f>DATA!R102</f>
        <v>1</v>
      </c>
      <c r="Q98" s="20">
        <f>DATA!S102</f>
        <v>72</v>
      </c>
      <c r="R98" s="77">
        <f>DATA!T102</f>
        <v>120000000</v>
      </c>
      <c r="S98" s="88">
        <f>DATA!U102</f>
        <v>120000000</v>
      </c>
      <c r="T98" s="77">
        <f>DATA!V102</f>
        <v>12000000</v>
      </c>
      <c r="U98" s="77">
        <f>DATA!W102</f>
        <v>0</v>
      </c>
      <c r="V98" s="77">
        <f>DATA!X102</f>
        <v>132000000</v>
      </c>
    </row>
    <row r="99" spans="1:29" ht="46.5" customHeight="1">
      <c r="A99" s="10">
        <f>DATA!A104</f>
        <v>0</v>
      </c>
      <c r="B99" s="10">
        <f>DATA!B104</f>
        <v>0</v>
      </c>
      <c r="C99" s="10" t="str">
        <f>DATA!D104</f>
        <v>INFRASTRUKTUR</v>
      </c>
      <c r="D99" s="10">
        <f>DATA!E104</f>
        <v>1</v>
      </c>
      <c r="E99" s="10" t="str">
        <f>DATA!F104</f>
        <v>Kementerian Pekerjaan Umum dan Perumahan Rakyat</v>
      </c>
      <c r="F99" s="10" t="str">
        <f>DATA!H104</f>
        <v>Mitigation of Water Hazards Program</v>
      </c>
      <c r="G99" s="10" t="str">
        <f>DATA!I104</f>
        <v>K</v>
      </c>
      <c r="H99" s="10" t="str">
        <f>DATA!J104</f>
        <v>Program Mitigasi Terhadap Daya Rusak Air</v>
      </c>
      <c r="I99" s="10">
        <f>DATA!K104</f>
        <v>6</v>
      </c>
      <c r="J99" s="33"/>
      <c r="K99" s="34"/>
      <c r="L99" s="34"/>
      <c r="M99" s="36">
        <v>76</v>
      </c>
      <c r="N99" s="37" t="str">
        <f>DATA!L104</f>
        <v>Engineering Service for Coastal and River Development Project</v>
      </c>
      <c r="O99" s="20">
        <f>DATA!Q104</f>
        <v>1</v>
      </c>
      <c r="P99" s="20">
        <f>DATA!R104</f>
        <v>1</v>
      </c>
      <c r="Q99" s="20">
        <f>DATA!S104</f>
        <v>73</v>
      </c>
      <c r="R99" s="77">
        <f>DATA!T104</f>
        <v>50000000</v>
      </c>
      <c r="S99" s="88">
        <f>DATA!U104</f>
        <v>50000000</v>
      </c>
      <c r="T99" s="77">
        <f>DATA!V104</f>
        <v>0</v>
      </c>
      <c r="U99" s="77">
        <f>DATA!W104</f>
        <v>0</v>
      </c>
      <c r="V99" s="77">
        <f>DATA!X104</f>
        <v>50000000</v>
      </c>
    </row>
    <row r="100" spans="1:29" ht="38.25" customHeight="1">
      <c r="A100" s="10">
        <f>DATA!A108</f>
        <v>83</v>
      </c>
      <c r="B100" s="10">
        <f>DATA!B108</f>
        <v>0</v>
      </c>
      <c r="C100" s="10" t="str">
        <f>DATA!D108</f>
        <v>INFRASTRUKTUR</v>
      </c>
      <c r="D100" s="10">
        <f>DATA!E108</f>
        <v>1</v>
      </c>
      <c r="E100" s="10" t="str">
        <f>DATA!F108</f>
        <v>Kementerian Pekerjaan Umum dan Perumahan Rakyat</v>
      </c>
      <c r="F100" s="10" t="str">
        <f>DATA!H108</f>
        <v>Mitigation of Water Hazards Program</v>
      </c>
      <c r="G100" s="10" t="str">
        <f>DATA!I108</f>
        <v>K</v>
      </c>
      <c r="H100" s="10" t="str">
        <f>DATA!J108</f>
        <v>Program Mitigasi Terhadap Daya Rusak Air</v>
      </c>
      <c r="I100" s="10">
        <f>DATA!K108</f>
        <v>7</v>
      </c>
      <c r="J100" s="33"/>
      <c r="K100" s="34"/>
      <c r="L100" s="34"/>
      <c r="M100" s="36">
        <v>77</v>
      </c>
      <c r="N100" s="37" t="str">
        <f>DATA!L108</f>
        <v>Flood Management in Selected River Basins Sector Project (Additional Financing)</v>
      </c>
      <c r="O100" s="20">
        <f>DATA!Q108</f>
        <v>1</v>
      </c>
      <c r="P100" s="20">
        <f>DATA!R108</f>
        <v>1</v>
      </c>
      <c r="Q100" s="20">
        <f>DATA!S108</f>
        <v>74</v>
      </c>
      <c r="R100" s="77">
        <f>DATA!T108</f>
        <v>200000000</v>
      </c>
      <c r="S100" s="88">
        <f>DATA!U108</f>
        <v>200000000</v>
      </c>
      <c r="T100" s="77">
        <f>DATA!V108</f>
        <v>20000000</v>
      </c>
      <c r="U100" s="77">
        <f>DATA!W108</f>
        <v>0</v>
      </c>
      <c r="V100" s="77">
        <f>DATA!X108</f>
        <v>220000000</v>
      </c>
    </row>
    <row r="101" spans="1:29" ht="34.5" customHeight="1">
      <c r="A101" s="10">
        <f>DATA!A109</f>
        <v>84</v>
      </c>
      <c r="B101" s="10">
        <f>DATA!B109</f>
        <v>0</v>
      </c>
      <c r="C101" s="10" t="str">
        <f>DATA!D109</f>
        <v>INFRASTRUKTUR</v>
      </c>
      <c r="D101" s="10">
        <f>DATA!E109</f>
        <v>1</v>
      </c>
      <c r="E101" s="10" t="str">
        <f>DATA!F109</f>
        <v>Kementerian Pekerjaan Umum dan Perumahan Rakyat</v>
      </c>
      <c r="F101" s="10" t="str">
        <f>DATA!H109</f>
        <v>Mitigation of Water Hazards Program</v>
      </c>
      <c r="G101" s="10" t="str">
        <f>DATA!I109</f>
        <v>K</v>
      </c>
      <c r="H101" s="10" t="str">
        <f>DATA!J109</f>
        <v>Program Mitigasi Terhadap Daya Rusak Air</v>
      </c>
      <c r="I101" s="10">
        <f>DATA!K109</f>
        <v>7</v>
      </c>
      <c r="J101" s="33"/>
      <c r="K101" s="34"/>
      <c r="L101" s="54"/>
      <c r="M101" s="36">
        <v>78</v>
      </c>
      <c r="N101" s="37" t="str">
        <f>DATA!L109</f>
        <v>Flood Management in Selected River Basins</v>
      </c>
      <c r="O101" s="20">
        <f>DATA!Q109</f>
        <v>1</v>
      </c>
      <c r="P101" s="20">
        <f>DATA!R109</f>
        <v>1</v>
      </c>
      <c r="Q101" s="20">
        <f>DATA!S109</f>
        <v>75</v>
      </c>
      <c r="R101" s="77">
        <f>DATA!T109</f>
        <v>108700000</v>
      </c>
      <c r="S101" s="88">
        <f>DATA!U109</f>
        <v>108700000</v>
      </c>
      <c r="T101" s="77">
        <f>DATA!V109</f>
        <v>50440000</v>
      </c>
      <c r="U101" s="77">
        <f>DATA!W109</f>
        <v>0</v>
      </c>
      <c r="V101" s="77">
        <f>DATA!X109</f>
        <v>159140000</v>
      </c>
    </row>
    <row r="102" spans="1:29" s="5" customFormat="1" ht="33.75" customHeight="1">
      <c r="J102" s="28"/>
      <c r="K102" s="50"/>
      <c r="L102" s="30" t="str">
        <f>DATA!I110</f>
        <v>L</v>
      </c>
      <c r="M102" s="31" t="str">
        <f>DATA!J110</f>
        <v xml:space="preserve">Program Pengelolaan Infrastruktur Sumber Daya Air </v>
      </c>
      <c r="N102" s="51"/>
      <c r="O102" s="31"/>
      <c r="P102" s="31"/>
      <c r="Q102" s="31"/>
      <c r="R102" s="81">
        <f>+R103+R104+R105</f>
        <v>650000000</v>
      </c>
      <c r="S102" s="81">
        <f>+S103+S104+S105</f>
        <v>650000000</v>
      </c>
      <c r="T102" s="81">
        <f>+T103+T104+T105</f>
        <v>130000000</v>
      </c>
      <c r="U102" s="81">
        <f>+U103+U104+U105</f>
        <v>0</v>
      </c>
      <c r="V102" s="81">
        <f>+V103+V104+V105</f>
        <v>780000000</v>
      </c>
    </row>
    <row r="103" spans="1:29" ht="35.25" customHeight="1">
      <c r="A103" s="10">
        <f>DATA!A110</f>
        <v>85</v>
      </c>
      <c r="B103" s="10">
        <f>DATA!B110</f>
        <v>0</v>
      </c>
      <c r="C103" s="10" t="str">
        <f>DATA!D110</f>
        <v>INFRASTRUKTUR</v>
      </c>
      <c r="D103" s="10">
        <f>DATA!E110</f>
        <v>1</v>
      </c>
      <c r="E103" s="10" t="str">
        <f>DATA!F110</f>
        <v>Kementerian Pekerjaan Umum dan Perumahan Rakyat</v>
      </c>
      <c r="F103" s="10" t="str">
        <f>DATA!H110</f>
        <v>Management of Water Resources Infrastructure Program</v>
      </c>
      <c r="G103" s="10" t="str">
        <f>DATA!I110</f>
        <v>L</v>
      </c>
      <c r="H103" s="10" t="str">
        <f>DATA!J110</f>
        <v xml:space="preserve">Program Pengelolaan Infrastruktur Sumber Daya Air </v>
      </c>
      <c r="I103" s="10">
        <f>DATA!K110</f>
        <v>1</v>
      </c>
      <c r="J103" s="33"/>
      <c r="K103" s="34"/>
      <c r="L103" s="35"/>
      <c r="M103" s="36">
        <v>79</v>
      </c>
      <c r="N103" s="37" t="str">
        <f>DATA!L110</f>
        <v xml:space="preserve">Dam Operational Improvement and Safety Project (DOISP) - Phase II </v>
      </c>
      <c r="O103" s="20">
        <f>DATA!Q110</f>
        <v>1</v>
      </c>
      <c r="P103" s="20">
        <f>DATA!R110</f>
        <v>1</v>
      </c>
      <c r="Q103" s="20">
        <f>DATA!S110</f>
        <v>76</v>
      </c>
      <c r="R103" s="77">
        <f>DATA!T110</f>
        <v>250000000</v>
      </c>
      <c r="S103" s="88">
        <f>DATA!U110</f>
        <v>250000000</v>
      </c>
      <c r="T103" s="77">
        <f>DATA!V110</f>
        <v>50000000</v>
      </c>
      <c r="U103" s="77">
        <f>DATA!W110</f>
        <v>0</v>
      </c>
      <c r="V103" s="77">
        <f>DATA!X110</f>
        <v>300000000</v>
      </c>
      <c r="AC103" s="10">
        <f>79+3</f>
        <v>82</v>
      </c>
    </row>
    <row r="104" spans="1:29" ht="24.75" customHeight="1">
      <c r="A104" s="10">
        <f>DATA!A113</f>
        <v>86</v>
      </c>
      <c r="B104" s="10">
        <f>DATA!B113</f>
        <v>0</v>
      </c>
      <c r="C104" s="10" t="str">
        <f>DATA!D113</f>
        <v>INFRASTRUKTUR</v>
      </c>
      <c r="D104" s="10">
        <f>DATA!E113</f>
        <v>1</v>
      </c>
      <c r="E104" s="10" t="str">
        <f>DATA!F113</f>
        <v>Kementerian Pekerjaan Umum dan Perumahan Rakyat</v>
      </c>
      <c r="F104" s="10" t="str">
        <f>DATA!H113</f>
        <v>Management of Water Resources Infrastructure Program</v>
      </c>
      <c r="G104" s="10" t="str">
        <f>DATA!I113</f>
        <v>L</v>
      </c>
      <c r="H104" s="10" t="str">
        <f>DATA!J113</f>
        <v xml:space="preserve">Program Pengelolaan Infrastruktur Sumber Daya Air </v>
      </c>
      <c r="I104" s="10">
        <f>DATA!K113</f>
        <v>2</v>
      </c>
      <c r="J104" s="33"/>
      <c r="K104" s="34"/>
      <c r="L104" s="34"/>
      <c r="M104" s="36">
        <v>80</v>
      </c>
      <c r="N104" s="37" t="str">
        <f>DATA!L113</f>
        <v xml:space="preserve">Enhanced Water Security Investment Program    </v>
      </c>
      <c r="O104" s="20">
        <f>DATA!Q113</f>
        <v>1</v>
      </c>
      <c r="P104" s="20">
        <f>DATA!R113</f>
        <v>1</v>
      </c>
      <c r="Q104" s="20">
        <f>DATA!S113</f>
        <v>77</v>
      </c>
      <c r="R104" s="77">
        <f>DATA!T113</f>
        <v>350000000</v>
      </c>
      <c r="S104" s="88">
        <f>DATA!U113</f>
        <v>350000000</v>
      </c>
      <c r="T104" s="77">
        <f>DATA!V113</f>
        <v>70000000</v>
      </c>
      <c r="U104" s="77">
        <f>DATA!W113</f>
        <v>0</v>
      </c>
      <c r="V104" s="77">
        <f>DATA!X113</f>
        <v>420000000</v>
      </c>
    </row>
    <row r="105" spans="1:29" ht="32.25" customHeight="1">
      <c r="A105" s="10">
        <f>DATA!A114</f>
        <v>87</v>
      </c>
      <c r="B105" s="10">
        <f>DATA!B114</f>
        <v>0</v>
      </c>
      <c r="C105" s="10" t="str">
        <f>DATA!D114</f>
        <v>INFRASTRUKTUR</v>
      </c>
      <c r="D105" s="10">
        <f>DATA!E114</f>
        <v>1</v>
      </c>
      <c r="E105" s="10" t="str">
        <f>DATA!F114</f>
        <v>Kementerian Pekerjaan Umum dan Perumahan Rakyat</v>
      </c>
      <c r="F105" s="10" t="str">
        <f>DATA!H114</f>
        <v>Management of Water Resources Infrastructure Program</v>
      </c>
      <c r="G105" s="10" t="str">
        <f>DATA!I114</f>
        <v>L</v>
      </c>
      <c r="H105" s="10" t="str">
        <f>DATA!J114</f>
        <v xml:space="preserve">Program Pengelolaan Infrastruktur Sumber Daya Air </v>
      </c>
      <c r="I105" s="10">
        <f>DATA!K114</f>
        <v>3</v>
      </c>
      <c r="J105" s="33"/>
      <c r="K105" s="34"/>
      <c r="L105" s="54"/>
      <c r="M105" s="36">
        <v>81</v>
      </c>
      <c r="N105" s="37" t="str">
        <f>DATA!L114</f>
        <v>Engineering Service for Water Resources Infrastructure Management</v>
      </c>
      <c r="O105" s="20">
        <f>DATA!Q114</f>
        <v>1</v>
      </c>
      <c r="P105" s="20">
        <f>DATA!R114</f>
        <v>1</v>
      </c>
      <c r="Q105" s="20">
        <f>DATA!S114</f>
        <v>78</v>
      </c>
      <c r="R105" s="77">
        <f>DATA!T114</f>
        <v>50000000</v>
      </c>
      <c r="S105" s="88">
        <f>DATA!U114</f>
        <v>50000000</v>
      </c>
      <c r="T105" s="77">
        <f>DATA!V114</f>
        <v>10000000</v>
      </c>
      <c r="U105" s="77">
        <f>DATA!W114</f>
        <v>0</v>
      </c>
      <c r="V105" s="77">
        <f>DATA!X114</f>
        <v>60000000</v>
      </c>
    </row>
    <row r="106" spans="1:29" s="5" customFormat="1" ht="33.75" customHeight="1">
      <c r="J106" s="28"/>
      <c r="K106" s="50"/>
      <c r="L106" s="30" t="str">
        <f>DATA!I117</f>
        <v>M</v>
      </c>
      <c r="M106" s="31" t="str">
        <f>DATA!J117</f>
        <v>Program Penyediaaan Perumahan Bagi MBR</v>
      </c>
      <c r="N106" s="51"/>
      <c r="O106" s="31"/>
      <c r="P106" s="31"/>
      <c r="Q106" s="31"/>
      <c r="R106" s="81">
        <f>+R107</f>
        <v>300000000</v>
      </c>
      <c r="S106" s="81">
        <f>+S107</f>
        <v>300000000</v>
      </c>
      <c r="T106" s="81">
        <f>+T107</f>
        <v>15000000</v>
      </c>
      <c r="U106" s="81">
        <f>+U107</f>
        <v>7000000</v>
      </c>
      <c r="V106" s="81">
        <f>+V107</f>
        <v>322000000</v>
      </c>
    </row>
    <row r="107" spans="1:29" ht="22.5" customHeight="1">
      <c r="A107" s="10">
        <f>DATA!A117</f>
        <v>88</v>
      </c>
      <c r="B107" s="10">
        <f>DATA!B117</f>
        <v>0</v>
      </c>
      <c r="C107" s="10" t="str">
        <f>DATA!D117</f>
        <v>INFRASTRUKTUR</v>
      </c>
      <c r="D107" s="10">
        <f>DATA!E117</f>
        <v>1</v>
      </c>
      <c r="E107" s="10" t="str">
        <f>DATA!F117</f>
        <v>Kementerian Pekerjaan Umum dan Perumahan Rakyat</v>
      </c>
      <c r="F107" s="10" t="str">
        <f>DATA!H117</f>
        <v>Program for Provision of Housing For Low-Income Households</v>
      </c>
      <c r="G107" s="10" t="str">
        <f>DATA!I117</f>
        <v>M</v>
      </c>
      <c r="H107" s="10" t="str">
        <f>DATA!J117</f>
        <v>Program Penyediaaan Perumahan Bagi MBR</v>
      </c>
      <c r="I107" s="10">
        <f>DATA!K117</f>
        <v>1</v>
      </c>
      <c r="J107" s="33"/>
      <c r="K107" s="54"/>
      <c r="L107" s="20"/>
      <c r="M107" s="36">
        <v>82</v>
      </c>
      <c r="N107" s="37" t="str">
        <f>DATA!L117</f>
        <v xml:space="preserve">Financial Support for Low Income Households </v>
      </c>
      <c r="O107" s="20">
        <f>DATA!Q117</f>
        <v>0</v>
      </c>
      <c r="P107" s="20">
        <f>DATA!R117</f>
        <v>0</v>
      </c>
      <c r="Q107" s="20">
        <f>DATA!S117</f>
        <v>79</v>
      </c>
      <c r="R107" s="77">
        <f>DATA!T117</f>
        <v>300000000</v>
      </c>
      <c r="S107" s="88">
        <f>DATA!U117</f>
        <v>300000000</v>
      </c>
      <c r="T107" s="77">
        <f>DATA!V117</f>
        <v>15000000</v>
      </c>
      <c r="U107" s="77">
        <f>DATA!W117</f>
        <v>7000000</v>
      </c>
      <c r="V107" s="77">
        <f>DATA!X117</f>
        <v>322000000</v>
      </c>
    </row>
    <row r="108" spans="1:29" s="4" customFormat="1" ht="24.95" customHeight="1">
      <c r="J108" s="107"/>
      <c r="K108" s="25">
        <f>DATA!E118</f>
        <v>2</v>
      </c>
      <c r="L108" s="108" t="str">
        <f>DATA!F118</f>
        <v>PERUMNAS</v>
      </c>
      <c r="M108" s="26"/>
      <c r="N108" s="27"/>
      <c r="O108" s="26"/>
      <c r="P108" s="26"/>
      <c r="Q108" s="26"/>
      <c r="R108" s="80">
        <f>+R109</f>
        <v>200000000</v>
      </c>
      <c r="S108" s="80">
        <f>+S109</f>
        <v>200000000</v>
      </c>
      <c r="T108" s="80">
        <f t="shared" ref="T108:V109" si="0">+T109</f>
        <v>20000000</v>
      </c>
      <c r="U108" s="80">
        <f t="shared" si="0"/>
        <v>0</v>
      </c>
      <c r="V108" s="80">
        <f t="shared" si="0"/>
        <v>220000000</v>
      </c>
    </row>
    <row r="109" spans="1:29" s="5" customFormat="1" ht="33.75" customHeight="1">
      <c r="J109" s="28"/>
      <c r="K109" s="29"/>
      <c r="L109" s="30" t="str">
        <f>DATA!I118</f>
        <v>A</v>
      </c>
      <c r="M109" s="31" t="str">
        <f>DATA!J118</f>
        <v>Program Penyediaaan Perumahan Bagi MBR</v>
      </c>
      <c r="N109" s="51"/>
      <c r="O109" s="31"/>
      <c r="P109" s="31"/>
      <c r="Q109" s="31"/>
      <c r="R109" s="81">
        <f>+R110</f>
        <v>200000000</v>
      </c>
      <c r="S109" s="81">
        <f>+S110</f>
        <v>200000000</v>
      </c>
      <c r="T109" s="81">
        <f t="shared" si="0"/>
        <v>20000000</v>
      </c>
      <c r="U109" s="81">
        <f t="shared" si="0"/>
        <v>0</v>
      </c>
      <c r="V109" s="81">
        <f t="shared" si="0"/>
        <v>220000000</v>
      </c>
    </row>
    <row r="110" spans="1:29" ht="31.5" customHeight="1">
      <c r="A110" s="10">
        <f>DATA!A118</f>
        <v>89</v>
      </c>
      <c r="B110" s="10">
        <f>DATA!B118</f>
        <v>0</v>
      </c>
      <c r="C110" s="10" t="str">
        <f>DATA!D118</f>
        <v>INFRASTRUKTUR</v>
      </c>
      <c r="D110" s="10">
        <f>DATA!E118</f>
        <v>2</v>
      </c>
      <c r="E110" s="10" t="str">
        <f>DATA!F118</f>
        <v>PERUMNAS</v>
      </c>
      <c r="F110" s="10" t="str">
        <f>DATA!H118</f>
        <v>Program for Provision of Housing For Low-Income Households</v>
      </c>
      <c r="G110" s="10" t="str">
        <f>DATA!I118</f>
        <v>A</v>
      </c>
      <c r="H110" s="10" t="str">
        <f>DATA!J118</f>
        <v>Program Penyediaaan Perumahan Bagi MBR</v>
      </c>
      <c r="I110" s="10">
        <f>DATA!K118</f>
        <v>1</v>
      </c>
      <c r="J110" s="33"/>
      <c r="K110" s="54"/>
      <c r="L110" s="20"/>
      <c r="M110" s="36">
        <f>DATA!K118</f>
        <v>1</v>
      </c>
      <c r="N110" s="37" t="str">
        <f>DATA!L118</f>
        <v>Support for National Housing and Urban Development Cooperation</v>
      </c>
      <c r="O110" s="20">
        <f>DATA!Q118</f>
        <v>1</v>
      </c>
      <c r="P110" s="20">
        <f>DATA!R118</f>
        <v>1</v>
      </c>
      <c r="Q110" s="20">
        <f>DATA!S118</f>
        <v>80</v>
      </c>
      <c r="R110" s="77">
        <f>DATA!T118</f>
        <v>200000000</v>
      </c>
      <c r="S110" s="88">
        <f>DATA!U118</f>
        <v>200000000</v>
      </c>
      <c r="T110" s="77">
        <f>DATA!V118</f>
        <v>20000000</v>
      </c>
      <c r="U110" s="77">
        <f>DATA!W118</f>
        <v>0</v>
      </c>
      <c r="V110" s="77">
        <f>DATA!X118</f>
        <v>220000000</v>
      </c>
    </row>
    <row r="111" spans="1:29" s="4" customFormat="1" ht="24.95" customHeight="1">
      <c r="J111" s="107"/>
      <c r="K111" s="25">
        <f>DATA!E119</f>
        <v>3</v>
      </c>
      <c r="L111" s="108" t="str">
        <f>DATA!F119</f>
        <v>Kementerian Perhubungan</v>
      </c>
      <c r="M111" s="25"/>
      <c r="N111" s="27"/>
      <c r="O111" s="26"/>
      <c r="P111" s="26"/>
      <c r="Q111" s="26"/>
      <c r="R111" s="80">
        <f>+R112</f>
        <v>5765336700</v>
      </c>
      <c r="S111" s="80">
        <f>+S112</f>
        <v>5765336700</v>
      </c>
      <c r="T111" s="80">
        <f>+T112</f>
        <v>647453200</v>
      </c>
      <c r="U111" s="80">
        <f>+U112</f>
        <v>0</v>
      </c>
      <c r="V111" s="80">
        <f>+V112</f>
        <v>6412789900</v>
      </c>
    </row>
    <row r="112" spans="1:29" s="5" customFormat="1" ht="33.75" customHeight="1">
      <c r="J112" s="28"/>
      <c r="K112" s="29"/>
      <c r="L112" s="30" t="str">
        <f>DATA!I119</f>
        <v>A</v>
      </c>
      <c r="M112" s="31" t="str">
        <f>DATA!J119</f>
        <v>Program Pengembangan Perkeretaapian</v>
      </c>
      <c r="N112" s="51"/>
      <c r="O112" s="31"/>
      <c r="P112" s="31"/>
      <c r="Q112" s="31"/>
      <c r="R112" s="81">
        <f>R113+R114++R115+R116+R117</f>
        <v>5765336700</v>
      </c>
      <c r="S112" s="81">
        <f>S113+S114++S115+S116+S117</f>
        <v>5765336700</v>
      </c>
      <c r="T112" s="81">
        <f>T113+T114++T115+T116+T117</f>
        <v>647453200</v>
      </c>
      <c r="U112" s="81">
        <f>U113+U114++U115+U116+U117</f>
        <v>0</v>
      </c>
      <c r="V112" s="81">
        <f>V113+V114++V115+V116+V117</f>
        <v>6412789900</v>
      </c>
    </row>
    <row r="113" spans="1:22" ht="29.25" customHeight="1">
      <c r="A113" s="10">
        <f>DATA!A120</f>
        <v>91</v>
      </c>
      <c r="B113" s="10">
        <f>DATA!B120</f>
        <v>0</v>
      </c>
      <c r="C113" s="10" t="str">
        <f>DATA!D120</f>
        <v>INFRASTRUKTUR</v>
      </c>
      <c r="D113" s="10">
        <f>DATA!E120</f>
        <v>3</v>
      </c>
      <c r="E113" s="10" t="str">
        <f>DATA!F120</f>
        <v>Kementerian Perhubungan</v>
      </c>
      <c r="F113" s="10" t="str">
        <f>DATA!H120</f>
        <v>Railway Development Program</v>
      </c>
      <c r="G113" s="10" t="str">
        <f>DATA!I120</f>
        <v>A</v>
      </c>
      <c r="H113" s="10" t="str">
        <f>DATA!J120</f>
        <v>Program Pengembangan Perkeretaapian</v>
      </c>
      <c r="I113" s="10">
        <f>DATA!K120</f>
        <v>1</v>
      </c>
      <c r="J113" s="33"/>
      <c r="K113" s="34"/>
      <c r="L113" s="34"/>
      <c r="M113" s="172">
        <v>1</v>
      </c>
      <c r="N113" s="37" t="str">
        <f>DATA!L120</f>
        <v>Procurement of Track Material and Turn Out - Phase II</v>
      </c>
      <c r="O113" s="20">
        <f>DATA!Q120</f>
        <v>1</v>
      </c>
      <c r="P113" s="20">
        <f>DATA!R120</f>
        <v>1</v>
      </c>
      <c r="Q113" s="20">
        <f>DATA!S120</f>
        <v>81</v>
      </c>
      <c r="R113" s="77">
        <f>DATA!T120</f>
        <v>200000000</v>
      </c>
      <c r="S113" s="88">
        <f>DATA!U120</f>
        <v>200000000</v>
      </c>
      <c r="T113" s="77">
        <f>DATA!V120</f>
        <v>46369000</v>
      </c>
      <c r="U113" s="77">
        <f>DATA!W120</f>
        <v>0</v>
      </c>
      <c r="V113" s="77">
        <f>DATA!X120</f>
        <v>246369000</v>
      </c>
    </row>
    <row r="114" spans="1:22" ht="35.25" customHeight="1">
      <c r="A114" s="10">
        <f>DATA!A121</f>
        <v>92</v>
      </c>
      <c r="B114" s="10">
        <f>DATA!B121</f>
        <v>0</v>
      </c>
      <c r="C114" s="10" t="str">
        <f>DATA!D121</f>
        <v>INFRASTRUKTUR</v>
      </c>
      <c r="D114" s="10">
        <f>DATA!E121</f>
        <v>3</v>
      </c>
      <c r="E114" s="10" t="str">
        <f>DATA!F121</f>
        <v>Kementerian Perhubungan</v>
      </c>
      <c r="F114" s="10" t="str">
        <f>DATA!H121</f>
        <v>Railway Development Program</v>
      </c>
      <c r="G114" s="10" t="str">
        <f>DATA!I121</f>
        <v>A</v>
      </c>
      <c r="H114" s="10" t="str">
        <f>DATA!J121</f>
        <v>Program Pengembangan Perkeretaapian</v>
      </c>
      <c r="I114" s="10">
        <f>DATA!K121</f>
        <v>1</v>
      </c>
      <c r="J114" s="33"/>
      <c r="K114" s="34"/>
      <c r="L114" s="34"/>
      <c r="M114" s="172">
        <v>2</v>
      </c>
      <c r="N114" s="37" t="str">
        <f>DATA!L121</f>
        <v>Procurement of Track Material and Turn Out - Phase III</v>
      </c>
      <c r="O114" s="20">
        <f>DATA!Q121</f>
        <v>1</v>
      </c>
      <c r="P114" s="20">
        <f>DATA!R121</f>
        <v>1</v>
      </c>
      <c r="Q114" s="20">
        <f>DATA!S121</f>
        <v>82</v>
      </c>
      <c r="R114" s="77">
        <f>DATA!T121</f>
        <v>292336700</v>
      </c>
      <c r="S114" s="88">
        <f>DATA!U121</f>
        <v>292336700</v>
      </c>
      <c r="T114" s="77">
        <f>DATA!V121</f>
        <v>73084200</v>
      </c>
      <c r="U114" s="77">
        <f>DATA!W121</f>
        <v>0</v>
      </c>
      <c r="V114" s="77">
        <f>DATA!X121</f>
        <v>365420900</v>
      </c>
    </row>
    <row r="115" spans="1:22" ht="30" customHeight="1">
      <c r="A115" s="10">
        <f>DATA!A123</f>
        <v>93</v>
      </c>
      <c r="B115" s="10">
        <f>DATA!B123</f>
        <v>0</v>
      </c>
      <c r="C115" s="10" t="str">
        <f>DATA!D123</f>
        <v>INFRASTRUKTUR</v>
      </c>
      <c r="D115" s="10">
        <f>DATA!E123</f>
        <v>3</v>
      </c>
      <c r="E115" s="10" t="str">
        <f>DATA!F123</f>
        <v>Kementerian Perhubungan</v>
      </c>
      <c r="F115" s="10" t="str">
        <f>DATA!H123</f>
        <v>Railway Development Program</v>
      </c>
      <c r="G115" s="10" t="str">
        <f>DATA!I123</f>
        <v>A</v>
      </c>
      <c r="H115" s="10" t="str">
        <f>DATA!J123</f>
        <v>Program Pengembangan Perkeretaapian</v>
      </c>
      <c r="I115" s="10">
        <f>DATA!K123</f>
        <v>2</v>
      </c>
      <c r="J115" s="33"/>
      <c r="K115" s="34"/>
      <c r="L115" s="34"/>
      <c r="M115" s="172">
        <v>3</v>
      </c>
      <c r="N115" s="37" t="str">
        <f>DATA!L123</f>
        <v xml:space="preserve">Construction of Jakarta Mass Rapid Transit Project - Phase II </v>
      </c>
      <c r="O115" s="20">
        <f>DATA!Q123</f>
        <v>1</v>
      </c>
      <c r="P115" s="20">
        <f>DATA!R123</f>
        <v>1</v>
      </c>
      <c r="Q115" s="20">
        <f>DATA!S123</f>
        <v>83</v>
      </c>
      <c r="R115" s="77">
        <f>DATA!T123</f>
        <v>1678000000</v>
      </c>
      <c r="S115" s="88">
        <f>DATA!U123</f>
        <v>1678000000</v>
      </c>
      <c r="T115" s="77">
        <f>DATA!V123</f>
        <v>167800000</v>
      </c>
      <c r="U115" s="77">
        <f>DATA!W123</f>
        <v>0</v>
      </c>
      <c r="V115" s="77">
        <f>DATA!X123</f>
        <v>1845800000</v>
      </c>
    </row>
    <row r="116" spans="1:22" ht="42.75" customHeight="1">
      <c r="A116" s="10">
        <f>DATA!A124</f>
        <v>94</v>
      </c>
      <c r="B116" s="10">
        <f>DATA!B124</f>
        <v>0</v>
      </c>
      <c r="C116" s="10" t="str">
        <f>DATA!D124</f>
        <v>INFRASTRUKTUR</v>
      </c>
      <c r="D116" s="10">
        <f>DATA!E124</f>
        <v>3</v>
      </c>
      <c r="E116" s="10" t="str">
        <f>DATA!F124</f>
        <v>Kementerian Perhubungan</v>
      </c>
      <c r="F116" s="10" t="str">
        <f>DATA!H124</f>
        <v>Railway Development Program</v>
      </c>
      <c r="G116" s="10" t="str">
        <f>DATA!I124</f>
        <v>A</v>
      </c>
      <c r="H116" s="10" t="str">
        <f>DATA!J124</f>
        <v>Program Pengembangan Perkeretaapian</v>
      </c>
      <c r="I116" s="10">
        <f>DATA!K124</f>
        <v>3</v>
      </c>
      <c r="J116" s="33"/>
      <c r="K116" s="34"/>
      <c r="L116" s="34"/>
      <c r="M116" s="172">
        <v>4</v>
      </c>
      <c r="N116" s="37" t="str">
        <f>DATA!L124</f>
        <v>Construction of Jakarta Mass Rapid Transit East-West Line Project - Phase I</v>
      </c>
      <c r="O116" s="20">
        <f>DATA!Q124</f>
        <v>1</v>
      </c>
      <c r="P116" s="20">
        <f>DATA!R124</f>
        <v>1</v>
      </c>
      <c r="Q116" s="20">
        <f>DATA!S124</f>
        <v>84</v>
      </c>
      <c r="R116" s="77">
        <f>DATA!T124</f>
        <v>3572000000</v>
      </c>
      <c r="S116" s="88">
        <f>DATA!U124</f>
        <v>3572000000</v>
      </c>
      <c r="T116" s="77">
        <f>DATA!V124</f>
        <v>357200000</v>
      </c>
      <c r="U116" s="77">
        <f>DATA!W124</f>
        <v>0</v>
      </c>
      <c r="V116" s="77">
        <f>DATA!X124</f>
        <v>3929200000</v>
      </c>
    </row>
    <row r="117" spans="1:22" ht="29.25" customHeight="1">
      <c r="A117" s="10">
        <f>DATA!A125</f>
        <v>95</v>
      </c>
      <c r="B117" s="10">
        <f>DATA!B125</f>
        <v>0</v>
      </c>
      <c r="C117" s="10" t="str">
        <f>DATA!D125</f>
        <v>INFRASTRUKTUR</v>
      </c>
      <c r="D117" s="10">
        <f>DATA!E125</f>
        <v>3</v>
      </c>
      <c r="E117" s="10" t="str">
        <f>DATA!F125</f>
        <v>Kementerian Perhubungan</v>
      </c>
      <c r="F117" s="10" t="str">
        <f>DATA!H125</f>
        <v>Railway Development Program</v>
      </c>
      <c r="G117" s="10" t="str">
        <f>DATA!I125</f>
        <v>A</v>
      </c>
      <c r="H117" s="10" t="str">
        <f>DATA!J125</f>
        <v>Program Pengembangan Perkeretaapian</v>
      </c>
      <c r="I117" s="10">
        <f>DATA!K125</f>
        <v>4</v>
      </c>
      <c r="J117" s="33"/>
      <c r="K117" s="54"/>
      <c r="L117" s="54"/>
      <c r="M117" s="172">
        <v>5</v>
      </c>
      <c r="N117" s="37" t="str">
        <f>DATA!L125</f>
        <v xml:space="preserve">Engineering Services Jakarta Mass Rapid Transit (MRT) East West Line Project - Phase I </v>
      </c>
      <c r="O117" s="20">
        <f>DATA!Q125</f>
        <v>1</v>
      </c>
      <c r="P117" s="20">
        <f>DATA!R125</f>
        <v>1</v>
      </c>
      <c r="Q117" s="20">
        <f>DATA!S125</f>
        <v>86</v>
      </c>
      <c r="R117" s="77">
        <f>DATA!T125</f>
        <v>23000000</v>
      </c>
      <c r="S117" s="88">
        <f>DATA!U125</f>
        <v>23000000</v>
      </c>
      <c r="T117" s="77">
        <f>DATA!V125</f>
        <v>3000000</v>
      </c>
      <c r="U117" s="77">
        <f>DATA!W125</f>
        <v>0</v>
      </c>
      <c r="V117" s="77">
        <f>DATA!X125</f>
        <v>26000000</v>
      </c>
    </row>
    <row r="118" spans="1:22" s="4" customFormat="1" ht="24.95" customHeight="1">
      <c r="J118" s="107"/>
      <c r="K118" s="25">
        <f>DATA!E130</f>
        <v>4</v>
      </c>
      <c r="L118" s="108" t="str">
        <f>DATA!F130</f>
        <v>Pemprov. DKI Jakarta</v>
      </c>
      <c r="M118" s="25"/>
      <c r="N118" s="27"/>
      <c r="O118" s="26"/>
      <c r="P118" s="26"/>
      <c r="Q118" s="26"/>
      <c r="R118" s="80">
        <f>+R119</f>
        <v>1050000000</v>
      </c>
      <c r="S118" s="80">
        <f>+S119</f>
        <v>1050000000</v>
      </c>
      <c r="T118" s="80">
        <f t="shared" ref="T118:V119" si="1">+T119</f>
        <v>150000000</v>
      </c>
      <c r="U118" s="80">
        <f t="shared" si="1"/>
        <v>0</v>
      </c>
      <c r="V118" s="80">
        <f t="shared" si="1"/>
        <v>1200000000</v>
      </c>
    </row>
    <row r="119" spans="1:22" s="5" customFormat="1" ht="33.75" customHeight="1">
      <c r="J119" s="28"/>
      <c r="K119" s="29"/>
      <c r="L119" s="30" t="str">
        <f>DATA!I130</f>
        <v>A</v>
      </c>
      <c r="M119" s="31" t="str">
        <f>DATA!J130</f>
        <v>Program Pengembangan Perkeretaapian</v>
      </c>
      <c r="N119" s="51"/>
      <c r="O119" s="31"/>
      <c r="P119" s="31"/>
      <c r="Q119" s="31"/>
      <c r="R119" s="81">
        <f>+R120</f>
        <v>1050000000</v>
      </c>
      <c r="S119" s="81">
        <f>+S120</f>
        <v>1050000000</v>
      </c>
      <c r="T119" s="81">
        <f t="shared" si="1"/>
        <v>150000000</v>
      </c>
      <c r="U119" s="81">
        <f t="shared" si="1"/>
        <v>0</v>
      </c>
      <c r="V119" s="81">
        <f t="shared" si="1"/>
        <v>1200000000</v>
      </c>
    </row>
    <row r="120" spans="1:22" ht="39" customHeight="1">
      <c r="A120" s="10">
        <f>DATA!A130</f>
        <v>96</v>
      </c>
      <c r="B120" s="10">
        <f>DATA!B130</f>
        <v>0</v>
      </c>
      <c r="C120" s="10" t="str">
        <f>DATA!D130</f>
        <v>INFRASTRUKTUR</v>
      </c>
      <c r="D120" s="10">
        <f>DATA!E130</f>
        <v>4</v>
      </c>
      <c r="E120" s="10" t="str">
        <f>DATA!F130</f>
        <v>Pemprov. DKI Jakarta</v>
      </c>
      <c r="F120" s="10" t="str">
        <f>DATA!H130</f>
        <v>Railway Development Program</v>
      </c>
      <c r="G120" s="10" t="str">
        <f>DATA!I130</f>
        <v>A</v>
      </c>
      <c r="H120" s="10" t="str">
        <f>DATA!J130</f>
        <v>Program Pengembangan Perkeretaapian</v>
      </c>
      <c r="I120" s="10">
        <f>DATA!K130</f>
        <v>1</v>
      </c>
      <c r="J120" s="33"/>
      <c r="K120" s="54"/>
      <c r="L120" s="20"/>
      <c r="M120" s="36">
        <f>DATA!K130</f>
        <v>1</v>
      </c>
      <c r="N120" s="37" t="str">
        <f>DATA!L130</f>
        <v>Construction of Jakarta Mass Rapid Transit Project</v>
      </c>
      <c r="O120" s="20">
        <f>DATA!Q130</f>
        <v>1</v>
      </c>
      <c r="P120" s="20">
        <f>DATA!R130</f>
        <v>1</v>
      </c>
      <c r="Q120" s="20">
        <f>DATA!S130</f>
        <v>85</v>
      </c>
      <c r="R120" s="77">
        <f>DATA!T130</f>
        <v>1050000000</v>
      </c>
      <c r="S120" s="88">
        <f>DATA!U130</f>
        <v>1050000000</v>
      </c>
      <c r="T120" s="77">
        <f>DATA!V130</f>
        <v>150000000</v>
      </c>
      <c r="U120" s="77">
        <f>DATA!W130</f>
        <v>0</v>
      </c>
      <c r="V120" s="77">
        <f>DATA!X130</f>
        <v>1200000000</v>
      </c>
    </row>
    <row r="121" spans="1:22" s="4" customFormat="1" ht="24.95" customHeight="1">
      <c r="J121" s="107"/>
      <c r="K121" s="25">
        <f>DATA!E135</f>
        <v>5</v>
      </c>
      <c r="L121" s="108" t="str">
        <f>DATA!F135</f>
        <v>Kementerian Komunikasi dan Informatika</v>
      </c>
      <c r="M121" s="25"/>
      <c r="N121" s="27"/>
      <c r="O121" s="26"/>
      <c r="P121" s="26"/>
      <c r="Q121" s="26"/>
      <c r="R121" s="80">
        <f>+R122</f>
        <v>1056000000</v>
      </c>
      <c r="S121" s="80">
        <f>+S122</f>
        <v>1056000000</v>
      </c>
      <c r="T121" s="80">
        <f>+T122</f>
        <v>86000000</v>
      </c>
      <c r="U121" s="80">
        <f>+U122</f>
        <v>10000000</v>
      </c>
      <c r="V121" s="80">
        <f>+V122</f>
        <v>1152000000</v>
      </c>
    </row>
    <row r="122" spans="1:22" s="5" customFormat="1" ht="33.75" customHeight="1">
      <c r="J122" s="28"/>
      <c r="K122" s="29"/>
      <c r="L122" s="30" t="str">
        <f>DATA!I135</f>
        <v>A</v>
      </c>
      <c r="M122" s="31" t="str">
        <f>DATA!J135</f>
        <v>Program Pengembangan Infrastruktur TIK dan Penyiaran</v>
      </c>
      <c r="N122" s="51"/>
      <c r="O122" s="31"/>
      <c r="P122" s="31"/>
      <c r="Q122" s="31"/>
      <c r="R122" s="81">
        <f>+R123+R124+R125</f>
        <v>1056000000</v>
      </c>
      <c r="S122" s="81">
        <f>+S123+S124+S125</f>
        <v>1056000000</v>
      </c>
      <c r="T122" s="81">
        <f>+T123+T124+T125</f>
        <v>86000000</v>
      </c>
      <c r="U122" s="81">
        <f>+U123+U124+U125</f>
        <v>10000000</v>
      </c>
      <c r="V122" s="81">
        <f>+V123+V124+V125</f>
        <v>1152000000</v>
      </c>
    </row>
    <row r="123" spans="1:22" ht="39.75" customHeight="1">
      <c r="A123" s="10">
        <f>DATA!A135</f>
        <v>97</v>
      </c>
      <c r="B123" s="10">
        <f>DATA!B135</f>
        <v>0</v>
      </c>
      <c r="C123" s="10" t="str">
        <f>DATA!D135</f>
        <v>INFRASTRUKTUR</v>
      </c>
      <c r="D123" s="10">
        <f>DATA!E135</f>
        <v>5</v>
      </c>
      <c r="E123" s="10" t="str">
        <f>DATA!F135</f>
        <v>Kementerian Komunikasi dan Informatika</v>
      </c>
      <c r="F123" s="10" t="str">
        <f>DATA!H135</f>
        <v>Information Communication And Technology (ICT) And Broadcasting Infrastructure Development Program</v>
      </c>
      <c r="G123" s="10" t="str">
        <f>DATA!I135</f>
        <v>A</v>
      </c>
      <c r="H123" s="10" t="str">
        <f>DATA!J135</f>
        <v>Program Pengembangan Infrastruktur TIK dan Penyiaran</v>
      </c>
      <c r="I123" s="10">
        <f>DATA!K135</f>
        <v>1</v>
      </c>
      <c r="J123" s="33"/>
      <c r="K123" s="34"/>
      <c r="L123" s="35"/>
      <c r="M123" s="36">
        <f>DATA!K135</f>
        <v>1</v>
      </c>
      <c r="N123" s="37" t="str">
        <f>DATA!L135</f>
        <v>Improvement on TV Transmitting Stations (Digitalization of TVRI) - Phase III</v>
      </c>
      <c r="O123" s="20">
        <f>DATA!Q135</f>
        <v>1</v>
      </c>
      <c r="P123" s="20">
        <f>DATA!R135</f>
        <v>1</v>
      </c>
      <c r="Q123" s="20">
        <f>DATA!S135</f>
        <v>87</v>
      </c>
      <c r="R123" s="77">
        <f>DATA!T135</f>
        <v>411000000</v>
      </c>
      <c r="S123" s="88">
        <f>DATA!U135</f>
        <v>411000000</v>
      </c>
      <c r="T123" s="77">
        <f>DATA!V135</f>
        <v>41000000</v>
      </c>
      <c r="U123" s="77">
        <f>DATA!W135</f>
        <v>0</v>
      </c>
      <c r="V123" s="77">
        <f>DATA!X135</f>
        <v>452000000</v>
      </c>
    </row>
    <row r="124" spans="1:22" ht="24.75" customHeight="1">
      <c r="A124" s="10">
        <f>DATA!A136</f>
        <v>98</v>
      </c>
      <c r="B124" s="10">
        <f>DATA!B136</f>
        <v>0</v>
      </c>
      <c r="C124" s="10" t="str">
        <f>DATA!D136</f>
        <v>INFRASTRUKTUR</v>
      </c>
      <c r="D124" s="10">
        <f>DATA!E136</f>
        <v>5</v>
      </c>
      <c r="E124" s="10" t="str">
        <f>DATA!F136</f>
        <v>Kementerian Komunikasi dan Informatika</v>
      </c>
      <c r="F124" s="10" t="str">
        <f>DATA!H136</f>
        <v>Information Communication And Technology (ICT) And Broadcasting Infrastructure Development Program</v>
      </c>
      <c r="G124" s="10" t="str">
        <f>DATA!I136</f>
        <v>A</v>
      </c>
      <c r="H124" s="10" t="str">
        <f>DATA!J136</f>
        <v>Program Pengembangan Infrastruktur TIK dan Penyiaran</v>
      </c>
      <c r="I124" s="10">
        <f>DATA!K136</f>
        <v>2</v>
      </c>
      <c r="J124" s="33"/>
      <c r="K124" s="34"/>
      <c r="L124" s="34"/>
      <c r="M124" s="36">
        <f>DATA!K136</f>
        <v>2</v>
      </c>
      <c r="N124" s="37" t="str">
        <f>DATA!L136</f>
        <v>Strengthening of e-Government Infrastructure</v>
      </c>
      <c r="O124" s="20">
        <f>DATA!Q136</f>
        <v>1</v>
      </c>
      <c r="P124" s="20">
        <f>DATA!R136</f>
        <v>1</v>
      </c>
      <c r="Q124" s="20">
        <f>DATA!S136</f>
        <v>88</v>
      </c>
      <c r="R124" s="77">
        <f>DATA!T136</f>
        <v>145000000</v>
      </c>
      <c r="S124" s="88">
        <f>DATA!U136</f>
        <v>145000000</v>
      </c>
      <c r="T124" s="77">
        <f>DATA!V136</f>
        <v>20000000</v>
      </c>
      <c r="U124" s="77">
        <f>DATA!W136</f>
        <v>10000000</v>
      </c>
      <c r="V124" s="77">
        <f>DATA!X136</f>
        <v>175000000</v>
      </c>
    </row>
    <row r="125" spans="1:22" ht="28.5" customHeight="1">
      <c r="A125" s="10">
        <f>DATA!A137</f>
        <v>99</v>
      </c>
      <c r="B125" s="10">
        <f>DATA!B137</f>
        <v>0</v>
      </c>
      <c r="C125" s="10" t="str">
        <f>DATA!D137</f>
        <v>INFRASTRUKTUR</v>
      </c>
      <c r="D125" s="10">
        <f>DATA!E137</f>
        <v>5</v>
      </c>
      <c r="E125" s="10" t="str">
        <f>DATA!F137</f>
        <v>Kementerian Komunikasi dan Informatika</v>
      </c>
      <c r="F125" s="10" t="str">
        <f>DATA!H137</f>
        <v>Information Communication And Technology (ICT) And Broadcasting Infrastructure Development Program</v>
      </c>
      <c r="G125" s="10" t="str">
        <f>DATA!I137</f>
        <v>A</v>
      </c>
      <c r="H125" s="10" t="str">
        <f>DATA!J137</f>
        <v>Program Pengembangan Infrastruktur TIK dan Penyiaran</v>
      </c>
      <c r="I125" s="10">
        <f>DATA!K137</f>
        <v>3</v>
      </c>
      <c r="J125" s="33"/>
      <c r="K125" s="54"/>
      <c r="L125" s="54"/>
      <c r="M125" s="36">
        <f>DATA!K137</f>
        <v>3</v>
      </c>
      <c r="N125" s="37" t="str">
        <f>DATA!L137</f>
        <v>National Fiber Optic Backbone (Palapa Ring)</v>
      </c>
      <c r="O125" s="20">
        <f>DATA!Q137</f>
        <v>1</v>
      </c>
      <c r="P125" s="20">
        <f>DATA!R137</f>
        <v>1</v>
      </c>
      <c r="Q125" s="20">
        <f>DATA!S137</f>
        <v>89</v>
      </c>
      <c r="R125" s="77">
        <f>DATA!T137</f>
        <v>500000000</v>
      </c>
      <c r="S125" s="88">
        <f>DATA!U137</f>
        <v>500000000</v>
      </c>
      <c r="T125" s="77">
        <f>DATA!V137</f>
        <v>25000000</v>
      </c>
      <c r="U125" s="77">
        <f>DATA!W137</f>
        <v>0</v>
      </c>
      <c r="V125" s="77">
        <f>DATA!X137</f>
        <v>525000000</v>
      </c>
    </row>
    <row r="126" spans="1:22" s="4" customFormat="1" ht="24.95" customHeight="1">
      <c r="J126" s="107"/>
      <c r="K126" s="25">
        <f>DATA!E138</f>
        <v>6</v>
      </c>
      <c r="L126" s="108" t="str">
        <f>DATA!F138</f>
        <v>Kepolisian RI</v>
      </c>
      <c r="M126" s="25"/>
      <c r="N126" s="27"/>
      <c r="O126" s="26"/>
      <c r="P126" s="26"/>
      <c r="Q126" s="26"/>
      <c r="R126" s="80">
        <f>+R127</f>
        <v>20000000</v>
      </c>
      <c r="S126" s="80">
        <f>+S127</f>
        <v>20000000</v>
      </c>
      <c r="T126" s="80">
        <f t="shared" ref="T126:V127" si="2">+T127</f>
        <v>3500000</v>
      </c>
      <c r="U126" s="80">
        <f t="shared" si="2"/>
        <v>0</v>
      </c>
      <c r="V126" s="80">
        <f t="shared" si="2"/>
        <v>23500000</v>
      </c>
    </row>
    <row r="127" spans="1:22" s="5" customFormat="1" ht="33.75" customHeight="1">
      <c r="J127" s="28"/>
      <c r="K127" s="29"/>
      <c r="L127" s="30" t="str">
        <f>DATA!I138</f>
        <v>A</v>
      </c>
      <c r="M127" s="31" t="str">
        <f>DATA!J138</f>
        <v>Program Pengembangan Infrastruktur TIK dan Penyiaran</v>
      </c>
      <c r="N127" s="51"/>
      <c r="O127" s="31"/>
      <c r="P127" s="31"/>
      <c r="Q127" s="31"/>
      <c r="R127" s="81">
        <f>+R128</f>
        <v>20000000</v>
      </c>
      <c r="S127" s="81">
        <f>+S128</f>
        <v>20000000</v>
      </c>
      <c r="T127" s="81">
        <f t="shared" si="2"/>
        <v>3500000</v>
      </c>
      <c r="U127" s="81">
        <f t="shared" si="2"/>
        <v>0</v>
      </c>
      <c r="V127" s="81">
        <f t="shared" si="2"/>
        <v>23500000</v>
      </c>
    </row>
    <row r="128" spans="1:22" ht="47.25" customHeight="1">
      <c r="A128" s="10">
        <f>DATA!A138</f>
        <v>100</v>
      </c>
      <c r="B128" s="10">
        <f>DATA!B138</f>
        <v>0</v>
      </c>
      <c r="C128" s="10" t="str">
        <f>DATA!D138</f>
        <v>INFRASTRUKTUR</v>
      </c>
      <c r="D128" s="10">
        <f>DATA!E138</f>
        <v>6</v>
      </c>
      <c r="E128" s="10" t="str">
        <f>DATA!F138</f>
        <v>Kepolisian RI</v>
      </c>
      <c r="F128" s="10" t="str">
        <f>DATA!H138</f>
        <v>Information Communication And Technology (ICT) And Broadcasting Infrastructure Development Program</v>
      </c>
      <c r="G128" s="10" t="str">
        <f>DATA!I138</f>
        <v>A</v>
      </c>
      <c r="H128" s="10" t="str">
        <f>DATA!J138</f>
        <v>Program Pengembangan Infrastruktur TIK dan Penyiaran</v>
      </c>
      <c r="I128" s="10">
        <f>DATA!K138</f>
        <v>1</v>
      </c>
      <c r="J128" s="33"/>
      <c r="K128" s="54"/>
      <c r="L128" s="20"/>
      <c r="M128" s="36">
        <f>DATA!K138</f>
        <v>1</v>
      </c>
      <c r="N128" s="37" t="str">
        <f>DATA!L138</f>
        <v>National Criminal Information Center for Indonesian National Police - Phase II</v>
      </c>
      <c r="O128" s="20">
        <f>DATA!Q138</f>
        <v>1</v>
      </c>
      <c r="P128" s="20">
        <f>DATA!R138</f>
        <v>1</v>
      </c>
      <c r="Q128" s="20">
        <f>DATA!S138</f>
        <v>90</v>
      </c>
      <c r="R128" s="77">
        <f>DATA!T138</f>
        <v>20000000</v>
      </c>
      <c r="S128" s="88">
        <f>DATA!U138</f>
        <v>20000000</v>
      </c>
      <c r="T128" s="77">
        <f>DATA!V138</f>
        <v>3500000</v>
      </c>
      <c r="U128" s="77">
        <f>DATA!W138</f>
        <v>0</v>
      </c>
      <c r="V128" s="77">
        <f>DATA!X138</f>
        <v>23500000</v>
      </c>
    </row>
    <row r="129" spans="1:22" s="4" customFormat="1" ht="24.95" customHeight="1">
      <c r="J129" s="107"/>
      <c r="K129" s="25">
        <f>DATA!E139</f>
        <v>7</v>
      </c>
      <c r="L129" s="108" t="str">
        <f>DATA!F139</f>
        <v xml:space="preserve">PT. PLN    </v>
      </c>
      <c r="M129" s="25"/>
      <c r="N129" s="27"/>
      <c r="O129" s="26"/>
      <c r="P129" s="26"/>
      <c r="Q129" s="26"/>
      <c r="R129" s="80">
        <f>+R130</f>
        <v>4906600000</v>
      </c>
      <c r="S129" s="80">
        <f>+S130</f>
        <v>4906600000</v>
      </c>
      <c r="T129" s="80">
        <f>+T130</f>
        <v>931600000</v>
      </c>
      <c r="U129" s="80">
        <f>+U130</f>
        <v>0</v>
      </c>
      <c r="V129" s="80">
        <f>+V130</f>
        <v>5838200000</v>
      </c>
    </row>
    <row r="130" spans="1:22" s="5" customFormat="1" ht="33.75" customHeight="1">
      <c r="J130" s="28"/>
      <c r="K130" s="29"/>
      <c r="L130" s="30" t="str">
        <f>DATA!I139</f>
        <v>A</v>
      </c>
      <c r="M130" s="31" t="str">
        <f>DATA!J139</f>
        <v>Program Pembangunan Infrastruktur Ketenagalistrikan</v>
      </c>
      <c r="N130" s="51"/>
      <c r="O130" s="31"/>
      <c r="P130" s="31"/>
      <c r="Q130" s="31"/>
      <c r="R130" s="81">
        <f>R131+R132+R133+R134++R135+R136+R137+R138+R139+R140</f>
        <v>4906600000</v>
      </c>
      <c r="S130" s="81">
        <f>S131+S132+S133+S134++S135+S136+S137+S138+S139+S140</f>
        <v>4906600000</v>
      </c>
      <c r="T130" s="81">
        <f>T131+T132+T133+T134++T135+T136+T137+T138+T139+T140</f>
        <v>931600000</v>
      </c>
      <c r="U130" s="81">
        <f>U131+U132+U133+U134++U135+U136+U137+U138+U139+U140</f>
        <v>0</v>
      </c>
      <c r="V130" s="81">
        <f>V131+V132+V133+V134++V135+V136+V137+V138+V139+V140</f>
        <v>5838200000</v>
      </c>
    </row>
    <row r="131" spans="1:22" ht="38.25" customHeight="1">
      <c r="A131" s="10">
        <f>DATA!A140</f>
        <v>102</v>
      </c>
      <c r="B131" s="10">
        <f>DATA!B140</f>
        <v>0</v>
      </c>
      <c r="C131" s="10" t="str">
        <f>DATA!D140</f>
        <v>INFRASTRUKTUR</v>
      </c>
      <c r="D131" s="10">
        <f>DATA!E140</f>
        <v>7</v>
      </c>
      <c r="E131" s="10" t="str">
        <f>DATA!F140</f>
        <v xml:space="preserve">PT. PLN    </v>
      </c>
      <c r="F131" s="10" t="str">
        <f>DATA!H140</f>
        <v>Electricity Infrastructure Development Program</v>
      </c>
      <c r="G131" s="10" t="str">
        <f>DATA!I140</f>
        <v>A</v>
      </c>
      <c r="H131" s="10" t="str">
        <f>DATA!J140</f>
        <v>Program Pembangunan Infrastruktur Ketenagalistrikan</v>
      </c>
      <c r="I131" s="10">
        <f>DATA!K140</f>
        <v>1</v>
      </c>
      <c r="J131" s="33"/>
      <c r="K131" s="34"/>
      <c r="L131" s="34"/>
      <c r="M131" s="172">
        <v>1</v>
      </c>
      <c r="N131" s="37" t="str">
        <f>DATA!L140</f>
        <v>Java-Sumatera Interconnection Transmission Line (HVDC) 500 kV (Phase II)</v>
      </c>
      <c r="O131" s="20">
        <f>DATA!Q140</f>
        <v>1</v>
      </c>
      <c r="P131" s="20">
        <f>DATA!R140</f>
        <v>1</v>
      </c>
      <c r="Q131" s="20">
        <f>DATA!S140</f>
        <v>91</v>
      </c>
      <c r="R131" s="77">
        <f>DATA!T140</f>
        <v>629000000</v>
      </c>
      <c r="S131" s="88">
        <f>DATA!U140</f>
        <v>629000000</v>
      </c>
      <c r="T131" s="77">
        <f>DATA!V140</f>
        <v>88000000</v>
      </c>
      <c r="U131" s="77">
        <f>DATA!W140</f>
        <v>0</v>
      </c>
      <c r="V131" s="77">
        <f>DATA!X140</f>
        <v>717000000</v>
      </c>
    </row>
    <row r="132" spans="1:22" ht="39" customHeight="1">
      <c r="A132" s="10">
        <f>DATA!A141</f>
        <v>103</v>
      </c>
      <c r="B132" s="10">
        <f>DATA!B141</f>
        <v>0</v>
      </c>
      <c r="C132" s="10" t="str">
        <f>DATA!D141</f>
        <v>INFRASTRUKTUR</v>
      </c>
      <c r="D132" s="10">
        <f>DATA!E141</f>
        <v>7</v>
      </c>
      <c r="E132" s="10" t="str">
        <f>DATA!F141</f>
        <v xml:space="preserve">PT. PLN    </v>
      </c>
      <c r="F132" s="10" t="str">
        <f>DATA!H141</f>
        <v>Electricity Infrastructure Development Program</v>
      </c>
      <c r="G132" s="10" t="str">
        <f>DATA!I141</f>
        <v>A</v>
      </c>
      <c r="H132" s="10" t="str">
        <f>DATA!J141</f>
        <v>Program Pembangunan Infrastruktur Ketenagalistrikan</v>
      </c>
      <c r="I132" s="10">
        <f>DATA!K141</f>
        <v>1</v>
      </c>
      <c r="J132" s="33"/>
      <c r="K132" s="34"/>
      <c r="L132" s="34"/>
      <c r="M132" s="172">
        <v>2</v>
      </c>
      <c r="N132" s="37" t="str">
        <f>DATA!L141</f>
        <v>Construction of Java Sumatera Interconnection 500 kV (HVDC-Phase 3 &amp; 4)</v>
      </c>
      <c r="O132" s="20">
        <f>DATA!Q141</f>
        <v>1</v>
      </c>
      <c r="P132" s="20">
        <f>DATA!R141</f>
        <v>1</v>
      </c>
      <c r="Q132" s="20">
        <f>DATA!S141</f>
        <v>92</v>
      </c>
      <c r="R132" s="77">
        <f>DATA!T141</f>
        <v>933000000</v>
      </c>
      <c r="S132" s="88">
        <f>DATA!U141</f>
        <v>933000000</v>
      </c>
      <c r="T132" s="77">
        <f>DATA!V141</f>
        <v>165000000</v>
      </c>
      <c r="U132" s="77">
        <f>DATA!W141</f>
        <v>0</v>
      </c>
      <c r="V132" s="77">
        <f>DATA!X141</f>
        <v>1098000000</v>
      </c>
    </row>
    <row r="133" spans="1:22" ht="41.25" customHeight="1">
      <c r="A133" s="10">
        <f>DATA!A143</f>
        <v>105</v>
      </c>
      <c r="B133" s="10">
        <f>DATA!B143</f>
        <v>0</v>
      </c>
      <c r="C133" s="10" t="str">
        <f>DATA!D143</f>
        <v>INFRASTRUKTUR</v>
      </c>
      <c r="D133" s="10">
        <f>DATA!E143</f>
        <v>7</v>
      </c>
      <c r="E133" s="10" t="str">
        <f>DATA!F143</f>
        <v xml:space="preserve">PT. PLN    </v>
      </c>
      <c r="F133" s="10" t="str">
        <f>DATA!H143</f>
        <v>Electricity Infrastructure Development Program</v>
      </c>
      <c r="G133" s="10" t="str">
        <f>DATA!I143</f>
        <v>A</v>
      </c>
      <c r="H133" s="10" t="str">
        <f>DATA!J143</f>
        <v>Program Pembangunan Infrastruktur Ketenagalistrikan</v>
      </c>
      <c r="I133" s="10">
        <f>DATA!K143</f>
        <v>2</v>
      </c>
      <c r="J133" s="33"/>
      <c r="K133" s="34"/>
      <c r="L133" s="34"/>
      <c r="M133" s="172">
        <v>3</v>
      </c>
      <c r="N133" s="37" t="str">
        <f>DATA!L143</f>
        <v>Engineering Service for Hululais 1&amp;2 Geothermal Power Plant Project (2x55 MW)</v>
      </c>
      <c r="O133" s="20">
        <f>DATA!Q143</f>
        <v>1</v>
      </c>
      <c r="P133" s="20">
        <f>DATA!R143</f>
        <v>1</v>
      </c>
      <c r="Q133" s="20">
        <f>DATA!S143</f>
        <v>93</v>
      </c>
      <c r="R133" s="77">
        <f>DATA!T143</f>
        <v>6600000</v>
      </c>
      <c r="S133" s="88">
        <f>DATA!U143</f>
        <v>6600000</v>
      </c>
      <c r="T133" s="77">
        <f>DATA!V143</f>
        <v>600000</v>
      </c>
      <c r="U133" s="77">
        <f>DATA!W143</f>
        <v>0</v>
      </c>
      <c r="V133" s="77">
        <f>DATA!X143</f>
        <v>7200000</v>
      </c>
    </row>
    <row r="134" spans="1:22" ht="23.25" customHeight="1">
      <c r="A134" s="10">
        <f>DATA!A144</f>
        <v>106</v>
      </c>
      <c r="B134" s="10">
        <f>DATA!B144</f>
        <v>0</v>
      </c>
      <c r="C134" s="10" t="str">
        <f>DATA!D144</f>
        <v>INFRASTRUKTUR</v>
      </c>
      <c r="D134" s="10">
        <f>DATA!E144</f>
        <v>7</v>
      </c>
      <c r="E134" s="10" t="str">
        <f>DATA!F144</f>
        <v xml:space="preserve">PT. PLN    </v>
      </c>
      <c r="F134" s="10" t="str">
        <f>DATA!H144</f>
        <v>Electricity Infrastructure Development Program</v>
      </c>
      <c r="G134" s="10" t="str">
        <f>DATA!I144</f>
        <v>A</v>
      </c>
      <c r="H134" s="10" t="str">
        <f>DATA!J144</f>
        <v>Program Pembangunan Infrastruktur Ketenagalistrikan</v>
      </c>
      <c r="I134" s="10">
        <f>DATA!K144</f>
        <v>2</v>
      </c>
      <c r="J134" s="33"/>
      <c r="K134" s="34"/>
      <c r="L134" s="34"/>
      <c r="M134" s="172">
        <v>4</v>
      </c>
      <c r="N134" s="37" t="str">
        <f>DATA!L144</f>
        <v>Hululais Geothermal Power Plant  1&amp;2 (2x55MW)</v>
      </c>
      <c r="O134" s="20">
        <f>DATA!Q144</f>
        <v>1</v>
      </c>
      <c r="P134" s="20">
        <f>DATA!R144</f>
        <v>1</v>
      </c>
      <c r="Q134" s="20">
        <f>DATA!S144</f>
        <v>94</v>
      </c>
      <c r="R134" s="77">
        <f>DATA!T144</f>
        <v>204000000</v>
      </c>
      <c r="S134" s="88">
        <f>DATA!U144</f>
        <v>204000000</v>
      </c>
      <c r="T134" s="77">
        <f>DATA!V144</f>
        <v>42000000</v>
      </c>
      <c r="U134" s="77">
        <f>DATA!W144</f>
        <v>0</v>
      </c>
      <c r="V134" s="77">
        <f>DATA!X144</f>
        <v>246000000</v>
      </c>
    </row>
    <row r="135" spans="1:22" ht="18.75" customHeight="1">
      <c r="A135" s="10">
        <f>DATA!A145</f>
        <v>107</v>
      </c>
      <c r="B135" s="10">
        <f>DATA!B145</f>
        <v>0</v>
      </c>
      <c r="C135" s="10" t="str">
        <f>DATA!D145</f>
        <v>INFRASTRUKTUR</v>
      </c>
      <c r="D135" s="10">
        <f>DATA!E145</f>
        <v>7</v>
      </c>
      <c r="E135" s="10" t="str">
        <f>DATA!F145</f>
        <v xml:space="preserve">PT. PLN    </v>
      </c>
      <c r="F135" s="10" t="str">
        <f>DATA!H145</f>
        <v>Electricity Infrastructure Development Program</v>
      </c>
      <c r="G135" s="10" t="str">
        <f>DATA!I145</f>
        <v>A</v>
      </c>
      <c r="H135" s="10" t="str">
        <f>DATA!J145</f>
        <v>Program Pembangunan Infrastruktur Ketenagalistrikan</v>
      </c>
      <c r="I135" s="10">
        <f>DATA!K145</f>
        <v>3</v>
      </c>
      <c r="J135" s="33"/>
      <c r="K135" s="34"/>
      <c r="L135" s="34"/>
      <c r="M135" s="172">
        <v>5</v>
      </c>
      <c r="N135" s="37" t="str">
        <f>DATA!L145</f>
        <v>Bakaru II Hydro Electrical Power Plant (2x63MW)</v>
      </c>
      <c r="O135" s="20">
        <f>DATA!Q145</f>
        <v>1</v>
      </c>
      <c r="P135" s="20">
        <f>DATA!R145</f>
        <v>1</v>
      </c>
      <c r="Q135" s="20">
        <f>DATA!S145</f>
        <v>95</v>
      </c>
      <c r="R135" s="77">
        <f>DATA!T145</f>
        <v>280000000</v>
      </c>
      <c r="S135" s="88">
        <f>DATA!U145</f>
        <v>280000000</v>
      </c>
      <c r="T135" s="77">
        <f>DATA!V145</f>
        <v>20000000</v>
      </c>
      <c r="U135" s="77">
        <f>DATA!W145</f>
        <v>0</v>
      </c>
      <c r="V135" s="77">
        <f>DATA!X145</f>
        <v>300000000</v>
      </c>
    </row>
    <row r="136" spans="1:22" ht="36" customHeight="1">
      <c r="A136" s="10">
        <f>DATA!A146</f>
        <v>108</v>
      </c>
      <c r="B136" s="10">
        <f>DATA!B146</f>
        <v>0</v>
      </c>
      <c r="C136" s="10" t="str">
        <f>DATA!D146</f>
        <v>INFRASTRUKTUR</v>
      </c>
      <c r="D136" s="10">
        <f>DATA!E146</f>
        <v>7</v>
      </c>
      <c r="E136" s="10" t="str">
        <f>DATA!F146</f>
        <v xml:space="preserve">PT. PLN    </v>
      </c>
      <c r="F136" s="10" t="str">
        <f>DATA!H146</f>
        <v>Electricity Infrastructure Development Program</v>
      </c>
      <c r="G136" s="10" t="str">
        <f>DATA!I146</f>
        <v>A</v>
      </c>
      <c r="H136" s="10" t="str">
        <f>DATA!J146</f>
        <v>Program Pembangunan Infrastruktur Ketenagalistrikan</v>
      </c>
      <c r="I136" s="10">
        <f>DATA!K146</f>
        <v>4</v>
      </c>
      <c r="J136" s="33"/>
      <c r="K136" s="34"/>
      <c r="L136" s="34"/>
      <c r="M136" s="172">
        <v>6</v>
      </c>
      <c r="N136" s="37" t="str">
        <f>DATA!L146</f>
        <v>Tulehu Geothermal Power Plant Project Unit 1&amp;2 (2x10MW)</v>
      </c>
      <c r="O136" s="20">
        <f>DATA!Q146</f>
        <v>1</v>
      </c>
      <c r="P136" s="20">
        <f>DATA!R146</f>
        <v>1</v>
      </c>
      <c r="Q136" s="20">
        <f>DATA!S146</f>
        <v>96</v>
      </c>
      <c r="R136" s="77">
        <f>DATA!T146</f>
        <v>104000000</v>
      </c>
      <c r="S136" s="88">
        <f>DATA!U146</f>
        <v>104000000</v>
      </c>
      <c r="T136" s="77">
        <f>DATA!V146</f>
        <v>18000000</v>
      </c>
      <c r="U136" s="77">
        <f>DATA!W146</f>
        <v>0</v>
      </c>
      <c r="V136" s="77">
        <f>DATA!X146</f>
        <v>122000000</v>
      </c>
    </row>
    <row r="137" spans="1:22" ht="33" customHeight="1">
      <c r="A137" s="10">
        <f>DATA!A147</f>
        <v>109</v>
      </c>
      <c r="B137" s="10">
        <f>DATA!B147</f>
        <v>0</v>
      </c>
      <c r="C137" s="10" t="str">
        <f>DATA!D147</f>
        <v>INFRASTRUKTUR</v>
      </c>
      <c r="D137" s="10">
        <f>DATA!E147</f>
        <v>7</v>
      </c>
      <c r="E137" s="10" t="str">
        <f>DATA!F147</f>
        <v xml:space="preserve">PT. PLN    </v>
      </c>
      <c r="F137" s="10" t="str">
        <f>DATA!H147</f>
        <v>Electricity Infrastructure Development Program</v>
      </c>
      <c r="G137" s="10" t="str">
        <f>DATA!I147</f>
        <v>A</v>
      </c>
      <c r="H137" s="10" t="str">
        <f>DATA!J147</f>
        <v>Program Pembangunan Infrastruktur Ketenagalistrikan</v>
      </c>
      <c r="I137" s="10">
        <f>DATA!K147</f>
        <v>5</v>
      </c>
      <c r="J137" s="33"/>
      <c r="K137" s="34"/>
      <c r="L137" s="34"/>
      <c r="M137" s="172">
        <v>7</v>
      </c>
      <c r="N137" s="37" t="str">
        <f>DATA!L147</f>
        <v>Indramayu Coal Fired Power Plant  #4 (1x1000MW)</v>
      </c>
      <c r="O137" s="20">
        <f>DATA!Q147</f>
        <v>1</v>
      </c>
      <c r="P137" s="20">
        <f>DATA!R147</f>
        <v>1</v>
      </c>
      <c r="Q137" s="20">
        <f>DATA!S147</f>
        <v>97</v>
      </c>
      <c r="R137" s="77">
        <f>DATA!T147</f>
        <v>1845000000</v>
      </c>
      <c r="S137" s="88">
        <f>DATA!U147</f>
        <v>1845000000</v>
      </c>
      <c r="T137" s="77">
        <f>DATA!V147</f>
        <v>333000000</v>
      </c>
      <c r="U137" s="77">
        <f>DATA!W147</f>
        <v>0</v>
      </c>
      <c r="V137" s="77">
        <f>DATA!X147</f>
        <v>2178000000</v>
      </c>
    </row>
    <row r="138" spans="1:22" ht="40.5" customHeight="1">
      <c r="A138" s="10">
        <f>DATA!A148</f>
        <v>110</v>
      </c>
      <c r="B138" s="10">
        <f>DATA!B148</f>
        <v>0</v>
      </c>
      <c r="C138" s="10" t="str">
        <f>DATA!D148</f>
        <v>INFRASTRUKTUR</v>
      </c>
      <c r="D138" s="10">
        <f>DATA!E148</f>
        <v>7</v>
      </c>
      <c r="E138" s="10" t="str">
        <f>DATA!F148</f>
        <v xml:space="preserve">PT. PLN    </v>
      </c>
      <c r="F138" s="10" t="str">
        <f>DATA!H148</f>
        <v>Electricity Infrastructure Development Program</v>
      </c>
      <c r="G138" s="10" t="str">
        <f>DATA!I148</f>
        <v>A</v>
      </c>
      <c r="H138" s="10" t="str">
        <f>DATA!J148</f>
        <v>Program Pembangunan Infrastruktur Ketenagalistrikan</v>
      </c>
      <c r="I138" s="10">
        <f>DATA!K148</f>
        <v>6</v>
      </c>
      <c r="J138" s="33"/>
      <c r="K138" s="34"/>
      <c r="L138" s="34"/>
      <c r="M138" s="172">
        <v>8</v>
      </c>
      <c r="N138" s="37" t="str">
        <f>DATA!L148</f>
        <v>Additional Loan for Upper Cisokan Pumped Storage Hydro Electrical Power Plant (4x260MW)</v>
      </c>
      <c r="O138" s="20">
        <f>DATA!Q148</f>
        <v>1</v>
      </c>
      <c r="P138" s="20">
        <f>DATA!R148</f>
        <v>1</v>
      </c>
      <c r="Q138" s="20">
        <f>DATA!S148</f>
        <v>98</v>
      </c>
      <c r="R138" s="77">
        <f>DATA!T148</f>
        <v>200000000</v>
      </c>
      <c r="S138" s="88">
        <f>DATA!U148</f>
        <v>200000000</v>
      </c>
      <c r="T138" s="77">
        <f>DATA!V148</f>
        <v>0</v>
      </c>
      <c r="U138" s="77">
        <f>DATA!W148</f>
        <v>0</v>
      </c>
      <c r="V138" s="77">
        <f>DATA!X148</f>
        <v>200000000</v>
      </c>
    </row>
    <row r="139" spans="1:22" ht="35.25" customHeight="1">
      <c r="A139" s="10">
        <f>DATA!A149</f>
        <v>111</v>
      </c>
      <c r="B139" s="10">
        <f>DATA!B149</f>
        <v>0</v>
      </c>
      <c r="C139" s="10" t="str">
        <f>DATA!D149</f>
        <v>INFRASTRUKTUR</v>
      </c>
      <c r="D139" s="10">
        <f>DATA!E149</f>
        <v>7</v>
      </c>
      <c r="E139" s="10" t="str">
        <f>DATA!F149</f>
        <v xml:space="preserve">PT. PLN    </v>
      </c>
      <c r="F139" s="10" t="str">
        <f>DATA!H149</f>
        <v>Electricity Infrastructure Development Program</v>
      </c>
      <c r="G139" s="10" t="str">
        <f>DATA!I149</f>
        <v>A</v>
      </c>
      <c r="H139" s="10" t="str">
        <f>DATA!J149</f>
        <v>Program Pembangunan Infrastruktur Ketenagalistrikan</v>
      </c>
      <c r="I139" s="10">
        <f>DATA!K149</f>
        <v>7</v>
      </c>
      <c r="J139" s="33"/>
      <c r="K139" s="34"/>
      <c r="L139" s="34"/>
      <c r="M139" s="172">
        <v>9</v>
      </c>
      <c r="N139" s="37" t="str">
        <f>DATA!L149</f>
        <v>Sungai Penuh Geothermal Power Plant 1&amp;2 (2x55MW)</v>
      </c>
      <c r="O139" s="20">
        <f>DATA!Q149</f>
        <v>1</v>
      </c>
      <c r="P139" s="20">
        <f>DATA!R149</f>
        <v>1</v>
      </c>
      <c r="Q139" s="20">
        <f>DATA!S149</f>
        <v>99</v>
      </c>
      <c r="R139" s="77">
        <f>DATA!T149</f>
        <v>205000000</v>
      </c>
      <c r="S139" s="88">
        <f>DATA!U149</f>
        <v>205000000</v>
      </c>
      <c r="T139" s="77">
        <f>DATA!V149</f>
        <v>45000000</v>
      </c>
      <c r="U139" s="77">
        <f>DATA!W149</f>
        <v>0</v>
      </c>
      <c r="V139" s="77">
        <f>DATA!X149</f>
        <v>250000000</v>
      </c>
    </row>
    <row r="140" spans="1:22" ht="36" customHeight="1">
      <c r="A140" s="10">
        <f>DATA!A150</f>
        <v>112</v>
      </c>
      <c r="B140" s="10">
        <f>DATA!B150</f>
        <v>0</v>
      </c>
      <c r="C140" s="10" t="str">
        <f>DATA!D150</f>
        <v>INFRASTRUKTUR</v>
      </c>
      <c r="D140" s="10">
        <f>DATA!E150</f>
        <v>7</v>
      </c>
      <c r="E140" s="10" t="str">
        <f>DATA!F150</f>
        <v xml:space="preserve">PT. PLN    </v>
      </c>
      <c r="F140" s="10" t="str">
        <f>DATA!H150</f>
        <v>Electricity Infrastructure Development Program</v>
      </c>
      <c r="G140" s="10" t="str">
        <f>DATA!I150</f>
        <v>A</v>
      </c>
      <c r="H140" s="10" t="str">
        <f>DATA!J150</f>
        <v>Program Pembangunan Infrastruktur Ketenagalistrikan</v>
      </c>
      <c r="I140" s="10">
        <f>DATA!K150</f>
        <v>8</v>
      </c>
      <c r="J140" s="52"/>
      <c r="K140" s="54"/>
      <c r="L140" s="54"/>
      <c r="M140" s="172">
        <v>10</v>
      </c>
      <c r="N140" s="37" t="str">
        <f>DATA!L150</f>
        <v>Matenggeng Pumped Storage Hydro Electrical Power Plant (4x225MW)</v>
      </c>
      <c r="O140" s="20">
        <f>DATA!Q150</f>
        <v>1</v>
      </c>
      <c r="P140" s="20">
        <f>DATA!R150</f>
        <v>1</v>
      </c>
      <c r="Q140" s="20">
        <f>DATA!S150</f>
        <v>100</v>
      </c>
      <c r="R140" s="77">
        <f>DATA!T150</f>
        <v>500000000</v>
      </c>
      <c r="S140" s="88">
        <f>DATA!U150</f>
        <v>500000000</v>
      </c>
      <c r="T140" s="77">
        <f>DATA!V150</f>
        <v>220000000</v>
      </c>
      <c r="U140" s="77">
        <f>DATA!W150</f>
        <v>0</v>
      </c>
      <c r="V140" s="77">
        <f>DATA!X150</f>
        <v>720000000</v>
      </c>
    </row>
    <row r="141" spans="1:22" s="3" customFormat="1" ht="30" customHeight="1">
      <c r="J141" s="21" t="str">
        <f>DATA!B160</f>
        <v>II</v>
      </c>
      <c r="K141" s="112" t="str">
        <f>DATA!D160</f>
        <v>NON-INFRASTRUKTUR</v>
      </c>
      <c r="L141" s="22"/>
      <c r="M141" s="22"/>
      <c r="N141" s="23"/>
      <c r="O141" s="22"/>
      <c r="P141" s="22"/>
      <c r="Q141" s="22"/>
      <c r="R141" s="79">
        <f>+R142+R151+R159+R162+R171+R174+R181+R184+R187+R190</f>
        <v>4590772100</v>
      </c>
      <c r="S141" s="79">
        <f>+S142+S151+S159+S162+S171+S174+S181+S184+S187+S190</f>
        <v>4590772100</v>
      </c>
      <c r="T141" s="79">
        <f>+T142+T151+T159+T162+T171+T174+T181+T184+T187+T190</f>
        <v>448593600</v>
      </c>
      <c r="U141" s="79">
        <f>+U142+U151+U159+U162+U171+U174+U181+U184+U187+U190</f>
        <v>2660000</v>
      </c>
      <c r="V141" s="79">
        <f>+V142+V151+V159+V162+V171+V174+V181+V184+V187+V190</f>
        <v>5042025700</v>
      </c>
    </row>
    <row r="142" spans="1:22" s="4" customFormat="1" ht="24.95" customHeight="1">
      <c r="J142" s="24"/>
      <c r="K142" s="25">
        <f>DATA!E160</f>
        <v>8</v>
      </c>
      <c r="L142" s="108" t="str">
        <f>DATA!F160</f>
        <v>Kementerian Riset, Teknologi, dan Pendidikan Tinggi</v>
      </c>
      <c r="M142" s="25"/>
      <c r="N142" s="27"/>
      <c r="O142" s="26"/>
      <c r="P142" s="26"/>
      <c r="Q142" s="26"/>
      <c r="R142" s="80">
        <f>+R143</f>
        <v>290311500</v>
      </c>
      <c r="S142" s="80">
        <f>+S143</f>
        <v>290311500</v>
      </c>
      <c r="T142" s="80">
        <f>+T143</f>
        <v>25421200</v>
      </c>
      <c r="U142" s="80">
        <f>+U143</f>
        <v>0</v>
      </c>
      <c r="V142" s="80">
        <f>+V143</f>
        <v>315732700</v>
      </c>
    </row>
    <row r="143" spans="1:22" s="5" customFormat="1" ht="33.75" customHeight="1">
      <c r="J143" s="28"/>
      <c r="K143" s="29"/>
      <c r="L143" s="30" t="str">
        <f>DATA!I160</f>
        <v>A</v>
      </c>
      <c r="M143" s="31" t="str">
        <f>DATA!J160</f>
        <v xml:space="preserve">Program Peningkatan Akses, Kualitas, Relevansi, dan Daya Saing Pendidikan Tinggi </v>
      </c>
      <c r="N143" s="51"/>
      <c r="O143" s="31"/>
      <c r="P143" s="31"/>
      <c r="Q143" s="31"/>
      <c r="R143" s="81">
        <f>SUM(R144:R150)</f>
        <v>290311500</v>
      </c>
      <c r="S143" s="81">
        <f>SUM(S144:S150)</f>
        <v>290311500</v>
      </c>
      <c r="T143" s="81">
        <f>SUM(T144:T150)</f>
        <v>25421200</v>
      </c>
      <c r="U143" s="81">
        <f>SUM(U144:U150)</f>
        <v>0</v>
      </c>
      <c r="V143" s="81">
        <f>SUM(V144:V150)</f>
        <v>315732700</v>
      </c>
    </row>
    <row r="144" spans="1:22" ht="34.5" customHeight="1">
      <c r="A144" s="10">
        <f>DATA!A161</f>
        <v>114</v>
      </c>
      <c r="B144" s="10">
        <f>DATA!B161</f>
        <v>0</v>
      </c>
      <c r="C144" s="10" t="str">
        <f>DATA!D161</f>
        <v>NON-INFRASTRUKTUR</v>
      </c>
      <c r="D144" s="10">
        <f>DATA!E161</f>
        <v>8</v>
      </c>
      <c r="E144" s="10" t="str">
        <f>DATA!F161</f>
        <v>Kementerian Riset, Teknologi, dan Pendidikan Tinggi</v>
      </c>
      <c r="F144" s="10" t="str">
        <f>DATA!H161</f>
        <v>Improving Access, Quality, Relevance, and Competitiveness of Higher Education Program</v>
      </c>
      <c r="G144" s="10" t="str">
        <f>DATA!I161</f>
        <v>A</v>
      </c>
      <c r="H144" s="10" t="str">
        <f>DATA!J161</f>
        <v xml:space="preserve">Program Peningkatan Akses, Kualitas, Relevansi, dan Daya Saing Pendidikan Tinggi </v>
      </c>
      <c r="I144" s="10">
        <f>DATA!K161</f>
        <v>1</v>
      </c>
      <c r="J144" s="33"/>
      <c r="K144" s="34"/>
      <c r="L144" s="34"/>
      <c r="M144" s="172">
        <v>1</v>
      </c>
      <c r="N144" s="37" t="str">
        <f>DATA!L161</f>
        <v>The Development of Sultan Ageng Tirtayasa University (UNTIRTA)</v>
      </c>
      <c r="O144" s="20">
        <f>DATA!Q161</f>
        <v>0.14285714285714285</v>
      </c>
      <c r="P144" s="20">
        <f>DATA!R161</f>
        <v>0</v>
      </c>
      <c r="Q144" s="20">
        <f>DATA!S161</f>
        <v>0</v>
      </c>
      <c r="R144" s="77">
        <f>DATA!T161</f>
        <v>49882300</v>
      </c>
      <c r="S144" s="88">
        <f>DATA!U161</f>
        <v>49882300</v>
      </c>
      <c r="T144" s="77">
        <f>DATA!V161</f>
        <v>3797300</v>
      </c>
      <c r="U144" s="77">
        <f>DATA!W161</f>
        <v>0</v>
      </c>
      <c r="V144" s="77">
        <f>DATA!X161</f>
        <v>53679600</v>
      </c>
    </row>
    <row r="145" spans="1:22" ht="32.25" customHeight="1">
      <c r="A145" s="10">
        <f>DATA!A162</f>
        <v>115</v>
      </c>
      <c r="B145" s="10">
        <f>DATA!B162</f>
        <v>0</v>
      </c>
      <c r="C145" s="10" t="str">
        <f>DATA!D162</f>
        <v>NON-INFRASTRUKTUR</v>
      </c>
      <c r="D145" s="10">
        <f>DATA!E162</f>
        <v>8</v>
      </c>
      <c r="E145" s="10" t="str">
        <f>DATA!F162</f>
        <v>Kementerian Riset, Teknologi, dan Pendidikan Tinggi</v>
      </c>
      <c r="F145" s="10" t="str">
        <f>DATA!H162</f>
        <v>Improving Access, Quality, Relevance, and Competitiveness of Higher Education Program</v>
      </c>
      <c r="G145" s="10" t="str">
        <f>DATA!I162</f>
        <v>A</v>
      </c>
      <c r="H145" s="10" t="str">
        <f>DATA!J162</f>
        <v xml:space="preserve">Program Peningkatan Akses, Kualitas, Relevansi, dan Daya Saing Pendidikan Tinggi </v>
      </c>
      <c r="I145" s="10">
        <f>DATA!K162</f>
        <v>1</v>
      </c>
      <c r="J145" s="33"/>
      <c r="K145" s="34"/>
      <c r="L145" s="34"/>
      <c r="M145" s="172">
        <v>2</v>
      </c>
      <c r="N145" s="37" t="str">
        <f>DATA!L162</f>
        <v>Development for State University of Malang as The Learning University</v>
      </c>
      <c r="O145" s="20">
        <f>DATA!Q162</f>
        <v>0.14285714285714285</v>
      </c>
      <c r="P145" s="20">
        <f>DATA!R162</f>
        <v>0</v>
      </c>
      <c r="Q145" s="20">
        <f>DATA!S162</f>
        <v>0</v>
      </c>
      <c r="R145" s="77">
        <f>DATA!T162</f>
        <v>38400000</v>
      </c>
      <c r="S145" s="88">
        <f>DATA!U162</f>
        <v>38400000</v>
      </c>
      <c r="T145" s="77">
        <f>DATA!V162</f>
        <v>9335300</v>
      </c>
      <c r="U145" s="77">
        <f>DATA!W162</f>
        <v>0</v>
      </c>
      <c r="V145" s="77">
        <f>DATA!X162</f>
        <v>47735300</v>
      </c>
    </row>
    <row r="146" spans="1:22" ht="35.25" customHeight="1">
      <c r="A146" s="10">
        <f>DATA!A163</f>
        <v>116</v>
      </c>
      <c r="B146" s="10">
        <f>DATA!B163</f>
        <v>0</v>
      </c>
      <c r="C146" s="10" t="str">
        <f>DATA!D163</f>
        <v>NON-INFRASTRUKTUR</v>
      </c>
      <c r="D146" s="10">
        <f>DATA!E163</f>
        <v>8</v>
      </c>
      <c r="E146" s="10" t="str">
        <f>DATA!F163</f>
        <v>Kementerian Riset, Teknologi, dan Pendidikan Tinggi</v>
      </c>
      <c r="F146" s="10" t="str">
        <f>DATA!H163</f>
        <v>Improving Access, Quality, Relevance, and Competitiveness of Higher Education Program</v>
      </c>
      <c r="G146" s="10" t="str">
        <f>DATA!I163</f>
        <v>A</v>
      </c>
      <c r="H146" s="10" t="str">
        <f>DATA!J163</f>
        <v xml:space="preserve">Program Peningkatan Akses, Kualitas, Relevansi, dan Daya Saing Pendidikan Tinggi </v>
      </c>
      <c r="I146" s="10">
        <f>DATA!K163</f>
        <v>1</v>
      </c>
      <c r="J146" s="33"/>
      <c r="K146" s="34"/>
      <c r="L146" s="34"/>
      <c r="M146" s="172">
        <v>3</v>
      </c>
      <c r="N146" s="37" t="str">
        <f>DATA!L163</f>
        <v>The Development and Upgrading Mulawarman University</v>
      </c>
      <c r="O146" s="20">
        <f>DATA!Q163</f>
        <v>0.14285714285714285</v>
      </c>
      <c r="P146" s="20">
        <f>DATA!R163</f>
        <v>0</v>
      </c>
      <c r="Q146" s="20">
        <f>DATA!S163</f>
        <v>0</v>
      </c>
      <c r="R146" s="77">
        <f>DATA!T163</f>
        <v>44400000</v>
      </c>
      <c r="S146" s="88">
        <f>DATA!U163</f>
        <v>44400000</v>
      </c>
      <c r="T146" s="77">
        <f>DATA!V163</f>
        <v>485800</v>
      </c>
      <c r="U146" s="77">
        <f>DATA!W163</f>
        <v>0</v>
      </c>
      <c r="V146" s="77">
        <f>DATA!X163</f>
        <v>44885800</v>
      </c>
    </row>
    <row r="147" spans="1:22" ht="55.5" customHeight="1">
      <c r="A147" s="10">
        <f>DATA!A164</f>
        <v>117</v>
      </c>
      <c r="B147" s="10">
        <f>DATA!B164</f>
        <v>0</v>
      </c>
      <c r="C147" s="10" t="str">
        <f>DATA!D164</f>
        <v>NON-INFRASTRUKTUR</v>
      </c>
      <c r="D147" s="10">
        <f>DATA!E164</f>
        <v>8</v>
      </c>
      <c r="E147" s="10" t="str">
        <f>DATA!F164</f>
        <v>Kementerian Riset, Teknologi, dan Pendidikan Tinggi</v>
      </c>
      <c r="F147" s="10" t="str">
        <f>DATA!H164</f>
        <v>Improving Access, Quality, Relevance, and Competitiveness of Higher Education Program</v>
      </c>
      <c r="G147" s="10" t="str">
        <f>DATA!I164</f>
        <v>A</v>
      </c>
      <c r="H147" s="10" t="str">
        <f>DATA!J164</f>
        <v xml:space="preserve">Program Peningkatan Akses, Kualitas, Relevansi, dan Daya Saing Pendidikan Tinggi </v>
      </c>
      <c r="I147" s="10">
        <f>DATA!K164</f>
        <v>1</v>
      </c>
      <c r="J147" s="33"/>
      <c r="K147" s="34"/>
      <c r="L147" s="34"/>
      <c r="M147" s="172">
        <v>4</v>
      </c>
      <c r="N147" s="37" t="str">
        <f>DATA!L164</f>
        <v>Improvement of The Capacity and Contribution of The University of Jember on Standardized and Excellent Tridharma Implementation in South East Asia Region</v>
      </c>
      <c r="O147" s="20">
        <f>DATA!Q164</f>
        <v>0.14285714285714285</v>
      </c>
      <c r="P147" s="20">
        <f>DATA!R164</f>
        <v>0</v>
      </c>
      <c r="Q147" s="20">
        <f>DATA!S164</f>
        <v>0</v>
      </c>
      <c r="R147" s="77">
        <f>DATA!T164</f>
        <v>44091200</v>
      </c>
      <c r="S147" s="88">
        <f>DATA!U164</f>
        <v>44091200</v>
      </c>
      <c r="T147" s="77">
        <f>DATA!V164</f>
        <v>1992700</v>
      </c>
      <c r="U147" s="77">
        <f>DATA!W164</f>
        <v>0</v>
      </c>
      <c r="V147" s="77">
        <f>DATA!X164</f>
        <v>46083900</v>
      </c>
    </row>
    <row r="148" spans="1:22" ht="37.5" customHeight="1">
      <c r="A148" s="10">
        <f>DATA!A165</f>
        <v>118</v>
      </c>
      <c r="B148" s="10">
        <f>DATA!B165</f>
        <v>0</v>
      </c>
      <c r="C148" s="10" t="str">
        <f>DATA!D165</f>
        <v>NON-INFRASTRUKTUR</v>
      </c>
      <c r="D148" s="10">
        <f>DATA!E165</f>
        <v>8</v>
      </c>
      <c r="E148" s="10" t="str">
        <f>DATA!F165</f>
        <v>Kementerian Riset, Teknologi, dan Pendidikan Tinggi</v>
      </c>
      <c r="F148" s="10" t="str">
        <f>DATA!H165</f>
        <v>Improving Access, Quality, Relevance, and Competitiveness of Higher Education Program</v>
      </c>
      <c r="G148" s="10" t="str">
        <f>DATA!I165</f>
        <v>A</v>
      </c>
      <c r="H148" s="10" t="str">
        <f>DATA!J165</f>
        <v xml:space="preserve">Program Peningkatan Akses, Kualitas, Relevansi, dan Daya Saing Pendidikan Tinggi </v>
      </c>
      <c r="I148" s="10">
        <f>DATA!K165</f>
        <v>1</v>
      </c>
      <c r="J148" s="33"/>
      <c r="K148" s="34"/>
      <c r="L148" s="34"/>
      <c r="M148" s="172">
        <v>5</v>
      </c>
      <c r="N148" s="37" t="str">
        <f>DATA!L165</f>
        <v>The Plan of Hasanuddin University Hospital Development</v>
      </c>
      <c r="O148" s="20">
        <f>DATA!Q165</f>
        <v>0.14285714285714285</v>
      </c>
      <c r="P148" s="20">
        <f>DATA!R165</f>
        <v>0</v>
      </c>
      <c r="Q148" s="20">
        <f>DATA!S165</f>
        <v>0</v>
      </c>
      <c r="R148" s="77">
        <f>DATA!T165</f>
        <v>31565800</v>
      </c>
      <c r="S148" s="88">
        <f>DATA!U165</f>
        <v>31565800</v>
      </c>
      <c r="T148" s="77">
        <f>DATA!V165</f>
        <v>2586200</v>
      </c>
      <c r="U148" s="77">
        <f>DATA!W165</f>
        <v>0</v>
      </c>
      <c r="V148" s="77">
        <f>DATA!X165</f>
        <v>34152000</v>
      </c>
    </row>
    <row r="149" spans="1:22" ht="37.5" customHeight="1">
      <c r="A149" s="10">
        <f>DATA!A166</f>
        <v>119</v>
      </c>
      <c r="B149" s="10">
        <f>DATA!B166</f>
        <v>0</v>
      </c>
      <c r="C149" s="10" t="str">
        <f>DATA!D166</f>
        <v>NON-INFRASTRUKTUR</v>
      </c>
      <c r="D149" s="10">
        <f>DATA!E166</f>
        <v>8</v>
      </c>
      <c r="E149" s="10" t="str">
        <f>DATA!F166</f>
        <v>Kementerian Riset, Teknologi, dan Pendidikan Tinggi</v>
      </c>
      <c r="F149" s="10" t="str">
        <f>DATA!H166</f>
        <v>Improving Access, Quality, Relevance, and Competitiveness of Higher Education Program</v>
      </c>
      <c r="G149" s="10" t="str">
        <f>DATA!I166</f>
        <v>A</v>
      </c>
      <c r="H149" s="10" t="str">
        <f>DATA!J166</f>
        <v xml:space="preserve">Program Peningkatan Akses, Kualitas, Relevansi, dan Daya Saing Pendidikan Tinggi </v>
      </c>
      <c r="I149" s="10">
        <f>DATA!K166</f>
        <v>1</v>
      </c>
      <c r="J149" s="33"/>
      <c r="K149" s="34"/>
      <c r="L149" s="34"/>
      <c r="M149" s="172">
        <v>6</v>
      </c>
      <c r="N149" s="37" t="str">
        <f>DATA!L166</f>
        <v>Establishment of University of Bengkulu’s Hospital</v>
      </c>
      <c r="O149" s="20">
        <f>DATA!Q166</f>
        <v>18000000</v>
      </c>
      <c r="P149" s="20">
        <f>DATA!R166</f>
        <v>0</v>
      </c>
      <c r="Q149" s="20">
        <f>DATA!S166</f>
        <v>0</v>
      </c>
      <c r="R149" s="77">
        <f>DATA!T166</f>
        <v>10278200</v>
      </c>
      <c r="S149" s="88">
        <f>DATA!U166</f>
        <v>10278200</v>
      </c>
      <c r="T149" s="77">
        <f>DATA!V166</f>
        <v>182000</v>
      </c>
      <c r="U149" s="77">
        <f>DATA!W166</f>
        <v>0</v>
      </c>
      <c r="V149" s="77">
        <f>DATA!X166</f>
        <v>10460200</v>
      </c>
    </row>
    <row r="150" spans="1:22" ht="42" customHeight="1">
      <c r="A150" s="10">
        <f>DATA!A167</f>
        <v>120</v>
      </c>
      <c r="B150" s="10">
        <f>DATA!B167</f>
        <v>0</v>
      </c>
      <c r="C150" s="10" t="str">
        <f>DATA!D167</f>
        <v>NON-INFRASTRUKTUR</v>
      </c>
      <c r="D150" s="10">
        <f>DATA!E167</f>
        <v>8</v>
      </c>
      <c r="E150" s="10" t="str">
        <f>DATA!F167</f>
        <v>Kementerian Riset, Teknologi, dan Pendidikan Tinggi</v>
      </c>
      <c r="F150" s="10" t="str">
        <f>DATA!H167</f>
        <v>Improving Access, Quality, Relevance, and Competitiveness of Higher Education Program</v>
      </c>
      <c r="G150" s="10" t="str">
        <f>DATA!I167</f>
        <v>A</v>
      </c>
      <c r="H150" s="10" t="str">
        <f>DATA!J167</f>
        <v xml:space="preserve">Program Peningkatan Akses, Kualitas, Relevansi, dan Daya Saing Pendidikan Tinggi </v>
      </c>
      <c r="I150" s="10">
        <f>DATA!K167</f>
        <v>1</v>
      </c>
      <c r="J150" s="33"/>
      <c r="K150" s="54"/>
      <c r="L150" s="54"/>
      <c r="M150" s="172">
        <v>7</v>
      </c>
      <c r="N150" s="37" t="str">
        <f>DATA!L167</f>
        <v>University of Gadjah Mada Achieving World Class University with Socio-Entrepreneurial Spirit</v>
      </c>
      <c r="O150" s="20">
        <f>DATA!Q167</f>
        <v>0.14285714285714285</v>
      </c>
      <c r="P150" s="20">
        <f>DATA!R167</f>
        <v>0</v>
      </c>
      <c r="Q150" s="20">
        <f>DATA!S167</f>
        <v>0</v>
      </c>
      <c r="R150" s="77">
        <f>DATA!T167</f>
        <v>71694000</v>
      </c>
      <c r="S150" s="88">
        <f>DATA!U167</f>
        <v>71694000</v>
      </c>
      <c r="T150" s="77">
        <f>DATA!V167</f>
        <v>7041900</v>
      </c>
      <c r="U150" s="77">
        <f>DATA!W167</f>
        <v>0</v>
      </c>
      <c r="V150" s="77">
        <f>DATA!X167</f>
        <v>78735900</v>
      </c>
    </row>
    <row r="151" spans="1:22" s="4" customFormat="1" ht="24.95" customHeight="1">
      <c r="J151" s="107"/>
      <c r="K151" s="25">
        <f>DATA!E173</f>
        <v>9</v>
      </c>
      <c r="L151" s="108" t="str">
        <f>DATA!F173</f>
        <v>Kementerian Agama</v>
      </c>
      <c r="M151" s="25"/>
      <c r="N151" s="27"/>
      <c r="O151" s="26"/>
      <c r="P151" s="26"/>
      <c r="Q151" s="26"/>
      <c r="R151" s="80">
        <f>+R152</f>
        <v>238210000</v>
      </c>
      <c r="S151" s="80">
        <f>+S152</f>
        <v>238210000</v>
      </c>
      <c r="T151" s="80">
        <f>+T152</f>
        <v>50447100</v>
      </c>
      <c r="U151" s="80">
        <f>+U152</f>
        <v>0</v>
      </c>
      <c r="V151" s="80">
        <f>+V152</f>
        <v>288657100</v>
      </c>
    </row>
    <row r="152" spans="1:22" s="5" customFormat="1" ht="33.75" customHeight="1">
      <c r="J152" s="28"/>
      <c r="K152" s="29"/>
      <c r="L152" s="30" t="str">
        <f>DATA!I173</f>
        <v>A</v>
      </c>
      <c r="M152" s="31" t="str">
        <f>DATA!J173</f>
        <v>Program Peningkatan Akses, Kualitas, Relevansi, dan Daya Saing Pendidikan Tinggi Islam</v>
      </c>
      <c r="N152" s="51"/>
      <c r="O152" s="31"/>
      <c r="P152" s="31"/>
      <c r="Q152" s="31"/>
      <c r="R152" s="81">
        <f>SUM(R153:R158)</f>
        <v>238210000</v>
      </c>
      <c r="S152" s="81">
        <f>SUM(S153:S158)</f>
        <v>238210000</v>
      </c>
      <c r="T152" s="81">
        <f>SUM(T153:T158)</f>
        <v>50447100</v>
      </c>
      <c r="U152" s="81">
        <f>SUM(U153:U158)</f>
        <v>0</v>
      </c>
      <c r="V152" s="81">
        <f>SUM(V153:V158)</f>
        <v>288657100</v>
      </c>
    </row>
    <row r="153" spans="1:22" ht="42.75" customHeight="1">
      <c r="A153" s="10">
        <f>DATA!A174</f>
        <v>124</v>
      </c>
      <c r="B153" s="10">
        <f>DATA!B174</f>
        <v>0</v>
      </c>
      <c r="C153" s="10" t="str">
        <f>DATA!D174</f>
        <v>NON-INFRASTRUKTUR</v>
      </c>
      <c r="D153" s="10">
        <f>DATA!E174</f>
        <v>9</v>
      </c>
      <c r="E153" s="10" t="str">
        <f>DATA!F174</f>
        <v>Kementerian Agama</v>
      </c>
      <c r="F153" s="10" t="str">
        <f>DATA!H174</f>
        <v>Improving Access, Quality, Relevance, and Competitiveness of Islamic Higher Education Program</v>
      </c>
      <c r="G153" s="10" t="str">
        <f>DATA!I174</f>
        <v>A</v>
      </c>
      <c r="H153" s="10" t="str">
        <f>DATA!J174</f>
        <v>Program Peningkatan Akses, Kualitas, Relevansi, dan Daya Saing Pendidikan Tinggi Islam</v>
      </c>
      <c r="I153" s="10">
        <f>DATA!K174</f>
        <v>1</v>
      </c>
      <c r="J153" s="33"/>
      <c r="K153" s="34"/>
      <c r="L153" s="34"/>
      <c r="M153" s="172">
        <v>1</v>
      </c>
      <c r="N153" s="37" t="str">
        <f>DATA!L174</f>
        <v>Improvement and Optimalization of Sunan Ampel Surabaya State Islamic University</v>
      </c>
      <c r="O153" s="20">
        <f>DATA!Q174</f>
        <v>0.16666666666666666</v>
      </c>
      <c r="P153" s="20">
        <f>DATA!R174</f>
        <v>0</v>
      </c>
      <c r="Q153" s="20">
        <f>DATA!S174</f>
        <v>0</v>
      </c>
      <c r="R153" s="77">
        <f>DATA!T174</f>
        <v>40000000</v>
      </c>
      <c r="S153" s="88">
        <f>DATA!U174</f>
        <v>40000000</v>
      </c>
      <c r="T153" s="77">
        <f>DATA!V174</f>
        <v>10000000</v>
      </c>
      <c r="U153" s="77">
        <f>DATA!W174</f>
        <v>0</v>
      </c>
      <c r="V153" s="77">
        <f>DATA!X174</f>
        <v>50000000</v>
      </c>
    </row>
    <row r="154" spans="1:22" ht="35.25" customHeight="1">
      <c r="A154" s="10">
        <f>DATA!A175</f>
        <v>125</v>
      </c>
      <c r="B154" s="10">
        <f>DATA!B175</f>
        <v>0</v>
      </c>
      <c r="C154" s="10" t="str">
        <f>DATA!D175</f>
        <v>NON-INFRASTRUKTUR</v>
      </c>
      <c r="D154" s="10">
        <f>DATA!E175</f>
        <v>9</v>
      </c>
      <c r="E154" s="10" t="str">
        <f>DATA!F175</f>
        <v>Kementerian Agama</v>
      </c>
      <c r="F154" s="10" t="str">
        <f>DATA!H175</f>
        <v>Improving Access, Quality, Relevance, and Competitiveness of Islamic Higher Education Program</v>
      </c>
      <c r="G154" s="10" t="str">
        <f>DATA!I175</f>
        <v>A</v>
      </c>
      <c r="H154" s="10" t="str">
        <f>DATA!J175</f>
        <v>Program Peningkatan Akses, Kualitas, Relevansi, dan Daya Saing Pendidikan Tinggi Islam</v>
      </c>
      <c r="I154" s="10">
        <f>DATA!K175</f>
        <v>1</v>
      </c>
      <c r="J154" s="33"/>
      <c r="K154" s="34"/>
      <c r="L154" s="34"/>
      <c r="M154" s="172">
        <v>2</v>
      </c>
      <c r="N154" s="37" t="str">
        <f>DATA!L175</f>
        <v>Improvement Access and Quality of State Islamic Institute  Suthan Maulana Hasanuddin Banten</v>
      </c>
      <c r="O154" s="20">
        <f>DATA!Q175</f>
        <v>0.16666666666666666</v>
      </c>
      <c r="P154" s="20">
        <f>DATA!R175</f>
        <v>0</v>
      </c>
      <c r="Q154" s="20">
        <f>DATA!S175</f>
        <v>0</v>
      </c>
      <c r="R154" s="77">
        <f>DATA!T175</f>
        <v>40000000</v>
      </c>
      <c r="S154" s="88">
        <f>DATA!U175</f>
        <v>40000000</v>
      </c>
      <c r="T154" s="77">
        <f>DATA!V175</f>
        <v>5985000</v>
      </c>
      <c r="U154" s="77">
        <f>DATA!W175</f>
        <v>0</v>
      </c>
      <c r="V154" s="77">
        <f>DATA!X175</f>
        <v>45985000</v>
      </c>
    </row>
    <row r="155" spans="1:22" ht="33.75" customHeight="1">
      <c r="A155" s="10">
        <f>DATA!A176</f>
        <v>126</v>
      </c>
      <c r="B155" s="10">
        <f>DATA!B176</f>
        <v>0</v>
      </c>
      <c r="C155" s="10" t="str">
        <f>DATA!D176</f>
        <v>NON-INFRASTRUKTUR</v>
      </c>
      <c r="D155" s="10">
        <f>DATA!E176</f>
        <v>9</v>
      </c>
      <c r="E155" s="10" t="str">
        <f>DATA!F176</f>
        <v>Kementerian Agama</v>
      </c>
      <c r="F155" s="10" t="str">
        <f>DATA!H176</f>
        <v>Improving Access, Quality, Relevance, and Competitiveness of Islamic Higher Education Program</v>
      </c>
      <c r="G155" s="10" t="str">
        <f>DATA!I176</f>
        <v>A</v>
      </c>
      <c r="H155" s="10" t="str">
        <f>DATA!J176</f>
        <v>Program Peningkatan Akses, Kualitas, Relevansi, dan Daya Saing Pendidikan Tinggi Islam</v>
      </c>
      <c r="I155" s="10">
        <f>DATA!K176</f>
        <v>1</v>
      </c>
      <c r="J155" s="33"/>
      <c r="K155" s="34"/>
      <c r="L155" s="34"/>
      <c r="M155" s="172">
        <v>3</v>
      </c>
      <c r="N155" s="37" t="str">
        <f>DATA!L176</f>
        <v xml:space="preserve">Development and Quality Improvement  of Antasari State Islamic Institute </v>
      </c>
      <c r="O155" s="20">
        <f>DATA!Q176</f>
        <v>0.16666666666666666</v>
      </c>
      <c r="P155" s="20">
        <f>DATA!R176</f>
        <v>0</v>
      </c>
      <c r="Q155" s="20">
        <f>DATA!S176</f>
        <v>0</v>
      </c>
      <c r="R155" s="77">
        <f>DATA!T176</f>
        <v>39908600</v>
      </c>
      <c r="S155" s="88">
        <f>DATA!U176</f>
        <v>39908600</v>
      </c>
      <c r="T155" s="77">
        <f>DATA!V176</f>
        <v>10290700</v>
      </c>
      <c r="U155" s="77">
        <f>DATA!W176</f>
        <v>0</v>
      </c>
      <c r="V155" s="77">
        <f>DATA!X176</f>
        <v>50199300</v>
      </c>
    </row>
    <row r="156" spans="1:22" ht="39" customHeight="1">
      <c r="A156" s="10">
        <f>DATA!A177</f>
        <v>127</v>
      </c>
      <c r="B156" s="10">
        <f>DATA!B177</f>
        <v>0</v>
      </c>
      <c r="C156" s="10" t="str">
        <f>DATA!D177</f>
        <v>NON-INFRASTRUKTUR</v>
      </c>
      <c r="D156" s="10" t="str">
        <f>DATA!E177</f>
        <v>z</v>
      </c>
      <c r="E156" s="10" t="str">
        <f>DATA!F177</f>
        <v>Kementerian Agama</v>
      </c>
      <c r="F156" s="10" t="str">
        <f>DATA!H177</f>
        <v>Improving Access, Quality, Relevance, and Competitiveness of Islamic Higher Education Program</v>
      </c>
      <c r="G156" s="10" t="str">
        <f>DATA!I177</f>
        <v>A</v>
      </c>
      <c r="H156" s="10" t="str">
        <f>DATA!J177</f>
        <v>Program Peningkatan Akses, Kualitas, Relevansi, dan Daya Saing Pendidikan Tinggi Islam</v>
      </c>
      <c r="I156" s="10">
        <f>DATA!K177</f>
        <v>1</v>
      </c>
      <c r="J156" s="33"/>
      <c r="K156" s="34"/>
      <c r="L156" s="34"/>
      <c r="M156" s="172">
        <v>4</v>
      </c>
      <c r="N156" s="37" t="str">
        <f>DATA!L177</f>
        <v xml:space="preserve">Tranformation of State Islamic Institute  Sulthan Thaha Saifuddin to State Islamic University </v>
      </c>
      <c r="O156" s="20">
        <f>DATA!Q177</f>
        <v>0.16666666666666666</v>
      </c>
      <c r="P156" s="20">
        <f>DATA!R177</f>
        <v>0</v>
      </c>
      <c r="Q156" s="20">
        <f>DATA!S177</f>
        <v>0</v>
      </c>
      <c r="R156" s="77">
        <f>DATA!T177</f>
        <v>40000000</v>
      </c>
      <c r="S156" s="88">
        <f>DATA!U177</f>
        <v>40000000</v>
      </c>
      <c r="T156" s="77">
        <f>DATA!V177</f>
        <v>10000000</v>
      </c>
      <c r="U156" s="77">
        <f>DATA!W177</f>
        <v>0</v>
      </c>
      <c r="V156" s="77">
        <f>DATA!X177</f>
        <v>50000000</v>
      </c>
    </row>
    <row r="157" spans="1:22" ht="39.75" customHeight="1">
      <c r="A157" s="10">
        <f>DATA!A178</f>
        <v>128</v>
      </c>
      <c r="B157" s="10">
        <f>DATA!B178</f>
        <v>0</v>
      </c>
      <c r="C157" s="10" t="str">
        <f>DATA!D178</f>
        <v>NON-INFRASTRUKTUR</v>
      </c>
      <c r="D157" s="10">
        <f>DATA!E178</f>
        <v>9</v>
      </c>
      <c r="E157" s="10" t="str">
        <f>DATA!F178</f>
        <v>Kementerian Agama</v>
      </c>
      <c r="F157" s="10" t="str">
        <f>DATA!H178</f>
        <v>Improving Access, Quality, Relevance, and Competitiveness of Islamic Higher Education Program</v>
      </c>
      <c r="G157" s="10" t="str">
        <f>DATA!I178</f>
        <v>A</v>
      </c>
      <c r="H157" s="10" t="str">
        <f>DATA!J178</f>
        <v>Program Peningkatan Akses, Kualitas, Relevansi, dan Daya Saing Pendidikan Tinggi Islam</v>
      </c>
      <c r="I157" s="10">
        <f>DATA!K178</f>
        <v>1</v>
      </c>
      <c r="J157" s="33"/>
      <c r="K157" s="34"/>
      <c r="L157" s="34"/>
      <c r="M157" s="172">
        <v>5</v>
      </c>
      <c r="N157" s="37" t="str">
        <f>DATA!L178</f>
        <v>Development and Institutional Transformation of State Islamic Institute  Raden Intan Lampung</v>
      </c>
      <c r="O157" s="20">
        <f>DATA!Q178</f>
        <v>0.16666666666666666</v>
      </c>
      <c r="P157" s="20">
        <f>DATA!R178</f>
        <v>0</v>
      </c>
      <c r="Q157" s="20">
        <f>DATA!S178</f>
        <v>0</v>
      </c>
      <c r="R157" s="77">
        <f>DATA!T178</f>
        <v>40000000</v>
      </c>
      <c r="S157" s="88">
        <f>DATA!U178</f>
        <v>40000000</v>
      </c>
      <c r="T157" s="77">
        <f>DATA!V178</f>
        <v>10000000</v>
      </c>
      <c r="U157" s="77">
        <f>DATA!W178</f>
        <v>0</v>
      </c>
      <c r="V157" s="77">
        <f>DATA!X178</f>
        <v>50000000</v>
      </c>
    </row>
    <row r="158" spans="1:22" ht="30.75" customHeight="1">
      <c r="A158" s="10">
        <f>DATA!A179</f>
        <v>123</v>
      </c>
      <c r="B158" s="10">
        <f>DATA!B179</f>
        <v>0</v>
      </c>
      <c r="C158" s="10" t="str">
        <f>DATA!D179</f>
        <v>NON-INFRASTRUKTUR</v>
      </c>
      <c r="D158" s="10">
        <f>DATA!E179</f>
        <v>9</v>
      </c>
      <c r="E158" s="10" t="str">
        <f>DATA!F179</f>
        <v>Kementerian Agama</v>
      </c>
      <c r="F158" s="10" t="str">
        <f>DATA!H179</f>
        <v>Improving Access, Quality, Relevance, and Competitiveness of Islamic Higher Education Program</v>
      </c>
      <c r="G158" s="10" t="str">
        <f>DATA!I179</f>
        <v>A</v>
      </c>
      <c r="H158" s="10" t="str">
        <f>DATA!J179</f>
        <v>Program Peningkatan Akses, Kualitas, Relevansi, dan Daya Saing Pendidikan Tinggi Islam</v>
      </c>
      <c r="I158" s="10">
        <f>DATA!K179</f>
        <v>1</v>
      </c>
      <c r="J158" s="33"/>
      <c r="K158" s="54"/>
      <c r="L158" s="54"/>
      <c r="M158" s="172">
        <v>6</v>
      </c>
      <c r="N158" s="37" t="str">
        <f>DATA!L179</f>
        <v xml:space="preserve">Development of Imam Bonjol State Islamic Institute Project </v>
      </c>
      <c r="O158" s="20">
        <f>DATA!Q179</f>
        <v>0.16666666666666666</v>
      </c>
      <c r="P158" s="20">
        <f>DATA!R179</f>
        <v>0</v>
      </c>
      <c r="Q158" s="20">
        <f>DATA!S179</f>
        <v>0</v>
      </c>
      <c r="R158" s="77">
        <f>DATA!T179</f>
        <v>38301400</v>
      </c>
      <c r="S158" s="88">
        <f>DATA!U179</f>
        <v>38301400</v>
      </c>
      <c r="T158" s="77">
        <f>DATA!V179</f>
        <v>4171400</v>
      </c>
      <c r="U158" s="77">
        <f>DATA!W179</f>
        <v>0</v>
      </c>
      <c r="V158" s="77">
        <f>DATA!X179</f>
        <v>42472800</v>
      </c>
    </row>
    <row r="159" spans="1:22" s="4" customFormat="1" ht="24.95" customHeight="1">
      <c r="J159" s="107"/>
      <c r="K159" s="25">
        <f>DATA!E181</f>
        <v>10</v>
      </c>
      <c r="L159" s="108" t="str">
        <f>DATA!F181</f>
        <v>Kementerian PPN/Bappenas</v>
      </c>
      <c r="M159" s="25"/>
      <c r="N159" s="27"/>
      <c r="O159" s="26"/>
      <c r="P159" s="26"/>
      <c r="Q159" s="26"/>
      <c r="R159" s="80">
        <f>+R160</f>
        <v>300000000</v>
      </c>
      <c r="S159" s="80">
        <f>+S160</f>
        <v>300000000</v>
      </c>
      <c r="T159" s="80">
        <f t="shared" ref="T159:V160" si="3">+T160</f>
        <v>0</v>
      </c>
      <c r="U159" s="80">
        <f t="shared" si="3"/>
        <v>0</v>
      </c>
      <c r="V159" s="80">
        <f t="shared" si="3"/>
        <v>300000000</v>
      </c>
    </row>
    <row r="160" spans="1:22" s="5" customFormat="1" ht="33.75" customHeight="1">
      <c r="J160" s="28"/>
      <c r="K160" s="29"/>
      <c r="L160" s="30" t="str">
        <f>DATA!I181</f>
        <v>A</v>
      </c>
      <c r="M160" s="113" t="str">
        <f>DATA!J181</f>
        <v>Program Pengembangan Sumber Daya Aparatur  dalam Rangka Reformasi Birokrasi</v>
      </c>
      <c r="N160" s="51"/>
      <c r="O160" s="31"/>
      <c r="P160" s="31"/>
      <c r="Q160" s="31"/>
      <c r="R160" s="81">
        <f>+R161</f>
        <v>300000000</v>
      </c>
      <c r="S160" s="81">
        <f>+S161</f>
        <v>300000000</v>
      </c>
      <c r="T160" s="81">
        <f t="shared" si="3"/>
        <v>0</v>
      </c>
      <c r="U160" s="81">
        <f t="shared" si="3"/>
        <v>0</v>
      </c>
      <c r="V160" s="81">
        <f t="shared" si="3"/>
        <v>300000000</v>
      </c>
    </row>
    <row r="161" spans="1:22" ht="49.5" customHeight="1">
      <c r="A161" s="10">
        <f>DATA!A181</f>
        <v>129</v>
      </c>
      <c r="B161" s="10">
        <f>DATA!B181</f>
        <v>0</v>
      </c>
      <c r="C161" s="10" t="str">
        <f>DATA!D181</f>
        <v>NON-INFRASTRUKTUR</v>
      </c>
      <c r="D161" s="10">
        <f>DATA!E181</f>
        <v>10</v>
      </c>
      <c r="E161" s="10" t="str">
        <f>DATA!F181</f>
        <v>Kementerian PPN/Bappenas</v>
      </c>
      <c r="F161" s="10" t="str">
        <f>DATA!H181</f>
        <v>Human Resources Development for Bureaucracy Reform Program</v>
      </c>
      <c r="G161" s="10" t="str">
        <f>DATA!I181</f>
        <v>A</v>
      </c>
      <c r="H161" s="10" t="str">
        <f>DATA!J181</f>
        <v>Program Pengembangan Sumber Daya Aparatur  dalam Rangka Reformasi Birokrasi</v>
      </c>
      <c r="I161" s="10">
        <f>DATA!K181</f>
        <v>1</v>
      </c>
      <c r="J161" s="33"/>
      <c r="K161" s="54"/>
      <c r="L161" s="34"/>
      <c r="M161" s="33">
        <f>DATA!K181</f>
        <v>1</v>
      </c>
      <c r="N161" s="37" t="str">
        <f>DATA!L181</f>
        <v>Development of Capacity, Quality, and Competency of Human Resources for Government Officer</v>
      </c>
      <c r="O161" s="20">
        <f>DATA!Q181</f>
        <v>1</v>
      </c>
      <c r="P161" s="20">
        <f>DATA!R181</f>
        <v>1</v>
      </c>
      <c r="Q161" s="20">
        <f>DATA!S181</f>
        <v>103</v>
      </c>
      <c r="R161" s="77">
        <f>DATA!T181</f>
        <v>300000000</v>
      </c>
      <c r="S161" s="88">
        <f>DATA!U181</f>
        <v>300000000</v>
      </c>
      <c r="T161" s="77">
        <f>DATA!V181</f>
        <v>0</v>
      </c>
      <c r="U161" s="77">
        <f>DATA!W181</f>
        <v>0</v>
      </c>
      <c r="V161" s="77">
        <f>DATA!X181</f>
        <v>300000000</v>
      </c>
    </row>
    <row r="162" spans="1:22" s="4" customFormat="1" ht="24.95" customHeight="1">
      <c r="J162" s="107"/>
      <c r="K162" s="25">
        <f>DATA!E182</f>
        <v>11</v>
      </c>
      <c r="L162" s="108" t="str">
        <f>DATA!F182</f>
        <v>Kementerian Kesehatan</v>
      </c>
      <c r="M162" s="25"/>
      <c r="N162" s="27"/>
      <c r="O162" s="26"/>
      <c r="P162" s="26"/>
      <c r="Q162" s="26"/>
      <c r="R162" s="80">
        <f>+R163+R165+R167+R169</f>
        <v>1746000000</v>
      </c>
      <c r="S162" s="80">
        <f>+S163+S165+S167+S169</f>
        <v>1746000000</v>
      </c>
      <c r="T162" s="80">
        <f>+T163+T165+T167+T169</f>
        <v>174600000</v>
      </c>
      <c r="U162" s="80">
        <f>+U163+U165+U167+U169</f>
        <v>0</v>
      </c>
      <c r="V162" s="80">
        <f>+V163+V165+V167+V169</f>
        <v>1920600000</v>
      </c>
    </row>
    <row r="163" spans="1:22" s="5" customFormat="1" ht="33.75" customHeight="1">
      <c r="J163" s="28"/>
      <c r="K163" s="29"/>
      <c r="L163" s="30" t="str">
        <f>DATA!I181</f>
        <v>A</v>
      </c>
      <c r="M163" s="31" t="str">
        <f>DATA!J182</f>
        <v>Program Pelayanan Kesehatan Dasar</v>
      </c>
      <c r="N163" s="51"/>
      <c r="O163" s="31"/>
      <c r="P163" s="31"/>
      <c r="Q163" s="31"/>
      <c r="R163" s="81">
        <f>+R164</f>
        <v>150000000</v>
      </c>
      <c r="S163" s="81">
        <f>+S164</f>
        <v>150000000</v>
      </c>
      <c r="T163" s="81">
        <f>+T164</f>
        <v>15000000</v>
      </c>
      <c r="U163" s="81">
        <f>+U164</f>
        <v>0</v>
      </c>
      <c r="V163" s="81">
        <f>+V164</f>
        <v>165000000</v>
      </c>
    </row>
    <row r="164" spans="1:22" ht="25.5" customHeight="1">
      <c r="A164" s="10">
        <f>DATA!A182</f>
        <v>130</v>
      </c>
      <c r="B164" s="10">
        <f>DATA!B182</f>
        <v>0</v>
      </c>
      <c r="C164" s="10" t="str">
        <f>DATA!D182</f>
        <v>NON-INFRASTRUKTUR</v>
      </c>
      <c r="D164" s="10">
        <f>DATA!E182</f>
        <v>11</v>
      </c>
      <c r="E164" s="10" t="str">
        <f>DATA!F182</f>
        <v>Kementerian Kesehatan</v>
      </c>
      <c r="F164" s="10" t="str">
        <f>DATA!H182</f>
        <v>Basic Health Care Program</v>
      </c>
      <c r="G164" s="10" t="str">
        <f>DATA!I182</f>
        <v>A</v>
      </c>
      <c r="H164" s="10" t="str">
        <f>DATA!J182</f>
        <v>Program Pelayanan Kesehatan Dasar</v>
      </c>
      <c r="I164" s="10">
        <f>DATA!K182</f>
        <v>1</v>
      </c>
      <c r="J164" s="33"/>
      <c r="K164" s="34"/>
      <c r="L164" s="54"/>
      <c r="M164" s="52">
        <f>DATA!K182</f>
        <v>1</v>
      </c>
      <c r="N164" s="37" t="str">
        <f>DATA!L182</f>
        <v>Improvement of Primary Health Care</v>
      </c>
      <c r="O164" s="20">
        <f>DATA!Q182</f>
        <v>1</v>
      </c>
      <c r="P164" s="20">
        <f>DATA!R182</f>
        <v>1</v>
      </c>
      <c r="Q164" s="20">
        <f>DATA!S182</f>
        <v>104</v>
      </c>
      <c r="R164" s="77">
        <f>DATA!T182</f>
        <v>150000000</v>
      </c>
      <c r="S164" s="88">
        <f>DATA!U182</f>
        <v>150000000</v>
      </c>
      <c r="T164" s="77">
        <f>DATA!V182</f>
        <v>15000000</v>
      </c>
      <c r="U164" s="77">
        <f>DATA!W182</f>
        <v>0</v>
      </c>
      <c r="V164" s="77">
        <f>DATA!X182</f>
        <v>165000000</v>
      </c>
    </row>
    <row r="165" spans="1:22" s="5" customFormat="1" ht="33.75" customHeight="1">
      <c r="J165" s="28"/>
      <c r="K165" s="50"/>
      <c r="L165" s="30" t="str">
        <f>DATA!I183</f>
        <v>B</v>
      </c>
      <c r="M165" s="31" t="str">
        <f>DATA!J183</f>
        <v>Program Pengembangan Sumber Daya Manusia Kesehatan</v>
      </c>
      <c r="N165" s="51"/>
      <c r="O165" s="31"/>
      <c r="P165" s="31"/>
      <c r="Q165" s="31"/>
      <c r="R165" s="81">
        <f>+R166</f>
        <v>240000000</v>
      </c>
      <c r="S165" s="81">
        <f>+S166</f>
        <v>240000000</v>
      </c>
      <c r="T165" s="81">
        <f>+T166</f>
        <v>24000000</v>
      </c>
      <c r="U165" s="81">
        <f>+U166</f>
        <v>0</v>
      </c>
      <c r="V165" s="81">
        <f>+V166</f>
        <v>264000000</v>
      </c>
    </row>
    <row r="166" spans="1:22" ht="46.5" customHeight="1">
      <c r="A166" s="10">
        <f>DATA!A183</f>
        <v>131</v>
      </c>
      <c r="B166" s="10">
        <f>DATA!B183</f>
        <v>0</v>
      </c>
      <c r="C166" s="10" t="str">
        <f>DATA!D183</f>
        <v>NON-INFRASTRUKTUR</v>
      </c>
      <c r="D166" s="10">
        <f>DATA!E183</f>
        <v>11</v>
      </c>
      <c r="E166" s="10" t="str">
        <f>DATA!F183</f>
        <v>Kementerian Kesehatan</v>
      </c>
      <c r="F166" s="10" t="str">
        <f>DATA!H183</f>
        <v>Program for Human Resources Development in Health Sector</v>
      </c>
      <c r="G166" s="10" t="str">
        <f>DATA!I183</f>
        <v>B</v>
      </c>
      <c r="H166" s="10" t="str">
        <f>DATA!J183</f>
        <v>Program Pengembangan Sumber Daya Manusia Kesehatan</v>
      </c>
      <c r="I166" s="10">
        <f>DATA!K183</f>
        <v>1</v>
      </c>
      <c r="J166" s="33"/>
      <c r="K166" s="34"/>
      <c r="L166" s="20"/>
      <c r="M166" s="36">
        <v>2</v>
      </c>
      <c r="N166" s="37" t="str">
        <f>DATA!L183</f>
        <v>Improvement of Facilities and Infrastructure for Teaching and Learning Activities in Health Sector</v>
      </c>
      <c r="O166" s="20">
        <f>DATA!Q183</f>
        <v>1</v>
      </c>
      <c r="P166" s="20">
        <f>DATA!R183</f>
        <v>1</v>
      </c>
      <c r="Q166" s="20">
        <f>DATA!S183</f>
        <v>105</v>
      </c>
      <c r="R166" s="77">
        <f>DATA!T183</f>
        <v>240000000</v>
      </c>
      <c r="S166" s="88">
        <f>DATA!U183</f>
        <v>240000000</v>
      </c>
      <c r="T166" s="77">
        <f>DATA!V183</f>
        <v>24000000</v>
      </c>
      <c r="U166" s="77">
        <f>DATA!W183</f>
        <v>0</v>
      </c>
      <c r="V166" s="77">
        <f>DATA!X183</f>
        <v>264000000</v>
      </c>
    </row>
    <row r="167" spans="1:22" s="5" customFormat="1" ht="33.75" customHeight="1">
      <c r="J167" s="28"/>
      <c r="K167" s="50"/>
      <c r="L167" s="30" t="str">
        <f>DATA!I184</f>
        <v>C</v>
      </c>
      <c r="M167" s="31" t="str">
        <f>DATA!J184</f>
        <v>Program Pengendalian Penyakit, Penyehatan Lingkungan, dan Penguatan Litbang Kesehatan</v>
      </c>
      <c r="N167" s="51"/>
      <c r="O167" s="31"/>
      <c r="P167" s="31"/>
      <c r="Q167" s="31"/>
      <c r="R167" s="81">
        <f>+R168</f>
        <v>100400000</v>
      </c>
      <c r="S167" s="81">
        <f>+S168</f>
        <v>100400000</v>
      </c>
      <c r="T167" s="81">
        <f>+T168</f>
        <v>10040000</v>
      </c>
      <c r="U167" s="81">
        <f>+U168</f>
        <v>0</v>
      </c>
      <c r="V167" s="81">
        <f>+V168</f>
        <v>110440000</v>
      </c>
    </row>
    <row r="168" spans="1:22" ht="49.5" customHeight="1">
      <c r="A168" s="10">
        <f>DATA!A184</f>
        <v>132</v>
      </c>
      <c r="B168" s="10">
        <f>DATA!B184</f>
        <v>0</v>
      </c>
      <c r="C168" s="10" t="str">
        <f>DATA!D184</f>
        <v>NON-INFRASTRUKTUR</v>
      </c>
      <c r="D168" s="10">
        <f>DATA!E184</f>
        <v>11</v>
      </c>
      <c r="E168" s="10" t="str">
        <f>DATA!F184</f>
        <v>Kementerian Kesehatan</v>
      </c>
      <c r="F168" s="10" t="str">
        <f>DATA!H184</f>
        <v>Program for Disease Control, Environmental Health, and Strengthening Health Research and Development</v>
      </c>
      <c r="G168" s="10" t="str">
        <f>DATA!I184</f>
        <v>C</v>
      </c>
      <c r="H168" s="10" t="str">
        <f>DATA!J184</f>
        <v>Program Pengendalian Penyakit, Penyehatan Lingkungan, dan Penguatan Litbang Kesehatan</v>
      </c>
      <c r="I168" s="10">
        <f>DATA!K184</f>
        <v>1</v>
      </c>
      <c r="J168" s="33"/>
      <c r="K168" s="34"/>
      <c r="L168" s="20"/>
      <c r="M168" s="36">
        <v>3</v>
      </c>
      <c r="N168" s="37" t="str">
        <f>DATA!L184</f>
        <v>Improvement of Capacity on Disease Control, Environmental Health, and Strengthening Health’s Research and Development</v>
      </c>
      <c r="O168" s="20">
        <f>DATA!Q184</f>
        <v>1</v>
      </c>
      <c r="P168" s="20">
        <f>DATA!R184</f>
        <v>1</v>
      </c>
      <c r="Q168" s="20">
        <f>DATA!S184</f>
        <v>106</v>
      </c>
      <c r="R168" s="77">
        <f>DATA!T184</f>
        <v>100400000</v>
      </c>
      <c r="S168" s="88">
        <f>DATA!U184</f>
        <v>100400000</v>
      </c>
      <c r="T168" s="77">
        <f>DATA!V184</f>
        <v>10040000</v>
      </c>
      <c r="U168" s="77">
        <f>DATA!W184</f>
        <v>0</v>
      </c>
      <c r="V168" s="77">
        <f>DATA!X184</f>
        <v>110440000</v>
      </c>
    </row>
    <row r="169" spans="1:22" s="5" customFormat="1" ht="33.75" customHeight="1">
      <c r="J169" s="28"/>
      <c r="K169" s="50"/>
      <c r="L169" s="30" t="str">
        <f>DATA!I185</f>
        <v>D</v>
      </c>
      <c r="M169" s="31" t="str">
        <f>DATA!J185</f>
        <v>Program Pelayanan Kesehatan Rujukan</v>
      </c>
      <c r="N169" s="51"/>
      <c r="O169" s="31"/>
      <c r="P169" s="31"/>
      <c r="Q169" s="31"/>
      <c r="R169" s="81">
        <f>+R170</f>
        <v>1255600000</v>
      </c>
      <c r="S169" s="81">
        <f>+S170</f>
        <v>1255600000</v>
      </c>
      <c r="T169" s="81">
        <f>+T170</f>
        <v>125560000</v>
      </c>
      <c r="U169" s="81">
        <f>+U170</f>
        <v>0</v>
      </c>
      <c r="V169" s="81">
        <f>+V170</f>
        <v>1381160000</v>
      </c>
    </row>
    <row r="170" spans="1:22" ht="39.75" customHeight="1">
      <c r="A170" s="10">
        <f>DATA!A185</f>
        <v>133</v>
      </c>
      <c r="B170" s="10">
        <f>DATA!B185</f>
        <v>0</v>
      </c>
      <c r="C170" s="10" t="str">
        <f>DATA!D185</f>
        <v>NON-INFRASTRUKTUR</v>
      </c>
      <c r="D170" s="10">
        <f>DATA!E185</f>
        <v>11</v>
      </c>
      <c r="E170" s="10" t="str">
        <f>DATA!F185</f>
        <v>Kementerian Kesehatan</v>
      </c>
      <c r="F170" s="10" t="str">
        <f>DATA!H185</f>
        <v>Referral Health Services Program</v>
      </c>
      <c r="G170" s="10" t="str">
        <f>DATA!I185</f>
        <v>D</v>
      </c>
      <c r="H170" s="10" t="str">
        <f>DATA!J185</f>
        <v>Program Pelayanan Kesehatan Rujukan</v>
      </c>
      <c r="I170" s="10">
        <f>DATA!K185</f>
        <v>1</v>
      </c>
      <c r="J170" s="33"/>
      <c r="K170" s="34"/>
      <c r="L170" s="35"/>
      <c r="M170" s="36">
        <v>4</v>
      </c>
      <c r="N170" s="37" t="str">
        <f>DATA!L185</f>
        <v>Strengthening of National Referral Hospitals, Province Referral Hospital and Vertical Technical Units</v>
      </c>
      <c r="O170" s="20">
        <f>DATA!Q185</f>
        <v>0</v>
      </c>
      <c r="P170" s="20">
        <f>DATA!R185</f>
        <v>1</v>
      </c>
      <c r="Q170" s="20">
        <f>DATA!S185</f>
        <v>107</v>
      </c>
      <c r="R170" s="77">
        <f>DATA!T185</f>
        <v>1255600000</v>
      </c>
      <c r="S170" s="88">
        <f>DATA!U185</f>
        <v>1255600000</v>
      </c>
      <c r="T170" s="77">
        <f>DATA!V185</f>
        <v>125560000</v>
      </c>
      <c r="U170" s="77">
        <f>DATA!W185</f>
        <v>0</v>
      </c>
      <c r="V170" s="77">
        <f>DATA!X185</f>
        <v>1381160000</v>
      </c>
    </row>
    <row r="171" spans="1:22" s="4" customFormat="1" ht="24.95" customHeight="1">
      <c r="J171" s="107"/>
      <c r="K171" s="25">
        <f>DATA!E189</f>
        <v>12</v>
      </c>
      <c r="L171" s="108" t="str">
        <f>DATA!F189</f>
        <v>Pemprov. Aceh</v>
      </c>
      <c r="M171" s="25"/>
      <c r="N171" s="27"/>
      <c r="O171" s="26"/>
      <c r="P171" s="26"/>
      <c r="Q171" s="26"/>
      <c r="R171" s="80">
        <f>+R172</f>
        <v>106800000</v>
      </c>
      <c r="S171" s="80">
        <f>+S172</f>
        <v>106800000</v>
      </c>
      <c r="T171" s="80">
        <f t="shared" ref="T171:V172" si="4">+T172</f>
        <v>10700000</v>
      </c>
      <c r="U171" s="80">
        <f t="shared" si="4"/>
        <v>0</v>
      </c>
      <c r="V171" s="80">
        <f t="shared" si="4"/>
        <v>117500000</v>
      </c>
    </row>
    <row r="172" spans="1:22" s="5" customFormat="1" ht="33.75" customHeight="1">
      <c r="J172" s="28"/>
      <c r="K172" s="29"/>
      <c r="L172" s="30" t="str">
        <f>DATA!I189</f>
        <v>A</v>
      </c>
      <c r="M172" s="31" t="str">
        <f>DATA!J189</f>
        <v>Program Pelayanan Kesehatan Rujukan</v>
      </c>
      <c r="N172" s="51"/>
      <c r="O172" s="31"/>
      <c r="P172" s="31"/>
      <c r="Q172" s="31"/>
      <c r="R172" s="81">
        <f>+R173</f>
        <v>106800000</v>
      </c>
      <c r="S172" s="81">
        <f>+S173</f>
        <v>106800000</v>
      </c>
      <c r="T172" s="81">
        <f t="shared" si="4"/>
        <v>10700000</v>
      </c>
      <c r="U172" s="81">
        <f t="shared" si="4"/>
        <v>0</v>
      </c>
      <c r="V172" s="81">
        <f t="shared" si="4"/>
        <v>117500000</v>
      </c>
    </row>
    <row r="173" spans="1:22" ht="45" customHeight="1">
      <c r="A173" s="10">
        <f>DATA!A189</f>
        <v>136</v>
      </c>
      <c r="B173" s="10">
        <f>DATA!B189</f>
        <v>0</v>
      </c>
      <c r="C173" s="10" t="str">
        <f>DATA!D189</f>
        <v>NON-INFRASTRUKTUR</v>
      </c>
      <c r="D173" s="10">
        <f>DATA!E189</f>
        <v>12</v>
      </c>
      <c r="E173" s="10" t="str">
        <f>DATA!F189</f>
        <v>Pemprov. Aceh</v>
      </c>
      <c r="F173" s="10" t="str">
        <f>DATA!H189</f>
        <v>Health Services Referral Program</v>
      </c>
      <c r="G173" s="10" t="str">
        <f>DATA!I189</f>
        <v>A</v>
      </c>
      <c r="H173" s="10" t="str">
        <f>DATA!J189</f>
        <v>Program Pelayanan Kesehatan Rujukan</v>
      </c>
      <c r="I173" s="10">
        <f>DATA!K189</f>
        <v>1</v>
      </c>
      <c r="J173" s="33"/>
      <c r="K173" s="54"/>
      <c r="L173" s="20"/>
      <c r="M173" s="36">
        <f>DATA!K189</f>
        <v>1</v>
      </c>
      <c r="N173" s="37" t="str">
        <f>DATA!L189</f>
        <v>Reengineering and Improving The Hospital and Referral System in Selected Aceh Districts</v>
      </c>
      <c r="O173" s="20">
        <f>DATA!Q189</f>
        <v>1</v>
      </c>
      <c r="P173" s="20">
        <f>DATA!R189</f>
        <v>1</v>
      </c>
      <c r="Q173" s="20">
        <f>DATA!S189</f>
        <v>108</v>
      </c>
      <c r="R173" s="77">
        <f>DATA!T189</f>
        <v>106800000</v>
      </c>
      <c r="S173" s="88">
        <f>DATA!U189</f>
        <v>106800000</v>
      </c>
      <c r="T173" s="77">
        <f>DATA!V189</f>
        <v>10700000</v>
      </c>
      <c r="U173" s="77">
        <f>DATA!W189</f>
        <v>0</v>
      </c>
      <c r="V173" s="77">
        <f>DATA!X189</f>
        <v>117500000</v>
      </c>
    </row>
    <row r="174" spans="1:22" s="4" customFormat="1" ht="24.95" customHeight="1">
      <c r="J174" s="107"/>
      <c r="K174" s="25">
        <f>DATA!E190</f>
        <v>13</v>
      </c>
      <c r="L174" s="108" t="str">
        <f>DATA!F190</f>
        <v>Kementerian Pertanian</v>
      </c>
      <c r="M174" s="25"/>
      <c r="N174" s="27"/>
      <c r="O174" s="26"/>
      <c r="P174" s="26"/>
      <c r="Q174" s="26"/>
      <c r="R174" s="80">
        <f>+R175+R178</f>
        <v>1445742600</v>
      </c>
      <c r="S174" s="80">
        <f>+S175+S178</f>
        <v>1445742600</v>
      </c>
      <c r="T174" s="80">
        <f>+T175+T178</f>
        <v>154464300</v>
      </c>
      <c r="U174" s="80">
        <f>+U175+U178</f>
        <v>500000</v>
      </c>
      <c r="V174" s="80">
        <f>+V175+V178</f>
        <v>1600706900</v>
      </c>
    </row>
    <row r="175" spans="1:22" s="5" customFormat="1" ht="33.75" customHeight="1">
      <c r="J175" s="28"/>
      <c r="K175" s="29"/>
      <c r="L175" s="30" t="str">
        <f>DATA!I190</f>
        <v>A</v>
      </c>
      <c r="M175" s="31" t="str">
        <f>DATA!J190</f>
        <v>Program Penyediaan dan Pengembangan Prasarana dan Sarana Pertanian</v>
      </c>
      <c r="N175" s="51"/>
      <c r="O175" s="31"/>
      <c r="P175" s="31"/>
      <c r="Q175" s="31"/>
      <c r="R175" s="81">
        <f>+R176+R177</f>
        <v>1346842600</v>
      </c>
      <c r="S175" s="81">
        <f>+S176+S177</f>
        <v>1346842600</v>
      </c>
      <c r="T175" s="81">
        <f>+T176+T177</f>
        <v>134684300</v>
      </c>
      <c r="U175" s="81">
        <f>+U176+U177</f>
        <v>0</v>
      </c>
      <c r="V175" s="81">
        <f>+V176+V177</f>
        <v>1481526900</v>
      </c>
    </row>
    <row r="176" spans="1:22" ht="24.75" customHeight="1">
      <c r="A176" s="10">
        <f>DATA!A190</f>
        <v>137</v>
      </c>
      <c r="B176" s="10">
        <f>DATA!B190</f>
        <v>0</v>
      </c>
      <c r="C176" s="10" t="str">
        <f>DATA!D190</f>
        <v>NON-INFRASTRUKTUR</v>
      </c>
      <c r="D176" s="10">
        <f>DATA!E190</f>
        <v>13</v>
      </c>
      <c r="E176" s="10" t="str">
        <f>DATA!F190</f>
        <v>Kementerian Pertanian</v>
      </c>
      <c r="F176" s="10" t="str">
        <f>DATA!H190</f>
        <v>Provision and Development of Agriculture Infrastructure Program</v>
      </c>
      <c r="G176" s="10" t="str">
        <f>DATA!I190</f>
        <v>A</v>
      </c>
      <c r="H176" s="10" t="str">
        <f>DATA!J190</f>
        <v>Program Penyediaan dan Pengembangan Prasarana dan Sarana Pertanian</v>
      </c>
      <c r="I176" s="10">
        <f>DATA!K190</f>
        <v>1</v>
      </c>
      <c r="J176" s="33"/>
      <c r="K176" s="34"/>
      <c r="L176" s="35"/>
      <c r="M176" s="36">
        <f>DATA!K190</f>
        <v>1</v>
      </c>
      <c r="N176" s="37" t="str">
        <f>DATA!L190</f>
        <v>Extensification of New Paddy Field Area</v>
      </c>
      <c r="O176" s="20">
        <f>DATA!Q190</f>
        <v>0</v>
      </c>
      <c r="P176" s="20">
        <f>DATA!R190</f>
        <v>1</v>
      </c>
      <c r="Q176" s="20">
        <f>DATA!S190</f>
        <v>109</v>
      </c>
      <c r="R176" s="77">
        <f>DATA!T190</f>
        <v>811166600</v>
      </c>
      <c r="S176" s="88">
        <f>DATA!U190</f>
        <v>811166600</v>
      </c>
      <c r="T176" s="77">
        <f>DATA!V190</f>
        <v>81116700</v>
      </c>
      <c r="U176" s="77">
        <f>DATA!W190</f>
        <v>0</v>
      </c>
      <c r="V176" s="77">
        <f>DATA!X190</f>
        <v>892283300</v>
      </c>
    </row>
    <row r="177" spans="1:22" ht="27" customHeight="1">
      <c r="A177" s="10">
        <f>DATA!A194</f>
        <v>140</v>
      </c>
      <c r="B177" s="10">
        <f>DATA!B194</f>
        <v>0</v>
      </c>
      <c r="C177" s="10" t="str">
        <f>DATA!D194</f>
        <v>NON-INFRASTRUKTUR</v>
      </c>
      <c r="D177" s="10">
        <f>DATA!E194</f>
        <v>13</v>
      </c>
      <c r="E177" s="10" t="str">
        <f>DATA!F194</f>
        <v>Kementerian Pertanian</v>
      </c>
      <c r="F177" s="10" t="str">
        <f>DATA!H194</f>
        <v>Provision and Development of Agriculture Infrastructure Program</v>
      </c>
      <c r="G177" s="10" t="str">
        <f>DATA!I194</f>
        <v>A</v>
      </c>
      <c r="H177" s="10" t="str">
        <f>DATA!J194</f>
        <v>Program Penyediaan dan Pengembangan Prasarana dan Sarana Pertanian</v>
      </c>
      <c r="I177" s="10">
        <f>DATA!K194</f>
        <v>2</v>
      </c>
      <c r="J177" s="33"/>
      <c r="K177" s="34"/>
      <c r="L177" s="34"/>
      <c r="M177" s="36">
        <f>DATA!K194</f>
        <v>2</v>
      </c>
      <c r="N177" s="37" t="str">
        <f>DATA!L194</f>
        <v>Upland Development for National Food Security</v>
      </c>
      <c r="O177" s="20">
        <f>DATA!Q194</f>
        <v>0</v>
      </c>
      <c r="P177" s="20">
        <f>DATA!R194</f>
        <v>1</v>
      </c>
      <c r="Q177" s="20">
        <f>DATA!S194</f>
        <v>110</v>
      </c>
      <c r="R177" s="77">
        <f>DATA!T194</f>
        <v>535676000</v>
      </c>
      <c r="S177" s="88">
        <f>DATA!U194</f>
        <v>535676000</v>
      </c>
      <c r="T177" s="77">
        <f>DATA!V194</f>
        <v>53567600</v>
      </c>
      <c r="U177" s="77">
        <f>DATA!W194</f>
        <v>0</v>
      </c>
      <c r="V177" s="77">
        <f>DATA!X194</f>
        <v>589243600</v>
      </c>
    </row>
    <row r="178" spans="1:22" s="5" customFormat="1" ht="33.75" customHeight="1">
      <c r="J178" s="28"/>
      <c r="K178" s="50"/>
      <c r="L178" s="30" t="str">
        <f>DATA!I198</f>
        <v>B</v>
      </c>
      <c r="M178" s="31" t="str">
        <f>DATA!J198</f>
        <v>Program Peningkatan Penyuluhan, Pendidikan, dan Pelatihan Pertanian</v>
      </c>
      <c r="N178" s="51"/>
      <c r="O178" s="31"/>
      <c r="P178" s="31"/>
      <c r="Q178" s="31"/>
      <c r="R178" s="81">
        <f>+R179+R180</f>
        <v>98900000</v>
      </c>
      <c r="S178" s="81">
        <f>+S179+S180</f>
        <v>98900000</v>
      </c>
      <c r="T178" s="81">
        <f>+T179+T180</f>
        <v>19780000</v>
      </c>
      <c r="U178" s="81">
        <f>+U179+U180</f>
        <v>500000</v>
      </c>
      <c r="V178" s="81">
        <f>+V179+V180</f>
        <v>119180000</v>
      </c>
    </row>
    <row r="179" spans="1:22" ht="37.5" customHeight="1">
      <c r="A179" s="10">
        <f>DATA!A198</f>
        <v>143</v>
      </c>
      <c r="B179" s="10">
        <f>DATA!B198</f>
        <v>0</v>
      </c>
      <c r="C179" s="10" t="str">
        <f>DATA!D198</f>
        <v>NON-INFRASTRUKTUR</v>
      </c>
      <c r="D179" s="10">
        <f>DATA!E198</f>
        <v>13</v>
      </c>
      <c r="E179" s="10" t="str">
        <f>DATA!F198</f>
        <v>Kementerian Pertanian</v>
      </c>
      <c r="F179" s="10" t="str">
        <f>DATA!H198</f>
        <v>Agriculture Extention, Education, and Training Improvement Program</v>
      </c>
      <c r="G179" s="10" t="str">
        <f>DATA!I198</f>
        <v>B</v>
      </c>
      <c r="H179" s="10" t="str">
        <f>DATA!J198</f>
        <v>Program Peningkatan Penyuluhan, Pendidikan, dan Pelatihan Pertanian</v>
      </c>
      <c r="I179" s="10">
        <f>DATA!K198</f>
        <v>1</v>
      </c>
      <c r="J179" s="33"/>
      <c r="K179" s="34"/>
      <c r="L179" s="35"/>
      <c r="M179" s="36">
        <v>3</v>
      </c>
      <c r="N179" s="37" t="str">
        <f>DATA!L198</f>
        <v>Young Enterpreneur Growth and Development for Sustainable Agricultural Development</v>
      </c>
      <c r="O179" s="20">
        <f>DATA!Q198</f>
        <v>1</v>
      </c>
      <c r="P179" s="20">
        <f>DATA!R198</f>
        <v>1</v>
      </c>
      <c r="Q179" s="20">
        <f>DATA!S198</f>
        <v>111</v>
      </c>
      <c r="R179" s="77">
        <f>DATA!T198</f>
        <v>68900000</v>
      </c>
      <c r="S179" s="88">
        <f>DATA!U198</f>
        <v>68900000</v>
      </c>
      <c r="T179" s="77">
        <f>DATA!V198</f>
        <v>13780000</v>
      </c>
      <c r="U179" s="77">
        <f>DATA!W198</f>
        <v>0</v>
      </c>
      <c r="V179" s="77">
        <f>DATA!X198</f>
        <v>82680000</v>
      </c>
    </row>
    <row r="180" spans="1:22" ht="48.75" customHeight="1">
      <c r="A180" s="10">
        <f>DATA!A199</f>
        <v>144</v>
      </c>
      <c r="B180" s="10">
        <f>DATA!B199</f>
        <v>0</v>
      </c>
      <c r="C180" s="10" t="str">
        <f>DATA!D199</f>
        <v>NON-INFRASTRUKTUR</v>
      </c>
      <c r="D180" s="10">
        <f>DATA!E199</f>
        <v>13</v>
      </c>
      <c r="E180" s="10" t="str">
        <f>DATA!F199</f>
        <v>Kementerian Pertanian</v>
      </c>
      <c r="F180" s="10" t="str">
        <f>DATA!H199</f>
        <v>Agriculture Extention, Education, and Training Improvement Program</v>
      </c>
      <c r="G180" s="10" t="str">
        <f>DATA!I199</f>
        <v>B</v>
      </c>
      <c r="H180" s="10" t="str">
        <f>DATA!J199</f>
        <v>Program Peningkatan Penyuluhan, Pendidikan, dan Pelatihan Pertanian</v>
      </c>
      <c r="I180" s="10">
        <f>DATA!K199</f>
        <v>2</v>
      </c>
      <c r="J180" s="33"/>
      <c r="K180" s="54"/>
      <c r="L180" s="54"/>
      <c r="M180" s="36">
        <v>4</v>
      </c>
      <c r="N180" s="37" t="str">
        <f>DATA!L199</f>
        <v>Rural Empowerment and Agricultural Development (READ) Programme in Sulawesi Island – Phase II</v>
      </c>
      <c r="O180" s="20">
        <f>DATA!Q199</f>
        <v>1</v>
      </c>
      <c r="P180" s="20">
        <f>DATA!R199</f>
        <v>1</v>
      </c>
      <c r="Q180" s="20">
        <f>DATA!S199</f>
        <v>112</v>
      </c>
      <c r="R180" s="77">
        <f>DATA!T199</f>
        <v>30000000</v>
      </c>
      <c r="S180" s="88">
        <f>DATA!U199</f>
        <v>30000000</v>
      </c>
      <c r="T180" s="77">
        <f>DATA!V199</f>
        <v>6000000</v>
      </c>
      <c r="U180" s="77">
        <f>DATA!W199</f>
        <v>500000</v>
      </c>
      <c r="V180" s="77">
        <f>DATA!X199</f>
        <v>36500000</v>
      </c>
    </row>
    <row r="181" spans="1:22" s="4" customFormat="1" ht="24.95" customHeight="1">
      <c r="J181" s="107"/>
      <c r="K181" s="25">
        <f>DATA!E200</f>
        <v>14</v>
      </c>
      <c r="L181" s="108" t="str">
        <f>DATA!F200</f>
        <v>Kementerian Ketenagakerjaan</v>
      </c>
      <c r="M181" s="25"/>
      <c r="N181" s="27"/>
      <c r="O181" s="26"/>
      <c r="P181" s="26"/>
      <c r="Q181" s="26"/>
      <c r="R181" s="80">
        <f>+R182</f>
        <v>92308000</v>
      </c>
      <c r="S181" s="80">
        <f>+S182</f>
        <v>92308000</v>
      </c>
      <c r="T181" s="80">
        <f t="shared" ref="T181:V182" si="5">+T182</f>
        <v>2500000</v>
      </c>
      <c r="U181" s="80">
        <f t="shared" si="5"/>
        <v>0</v>
      </c>
      <c r="V181" s="80">
        <f t="shared" si="5"/>
        <v>94808000</v>
      </c>
    </row>
    <row r="182" spans="1:22" s="5" customFormat="1" ht="33.75" customHeight="1">
      <c r="J182" s="28"/>
      <c r="K182" s="29"/>
      <c r="L182" s="30" t="str">
        <f>DATA!I206</f>
        <v>A</v>
      </c>
      <c r="M182" s="31" t="str">
        <f>DATA!J200</f>
        <v>Program Peningkatan Daya Saing Tenaga Kerja</v>
      </c>
      <c r="N182" s="51"/>
      <c r="O182" s="31"/>
      <c r="P182" s="31"/>
      <c r="Q182" s="31"/>
      <c r="R182" s="81">
        <f>+R183</f>
        <v>92308000</v>
      </c>
      <c r="S182" s="81">
        <f>+S183</f>
        <v>92308000</v>
      </c>
      <c r="T182" s="81">
        <f t="shared" si="5"/>
        <v>2500000</v>
      </c>
      <c r="U182" s="81">
        <f t="shared" si="5"/>
        <v>0</v>
      </c>
      <c r="V182" s="81">
        <f t="shared" si="5"/>
        <v>94808000</v>
      </c>
    </row>
    <row r="183" spans="1:22" ht="39" customHeight="1">
      <c r="A183" s="10">
        <f>DATA!A200</f>
        <v>145</v>
      </c>
      <c r="B183" s="10">
        <f>DATA!B200</f>
        <v>0</v>
      </c>
      <c r="C183" s="10" t="str">
        <f>DATA!D200</f>
        <v>NON-INFRASTRUKTUR</v>
      </c>
      <c r="D183" s="10">
        <f>DATA!E200</f>
        <v>14</v>
      </c>
      <c r="E183" s="10" t="str">
        <f>DATA!F200</f>
        <v>Kementerian Ketenagakerjaan</v>
      </c>
      <c r="F183" s="10" t="str">
        <f>DATA!H200</f>
        <v>Improving Labor Competitiveness Program</v>
      </c>
      <c r="G183" s="10" t="str">
        <f>DATA!I200</f>
        <v>A</v>
      </c>
      <c r="H183" s="10" t="str">
        <f>DATA!J200</f>
        <v>Program Peningkatan Daya Saing Tenaga Kerja</v>
      </c>
      <c r="I183" s="10">
        <f>DATA!K200</f>
        <v>1</v>
      </c>
      <c r="J183" s="33"/>
      <c r="K183" s="54"/>
      <c r="L183" s="20"/>
      <c r="M183" s="36">
        <f>DATA!K200</f>
        <v>1</v>
      </c>
      <c r="N183" s="37" t="str">
        <f>DATA!L200</f>
        <v>Development of Maritime Vocational Training Centers</v>
      </c>
      <c r="O183" s="20">
        <f>DATA!Q200</f>
        <v>1</v>
      </c>
      <c r="P183" s="20">
        <f>DATA!R200</f>
        <v>1</v>
      </c>
      <c r="Q183" s="20">
        <f>DATA!S200</f>
        <v>113</v>
      </c>
      <c r="R183" s="77">
        <f>DATA!T200</f>
        <v>92308000</v>
      </c>
      <c r="S183" s="88">
        <f>DATA!U200</f>
        <v>92308000</v>
      </c>
      <c r="T183" s="77">
        <f>DATA!V200</f>
        <v>2500000</v>
      </c>
      <c r="U183" s="77">
        <f>DATA!W200</f>
        <v>0</v>
      </c>
      <c r="V183" s="77">
        <f>DATA!X200</f>
        <v>94808000</v>
      </c>
    </row>
    <row r="184" spans="1:22" s="4" customFormat="1" ht="24.95" customHeight="1">
      <c r="J184" s="107"/>
      <c r="K184" s="25">
        <f>DATA!E201</f>
        <v>15</v>
      </c>
      <c r="L184" s="108" t="str">
        <f>DATA!F201</f>
        <v>Kementerian Kelautan dan Perikanan</v>
      </c>
      <c r="M184" s="25"/>
      <c r="N184" s="27"/>
      <c r="O184" s="26"/>
      <c r="P184" s="26"/>
      <c r="Q184" s="26"/>
      <c r="R184" s="80">
        <f>+R185</f>
        <v>107000000</v>
      </c>
      <c r="S184" s="80">
        <f>+S185</f>
        <v>107000000</v>
      </c>
      <c r="T184" s="80">
        <f t="shared" ref="T184:V185" si="6">+T185</f>
        <v>4261000</v>
      </c>
      <c r="U184" s="80">
        <f t="shared" si="6"/>
        <v>2160000</v>
      </c>
      <c r="V184" s="80">
        <f t="shared" si="6"/>
        <v>113421000</v>
      </c>
    </row>
    <row r="185" spans="1:22" s="5" customFormat="1" ht="33.75" customHeight="1">
      <c r="J185" s="28"/>
      <c r="K185" s="116"/>
      <c r="L185" s="30" t="str">
        <f>DATA!I201</f>
        <v>A</v>
      </c>
      <c r="M185" s="31" t="str">
        <f>DATA!J201</f>
        <v>Program Peningkatan Fasilitas Perikanan</v>
      </c>
      <c r="N185" s="51"/>
      <c r="O185" s="31"/>
      <c r="P185" s="31"/>
      <c r="Q185" s="31"/>
      <c r="R185" s="81">
        <f>+R186</f>
        <v>107000000</v>
      </c>
      <c r="S185" s="81">
        <f>+S186</f>
        <v>107000000</v>
      </c>
      <c r="T185" s="81">
        <f t="shared" si="6"/>
        <v>4261000</v>
      </c>
      <c r="U185" s="81">
        <f t="shared" si="6"/>
        <v>2160000</v>
      </c>
      <c r="V185" s="81">
        <f t="shared" si="6"/>
        <v>113421000</v>
      </c>
    </row>
    <row r="186" spans="1:22" ht="36" customHeight="1">
      <c r="A186" s="10">
        <f>DATA!A201</f>
        <v>146</v>
      </c>
      <c r="B186" s="10">
        <f>DATA!B201</f>
        <v>0</v>
      </c>
      <c r="C186" s="10" t="str">
        <f>DATA!D201</f>
        <v>NON-INFRASTRUKTUR</v>
      </c>
      <c r="D186" s="10">
        <f>DATA!E201</f>
        <v>15</v>
      </c>
      <c r="E186" s="10" t="str">
        <f>DATA!F201</f>
        <v>Kementerian Kelautan dan Perikanan</v>
      </c>
      <c r="F186" s="10" t="str">
        <f>DATA!H201</f>
        <v>Improvement of Fisheries Facilities Program</v>
      </c>
      <c r="G186" s="10" t="str">
        <f>DATA!I201</f>
        <v>A</v>
      </c>
      <c r="H186" s="10" t="str">
        <f>DATA!J201</f>
        <v>Program Peningkatan Fasilitas Perikanan</v>
      </c>
      <c r="I186" s="10">
        <f>DATA!K201</f>
        <v>1</v>
      </c>
      <c r="J186" s="33"/>
      <c r="K186" s="20"/>
      <c r="L186" s="20"/>
      <c r="M186" s="36">
        <f>DATA!K201</f>
        <v>1</v>
      </c>
      <c r="N186" s="37" t="str">
        <f>DATA!L201</f>
        <v xml:space="preserve">Outer Ring Fishing Ports Development - Phase I </v>
      </c>
      <c r="O186" s="20">
        <f>DATA!Q201</f>
        <v>1</v>
      </c>
      <c r="P186" s="20">
        <f>DATA!R201</f>
        <v>1</v>
      </c>
      <c r="Q186" s="20">
        <f>DATA!S201</f>
        <v>114</v>
      </c>
      <c r="R186" s="77">
        <f>DATA!T201</f>
        <v>107000000</v>
      </c>
      <c r="S186" s="88">
        <f>DATA!U201</f>
        <v>107000000</v>
      </c>
      <c r="T186" s="77">
        <f>DATA!V201</f>
        <v>4261000</v>
      </c>
      <c r="U186" s="77">
        <f>DATA!W201</f>
        <v>2160000</v>
      </c>
      <c r="V186" s="77">
        <f>DATA!X201</f>
        <v>113421000</v>
      </c>
    </row>
    <row r="187" spans="1:22" s="4" customFormat="1" ht="24.95" customHeight="1">
      <c r="J187" s="107"/>
      <c r="K187" s="25">
        <f>DATA!E206</f>
        <v>16</v>
      </c>
      <c r="L187" s="108" t="str">
        <f>DATA!F206</f>
        <v>Badan Meteorologi, Klimatologi dan Geofisika (BMKG)</v>
      </c>
      <c r="M187" s="25"/>
      <c r="N187" s="27"/>
      <c r="O187" s="26"/>
      <c r="P187" s="26"/>
      <c r="Q187" s="26"/>
      <c r="R187" s="80">
        <f>+R188</f>
        <v>150000000</v>
      </c>
      <c r="S187" s="80">
        <f>+S188</f>
        <v>150000000</v>
      </c>
      <c r="T187" s="80">
        <f t="shared" ref="T187:V188" si="7">+T188</f>
        <v>9000000</v>
      </c>
      <c r="U187" s="80">
        <f t="shared" si="7"/>
        <v>0</v>
      </c>
      <c r="V187" s="80">
        <f t="shared" si="7"/>
        <v>159000000</v>
      </c>
    </row>
    <row r="188" spans="1:22" s="5" customFormat="1" ht="33.75" customHeight="1">
      <c r="J188" s="28"/>
      <c r="K188" s="29"/>
      <c r="L188" s="30" t="str">
        <f>DATA!I206</f>
        <v>A</v>
      </c>
      <c r="M188" s="31" t="str">
        <f>DATA!J206</f>
        <v>Program Pengembangan dan Pembinaan Meteorologi, Klimatologi, dan Geofisika</v>
      </c>
      <c r="N188" s="51"/>
      <c r="O188" s="31"/>
      <c r="P188" s="31"/>
      <c r="Q188" s="31"/>
      <c r="R188" s="81">
        <f>+R189</f>
        <v>150000000</v>
      </c>
      <c r="S188" s="81">
        <f>+S189</f>
        <v>150000000</v>
      </c>
      <c r="T188" s="81">
        <f t="shared" si="7"/>
        <v>9000000</v>
      </c>
      <c r="U188" s="81">
        <f t="shared" si="7"/>
        <v>0</v>
      </c>
      <c r="V188" s="81">
        <f t="shared" si="7"/>
        <v>159000000</v>
      </c>
    </row>
    <row r="189" spans="1:22" ht="99.75" customHeight="1">
      <c r="A189" s="10">
        <f>DATA!A206</f>
        <v>147</v>
      </c>
      <c r="B189" s="10">
        <f>DATA!B206</f>
        <v>0</v>
      </c>
      <c r="C189" s="10" t="str">
        <f>DATA!D206</f>
        <v>NON-INFRASTRUKTUR</v>
      </c>
      <c r="D189" s="10">
        <f>DATA!E206</f>
        <v>16</v>
      </c>
      <c r="E189" s="10" t="str">
        <f>DATA!F206</f>
        <v>Badan Meteorologi, Klimatologi dan Geofisika (BMKG)</v>
      </c>
      <c r="F189" s="10" t="str">
        <f>DATA!H206</f>
        <v>Program for Capacity Development and Guidance of Meteorology, Climatology, and Geophysics</v>
      </c>
      <c r="G189" s="10" t="str">
        <f>DATA!I206</f>
        <v>A</v>
      </c>
      <c r="H189" s="10" t="str">
        <f>DATA!J206</f>
        <v>Program Pengembangan dan Pembinaan Meteorologi, Klimatologi, dan Geofisika</v>
      </c>
      <c r="I189" s="10">
        <f>DATA!K206</f>
        <v>1</v>
      </c>
      <c r="J189" s="33"/>
      <c r="K189" s="54"/>
      <c r="L189" s="36"/>
      <c r="M189" s="36">
        <f>DATA!K206</f>
        <v>1</v>
      </c>
      <c r="N189" s="37" t="str">
        <f>DATA!L206</f>
        <v xml:space="preserve">Strengthening Climate and Weather Service Capacity – Phase II:
a) Kegiatan lanjutan dari kegiatan Strengthening BMKG Climate and Weather Services Capacity Phase I
b) Kegiatan pengembangan sistem Layanan Informasi Meteorologi Maritim </v>
      </c>
      <c r="O189" s="20">
        <f>DATA!Q206</f>
        <v>1</v>
      </c>
      <c r="P189" s="20">
        <f>DATA!R206</f>
        <v>1</v>
      </c>
      <c r="Q189" s="20">
        <f>DATA!S206</f>
        <v>115</v>
      </c>
      <c r="R189" s="77">
        <f>DATA!T206</f>
        <v>150000000</v>
      </c>
      <c r="S189" s="88">
        <f>DATA!U206</f>
        <v>150000000</v>
      </c>
      <c r="T189" s="77">
        <f>DATA!V206</f>
        <v>9000000</v>
      </c>
      <c r="U189" s="77">
        <f>DATA!W206</f>
        <v>0</v>
      </c>
      <c r="V189" s="77">
        <f>DATA!X206</f>
        <v>159000000</v>
      </c>
    </row>
    <row r="190" spans="1:22" s="4" customFormat="1" ht="24.95" customHeight="1">
      <c r="J190" s="107"/>
      <c r="K190" s="25">
        <f>DATA!E207</f>
        <v>17</v>
      </c>
      <c r="L190" s="108" t="str">
        <f>DATA!F207</f>
        <v>Badan Pengkajian dan Penerapan Teknologi (BPPT)</v>
      </c>
      <c r="M190" s="25"/>
      <c r="N190" s="27"/>
      <c r="O190" s="26"/>
      <c r="P190" s="26"/>
      <c r="Q190" s="26"/>
      <c r="R190" s="80">
        <f>+R191</f>
        <v>114400000</v>
      </c>
      <c r="S190" s="80">
        <f>+S191</f>
        <v>114400000</v>
      </c>
      <c r="T190" s="80">
        <f t="shared" ref="T190:V191" si="8">+T191</f>
        <v>17200000</v>
      </c>
      <c r="U190" s="80">
        <f t="shared" si="8"/>
        <v>0</v>
      </c>
      <c r="V190" s="80">
        <f t="shared" si="8"/>
        <v>131600000</v>
      </c>
    </row>
    <row r="191" spans="1:22" s="5" customFormat="1" ht="33.75" customHeight="1">
      <c r="J191" s="28"/>
      <c r="K191" s="29"/>
      <c r="L191" s="30" t="str">
        <f>DATA!I207</f>
        <v>A</v>
      </c>
      <c r="M191" s="31" t="str">
        <f>DATA!J207</f>
        <v>Program Pembangunan Science Park dan Technopark</v>
      </c>
      <c r="N191" s="51"/>
      <c r="O191" s="31"/>
      <c r="P191" s="31"/>
      <c r="Q191" s="31"/>
      <c r="R191" s="81">
        <f>+R192</f>
        <v>114400000</v>
      </c>
      <c r="S191" s="81">
        <f>+S192</f>
        <v>114400000</v>
      </c>
      <c r="T191" s="81">
        <f t="shared" si="8"/>
        <v>17200000</v>
      </c>
      <c r="U191" s="81">
        <f t="shared" si="8"/>
        <v>0</v>
      </c>
      <c r="V191" s="81">
        <f t="shared" si="8"/>
        <v>131600000</v>
      </c>
    </row>
    <row r="192" spans="1:22" ht="66" customHeight="1">
      <c r="A192" s="10">
        <f>DATA!A207</f>
        <v>148</v>
      </c>
      <c r="B192" s="10">
        <f>DATA!B207</f>
        <v>0</v>
      </c>
      <c r="C192" s="10" t="str">
        <f>DATA!D207</f>
        <v>NON-INFRASTRUKTUR</v>
      </c>
      <c r="D192" s="10">
        <f>DATA!E207</f>
        <v>17</v>
      </c>
      <c r="E192" s="10" t="str">
        <f>DATA!F207</f>
        <v>Badan Pengkajian dan Penerapan Teknologi (BPPT)</v>
      </c>
      <c r="F192" s="10" t="str">
        <f>DATA!H207</f>
        <v>Science Park and Technopark Development Program</v>
      </c>
      <c r="G192" s="10" t="str">
        <f>DATA!I207</f>
        <v>A</v>
      </c>
      <c r="H192" s="10" t="str">
        <f>DATA!J207</f>
        <v>Program Pembangunan Science Park dan Technopark</v>
      </c>
      <c r="I192" s="10">
        <f>DATA!K207</f>
        <v>1</v>
      </c>
      <c r="J192" s="52"/>
      <c r="K192" s="54"/>
      <c r="L192" s="36"/>
      <c r="M192" s="36">
        <f>DATA!K207</f>
        <v>1</v>
      </c>
      <c r="N192" s="37" t="str">
        <f>DATA!L207</f>
        <v>Development of Maritime National Science and Technology Park (NTSP) in the Northern Penajam Paser and Revitalization Infrastructure Marine Survey</v>
      </c>
      <c r="O192" s="20">
        <f>DATA!Q207</f>
        <v>1</v>
      </c>
      <c r="P192" s="20">
        <f>DATA!R207</f>
        <v>1</v>
      </c>
      <c r="Q192" s="20">
        <f>DATA!S207</f>
        <v>116</v>
      </c>
      <c r="R192" s="77">
        <f>DATA!T207</f>
        <v>114400000</v>
      </c>
      <c r="S192" s="88">
        <f>DATA!U207</f>
        <v>114400000</v>
      </c>
      <c r="T192" s="77">
        <f>DATA!V207</f>
        <v>17200000</v>
      </c>
      <c r="U192" s="77">
        <f>DATA!W207</f>
        <v>0</v>
      </c>
      <c r="V192" s="77">
        <f>DATA!X207</f>
        <v>131600000</v>
      </c>
    </row>
    <row r="193" spans="10:22" s="3" customFormat="1" ht="30" customHeight="1">
      <c r="J193" s="3363" t="s">
        <v>477</v>
      </c>
      <c r="K193" s="3364"/>
      <c r="L193" s="3364"/>
      <c r="M193" s="3364"/>
      <c r="N193" s="3365"/>
      <c r="O193" s="119"/>
      <c r="P193" s="119"/>
      <c r="Q193" s="119"/>
      <c r="R193" s="123">
        <f>+R8+R141</f>
        <v>39176907800</v>
      </c>
      <c r="S193" s="123">
        <f>+S8+S141</f>
        <v>39176907800</v>
      </c>
      <c r="T193" s="123">
        <f>+T8+T141</f>
        <v>5103391300</v>
      </c>
      <c r="U193" s="123">
        <f>+U8+U141</f>
        <v>19660000</v>
      </c>
      <c r="V193" s="123">
        <f>+V8+V141</f>
        <v>44049959100</v>
      </c>
    </row>
  </sheetData>
  <autoFilter ref="A7:V193"/>
  <mergeCells count="9">
    <mergeCell ref="J1:T1"/>
    <mergeCell ref="J2:V2"/>
    <mergeCell ref="J193:N193"/>
    <mergeCell ref="R5:R6"/>
    <mergeCell ref="S5:S6"/>
    <mergeCell ref="T5:T6"/>
    <mergeCell ref="U5:U6"/>
    <mergeCell ref="V5:V6"/>
    <mergeCell ref="J5:N6"/>
  </mergeCells>
  <printOptions horizontalCentered="1"/>
  <pageMargins left="0.39305555555555599" right="0.39305555555555599" top="0.39305555555555599" bottom="0.39305555555555599" header="0.31458333333333299" footer="0.196527777777778"/>
  <pageSetup paperSize="9" scale="45" fitToHeight="0" orientation="landscape"/>
  <headerFooter>
    <oddFooter>&amp;R&amp;"Cambria,Italic"&amp;9&amp;P/&amp;N</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Q224"/>
  <sheetViews>
    <sheetView topLeftCell="J1" zoomScale="64" zoomScaleNormal="64" workbookViewId="0">
      <pane ySplit="7" topLeftCell="A8" activePane="bottomLeft" state="frozen"/>
      <selection pane="bottomLeft" activeCell="J1" sqref="J1:AV1"/>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3.42578125" style="10" customWidth="1"/>
    <col min="14" max="14" width="43.7109375" style="12" customWidth="1"/>
    <col min="15" max="17" width="9.140625" style="10" customWidth="1"/>
    <col min="18" max="18" width="21" style="13" customWidth="1"/>
    <col min="19" max="19" width="21" style="13" hidden="1" customWidth="1"/>
    <col min="20" max="20" width="20.140625" style="13" hidden="1" customWidth="1"/>
    <col min="21" max="21" width="15.85546875" style="13" hidden="1" customWidth="1"/>
    <col min="22" max="22" width="21" style="13" hidden="1" customWidth="1"/>
    <col min="23" max="23" width="20.85546875" style="14" customWidth="1"/>
    <col min="24" max="24" width="1.28515625" style="10" customWidth="1"/>
    <col min="25" max="25" width="21" style="13" customWidth="1"/>
    <col min="26" max="26" width="20.28515625" style="13" customWidth="1"/>
    <col min="27" max="27" width="21.5703125" style="10" customWidth="1"/>
    <col min="28" max="34" width="20.7109375" style="12" customWidth="1"/>
    <col min="35" max="35" width="31.28515625" style="10" customWidth="1"/>
    <col min="36" max="36" width="33.5703125" style="10" customWidth="1"/>
    <col min="37" max="37" width="26.7109375" style="10" customWidth="1"/>
    <col min="38" max="38" width="24" style="10" customWidth="1"/>
    <col min="39" max="39" width="29.28515625" style="10" customWidth="1"/>
    <col min="40" max="40" width="20.140625" style="10" customWidth="1"/>
    <col min="41" max="41" width="22.5703125" style="10" customWidth="1"/>
    <col min="42" max="42" width="22.5703125" style="12" customWidth="1"/>
    <col min="43" max="43" width="45.7109375" style="12" customWidth="1"/>
    <col min="44" max="16384" width="9.140625" style="10"/>
  </cols>
  <sheetData>
    <row r="1" spans="1:43" s="1" customFormat="1" ht="18">
      <c r="J1" s="3356" t="s">
        <v>481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c r="AP1" s="3356"/>
      <c r="AQ1" s="3356"/>
    </row>
    <row r="2" spans="1:43" s="1" customFormat="1" ht="18">
      <c r="J2" s="3357" t="s">
        <v>482</v>
      </c>
      <c r="K2" s="3358"/>
      <c r="L2" s="3358"/>
      <c r="M2" s="3358"/>
      <c r="N2" s="3358"/>
      <c r="O2" s="3358"/>
      <c r="P2" s="3358"/>
      <c r="Q2" s="3358"/>
      <c r="R2" s="3358"/>
      <c r="S2" s="3358"/>
      <c r="T2" s="3358"/>
      <c r="U2" s="3358"/>
      <c r="V2" s="3358"/>
      <c r="W2" s="3358"/>
      <c r="X2" s="3358"/>
      <c r="Y2" s="3358"/>
      <c r="Z2" s="3358"/>
      <c r="AA2" s="3358"/>
      <c r="AB2" s="3358"/>
      <c r="AC2" s="3358"/>
      <c r="AD2" s="3358"/>
      <c r="AE2" s="3358"/>
      <c r="AF2" s="3358"/>
      <c r="AG2" s="3358"/>
      <c r="AH2" s="3358"/>
      <c r="AI2" s="15"/>
      <c r="AJ2" s="15"/>
      <c r="AK2" s="15"/>
      <c r="AL2" s="15"/>
      <c r="AM2" s="15"/>
      <c r="AN2" s="15"/>
      <c r="AO2" s="15"/>
      <c r="AP2" s="146"/>
      <c r="AQ2" s="15"/>
    </row>
    <row r="3" spans="1:43" s="1" customFormat="1" ht="15.75" customHeight="1">
      <c r="J3" s="15"/>
      <c r="K3" s="15"/>
      <c r="L3" s="15"/>
      <c r="M3" s="15"/>
      <c r="N3" s="15"/>
      <c r="O3" s="15"/>
      <c r="P3" s="15"/>
      <c r="Q3" s="15"/>
      <c r="R3" s="73"/>
      <c r="S3" s="73"/>
      <c r="T3" s="73"/>
      <c r="U3" s="73"/>
      <c r="V3" s="73"/>
      <c r="W3" s="15"/>
      <c r="X3" s="15"/>
      <c r="Y3" s="15"/>
      <c r="Z3" s="73"/>
      <c r="AA3" s="15"/>
      <c r="AB3" s="15"/>
      <c r="AC3" s="15"/>
      <c r="AD3" s="15"/>
      <c r="AE3" s="15"/>
      <c r="AF3" s="15"/>
      <c r="AG3" s="15"/>
      <c r="AH3" s="94" t="s">
        <v>483</v>
      </c>
      <c r="AI3" s="15"/>
      <c r="AJ3" s="15"/>
      <c r="AK3" s="15"/>
      <c r="AL3" s="15"/>
      <c r="AM3" s="15"/>
      <c r="AN3" s="15"/>
      <c r="AO3" s="15"/>
      <c r="AP3" s="146"/>
      <c r="AQ3" s="15"/>
    </row>
    <row r="4" spans="1:43">
      <c r="AQ4" s="106" t="s">
        <v>483</v>
      </c>
    </row>
    <row r="5" spans="1:43" s="2" customFormat="1" ht="24.95" customHeight="1">
      <c r="J5" s="3359" t="s">
        <v>484</v>
      </c>
      <c r="K5" s="3359"/>
      <c r="L5" s="3359"/>
      <c r="M5" s="3359"/>
      <c r="N5" s="3359"/>
      <c r="O5" s="16"/>
      <c r="P5" s="16"/>
      <c r="Q5" s="16"/>
      <c r="R5" s="3366" t="s">
        <v>485</v>
      </c>
      <c r="S5" s="3368" t="s">
        <v>486</v>
      </c>
      <c r="T5" s="3366" t="s">
        <v>487</v>
      </c>
      <c r="U5" s="3366" t="s">
        <v>488</v>
      </c>
      <c r="V5" s="3366" t="s">
        <v>477</v>
      </c>
      <c r="W5" s="3359" t="s">
        <v>7</v>
      </c>
      <c r="X5" s="3359"/>
      <c r="Y5" s="3359"/>
      <c r="Z5" s="3368" t="s">
        <v>489</v>
      </c>
      <c r="AA5" s="3370" t="s">
        <v>490</v>
      </c>
      <c r="AB5" s="3360" t="s">
        <v>9</v>
      </c>
      <c r="AC5" s="3361"/>
      <c r="AD5" s="3361"/>
      <c r="AE5" s="3361"/>
      <c r="AF5" s="3361"/>
      <c r="AG5" s="3361"/>
      <c r="AH5" s="3362"/>
      <c r="AI5" s="16"/>
      <c r="AJ5" s="16"/>
      <c r="AK5" s="16"/>
      <c r="AL5" s="16"/>
      <c r="AM5" s="16"/>
      <c r="AN5" s="16"/>
      <c r="AO5" s="16"/>
      <c r="AP5" s="3370" t="s">
        <v>491</v>
      </c>
      <c r="AQ5" s="3370" t="s">
        <v>492</v>
      </c>
    </row>
    <row r="6" spans="1:43" s="2" customFormat="1" ht="24.95" customHeight="1">
      <c r="J6" s="3359"/>
      <c r="K6" s="3359"/>
      <c r="L6" s="3359"/>
      <c r="M6" s="3359"/>
      <c r="N6" s="3359"/>
      <c r="O6" s="16"/>
      <c r="P6" s="16"/>
      <c r="Q6" s="16"/>
      <c r="R6" s="3367"/>
      <c r="S6" s="3369"/>
      <c r="T6" s="3367"/>
      <c r="U6" s="3367"/>
      <c r="V6" s="3367"/>
      <c r="W6" s="76" t="s">
        <v>11</v>
      </c>
      <c r="X6" s="16"/>
      <c r="Y6" s="75" t="s">
        <v>493</v>
      </c>
      <c r="Z6" s="3369"/>
      <c r="AA6" s="3371"/>
      <c r="AB6" s="95" t="s">
        <v>13</v>
      </c>
      <c r="AC6" s="95" t="s">
        <v>494</v>
      </c>
      <c r="AD6" s="95" t="s">
        <v>495</v>
      </c>
      <c r="AE6" s="95" t="s">
        <v>496</v>
      </c>
      <c r="AF6" s="95" t="s">
        <v>14</v>
      </c>
      <c r="AG6" s="95" t="s">
        <v>15</v>
      </c>
      <c r="AH6" s="95" t="s">
        <v>16</v>
      </c>
      <c r="AI6" s="16"/>
      <c r="AJ6" s="16"/>
      <c r="AK6" s="16"/>
      <c r="AL6" s="16"/>
      <c r="AM6" s="16"/>
      <c r="AN6" s="16"/>
      <c r="AO6" s="16"/>
      <c r="AP6" s="3371"/>
      <c r="AQ6" s="3371"/>
    </row>
    <row r="7" spans="1:43">
      <c r="J7" s="17"/>
      <c r="K7" s="18"/>
      <c r="L7" s="18"/>
      <c r="M7" s="18"/>
      <c r="N7" s="19"/>
      <c r="O7" s="20"/>
      <c r="P7" s="20"/>
      <c r="Q7" s="20"/>
      <c r="R7" s="77"/>
      <c r="S7" s="77"/>
      <c r="T7" s="77"/>
      <c r="U7" s="77"/>
      <c r="V7" s="77"/>
      <c r="W7" s="78"/>
      <c r="X7" s="20" t="str">
        <f>BB[[#Headers],[BILA-MULTI]]</f>
        <v>BILA-MULTI</v>
      </c>
      <c r="Y7" s="77"/>
      <c r="Z7" s="77"/>
      <c r="AA7" s="20"/>
      <c r="AB7" s="37"/>
      <c r="AC7" s="37"/>
      <c r="AD7" s="37"/>
      <c r="AE7" s="37"/>
      <c r="AF7" s="37"/>
      <c r="AG7" s="37"/>
      <c r="AH7" s="37"/>
      <c r="AI7" s="20" t="s">
        <v>497</v>
      </c>
      <c r="AJ7" s="20" t="s">
        <v>498</v>
      </c>
      <c r="AK7" s="20" t="s">
        <v>499</v>
      </c>
      <c r="AL7" s="20" t="s">
        <v>500</v>
      </c>
      <c r="AM7" s="20" t="s">
        <v>10</v>
      </c>
      <c r="AN7" s="20" t="s">
        <v>501</v>
      </c>
      <c r="AO7" s="20" t="s">
        <v>502</v>
      </c>
      <c r="AP7" s="37"/>
      <c r="AQ7" s="37"/>
    </row>
    <row r="8" spans="1:43" s="3" customFormat="1" ht="30" customHeight="1">
      <c r="A8" s="3" t="s">
        <v>21</v>
      </c>
      <c r="B8" s="3" t="s">
        <v>21</v>
      </c>
      <c r="C8" s="3" t="s">
        <v>21</v>
      </c>
      <c r="D8" s="3" t="s">
        <v>21</v>
      </c>
      <c r="E8" s="3" t="s">
        <v>21</v>
      </c>
      <c r="F8" s="3" t="s">
        <v>21</v>
      </c>
      <c r="G8" s="3" t="s">
        <v>21</v>
      </c>
      <c r="H8" s="3" t="s">
        <v>21</v>
      </c>
      <c r="I8" s="3" t="s">
        <v>21</v>
      </c>
      <c r="J8" s="21" t="str">
        <f>DATA!B2</f>
        <v>I</v>
      </c>
      <c r="K8" s="22" t="str">
        <f>DATA!D2</f>
        <v>INFRASTRUKTUR</v>
      </c>
      <c r="L8" s="22"/>
      <c r="M8" s="22"/>
      <c r="N8" s="23"/>
      <c r="O8" s="22"/>
      <c r="P8" s="22"/>
      <c r="Q8" s="22"/>
      <c r="R8" s="79">
        <f>+R9+R125+R128+R136+R139+R144+R147</f>
        <v>35286135700</v>
      </c>
      <c r="S8" s="79">
        <f>+S9+S125+S128+S136+S139+S144+S147</f>
        <v>35286135700</v>
      </c>
      <c r="T8" s="79">
        <f>+T9+T125+T128+T136+T139+T144+T147</f>
        <v>4724797700</v>
      </c>
      <c r="U8" s="79">
        <f>+U9+U125+U128+U136+U139+U144+U147</f>
        <v>17000000</v>
      </c>
      <c r="V8" s="79">
        <f>+V9+V125+V128+V136+V139+V144+V147</f>
        <v>39777933400</v>
      </c>
      <c r="W8" s="79"/>
      <c r="X8" s="79" t="e">
        <f>+X9+X125+X128+X136+X139+X144+X147</f>
        <v>#VALUE!</v>
      </c>
      <c r="Y8" s="79">
        <f>+Y9+Y125+Y128+Y136+Y139+Y144+Y147</f>
        <v>35095755700</v>
      </c>
      <c r="Z8" s="79">
        <f>+Z9+Z125+Z128+Z136+Z139+Z144+Z147</f>
        <v>-537391404</v>
      </c>
      <c r="AA8" s="22"/>
      <c r="AB8" s="23"/>
      <c r="AC8" s="23"/>
      <c r="AD8" s="23"/>
      <c r="AE8" s="23"/>
      <c r="AF8" s="23"/>
      <c r="AG8" s="23"/>
      <c r="AH8" s="23"/>
      <c r="AI8" s="22"/>
      <c r="AJ8" s="22"/>
      <c r="AK8" s="22"/>
      <c r="AL8" s="22"/>
      <c r="AM8" s="22"/>
      <c r="AN8" s="22"/>
      <c r="AO8" s="22"/>
      <c r="AP8" s="23"/>
      <c r="AQ8" s="23"/>
    </row>
    <row r="9" spans="1:43" s="4" customFormat="1" ht="24.95" customHeight="1">
      <c r="J9" s="24"/>
      <c r="K9" s="25">
        <f>DATA!E2</f>
        <v>1</v>
      </c>
      <c r="L9" s="26" t="str">
        <f>DATA!F2</f>
        <v>Kementerian Pekerjaan Umum dan Perumahan Rakyat</v>
      </c>
      <c r="M9" s="26"/>
      <c r="N9" s="27"/>
      <c r="O9" s="26"/>
      <c r="P9" s="26"/>
      <c r="Q9" s="26"/>
      <c r="R9" s="80">
        <f>+R10+R19+R25+R35+R53+R66+R69+R76+R90+R94+R109+R119+R123</f>
        <v>22288199000</v>
      </c>
      <c r="S9" s="80">
        <f>+S10+S19+S25+S35+S53+S66+S69+S76+S90+S94+S109+S119+S123</f>
        <v>22288199000</v>
      </c>
      <c r="T9" s="80">
        <f>+T10+T19+T25+T35+T53+T66+T69+T76+T90+T94+T109+T119+T123</f>
        <v>2886244500</v>
      </c>
      <c r="U9" s="80">
        <f>+U10+U19+U25+U35+U53+U66+U69+U76+U90+U94+U109+U119+U123</f>
        <v>7000000</v>
      </c>
      <c r="V9" s="80">
        <f>+V10+V19+V25+V35+V53+V66+V69+V76+V90+V94+V109+V119+V123</f>
        <v>24931443500</v>
      </c>
      <c r="W9" s="80"/>
      <c r="X9" s="80" t="e">
        <f>+X10+X19+X25+X35+X53+X66+X69+X76+X90+X94+X109+X119+X123</f>
        <v>#VALUE!</v>
      </c>
      <c r="Y9" s="80">
        <f>+Y10+Y19+Y25+Y35+Y53+Y66+Y69+Y76+Y90+Y94+Y109+Y119+Y123</f>
        <v>22097819000</v>
      </c>
      <c r="Z9" s="80">
        <f>+Z10+Z19+Z25+Z35+Z53+Z66+Z69+Z76+Z90+Z94+Z109+Z119+Z123</f>
        <v>-126391404</v>
      </c>
      <c r="AA9" s="26"/>
      <c r="AB9" s="27"/>
      <c r="AC9" s="27"/>
      <c r="AD9" s="27"/>
      <c r="AE9" s="27"/>
      <c r="AF9" s="27"/>
      <c r="AG9" s="27"/>
      <c r="AH9" s="27"/>
      <c r="AI9" s="26"/>
      <c r="AJ9" s="26"/>
      <c r="AK9" s="26"/>
      <c r="AL9" s="26"/>
      <c r="AM9" s="26"/>
      <c r="AN9" s="26"/>
      <c r="AO9" s="26"/>
      <c r="AP9" s="27"/>
      <c r="AQ9" s="27"/>
    </row>
    <row r="10" spans="1:43" s="5" customFormat="1" ht="24.95" customHeight="1">
      <c r="J10" s="28"/>
      <c r="K10" s="29"/>
      <c r="L10" s="30" t="str">
        <f>DATA!I2</f>
        <v>A</v>
      </c>
      <c r="M10" s="31" t="str">
        <f>DATA!J2</f>
        <v xml:space="preserve">Program Pembangunan Jalan Tol </v>
      </c>
      <c r="N10" s="32"/>
      <c r="O10" s="31"/>
      <c r="P10" s="31"/>
      <c r="Q10" s="31"/>
      <c r="R10" s="81">
        <f>+R11+R14</f>
        <v>2025000000</v>
      </c>
      <c r="S10" s="81">
        <f>+S11+S14</f>
        <v>2025000000</v>
      </c>
      <c r="T10" s="81">
        <f>+T11+T14</f>
        <v>173650000</v>
      </c>
      <c r="U10" s="81">
        <f>+U11+U14</f>
        <v>0</v>
      </c>
      <c r="V10" s="81">
        <f>+V11+V14</f>
        <v>2198650000</v>
      </c>
      <c r="W10" s="82"/>
      <c r="X10" s="31"/>
      <c r="Y10" s="81">
        <f>+Y11+Y14</f>
        <v>2025000000</v>
      </c>
      <c r="Z10" s="81">
        <f>+Z11+Z14</f>
        <v>0</v>
      </c>
      <c r="AA10" s="31"/>
      <c r="AB10" s="32"/>
      <c r="AC10" s="32"/>
      <c r="AD10" s="32"/>
      <c r="AE10" s="32"/>
      <c r="AF10" s="32"/>
      <c r="AG10" s="32"/>
      <c r="AH10" s="32"/>
      <c r="AI10" s="31"/>
      <c r="AJ10" s="31"/>
      <c r="AK10" s="31"/>
      <c r="AL10" s="31"/>
      <c r="AM10" s="31"/>
      <c r="AN10" s="31"/>
      <c r="AO10" s="31"/>
      <c r="AP10" s="32"/>
      <c r="AQ10" s="32"/>
    </row>
    <row r="11" spans="1:43" ht="30" customHeight="1">
      <c r="A11" s="10">
        <f>DATA!A2</f>
        <v>1</v>
      </c>
      <c r="B11" s="10" t="str">
        <f>DATA!B2</f>
        <v>I</v>
      </c>
      <c r="C11" s="10" t="str">
        <f>DATA!D2</f>
        <v>INFRASTRUKTUR</v>
      </c>
      <c r="D11" s="10">
        <f>DATA!E2</f>
        <v>1</v>
      </c>
      <c r="E11" s="10" t="str">
        <f>DATA!F2</f>
        <v>Kementerian Pekerjaan Umum dan Perumahan Rakyat</v>
      </c>
      <c r="F11" s="10" t="str">
        <f>DATA!H2</f>
        <v>Toll Road Development Program</v>
      </c>
      <c r="G11" s="10" t="str">
        <f>DATA!I2</f>
        <v>A</v>
      </c>
      <c r="H11" s="10" t="str">
        <f>DATA!J2</f>
        <v xml:space="preserve">Program Pembangunan Jalan Tol </v>
      </c>
      <c r="I11" s="10">
        <f>DATA!K2</f>
        <v>1</v>
      </c>
      <c r="J11" s="33"/>
      <c r="K11" s="34"/>
      <c r="L11" s="35"/>
      <c r="M11" s="36">
        <f>DATA!K2</f>
        <v>1</v>
      </c>
      <c r="N11" s="37" t="str">
        <f>DATA!L2</f>
        <v>Toll Road Development in Kalimantan, Sumatera, and Java Islands</v>
      </c>
      <c r="O11" s="20">
        <f>DATA!Q2</f>
        <v>0</v>
      </c>
      <c r="P11" s="20">
        <f>DATA!R2</f>
        <v>1</v>
      </c>
      <c r="Q11" s="20">
        <f>DATA!S2</f>
        <v>1</v>
      </c>
      <c r="R11" s="77">
        <f>DATA!T2</f>
        <v>1250000000</v>
      </c>
      <c r="S11" s="77">
        <f>DATA!U2</f>
        <v>1250000000</v>
      </c>
      <c r="T11" s="77">
        <f>DATA!V2</f>
        <v>101250000</v>
      </c>
      <c r="U11" s="77">
        <f>DATA!W2</f>
        <v>0</v>
      </c>
      <c r="V11" s="77">
        <f>DATA!X2</f>
        <v>1351250000</v>
      </c>
      <c r="W11" s="78" t="str">
        <f>DATA!Y2</f>
        <v>-</v>
      </c>
      <c r="X11" s="20">
        <f>DATA!Z2</f>
        <v>0</v>
      </c>
      <c r="Y11" s="77">
        <f>DATA!AA2</f>
        <v>1250000000</v>
      </c>
      <c r="Z11" s="77">
        <f>DATA!AG2</f>
        <v>0</v>
      </c>
      <c r="AA11" s="20" t="str">
        <f>DATA!AH2</f>
        <v>-</v>
      </c>
      <c r="AB11" s="37" t="str">
        <f>DATA!AI2</f>
        <v>-</v>
      </c>
      <c r="AC11" s="152" t="str">
        <f>DATA!AM2</f>
        <v>-</v>
      </c>
      <c r="AD11" s="152" t="str">
        <f>DATA!AN2</f>
        <v>-</v>
      </c>
      <c r="AE11" s="152" t="str">
        <f>DATA!AO2</f>
        <v>-</v>
      </c>
      <c r="AF11" s="37" t="str">
        <f>DATA!AJ2</f>
        <v>-</v>
      </c>
      <c r="AG11" s="37" t="str">
        <f>DATA!AK2</f>
        <v>-</v>
      </c>
      <c r="AH11" s="37" t="str">
        <f>DATA!AL2</f>
        <v>-</v>
      </c>
      <c r="AI11" s="20" t="str">
        <f>DATA!AM2</f>
        <v>-</v>
      </c>
      <c r="AJ11" s="20" t="str">
        <f>DATA!AN2</f>
        <v>-</v>
      </c>
      <c r="AK11" s="20" t="str">
        <f>DATA!AO2</f>
        <v>-</v>
      </c>
      <c r="AL11" s="20" t="str">
        <f>DATA!AP2</f>
        <v>-</v>
      </c>
      <c r="AM11" s="20" t="str">
        <f>DATA!AY2</f>
        <v>-</v>
      </c>
      <c r="AN11" s="20" t="e">
        <f>DATA!#REF!</f>
        <v>#REF!</v>
      </c>
      <c r="AO11" s="20" t="str">
        <f>DATA!AZ2</f>
        <v>-</v>
      </c>
      <c r="AP11" s="152" t="e">
        <f>DATA!#REF!</f>
        <v>#REF!</v>
      </c>
      <c r="AQ11" s="37" t="str">
        <f>DATA!BA2</f>
        <v>-</v>
      </c>
    </row>
    <row r="12" spans="1:43" s="6" customFormat="1" ht="43.5" customHeight="1">
      <c r="A12" s="6">
        <f>DATA!A3</f>
        <v>1</v>
      </c>
      <c r="B12" s="6">
        <f>DATA!B3</f>
        <v>0</v>
      </c>
      <c r="C12" s="6" t="str">
        <f>DATA!D3</f>
        <v>INFRASTRUKTUR</v>
      </c>
      <c r="D12" s="6">
        <f>DATA!E3</f>
        <v>1</v>
      </c>
      <c r="E12" s="6" t="str">
        <f>DATA!F3</f>
        <v>Kementerian Pekerjaan Umum dan Perumahan Rakyat</v>
      </c>
      <c r="F12" s="6" t="str">
        <f>DATA!H3</f>
        <v>Toll Road Development Program</v>
      </c>
      <c r="G12" s="6" t="str">
        <f>DATA!I3</f>
        <v>A</v>
      </c>
      <c r="H12" s="6" t="str">
        <f>DATA!J3</f>
        <v xml:space="preserve">Program Pembangunan Jalan Tol </v>
      </c>
      <c r="I12" s="6">
        <f>DATA!K3</f>
        <v>1</v>
      </c>
      <c r="J12" s="38"/>
      <c r="K12" s="39"/>
      <c r="L12" s="39"/>
      <c r="M12" s="40"/>
      <c r="N12" s="41" t="str">
        <f>DATA!L3</f>
        <v>Toll Road Development in Kalimantan, Sumatera, and Java Islands</v>
      </c>
      <c r="O12" s="42">
        <f>DATA!Q3</f>
        <v>0.5</v>
      </c>
      <c r="P12" s="42">
        <f>DATA!R3</f>
        <v>0</v>
      </c>
      <c r="Q12" s="42">
        <f>DATA!S3</f>
        <v>0</v>
      </c>
      <c r="R12" s="83">
        <f>DATA!T3</f>
        <v>0</v>
      </c>
      <c r="S12" s="83">
        <f>DATA!U3</f>
        <v>0</v>
      </c>
      <c r="T12" s="83">
        <f>DATA!V3</f>
        <v>0</v>
      </c>
      <c r="U12" s="83">
        <f>DATA!W3</f>
        <v>0</v>
      </c>
      <c r="V12" s="83">
        <f>DATA!X3</f>
        <v>0</v>
      </c>
      <c r="W12" s="84" t="str">
        <f>DATA!Y3</f>
        <v>RRT</v>
      </c>
      <c r="X12" s="42" t="str">
        <f>DATA!Z3</f>
        <v>Bilateral</v>
      </c>
      <c r="Y12" s="83">
        <f>DATA!AA3</f>
        <v>1000000000</v>
      </c>
      <c r="Z12" s="83">
        <f>DATA!AG3</f>
        <v>0</v>
      </c>
      <c r="AA12" s="42">
        <f>DATA!AH3</f>
        <v>2016</v>
      </c>
      <c r="AB12" s="67" t="str">
        <f>DATA!AI3</f>
        <v>-</v>
      </c>
      <c r="AC12" s="152" t="str">
        <f>DATA!AM3</f>
        <v>-</v>
      </c>
      <c r="AD12" s="152" t="str">
        <f>DATA!AN3</f>
        <v>siap</v>
      </c>
      <c r="AE12" s="152" t="str">
        <f>DATA!AO3</f>
        <v>dalam proses
(pelaksanaan &lt; 50%)</v>
      </c>
      <c r="AF12" s="67" t="str">
        <f>DATA!AJ3</f>
        <v>FS, AMDAL, LARAP</v>
      </c>
      <c r="AG12" s="67" t="str">
        <f>DATA!AK3</f>
        <v>(1) Cisumdawu I: 80 %
(2) Serang-Panimbang: 25%</v>
      </c>
      <c r="AH12" s="67" t="str">
        <f>DATA!AL3</f>
        <v>-</v>
      </c>
      <c r="AI12" s="42" t="str">
        <f>DATA!AM3</f>
        <v>-</v>
      </c>
      <c r="AJ12" s="42" t="str">
        <f>DATA!AN3</f>
        <v>siap</v>
      </c>
      <c r="AK12" s="42" t="str">
        <f>DATA!AO3</f>
        <v>dalam proses
(pelaksanaan &lt; 50%)</v>
      </c>
      <c r="AL12" s="42" t="str">
        <f>DATA!AP3</f>
        <v>belum ada proses tender/lelang</v>
      </c>
      <c r="AM12" s="42" t="str">
        <f>DATA!AY3</f>
        <v>- Konfirmasi melalui surat Sekjen nomor KU.01.12-Sj/636 tgl 23 Oktober 2015
- Terdiri dari 3 kegiatan: (1) seksi 1 (Ruas Cisumdawu I); (2) Serang-Panimbang; (3) Belum ditentukan
- Prioritas ruas Cisumdawu I</v>
      </c>
      <c r="AN12" s="42" t="e">
        <f>DATA!#REF!</f>
        <v>#REF!</v>
      </c>
      <c r="AO12" s="42">
        <f>DATA!AZ3</f>
        <v>0</v>
      </c>
      <c r="AP12" s="152" t="e">
        <f>DATA!#REF!</f>
        <v>#REF!</v>
      </c>
      <c r="AQ12" s="67" t="str">
        <f>DATA!BA3</f>
        <v>Pembangunan jalan tol di provinsi Kalimantan Timur, Banten, dan Sumatera Utara dengan panjang sekitar 150 km</v>
      </c>
    </row>
    <row r="13" spans="1:43" s="6" customFormat="1" ht="45.75" customHeight="1">
      <c r="A13" s="6">
        <f>DATA!A4</f>
        <v>2</v>
      </c>
      <c r="B13" s="6">
        <f>DATA!B4</f>
        <v>0</v>
      </c>
      <c r="C13" s="6" t="str">
        <f>DATA!D4</f>
        <v>INFRASTRUKTUR</v>
      </c>
      <c r="D13" s="6">
        <f>DATA!E4</f>
        <v>1</v>
      </c>
      <c r="E13" s="6" t="str">
        <f>DATA!F4</f>
        <v>Kementerian Pekerjaan Umum dan Perumahan Rakyat</v>
      </c>
      <c r="F13" s="6" t="str">
        <f>DATA!H4</f>
        <v>Toll Road Development Program</v>
      </c>
      <c r="G13" s="6" t="str">
        <f>DATA!I4</f>
        <v>A</v>
      </c>
      <c r="H13" s="6" t="str">
        <f>DATA!J4</f>
        <v xml:space="preserve">Program Pembangunan Jalan Tol </v>
      </c>
      <c r="I13" s="6">
        <f>DATA!K4</f>
        <v>1</v>
      </c>
      <c r="J13" s="38"/>
      <c r="K13" s="39"/>
      <c r="L13" s="39"/>
      <c r="M13" s="43"/>
      <c r="N13" s="41" t="str">
        <f>DATA!L4</f>
        <v>Toll Road Development in Kalimantan, Sumatera, and Java Islands</v>
      </c>
      <c r="O13" s="42">
        <f>DATA!Q4</f>
        <v>0.5</v>
      </c>
      <c r="P13" s="42">
        <f>DATA!R4</f>
        <v>0</v>
      </c>
      <c r="Q13" s="42">
        <f>DATA!S4</f>
        <v>0</v>
      </c>
      <c r="R13" s="83">
        <f>DATA!T4</f>
        <v>0</v>
      </c>
      <c r="S13" s="83">
        <f>DATA!U4</f>
        <v>0</v>
      </c>
      <c r="T13" s="83">
        <f>DATA!V4</f>
        <v>0</v>
      </c>
      <c r="U13" s="83">
        <f>DATA!W4</f>
        <v>0</v>
      </c>
      <c r="V13" s="83">
        <f>DATA!X4</f>
        <v>0</v>
      </c>
      <c r="W13" s="84" t="str">
        <f>DATA!Y4</f>
        <v>Korea</v>
      </c>
      <c r="X13" s="42" t="str">
        <f>DATA!Z4</f>
        <v>Bilateral</v>
      </c>
      <c r="Y13" s="83">
        <f>DATA!AA4</f>
        <v>250000000</v>
      </c>
      <c r="Z13" s="83">
        <f>DATA!AG4</f>
        <v>0</v>
      </c>
      <c r="AA13" s="42">
        <f>DATA!AH4</f>
        <v>2016</v>
      </c>
      <c r="AB13" s="67" t="str">
        <f>DATA!AI4</f>
        <v>-</v>
      </c>
      <c r="AC13" s="152" t="str">
        <f>DATA!AM4</f>
        <v>-</v>
      </c>
      <c r="AD13" s="152" t="str">
        <f>DATA!AN4</f>
        <v>siap</v>
      </c>
      <c r="AE13" s="152" t="str">
        <f>DATA!AO4</f>
        <v>dalam proses
(pelaksanaan &lt; 50%)</v>
      </c>
      <c r="AF13" s="67" t="str">
        <f>DATA!AJ4</f>
        <v>FS, AMDAL, LARAP</v>
      </c>
      <c r="AG13" s="67" t="str">
        <f>DATA!AK4</f>
        <v>(1) Cisumdawu I: 80 %
(2) Serang-Panimbang: 25%</v>
      </c>
      <c r="AH13" s="67" t="str">
        <f>DATA!AL4</f>
        <v>-</v>
      </c>
      <c r="AI13" s="42" t="str">
        <f>DATA!AM4</f>
        <v>-</v>
      </c>
      <c r="AJ13" s="42" t="str">
        <f>DATA!AN4</f>
        <v>siap</v>
      </c>
      <c r="AK13" s="42" t="str">
        <f>DATA!AO4</f>
        <v>dalam proses
(pelaksanaan &lt; 50%)</v>
      </c>
      <c r="AL13" s="42" t="str">
        <f>DATA!AP4</f>
        <v>belum ada proses tender/lelang</v>
      </c>
      <c r="AM13" s="42" t="str">
        <f>DATA!AY4</f>
        <v>- Konfirmasi melalui surat Sekjen nomor KU.01.12-Sj/636 tgl 23 Oktober 2015
- Terdiri dari 3 kegiatan: (1) seksi 1 (Ruas Cisumdawu I); (2) Serang-Panimbang; (3) Belum ditentukan
- Prioritas ruas Cisumdawu I</v>
      </c>
      <c r="AN13" s="42" t="e">
        <f>DATA!#REF!</f>
        <v>#REF!</v>
      </c>
      <c r="AO13" s="42">
        <f>DATA!AZ4</f>
        <v>0</v>
      </c>
      <c r="AP13" s="152" t="e">
        <f>DATA!#REF!</f>
        <v>#REF!</v>
      </c>
      <c r="AQ13" s="67" t="str">
        <f>DATA!BA4</f>
        <v>Pembangunan jalan tol di provinsi Kalimantan Timur, Banten, dan Sumatera Utara dengan panjang sekitar 150 km</v>
      </c>
    </row>
    <row r="14" spans="1:43" ht="29.25" customHeight="1">
      <c r="A14" s="10">
        <f>DATA!A5</f>
        <v>3</v>
      </c>
      <c r="B14" s="10">
        <f>DATA!B5</f>
        <v>0</v>
      </c>
      <c r="C14" s="10" t="str">
        <f>DATA!D5</f>
        <v>INFRASTRUKTUR</v>
      </c>
      <c r="D14" s="10">
        <f>DATA!E5</f>
        <v>1</v>
      </c>
      <c r="E14" s="10" t="str">
        <f>DATA!F5</f>
        <v>Kementerian Pekerjaan Umum dan Perumahan Rakyat</v>
      </c>
      <c r="F14" s="10" t="str">
        <f>DATA!H5</f>
        <v>Toll Road Development Program</v>
      </c>
      <c r="G14" s="10" t="str">
        <f>DATA!I5</f>
        <v>A</v>
      </c>
      <c r="H14" s="10" t="str">
        <f>DATA!J5</f>
        <v xml:space="preserve">Program Pembangunan Jalan Tol </v>
      </c>
      <c r="I14" s="10">
        <f>DATA!K5</f>
        <v>2</v>
      </c>
      <c r="J14" s="33"/>
      <c r="K14" s="34"/>
      <c r="L14" s="34"/>
      <c r="M14" s="36">
        <f>DATA!K5</f>
        <v>2</v>
      </c>
      <c r="N14" s="37" t="str">
        <f>DATA!L5</f>
        <v>Toll Road Development in Selected Area:</v>
      </c>
      <c r="O14" s="20">
        <f>DATA!Q5</f>
        <v>0</v>
      </c>
      <c r="P14" s="20">
        <f>DATA!R5</f>
        <v>0</v>
      </c>
      <c r="Q14" s="20">
        <f>DATA!S5</f>
        <v>0</v>
      </c>
      <c r="R14" s="77">
        <f>DATA!T5</f>
        <v>775000000</v>
      </c>
      <c r="S14" s="83">
        <f>DATA!U5</f>
        <v>775000000</v>
      </c>
      <c r="T14" s="77">
        <f>DATA!V5</f>
        <v>72400000</v>
      </c>
      <c r="U14" s="77">
        <f>DATA!W5</f>
        <v>0</v>
      </c>
      <c r="V14" s="77">
        <f>DATA!X5</f>
        <v>847400000</v>
      </c>
      <c r="W14" s="78" t="str">
        <f>DATA!Y5</f>
        <v>-</v>
      </c>
      <c r="X14" s="20">
        <f>DATA!Z5</f>
        <v>0</v>
      </c>
      <c r="Y14" s="77">
        <f>DATA!AA5</f>
        <v>775000000</v>
      </c>
      <c r="Z14" s="77">
        <f>DATA!AG5</f>
        <v>0</v>
      </c>
      <c r="AA14" s="20" t="str">
        <f>DATA!AH5</f>
        <v>-</v>
      </c>
      <c r="AB14" s="37" t="str">
        <f>DATA!AI5</f>
        <v>-</v>
      </c>
      <c r="AC14" s="152" t="str">
        <f>DATA!AM5</f>
        <v>-</v>
      </c>
      <c r="AD14" s="152">
        <f>DATA!AN5</f>
        <v>0</v>
      </c>
      <c r="AE14" s="152" t="str">
        <f>DATA!AO5</f>
        <v>-</v>
      </c>
      <c r="AF14" s="37" t="str">
        <f>DATA!AJ5</f>
        <v>-</v>
      </c>
      <c r="AG14" s="37" t="str">
        <f>DATA!AK5</f>
        <v>-</v>
      </c>
      <c r="AH14" s="37" t="str">
        <f>DATA!AL5</f>
        <v>-</v>
      </c>
      <c r="AI14" s="20" t="str">
        <f>DATA!AM5</f>
        <v>-</v>
      </c>
      <c r="AJ14" s="20">
        <f>DATA!AN5</f>
        <v>0</v>
      </c>
      <c r="AK14" s="20" t="str">
        <f>DATA!AO5</f>
        <v>-</v>
      </c>
      <c r="AL14" s="20">
        <f>DATA!AP5</f>
        <v>0</v>
      </c>
      <c r="AM14" s="20" t="str">
        <f>DATA!AY5</f>
        <v>Konfirmasi melalui surat Sekjen nomor KU.01.12-Sj/636 tgl 23 Oktober 2015</v>
      </c>
      <c r="AN14" s="20" t="e">
        <f>DATA!#REF!</f>
        <v>#REF!</v>
      </c>
      <c r="AO14" s="20">
        <f>DATA!AZ5</f>
        <v>0</v>
      </c>
      <c r="AP14" s="152" t="e">
        <f>DATA!#REF!</f>
        <v>#REF!</v>
      </c>
      <c r="AQ14" s="37" t="str">
        <f>DATA!BA5</f>
        <v>Pembangunan jalan tol di berbagai wilayah dengan total sepanjang 55,94 km</v>
      </c>
    </row>
    <row r="15" spans="1:43" s="6" customFormat="1" ht="57" customHeight="1">
      <c r="A15" s="6">
        <f>DATA!A6</f>
        <v>4</v>
      </c>
      <c r="B15" s="6">
        <f>DATA!B6</f>
        <v>0</v>
      </c>
      <c r="C15" s="6" t="str">
        <f>DATA!D6</f>
        <v>INFRASTRUKTUR</v>
      </c>
      <c r="D15" s="6">
        <f>DATA!E6</f>
        <v>1</v>
      </c>
      <c r="E15" s="6" t="str">
        <f>DATA!F6</f>
        <v>Kementerian Pekerjaan Umum dan Perumahan Rakyat</v>
      </c>
      <c r="F15" s="6" t="str">
        <f>DATA!H6</f>
        <v>Toll Road Development Program</v>
      </c>
      <c r="G15" s="6" t="str">
        <f>DATA!I6</f>
        <v>A</v>
      </c>
      <c r="H15" s="6" t="str">
        <f>DATA!J6</f>
        <v xml:space="preserve">Program Pembangunan Jalan Tol </v>
      </c>
      <c r="I15" s="6">
        <f>DATA!K6</f>
        <v>2</v>
      </c>
      <c r="J15" s="38"/>
      <c r="K15" s="39"/>
      <c r="L15" s="39"/>
      <c r="M15" s="72"/>
      <c r="N15" s="41" t="str">
        <f>DATA!L6</f>
        <v>Development of Cileunyi - Sumedang - Dawuan Toll Road Phase II</v>
      </c>
      <c r="O15" s="42">
        <f>DATA!Q6</f>
        <v>1</v>
      </c>
      <c r="P15" s="42">
        <f>DATA!R6</f>
        <v>1</v>
      </c>
      <c r="Q15" s="42">
        <f>DATA!S6</f>
        <v>2</v>
      </c>
      <c r="R15" s="83">
        <f>DATA!T6</f>
        <v>330000000</v>
      </c>
      <c r="S15" s="83">
        <f>DATA!U6</f>
        <v>330000000</v>
      </c>
      <c r="T15" s="83">
        <f>DATA!V6</f>
        <v>26000000</v>
      </c>
      <c r="U15" s="83">
        <f>DATA!W6</f>
        <v>0</v>
      </c>
      <c r="V15" s="83">
        <f>DATA!X6</f>
        <v>356000000</v>
      </c>
      <c r="W15" s="84" t="str">
        <f>DATA!Y6</f>
        <v>RRT</v>
      </c>
      <c r="X15" s="42" t="str">
        <f>DATA!Z6</f>
        <v>Bilateral</v>
      </c>
      <c r="Y15" s="83">
        <f>DATA!AA6</f>
        <v>330000000</v>
      </c>
      <c r="Z15" s="83">
        <f>DATA!AG6</f>
        <v>0</v>
      </c>
      <c r="AA15" s="42">
        <f>DATA!AH6</f>
        <v>2015</v>
      </c>
      <c r="AB15" s="67" t="str">
        <f>DATA!AI6</f>
        <v>- Sudah ada R/C
- Green Book 2015
- Proses LA</v>
      </c>
      <c r="AC15" s="152" t="str">
        <f>DATA!AR6</f>
        <v>Nilai pinjaman di:
- GB 16 USD 219.399 ribu
- GB 15 USD 235.000 ribu</v>
      </c>
      <c r="AD15" s="152" t="str">
        <f>DATA!AN6</f>
        <v>(memiliki FS dan DED)</v>
      </c>
      <c r="AE15" s="152" t="str">
        <f>DATA!AO6</f>
        <v>dalam proses
(pelaksanaan 80%)</v>
      </c>
      <c r="AF15" s="67" t="str">
        <f>DATA!AJ6</f>
        <v>FS, DED</v>
      </c>
      <c r="AG15" s="115">
        <f>DATA!AK6</f>
        <v>0.80200000000000005</v>
      </c>
      <c r="AH15" s="67" t="str">
        <f>DATA!AL6</f>
        <v>Kontrak sudah ditandatangani</v>
      </c>
      <c r="AI15" s="42" t="str">
        <f>DATA!AR6</f>
        <v>Nilai pinjaman di:
- GB 16 USD 219.399 ribu
- GB 15 USD 235.000 ribu</v>
      </c>
      <c r="AJ15" s="42" t="str">
        <f>DATA!AN6</f>
        <v>(memiliki FS dan DED)</v>
      </c>
      <c r="AK15" s="42" t="str">
        <f>DATA!AO6</f>
        <v>dalam proses
(pelaksanaan 80%)</v>
      </c>
      <c r="AL15" s="42" t="str">
        <f>DATA!AP6</f>
        <v>dalam proses tender/lelang</v>
      </c>
      <c r="AM15" s="42" t="str">
        <f>DATA!AY6</f>
        <v>Konfirmasi melalui surat Sekjen nomor KU.01.12-Sj/636 tgl 23 Oktober 2015</v>
      </c>
      <c r="AN15" s="42" t="e">
        <f>DATA!#REF!</f>
        <v>#REF!</v>
      </c>
      <c r="AO15" s="42">
        <f>DATA!AZ6</f>
        <v>0</v>
      </c>
      <c r="AP15" s="152" t="e">
        <f>DATA!#REF!</f>
        <v>#REF!</v>
      </c>
      <c r="AQ15" s="67" t="str">
        <f>DATA!BA6</f>
        <v>- Pembangunan jalan tol Cileunyi-Sumedang-Dawuan sepanjang 11,1 km 
- Pelayanan konsultasi untuk DED dan pengawasan konstruksi</v>
      </c>
    </row>
    <row r="16" spans="1:43" s="6" customFormat="1" ht="36.75" customHeight="1">
      <c r="A16" s="6">
        <f>DATA!A7</f>
        <v>5</v>
      </c>
      <c r="B16" s="6">
        <f>DATA!B7</f>
        <v>0</v>
      </c>
      <c r="C16" s="6" t="str">
        <f>DATA!D7</f>
        <v>INFRASTRUKTUR</v>
      </c>
      <c r="D16" s="6">
        <f>DATA!E7</f>
        <v>1</v>
      </c>
      <c r="E16" s="6" t="str">
        <f>DATA!F7</f>
        <v>Kementerian Pekerjaan Umum dan Perumahan Rakyat</v>
      </c>
      <c r="F16" s="6" t="str">
        <f>DATA!H7</f>
        <v>Toll Road Development Program</v>
      </c>
      <c r="G16" s="6" t="str">
        <f>DATA!I7</f>
        <v>A</v>
      </c>
      <c r="H16" s="6" t="str">
        <f>DATA!J7</f>
        <v xml:space="preserve">Program Pembangunan Jalan Tol </v>
      </c>
      <c r="I16" s="6">
        <f>DATA!K7</f>
        <v>2</v>
      </c>
      <c r="J16" s="38"/>
      <c r="K16" s="39"/>
      <c r="L16" s="39"/>
      <c r="M16" s="72"/>
      <c r="N16" s="41" t="str">
        <f>DATA!L7</f>
        <v xml:space="preserve">Toll Road Development of Balikpapan - Samarinda </v>
      </c>
      <c r="O16" s="42">
        <f>DATA!Q7</f>
        <v>1</v>
      </c>
      <c r="P16" s="42">
        <f>DATA!R7</f>
        <v>1</v>
      </c>
      <c r="Q16" s="42">
        <f>DATA!S7</f>
        <v>3</v>
      </c>
      <c r="R16" s="83">
        <f>DATA!T7</f>
        <v>65000000</v>
      </c>
      <c r="S16" s="83">
        <f>DATA!U7</f>
        <v>65000000</v>
      </c>
      <c r="T16" s="83">
        <f>DATA!V7</f>
        <v>6500000</v>
      </c>
      <c r="U16" s="83">
        <f>DATA!W7</f>
        <v>0</v>
      </c>
      <c r="V16" s="83">
        <f>DATA!X7</f>
        <v>71500000</v>
      </c>
      <c r="W16" s="84" t="str">
        <f>DATA!Y7</f>
        <v>RRT</v>
      </c>
      <c r="X16" s="42" t="str">
        <f>DATA!Z7</f>
        <v>Bilateral</v>
      </c>
      <c r="Y16" s="83">
        <f>DATA!AA7</f>
        <v>65000000</v>
      </c>
      <c r="Z16" s="83">
        <f>DATA!AG7</f>
        <v>0</v>
      </c>
      <c r="AA16" s="42">
        <f>DATA!AH7</f>
        <v>2015</v>
      </c>
      <c r="AB16" s="67" t="str">
        <f>DATA!AI7</f>
        <v>- Sudah ada R/C
- Green Book 2015
- Loan Agreement tgl 29 Des'15</v>
      </c>
      <c r="AC16" s="152" t="str">
        <f>DATA!AR7</f>
        <v>Nilai pinjaman di GB USD 65.000 ribu</v>
      </c>
      <c r="AD16" s="152" t="str">
        <f>DATA!AN7</f>
        <v>(memiliki FS dan DED)</v>
      </c>
      <c r="AE16" s="152" t="str">
        <f>DATA!AO7</f>
        <v>dalam proses
(pelaksanaan 55%)</v>
      </c>
      <c r="AF16" s="67" t="str">
        <f>DATA!AJ7</f>
        <v>FS, DED</v>
      </c>
      <c r="AG16" s="115">
        <f>DATA!AK7</f>
        <v>0.55200000000000005</v>
      </c>
      <c r="AH16" s="67" t="str">
        <f>DATA!AL7</f>
        <v>Kontrak sudah ditandatangani</v>
      </c>
      <c r="AI16" s="42" t="str">
        <f>DATA!AR7</f>
        <v>Nilai pinjaman di GB USD 65.000 ribu</v>
      </c>
      <c r="AJ16" s="42" t="str">
        <f>DATA!AN7</f>
        <v>(memiliki FS dan DED)</v>
      </c>
      <c r="AK16" s="42" t="str">
        <f>DATA!AO7</f>
        <v>dalam proses
(pelaksanaan 55%)</v>
      </c>
      <c r="AL16" s="42" t="str">
        <f>DATA!AP7</f>
        <v>dalam proses tender/lelang</v>
      </c>
      <c r="AM16" s="42" t="str">
        <f>DATA!AY7</f>
        <v>Konfirmasi melalui surat Sekjen nomor KU.01.12-Sj/636 tgl 23 Oktober 2015</v>
      </c>
      <c r="AN16" s="42" t="e">
        <f>DATA!#REF!</f>
        <v>#REF!</v>
      </c>
      <c r="AO16" s="42">
        <f>DATA!AZ7</f>
        <v>0</v>
      </c>
      <c r="AP16" s="152" t="e">
        <f>DATA!#REF!</f>
        <v>#REF!</v>
      </c>
      <c r="AQ16" s="67" t="str">
        <f>DATA!BA7</f>
        <v xml:space="preserve">Pembangunan jalan tol Balikpapan-Samarinda sepanjang 11,09 km </v>
      </c>
    </row>
    <row r="17" spans="1:43" s="6" customFormat="1" ht="33" customHeight="1">
      <c r="A17" s="6">
        <f>DATA!A8</f>
        <v>6</v>
      </c>
      <c r="B17" s="6">
        <f>DATA!B8</f>
        <v>0</v>
      </c>
      <c r="C17" s="6" t="str">
        <f>DATA!D8</f>
        <v>INFRASTRUKTUR</v>
      </c>
      <c r="D17" s="6">
        <f>DATA!E8</f>
        <v>1</v>
      </c>
      <c r="E17" s="6" t="str">
        <f>DATA!F8</f>
        <v>Kementerian Pekerjaan Umum dan Perumahan Rakyat</v>
      </c>
      <c r="F17" s="6" t="str">
        <f>DATA!H8</f>
        <v>Toll Road Development Program</v>
      </c>
      <c r="G17" s="6" t="str">
        <f>DATA!I8</f>
        <v>A</v>
      </c>
      <c r="H17" s="6" t="str">
        <f>DATA!J8</f>
        <v xml:space="preserve">Program Pembangunan Jalan Tol </v>
      </c>
      <c r="I17" s="6">
        <f>DATA!K8</f>
        <v>2</v>
      </c>
      <c r="J17" s="38"/>
      <c r="K17" s="39"/>
      <c r="L17" s="39"/>
      <c r="M17" s="72"/>
      <c r="N17" s="41" t="str">
        <f>DATA!L8</f>
        <v xml:space="preserve">Toll Road Development of Manado - Bitung </v>
      </c>
      <c r="O17" s="42">
        <f>DATA!Q8</f>
        <v>1</v>
      </c>
      <c r="P17" s="42">
        <f>DATA!R8</f>
        <v>1</v>
      </c>
      <c r="Q17" s="42">
        <f>DATA!S8</f>
        <v>4</v>
      </c>
      <c r="R17" s="83">
        <f>DATA!T8</f>
        <v>80000000</v>
      </c>
      <c r="S17" s="83">
        <f>DATA!U8</f>
        <v>80000000</v>
      </c>
      <c r="T17" s="83">
        <f>DATA!V8</f>
        <v>8000000</v>
      </c>
      <c r="U17" s="83">
        <f>DATA!W8</f>
        <v>0</v>
      </c>
      <c r="V17" s="83">
        <f>DATA!X8</f>
        <v>88000000</v>
      </c>
      <c r="W17" s="84" t="str">
        <f>DATA!Y8</f>
        <v>RRT</v>
      </c>
      <c r="X17" s="42" t="str">
        <f>DATA!Z8</f>
        <v>Bilateral</v>
      </c>
      <c r="Y17" s="83">
        <f>DATA!AA8</f>
        <v>80000000</v>
      </c>
      <c r="Z17" s="83">
        <f>DATA!AG8</f>
        <v>0</v>
      </c>
      <c r="AA17" s="42">
        <f>DATA!AH8</f>
        <v>2015</v>
      </c>
      <c r="AB17" s="67" t="str">
        <f>DATA!AI8</f>
        <v>- Sudah ada R/C
- Green Book 2015
- Proses LA</v>
      </c>
      <c r="AC17" s="152" t="str">
        <f>DATA!AR8</f>
        <v>Nilai pinjaman di: 
- GB 16 USD 78.100 ribu
- GB 15 USD 80.000 ribu</v>
      </c>
      <c r="AD17" s="152" t="str">
        <f>DATA!AN8</f>
        <v>(memiliki FS dan DED)</v>
      </c>
      <c r="AE17" s="152" t="str">
        <f>DATA!AO8</f>
        <v>dalam proses
(pelaksanaan 94%)</v>
      </c>
      <c r="AF17" s="67" t="str">
        <f>DATA!AJ8</f>
        <v>FS, DED</v>
      </c>
      <c r="AG17" s="115">
        <f>DATA!AK8</f>
        <v>0.93840000000000001</v>
      </c>
      <c r="AH17" s="67" t="str">
        <f>DATA!AL8</f>
        <v>Kontrak sudah ditandatangani</v>
      </c>
      <c r="AI17" s="42" t="str">
        <f>DATA!AR8</f>
        <v>Nilai pinjaman di: 
- GB 16 USD 78.100 ribu
- GB 15 USD 80.000 ribu</v>
      </c>
      <c r="AJ17" s="42" t="str">
        <f>DATA!AN8</f>
        <v>(memiliki FS dan DED)</v>
      </c>
      <c r="AK17" s="42" t="str">
        <f>DATA!AO8</f>
        <v>dalam proses
(pelaksanaan 94%)</v>
      </c>
      <c r="AL17" s="42" t="str">
        <f>DATA!AP8</f>
        <v>dalam proses tender/lelang</v>
      </c>
      <c r="AM17" s="42" t="str">
        <f>DATA!AY8</f>
        <v>Konfirmasi melalui surat Sekjen nomor KU.01.12-Sj/636 tgl 23 Oktober 2015</v>
      </c>
      <c r="AN17" s="42" t="e">
        <f>DATA!#REF!</f>
        <v>#REF!</v>
      </c>
      <c r="AO17" s="42">
        <f>DATA!AZ8</f>
        <v>0</v>
      </c>
      <c r="AP17" s="152" t="e">
        <f>DATA!#REF!</f>
        <v>#REF!</v>
      </c>
      <c r="AQ17" s="67" t="str">
        <f>DATA!BA8</f>
        <v xml:space="preserve">Pembangunan jalan tol Manado-Bitung sepanjang 7,3 km </v>
      </c>
    </row>
    <row r="18" spans="1:43" s="6" customFormat="1" ht="34.5" customHeight="1">
      <c r="A18" s="6">
        <f>DATA!A9</f>
        <v>7</v>
      </c>
      <c r="B18" s="6">
        <f>DATA!B9</f>
        <v>0</v>
      </c>
      <c r="C18" s="6" t="str">
        <f>DATA!D9</f>
        <v>INFRASTRUKTUR</v>
      </c>
      <c r="D18" s="6">
        <f>DATA!E9</f>
        <v>1</v>
      </c>
      <c r="E18" s="6" t="str">
        <f>DATA!F9</f>
        <v>Kementerian Pekerjaan Umum dan Perumahan Rakyat</v>
      </c>
      <c r="F18" s="6" t="str">
        <f>DATA!H9</f>
        <v>Toll Road Development Program</v>
      </c>
      <c r="G18" s="6" t="str">
        <f>DATA!I9</f>
        <v>A</v>
      </c>
      <c r="H18" s="6" t="str">
        <f>DATA!J9</f>
        <v xml:space="preserve">Program Pembangunan Jalan Tol </v>
      </c>
      <c r="I18" s="6">
        <f>DATA!K9</f>
        <v>2</v>
      </c>
      <c r="J18" s="38"/>
      <c r="K18" s="39"/>
      <c r="L18" s="39"/>
      <c r="M18" s="40"/>
      <c r="N18" s="126" t="str">
        <f>DATA!L9</f>
        <v xml:space="preserve">Toll Road Development of Solo - Kertosono </v>
      </c>
      <c r="O18" s="42">
        <f>DATA!Q9</f>
        <v>1</v>
      </c>
      <c r="P18" s="42">
        <f>DATA!R9</f>
        <v>1</v>
      </c>
      <c r="Q18" s="42">
        <f>DATA!S9</f>
        <v>5</v>
      </c>
      <c r="R18" s="83">
        <f>DATA!T9</f>
        <v>300000000</v>
      </c>
      <c r="S18" s="83">
        <f>DATA!U9</f>
        <v>300000000</v>
      </c>
      <c r="T18" s="83">
        <f>DATA!V9</f>
        <v>31900000</v>
      </c>
      <c r="U18" s="83">
        <f>DATA!W9</f>
        <v>0</v>
      </c>
      <c r="V18" s="83">
        <f>DATA!X9</f>
        <v>331900000</v>
      </c>
      <c r="W18" s="84" t="str">
        <f>DATA!Y9</f>
        <v>RRT</v>
      </c>
      <c r="X18" s="42" t="str">
        <f>DATA!Z9</f>
        <v>Bilateral</v>
      </c>
      <c r="Y18" s="83">
        <f>DATA!AA9</f>
        <v>300000000</v>
      </c>
      <c r="Z18" s="83">
        <f>DATA!AG9</f>
        <v>0</v>
      </c>
      <c r="AA18" s="42">
        <f>DATA!AH9</f>
        <v>2015</v>
      </c>
      <c r="AB18" s="67" t="str">
        <f>DATA!AI9</f>
        <v>- Sudah ada R/C
- Green Book 2015
- Loan Agreement tgl 29 Des'15</v>
      </c>
      <c r="AC18" s="152" t="str">
        <f>DATA!AR9</f>
        <v>Nilai pinjaman di GB USD 200.000 ribu</v>
      </c>
      <c r="AD18" s="152" t="str">
        <f>DATA!AN9</f>
        <v>(memiliki FS dan DED)</v>
      </c>
      <c r="AE18" s="152" t="str">
        <f>DATA!AO9</f>
        <v>dalam proses
(pelaksanaan 62%)</v>
      </c>
      <c r="AF18" s="67" t="str">
        <f>DATA!AJ9</f>
        <v>FS, DED</v>
      </c>
      <c r="AG18" s="115">
        <f>DATA!AK9</f>
        <v>0.62229999999999996</v>
      </c>
      <c r="AH18" s="67" t="str">
        <f>DATA!AL9</f>
        <v>Kontrak sudah ditandatangani</v>
      </c>
      <c r="AI18" s="42" t="str">
        <f>DATA!AR9</f>
        <v>Nilai pinjaman di GB USD 200.000 ribu</v>
      </c>
      <c r="AJ18" s="42" t="str">
        <f>DATA!AN9</f>
        <v>(memiliki FS dan DED)</v>
      </c>
      <c r="AK18" s="42" t="str">
        <f>DATA!AO9</f>
        <v>dalam proses
(pelaksanaan 62%)</v>
      </c>
      <c r="AL18" s="42" t="str">
        <f>DATA!AP9</f>
        <v>dalam proses tender/lelang</v>
      </c>
      <c r="AM18" s="42" t="str">
        <f>DATA!AY9</f>
        <v>Konfirmasi melalui surat Sekjen nomor KU.01.12-Sj/636 tgl 23 Oktober 2015</v>
      </c>
      <c r="AN18" s="42" t="e">
        <f>DATA!#REF!</f>
        <v>#REF!</v>
      </c>
      <c r="AO18" s="42">
        <f>DATA!AZ9</f>
        <v>0</v>
      </c>
      <c r="AP18" s="152" t="e">
        <f>DATA!#REF!</f>
        <v>#REF!</v>
      </c>
      <c r="AQ18" s="67" t="str">
        <f>DATA!BA9</f>
        <v xml:space="preserve">Pembangunan jalan tol Solo-Kertosono sepanjang 26,45 km </v>
      </c>
    </row>
    <row r="19" spans="1:43" s="5" customFormat="1" ht="33.75" customHeight="1">
      <c r="J19" s="28"/>
      <c r="K19" s="50"/>
      <c r="L19" s="30" t="str">
        <f>DATA!I10</f>
        <v>B</v>
      </c>
      <c r="M19" s="31" t="str">
        <f>DATA!J10</f>
        <v xml:space="preserve">Program Pembangunan / Peningkatan Jembatan </v>
      </c>
      <c r="N19" s="51"/>
      <c r="O19" s="31"/>
      <c r="P19" s="31"/>
      <c r="Q19" s="31"/>
      <c r="R19" s="81">
        <f>SUM(R20:R24)</f>
        <v>1500000000</v>
      </c>
      <c r="S19" s="81">
        <f>SUM(S20:S24)</f>
        <v>1500000000</v>
      </c>
      <c r="T19" s="81">
        <f t="shared" ref="T19:Z19" si="0">SUM(T20:T24)</f>
        <v>126500000</v>
      </c>
      <c r="U19" s="81">
        <f t="shared" si="0"/>
        <v>0</v>
      </c>
      <c r="V19" s="81">
        <f t="shared" si="0"/>
        <v>1626500000</v>
      </c>
      <c r="W19" s="81"/>
      <c r="X19" s="81">
        <f t="shared" si="0"/>
        <v>0</v>
      </c>
      <c r="Y19" s="81">
        <f t="shared" si="0"/>
        <v>1500000000</v>
      </c>
      <c r="Z19" s="81">
        <f t="shared" si="0"/>
        <v>0</v>
      </c>
      <c r="AA19" s="31"/>
      <c r="AB19" s="32"/>
      <c r="AC19" s="32"/>
      <c r="AD19" s="32"/>
      <c r="AE19" s="32"/>
      <c r="AF19" s="32"/>
      <c r="AG19" s="32"/>
      <c r="AH19" s="32"/>
      <c r="AI19" s="31"/>
      <c r="AJ19" s="31"/>
      <c r="AK19" s="31"/>
      <c r="AL19" s="31"/>
      <c r="AM19" s="31"/>
      <c r="AN19" s="31"/>
      <c r="AO19" s="31"/>
      <c r="AP19" s="32"/>
      <c r="AQ19" s="32"/>
    </row>
    <row r="20" spans="1:43" ht="45" customHeight="1">
      <c r="A20" s="10">
        <f>DATA!A10</f>
        <v>8</v>
      </c>
      <c r="B20" s="10">
        <f>DATA!B10</f>
        <v>0</v>
      </c>
      <c r="C20" s="10" t="str">
        <f>DATA!D10</f>
        <v>INFRASTRUKTUR</v>
      </c>
      <c r="D20" s="10">
        <f>DATA!E10</f>
        <v>1</v>
      </c>
      <c r="E20" s="10" t="str">
        <f>DATA!F10</f>
        <v>Kementerian Pekerjaan Umum dan Perumahan Rakyat</v>
      </c>
      <c r="F20" s="10" t="str">
        <f>DATA!H10</f>
        <v>Development and Improvement of National Bridges Program</v>
      </c>
      <c r="G20" s="10" t="str">
        <f>DATA!I10</f>
        <v>B</v>
      </c>
      <c r="H20" s="10" t="str">
        <f>DATA!J10</f>
        <v xml:space="preserve">Program Pembangunan / Peningkatan Jembatan </v>
      </c>
      <c r="I20" s="10">
        <f>DATA!K10</f>
        <v>1</v>
      </c>
      <c r="J20" s="33"/>
      <c r="K20" s="34"/>
      <c r="L20" s="35"/>
      <c r="M20" s="52">
        <f>DATA!K10</f>
        <v>1</v>
      </c>
      <c r="N20" s="53" t="str">
        <f>DATA!L10</f>
        <v>Material Procurement for Construction and Bridge Rehabilitation</v>
      </c>
      <c r="O20" s="20">
        <f>DATA!Q10</f>
        <v>1</v>
      </c>
      <c r="P20" s="20">
        <f>DATA!R10</f>
        <v>1</v>
      </c>
      <c r="Q20" s="20">
        <f>DATA!S10</f>
        <v>6</v>
      </c>
      <c r="R20" s="77">
        <f>DATA!T10</f>
        <v>450000000</v>
      </c>
      <c r="S20" s="83">
        <f>DATA!U10</f>
        <v>450000000</v>
      </c>
      <c r="T20" s="77">
        <f>DATA!V10</f>
        <v>0</v>
      </c>
      <c r="U20" s="77">
        <f>DATA!W10</f>
        <v>0</v>
      </c>
      <c r="V20" s="77">
        <f>DATA!X10</f>
        <v>450000000</v>
      </c>
      <c r="W20" s="78" t="str">
        <f>DATA!Y10</f>
        <v>Spanyol/RRT</v>
      </c>
      <c r="X20" s="20" t="str">
        <f>DATA!Z10</f>
        <v>Multi Lender</v>
      </c>
      <c r="Y20" s="77">
        <f>DATA!AA10</f>
        <v>450000000</v>
      </c>
      <c r="Z20" s="77">
        <f>DATA!AG10</f>
        <v>0</v>
      </c>
      <c r="AA20" s="20">
        <f>DATA!AH10</f>
        <v>2017</v>
      </c>
      <c r="AB20" s="37" t="str">
        <f>DATA!AI10</f>
        <v>-</v>
      </c>
      <c r="AC20" s="152" t="str">
        <f>DATA!AR10</f>
        <v>belum ada dokumen R/C</v>
      </c>
      <c r="AD20" s="152" t="str">
        <f>DATA!AN10</f>
        <v>belum ada keterangan</v>
      </c>
      <c r="AE20" s="152" t="str">
        <f>DATA!AO10</f>
        <v>belum ada keterangan</v>
      </c>
      <c r="AF20" s="37" t="str">
        <f>DATA!AJ10</f>
        <v>-</v>
      </c>
      <c r="AG20" s="37" t="str">
        <f>DATA!AK10</f>
        <v>-</v>
      </c>
      <c r="AH20" s="37" t="str">
        <f>DATA!AL10</f>
        <v>-</v>
      </c>
      <c r="AI20" s="20" t="str">
        <f>DATA!AR10</f>
        <v>belum ada dokumen R/C</v>
      </c>
      <c r="AJ20" s="20" t="str">
        <f>DATA!AN10</f>
        <v>belum ada keterangan</v>
      </c>
      <c r="AK20" s="20" t="str">
        <f>DATA!AO10</f>
        <v>belum ada keterangan</v>
      </c>
      <c r="AL20" s="20" t="str">
        <f>DATA!AP10</f>
        <v>belum ada proses tender/lelang</v>
      </c>
      <c r="AM20" s="20" t="str">
        <f>DATA!AY10</f>
        <v>- Konfirmasi melalui surat Sekjen nomor KU.01.12-Sj/636 tgl 23 Oktober 2015
- Telah ada pengalaman sebelumnya dengan Loan Spanyol</v>
      </c>
      <c r="AN20" s="20" t="e">
        <f>DATA!#REF!</f>
        <v>#REF!</v>
      </c>
      <c r="AO20" s="20">
        <f>DATA!AZ10</f>
        <v>0</v>
      </c>
      <c r="AP20" s="152" t="e">
        <f>DATA!#REF!</f>
        <v>#REF!</v>
      </c>
      <c r="AQ20" s="37" t="str">
        <f>DATA!BA10</f>
        <v>Pengadaan material rangka jembatan untuk pekerjaan konstruksi dan rehabilitasi sekitar 55.000 m jembatan yang ada di Indonesia</v>
      </c>
    </row>
    <row r="21" spans="1:43" ht="45" customHeight="1">
      <c r="A21" s="10">
        <f>DATA!A11</f>
        <v>9</v>
      </c>
      <c r="B21" s="10">
        <f>DATA!B11</f>
        <v>0</v>
      </c>
      <c r="C21" s="10" t="str">
        <f>DATA!D11</f>
        <v>INFRASTRUKTUR</v>
      </c>
      <c r="D21" s="10">
        <f>DATA!E11</f>
        <v>1</v>
      </c>
      <c r="E21" s="10" t="str">
        <f>DATA!F11</f>
        <v>Kementerian Pekerjaan Umum dan Perumahan Rakyat</v>
      </c>
      <c r="F21" s="10" t="str">
        <f>DATA!H11</f>
        <v>Development and Improvement of National Bridges Program</v>
      </c>
      <c r="G21" s="10" t="str">
        <f>DATA!I11</f>
        <v>B</v>
      </c>
      <c r="H21" s="10" t="str">
        <f>DATA!J11</f>
        <v xml:space="preserve">Program Pembangunan / Peningkatan Jembatan </v>
      </c>
      <c r="I21" s="10">
        <f>DATA!K11</f>
        <v>2</v>
      </c>
      <c r="J21" s="33"/>
      <c r="K21" s="34"/>
      <c r="L21" s="34"/>
      <c r="M21" s="36">
        <f>DATA!K11</f>
        <v>2</v>
      </c>
      <c r="N21" s="37" t="str">
        <f>DATA!L11</f>
        <v>Development of Fly Over/ Under Pass for Railways Crossing</v>
      </c>
      <c r="O21" s="20">
        <f>DATA!Q11</f>
        <v>1</v>
      </c>
      <c r="P21" s="20">
        <f>DATA!R11</f>
        <v>1</v>
      </c>
      <c r="Q21" s="20">
        <f>DATA!S11</f>
        <v>7</v>
      </c>
      <c r="R21" s="77">
        <f>DATA!T11</f>
        <v>250000000</v>
      </c>
      <c r="S21" s="83">
        <f>DATA!U11</f>
        <v>250000000</v>
      </c>
      <c r="T21" s="77">
        <f>DATA!V11</f>
        <v>50000000</v>
      </c>
      <c r="U21" s="77">
        <f>DATA!W11</f>
        <v>0</v>
      </c>
      <c r="V21" s="77">
        <f>DATA!X11</f>
        <v>300000000</v>
      </c>
      <c r="W21" s="78" t="str">
        <f>DATA!Y11</f>
        <v>JICA</v>
      </c>
      <c r="X21" s="20" t="str">
        <f>DATA!Z11</f>
        <v>Bilateral</v>
      </c>
      <c r="Y21" s="77">
        <f>DATA!AA11</f>
        <v>250000000</v>
      </c>
      <c r="Z21" s="77">
        <f>DATA!AG11</f>
        <v>0</v>
      </c>
      <c r="AA21" s="20">
        <f>DATA!AH11</f>
        <v>2017</v>
      </c>
      <c r="AB21" s="37" t="str">
        <f>DATA!AI11</f>
        <v>-</v>
      </c>
      <c r="AC21" s="152" t="str">
        <f>DATA!AR11</f>
        <v>belum ada dokumen R/C</v>
      </c>
      <c r="AD21" s="152" t="str">
        <f>DATA!AN11</f>
        <v>dalam proses
(penyusunan FS)</v>
      </c>
      <c r="AE21" s="152" t="str">
        <f>DATA!AO11</f>
        <v>belum ada keterangan</v>
      </c>
      <c r="AF21" s="37" t="str">
        <f>DATA!AJ11</f>
        <v>Penyusunan FS dan BD</v>
      </c>
      <c r="AG21" s="37" t="str">
        <f>DATA!AK11</f>
        <v>-</v>
      </c>
      <c r="AH21" s="37" t="str">
        <f>DATA!AL11</f>
        <v>-</v>
      </c>
      <c r="AI21" s="20" t="str">
        <f>DATA!AR11</f>
        <v>belum ada dokumen R/C</v>
      </c>
      <c r="AJ21" s="20" t="str">
        <f>DATA!AN11</f>
        <v>dalam proses
(penyusunan FS)</v>
      </c>
      <c r="AK21" s="20" t="str">
        <f>DATA!AO11</f>
        <v>belum ada keterangan</v>
      </c>
      <c r="AL21" s="20" t="str">
        <f>DATA!AP11</f>
        <v>belum ada proses tender/lelang</v>
      </c>
      <c r="AM21" s="20" t="str">
        <f>DATA!AY11</f>
        <v>- Konfirmasi melalui surat Sekjen nomor KU.01.12-Sj/636 tgl 23 Oktober 2015</v>
      </c>
      <c r="AN21" s="20" t="e">
        <f>DATA!#REF!</f>
        <v>#REF!</v>
      </c>
      <c r="AO21" s="20">
        <f>DATA!AZ11</f>
        <v>0</v>
      </c>
      <c r="AP21" s="152" t="e">
        <f>DATA!#REF!</f>
        <v>#REF!</v>
      </c>
      <c r="AQ21" s="37" t="str">
        <f>DATA!BA11</f>
        <v>Pembangunan fly over/ under pass untuk persimpangan jalan dengan jalan kereta sepanjang 7 km di Jawa dan Sumatera</v>
      </c>
    </row>
    <row r="22" spans="1:43" ht="43.5" customHeight="1">
      <c r="A22" s="10">
        <f>DATA!A12</f>
        <v>10</v>
      </c>
      <c r="B22" s="10">
        <f>DATA!B12</f>
        <v>0</v>
      </c>
      <c r="C22" s="10" t="str">
        <f>DATA!D12</f>
        <v>INFRASTRUKTUR</v>
      </c>
      <c r="D22" s="10">
        <f>DATA!E12</f>
        <v>1</v>
      </c>
      <c r="E22" s="10" t="str">
        <f>DATA!F12</f>
        <v>Kementerian Pekerjaan Umum dan Perumahan Rakyat</v>
      </c>
      <c r="F22" s="10" t="str">
        <f>DATA!H12</f>
        <v>Development and Improvement of National Bridges Program</v>
      </c>
      <c r="G22" s="10" t="str">
        <f>DATA!I12</f>
        <v>B</v>
      </c>
      <c r="H22" s="10" t="str">
        <f>DATA!J12</f>
        <v xml:space="preserve">Program Pembangunan / Peningkatan Jembatan </v>
      </c>
      <c r="I22" s="10">
        <f>DATA!K12</f>
        <v>3</v>
      </c>
      <c r="J22" s="33"/>
      <c r="K22" s="34"/>
      <c r="L22" s="34"/>
      <c r="M22" s="36">
        <f>DATA!K12</f>
        <v>3</v>
      </c>
      <c r="N22" s="37" t="str">
        <f>DATA!L12</f>
        <v>Development of Fly Over/ Under Pass in Major Cities</v>
      </c>
      <c r="O22" s="20">
        <f>DATA!Q12</f>
        <v>1</v>
      </c>
      <c r="P22" s="20">
        <f>DATA!R12</f>
        <v>1</v>
      </c>
      <c r="Q22" s="20">
        <f>DATA!S12</f>
        <v>8</v>
      </c>
      <c r="R22" s="77">
        <f>DATA!T12</f>
        <v>270000000</v>
      </c>
      <c r="S22" s="83">
        <f>DATA!U12</f>
        <v>270000000</v>
      </c>
      <c r="T22" s="77">
        <f>DATA!V12</f>
        <v>50000000</v>
      </c>
      <c r="U22" s="77">
        <f>DATA!W12</f>
        <v>0</v>
      </c>
      <c r="V22" s="77">
        <f>DATA!X12</f>
        <v>320000000</v>
      </c>
      <c r="W22" s="78" t="str">
        <f>DATA!Y12</f>
        <v>JICA</v>
      </c>
      <c r="X22" s="20" t="str">
        <f>DATA!Z12</f>
        <v>Bilateral</v>
      </c>
      <c r="Y22" s="77">
        <f>DATA!AA12</f>
        <v>270000000</v>
      </c>
      <c r="Z22" s="77">
        <f>DATA!AG12</f>
        <v>0</v>
      </c>
      <c r="AA22" s="20">
        <f>DATA!AH12</f>
        <v>2017</v>
      </c>
      <c r="AB22" s="37" t="str">
        <f>DATA!AI12</f>
        <v>-</v>
      </c>
      <c r="AC22" s="152" t="str">
        <f>DATA!AR12</f>
        <v>belum ada dokumen R/C</v>
      </c>
      <c r="AD22" s="152" t="str">
        <f>DATA!AN12</f>
        <v>dalam proses
 (penyusunan FS)</v>
      </c>
      <c r="AE22" s="152" t="str">
        <f>DATA!AO12</f>
        <v>belum ada keterangan</v>
      </c>
      <c r="AF22" s="37" t="str">
        <f>DATA!AJ12</f>
        <v>Penyusunan FS dan BD</v>
      </c>
      <c r="AG22" s="37" t="str">
        <f>DATA!AK12</f>
        <v>-</v>
      </c>
      <c r="AH22" s="37" t="str">
        <f>DATA!AL12</f>
        <v>-</v>
      </c>
      <c r="AI22" s="20" t="str">
        <f>DATA!AR12</f>
        <v>belum ada dokumen R/C</v>
      </c>
      <c r="AJ22" s="20" t="str">
        <f>DATA!AN12</f>
        <v>dalam proses
 (penyusunan FS)</v>
      </c>
      <c r="AK22" s="20" t="str">
        <f>DATA!AO12</f>
        <v>belum ada keterangan</v>
      </c>
      <c r="AL22" s="20" t="str">
        <f>DATA!AP12</f>
        <v>belum ada proses tender/lelang</v>
      </c>
      <c r="AM22" s="20" t="str">
        <f>DATA!AY12</f>
        <v>Konfirmasi melalui surat Sekjen nomor KU.01.12-Sj/636 tgl 23 Oktober 2015</v>
      </c>
      <c r="AN22" s="20" t="e">
        <f>DATA!#REF!</f>
        <v>#REF!</v>
      </c>
      <c r="AO22" s="20">
        <f>DATA!AZ12</f>
        <v>0</v>
      </c>
      <c r="AP22" s="152" t="e">
        <f>DATA!#REF!</f>
        <v>#REF!</v>
      </c>
      <c r="AQ22" s="37" t="str">
        <f>DATA!BA12</f>
        <v>Pembangunan fly over/ under pass sepanjang kurang lebih 8 km untuk 9 kota besar yang ada di Jawa dan Sumatera</v>
      </c>
    </row>
    <row r="23" spans="1:43" ht="35.25" customHeight="1">
      <c r="A23" s="10">
        <f>DATA!A13</f>
        <v>11</v>
      </c>
      <c r="B23" s="10">
        <f>DATA!B13</f>
        <v>0</v>
      </c>
      <c r="C23" s="10" t="str">
        <f>DATA!D13</f>
        <v>INFRASTRUKTUR</v>
      </c>
      <c r="D23" s="10">
        <f>DATA!E13</f>
        <v>1</v>
      </c>
      <c r="E23" s="10" t="str">
        <f>DATA!F13</f>
        <v>Kementerian Pekerjaan Umum dan Perumahan Rakyat</v>
      </c>
      <c r="F23" s="10" t="str">
        <f>DATA!H13</f>
        <v>Development and Improvement of National Bridges Program</v>
      </c>
      <c r="G23" s="10" t="str">
        <f>DATA!I13</f>
        <v>B</v>
      </c>
      <c r="H23" s="10" t="str">
        <f>DATA!J13</f>
        <v xml:space="preserve">Program Pembangunan / Peningkatan Jembatan </v>
      </c>
      <c r="I23" s="10">
        <f>DATA!K13</f>
        <v>4</v>
      </c>
      <c r="J23" s="33"/>
      <c r="K23" s="34"/>
      <c r="L23" s="34"/>
      <c r="M23" s="36">
        <f>DATA!K13</f>
        <v>4</v>
      </c>
      <c r="N23" s="37" t="str">
        <f>DATA!L13</f>
        <v>Balinka - Matur - Ngarai Sianok Tunnel Construction</v>
      </c>
      <c r="O23" s="20">
        <f>DATA!Q13</f>
        <v>1</v>
      </c>
      <c r="P23" s="20">
        <f>DATA!R13</f>
        <v>1</v>
      </c>
      <c r="Q23" s="20">
        <f>DATA!S13</f>
        <v>9</v>
      </c>
      <c r="R23" s="77">
        <f>DATA!T13</f>
        <v>175000000</v>
      </c>
      <c r="S23" s="83">
        <f>DATA!U13</f>
        <v>175000000</v>
      </c>
      <c r="T23" s="77">
        <f>DATA!V13</f>
        <v>8750000</v>
      </c>
      <c r="U23" s="77">
        <f>DATA!W13</f>
        <v>0</v>
      </c>
      <c r="V23" s="77">
        <f>DATA!X13</f>
        <v>183750000</v>
      </c>
      <c r="W23" s="78" t="str">
        <f>DATA!Y13</f>
        <v>Korea/RRT</v>
      </c>
      <c r="X23" s="20" t="str">
        <f>DATA!Z13</f>
        <v>Multi Lender</v>
      </c>
      <c r="Y23" s="77">
        <f>DATA!AA13</f>
        <v>175000000</v>
      </c>
      <c r="Z23" s="77">
        <f>DATA!AG13</f>
        <v>0</v>
      </c>
      <c r="AA23" s="20">
        <f>DATA!AH13</f>
        <v>2017</v>
      </c>
      <c r="AB23" s="37" t="str">
        <f>DATA!AI13</f>
        <v>-</v>
      </c>
      <c r="AC23" s="152" t="str">
        <f>DATA!AR13</f>
        <v>belum ada dokumen R/C</v>
      </c>
      <c r="AD23" s="152" t="str">
        <f>DATA!AN13</f>
        <v>dalam proses
(memiliki FS dan DED)</v>
      </c>
      <c r="AE23" s="152" t="str">
        <f>DATA!AO13</f>
        <v>belum ada keterangan</v>
      </c>
      <c r="AF23" s="37" t="str">
        <f>DATA!AJ13</f>
        <v>FS, DED, SP2LP</v>
      </c>
      <c r="AG23" s="37" t="str">
        <f>DATA!AK13</f>
        <v>-</v>
      </c>
      <c r="AH23" s="37" t="str">
        <f>DATA!AL13</f>
        <v>-</v>
      </c>
      <c r="AI23" s="20" t="str">
        <f>DATA!AR13</f>
        <v>belum ada dokumen R/C</v>
      </c>
      <c r="AJ23" s="20" t="str">
        <f>DATA!AN13</f>
        <v>dalam proses
(memiliki FS dan DED)</v>
      </c>
      <c r="AK23" s="20" t="str">
        <f>DATA!AO13</f>
        <v>belum ada keterangan</v>
      </c>
      <c r="AL23" s="20" t="str">
        <f>DATA!AP13</f>
        <v>belum ada proses tender/lelang</v>
      </c>
      <c r="AM23" s="20" t="str">
        <f>DATA!AY13</f>
        <v>Konfirmasi melalui surat Sekjen nomor KU.01.12-Sj/636 tgl 23 Oktober 2015</v>
      </c>
      <c r="AN23" s="20" t="e">
        <f>DATA!#REF!</f>
        <v>#REF!</v>
      </c>
      <c r="AO23" s="20">
        <f>DATA!AZ13</f>
        <v>0</v>
      </c>
      <c r="AP23" s="152" t="e">
        <f>DATA!#REF!</f>
        <v>#REF!</v>
      </c>
      <c r="AQ23" s="37" t="str">
        <f>DATA!BA13</f>
        <v xml:space="preserve">Pembangunan terowongan, jembatan dan jalan sepanjang 5 km di daerah Balinka-Ngarai Sianok, Sumatera Barat </v>
      </c>
    </row>
    <row r="24" spans="1:43" ht="58.5" customHeight="1">
      <c r="A24" s="10">
        <f>DATA!A14</f>
        <v>12</v>
      </c>
      <c r="B24" s="10">
        <f>DATA!B14</f>
        <v>0</v>
      </c>
      <c r="C24" s="10" t="str">
        <f>DATA!D14</f>
        <v>INFRASTRUKTUR</v>
      </c>
      <c r="D24" s="10">
        <f>DATA!E14</f>
        <v>1</v>
      </c>
      <c r="E24" s="10" t="str">
        <f>DATA!F14</f>
        <v>Kementerian Pekerjaan Umum dan Perumahan Rakyat</v>
      </c>
      <c r="F24" s="10" t="str">
        <f>DATA!H14</f>
        <v>Development and Improvement of National Bridges Program</v>
      </c>
      <c r="G24" s="10" t="str">
        <f>DATA!I14</f>
        <v>B</v>
      </c>
      <c r="H24" s="10" t="str">
        <f>DATA!J14</f>
        <v xml:space="preserve">Program Pembangunan / Peningkatan Jembatan </v>
      </c>
      <c r="I24" s="10">
        <f>DATA!K14</f>
        <v>5</v>
      </c>
      <c r="J24" s="33"/>
      <c r="K24" s="34"/>
      <c r="L24" s="54"/>
      <c r="M24" s="36">
        <f>DATA!K14</f>
        <v>5</v>
      </c>
      <c r="N24" s="37" t="str">
        <f>DATA!L14</f>
        <v>Long Span Bridge Development for Selected Area</v>
      </c>
      <c r="O24" s="20">
        <f>DATA!Q14</f>
        <v>1</v>
      </c>
      <c r="P24" s="20">
        <f>DATA!R14</f>
        <v>1</v>
      </c>
      <c r="Q24" s="20">
        <f>DATA!S14</f>
        <v>10</v>
      </c>
      <c r="R24" s="77">
        <f>DATA!T14</f>
        <v>355000000</v>
      </c>
      <c r="S24" s="83">
        <f>DATA!U14</f>
        <v>355000000</v>
      </c>
      <c r="T24" s="77">
        <f>DATA!V14</f>
        <v>17750000</v>
      </c>
      <c r="U24" s="77">
        <f>DATA!W14</f>
        <v>0</v>
      </c>
      <c r="V24" s="77">
        <f>DATA!X14</f>
        <v>372750000</v>
      </c>
      <c r="W24" s="78" t="str">
        <f>DATA!Y14</f>
        <v>Korea/RRT</v>
      </c>
      <c r="X24" s="20" t="str">
        <f>DATA!Z14</f>
        <v>Multi Lender</v>
      </c>
      <c r="Y24" s="77">
        <f>DATA!AA14</f>
        <v>355000000</v>
      </c>
      <c r="Z24" s="77">
        <f>DATA!AG14</f>
        <v>0</v>
      </c>
      <c r="AA24" s="20" t="str">
        <f>DATA!AH14</f>
        <v>Tanpa keterangan</v>
      </c>
      <c r="AB24" s="37" t="str">
        <f>DATA!AI14</f>
        <v>-</v>
      </c>
      <c r="AC24" s="152" t="str">
        <f>DATA!AR14</f>
        <v>belum ada dokumen R/C</v>
      </c>
      <c r="AD24" s="152" t="str">
        <f>DATA!AN14</f>
        <v>belum ada keterangan</v>
      </c>
      <c r="AE24" s="152" t="str">
        <f>DATA!AO14</f>
        <v>belum ada keterangan</v>
      </c>
      <c r="AF24" s="37" t="str">
        <f>DATA!AJ14</f>
        <v>-</v>
      </c>
      <c r="AG24" s="37" t="str">
        <f>DATA!AK14</f>
        <v>-</v>
      </c>
      <c r="AH24" s="37" t="str">
        <f>DATA!AL14</f>
        <v>-</v>
      </c>
      <c r="AI24" s="20" t="str">
        <f>DATA!AR14</f>
        <v>belum ada dokumen R/C</v>
      </c>
      <c r="AJ24" s="20" t="str">
        <f>DATA!AN14</f>
        <v>belum ada keterangan</v>
      </c>
      <c r="AK24" s="20" t="str">
        <f>DATA!AO14</f>
        <v>belum ada keterangan</v>
      </c>
      <c r="AL24" s="20" t="str">
        <f>DATA!AP14</f>
        <v>belum ada proses tender/lelang</v>
      </c>
      <c r="AM24" s="20" t="str">
        <f>DATA!AY14</f>
        <v>Konfirmasi melalui surat Sekjen nomor KU.01.12-Sj/636 tgl 23 Oktober 2015</v>
      </c>
      <c r="AN24" s="20" t="e">
        <f>DATA!#REF!</f>
        <v>#REF!</v>
      </c>
      <c r="AO24" s="20">
        <f>DATA!AZ14</f>
        <v>0</v>
      </c>
      <c r="AP24" s="152" t="e">
        <f>DATA!#REF!</f>
        <v>#REF!</v>
      </c>
      <c r="AQ24" s="37" t="str">
        <f>DATA!BA14</f>
        <v>Pembangunan jembatan bentang panjang 5.000 m (pada area tertentu) di wilayah Pulau Jawa dan Sumatera yang dipisahkan oleh oleh sungai, rawa, danau, selat, saluran besar.</v>
      </c>
    </row>
    <row r="25" spans="1:43" s="5" customFormat="1" ht="33.75" customHeight="1">
      <c r="J25" s="28"/>
      <c r="K25" s="50"/>
      <c r="L25" s="30" t="str">
        <f>DATA!I15</f>
        <v>C</v>
      </c>
      <c r="M25" s="31" t="str">
        <f>DATA!J16</f>
        <v>Program Pembangunan / Peningkatan Jalan</v>
      </c>
      <c r="N25" s="51"/>
      <c r="O25" s="31"/>
      <c r="P25" s="31"/>
      <c r="Q25" s="31"/>
      <c r="R25" s="81">
        <f>SUM(R26:R33)</f>
        <v>2000000000</v>
      </c>
      <c r="S25" s="81">
        <f>SUM(S26:S34)</f>
        <v>2000000000</v>
      </c>
      <c r="T25" s="81">
        <f>SUM(T27:T33)</f>
        <v>350000000</v>
      </c>
      <c r="U25" s="81">
        <f>SUM(U27:U33)</f>
        <v>0</v>
      </c>
      <c r="V25" s="81">
        <f>SUM(V27:V33)</f>
        <v>2100000000</v>
      </c>
      <c r="W25" s="81"/>
      <c r="X25" s="81">
        <f>SUM(X27:X33)</f>
        <v>0</v>
      </c>
      <c r="Y25" s="81">
        <f>SUM(Y27:Y33)</f>
        <v>1750000000</v>
      </c>
      <c r="Z25" s="81">
        <f>SUM(Z27:Z33)</f>
        <v>0</v>
      </c>
      <c r="AA25" s="31"/>
      <c r="AB25" s="32"/>
      <c r="AC25" s="32"/>
      <c r="AD25" s="32"/>
      <c r="AE25" s="32"/>
      <c r="AF25" s="32"/>
      <c r="AG25" s="32"/>
      <c r="AH25" s="32"/>
      <c r="AI25" s="31"/>
      <c r="AJ25" s="31"/>
      <c r="AK25" s="31"/>
      <c r="AL25" s="31"/>
      <c r="AM25" s="31"/>
      <c r="AN25" s="31"/>
      <c r="AO25" s="31"/>
      <c r="AP25" s="32"/>
      <c r="AQ25" s="32"/>
    </row>
    <row r="26" spans="1:43" s="5" customFormat="1" ht="33.75" customHeight="1">
      <c r="J26" s="28"/>
      <c r="K26" s="50"/>
      <c r="L26" s="55"/>
      <c r="M26" s="36">
        <f>DATA!K15</f>
        <v>1</v>
      </c>
      <c r="N26" s="37" t="str">
        <f>DATA!L15</f>
        <v>Urban Arterial Road Improvement Project</v>
      </c>
      <c r="O26" s="37">
        <f>DATA!Q15</f>
        <v>1</v>
      </c>
      <c r="P26" s="37">
        <f>DATA!R15</f>
        <v>1</v>
      </c>
      <c r="Q26" s="37">
        <f>DATA!S15</f>
        <v>0</v>
      </c>
      <c r="R26" s="87">
        <f>DATA!T15</f>
        <v>250000000</v>
      </c>
      <c r="S26" s="87">
        <f>DATA!U15</f>
        <v>205000000</v>
      </c>
      <c r="T26" s="87">
        <f>DATA!V15</f>
        <v>50000000</v>
      </c>
      <c r="U26" s="87">
        <f>DATA!W15</f>
        <v>0</v>
      </c>
      <c r="V26" s="87">
        <f>DATA!X15</f>
        <v>300000000</v>
      </c>
      <c r="W26" s="78" t="str">
        <f>DATA!Y15</f>
        <v>JICA</v>
      </c>
      <c r="X26" s="37" t="str">
        <f>DATA!Z15</f>
        <v>Multilateral</v>
      </c>
      <c r="Y26" s="87">
        <f>DATA!AA15</f>
        <v>205000000</v>
      </c>
      <c r="Z26" s="87">
        <f>DATA!AG15</f>
        <v>0</v>
      </c>
      <c r="AA26" s="37">
        <f>DATA!AH15</f>
        <v>2016</v>
      </c>
      <c r="AB26" s="56" t="str">
        <f>DATA!AI15</f>
        <v>-</v>
      </c>
      <c r="AC26" s="152">
        <f>DATA!AM15</f>
        <v>0</v>
      </c>
      <c r="AD26" s="152" t="str">
        <f>DATA!AN15</f>
        <v>siap</v>
      </c>
      <c r="AE26" s="152" t="str">
        <f>DATA!AO15</f>
        <v>belum ada keterangan</v>
      </c>
      <c r="AF26" s="56" t="str">
        <f>DATA!AJ15</f>
        <v>Sebagian telah ada FS, DED dan AMDAL</v>
      </c>
      <c r="AG26" s="56" t="str">
        <f>DATA!AK15</f>
        <v>-</v>
      </c>
      <c r="AH26" s="56" t="str">
        <f>DATA!AL15</f>
        <v>-</v>
      </c>
      <c r="AI26" s="31"/>
      <c r="AJ26" s="31"/>
      <c r="AK26" s="31"/>
      <c r="AL26" s="31"/>
      <c r="AM26" s="31"/>
      <c r="AN26" s="31"/>
      <c r="AO26" s="31"/>
      <c r="AP26" s="152" t="e">
        <f>DATA!#REF!</f>
        <v>#REF!</v>
      </c>
      <c r="AQ26" s="32"/>
    </row>
    <row r="27" spans="1:43" ht="37.5" customHeight="1">
      <c r="A27" s="10">
        <f>DATA!A16</f>
        <v>14</v>
      </c>
      <c r="B27" s="10">
        <f>DATA!B16</f>
        <v>0</v>
      </c>
      <c r="C27" s="10" t="str">
        <f>DATA!D16</f>
        <v>INFRASTRUKTUR</v>
      </c>
      <c r="D27" s="10">
        <f>DATA!E16</f>
        <v>1</v>
      </c>
      <c r="E27" s="10" t="str">
        <f>DATA!F16</f>
        <v>Kementerian Pekerjaan Umum dan Perumahan Rakyat</v>
      </c>
      <c r="F27" s="10" t="str">
        <f>DATA!H16</f>
        <v>Development and Improvement of National Roads Program</v>
      </c>
      <c r="G27" s="10" t="str">
        <f>DATA!I16</f>
        <v>C</v>
      </c>
      <c r="H27" s="10" t="str">
        <f>DATA!J16</f>
        <v>Program Pembangunan / Peningkatan Jalan</v>
      </c>
      <c r="I27" s="10">
        <f>DATA!K16</f>
        <v>2</v>
      </c>
      <c r="J27" s="33"/>
      <c r="K27" s="34"/>
      <c r="L27" s="34"/>
      <c r="M27" s="36">
        <f>DATA!K16</f>
        <v>2</v>
      </c>
      <c r="N27" s="37" t="str">
        <f>DATA!L16</f>
        <v>Construction of Development of Trans South-South, Eastern Java</v>
      </c>
      <c r="O27" s="20">
        <f>DATA!Q16</f>
        <v>1</v>
      </c>
      <c r="P27" s="20">
        <f>DATA!R16</f>
        <v>1</v>
      </c>
      <c r="Q27" s="20">
        <f>DATA!S16</f>
        <v>12</v>
      </c>
      <c r="R27" s="77">
        <f>DATA!T16</f>
        <v>250000000</v>
      </c>
      <c r="S27" s="77">
        <f>DATA!U16</f>
        <v>250000000</v>
      </c>
      <c r="T27" s="77">
        <f>DATA!V16</f>
        <v>50000000</v>
      </c>
      <c r="U27" s="77">
        <f>DATA!W16</f>
        <v>0</v>
      </c>
      <c r="V27" s="77">
        <f>DATA!X16</f>
        <v>300000000</v>
      </c>
      <c r="W27" s="88" t="str">
        <f>DATA!Y16</f>
        <v>IDB</v>
      </c>
      <c r="X27" s="77" t="str">
        <f>DATA!Z16</f>
        <v>Multilateral</v>
      </c>
      <c r="Y27" s="77">
        <f>DATA!AA16</f>
        <v>250000000</v>
      </c>
      <c r="Z27" s="77">
        <f>DATA!AG16</f>
        <v>0</v>
      </c>
      <c r="AA27" s="100">
        <f>DATA!AH16</f>
        <v>2016</v>
      </c>
      <c r="AB27" s="101" t="str">
        <f>DATA!AI16</f>
        <v>-</v>
      </c>
      <c r="AC27" s="152" t="str">
        <f>DATA!AM16</f>
        <v>Rev. 2016</v>
      </c>
      <c r="AD27" s="152" t="str">
        <f>DATA!AN16</f>
        <v>siap</v>
      </c>
      <c r="AE27" s="152" t="str">
        <f>DATA!AO16</f>
        <v>belum ada keterangan</v>
      </c>
      <c r="AF27" s="101" t="str">
        <f>DATA!AJ16</f>
        <v>FS ada, DED dan AMDAL sebagian</v>
      </c>
      <c r="AG27" s="101" t="str">
        <f>DATA!AK16</f>
        <v>-</v>
      </c>
      <c r="AH27" s="56" t="str">
        <f>DATA!AL16</f>
        <v>-</v>
      </c>
      <c r="AI27" s="20" t="str">
        <f>DATA!AM16</f>
        <v>Rev. 2016</v>
      </c>
      <c r="AJ27" s="20" t="str">
        <f>DATA!AN16</f>
        <v>siap</v>
      </c>
      <c r="AK27" s="20" t="str">
        <f>DATA!AO16</f>
        <v>belum ada keterangan</v>
      </c>
      <c r="AL27" s="20" t="str">
        <f>DATA!AP16</f>
        <v>belum ada proses tender/lelang</v>
      </c>
      <c r="AM27" s="20" t="str">
        <f>DATA!AY16</f>
        <v>Konfirmasi melalui surat Sekjen nomor KU.01.12-Sj/636 tgl 23 Oktober 2015</v>
      </c>
      <c r="AN27" s="20" t="e">
        <f>DATA!#REF!</f>
        <v>#REF!</v>
      </c>
      <c r="AO27" s="20">
        <f>DATA!AZ16</f>
        <v>0</v>
      </c>
      <c r="AP27" s="152" t="e">
        <f>DATA!#REF!</f>
        <v>#REF!</v>
      </c>
      <c r="AQ27" s="37" t="str">
        <f>DATA!BA16</f>
        <v>Pembangunan dan peningkatan 200 km jalan Trans Selatan Selatan Pulau Jawa</v>
      </c>
    </row>
    <row r="28" spans="1:43" ht="45.75" customHeight="1">
      <c r="A28" s="10">
        <f>DATA!A17</f>
        <v>15</v>
      </c>
      <c r="B28" s="10">
        <f>DATA!B17</f>
        <v>0</v>
      </c>
      <c r="C28" s="10" t="str">
        <f>DATA!D17</f>
        <v>INFRASTRUKTUR</v>
      </c>
      <c r="D28" s="10">
        <f>DATA!E17</f>
        <v>1</v>
      </c>
      <c r="E28" s="10" t="str">
        <f>DATA!F17</f>
        <v>Kementerian Pekerjaan Umum dan Perumahan Rakyat</v>
      </c>
      <c r="F28" s="10" t="str">
        <f>DATA!H17</f>
        <v>Development and Improvement of National Roads Program</v>
      </c>
      <c r="G28" s="10" t="str">
        <f>DATA!I17</f>
        <v>C</v>
      </c>
      <c r="H28" s="10" t="str">
        <f>DATA!J17</f>
        <v>Program Pembangunan / Peningkatan Jalan</v>
      </c>
      <c r="I28" s="10">
        <f>DATA!K17</f>
        <v>3</v>
      </c>
      <c r="J28" s="33"/>
      <c r="K28" s="34"/>
      <c r="L28" s="34"/>
      <c r="M28" s="36">
        <f>DATA!K17</f>
        <v>3</v>
      </c>
      <c r="N28" s="37" t="str">
        <f>DATA!L17</f>
        <v>Road Improvement Project to Support Integrated Land and Sea Toll Way - Northern Area</v>
      </c>
      <c r="O28" s="20">
        <f>DATA!Q17</f>
        <v>1</v>
      </c>
      <c r="P28" s="20">
        <f>DATA!R17</f>
        <v>1</v>
      </c>
      <c r="Q28" s="20">
        <f>DATA!S17</f>
        <v>13</v>
      </c>
      <c r="R28" s="77">
        <f>DATA!T17</f>
        <v>250000000</v>
      </c>
      <c r="S28" s="83">
        <f>DATA!U16</f>
        <v>250000000</v>
      </c>
      <c r="T28" s="77">
        <f>DATA!V17</f>
        <v>50000000</v>
      </c>
      <c r="U28" s="77">
        <f>DATA!W17</f>
        <v>0</v>
      </c>
      <c r="V28" s="77">
        <f>DATA!X17</f>
        <v>300000000</v>
      </c>
      <c r="W28" s="78" t="str">
        <f>DATA!Y17</f>
        <v>Bank Dunia</v>
      </c>
      <c r="X28" s="20" t="str">
        <f>DATA!Z17</f>
        <v>Multilateral</v>
      </c>
      <c r="Y28" s="77">
        <f>DATA!AA17</f>
        <v>250000000</v>
      </c>
      <c r="Z28" s="77">
        <f>DATA!AG17</f>
        <v>0</v>
      </c>
      <c r="AA28" s="20" t="str">
        <f>DATA!AH17</f>
        <v>Tanpa keterangan</v>
      </c>
      <c r="AB28" s="56" t="str">
        <f>DATA!AI17</f>
        <v>-</v>
      </c>
      <c r="AC28" s="152">
        <f>DATA!AM17</f>
        <v>0</v>
      </c>
      <c r="AD28" s="152" t="str">
        <f>DATA!AN17</f>
        <v>belum ada keterangan</v>
      </c>
      <c r="AE28" s="152" t="str">
        <f>DATA!AO17</f>
        <v>belum ada keterangan</v>
      </c>
      <c r="AF28" s="56" t="str">
        <f>DATA!AJ17</f>
        <v>-</v>
      </c>
      <c r="AG28" s="56" t="str">
        <f>DATA!AK17</f>
        <v>-</v>
      </c>
      <c r="AH28" s="56" t="str">
        <f>DATA!AL17</f>
        <v>-</v>
      </c>
      <c r="AI28" s="20">
        <f>DATA!AM17</f>
        <v>0</v>
      </c>
      <c r="AJ28" s="20" t="str">
        <f>DATA!AN17</f>
        <v>belum ada keterangan</v>
      </c>
      <c r="AK28" s="20" t="str">
        <f>DATA!AO17</f>
        <v>belum ada keterangan</v>
      </c>
      <c r="AL28" s="20" t="str">
        <f>DATA!AP17</f>
        <v>belum ada proses tender/lelang</v>
      </c>
      <c r="AM28" s="20" t="str">
        <f>DATA!AY17</f>
        <v>Konfirmasi melalui surat Sekjen nomor KU.01.12-Sj/636 tgl 23 Oktober 2015</v>
      </c>
      <c r="AN28" s="20" t="e">
        <f>DATA!#REF!</f>
        <v>#REF!</v>
      </c>
      <c r="AO28" s="20" t="str">
        <f>DATA!AZ17</f>
        <v>termasuk ES (akan dipecah?) -&gt; konfirmasi tgl 15 Okt' 15</v>
      </c>
      <c r="AP28" s="152" t="e">
        <f>DATA!#REF!</f>
        <v>#REF!</v>
      </c>
      <c r="AQ28" s="37" t="str">
        <f>DATA!BA17</f>
        <v>Pembangunan/peningkatan 200 km jalan untuk mendukung tol laut bagian utara termasuk (i) koridor Aceh - Medan - Riau dan (ii) Medan - Sibolga</v>
      </c>
    </row>
    <row r="29" spans="1:43" ht="84" customHeight="1">
      <c r="A29" s="10">
        <f>DATA!A18</f>
        <v>16</v>
      </c>
      <c r="B29" s="10">
        <f>DATA!B18</f>
        <v>0</v>
      </c>
      <c r="C29" s="10" t="str">
        <f>DATA!D18</f>
        <v>INFRASTRUKTUR</v>
      </c>
      <c r="D29" s="10">
        <f>DATA!E18</f>
        <v>1</v>
      </c>
      <c r="E29" s="10" t="str">
        <f>DATA!F18</f>
        <v>Kementerian Pekerjaan Umum dan Perumahan Rakyat</v>
      </c>
      <c r="F29" s="10" t="str">
        <f>DATA!H18</f>
        <v>Development and Improvement of National Roads Program</v>
      </c>
      <c r="G29" s="10" t="str">
        <f>DATA!I18</f>
        <v>C</v>
      </c>
      <c r="H29" s="10" t="str">
        <f>DATA!J18</f>
        <v>Program Pembangunan / Peningkatan Jalan</v>
      </c>
      <c r="I29" s="10">
        <f>DATA!K18</f>
        <v>4</v>
      </c>
      <c r="J29" s="33"/>
      <c r="K29" s="34"/>
      <c r="L29" s="34"/>
      <c r="M29" s="36">
        <f>DATA!K18</f>
        <v>4</v>
      </c>
      <c r="N29" s="37" t="str">
        <f>DATA!L18</f>
        <v>Road Improvement Project to Support Integrated Land and Sea Toll Way - Southern Area</v>
      </c>
      <c r="O29" s="20">
        <f>DATA!Q18</f>
        <v>1</v>
      </c>
      <c r="P29" s="20">
        <f>DATA!R18</f>
        <v>1</v>
      </c>
      <c r="Q29" s="20">
        <f>DATA!S18</f>
        <v>14</v>
      </c>
      <c r="R29" s="77">
        <f>DATA!T18</f>
        <v>250000000</v>
      </c>
      <c r="S29" s="83">
        <f>DATA!U17</f>
        <v>250000000</v>
      </c>
      <c r="T29" s="77">
        <f>DATA!V18</f>
        <v>50000000</v>
      </c>
      <c r="U29" s="77">
        <f>DATA!W18</f>
        <v>0</v>
      </c>
      <c r="V29" s="77">
        <f>DATA!X18</f>
        <v>300000000</v>
      </c>
      <c r="W29" s="78" t="str">
        <f>DATA!Y18</f>
        <v>Bank Dunia/ADB</v>
      </c>
      <c r="X29" s="20" t="str">
        <f>DATA!Z18</f>
        <v>Multi Lender</v>
      </c>
      <c r="Y29" s="77">
        <f>DATA!AA18</f>
        <v>250000000</v>
      </c>
      <c r="Z29" s="77">
        <f>DATA!AG18</f>
        <v>0</v>
      </c>
      <c r="AA29" s="20" t="str">
        <f>DATA!AH18</f>
        <v>Tanpa keterangan</v>
      </c>
      <c r="AB29" s="56" t="str">
        <f>DATA!AI18</f>
        <v>-</v>
      </c>
      <c r="AC29" s="152" t="str">
        <f>DATA!AR18</f>
        <v>belum ada dokumen R/C</v>
      </c>
      <c r="AD29" s="152" t="str">
        <f>DATA!AN18</f>
        <v>belum ada keterangan</v>
      </c>
      <c r="AE29" s="152" t="str">
        <f>DATA!AO18</f>
        <v>belum ada keterangan</v>
      </c>
      <c r="AF29" s="56" t="str">
        <f>DATA!AJ18</f>
        <v>-</v>
      </c>
      <c r="AG29" s="56" t="str">
        <f>DATA!AK18</f>
        <v>-</v>
      </c>
      <c r="AH29" s="56" t="str">
        <f>DATA!AL18</f>
        <v>-</v>
      </c>
      <c r="AI29" s="20" t="str">
        <f>DATA!AR18</f>
        <v>belum ada dokumen R/C</v>
      </c>
      <c r="AJ29" s="20" t="str">
        <f>DATA!AN18</f>
        <v>belum ada keterangan</v>
      </c>
      <c r="AK29" s="20" t="str">
        <f>DATA!AO18</f>
        <v>belum ada keterangan</v>
      </c>
      <c r="AL29" s="20" t="str">
        <f>DATA!AP18</f>
        <v>belum ada proses tender/lelang</v>
      </c>
      <c r="AM29" s="20" t="str">
        <f>DATA!AY18</f>
        <v>Konfirmasi melalui surat Sekjen nomor KU.01.12-Sj/636 tgl 23 Oktober 2015</v>
      </c>
      <c r="AN29" s="20" t="e">
        <f>DATA!#REF!</f>
        <v>#REF!</v>
      </c>
      <c r="AO29" s="20">
        <f>DATA!AZ18</f>
        <v>0</v>
      </c>
      <c r="AP29" s="152" t="e">
        <f>DATA!#REF!</f>
        <v>#REF!</v>
      </c>
      <c r="AQ29" s="37"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row>
    <row r="30" spans="1:43" ht="46.5" customHeight="1">
      <c r="A30" s="10">
        <f>DATA!A19</f>
        <v>17</v>
      </c>
      <c r="B30" s="10">
        <f>DATA!B19</f>
        <v>0</v>
      </c>
      <c r="C30" s="10" t="str">
        <f>DATA!D19</f>
        <v>INFRASTRUKTUR</v>
      </c>
      <c r="D30" s="10">
        <f>DATA!E19</f>
        <v>1</v>
      </c>
      <c r="E30" s="10" t="str">
        <f>DATA!F19</f>
        <v>Kementerian Pekerjaan Umum dan Perumahan Rakyat</v>
      </c>
      <c r="F30" s="10" t="str">
        <f>DATA!H19</f>
        <v>Development and Improvement of National Roads Program</v>
      </c>
      <c r="G30" s="10" t="str">
        <f>DATA!I19</f>
        <v>C</v>
      </c>
      <c r="H30" s="10" t="str">
        <f>DATA!J19</f>
        <v>Program Pembangunan / Peningkatan Jalan</v>
      </c>
      <c r="I30" s="10">
        <f>DATA!K19</f>
        <v>5</v>
      </c>
      <c r="J30" s="33"/>
      <c r="K30" s="34"/>
      <c r="L30" s="34"/>
      <c r="M30" s="36">
        <f>DATA!K19</f>
        <v>5</v>
      </c>
      <c r="N30" s="37" t="str">
        <f>DATA!L19</f>
        <v>National Road Improvement in West and South Kalimantan</v>
      </c>
      <c r="O30" s="20">
        <f>DATA!Q19</f>
        <v>1</v>
      </c>
      <c r="P30" s="20">
        <f>DATA!R19</f>
        <v>1</v>
      </c>
      <c r="Q30" s="20">
        <f>DATA!S19</f>
        <v>15</v>
      </c>
      <c r="R30" s="77">
        <f>DATA!T19</f>
        <v>250000000</v>
      </c>
      <c r="S30" s="83">
        <f>DATA!U18</f>
        <v>250000000</v>
      </c>
      <c r="T30" s="77">
        <f>DATA!V19</f>
        <v>50000000</v>
      </c>
      <c r="U30" s="77">
        <f>DATA!W19</f>
        <v>0</v>
      </c>
      <c r="V30" s="77">
        <f>DATA!X19</f>
        <v>300000000</v>
      </c>
      <c r="W30" s="78" t="str">
        <f>DATA!Y19</f>
        <v>IDB</v>
      </c>
      <c r="X30" s="20" t="str">
        <f>DATA!Z19</f>
        <v>Multilateral</v>
      </c>
      <c r="Y30" s="77">
        <f>DATA!AA19</f>
        <v>250000000</v>
      </c>
      <c r="Z30" s="77">
        <f>DATA!AG19</f>
        <v>0</v>
      </c>
      <c r="AA30" s="20">
        <f>DATA!AH19</f>
        <v>2017</v>
      </c>
      <c r="AB30" s="56" t="str">
        <f>DATA!AI19</f>
        <v>-</v>
      </c>
      <c r="AC30" s="152" t="str">
        <f>DATA!AR19</f>
        <v>belum ada dokumen R/C</v>
      </c>
      <c r="AD30" s="152" t="str">
        <f>DATA!AN19</f>
        <v>belum ada keterangan</v>
      </c>
      <c r="AE30" s="152" t="str">
        <f>DATA!AO19</f>
        <v>belum ada keterangan</v>
      </c>
      <c r="AF30" s="56" t="str">
        <f>DATA!AJ19</f>
        <v>-</v>
      </c>
      <c r="AG30" s="56" t="str">
        <f>DATA!AK19</f>
        <v>-</v>
      </c>
      <c r="AH30" s="56" t="str">
        <f>DATA!AL19</f>
        <v>-</v>
      </c>
      <c r="AI30" s="20" t="str">
        <f>DATA!AR19</f>
        <v>belum ada dokumen R/C</v>
      </c>
      <c r="AJ30" s="20" t="str">
        <f>DATA!AN19</f>
        <v>belum ada keterangan</v>
      </c>
      <c r="AK30" s="20" t="str">
        <f>DATA!AO19</f>
        <v>belum ada keterangan</v>
      </c>
      <c r="AL30" s="20" t="str">
        <f>DATA!AP19</f>
        <v>belum ada proses tender/lelang</v>
      </c>
      <c r="AM30" s="20" t="str">
        <f>DATA!AY19</f>
        <v>Konfirmasi melalui surat Sekjen nomor KU.01.12-Sj/636 tgl 23 Oktober 2015</v>
      </c>
      <c r="AN30" s="20" t="e">
        <f>DATA!#REF!</f>
        <v>#REF!</v>
      </c>
      <c r="AO30" s="20">
        <f>DATA!AZ19</f>
        <v>0</v>
      </c>
      <c r="AP30" s="152" t="e">
        <f>DATA!#REF!</f>
        <v>#REF!</v>
      </c>
      <c r="AQ30" s="37" t="str">
        <f>DATA!BA19</f>
        <v>Pembangunan/peningkatan 200 km jalan di daerah koridor perbatasan di Kalimantan Barat dan jalan internasional di Kalimantan Selatan</v>
      </c>
    </row>
    <row r="31" spans="1:43" ht="36.75" customHeight="1">
      <c r="A31" s="10">
        <f>DATA!A20</f>
        <v>18</v>
      </c>
      <c r="B31" s="10">
        <f>DATA!B20</f>
        <v>0</v>
      </c>
      <c r="C31" s="10" t="str">
        <f>DATA!D20</f>
        <v>INFRASTRUKTUR</v>
      </c>
      <c r="D31" s="10">
        <f>DATA!E20</f>
        <v>1</v>
      </c>
      <c r="E31" s="10" t="str">
        <f>DATA!F20</f>
        <v>Kementerian Pekerjaan Umum dan Perumahan Rakyat</v>
      </c>
      <c r="F31" s="10" t="str">
        <f>DATA!H20</f>
        <v>Development and Improvement of National Roads Program</v>
      </c>
      <c r="G31" s="10" t="str">
        <f>DATA!I20</f>
        <v>C</v>
      </c>
      <c r="H31" s="10" t="str">
        <f>DATA!J20</f>
        <v>Program Pembangunan / Peningkatan Jalan</v>
      </c>
      <c r="I31" s="10">
        <f>DATA!K20</f>
        <v>6</v>
      </c>
      <c r="J31" s="33"/>
      <c r="K31" s="34"/>
      <c r="L31" s="34"/>
      <c r="M31" s="36">
        <f>DATA!K20</f>
        <v>6</v>
      </c>
      <c r="N31" s="37" t="str">
        <f>DATA!L20</f>
        <v>National Road Improvement in Central Kalimantan</v>
      </c>
      <c r="O31" s="20">
        <f>DATA!Q20</f>
        <v>1</v>
      </c>
      <c r="P31" s="20">
        <f>DATA!R20</f>
        <v>1</v>
      </c>
      <c r="Q31" s="20">
        <f>DATA!S20</f>
        <v>16</v>
      </c>
      <c r="R31" s="77">
        <f>DATA!T20</f>
        <v>250000000</v>
      </c>
      <c r="S31" s="83">
        <f>DATA!U19</f>
        <v>250000000</v>
      </c>
      <c r="T31" s="77">
        <f>DATA!V20</f>
        <v>50000000</v>
      </c>
      <c r="U31" s="77">
        <f>DATA!W20</f>
        <v>0</v>
      </c>
      <c r="V31" s="77">
        <f>DATA!X20</f>
        <v>300000000</v>
      </c>
      <c r="W31" s="78" t="str">
        <f>DATA!Y20</f>
        <v>Bank Dunia/ADB</v>
      </c>
      <c r="X31" s="20" t="str">
        <f>DATA!Z20</f>
        <v>Multi Lender</v>
      </c>
      <c r="Y31" s="77">
        <f>DATA!AA20</f>
        <v>250000000</v>
      </c>
      <c r="Z31" s="77">
        <f>DATA!AG20</f>
        <v>0</v>
      </c>
      <c r="AA31" s="20" t="str">
        <f>DATA!AH20</f>
        <v>Tanpa keterangan</v>
      </c>
      <c r="AB31" s="56" t="str">
        <f>DATA!AI20</f>
        <v>-</v>
      </c>
      <c r="AC31" s="152" t="str">
        <f>DATA!AR20</f>
        <v>belum ada dokumen R/C</v>
      </c>
      <c r="AD31" s="152" t="str">
        <f>DATA!AN20</f>
        <v>siap</v>
      </c>
      <c r="AE31" s="152" t="str">
        <f>DATA!AO20</f>
        <v>belum ada keterangan</v>
      </c>
      <c r="AF31" s="56" t="str">
        <f>DATA!AJ20</f>
        <v xml:space="preserve">FS, BD, AMDAL, Penyusunan DED, SP2LP </v>
      </c>
      <c r="AG31" s="56" t="str">
        <f>DATA!AK20</f>
        <v>-</v>
      </c>
      <c r="AH31" s="56" t="str">
        <f>DATA!AL20</f>
        <v>-</v>
      </c>
      <c r="AI31" s="20" t="str">
        <f>DATA!AR20</f>
        <v>belum ada dokumen R/C</v>
      </c>
      <c r="AJ31" s="20" t="str">
        <f>DATA!AN20</f>
        <v>siap</v>
      </c>
      <c r="AK31" s="20" t="str">
        <f>DATA!AO20</f>
        <v>belum ada keterangan</v>
      </c>
      <c r="AL31" s="20" t="str">
        <f>DATA!AP20</f>
        <v>belum ada proses tender/lelang</v>
      </c>
      <c r="AM31" s="20" t="str">
        <f>DATA!AY20</f>
        <v>Konfirmasi melalui surat Sekjen nomor KU.01.12-Sj/636 tgl 23 Oktober 2015</v>
      </c>
      <c r="AN31" s="20" t="e">
        <f>DATA!#REF!</f>
        <v>#REF!</v>
      </c>
      <c r="AO31" s="20">
        <f>DATA!AZ20</f>
        <v>0</v>
      </c>
      <c r="AP31" s="152" t="e">
        <f>DATA!#REF!</f>
        <v>#REF!</v>
      </c>
      <c r="AQ31" s="37" t="str">
        <f>DATA!BA20</f>
        <v>Pembangunan 200 km jalan di wilayah Kalimantan Tengah</v>
      </c>
    </row>
    <row r="32" spans="1:43" ht="31.5" customHeight="1">
      <c r="A32" s="10">
        <f>DATA!A21</f>
        <v>19</v>
      </c>
      <c r="B32" s="10">
        <f>DATA!B21</f>
        <v>0</v>
      </c>
      <c r="C32" s="10" t="str">
        <f>DATA!D21</f>
        <v>INFRASTRUKTUR</v>
      </c>
      <c r="D32" s="10">
        <f>DATA!E21</f>
        <v>1</v>
      </c>
      <c r="E32" s="10" t="str">
        <f>DATA!F21</f>
        <v>Kementerian Pekerjaan Umum dan Perumahan Rakyat</v>
      </c>
      <c r="F32" s="10" t="str">
        <f>DATA!H21</f>
        <v>Development and Improvement of National Roads Program</v>
      </c>
      <c r="G32" s="10" t="str">
        <f>DATA!I21</f>
        <v>C</v>
      </c>
      <c r="H32" s="10" t="str">
        <f>DATA!J21</f>
        <v>Program Pembangunan / Peningkatan Jalan</v>
      </c>
      <c r="I32" s="10">
        <f>DATA!K21</f>
        <v>7</v>
      </c>
      <c r="J32" s="33"/>
      <c r="K32" s="34"/>
      <c r="L32" s="34"/>
      <c r="M32" s="36">
        <f>DATA!K21</f>
        <v>7</v>
      </c>
      <c r="N32" s="37" t="str">
        <f>DATA!L21</f>
        <v>National Road Improvement in North and East Kalimantan</v>
      </c>
      <c r="O32" s="20">
        <f>DATA!Q21</f>
        <v>1</v>
      </c>
      <c r="P32" s="20">
        <f>DATA!R21</f>
        <v>1</v>
      </c>
      <c r="Q32" s="20">
        <f>DATA!S21</f>
        <v>17</v>
      </c>
      <c r="R32" s="77">
        <f>DATA!T21</f>
        <v>250000000</v>
      </c>
      <c r="S32" s="83">
        <f>DATA!U20</f>
        <v>250000000</v>
      </c>
      <c r="T32" s="77">
        <f>DATA!V21</f>
        <v>50000000</v>
      </c>
      <c r="U32" s="77">
        <f>DATA!W21</f>
        <v>0</v>
      </c>
      <c r="V32" s="77">
        <f>DATA!X21</f>
        <v>300000000</v>
      </c>
      <c r="W32" s="78" t="str">
        <f>DATA!Y21</f>
        <v>IDB</v>
      </c>
      <c r="X32" s="20" t="str">
        <f>DATA!Z21</f>
        <v>Multilateral</v>
      </c>
      <c r="Y32" s="77">
        <f>DATA!AA21</f>
        <v>250000000</v>
      </c>
      <c r="Z32" s="77">
        <f>DATA!AG21</f>
        <v>0</v>
      </c>
      <c r="AA32" s="20">
        <f>DATA!AH21</f>
        <v>2016</v>
      </c>
      <c r="AB32" s="56" t="str">
        <f>DATA!AI21</f>
        <v>-</v>
      </c>
      <c r="AC32" s="152" t="str">
        <f>DATA!AR21</f>
        <v>belum ada dokumen R/C</v>
      </c>
      <c r="AD32" s="152" t="str">
        <f>DATA!AN21</f>
        <v>siap</v>
      </c>
      <c r="AE32" s="152" t="str">
        <f>DATA!AO21</f>
        <v>belum ada keterangan</v>
      </c>
      <c r="AF32" s="56" t="str">
        <f>DATA!AJ21</f>
        <v>FS dan BD ada, DED dan AMDAL sebagian</v>
      </c>
      <c r="AG32" s="56" t="str">
        <f>DATA!AK21</f>
        <v>-</v>
      </c>
      <c r="AH32" s="56" t="str">
        <f>DATA!AL21</f>
        <v>-</v>
      </c>
      <c r="AI32" s="20" t="str">
        <f>DATA!AR21</f>
        <v>belum ada dokumen R/C</v>
      </c>
      <c r="AJ32" s="20" t="str">
        <f>DATA!AN21</f>
        <v>siap</v>
      </c>
      <c r="AK32" s="20" t="str">
        <f>DATA!AO21</f>
        <v>belum ada keterangan</v>
      </c>
      <c r="AL32" s="20" t="str">
        <f>DATA!AP21</f>
        <v>belum ada proses tender/lelang</v>
      </c>
      <c r="AM32" s="20" t="str">
        <f>DATA!AY21</f>
        <v>Konfirmasi melalui surat Sekjen nomor KU.01.12-Sj/636 tgl 23 Oktober 201515</v>
      </c>
      <c r="AN32" s="20" t="e">
        <f>DATA!#REF!</f>
        <v>#REF!</v>
      </c>
      <c r="AO32" s="20">
        <f>DATA!AZ21</f>
        <v>0</v>
      </c>
      <c r="AP32" s="152" t="e">
        <f>DATA!#REF!</f>
        <v>#REF!</v>
      </c>
      <c r="AQ32" s="37" t="str">
        <f>DATA!BA21</f>
        <v>Pembangunan 200 km jalan di wilayah Kalimantan Utara dan Kalimantan Timur</v>
      </c>
    </row>
    <row r="33" spans="1:43" ht="48" customHeight="1">
      <c r="A33" s="10">
        <f>DATA!A22</f>
        <v>20</v>
      </c>
      <c r="B33" s="10">
        <f>DATA!B22</f>
        <v>0</v>
      </c>
      <c r="C33" s="10" t="str">
        <f>DATA!D22</f>
        <v>INFRASTRUKTUR</v>
      </c>
      <c r="D33" s="10">
        <f>DATA!E22</f>
        <v>1</v>
      </c>
      <c r="E33" s="10" t="str">
        <f>DATA!F22</f>
        <v>Kementerian Pekerjaan Umum dan Perumahan Rakyat</v>
      </c>
      <c r="F33" s="10" t="str">
        <f>DATA!H22</f>
        <v>Development and Improvement of National Roads Program</v>
      </c>
      <c r="G33" s="10" t="str">
        <f>DATA!I22</f>
        <v>C</v>
      </c>
      <c r="H33" s="10" t="str">
        <f>DATA!J22</f>
        <v>Program Pembangunan / Peningkatan Jalan</v>
      </c>
      <c r="I33" s="10">
        <f>DATA!K22</f>
        <v>8</v>
      </c>
      <c r="J33" s="33"/>
      <c r="K33" s="34"/>
      <c r="L33" s="54"/>
      <c r="M33" s="36">
        <f>DATA!K22</f>
        <v>8</v>
      </c>
      <c r="N33" s="37" t="str">
        <f>DATA!L22</f>
        <v>Road Improvement Project in Sulawesi Island and Major Cities</v>
      </c>
      <c r="O33" s="20">
        <f>DATA!Q22</f>
        <v>1</v>
      </c>
      <c r="P33" s="20">
        <f>DATA!R22</f>
        <v>1</v>
      </c>
      <c r="Q33" s="20">
        <f>DATA!S22</f>
        <v>18</v>
      </c>
      <c r="R33" s="77">
        <f>DATA!T22</f>
        <v>250000000</v>
      </c>
      <c r="S33" s="83">
        <f>DATA!U21</f>
        <v>250000000</v>
      </c>
      <c r="T33" s="77">
        <f>DATA!V22</f>
        <v>50000000</v>
      </c>
      <c r="U33" s="77">
        <f>DATA!W22</f>
        <v>0</v>
      </c>
      <c r="V33" s="77">
        <f>DATA!X22</f>
        <v>300000000</v>
      </c>
      <c r="W33" s="78" t="str">
        <f>DATA!Y22</f>
        <v>IDB</v>
      </c>
      <c r="X33" s="20" t="str">
        <f>DATA!Z22</f>
        <v>Multilateral</v>
      </c>
      <c r="Y33" s="77">
        <f>DATA!AA22</f>
        <v>250000000</v>
      </c>
      <c r="Z33" s="77">
        <f>DATA!AG22</f>
        <v>0</v>
      </c>
      <c r="AA33" s="20">
        <f>DATA!AH22</f>
        <v>2016</v>
      </c>
      <c r="AB33" s="56" t="str">
        <f>DATA!AI22</f>
        <v>-</v>
      </c>
      <c r="AC33" s="152" t="str">
        <f>DATA!AR22</f>
        <v>belum ada dokumen R/C</v>
      </c>
      <c r="AD33" s="152" t="str">
        <f>DATA!AN22</f>
        <v>siap</v>
      </c>
      <c r="AE33" s="152" t="str">
        <f>DATA!AO22</f>
        <v>belum ada keterangan</v>
      </c>
      <c r="AF33" s="56" t="str">
        <f>DATA!AJ22</f>
        <v>FS, AMDAL</v>
      </c>
      <c r="AG33" s="56" t="str">
        <f>DATA!AK22</f>
        <v>-</v>
      </c>
      <c r="AH33" s="56" t="str">
        <f>DATA!AL22</f>
        <v>-</v>
      </c>
      <c r="AI33" s="20" t="str">
        <f>DATA!AR22</f>
        <v>belum ada dokumen R/C</v>
      </c>
      <c r="AJ33" s="20" t="str">
        <f>DATA!AN22</f>
        <v>siap</v>
      </c>
      <c r="AK33" s="20" t="str">
        <f>DATA!AO22</f>
        <v>belum ada keterangan</v>
      </c>
      <c r="AL33" s="20" t="str">
        <f>DATA!AP22</f>
        <v>belum ada proses tender/lelang</v>
      </c>
      <c r="AM33" s="20" t="str">
        <f>DATA!AY22</f>
        <v xml:space="preserve">Konfirmasi melalui surat Sekjen nomor KU.01.12-Sj/636 tgl 23 Oktober 2015
</v>
      </c>
      <c r="AN33" s="20" t="e">
        <f>DATA!#REF!</f>
        <v>#REF!</v>
      </c>
      <c r="AO33" s="20" t="str">
        <f>DATA!AZ22</f>
        <v xml:space="preserve">Lender kembali IDB berdasarkan hasil konfirmasi rapat dgn Dit,Multilateral tgl 15 Okt'15 </v>
      </c>
      <c r="AP33" s="152" t="e">
        <f>DATA!#REF!</f>
        <v>#REF!</v>
      </c>
      <c r="AQ33" s="37" t="str">
        <f>DATA!BA22</f>
        <v xml:space="preserve">Pembangunan jalan (ringroad dan bypass) sepanjang sekitar 200 km di wilayah metropolitan Mamminasata dan Gorontalo Outer Ring Road </v>
      </c>
    </row>
    <row r="34" spans="1:43" ht="48" customHeight="1">
      <c r="J34" s="33"/>
      <c r="K34" s="34"/>
      <c r="L34" s="54"/>
      <c r="M34" s="36">
        <f>DATA!K23</f>
        <v>9</v>
      </c>
      <c r="N34" s="56" t="str">
        <f>DATA!L23</f>
        <v>Engineering Service for National Roads Development Project</v>
      </c>
      <c r="O34" s="36">
        <f>DATA!Q23</f>
        <v>0</v>
      </c>
      <c r="P34" s="36">
        <f>DATA!R23</f>
        <v>1</v>
      </c>
      <c r="Q34" s="36">
        <f>DATA!S23</f>
        <v>0</v>
      </c>
      <c r="R34" s="88">
        <f>DATA!T23</f>
        <v>0</v>
      </c>
      <c r="S34" s="88">
        <f>DATA!U23</f>
        <v>45000000</v>
      </c>
      <c r="T34" s="88">
        <f>DATA!V23</f>
        <v>0</v>
      </c>
      <c r="U34" s="88">
        <f>DATA!W23</f>
        <v>0</v>
      </c>
      <c r="V34" s="88">
        <f>DATA!X23</f>
        <v>0</v>
      </c>
      <c r="W34" s="88" t="str">
        <f>DATA!Y23</f>
        <v>ADB</v>
      </c>
      <c r="X34" s="88" t="str">
        <f>DATA!Z23</f>
        <v>Multilateral</v>
      </c>
      <c r="Y34" s="88">
        <f>DATA!AA23</f>
        <v>45000000</v>
      </c>
      <c r="Z34" s="88">
        <f>DATA!AG23</f>
        <v>0</v>
      </c>
      <c r="AA34" s="102">
        <f>DATA!AH23</f>
        <v>2016</v>
      </c>
      <c r="AB34" s="56" t="str">
        <f>DATA!AI23</f>
        <v>- Sudah ada R/C
- Green Book 2015</v>
      </c>
      <c r="AC34" s="152" t="str">
        <f>DATA!AM23</f>
        <v>2016; 2015</v>
      </c>
      <c r="AD34" s="152" t="str">
        <f>DATA!AN23</f>
        <v>siap</v>
      </c>
      <c r="AE34" s="152" t="str">
        <f>DATA!AO23</f>
        <v>tidak butuh lahan</v>
      </c>
      <c r="AF34" s="56" t="str">
        <f>DATA!AJ23</f>
        <v>-</v>
      </c>
      <c r="AG34" s="56" t="str">
        <f>DATA!AK23</f>
        <v>-</v>
      </c>
      <c r="AH34" s="56" t="str">
        <f>DATA!AL23</f>
        <v>-</v>
      </c>
      <c r="AI34" s="20"/>
      <c r="AJ34" s="20"/>
      <c r="AK34" s="20"/>
      <c r="AL34" s="20"/>
      <c r="AM34" s="20"/>
      <c r="AN34" s="20"/>
      <c r="AO34" s="20"/>
      <c r="AP34" s="152" t="e">
        <f>DATA!#REF!</f>
        <v>#REF!</v>
      </c>
      <c r="AQ34" s="37"/>
    </row>
    <row r="35" spans="1:43" s="5" customFormat="1" ht="33.75" customHeight="1">
      <c r="J35" s="28"/>
      <c r="K35" s="50"/>
      <c r="L35" s="30" t="str">
        <f>DATA!I24</f>
        <v>D</v>
      </c>
      <c r="M35" s="31" t="str">
        <f>DATA!J24</f>
        <v>Program Pembangunan Air Minum</v>
      </c>
      <c r="N35" s="51"/>
      <c r="O35" s="31"/>
      <c r="P35" s="31"/>
      <c r="Q35" s="31"/>
      <c r="R35" s="81">
        <f>+R36+R37+R38+R47</f>
        <v>1197680000</v>
      </c>
      <c r="S35" s="81">
        <f>+S36+S37+S38+S47+S52</f>
        <v>1197680000</v>
      </c>
      <c r="T35" s="81">
        <f>+T36+T37+T38+T47</f>
        <v>59434000</v>
      </c>
      <c r="U35" s="81">
        <f>+U36+U37+U38+U47</f>
        <v>0</v>
      </c>
      <c r="V35" s="81">
        <f>+V36+V37+V38+V47</f>
        <v>1257114000</v>
      </c>
      <c r="W35" s="81"/>
      <c r="X35" s="81" t="e">
        <f>+X36+X37+X38+X47</f>
        <v>#VALUE!</v>
      </c>
      <c r="Y35" s="81">
        <f>+Y36+Y37+Y38+Y47</f>
        <v>1197680000</v>
      </c>
      <c r="Z35" s="81">
        <f>+Z36+Z37+Z38+Z47</f>
        <v>0</v>
      </c>
      <c r="AA35" s="31"/>
      <c r="AB35" s="32"/>
      <c r="AC35" s="32"/>
      <c r="AD35" s="32"/>
      <c r="AE35" s="32"/>
      <c r="AF35" s="32"/>
      <c r="AG35" s="32"/>
      <c r="AH35" s="32"/>
      <c r="AI35" s="31"/>
      <c r="AJ35" s="31"/>
      <c r="AK35" s="31"/>
      <c r="AL35" s="31"/>
      <c r="AM35" s="31"/>
      <c r="AN35" s="31"/>
      <c r="AO35" s="31"/>
      <c r="AP35" s="32"/>
      <c r="AQ35" s="32"/>
    </row>
    <row r="36" spans="1:43" ht="42" customHeight="1">
      <c r="A36" s="10">
        <f>DATA!A24</f>
        <v>21</v>
      </c>
      <c r="B36" s="10">
        <f>DATA!B24</f>
        <v>0</v>
      </c>
      <c r="C36" s="10" t="str">
        <f>DATA!D24</f>
        <v>INFRASTRUKTUR</v>
      </c>
      <c r="D36" s="10">
        <f>DATA!E24</f>
        <v>1</v>
      </c>
      <c r="E36" s="10" t="str">
        <f>DATA!F24</f>
        <v>Kementerian Pekerjaan Umum dan Perumahan Rakyat</v>
      </c>
      <c r="F36" s="10" t="str">
        <f>DATA!H24</f>
        <v>Drinking Water Development Program</v>
      </c>
      <c r="G36" s="10" t="str">
        <f>DATA!I24</f>
        <v>D</v>
      </c>
      <c r="H36" s="10" t="str">
        <f>DATA!J24</f>
        <v>Program Pembangunan Air Minum</v>
      </c>
      <c r="I36" s="10">
        <f>DATA!K24</f>
        <v>1</v>
      </c>
      <c r="J36" s="33"/>
      <c r="K36" s="34"/>
      <c r="L36" s="35"/>
      <c r="M36" s="36">
        <f>DATA!K24</f>
        <v>1</v>
      </c>
      <c r="N36" s="37" t="str">
        <f>DATA!L24</f>
        <v>Community Based Water and Sanitation Program  (PAMSIMAS)</v>
      </c>
      <c r="O36" s="20">
        <f>DATA!Q24</f>
        <v>1</v>
      </c>
      <c r="P36" s="20">
        <f>DATA!R24</f>
        <v>1</v>
      </c>
      <c r="Q36" s="20">
        <f>DATA!S24</f>
        <v>19</v>
      </c>
      <c r="R36" s="77">
        <f>DATA!T24</f>
        <v>300000000</v>
      </c>
      <c r="S36" s="88">
        <f>DATA!U24</f>
        <v>300000000</v>
      </c>
      <c r="T36" s="77">
        <f>DATA!V24</f>
        <v>15000000</v>
      </c>
      <c r="U36" s="77">
        <f>DATA!W24</f>
        <v>0</v>
      </c>
      <c r="V36" s="77">
        <f>DATA!X24</f>
        <v>315000000</v>
      </c>
      <c r="W36" s="78" t="str">
        <f>DATA!Y24</f>
        <v>Bank Dunia</v>
      </c>
      <c r="X36" s="20" t="str">
        <f>DATA!Z24</f>
        <v>Multilateral</v>
      </c>
      <c r="Y36" s="77">
        <f>DATA!AA24</f>
        <v>300000000</v>
      </c>
      <c r="Z36" s="77">
        <f>DATA!AG24</f>
        <v>0</v>
      </c>
      <c r="AA36" s="20">
        <f>DATA!AH24</f>
        <v>2016</v>
      </c>
      <c r="AB36" s="37" t="str">
        <f>DATA!AI24</f>
        <v xml:space="preserve">- Green Book 2015
- Sudah negosiasi
- Tender konsultan </v>
      </c>
      <c r="AC36" s="152" t="str">
        <f>DATA!AR24</f>
        <v>-</v>
      </c>
      <c r="AD36" s="152" t="str">
        <f>DATA!AN24</f>
        <v>dalam proses
(memiliki FS dan DED)</v>
      </c>
      <c r="AE36" s="152" t="str">
        <f>DATA!AO24</f>
        <v>belum ada keterangan</v>
      </c>
      <c r="AF36" s="37" t="str">
        <f>DATA!AJ24</f>
        <v xml:space="preserve">FS, DED
</v>
      </c>
      <c r="AG36" s="37" t="str">
        <f>DATA!AK24</f>
        <v>-</v>
      </c>
      <c r="AH36" s="37" t="str">
        <f>DATA!AL24</f>
        <v>-</v>
      </c>
      <c r="AI36" s="20" t="str">
        <f>DATA!AR24</f>
        <v>-</v>
      </c>
      <c r="AJ36" s="20" t="str">
        <f>DATA!AN24</f>
        <v>dalam proses
(memiliki FS dan DED)</v>
      </c>
      <c r="AK36" s="20" t="str">
        <f>DATA!AO24</f>
        <v>belum ada keterangan</v>
      </c>
      <c r="AL36" s="20" t="str">
        <f>DATA!AP24</f>
        <v>belum ada proses tender/lelang</v>
      </c>
      <c r="AM36"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N36" s="20" t="e">
        <f>DATA!#REF!</f>
        <v>#REF!</v>
      </c>
      <c r="AO36" s="20">
        <f>DATA!AZ24</f>
        <v>0</v>
      </c>
      <c r="AP36" s="152" t="e">
        <f>DATA!#REF!</f>
        <v>#REF!</v>
      </c>
      <c r="AQ36" s="37" t="str">
        <f>DATA!BA24</f>
        <v>Peningkatan kualitas pemukiman dan penyediaan air bersih berkelanjutan yang melayani 719.500 Sambungan Rumah (SR).</v>
      </c>
    </row>
    <row r="37" spans="1:43" ht="75" customHeight="1">
      <c r="A37" s="10">
        <f>DATA!A25</f>
        <v>22</v>
      </c>
      <c r="B37" s="10">
        <f>DATA!B25</f>
        <v>0</v>
      </c>
      <c r="C37" s="10" t="str">
        <f>DATA!D25</f>
        <v>INFRASTRUKTUR</v>
      </c>
      <c r="D37" s="10">
        <f>DATA!E25</f>
        <v>1</v>
      </c>
      <c r="E37" s="10" t="str">
        <f>DATA!F25</f>
        <v>Kementerian Pekerjaan Umum dan Perumahan Rakyat</v>
      </c>
      <c r="F37" s="10" t="str">
        <f>DATA!H25</f>
        <v>Drinking Water Development Program</v>
      </c>
      <c r="G37" s="10" t="str">
        <f>DATA!I25</f>
        <v>D</v>
      </c>
      <c r="H37" s="10" t="str">
        <f>DATA!J25</f>
        <v>Program Pembangunan Air Minum</v>
      </c>
      <c r="I37" s="10">
        <f>DATA!K25</f>
        <v>2</v>
      </c>
      <c r="J37" s="33"/>
      <c r="K37" s="34"/>
      <c r="L37" s="34"/>
      <c r="M37" s="36">
        <f>DATA!K25</f>
        <v>2</v>
      </c>
      <c r="N37" s="37" t="str">
        <f>DATA!L25</f>
        <v>National Urban Water Supply</v>
      </c>
      <c r="O37" s="20">
        <f>DATA!Q25</f>
        <v>1</v>
      </c>
      <c r="P37" s="20">
        <f>DATA!R25</f>
        <v>1</v>
      </c>
      <c r="Q37" s="20">
        <f>DATA!S25</f>
        <v>20</v>
      </c>
      <c r="R37" s="77">
        <f>DATA!T25</f>
        <v>100000000</v>
      </c>
      <c r="S37" s="88">
        <f>DATA!U25</f>
        <v>100000000</v>
      </c>
      <c r="T37" s="77">
        <f>DATA!V25</f>
        <v>5000000</v>
      </c>
      <c r="U37" s="77">
        <f>DATA!W25</f>
        <v>0</v>
      </c>
      <c r="V37" s="77">
        <f>DATA!X25</f>
        <v>105000000</v>
      </c>
      <c r="W37" s="78" t="str">
        <f>DATA!Y25</f>
        <v>Bank Dunia</v>
      </c>
      <c r="X37" s="20" t="str">
        <f>DATA!Z25</f>
        <v>Multilateral</v>
      </c>
      <c r="Y37" s="77">
        <f>DATA!AA25</f>
        <v>100000000</v>
      </c>
      <c r="Z37" s="77">
        <f>DATA!AG25</f>
        <v>0</v>
      </c>
      <c r="AA37" s="20">
        <f>DATA!AH25</f>
        <v>2017</v>
      </c>
      <c r="AB37" s="37">
        <f>DATA!AI25</f>
        <v>0</v>
      </c>
      <c r="AC37" s="152" t="str">
        <f>DATA!AR25</f>
        <v>belum ada dokumen R/C</v>
      </c>
      <c r="AD37" s="152" t="str">
        <f>DATA!AN25</f>
        <v>belum ada keterangan</v>
      </c>
      <c r="AE37" s="152" t="str">
        <f>DATA!AO25</f>
        <v>belum ada keterangan</v>
      </c>
      <c r="AF37" s="37" t="str">
        <f>DATA!AJ25</f>
        <v>-</v>
      </c>
      <c r="AG37" s="37" t="str">
        <f>DATA!AK25</f>
        <v>-</v>
      </c>
      <c r="AH37" s="37" t="str">
        <f>DATA!AL25</f>
        <v>-</v>
      </c>
      <c r="AI37" s="20" t="str">
        <f>DATA!AR25</f>
        <v>belum ada dokumen R/C</v>
      </c>
      <c r="AJ37" s="20" t="str">
        <f>DATA!AN25</f>
        <v>belum ada keterangan</v>
      </c>
      <c r="AK37" s="20" t="str">
        <f>DATA!AO25</f>
        <v>belum ada keterangan</v>
      </c>
      <c r="AL37" s="20" t="str">
        <f>DATA!AP25</f>
        <v>belum ada proses tender/lelang</v>
      </c>
      <c r="AM37" s="20" t="str">
        <f>DATA!AY25</f>
        <v>Konfirmasi melalui surat Sekjen nomor KU.01.12-Sj/636 tgl 23 Oktober 2015</v>
      </c>
      <c r="AN37" s="20" t="e">
        <f>DATA!#REF!</f>
        <v>#REF!</v>
      </c>
      <c r="AO37" s="20">
        <f>DATA!AZ25</f>
        <v>0</v>
      </c>
      <c r="AP37" s="152" t="e">
        <f>DATA!#REF!</f>
        <v>#REF!</v>
      </c>
      <c r="AQ37" s="37" t="str">
        <f>DATA!BA25</f>
        <v>Pembangunan Sistem Pengelolaan Air Mimum (SPAM) perkotaan sebesar 239,808 Sambungan Rumah (SR) untuk perluasan akses pelayanan air minum, termasuk kegiatan penguatan kapasitas pendanaan dan kelembagaan.</v>
      </c>
    </row>
    <row r="38" spans="1:43" s="9" customFormat="1" ht="60.75" customHeight="1">
      <c r="A38" s="9">
        <f>DATA!A26</f>
        <v>23</v>
      </c>
      <c r="B38" s="9">
        <f>DATA!B26</f>
        <v>0</v>
      </c>
      <c r="C38" s="9" t="str">
        <f>DATA!D26</f>
        <v>INFRASTRUKTUR</v>
      </c>
      <c r="D38" s="9">
        <f>DATA!E26</f>
        <v>1</v>
      </c>
      <c r="E38" s="9" t="str">
        <f>DATA!F26</f>
        <v>Kementerian Pekerjaan Umum dan Perumahan Rakyat</v>
      </c>
      <c r="F38" s="9" t="str">
        <f>DATA!H26</f>
        <v>Drinking Water Development Program</v>
      </c>
      <c r="G38" s="9" t="str">
        <f>DATA!I26</f>
        <v>D</v>
      </c>
      <c r="H38" s="9" t="str">
        <f>DATA!J26</f>
        <v>Program Pembangunan Air Minum</v>
      </c>
      <c r="I38" s="9">
        <f>DATA!K26</f>
        <v>3</v>
      </c>
      <c r="J38" s="62"/>
      <c r="K38" s="63"/>
      <c r="L38" s="63"/>
      <c r="M38" s="64">
        <f>DATA!K26</f>
        <v>3</v>
      </c>
      <c r="N38" s="65" t="str">
        <f>DATA!L26</f>
        <v>The Development of Regional Water Supply System in Selected Area:</v>
      </c>
      <c r="O38" s="66">
        <f>DATA!Q26</f>
        <v>0</v>
      </c>
      <c r="P38" s="66">
        <f>DATA!R26</f>
        <v>0</v>
      </c>
      <c r="Q38" s="66">
        <f>DATA!S26</f>
        <v>0</v>
      </c>
      <c r="R38" s="91">
        <f>DATA!T26</f>
        <v>672680000</v>
      </c>
      <c r="S38" s="88">
        <f>DATA!U26</f>
        <v>646300000</v>
      </c>
      <c r="T38" s="91">
        <f>DATA!V26</f>
        <v>33634000</v>
      </c>
      <c r="U38" s="91">
        <f>DATA!W26</f>
        <v>0</v>
      </c>
      <c r="V38" s="91">
        <f>DATA!X26</f>
        <v>706314000</v>
      </c>
      <c r="W38" s="92" t="str">
        <f>DATA!Y26</f>
        <v>-</v>
      </c>
      <c r="X38" s="66">
        <f>DATA!Z26</f>
        <v>0</v>
      </c>
      <c r="Y38" s="91">
        <f>DATA!AA26</f>
        <v>672680000</v>
      </c>
      <c r="Z38" s="91">
        <f>DATA!AG26</f>
        <v>0</v>
      </c>
      <c r="AA38" s="66" t="str">
        <f>DATA!AH26</f>
        <v>-</v>
      </c>
      <c r="AB38" s="65" t="str">
        <f>DATA!AI26</f>
        <v>-</v>
      </c>
      <c r="AC38" s="152">
        <f>DATA!AM26</f>
        <v>0</v>
      </c>
      <c r="AD38" s="152" t="str">
        <f>DATA!AN26</f>
        <v>-</v>
      </c>
      <c r="AE38" s="152" t="str">
        <f>DATA!AO26</f>
        <v>-</v>
      </c>
      <c r="AF38" s="65" t="str">
        <f>DATA!AJ26</f>
        <v>-</v>
      </c>
      <c r="AG38" s="65" t="str">
        <f>DATA!AK26</f>
        <v>-</v>
      </c>
      <c r="AH38" s="65" t="str">
        <f>DATA!AL26</f>
        <v>-</v>
      </c>
      <c r="AI38" s="66">
        <f>DATA!AM26</f>
        <v>0</v>
      </c>
      <c r="AJ38" s="66" t="str">
        <f>DATA!AN26</f>
        <v>-</v>
      </c>
      <c r="AK38" s="66" t="str">
        <f>DATA!AO26</f>
        <v>-</v>
      </c>
      <c r="AL38" s="66">
        <f>DATA!AP26</f>
        <v>0</v>
      </c>
      <c r="AM38" s="66" t="str">
        <f>DATA!AY26</f>
        <v>Konfirmasi melalui surat Sekjen nomor KU.01.12-Sj/636 tgl 23 Oktober 2015</v>
      </c>
      <c r="AN38" s="66" t="e">
        <f>DATA!#REF!</f>
        <v>#REF!</v>
      </c>
      <c r="AO38" s="66">
        <f>DATA!AZ26</f>
        <v>0</v>
      </c>
      <c r="AP38" s="152" t="e">
        <f>DATA!#REF!</f>
        <v>#REF!</v>
      </c>
      <c r="AQ38" s="65" t="str">
        <f>DATA!BA26</f>
        <v>Pembangunan Instalasi Pengolahan Air (IPA) di 8 wilayah dengan total kapasitas 20.450 lt/dt dan pembangunan jaringan transmisi air minum untuk 882.441 Sambungan Rumah (SR)</v>
      </c>
    </row>
    <row r="39" spans="1:43" s="6" customFormat="1" ht="60.75" customHeight="1">
      <c r="A39" s="6">
        <f>DATA!A27</f>
        <v>24</v>
      </c>
      <c r="B39" s="6">
        <f>DATA!B27</f>
        <v>0</v>
      </c>
      <c r="C39" s="6" t="str">
        <f>DATA!D27</f>
        <v>INFRASTRUKTUR</v>
      </c>
      <c r="D39" s="6">
        <f>DATA!E27</f>
        <v>1</v>
      </c>
      <c r="E39" s="6" t="str">
        <f>DATA!F27</f>
        <v>Kementerian Pekerjaan Umum dan Perumahan Rakyat</v>
      </c>
      <c r="F39" s="6" t="str">
        <f>DATA!H27</f>
        <v>Drinking Water Development Program</v>
      </c>
      <c r="G39" s="6" t="str">
        <f>DATA!I27</f>
        <v>D</v>
      </c>
      <c r="H39" s="6" t="str">
        <f>DATA!J27</f>
        <v>Program Pembangunan Air Minum</v>
      </c>
      <c r="I39" s="6">
        <f>DATA!K27</f>
        <v>3</v>
      </c>
      <c r="J39" s="38"/>
      <c r="K39" s="39"/>
      <c r="L39" s="39"/>
      <c r="M39" s="40"/>
      <c r="N39" s="67" t="str">
        <f>DATA!L27</f>
        <v xml:space="preserve">Mamminasata Water Supply Development Project </v>
      </c>
      <c r="O39" s="42">
        <f>DATA!Q27</f>
        <v>1</v>
      </c>
      <c r="P39" s="42">
        <f>DATA!R27</f>
        <v>1</v>
      </c>
      <c r="Q39" s="42">
        <f>DATA!S27</f>
        <v>21</v>
      </c>
      <c r="R39" s="83">
        <f>DATA!T27</f>
        <v>100000000</v>
      </c>
      <c r="S39" s="88">
        <f>DATA!U27</f>
        <v>100000000</v>
      </c>
      <c r="T39" s="83">
        <f>DATA!V27</f>
        <v>5000000</v>
      </c>
      <c r="U39" s="83">
        <f>DATA!W27</f>
        <v>0</v>
      </c>
      <c r="V39" s="83">
        <f>DATA!X27</f>
        <v>105000000</v>
      </c>
      <c r="W39" s="84" t="str">
        <f>DATA!Y27</f>
        <v>JICA</v>
      </c>
      <c r="X39" s="42" t="str">
        <f>DATA!Z27</f>
        <v>Bilateral</v>
      </c>
      <c r="Y39" s="83">
        <f>DATA!AA27</f>
        <v>100000000</v>
      </c>
      <c r="Z39" s="83">
        <f>DATA!AG27</f>
        <v>0</v>
      </c>
      <c r="AA39" s="42">
        <f>DATA!AH27</f>
        <v>2016</v>
      </c>
      <c r="AB39" s="67" t="str">
        <f>DATA!AI27</f>
        <v>-</v>
      </c>
      <c r="AC39" s="152">
        <f>DATA!AM27</f>
        <v>0</v>
      </c>
      <c r="AD39" s="152" t="str">
        <f>DATA!AN27</f>
        <v>siap</v>
      </c>
      <c r="AE39" s="152" t="str">
        <f>DATA!AO27</f>
        <v>dalam proses
(persiapan)</v>
      </c>
      <c r="AF39" s="67" t="str">
        <f>DATA!AJ27</f>
        <v>FS , AMDAL, DED</v>
      </c>
      <c r="AG39" s="67" t="str">
        <f>DATA!AK27</f>
        <v>Proses pembebasan lahan oleh Pemda</v>
      </c>
      <c r="AH39" s="67" t="str">
        <f>DATA!AL27</f>
        <v>-</v>
      </c>
      <c r="AI39" s="42">
        <f>DATA!AM27</f>
        <v>0</v>
      </c>
      <c r="AJ39" s="42" t="str">
        <f>DATA!AN27</f>
        <v>siap</v>
      </c>
      <c r="AK39" s="42" t="str">
        <f>DATA!AO27</f>
        <v>dalam proses
(persiapan)</v>
      </c>
      <c r="AL39" s="42" t="str">
        <f>DATA!AP27</f>
        <v>belum ada proses tender/lelang</v>
      </c>
      <c r="AM39" s="42" t="str">
        <f>DATA!AY27</f>
        <v>Konfirmasi melalui surat Sekjen nomor KU.01.12-Sj/636 tgl 23 Oktober 2015</v>
      </c>
      <c r="AN39" s="42" t="e">
        <f>DATA!#REF!</f>
        <v>#REF!</v>
      </c>
      <c r="AO39" s="42">
        <f>DATA!AZ27</f>
        <v>0</v>
      </c>
      <c r="AP39" s="152" t="e">
        <f>DATA!#REF!</f>
        <v>#REF!</v>
      </c>
      <c r="AQ39" s="67" t="str">
        <f>DATA!BA27</f>
        <v>Pembangunan IPA Somba Opu Tahap II, kap. 1.000 lt/dt dan pembangunan jaringan pipa transmisi air minum untuk melayani 149.925 SR di wilayah Makassar, Maros, Gowa dan Takalar.</v>
      </c>
    </row>
    <row r="40" spans="1:43" s="6" customFormat="1" ht="88.5" customHeight="1">
      <c r="A40" s="6">
        <f>DATA!A28</f>
        <v>25</v>
      </c>
      <c r="B40" s="6">
        <f>DATA!B28</f>
        <v>0</v>
      </c>
      <c r="C40" s="6" t="str">
        <f>DATA!D28</f>
        <v>INFRASTRUKTUR</v>
      </c>
      <c r="D40" s="6">
        <f>DATA!E28</f>
        <v>1</v>
      </c>
      <c r="E40" s="6" t="str">
        <f>DATA!F28</f>
        <v>Kementerian Pekerjaan Umum dan Perumahan Rakyat</v>
      </c>
      <c r="F40" s="6" t="str">
        <f>DATA!H28</f>
        <v>Drinking Water Development Program</v>
      </c>
      <c r="G40" s="6" t="str">
        <f>DATA!I28</f>
        <v>D</v>
      </c>
      <c r="H40" s="6" t="str">
        <f>DATA!J28</f>
        <v>Program Pembangunan Air Minum</v>
      </c>
      <c r="I40" s="6">
        <f>DATA!K28</f>
        <v>3</v>
      </c>
      <c r="J40" s="38"/>
      <c r="K40" s="39"/>
      <c r="L40" s="39"/>
      <c r="M40" s="38"/>
      <c r="N40" s="67" t="str">
        <f>DATA!L28</f>
        <v xml:space="preserve">The Development of Regional Water Supply System in Benteng Kobema </v>
      </c>
      <c r="O40" s="42">
        <f>DATA!Q28</f>
        <v>1</v>
      </c>
      <c r="P40" s="42">
        <f>DATA!R28</f>
        <v>1</v>
      </c>
      <c r="Q40" s="42">
        <f>DATA!S28</f>
        <v>22</v>
      </c>
      <c r="R40" s="83">
        <f>DATA!T28</f>
        <v>74300000</v>
      </c>
      <c r="S40" s="88">
        <f>DATA!U28</f>
        <v>74300000</v>
      </c>
      <c r="T40" s="83">
        <f>DATA!V28</f>
        <v>3715000</v>
      </c>
      <c r="U40" s="83">
        <f>DATA!W28</f>
        <v>0</v>
      </c>
      <c r="V40" s="83">
        <f>DATA!X28</f>
        <v>78015000</v>
      </c>
      <c r="W40" s="84" t="str">
        <f>DATA!Y28</f>
        <v>Bank Dunia/JICA/ADB</v>
      </c>
      <c r="X40" s="42" t="str">
        <f>DATA!Z28</f>
        <v>Multi Lender</v>
      </c>
      <c r="Y40" s="83">
        <f>DATA!AA28</f>
        <v>74300000</v>
      </c>
      <c r="Z40" s="83">
        <f>DATA!AG28</f>
        <v>0</v>
      </c>
      <c r="AA40" s="42">
        <f>DATA!AH28</f>
        <v>2017</v>
      </c>
      <c r="AB40" s="67" t="str">
        <f>DATA!AI28</f>
        <v>-</v>
      </c>
      <c r="AC40" s="152">
        <f>DATA!AM28</f>
        <v>0</v>
      </c>
      <c r="AD40" s="152" t="str">
        <f>DATA!AN28</f>
        <v>dalam proses
(penyusunan FS)</v>
      </c>
      <c r="AE40" s="152" t="str">
        <f>DATA!AO28</f>
        <v>dalam proses
(persiapan)</v>
      </c>
      <c r="AF40" s="67" t="str">
        <f>DATA!AJ28</f>
        <v>RISPAM, DED, SIPA, Organisasi Pelaksana, DDUB</v>
      </c>
      <c r="AG40" s="67" t="str">
        <f>DATA!AK28</f>
        <v>Proses pembebasan lahan oleh Pemda</v>
      </c>
      <c r="AH40" s="67" t="str">
        <f>DATA!AL28</f>
        <v>-</v>
      </c>
      <c r="AI40" s="42">
        <f>DATA!AM28</f>
        <v>0</v>
      </c>
      <c r="AJ40" s="42" t="str">
        <f>DATA!AN28</f>
        <v>dalam proses
(penyusunan FS)</v>
      </c>
      <c r="AK40" s="42" t="str">
        <f>DATA!AO28</f>
        <v>dalam proses
(persiapan)</v>
      </c>
      <c r="AL40" s="42" t="str">
        <f>DATA!AP28</f>
        <v>belum ada proses tender/lelang</v>
      </c>
      <c r="AM40" s="42" t="str">
        <f>DATA!AY28</f>
        <v>Konfirmasi melalui surat Sekjen nomor KU.01.12-Sj/636 tgl 23 Oktober 2015</v>
      </c>
      <c r="AN40" s="42" t="e">
        <f>DATA!#REF!</f>
        <v>#REF!</v>
      </c>
      <c r="AO40" s="42" t="str">
        <f>DATA!AZ28</f>
        <v>JICA &amp; ADB juga diindikasikan akan mendanai kegiatan ini meskipun belum ada pembicaraan</v>
      </c>
      <c r="AP40" s="152" t="e">
        <f>DATA!#REF!</f>
        <v>#REF!</v>
      </c>
      <c r="AQ40" s="67"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row>
    <row r="41" spans="1:43" s="6" customFormat="1" ht="87" customHeight="1">
      <c r="A41" s="6">
        <f>DATA!A29</f>
        <v>26</v>
      </c>
      <c r="B41" s="6">
        <f>DATA!B29</f>
        <v>0</v>
      </c>
      <c r="C41" s="6" t="str">
        <f>DATA!D29</f>
        <v>INFRASTRUKTUR</v>
      </c>
      <c r="D41" s="6">
        <f>DATA!E29</f>
        <v>1</v>
      </c>
      <c r="E41" s="6" t="str">
        <f>DATA!F29</f>
        <v>Kementerian Pekerjaan Umum dan Perumahan Rakyat</v>
      </c>
      <c r="F41" s="6" t="str">
        <f>DATA!H29</f>
        <v>Drinking Water Development Program</v>
      </c>
      <c r="G41" s="6" t="str">
        <f>DATA!I29</f>
        <v>D</v>
      </c>
      <c r="H41" s="6" t="str">
        <f>DATA!J29</f>
        <v>Program Pembangunan Air Minum</v>
      </c>
      <c r="I41" s="6">
        <f>DATA!K29</f>
        <v>3</v>
      </c>
      <c r="J41" s="38"/>
      <c r="K41" s="39"/>
      <c r="L41" s="39"/>
      <c r="M41" s="38"/>
      <c r="N41" s="67" t="str">
        <f>DATA!L29</f>
        <v xml:space="preserve">The Development of Regional Water Supply System in Wosusokas </v>
      </c>
      <c r="O41" s="42">
        <f>DATA!Q29</f>
        <v>1</v>
      </c>
      <c r="P41" s="42">
        <f>DATA!R29</f>
        <v>1</v>
      </c>
      <c r="Q41" s="42">
        <f>DATA!S29</f>
        <v>23</v>
      </c>
      <c r="R41" s="83">
        <f>DATA!T29</f>
        <v>106200000</v>
      </c>
      <c r="S41" s="88">
        <f>DATA!U29</f>
        <v>106200000</v>
      </c>
      <c r="T41" s="83">
        <f>DATA!V29</f>
        <v>5310000</v>
      </c>
      <c r="U41" s="83">
        <f>DATA!W29</f>
        <v>0</v>
      </c>
      <c r="V41" s="83">
        <f>DATA!X29</f>
        <v>111510000</v>
      </c>
      <c r="W41" s="84" t="str">
        <f>DATA!Y29</f>
        <v>Jerman (KfW)</v>
      </c>
      <c r="X41" s="42" t="str">
        <f>DATA!Z29</f>
        <v>Bilateral</v>
      </c>
      <c r="Y41" s="83">
        <f>DATA!AA29</f>
        <v>106200000</v>
      </c>
      <c r="Z41" s="83">
        <f>DATA!AG29</f>
        <v>0</v>
      </c>
      <c r="AA41" s="42">
        <f>DATA!AH29</f>
        <v>2017</v>
      </c>
      <c r="AB41" s="67" t="str">
        <f>DATA!AI29</f>
        <v>-</v>
      </c>
      <c r="AC41" s="152">
        <f>DATA!AM29</f>
        <v>0</v>
      </c>
      <c r="AD41" s="152" t="str">
        <f>DATA!AN29</f>
        <v>dalam proses
(penyusunan FS)</v>
      </c>
      <c r="AE41" s="152" t="str">
        <f>DATA!AO29</f>
        <v>dalam proses
(persiapan)</v>
      </c>
      <c r="AF41" s="67" t="str">
        <f>DATA!AJ29</f>
        <v>RISPAM, DED, SIPA, Organisasi Pelaksana, DDUB</v>
      </c>
      <c r="AG41" s="67" t="str">
        <f>DATA!AK29</f>
        <v>Proses pembebasan lahan oleh Pemda</v>
      </c>
      <c r="AH41" s="67" t="str">
        <f>DATA!AL29</f>
        <v>-</v>
      </c>
      <c r="AI41" s="42">
        <f>DATA!AM29</f>
        <v>0</v>
      </c>
      <c r="AJ41" s="42" t="str">
        <f>DATA!AN29</f>
        <v>dalam proses
(penyusunan FS)</v>
      </c>
      <c r="AK41" s="42" t="str">
        <f>DATA!AO29</f>
        <v>dalam proses
(persiapan)</v>
      </c>
      <c r="AL41" s="42" t="str">
        <f>DATA!AP29</f>
        <v>belum ada proses tender/lelang</v>
      </c>
      <c r="AM41" s="42" t="str">
        <f>DATA!AY29</f>
        <v>Konfirmasi melalui surat Sekjen nomor KU.01.12-Sj/636 tgl 23 Oktober 2015</v>
      </c>
      <c r="AN41" s="42" t="e">
        <f>DATA!#REF!</f>
        <v>#REF!</v>
      </c>
      <c r="AO41" s="42">
        <f>DATA!AZ29</f>
        <v>0</v>
      </c>
      <c r="AP41" s="152" t="e">
        <f>DATA!#REF!</f>
        <v>#REF!</v>
      </c>
      <c r="AQ41" s="67"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row>
    <row r="42" spans="1:43" s="6" customFormat="1" ht="89.25">
      <c r="A42" s="6">
        <f>DATA!A30</f>
        <v>27</v>
      </c>
      <c r="B42" s="6">
        <f>DATA!B30</f>
        <v>0</v>
      </c>
      <c r="C42" s="6" t="str">
        <f>DATA!D30</f>
        <v>INFRASTRUKTUR</v>
      </c>
      <c r="D42" s="6">
        <f>DATA!E30</f>
        <v>1</v>
      </c>
      <c r="E42" s="6" t="str">
        <f>DATA!F30</f>
        <v>Kementerian Pekerjaan Umum dan Perumahan Rakyat</v>
      </c>
      <c r="F42" s="6" t="str">
        <f>DATA!H30</f>
        <v>Drinking Water Development Program</v>
      </c>
      <c r="G42" s="6" t="str">
        <f>DATA!I30</f>
        <v>D</v>
      </c>
      <c r="H42" s="6" t="str">
        <f>DATA!J30</f>
        <v>Program Pembangunan Air Minum</v>
      </c>
      <c r="I42" s="6">
        <f>DATA!K30</f>
        <v>3</v>
      </c>
      <c r="J42" s="38"/>
      <c r="K42" s="39"/>
      <c r="L42" s="39"/>
      <c r="M42" s="38"/>
      <c r="N42" s="67" t="str">
        <f>DATA!L30</f>
        <v xml:space="preserve">The Development of Regional Water Supply System of Jatigede </v>
      </c>
      <c r="O42" s="42">
        <f>DATA!Q30</f>
        <v>1</v>
      </c>
      <c r="P42" s="42">
        <f>DATA!R30</f>
        <v>1</v>
      </c>
      <c r="Q42" s="42">
        <f>DATA!S30</f>
        <v>24</v>
      </c>
      <c r="R42" s="83">
        <f>DATA!T30</f>
        <v>167000000</v>
      </c>
      <c r="S42" s="88">
        <f>DATA!U30</f>
        <v>140620000</v>
      </c>
      <c r="T42" s="83">
        <f>DATA!V30</f>
        <v>8350000</v>
      </c>
      <c r="U42" s="83">
        <f>DATA!W30</f>
        <v>0</v>
      </c>
      <c r="V42" s="83">
        <f>DATA!X30</f>
        <v>175350000</v>
      </c>
      <c r="W42" s="84" t="str">
        <f>DATA!Y30</f>
        <v>Bank Dunia/JICA/ADB</v>
      </c>
      <c r="X42" s="42" t="str">
        <f>DATA!Z30</f>
        <v>Multi Lender</v>
      </c>
      <c r="Y42" s="83">
        <f>DATA!AA30</f>
        <v>140620000</v>
      </c>
      <c r="Z42" s="83">
        <f>DATA!AG30</f>
        <v>0</v>
      </c>
      <c r="AA42" s="42">
        <f>DATA!AH30</f>
        <v>2017</v>
      </c>
      <c r="AB42" s="67" t="str">
        <f>DATA!AI30</f>
        <v>-</v>
      </c>
      <c r="AC42" s="152">
        <f>DATA!AM30</f>
        <v>0</v>
      </c>
      <c r="AD42" s="152" t="str">
        <f>DATA!AN30</f>
        <v>belum ada keterangan</v>
      </c>
      <c r="AE42" s="152" t="str">
        <f>DATA!AO30</f>
        <v>belum ada keterangan</v>
      </c>
      <c r="AF42" s="67" t="str">
        <f>DATA!AJ30</f>
        <v>-</v>
      </c>
      <c r="AG42" s="67" t="str">
        <f>DATA!AK30</f>
        <v>-</v>
      </c>
      <c r="AH42" s="67" t="str">
        <f>DATA!AL30</f>
        <v>-</v>
      </c>
      <c r="AI42" s="42">
        <f>DATA!AM30</f>
        <v>0</v>
      </c>
      <c r="AJ42" s="42" t="str">
        <f>DATA!AN30</f>
        <v>belum ada keterangan</v>
      </c>
      <c r="AK42" s="42" t="str">
        <f>DATA!AO30</f>
        <v>belum ada keterangan</v>
      </c>
      <c r="AL42" s="42" t="str">
        <f>DATA!AP30</f>
        <v>belum ada proses tender/lelang</v>
      </c>
      <c r="AM42" s="42" t="str">
        <f>DATA!AY30</f>
        <v>Konfirmasi melalui surat Sekjen nomor KU.01.12-Sj/636 tgl 23 Oktober 2015</v>
      </c>
      <c r="AN42" s="42" t="e">
        <f>DATA!#REF!</f>
        <v>#REF!</v>
      </c>
      <c r="AO42" s="42">
        <f>DATA!AZ30</f>
        <v>0</v>
      </c>
      <c r="AP42" s="152" t="e">
        <f>DATA!#REF!</f>
        <v>#REF!</v>
      </c>
      <c r="AQ42" s="67"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row>
    <row r="43" spans="1:43" s="6" customFormat="1" ht="88.5" customHeight="1">
      <c r="A43" s="6">
        <f>DATA!A31</f>
        <v>28</v>
      </c>
      <c r="B43" s="6">
        <f>DATA!B31</f>
        <v>0</v>
      </c>
      <c r="C43" s="6" t="str">
        <f>DATA!D31</f>
        <v>INFRASTRUKTUR</v>
      </c>
      <c r="D43" s="6">
        <f>DATA!E31</f>
        <v>1</v>
      </c>
      <c r="E43" s="6" t="str">
        <f>DATA!F31</f>
        <v>Kementerian Pekerjaan Umum dan Perumahan Rakyat</v>
      </c>
      <c r="F43" s="6" t="str">
        <f>DATA!H31</f>
        <v>Drinking Water Development Program</v>
      </c>
      <c r="G43" s="6" t="str">
        <f>DATA!I31</f>
        <v>D</v>
      </c>
      <c r="H43" s="6" t="str">
        <f>DATA!J31</f>
        <v>Program Pembangunan Air Minum</v>
      </c>
      <c r="I43" s="6">
        <f>DATA!K31</f>
        <v>3</v>
      </c>
      <c r="J43" s="38"/>
      <c r="K43" s="39"/>
      <c r="L43" s="39"/>
      <c r="M43" s="38"/>
      <c r="N43" s="67" t="str">
        <f>DATA!L31</f>
        <v>The Development of Regional Water Supply System of Petanglong</v>
      </c>
      <c r="O43" s="42">
        <f>DATA!Q31</f>
        <v>1</v>
      </c>
      <c r="P43" s="42">
        <f>DATA!R31</f>
        <v>1</v>
      </c>
      <c r="Q43" s="42">
        <f>DATA!S31</f>
        <v>25</v>
      </c>
      <c r="R43" s="83">
        <f>DATA!T31</f>
        <v>95380000</v>
      </c>
      <c r="S43" s="88">
        <f>DATA!U31</f>
        <v>95380000</v>
      </c>
      <c r="T43" s="83">
        <f>DATA!V31</f>
        <v>4769000</v>
      </c>
      <c r="U43" s="83">
        <f>DATA!W31</f>
        <v>0</v>
      </c>
      <c r="V43" s="83">
        <f>DATA!X31</f>
        <v>100149000</v>
      </c>
      <c r="W43" s="84" t="str">
        <f>DATA!Y31</f>
        <v>Bank Dunia/JICA/ADB</v>
      </c>
      <c r="X43" s="42" t="str">
        <f>DATA!Z31</f>
        <v>Multi Lender</v>
      </c>
      <c r="Y43" s="83">
        <f>DATA!AA31</f>
        <v>95380000</v>
      </c>
      <c r="Z43" s="83">
        <f>DATA!AG31</f>
        <v>0</v>
      </c>
      <c r="AA43" s="42">
        <f>DATA!AH31</f>
        <v>2017</v>
      </c>
      <c r="AB43" s="67" t="str">
        <f>DATA!AI31</f>
        <v>Tahap persiapan project</v>
      </c>
      <c r="AC43" s="152">
        <f>DATA!AM31</f>
        <v>0</v>
      </c>
      <c r="AD43" s="152" t="str">
        <f>DATA!AN31</f>
        <v>belum ada keterangan</v>
      </c>
      <c r="AE43" s="152" t="str">
        <f>DATA!AO31</f>
        <v>belum ada keterangan</v>
      </c>
      <c r="AF43" s="67" t="str">
        <f>DATA!AJ31</f>
        <v>-</v>
      </c>
      <c r="AG43" s="67" t="str">
        <f>DATA!AK31</f>
        <v>-</v>
      </c>
      <c r="AH43" s="67" t="str">
        <f>DATA!AL31</f>
        <v>-</v>
      </c>
      <c r="AI43" s="42">
        <f>DATA!AM31</f>
        <v>0</v>
      </c>
      <c r="AJ43" s="42" t="str">
        <f>DATA!AN31</f>
        <v>belum ada keterangan</v>
      </c>
      <c r="AK43" s="42" t="str">
        <f>DATA!AO31</f>
        <v>belum ada keterangan</v>
      </c>
      <c r="AL43" s="42" t="str">
        <f>DATA!AP31</f>
        <v>belum ada proses tender/lelang</v>
      </c>
      <c r="AM43" s="42" t="str">
        <f>DATA!AY31</f>
        <v>Konfirmasi melalui surat Sekjen nomor KU.01.12-Sj/636 tgl 23 Oktober 2015</v>
      </c>
      <c r="AN43" s="42" t="e">
        <f>DATA!#REF!</f>
        <v>#REF!</v>
      </c>
      <c r="AO43" s="42">
        <f>DATA!AZ31</f>
        <v>0</v>
      </c>
      <c r="AP43" s="152" t="e">
        <f>DATA!#REF!</f>
        <v>#REF!</v>
      </c>
      <c r="AQ43" s="67" t="str">
        <f>DATA!BA31</f>
        <v>Pembangunan intake dan transmisi air baku, pembangunan IPA dengan kapasitas 1.100 lt/dt untuk sistem pengelolaan air minum yang berkapasitas 1.100 lt/dt, dan untuk penyediaan SPAM yang melayani 142.999 SR  di wilayah Kab. Batang, Kota Pekalongan, Kab. Pekalongan</v>
      </c>
    </row>
    <row r="44" spans="1:43" s="6" customFormat="1" ht="63.75">
      <c r="A44" s="6">
        <f>DATA!A32</f>
        <v>29</v>
      </c>
      <c r="B44" s="6">
        <f>DATA!B32</f>
        <v>0</v>
      </c>
      <c r="C44" s="6" t="str">
        <f>DATA!D32</f>
        <v>INFRASTRUKTUR</v>
      </c>
      <c r="D44" s="6">
        <f>DATA!E32</f>
        <v>1</v>
      </c>
      <c r="E44" s="6" t="str">
        <f>DATA!F32</f>
        <v>Kementerian Pekerjaan Umum dan Perumahan Rakyat</v>
      </c>
      <c r="F44" s="6" t="str">
        <f>DATA!H32</f>
        <v>Drinking Water Development Program</v>
      </c>
      <c r="G44" s="6" t="str">
        <f>DATA!I32</f>
        <v>D</v>
      </c>
      <c r="H44" s="6" t="str">
        <f>DATA!J32</f>
        <v>Program Pembangunan Air Minum</v>
      </c>
      <c r="I44" s="6">
        <f>DATA!K32</f>
        <v>3</v>
      </c>
      <c r="J44" s="38"/>
      <c r="K44" s="39"/>
      <c r="L44" s="39"/>
      <c r="M44" s="38"/>
      <c r="N44" s="67" t="str">
        <f>DATA!L32</f>
        <v xml:space="preserve">The Development of Regional Water Supply System of Durolis </v>
      </c>
      <c r="O44" s="42">
        <f>DATA!Q32</f>
        <v>1</v>
      </c>
      <c r="P44" s="42">
        <f>DATA!R32</f>
        <v>1</v>
      </c>
      <c r="Q44" s="42">
        <f>DATA!S32</f>
        <v>26</v>
      </c>
      <c r="R44" s="83">
        <f>DATA!T32</f>
        <v>33400000</v>
      </c>
      <c r="S44" s="88">
        <f>DATA!U32</f>
        <v>33400000</v>
      </c>
      <c r="T44" s="83">
        <f>DATA!V32</f>
        <v>1670000</v>
      </c>
      <c r="U44" s="83">
        <f>DATA!W32</f>
        <v>0</v>
      </c>
      <c r="V44" s="83">
        <f>DATA!X32</f>
        <v>35070000</v>
      </c>
      <c r="W44" s="84" t="str">
        <f>DATA!Y32</f>
        <v>Bank Dunia/JICA/ADB</v>
      </c>
      <c r="X44" s="42" t="str">
        <f>DATA!Z32</f>
        <v>Multi Lender</v>
      </c>
      <c r="Y44" s="83">
        <f>DATA!AA32</f>
        <v>33400000</v>
      </c>
      <c r="Z44" s="83">
        <f>DATA!AG32</f>
        <v>0</v>
      </c>
      <c r="AA44" s="42">
        <f>DATA!AH32</f>
        <v>2017</v>
      </c>
      <c r="AB44" s="67" t="str">
        <f>DATA!AI32</f>
        <v>-</v>
      </c>
      <c r="AC44" s="152">
        <f>DATA!AM32</f>
        <v>0</v>
      </c>
      <c r="AD44" s="152" t="str">
        <f>DATA!AN32</f>
        <v>siap</v>
      </c>
      <c r="AE44" s="152" t="str">
        <f>DATA!AO32</f>
        <v>siap</v>
      </c>
      <c r="AF44" s="67" t="str">
        <f>DATA!AJ32</f>
        <v>FS, DED, AMDAL</v>
      </c>
      <c r="AG44" s="67" t="str">
        <f>DATA!AK32</f>
        <v xml:space="preserve"> Lahan sudah tersedia </v>
      </c>
      <c r="AH44" s="67" t="str">
        <f>DATA!AL32</f>
        <v>-</v>
      </c>
      <c r="AI44" s="42">
        <f>DATA!AM32</f>
        <v>0</v>
      </c>
      <c r="AJ44" s="42" t="str">
        <f>DATA!AN32</f>
        <v>siap</v>
      </c>
      <c r="AK44" s="42" t="str">
        <f>DATA!AO32</f>
        <v>siap</v>
      </c>
      <c r="AL44" s="42" t="str">
        <f>DATA!AP32</f>
        <v>belum ada proses tender/lelang</v>
      </c>
      <c r="AM44" s="42" t="str">
        <f>DATA!AY32</f>
        <v>Konfirmasi melalui surat Sekjen nomor KU.01.12-Sj/636 tgl 23 Oktober 2015</v>
      </c>
      <c r="AN44" s="42" t="e">
        <f>DATA!#REF!</f>
        <v>#REF!</v>
      </c>
      <c r="AO44" s="42" t="str">
        <f>DATA!AZ32</f>
        <v>ADB juga diindikasikan akan mendanai kegiatan ini</v>
      </c>
      <c r="AP44" s="152" t="e">
        <f>DATA!#REF!</f>
        <v>#REF!</v>
      </c>
      <c r="AQ44" s="67" t="str">
        <f>DATA!BA32</f>
        <v>Pembangunan unit air baku, unit produksi dan distribusi utama, unit pelayanan dan unit pengelolaan untuk sistem pengelolaan air minum yang berkapasitas 500 lt/dt dan untuk melayani masyarakat sebesar 24.000 SR di wilayah Dumai, Rokan Hilir dan Bengkalis</v>
      </c>
    </row>
    <row r="45" spans="1:43" s="6" customFormat="1" ht="86.25" customHeight="1">
      <c r="A45" s="6">
        <f>DATA!A33</f>
        <v>30</v>
      </c>
      <c r="B45" s="6">
        <f>DATA!B33</f>
        <v>0</v>
      </c>
      <c r="C45" s="6" t="str">
        <f>DATA!D33</f>
        <v>INFRASTRUKTUR</v>
      </c>
      <c r="D45" s="6">
        <f>DATA!E33</f>
        <v>1</v>
      </c>
      <c r="E45" s="6" t="str">
        <f>DATA!F33</f>
        <v>Kementerian Pekerjaan Umum dan Perumahan Rakyat</v>
      </c>
      <c r="F45" s="6" t="str">
        <f>DATA!H33</f>
        <v>Drinking Water Development Program</v>
      </c>
      <c r="G45" s="6" t="str">
        <f>DATA!I33</f>
        <v>D</v>
      </c>
      <c r="H45" s="6" t="str">
        <f>DATA!J33</f>
        <v>Program Pembangunan Air Minum</v>
      </c>
      <c r="I45" s="6">
        <f>DATA!K33</f>
        <v>3</v>
      </c>
      <c r="J45" s="38"/>
      <c r="K45" s="39"/>
      <c r="L45" s="39"/>
      <c r="M45" s="38"/>
      <c r="N45" s="67" t="str">
        <f>DATA!L33</f>
        <v xml:space="preserve">The Development of Regional Water Supply System of  Banten - Jakarta from Karian Dam </v>
      </c>
      <c r="O45" s="42">
        <f>DATA!Q33</f>
        <v>1</v>
      </c>
      <c r="P45" s="42">
        <f>DATA!R33</f>
        <v>1</v>
      </c>
      <c r="Q45" s="42">
        <f>DATA!S33</f>
        <v>27</v>
      </c>
      <c r="R45" s="83">
        <f>DATA!T33</f>
        <v>40000000</v>
      </c>
      <c r="S45" s="88">
        <f>DATA!U33</f>
        <v>40000000</v>
      </c>
      <c r="T45" s="83">
        <f>DATA!V33</f>
        <v>2000000</v>
      </c>
      <c r="U45" s="83">
        <f>DATA!W33</f>
        <v>0</v>
      </c>
      <c r="V45" s="83">
        <f>DATA!X33</f>
        <v>42000000</v>
      </c>
      <c r="W45" s="84" t="str">
        <f>DATA!Y33</f>
        <v>Korea</v>
      </c>
      <c r="X45" s="42" t="str">
        <f>DATA!Z33</f>
        <v>Bilateral</v>
      </c>
      <c r="Y45" s="83">
        <f>DATA!AA33</f>
        <v>40000000</v>
      </c>
      <c r="Z45" s="83">
        <f>DATA!AG33</f>
        <v>0</v>
      </c>
      <c r="AA45" s="42">
        <f>DATA!AH33</f>
        <v>2017</v>
      </c>
      <c r="AB45" s="67" t="str">
        <f>DATA!AI33</f>
        <v>-</v>
      </c>
      <c r="AC45" s="152">
        <f>DATA!AM33</f>
        <v>0</v>
      </c>
      <c r="AD45" s="152" t="str">
        <f>DATA!AN33</f>
        <v>dalam proses
(memiliki FS)</v>
      </c>
      <c r="AE45" s="152" t="str">
        <f>DATA!AO33</f>
        <v>dalam proses
(persiapan)</v>
      </c>
      <c r="AF45" s="67" t="str">
        <f>DATA!AJ33</f>
        <v>FS</v>
      </c>
      <c r="AG45" s="67" t="str">
        <f>DATA!AK33</f>
        <v>Proses pembebasan lahan oleh Pemda</v>
      </c>
      <c r="AH45" s="67" t="str">
        <f>DATA!AL33</f>
        <v>-</v>
      </c>
      <c r="AI45" s="42">
        <f>DATA!AM33</f>
        <v>0</v>
      </c>
      <c r="AJ45" s="42" t="str">
        <f>DATA!AN33</f>
        <v>dalam proses
(memiliki FS)</v>
      </c>
      <c r="AK45" s="42" t="str">
        <f>DATA!AO33</f>
        <v>dalam proses
(persiapan)</v>
      </c>
      <c r="AL45" s="42" t="str">
        <f>DATA!AP33</f>
        <v>belum ada proses tender/lelang</v>
      </c>
      <c r="AM45" s="42" t="str">
        <f>DATA!AY33</f>
        <v>Konfirmasi melalui surat Sekjen nomor KU.01.12-Sj/636 tgl 23 Oktober 2015</v>
      </c>
      <c r="AN45" s="42" t="e">
        <f>DATA!#REF!</f>
        <v>#REF!</v>
      </c>
      <c r="AO45" s="42">
        <f>DATA!AZ33</f>
        <v>0</v>
      </c>
      <c r="AP45" s="152" t="e">
        <f>DATA!#REF!</f>
        <v>#REF!</v>
      </c>
      <c r="AQ45" s="67"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row>
    <row r="46" spans="1:43" s="6" customFormat="1" ht="56.25" customHeight="1">
      <c r="A46" s="6">
        <f>DATA!A34</f>
        <v>31</v>
      </c>
      <c r="B46" s="6">
        <f>DATA!B34</f>
        <v>0</v>
      </c>
      <c r="C46" s="6" t="str">
        <f>DATA!D34</f>
        <v>INFRASTRUKTUR</v>
      </c>
      <c r="D46" s="6">
        <f>DATA!E34</f>
        <v>1</v>
      </c>
      <c r="E46" s="6" t="str">
        <f>DATA!F34</f>
        <v>Kementerian Pekerjaan Umum dan Perumahan Rakyat</v>
      </c>
      <c r="F46" s="6" t="str">
        <f>DATA!H34</f>
        <v>Drinking Water Development Program</v>
      </c>
      <c r="G46" s="6" t="str">
        <f>DATA!I34</f>
        <v>D</v>
      </c>
      <c r="H46" s="6" t="str">
        <f>DATA!J34</f>
        <v>Program Pembangunan Air Minum</v>
      </c>
      <c r="I46" s="6">
        <f>DATA!K34</f>
        <v>3</v>
      </c>
      <c r="J46" s="38"/>
      <c r="K46" s="39"/>
      <c r="L46" s="39"/>
      <c r="M46" s="43"/>
      <c r="N46" s="67" t="str">
        <f>DATA!L34</f>
        <v xml:space="preserve">The Development of Regional Water Supply System of Mebidang </v>
      </c>
      <c r="O46" s="42">
        <f>DATA!Q34</f>
        <v>1</v>
      </c>
      <c r="P46" s="42">
        <f>DATA!R34</f>
        <v>1</v>
      </c>
      <c r="Q46" s="42">
        <f>DATA!S34</f>
        <v>28</v>
      </c>
      <c r="R46" s="83">
        <f>DATA!T34</f>
        <v>56400000</v>
      </c>
      <c r="S46" s="88">
        <f>DATA!U34</f>
        <v>56400000</v>
      </c>
      <c r="T46" s="83">
        <f>DATA!V34</f>
        <v>2820000</v>
      </c>
      <c r="U46" s="83">
        <f>DATA!W34</f>
        <v>0</v>
      </c>
      <c r="V46" s="83">
        <f>DATA!X34</f>
        <v>59220000</v>
      </c>
      <c r="W46" s="84" t="str">
        <f>DATA!Y34</f>
        <v>Jerman (KfW)</v>
      </c>
      <c r="X46" s="42" t="str">
        <f>DATA!Z34</f>
        <v>Bilateral</v>
      </c>
      <c r="Y46" s="83">
        <f>DATA!AA34</f>
        <v>56400000</v>
      </c>
      <c r="Z46" s="83">
        <f>DATA!AG34</f>
        <v>0</v>
      </c>
      <c r="AA46" s="42">
        <f>DATA!AH34</f>
        <v>2017</v>
      </c>
      <c r="AB46" s="67" t="str">
        <f>DATA!AI34</f>
        <v>-</v>
      </c>
      <c r="AC46" s="152">
        <f>DATA!AM34</f>
        <v>0</v>
      </c>
      <c r="AD46" s="152" t="str">
        <f>DATA!AN34</f>
        <v>dalam proses
(memiliki FS dan DED)</v>
      </c>
      <c r="AE46" s="152" t="str">
        <f>DATA!AO34</f>
        <v>dalam proses
(persiapan)</v>
      </c>
      <c r="AF46" s="67" t="str">
        <f>DATA!AJ34</f>
        <v>FS, DED</v>
      </c>
      <c r="AG46" s="67" t="str">
        <f>DATA!AK34</f>
        <v>Proses pembebasan lahan oleh Pemda</v>
      </c>
      <c r="AH46" s="67" t="str">
        <f>DATA!AL34</f>
        <v>-</v>
      </c>
      <c r="AI46" s="42">
        <f>DATA!AM34</f>
        <v>0</v>
      </c>
      <c r="AJ46" s="42" t="str">
        <f>DATA!AN34</f>
        <v>dalam proses
(memiliki FS dan DED)</v>
      </c>
      <c r="AK46" s="42" t="str">
        <f>DATA!AO34</f>
        <v>dalam proses
(persiapan)</v>
      </c>
      <c r="AL46" s="42" t="str">
        <f>DATA!AP34</f>
        <v>belum ada proses tender/lelang</v>
      </c>
      <c r="AM46" s="42" t="str">
        <f>DATA!AY34</f>
        <v>Konfirmasi melalui surat Sekjen nomor KU.01.12-Sj/636 tgl 23 Oktober 2015</v>
      </c>
      <c r="AN46" s="42" t="e">
        <f>DATA!#REF!</f>
        <v>#REF!</v>
      </c>
      <c r="AO46" s="42">
        <f>DATA!AZ34</f>
        <v>0</v>
      </c>
      <c r="AP46" s="152" t="e">
        <f>DATA!#REF!</f>
        <v>#REF!</v>
      </c>
      <c r="AQ46" s="67" t="str">
        <f>DATA!BA34</f>
        <v>Pembangunan IPA dengan kapasitas 1.250 lt/dt, pembangunan jaringan pipa transmisi untuk penyediaan air minum yang melayani 84.558 SR di wilayah Medan, Binjai, dan Deli Serdang.</v>
      </c>
    </row>
    <row r="47" spans="1:43" ht="48.75" customHeight="1">
      <c r="A47" s="10">
        <f>DATA!A35</f>
        <v>32</v>
      </c>
      <c r="B47" s="10">
        <f>DATA!B35</f>
        <v>0</v>
      </c>
      <c r="C47" s="10" t="str">
        <f>DATA!D35</f>
        <v>INFRASTRUKTUR</v>
      </c>
      <c r="D47" s="10">
        <f>DATA!E35</f>
        <v>1</v>
      </c>
      <c r="E47" s="10" t="str">
        <f>DATA!F35</f>
        <v>Kementerian Pekerjaan Umum dan Perumahan Rakyat</v>
      </c>
      <c r="F47" s="10" t="str">
        <f>DATA!H35</f>
        <v>Drinking Water Development Program</v>
      </c>
      <c r="G47" s="10" t="str">
        <f>DATA!I35</f>
        <v>D</v>
      </c>
      <c r="H47" s="10" t="str">
        <f>DATA!J35</f>
        <v>Program Pembangunan Air Minum</v>
      </c>
      <c r="I47" s="10">
        <f>DATA!K35</f>
        <v>4</v>
      </c>
      <c r="J47" s="33"/>
      <c r="K47" s="34"/>
      <c r="L47" s="34"/>
      <c r="M47" s="36">
        <f>DATA!K35</f>
        <v>4</v>
      </c>
      <c r="N47" s="37" t="str">
        <f>DATA!L35</f>
        <v>Water Supply System and Small Scale Water Treatment:</v>
      </c>
      <c r="O47" s="20">
        <f>DATA!Q35</f>
        <v>0</v>
      </c>
      <c r="P47" s="20">
        <f>DATA!R35</f>
        <v>0</v>
      </c>
      <c r="Q47" s="20">
        <f>DATA!S35</f>
        <v>0</v>
      </c>
      <c r="R47" s="77">
        <f>DATA!T35</f>
        <v>125000000</v>
      </c>
      <c r="S47" s="88">
        <f>DATA!U35</f>
        <v>125000000</v>
      </c>
      <c r="T47" s="77">
        <f>DATA!V35</f>
        <v>5800000</v>
      </c>
      <c r="U47" s="77">
        <f>DATA!W35</f>
        <v>0</v>
      </c>
      <c r="V47" s="77">
        <f>DATA!X35</f>
        <v>130800000</v>
      </c>
      <c r="W47" s="78" t="str">
        <f>DATA!Y35</f>
        <v>-</v>
      </c>
      <c r="X47" s="20">
        <f>DATA!Z35</f>
        <v>0</v>
      </c>
      <c r="Y47" s="77">
        <f>DATA!AA35</f>
        <v>125000000</v>
      </c>
      <c r="Z47" s="77">
        <f>DATA!AG35</f>
        <v>0</v>
      </c>
      <c r="AA47" s="20" t="str">
        <f>DATA!AH35</f>
        <v>-</v>
      </c>
      <c r="AB47" s="37" t="str">
        <f>DATA!AI35</f>
        <v>-</v>
      </c>
      <c r="AC47" s="152">
        <f>DATA!AM35</f>
        <v>0</v>
      </c>
      <c r="AD47" s="152" t="str">
        <f>DATA!AN35</f>
        <v>-</v>
      </c>
      <c r="AE47" s="152" t="str">
        <f>DATA!AO35</f>
        <v>-</v>
      </c>
      <c r="AF47" s="37" t="str">
        <f>DATA!AJ35</f>
        <v>-</v>
      </c>
      <c r="AG47" s="37" t="str">
        <f>DATA!AK35</f>
        <v>-</v>
      </c>
      <c r="AH47" s="37" t="str">
        <f>DATA!AL35</f>
        <v>-</v>
      </c>
      <c r="AI47" s="20">
        <f>DATA!AM35</f>
        <v>0</v>
      </c>
      <c r="AJ47" s="20" t="str">
        <f>DATA!AN35</f>
        <v>-</v>
      </c>
      <c r="AK47" s="20" t="str">
        <f>DATA!AO35</f>
        <v>-</v>
      </c>
      <c r="AL47" s="20">
        <f>DATA!AP35</f>
        <v>0</v>
      </c>
      <c r="AM47" s="20" t="str">
        <f>DATA!AY35</f>
        <v>Konfirmasi melalui surat Sekjen nomor KU.01.12-Sj/636 tgl 23 Oktober 2015</v>
      </c>
      <c r="AN47" s="20" t="e">
        <f>DATA!#REF!</f>
        <v>#REF!</v>
      </c>
      <c r="AO47" s="20">
        <f>DATA!AZ35</f>
        <v>0</v>
      </c>
      <c r="AP47" s="152" t="e">
        <f>DATA!#REF!</f>
        <v>#REF!</v>
      </c>
      <c r="AQ47" s="37" t="str">
        <f>DATA!BA35</f>
        <v>Pengadaan dan pembangunan Instalasi Pengolahan Air Minum skala kecil untuk penanganan keadaan darurat dan Ibu Kota Kecamatan (IKK) terpilih</v>
      </c>
    </row>
    <row r="48" spans="1:43" s="6" customFormat="1" ht="66.75" customHeight="1">
      <c r="A48" s="6">
        <f>DATA!A36</f>
        <v>33</v>
      </c>
      <c r="B48" s="6">
        <f>DATA!B36</f>
        <v>0</v>
      </c>
      <c r="C48" s="6" t="str">
        <f>DATA!D36</f>
        <v>INFRASTRUKTUR</v>
      </c>
      <c r="D48" s="6">
        <f>DATA!E36</f>
        <v>1</v>
      </c>
      <c r="E48" s="6" t="str">
        <f>DATA!F36</f>
        <v>Kementerian Pekerjaan Umum dan Perumahan Rakyat</v>
      </c>
      <c r="F48" s="6" t="str">
        <f>DATA!H36</f>
        <v>Drinking Water Development Program</v>
      </c>
      <c r="G48" s="6" t="str">
        <f>DATA!I36</f>
        <v>D</v>
      </c>
      <c r="H48" s="6" t="str">
        <f>DATA!J36</f>
        <v>Program Pembangunan Air Minum</v>
      </c>
      <c r="I48" s="6">
        <f>DATA!K36</f>
        <v>4</v>
      </c>
      <c r="J48" s="38"/>
      <c r="K48" s="39"/>
      <c r="L48" s="39"/>
      <c r="M48" s="40"/>
      <c r="N48" s="67" t="str">
        <f>DATA!L36</f>
        <v xml:space="preserve">Small Scale Water Treatment Plants for Emergency Relief </v>
      </c>
      <c r="O48" s="42">
        <f>DATA!Q36</f>
        <v>1</v>
      </c>
      <c r="P48" s="42">
        <f>DATA!R36</f>
        <v>1</v>
      </c>
      <c r="Q48" s="42">
        <f>DATA!S36</f>
        <v>29</v>
      </c>
      <c r="R48" s="83">
        <f>DATA!T36</f>
        <v>25000000</v>
      </c>
      <c r="S48" s="88">
        <f>DATA!U36</f>
        <v>25000000</v>
      </c>
      <c r="T48" s="83">
        <f>DATA!V36</f>
        <v>800000</v>
      </c>
      <c r="U48" s="83">
        <f>DATA!W36</f>
        <v>0</v>
      </c>
      <c r="V48" s="83">
        <f>DATA!X36</f>
        <v>25800000</v>
      </c>
      <c r="W48" s="84" t="str">
        <f>DATA!Y36</f>
        <v>Spanyol</v>
      </c>
      <c r="X48" s="42" t="str">
        <f>DATA!Z36</f>
        <v>Bilateral</v>
      </c>
      <c r="Y48" s="83">
        <f>DATA!AA36</f>
        <v>25000000</v>
      </c>
      <c r="Z48" s="83">
        <f>DATA!AG36</f>
        <v>0</v>
      </c>
      <c r="AA48" s="42">
        <f>DATA!AH36</f>
        <v>2016</v>
      </c>
      <c r="AB48" s="67" t="str">
        <f>DATA!AI36</f>
        <v>- Sudah ada R/C
- Green Book 2015
 - Proses Loan Agreement</v>
      </c>
      <c r="AC48" s="152" t="str">
        <f>DATA!AM36</f>
        <v>2016; 2015</v>
      </c>
      <c r="AD48" s="152" t="str">
        <f>DATA!AN36</f>
        <v>siap</v>
      </c>
      <c r="AE48" s="152" t="str">
        <f>DATA!AO36</f>
        <v>dalam proses
(persiapan)</v>
      </c>
      <c r="AF48" s="67" t="str">
        <f>DATA!AJ36</f>
        <v>FS</v>
      </c>
      <c r="AG48" s="67" t="str">
        <f>DATA!AK36</f>
        <v>-</v>
      </c>
      <c r="AH48" s="67" t="str">
        <f>DATA!AL36</f>
        <v>-</v>
      </c>
      <c r="AI48" s="42" t="str">
        <f>DATA!AM36</f>
        <v>2016; 2015</v>
      </c>
      <c r="AJ48" s="42" t="str">
        <f>DATA!AN36</f>
        <v>siap</v>
      </c>
      <c r="AK48" s="42" t="str">
        <f>DATA!AO36</f>
        <v>dalam proses
(persiapan)</v>
      </c>
      <c r="AL48" s="42" t="str">
        <f>DATA!AP36</f>
        <v>belum ada proses tender/lelang</v>
      </c>
      <c r="AM48" s="42" t="str">
        <f>DATA!AY36</f>
        <v>Konfirmasi melalui surat Sekjen nomor KU.01.12-Sj/636 tgl 23 Oktober 2015</v>
      </c>
      <c r="AN48" s="42" t="e">
        <f>DATA!#REF!</f>
        <v>#REF!</v>
      </c>
      <c r="AO48" s="42">
        <f>DATA!AZ36</f>
        <v>0</v>
      </c>
      <c r="AP48" s="152" t="e">
        <f>DATA!#REF!</f>
        <v>#REF!</v>
      </c>
      <c r="AQ48" s="67" t="str">
        <f>DATA!BA36</f>
        <v>Pengadaan Instalasi Pengolahan Air (IPA) yang dapat dipindahkan (mobile) untuk penanganan keadaan darurat,  yang dilengkapi dengan alat pendukung, truk, dan sistem komunikasi di 4 lokasi (kota Medan, Bekasi, Makassar, dan Surabaya)</v>
      </c>
    </row>
    <row r="49" spans="1:43" ht="35.25" customHeight="1">
      <c r="J49" s="33"/>
      <c r="K49" s="34"/>
      <c r="L49" s="34"/>
      <c r="M49" s="33"/>
      <c r="N49" s="37" t="str">
        <f>DATA!L37</f>
        <v>IKK Water Supply Program and Small Water Treatment Plant for Water Scarcity Area</v>
      </c>
      <c r="O49" s="20">
        <f>DATA!Q37</f>
        <v>0</v>
      </c>
      <c r="P49" s="20">
        <f>DATA!R37</f>
        <v>1</v>
      </c>
      <c r="Q49" s="20">
        <f>DATA!S37</f>
        <v>30</v>
      </c>
      <c r="R49" s="77">
        <f>DATA!T37</f>
        <v>100000000</v>
      </c>
      <c r="S49" s="88">
        <f>DATA!U37</f>
        <v>100000000</v>
      </c>
      <c r="T49" s="77">
        <f>DATA!V37</f>
        <v>5000000</v>
      </c>
      <c r="U49" s="77">
        <f>DATA!W37</f>
        <v>0</v>
      </c>
      <c r="V49" s="77">
        <f>DATA!X37</f>
        <v>105000000</v>
      </c>
      <c r="W49" s="78" t="str">
        <f>DATA!Y37</f>
        <v>-</v>
      </c>
      <c r="X49" s="20">
        <f>DATA!Z37</f>
        <v>0</v>
      </c>
      <c r="Y49" s="77">
        <f>DATA!AA37</f>
        <v>100000000</v>
      </c>
      <c r="Z49" s="77">
        <f>DATA!AG37</f>
        <v>0</v>
      </c>
      <c r="AA49" s="104" t="str">
        <f>DATA!AH37</f>
        <v>-</v>
      </c>
      <c r="AB49" s="105" t="str">
        <f>DATA!AI37</f>
        <v>-</v>
      </c>
      <c r="AC49" s="152" t="str">
        <f>DATA!AM37</f>
        <v>-</v>
      </c>
      <c r="AD49" s="152" t="str">
        <f>DATA!AN37</f>
        <v>-</v>
      </c>
      <c r="AE49" s="152" t="str">
        <f>DATA!AO37</f>
        <v>-</v>
      </c>
      <c r="AF49" s="105" t="str">
        <f>DATA!AJ37</f>
        <v>-</v>
      </c>
      <c r="AG49" s="105" t="str">
        <f>DATA!AK37</f>
        <v>-</v>
      </c>
      <c r="AH49" s="105" t="str">
        <f>DATA!AL37</f>
        <v>-</v>
      </c>
      <c r="AI49" s="104" t="str">
        <f>DATA!AM37</f>
        <v>-</v>
      </c>
      <c r="AJ49" s="104" t="str">
        <f>DATA!AN37</f>
        <v>-</v>
      </c>
      <c r="AK49" s="104" t="str">
        <f>DATA!AO37</f>
        <v>-</v>
      </c>
      <c r="AL49" s="104" t="str">
        <f>DATA!AP37</f>
        <v>-</v>
      </c>
      <c r="AM49" s="104" t="str">
        <f>DATA!AY37</f>
        <v>Konfirmasi melalui surat Sekjen nomor KU.01.12-Sj/636 tgl 23 Oktober 2015</v>
      </c>
      <c r="AN49" s="104" t="e">
        <f>DATA!#REF!</f>
        <v>#REF!</v>
      </c>
      <c r="AO49" s="104" t="str">
        <f>DATA!AZ37</f>
        <v>-</v>
      </c>
      <c r="AP49" s="152" t="e">
        <f>DATA!#REF!</f>
        <v>#REF!</v>
      </c>
      <c r="AQ49" s="105" t="str">
        <f>DATA!BA37</f>
        <v>-</v>
      </c>
    </row>
    <row r="50" spans="1:43" s="6" customFormat="1" ht="89.25">
      <c r="A50" s="6">
        <f>DATA!A38</f>
        <v>34</v>
      </c>
      <c r="B50" s="6">
        <f>DATA!B38</f>
        <v>0</v>
      </c>
      <c r="C50" s="6" t="str">
        <f>DATA!D38</f>
        <v>INFRASTRUKTUR</v>
      </c>
      <c r="D50" s="6">
        <f>DATA!E38</f>
        <v>1</v>
      </c>
      <c r="E50" s="6" t="str">
        <f>DATA!F38</f>
        <v>Kementerian Pekerjaan Umum dan Perumahan Rakyat</v>
      </c>
      <c r="F50" s="6" t="str">
        <f>DATA!H38</f>
        <v>Drinking Water Development Program</v>
      </c>
      <c r="G50" s="6" t="str">
        <f>DATA!I38</f>
        <v>D</v>
      </c>
      <c r="H50" s="6" t="str">
        <f>DATA!J38</f>
        <v>Program Pembangunan Air Minum</v>
      </c>
      <c r="I50" s="6">
        <f>DATA!K38</f>
        <v>4</v>
      </c>
      <c r="J50" s="38"/>
      <c r="K50" s="39"/>
      <c r="L50" s="71"/>
      <c r="M50" s="43"/>
      <c r="N50" s="67" t="str">
        <f>DATA!L38</f>
        <v>IKK Water Supply Program and Small Water Treatment Plant for Water Scarcity Area</v>
      </c>
      <c r="O50" s="42">
        <f>DATA!Q38</f>
        <v>0.5</v>
      </c>
      <c r="P50" s="42">
        <f>DATA!R38</f>
        <v>0</v>
      </c>
      <c r="Q50" s="42">
        <f>DATA!S38</f>
        <v>0</v>
      </c>
      <c r="R50" s="83">
        <f>DATA!T38</f>
        <v>0</v>
      </c>
      <c r="S50" s="88">
        <f>DATA!U38</f>
        <v>100000000</v>
      </c>
      <c r="T50" s="83">
        <f>DATA!V38</f>
        <v>0</v>
      </c>
      <c r="U50" s="83">
        <f>DATA!W38</f>
        <v>0</v>
      </c>
      <c r="V50" s="83">
        <f>DATA!X38</f>
        <v>0</v>
      </c>
      <c r="W50" s="84" t="str">
        <f>DATA!Y38</f>
        <v>Hungaria</v>
      </c>
      <c r="X50" s="42" t="str">
        <f>DATA!Z38</f>
        <v>Bilateral</v>
      </c>
      <c r="Y50" s="83">
        <f>DATA!AA38</f>
        <v>50000000</v>
      </c>
      <c r="Z50" s="83">
        <f>DATA!AG38</f>
        <v>0</v>
      </c>
      <c r="AA50" s="42">
        <f>DATA!AH38</f>
        <v>2016</v>
      </c>
      <c r="AB50" s="67" t="str">
        <f>DATA!AI38</f>
        <v>- Sudah ada R/C
- Green Book 2015
- Proses LA</v>
      </c>
      <c r="AC50" s="152" t="str">
        <f>DATA!AM38</f>
        <v>2016; 2015</v>
      </c>
      <c r="AD50" s="152" t="str">
        <f>DATA!AN38</f>
        <v>siap</v>
      </c>
      <c r="AE50" s="152" t="str">
        <f>DATA!AO38</f>
        <v>dalam proses
(pelaksanaan &lt;50%)</v>
      </c>
      <c r="AF50" s="67" t="str">
        <f>DATA!AJ38</f>
        <v>Surat minat, RISPAM, DED, SIPA, Organisasi Pelaksana, DDUB</v>
      </c>
      <c r="AG50" s="67" t="str">
        <f>DATA!AK38</f>
        <v>Sebagian lokasi dalam proses pembebasan lahan oleh Pemda</v>
      </c>
      <c r="AH50" s="67" t="str">
        <f>DATA!AL38</f>
        <v>Dalam proses pengadaan</v>
      </c>
      <c r="AI50" s="42" t="str">
        <f>DATA!AM38</f>
        <v>2016; 2015</v>
      </c>
      <c r="AJ50" s="42" t="str">
        <f>DATA!AN38</f>
        <v>siap</v>
      </c>
      <c r="AK50" s="42" t="str">
        <f>DATA!AO38</f>
        <v>dalam proses
(pelaksanaan &lt;50%)</v>
      </c>
      <c r="AL50" s="42" t="str">
        <f>DATA!AP38</f>
        <v>dalam proses tender/lelang</v>
      </c>
      <c r="AM50" s="42" t="str">
        <f>DATA!AY38</f>
        <v>Konfirmasi melalui surat Sekjen nomor KU.01.12-Sj/636 tgl 23 Oktober 2015</v>
      </c>
      <c r="AN50" s="42" t="e">
        <f>DATA!#REF!</f>
        <v>#REF!</v>
      </c>
      <c r="AO50" s="42"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P50" s="152" t="e">
        <f>DATA!#REF!</f>
        <v>#REF!</v>
      </c>
      <c r="AQ50" s="67"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row>
    <row r="51" spans="1:43" s="6" customFormat="1" ht="30" customHeight="1">
      <c r="J51" s="38"/>
      <c r="K51" s="39"/>
      <c r="L51" s="71"/>
      <c r="M51" s="43"/>
      <c r="N51" s="67" t="str">
        <f>DATA!L39</f>
        <v>IKK Water Supply Program and Small Water Treatment Plant for Water Scarcity Area</v>
      </c>
      <c r="O51" s="42">
        <f>DATA!Q39</f>
        <v>0.5</v>
      </c>
      <c r="P51" s="42">
        <f>DATA!R39</f>
        <v>0</v>
      </c>
      <c r="Q51" s="42">
        <f>DATA!S39</f>
        <v>0</v>
      </c>
      <c r="R51" s="83">
        <f>DATA!T39</f>
        <v>0</v>
      </c>
      <c r="S51" s="88">
        <f>DATA!U39</f>
        <v>100000000</v>
      </c>
      <c r="T51" s="83">
        <f>DATA!V39</f>
        <v>0</v>
      </c>
      <c r="U51" s="83">
        <f>DATA!W39</f>
        <v>0</v>
      </c>
      <c r="V51" s="83">
        <f>DATA!X39</f>
        <v>0</v>
      </c>
      <c r="W51" s="84" t="str">
        <f>DATA!Y39</f>
        <v>IDB</v>
      </c>
      <c r="X51" s="42" t="str">
        <f>DATA!Z39</f>
        <v>Multilateral</v>
      </c>
      <c r="Y51" s="83">
        <f>DATA!AA39</f>
        <v>50000000</v>
      </c>
      <c r="Z51" s="83">
        <f>DATA!AG39</f>
        <v>0</v>
      </c>
      <c r="AA51" s="42">
        <f>DATA!AH39</f>
        <v>2017</v>
      </c>
      <c r="AB51" s="67" t="str">
        <f>DATA!AI39</f>
        <v>-</v>
      </c>
      <c r="AC51" s="152">
        <f>DATA!AM39</f>
        <v>0</v>
      </c>
      <c r="AD51" s="152" t="str">
        <f>DATA!AN39</f>
        <v>siap</v>
      </c>
      <c r="AE51" s="152" t="str">
        <f>DATA!AO39</f>
        <v>dalam proses
(pelaksanaan &lt;50%)</v>
      </c>
      <c r="AF51" s="67" t="str">
        <f>DATA!AJ39</f>
        <v>-</v>
      </c>
      <c r="AG51" s="67" t="str">
        <f>DATA!AK39</f>
        <v>-</v>
      </c>
      <c r="AH51" s="67" t="str">
        <f>DATA!AL39</f>
        <v>-</v>
      </c>
      <c r="AI51" s="42">
        <f>DATA!AM39</f>
        <v>0</v>
      </c>
      <c r="AJ51" s="42" t="str">
        <f>DATA!AN39</f>
        <v>siap</v>
      </c>
      <c r="AK51" s="42" t="str">
        <f>DATA!AO39</f>
        <v>dalam proses
(pelaksanaan &lt;50%)</v>
      </c>
      <c r="AL51" s="42" t="str">
        <f>DATA!AP39</f>
        <v>belum ada proses tender/lelang</v>
      </c>
      <c r="AM51" s="42" t="str">
        <f>DATA!AY39</f>
        <v>Konfirmasi melalui surat Sekjen nomor KU.01.12-Sj/636 tgl 23 Oktober 2015</v>
      </c>
      <c r="AN51" s="42" t="e">
        <f>DATA!#REF!</f>
        <v>#REF!</v>
      </c>
      <c r="AO51" s="42">
        <f>DATA!AZ39</f>
        <v>0</v>
      </c>
      <c r="AP51" s="152" t="e">
        <f>DATA!#REF!</f>
        <v>#REF!</v>
      </c>
      <c r="AQ51" s="67">
        <f>DATA!BA39</f>
        <v>0</v>
      </c>
    </row>
    <row r="52" spans="1:43" s="6" customFormat="1" ht="37.5" customHeight="1">
      <c r="J52" s="38"/>
      <c r="K52" s="39"/>
      <c r="L52" s="71"/>
      <c r="M52" s="36">
        <f>DATA!K40</f>
        <v>5</v>
      </c>
      <c r="N52" s="37" t="str">
        <f>DATA!L40</f>
        <v>Engineering Service for Water Supply Development Project</v>
      </c>
      <c r="O52" s="20">
        <f>DATA!Q40</f>
        <v>0</v>
      </c>
      <c r="P52" s="20">
        <f>DATA!R40</f>
        <v>1</v>
      </c>
      <c r="Q52" s="20">
        <f>DATA!S40</f>
        <v>0</v>
      </c>
      <c r="R52" s="77">
        <f>DATA!T40</f>
        <v>0</v>
      </c>
      <c r="S52" s="88">
        <f>DATA!U40</f>
        <v>26380000</v>
      </c>
      <c r="T52" s="77">
        <f>DATA!V40</f>
        <v>0</v>
      </c>
      <c r="U52" s="77">
        <f>DATA!W40</f>
        <v>0</v>
      </c>
      <c r="V52" s="77">
        <f>DATA!X40</f>
        <v>0</v>
      </c>
      <c r="W52" s="78" t="str">
        <f>DATA!Y40</f>
        <v>ADB</v>
      </c>
      <c r="X52" s="20" t="str">
        <f>DATA!Z40</f>
        <v>Multilateral</v>
      </c>
      <c r="Y52" s="77">
        <f>DATA!AA40</f>
        <v>26380000</v>
      </c>
      <c r="Z52" s="77">
        <f>DATA!AG40</f>
        <v>0</v>
      </c>
      <c r="AA52" s="20">
        <f>DATA!AH40</f>
        <v>2016</v>
      </c>
      <c r="AB52" s="37" t="str">
        <f>DATA!AI40</f>
        <v>- Green Book 2015</v>
      </c>
      <c r="AC52" s="152" t="str">
        <f>DATA!AM40</f>
        <v>2015; 2016</v>
      </c>
      <c r="AD52" s="152" t="str">
        <f>DATA!AN40</f>
        <v>siap</v>
      </c>
      <c r="AE52" s="152" t="str">
        <f>DATA!AO40</f>
        <v>tidak butuh lahan</v>
      </c>
      <c r="AF52" s="37" t="str">
        <f>DATA!AJ40</f>
        <v>-</v>
      </c>
      <c r="AG52" s="37" t="str">
        <f>DATA!AK40</f>
        <v>-</v>
      </c>
      <c r="AH52" s="37" t="str">
        <f>DATA!AL40</f>
        <v>-</v>
      </c>
      <c r="AI52" s="42"/>
      <c r="AJ52" s="42"/>
      <c r="AK52" s="42"/>
      <c r="AL52" s="42"/>
      <c r="AM52" s="42"/>
      <c r="AN52" s="42"/>
      <c r="AO52" s="42"/>
      <c r="AP52" s="152" t="e">
        <f>DATA!#REF!</f>
        <v>#REF!</v>
      </c>
      <c r="AQ52" s="67"/>
    </row>
    <row r="53" spans="1:43" s="5" customFormat="1" ht="33.75" customHeight="1">
      <c r="J53" s="28"/>
      <c r="K53" s="50"/>
      <c r="L53" s="30" t="str">
        <f>DATA!I41</f>
        <v>E</v>
      </c>
      <c r="M53" s="31" t="str">
        <f>DATA!J41</f>
        <v xml:space="preserve">Program Pembangunan Sistem Pengelolaan Air Limbah </v>
      </c>
      <c r="N53" s="51"/>
      <c r="O53" s="31"/>
      <c r="P53" s="31"/>
      <c r="Q53" s="31"/>
      <c r="R53" s="81">
        <f>+R54+R57+R58+R59+R63+R64</f>
        <v>3583000000</v>
      </c>
      <c r="S53" s="81">
        <f>+S54+S57+S58+S59+S63+S64</f>
        <v>3583000000</v>
      </c>
      <c r="T53" s="81">
        <f t="shared" ref="T53:Z53" si="1">+T54+T57+T58+T59+T63+T64</f>
        <v>179150000</v>
      </c>
      <c r="U53" s="81">
        <f t="shared" si="1"/>
        <v>0</v>
      </c>
      <c r="V53" s="81">
        <f t="shared" si="1"/>
        <v>3762150000</v>
      </c>
      <c r="W53" s="81"/>
      <c r="X53" s="81" t="e">
        <f t="shared" si="1"/>
        <v>#VALUE!</v>
      </c>
      <c r="Y53" s="81">
        <f t="shared" si="1"/>
        <v>3583000000</v>
      </c>
      <c r="Z53" s="81">
        <f t="shared" si="1"/>
        <v>0</v>
      </c>
      <c r="AA53" s="31"/>
      <c r="AB53" s="32"/>
      <c r="AC53" s="32"/>
      <c r="AD53" s="32"/>
      <c r="AE53" s="32"/>
      <c r="AF53" s="32"/>
      <c r="AG53" s="32"/>
      <c r="AH53" s="32"/>
      <c r="AI53" s="31"/>
      <c r="AJ53" s="31"/>
      <c r="AK53" s="31"/>
      <c r="AL53" s="31"/>
      <c r="AM53" s="31"/>
      <c r="AN53" s="31"/>
      <c r="AO53" s="31"/>
      <c r="AP53" s="32"/>
      <c r="AQ53" s="32"/>
    </row>
    <row r="54" spans="1:43" ht="57.75" customHeight="1">
      <c r="A54" s="10">
        <f>DATA!A41</f>
        <v>35</v>
      </c>
      <c r="B54" s="10">
        <f>DATA!B41</f>
        <v>0</v>
      </c>
      <c r="C54" s="10" t="str">
        <f>DATA!D41</f>
        <v>INFRASTRUKTUR</v>
      </c>
      <c r="D54" s="10">
        <f>DATA!E41</f>
        <v>1</v>
      </c>
      <c r="E54" s="10" t="str">
        <f>DATA!F41</f>
        <v>Kementerian Pekerjaan Umum dan Perumahan Rakyat</v>
      </c>
      <c r="F54" s="10" t="str">
        <f>DATA!H41</f>
        <v>Development of Waste Water Management Program</v>
      </c>
      <c r="G54" s="10" t="str">
        <f>DATA!I41</f>
        <v>E</v>
      </c>
      <c r="H54" s="10" t="str">
        <f>DATA!J41</f>
        <v xml:space="preserve">Program Pembangunan Sistem Pengelolaan Air Limbah </v>
      </c>
      <c r="I54" s="10">
        <f>DATA!K41</f>
        <v>1</v>
      </c>
      <c r="J54" s="33"/>
      <c r="K54" s="34"/>
      <c r="L54" s="35"/>
      <c r="M54" s="36">
        <f>DATA!K41</f>
        <v>1</v>
      </c>
      <c r="N54" s="37" t="str">
        <f>DATA!L41</f>
        <v>Community Based Sanitation Program (SANIMAS)</v>
      </c>
      <c r="O54" s="37">
        <f>DATA!Q41</f>
        <v>0</v>
      </c>
      <c r="P54" s="37">
        <f>DATA!R41</f>
        <v>1</v>
      </c>
      <c r="Q54" s="37">
        <f>DATA!S41</f>
        <v>31</v>
      </c>
      <c r="R54" s="87">
        <f>DATA!T41</f>
        <v>250000000</v>
      </c>
      <c r="S54" s="88">
        <f>DATA!U41</f>
        <v>250000000</v>
      </c>
      <c r="T54" s="87">
        <f>DATA!V41</f>
        <v>12500000</v>
      </c>
      <c r="U54" s="87">
        <f>DATA!W41</f>
        <v>0</v>
      </c>
      <c r="V54" s="87">
        <f>DATA!X41</f>
        <v>262500000</v>
      </c>
      <c r="W54" s="37" t="str">
        <f>DATA!Y41</f>
        <v>-</v>
      </c>
      <c r="X54" s="37">
        <f>DATA!Z41</f>
        <v>0</v>
      </c>
      <c r="Y54" s="37">
        <f>DATA!AA41</f>
        <v>250000000</v>
      </c>
      <c r="Z54" s="87">
        <f>DATA!AG41</f>
        <v>0</v>
      </c>
      <c r="AA54" s="37" t="str">
        <f>DATA!AH41</f>
        <v>-</v>
      </c>
      <c r="AB54" s="37" t="str">
        <f>DATA!AI41</f>
        <v>-</v>
      </c>
      <c r="AC54" s="152" t="str">
        <f>DATA!AM41</f>
        <v>-</v>
      </c>
      <c r="AD54" s="152" t="str">
        <f>DATA!AN41</f>
        <v>-</v>
      </c>
      <c r="AE54" s="152" t="str">
        <f>DATA!AO41</f>
        <v>-</v>
      </c>
      <c r="AF54" s="37" t="str">
        <f>DATA!AJ41</f>
        <v>-</v>
      </c>
      <c r="AG54" s="37" t="str">
        <f>DATA!AK41</f>
        <v>-</v>
      </c>
      <c r="AH54" s="37" t="str">
        <f>DATA!AL41</f>
        <v>-</v>
      </c>
      <c r="AI54" s="37" t="str">
        <f>DATA!AM41</f>
        <v>-</v>
      </c>
      <c r="AJ54" s="37" t="str">
        <f>DATA!AN41</f>
        <v>-</v>
      </c>
      <c r="AK54" s="37" t="str">
        <f>DATA!AO41</f>
        <v>-</v>
      </c>
      <c r="AL54" s="37" t="str">
        <f>DATA!AP41</f>
        <v>belum ada proses tender/lelang</v>
      </c>
      <c r="AM54" s="37" t="str">
        <f>DATA!AY41</f>
        <v>- Merupakan kelanjutan dari kegiatan Urban Sanitation and Rural Infrastructure Support to PNPM Mandiri Projrct (USRI) yang telah berakhir pada tanggal 30 Juni 2015
- Konfirmasi melalui surat Sekjen nomor KU.01.12-Sj/636 tgl 23 Oktober 2015</v>
      </c>
      <c r="AN54" s="37" t="e">
        <f>DATA!#REF!</f>
        <v>#REF!</v>
      </c>
      <c r="AO54" s="37" t="str">
        <f>DATA!AZ41</f>
        <v>- ADB akan co-financing dengan IDB dan diindikasikan akan mendanai kegiatan ini sebesar USD 125 juta untuk wilayah Indonesia Timur
'- IDB akan co-financing dengan ADB dan diindikasikan akan mendanai kegiatan ini sebesar USD 25 juta untuk wilayah Indonesia Barat</v>
      </c>
      <c r="AP54" s="152" t="e">
        <f>DATA!#REF!</f>
        <v>#REF!</v>
      </c>
      <c r="AQ54" s="37" t="str">
        <f>DATA!BA41</f>
        <v>Bantuan langsung masyarakat, penguatan institusi pengelola, dan jasa konsultasi.</v>
      </c>
    </row>
    <row r="55" spans="1:43" s="6" customFormat="1" ht="55.5" customHeight="1">
      <c r="J55" s="38"/>
      <c r="K55" s="39"/>
      <c r="L55" s="39"/>
      <c r="M55" s="72"/>
      <c r="N55" s="67" t="str">
        <f>DATA!L42</f>
        <v>Community Based Sanitation Program (SANIMAS)</v>
      </c>
      <c r="O55" s="67">
        <f>DATA!Q42</f>
        <v>0.5</v>
      </c>
      <c r="P55" s="67">
        <f>DATA!R42</f>
        <v>1</v>
      </c>
      <c r="Q55" s="67">
        <f>DATA!S42</f>
        <v>31</v>
      </c>
      <c r="R55" s="93">
        <f>DATA!T42</f>
        <v>0</v>
      </c>
      <c r="S55" s="88">
        <f>DATA!U42</f>
        <v>0</v>
      </c>
      <c r="T55" s="93">
        <f>DATA!V42</f>
        <v>0</v>
      </c>
      <c r="U55" s="93">
        <f>DATA!W42</f>
        <v>0</v>
      </c>
      <c r="V55" s="93">
        <f>DATA!X42</f>
        <v>0</v>
      </c>
      <c r="W55" s="84" t="str">
        <f>DATA!Y42</f>
        <v>ADB</v>
      </c>
      <c r="X55" s="67" t="str">
        <f>DATA!Z42</f>
        <v>Multilateral</v>
      </c>
      <c r="Y55" s="67">
        <f>DATA!AA42</f>
        <v>125000000</v>
      </c>
      <c r="Z55" s="93">
        <f>DATA!AG42</f>
        <v>0</v>
      </c>
      <c r="AA55" s="67">
        <f>DATA!AH42</f>
        <v>2016</v>
      </c>
      <c r="AB55" s="67" t="str">
        <f>DATA!AI42</f>
        <v>-</v>
      </c>
      <c r="AC55" s="152">
        <f>DATA!AM42</f>
        <v>0</v>
      </c>
      <c r="AD55" s="152" t="str">
        <f>DATA!AN42</f>
        <v>belum ada keterangan</v>
      </c>
      <c r="AE55" s="152" t="str">
        <f>DATA!AO42</f>
        <v>tidak butuh lahan</v>
      </c>
      <c r="AF55" s="67" t="str">
        <f>DATA!AJ42</f>
        <v>-</v>
      </c>
      <c r="AG55" s="67" t="str">
        <f>DATA!AK42</f>
        <v>Tidak ada kegiatan pengadaan lahan, lahan akan diperoleh dari masyarakat</v>
      </c>
      <c r="AH55" s="67" t="str">
        <f>DATA!AL42</f>
        <v>-</v>
      </c>
      <c r="AI55" s="67">
        <f>DATA!AM42</f>
        <v>0</v>
      </c>
      <c r="AJ55" s="67" t="str">
        <f>DATA!AN42</f>
        <v>belum ada keterangan</v>
      </c>
      <c r="AK55" s="67" t="str">
        <f>DATA!AO42</f>
        <v>tidak butuh lahan</v>
      </c>
      <c r="AL55" s="67" t="str">
        <f>DATA!AP42</f>
        <v>belum ada proses tender/lelang</v>
      </c>
      <c r="AM55" s="67" t="str">
        <f>DATA!AY42</f>
        <v>- Merupakan kelanjutan dari kegiatan Urban Sanitation and Rural Infrastructure Support to PNPM Mandiri Projrct (USRI) yang telah berakhir pada tanggal 30 Juni 2015
- Konfirmasi melalui e-mail tanggal 17, 18, dan 21 Sept 2015</v>
      </c>
      <c r="AN55" s="67" t="e">
        <f>DATA!#REF!</f>
        <v>#REF!</v>
      </c>
      <c r="AO55" s="6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P55" s="152" t="e">
        <f>DATA!#REF!</f>
        <v>#REF!</v>
      </c>
      <c r="AQ55" s="67" t="str">
        <f>DATA!BA42</f>
        <v>Bantuan langsung masyarakat, penguatan institusi pengelola, dan jasa konsultasi.</v>
      </c>
    </row>
    <row r="56" spans="1:43" s="6" customFormat="1" ht="46.5" customHeight="1">
      <c r="J56" s="38"/>
      <c r="K56" s="39"/>
      <c r="L56" s="39"/>
      <c r="M56" s="72"/>
      <c r="N56" s="67" t="str">
        <f>DATA!L43</f>
        <v>Community Based Sanitation Program (SANIMAS)</v>
      </c>
      <c r="O56" s="67">
        <f>DATA!Q43</f>
        <v>0.5</v>
      </c>
      <c r="P56" s="67">
        <f>DATA!R43</f>
        <v>1</v>
      </c>
      <c r="Q56" s="67">
        <f>DATA!S43</f>
        <v>31</v>
      </c>
      <c r="R56" s="93">
        <f>DATA!T43</f>
        <v>0</v>
      </c>
      <c r="S56" s="88">
        <f>DATA!U43</f>
        <v>0</v>
      </c>
      <c r="T56" s="93">
        <f>DATA!V43</f>
        <v>0</v>
      </c>
      <c r="U56" s="93">
        <f>DATA!W43</f>
        <v>0</v>
      </c>
      <c r="V56" s="93">
        <f>DATA!X43</f>
        <v>0</v>
      </c>
      <c r="W56" s="84" t="str">
        <f>DATA!Y43</f>
        <v>IDB</v>
      </c>
      <c r="X56" s="67" t="str">
        <f>DATA!Z43</f>
        <v>Multilateral</v>
      </c>
      <c r="Y56" s="67">
        <f>DATA!AA43</f>
        <v>125000000</v>
      </c>
      <c r="Z56" s="93">
        <f>DATA!AG43</f>
        <v>0</v>
      </c>
      <c r="AA56" s="67">
        <f>DATA!AH43</f>
        <v>2017</v>
      </c>
      <c r="AB56" s="67" t="str">
        <f>DATA!AI43</f>
        <v>-</v>
      </c>
      <c r="AC56" s="152">
        <f>DATA!AM43</f>
        <v>0</v>
      </c>
      <c r="AD56" s="152" t="str">
        <f>DATA!AN43</f>
        <v>belum ada keterangan</v>
      </c>
      <c r="AE56" s="152" t="str">
        <f>DATA!AO43</f>
        <v>tidak butuh lahan</v>
      </c>
      <c r="AF56" s="67" t="str">
        <f>DATA!AJ43</f>
        <v>-</v>
      </c>
      <c r="AG56" s="67" t="str">
        <f>DATA!AK43</f>
        <v>Tidak ada kegiatan pengadaan lahan, lahan akan diperoleh dari masyarakat</v>
      </c>
      <c r="AH56" s="67" t="str">
        <f>DATA!AL43</f>
        <v>-</v>
      </c>
      <c r="AI56" s="67">
        <f>DATA!AM43</f>
        <v>0</v>
      </c>
      <c r="AJ56" s="67" t="str">
        <f>DATA!AN43</f>
        <v>belum ada keterangan</v>
      </c>
      <c r="AK56" s="67" t="str">
        <f>DATA!AO43</f>
        <v>tidak butuh lahan</v>
      </c>
      <c r="AL56" s="67" t="str">
        <f>DATA!AP43</f>
        <v>belum ada proses tender/lelang</v>
      </c>
      <c r="AM56" s="67" t="str">
        <f>DATA!AY43</f>
        <v>- Merupakan kelanjutan dari kegiatan Urban Sanitation and Rural Infrastructure Support to PNPM Mandiri Projrct (USRI) yang telah berakhir pada tanggal 30 Juni 2015
- Konfirmasi melalui surat Sekjen nomor KU.01.12-Sj/636 tgl 23 Oktober 2015</v>
      </c>
      <c r="AN56" s="67" t="e">
        <f>DATA!#REF!</f>
        <v>#REF!</v>
      </c>
      <c r="AO56" s="6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P56" s="152" t="e">
        <f>DATA!#REF!</f>
        <v>#REF!</v>
      </c>
      <c r="AQ56" s="67" t="str">
        <f>DATA!BA43</f>
        <v>Bantuan langsung masyarakat, penguatan institusi pengelola, dan jasa konsultasi.</v>
      </c>
    </row>
    <row r="57" spans="1:43" ht="80.25" customHeight="1">
      <c r="A57" s="10">
        <f>DATA!A44</f>
        <v>36</v>
      </c>
      <c r="B57" s="10">
        <f>DATA!B44</f>
        <v>0</v>
      </c>
      <c r="C57" s="10" t="str">
        <f>DATA!D44</f>
        <v>INFRASTRUKTUR</v>
      </c>
      <c r="D57" s="10">
        <f>DATA!E44</f>
        <v>1</v>
      </c>
      <c r="E57" s="10" t="str">
        <f>DATA!F44</f>
        <v>Kementerian Pekerjaan Umum dan Perumahan Rakyat</v>
      </c>
      <c r="F57" s="10" t="str">
        <f>DATA!H44</f>
        <v>Development of Waste Water Management Program</v>
      </c>
      <c r="G57" s="10" t="str">
        <f>DATA!I44</f>
        <v>E</v>
      </c>
      <c r="H57" s="10" t="str">
        <f>DATA!J44</f>
        <v xml:space="preserve">Program Pembangunan Sistem Pengelolaan Air Limbah </v>
      </c>
      <c r="I57" s="10">
        <f>DATA!K44</f>
        <v>2</v>
      </c>
      <c r="J57" s="33"/>
      <c r="K57" s="34"/>
      <c r="L57" s="34"/>
      <c r="M57" s="36">
        <f>DATA!K44</f>
        <v>2</v>
      </c>
      <c r="N57" s="37" t="str">
        <f>DATA!L44</f>
        <v>Jakarta Sewerage Development Project - Zone 1 and Zone 6</v>
      </c>
      <c r="O57" s="20">
        <f>DATA!Q44</f>
        <v>1</v>
      </c>
      <c r="P57" s="20">
        <f>DATA!R44</f>
        <v>1</v>
      </c>
      <c r="Q57" s="20">
        <f>DATA!S44</f>
        <v>32</v>
      </c>
      <c r="R57" s="77">
        <f>DATA!T44</f>
        <v>1950000000</v>
      </c>
      <c r="S57" s="88">
        <f>DATA!U44</f>
        <v>1950000000</v>
      </c>
      <c r="T57" s="77">
        <f>DATA!V44</f>
        <v>97500000</v>
      </c>
      <c r="U57" s="77">
        <f>DATA!W44</f>
        <v>0</v>
      </c>
      <c r="V57" s="77">
        <f>DATA!X44</f>
        <v>2047500000</v>
      </c>
      <c r="W57" s="78" t="str">
        <f>DATA!Y44</f>
        <v>JICA</v>
      </c>
      <c r="X57" s="20" t="str">
        <f>DATA!Z44</f>
        <v>Bilateral</v>
      </c>
      <c r="Y57" s="77">
        <f>DATA!AA44</f>
        <v>1950000000</v>
      </c>
      <c r="Z57" s="77">
        <f>DATA!AG44</f>
        <v>0</v>
      </c>
      <c r="AA57" s="20">
        <f>DATA!AH44</f>
        <v>2017</v>
      </c>
      <c r="AB57" s="37" t="str">
        <f>DATA!AI44</f>
        <v>-</v>
      </c>
      <c r="AC57" s="152">
        <f>DATA!AM44</f>
        <v>0</v>
      </c>
      <c r="AD57" s="152" t="str">
        <f>DATA!AN44</f>
        <v>dalam proses
(memiliki FS)</v>
      </c>
      <c r="AE57" s="152" t="str">
        <f>DATA!AO44</f>
        <v>dalam proses</v>
      </c>
      <c r="AF57" s="37" t="str">
        <f>DATA!AJ44</f>
        <v>- FS
- Penyusunan DED</v>
      </c>
      <c r="AG57" s="37" t="str">
        <f>DATA!AK44</f>
        <v>Lahan untuk IPAL sudah dibebaskan</v>
      </c>
      <c r="AH57" s="37" t="str">
        <f>DATA!AL44</f>
        <v>-</v>
      </c>
      <c r="AI57" s="20">
        <f>DATA!AM44</f>
        <v>0</v>
      </c>
      <c r="AJ57" s="20" t="str">
        <f>DATA!AN44</f>
        <v>dalam proses
(memiliki FS)</v>
      </c>
      <c r="AK57" s="20" t="str">
        <f>DATA!AO44</f>
        <v>dalam proses</v>
      </c>
      <c r="AL57" s="20" t="str">
        <f>DATA!AP44</f>
        <v>belum ada proses tender/lelang</v>
      </c>
      <c r="AM57" s="20" t="str">
        <f>DATA!AY44</f>
        <v>Konfirmasi melalui surat Sekjen nomor KU.01.12-Sj/636 tgl 23 Oktober 2015</v>
      </c>
      <c r="AN57" s="20" t="e">
        <f>DATA!#REF!</f>
        <v>#REF!</v>
      </c>
      <c r="AO57" s="20">
        <f>DATA!AZ44</f>
        <v>0</v>
      </c>
      <c r="AP57" s="152" t="e">
        <f>DATA!#REF!</f>
        <v>#REF!</v>
      </c>
      <c r="AQ57" s="37" t="str">
        <f>DATA!BA44</f>
        <v>Pembangunan jaringan perpipaan dan Instalasi Pengolahan Air Limbah (IPAL) terpusat di Zona-1 dan Zona-6, pembangunan unit stasiun pompa, serta penyusunan Detail Engineering Design (DED) untuk IPAL Terpusat Zona 6</v>
      </c>
    </row>
    <row r="58" spans="1:43" ht="51" customHeight="1">
      <c r="A58" s="10">
        <f>DATA!A45</f>
        <v>37</v>
      </c>
      <c r="B58" s="10">
        <f>DATA!B45</f>
        <v>0</v>
      </c>
      <c r="C58" s="10" t="str">
        <f>DATA!D45</f>
        <v>INFRASTRUKTUR</v>
      </c>
      <c r="D58" s="10">
        <f>DATA!E45</f>
        <v>1</v>
      </c>
      <c r="E58" s="10" t="str">
        <f>DATA!F45</f>
        <v>Kementerian Pekerjaan Umum dan Perumahan Rakyat</v>
      </c>
      <c r="F58" s="10" t="str">
        <f>DATA!H45</f>
        <v>Development of Waste Water Management Program</v>
      </c>
      <c r="G58" s="10" t="str">
        <f>DATA!I45</f>
        <v>E</v>
      </c>
      <c r="H58" s="10" t="str">
        <f>DATA!J45</f>
        <v xml:space="preserve">Program Pembangunan Sistem Pengelolaan Air Limbah </v>
      </c>
      <c r="I58" s="10">
        <f>DATA!K45</f>
        <v>3</v>
      </c>
      <c r="J58" s="33"/>
      <c r="K58" s="34"/>
      <c r="L58" s="34"/>
      <c r="M58" s="36">
        <f>DATA!K45</f>
        <v>3</v>
      </c>
      <c r="N58" s="37" t="str">
        <f>DATA!L45</f>
        <v>The Development of Sewage Treatment Plant Facility in Priority Area</v>
      </c>
      <c r="O58" s="20">
        <f>DATA!Q45</f>
        <v>1</v>
      </c>
      <c r="P58" s="20">
        <f>DATA!R45</f>
        <v>1</v>
      </c>
      <c r="Q58" s="20">
        <f>DATA!S45</f>
        <v>33</v>
      </c>
      <c r="R58" s="77">
        <f>DATA!T45</f>
        <v>75000000</v>
      </c>
      <c r="S58" s="88">
        <f>DATA!U45</f>
        <v>75000000</v>
      </c>
      <c r="T58" s="77">
        <f>DATA!V45</f>
        <v>3750000</v>
      </c>
      <c r="U58" s="77">
        <f>DATA!W45</f>
        <v>0</v>
      </c>
      <c r="V58" s="77">
        <f>DATA!X45</f>
        <v>78750000</v>
      </c>
      <c r="W58" s="78" t="str">
        <f>DATA!Y45</f>
        <v>Bank Dunia/JICA</v>
      </c>
      <c r="X58" s="20" t="str">
        <f>DATA!Z45</f>
        <v>Multi Lender</v>
      </c>
      <c r="Y58" s="77">
        <f>DATA!AA45</f>
        <v>75000000</v>
      </c>
      <c r="Z58" s="77">
        <f>DATA!AG45</f>
        <v>0</v>
      </c>
      <c r="AA58" s="20">
        <f>DATA!AH45</f>
        <v>2018</v>
      </c>
      <c r="AB58" s="37" t="str">
        <f>DATA!AI45</f>
        <v>-</v>
      </c>
      <c r="AC58" s="152">
        <f>DATA!AM45</f>
        <v>0</v>
      </c>
      <c r="AD58" s="152" t="str">
        <f>DATA!AN45</f>
        <v>dalam proses
(memiliki FS)</v>
      </c>
      <c r="AE58" s="152" t="str">
        <f>DATA!AO45</f>
        <v>belum ada keterangan</v>
      </c>
      <c r="AF58" s="37" t="str">
        <f>DATA!AJ45</f>
        <v>FS disiapkan melalui APBN TA 2015</v>
      </c>
      <c r="AG58" s="37" t="str">
        <f>DATA!AK45</f>
        <v>-</v>
      </c>
      <c r="AH58" s="37" t="str">
        <f>DATA!AL45</f>
        <v>-</v>
      </c>
      <c r="AI58" s="20">
        <f>DATA!AM45</f>
        <v>0</v>
      </c>
      <c r="AJ58" s="20" t="str">
        <f>DATA!AN45</f>
        <v>dalam proses
(memiliki FS)</v>
      </c>
      <c r="AK58" s="20" t="str">
        <f>DATA!AO45</f>
        <v>belum ada keterangan</v>
      </c>
      <c r="AL58" s="20" t="str">
        <f>DATA!AP45</f>
        <v>belum ada proses tender/lelang</v>
      </c>
      <c r="AM58" s="20" t="str">
        <f>DATA!AY45</f>
        <v>- Sedang dalam konsep desain bentuk kegiatan
- 'Konfirmasi melalui surat Sekjen nomor KU.01.12-Sj/636 tgl 23 Oktober 2015</v>
      </c>
      <c r="AN58" s="20" t="e">
        <f>DATA!#REF!</f>
        <v>#REF!</v>
      </c>
      <c r="AO58" s="20" t="str">
        <f>DATA!AZ45</f>
        <v>JICA diindikasikan juga akan mendanai kegaiatan ini</v>
      </c>
      <c r="AP58" s="152" t="e">
        <f>DATA!#REF!</f>
        <v>#REF!</v>
      </c>
      <c r="AQ58" s="37" t="str">
        <f>DATA!BA45</f>
        <v>Penyediaan sarana prasarana Instalasi Pengolahan Lumpur Tinja (IPLT), seperti mobil tinja, pompa penyedot dan unit IPLT.</v>
      </c>
    </row>
    <row r="59" spans="1:43" ht="22.5" customHeight="1">
      <c r="A59" s="10">
        <f>DATA!A46</f>
        <v>38</v>
      </c>
      <c r="B59" s="10">
        <f>DATA!B46</f>
        <v>0</v>
      </c>
      <c r="C59" s="10" t="str">
        <f>DATA!D46</f>
        <v>INFRASTRUKTUR</v>
      </c>
      <c r="D59" s="10">
        <f>DATA!E46</f>
        <v>1</v>
      </c>
      <c r="E59" s="10" t="str">
        <f>DATA!F46</f>
        <v>Kementerian Pekerjaan Umum dan Perumahan Rakyat</v>
      </c>
      <c r="F59" s="10" t="str">
        <f>DATA!H46</f>
        <v>Development of Waste Water Management Program</v>
      </c>
      <c r="G59" s="10" t="str">
        <f>DATA!I46</f>
        <v>E</v>
      </c>
      <c r="H59" s="10" t="str">
        <f>DATA!J46</f>
        <v xml:space="preserve">Program Pembangunan Sistem Pengelolaan Air Limbah </v>
      </c>
      <c r="I59" s="10">
        <f>DATA!K46</f>
        <v>4</v>
      </c>
      <c r="J59" s="33"/>
      <c r="K59" s="34"/>
      <c r="L59" s="34"/>
      <c r="M59" s="36">
        <f>DATA!K46</f>
        <v>4</v>
      </c>
      <c r="N59" s="37" t="str">
        <f>DATA!L46</f>
        <v>Sewerage System Development in Indonesia</v>
      </c>
      <c r="O59" s="20">
        <f>DATA!Q46</f>
        <v>0</v>
      </c>
      <c r="P59" s="20">
        <f>DATA!R46</f>
        <v>1</v>
      </c>
      <c r="Q59" s="20">
        <f>DATA!S46</f>
        <v>34</v>
      </c>
      <c r="R59" s="77">
        <f>DATA!T46</f>
        <v>975000000</v>
      </c>
      <c r="S59" s="88">
        <f>DATA!U46</f>
        <v>975000000</v>
      </c>
      <c r="T59" s="77">
        <f>DATA!V46</f>
        <v>48750000</v>
      </c>
      <c r="U59" s="77">
        <f>DATA!W46</f>
        <v>0</v>
      </c>
      <c r="V59" s="77">
        <f>DATA!X46</f>
        <v>1023750000</v>
      </c>
      <c r="W59" s="78" t="str">
        <f>DATA!Y46</f>
        <v>-</v>
      </c>
      <c r="X59" s="20">
        <f>DATA!Z46</f>
        <v>0</v>
      </c>
      <c r="Y59" s="77">
        <f>DATA!AA46</f>
        <v>975000000</v>
      </c>
      <c r="Z59" s="77">
        <f>DATA!AG46</f>
        <v>0</v>
      </c>
      <c r="AA59" s="20"/>
      <c r="AB59" s="37" t="str">
        <f>DATA!AI46</f>
        <v>-</v>
      </c>
      <c r="AC59" s="152" t="str">
        <f>DATA!AM46</f>
        <v>-</v>
      </c>
      <c r="AD59" s="152" t="str">
        <f>DATA!AN46</f>
        <v>-</v>
      </c>
      <c r="AE59" s="152" t="str">
        <f>DATA!AO46</f>
        <v>-</v>
      </c>
      <c r="AF59" s="37" t="str">
        <f>DATA!AJ46</f>
        <v>-</v>
      </c>
      <c r="AG59" s="37" t="str">
        <f>DATA!AK46</f>
        <v>-</v>
      </c>
      <c r="AH59" s="37" t="str">
        <f>DATA!AL46</f>
        <v>-</v>
      </c>
      <c r="AI59" s="20" t="str">
        <f>DATA!AM46</f>
        <v>-</v>
      </c>
      <c r="AJ59" s="20" t="str">
        <f>DATA!AN46</f>
        <v>-</v>
      </c>
      <c r="AK59" s="20" t="str">
        <f>DATA!AO46</f>
        <v>-</v>
      </c>
      <c r="AL59" s="20" t="str">
        <f>DATA!AP46</f>
        <v>-</v>
      </c>
      <c r="AM59" s="20" t="str">
        <f>DATA!AY46</f>
        <v>Konfirmasi melalui surat Sekjen nomor KU.01.12-Sj/636 tgl 23 Oktober 2015</v>
      </c>
      <c r="AN59" s="20" t="e">
        <f>DATA!#REF!</f>
        <v>#REF!</v>
      </c>
      <c r="AO59" s="20" t="str">
        <f>DATA!AZ46</f>
        <v>-</v>
      </c>
      <c r="AP59" s="152" t="e">
        <f>DATA!#REF!</f>
        <v>#REF!</v>
      </c>
      <c r="AQ59" s="37" t="str">
        <f>DATA!BA46</f>
        <v>-</v>
      </c>
    </row>
    <row r="60" spans="1:43" s="6" customFormat="1" ht="48.75" customHeight="1">
      <c r="A60" s="6">
        <f>DATA!A47</f>
        <v>38</v>
      </c>
      <c r="B60" s="6">
        <f>DATA!B47</f>
        <v>0</v>
      </c>
      <c r="C60" s="6" t="str">
        <f>DATA!D47</f>
        <v>INFRASTRUKTUR</v>
      </c>
      <c r="D60" s="6">
        <f>DATA!E47</f>
        <v>1</v>
      </c>
      <c r="E60" s="6" t="str">
        <f>DATA!F47</f>
        <v>Kementerian Pekerjaan Umum dan Perumahan Rakyat</v>
      </c>
      <c r="F60" s="6" t="str">
        <f>DATA!H47</f>
        <v>Development of Waste Water Management Program</v>
      </c>
      <c r="G60" s="6" t="str">
        <f>DATA!I47</f>
        <v>E</v>
      </c>
      <c r="H60" s="6" t="str">
        <f>DATA!J47</f>
        <v xml:space="preserve">Program Pembangunan Sistem Pengelolaan Air Limbah </v>
      </c>
      <c r="I60" s="6">
        <f>DATA!K47</f>
        <v>4</v>
      </c>
      <c r="J60" s="38"/>
      <c r="K60" s="39"/>
      <c r="L60" s="39"/>
      <c r="M60" s="40"/>
      <c r="N60" s="67" t="str">
        <f>DATA!L47</f>
        <v>Sewerage System Development in Indonesia</v>
      </c>
      <c r="O60" s="42">
        <f>DATA!Q47</f>
        <v>0.25</v>
      </c>
      <c r="P60" s="42">
        <f>DATA!R47</f>
        <v>0</v>
      </c>
      <c r="Q60" s="42">
        <f>DATA!S47</f>
        <v>0</v>
      </c>
      <c r="R60" s="83">
        <f>DATA!T47</f>
        <v>0</v>
      </c>
      <c r="S60" s="88">
        <f>DATA!U47</f>
        <v>0</v>
      </c>
      <c r="T60" s="83">
        <f>DATA!V47</f>
        <v>0</v>
      </c>
      <c r="U60" s="83">
        <f>DATA!W47</f>
        <v>0</v>
      </c>
      <c r="V60" s="83">
        <f>DATA!X47</f>
        <v>0</v>
      </c>
      <c r="W60" s="84" t="str">
        <f>DATA!Y47</f>
        <v>ADB</v>
      </c>
      <c r="X60" s="42" t="str">
        <f>DATA!Z47</f>
        <v>Multilateral</v>
      </c>
      <c r="Y60" s="83">
        <f>DATA!AA47</f>
        <v>424800000</v>
      </c>
      <c r="Z60" s="83">
        <f>DATA!AG47</f>
        <v>0</v>
      </c>
      <c r="AA60" s="42">
        <f>DATA!AH47</f>
        <v>2017</v>
      </c>
      <c r="AB60" s="67" t="str">
        <f>DATA!AI47</f>
        <v>-</v>
      </c>
      <c r="AC60" s="152">
        <f>DATA!AM47</f>
        <v>0</v>
      </c>
      <c r="AD60" s="152" t="str">
        <f>DATA!AN47</f>
        <v>belum ada keterangan</v>
      </c>
      <c r="AE60" s="152" t="str">
        <f>DATA!AO47</f>
        <v>belum ada keterangan</v>
      </c>
      <c r="AF60" s="67" t="str">
        <f>DATA!AJ47</f>
        <v>-</v>
      </c>
      <c r="AG60" s="67" t="str">
        <f>DATA!AK47</f>
        <v>-</v>
      </c>
      <c r="AH60" s="67" t="str">
        <f>DATA!AL47</f>
        <v>-</v>
      </c>
      <c r="AI60" s="42">
        <f>DATA!AM47</f>
        <v>0</v>
      </c>
      <c r="AJ60" s="42" t="str">
        <f>DATA!AN47</f>
        <v>belum ada keterangan</v>
      </c>
      <c r="AK60" s="42" t="str">
        <f>DATA!AO47</f>
        <v>belum ada keterangan</v>
      </c>
      <c r="AL60" s="42" t="str">
        <f>DATA!AP47</f>
        <v>belum ada proses tender/lelang</v>
      </c>
      <c r="AM60" s="42" t="str">
        <f>DATA!AY47</f>
        <v>- termasuk ESP senilai USD 26,38 juta, indikasi Lender ADB
- belum ada proses penyiapan
- Konfirmasi melalui surat Sekjen nomor KU.01.12-Sj/636 tgl 23 Oktober 2015</v>
      </c>
      <c r="AN60" s="42" t="e">
        <f>DATA!#REF!</f>
        <v>#REF!</v>
      </c>
      <c r="AO60" s="42" t="str">
        <f>DATA!AZ47</f>
        <v>Sudah ada pembicaraan awal</v>
      </c>
      <c r="AP60" s="152" t="e">
        <f>DATA!#REF!</f>
        <v>#REF!</v>
      </c>
      <c r="AQ60" s="67" t="str">
        <f>DATA!BA47</f>
        <v>Pembangunan fisik sarana dan prasarana sanitasi serta Instalasi Pengolahan Air Limbah (IPAL) dan penguatan kapasitas lembaga pengelola</v>
      </c>
    </row>
    <row r="61" spans="1:43" s="6" customFormat="1" ht="43.5" customHeight="1">
      <c r="A61" s="6">
        <f>DATA!A48</f>
        <v>39</v>
      </c>
      <c r="B61" s="6">
        <f>DATA!B48</f>
        <v>0</v>
      </c>
      <c r="C61" s="6" t="str">
        <f>DATA!D48</f>
        <v>INFRASTRUKTUR</v>
      </c>
      <c r="D61" s="6">
        <f>DATA!E48</f>
        <v>1</v>
      </c>
      <c r="E61" s="6" t="str">
        <f>DATA!F48</f>
        <v>Kementerian Pekerjaan Umum dan Perumahan Rakyat</v>
      </c>
      <c r="F61" s="6" t="str">
        <f>DATA!H48</f>
        <v>Development of Waste Water Management Program</v>
      </c>
      <c r="G61" s="6" t="str">
        <f>DATA!I48</f>
        <v>E</v>
      </c>
      <c r="H61" s="6" t="str">
        <f>DATA!J48</f>
        <v xml:space="preserve">Program Pembangunan Sistem Pengelolaan Air Limbah </v>
      </c>
      <c r="I61" s="6">
        <f>DATA!K48</f>
        <v>4</v>
      </c>
      <c r="J61" s="38"/>
      <c r="K61" s="39"/>
      <c r="L61" s="39"/>
      <c r="M61" s="38"/>
      <c r="N61" s="67" t="str">
        <f>DATA!L48</f>
        <v>Sewerage System Development in Indonesia</v>
      </c>
      <c r="O61" s="42">
        <f>DATA!Q48</f>
        <v>0.25</v>
      </c>
      <c r="P61" s="42">
        <f>DATA!R48</f>
        <v>0</v>
      </c>
      <c r="Q61" s="42">
        <f>DATA!S48</f>
        <v>0</v>
      </c>
      <c r="R61" s="83">
        <f>DATA!T48</f>
        <v>0</v>
      </c>
      <c r="S61" s="88">
        <f>DATA!U48</f>
        <v>0</v>
      </c>
      <c r="T61" s="83">
        <f>DATA!V48</f>
        <v>0</v>
      </c>
      <c r="U61" s="83">
        <f>DATA!W48</f>
        <v>0</v>
      </c>
      <c r="V61" s="83">
        <f>DATA!X48</f>
        <v>0</v>
      </c>
      <c r="W61" s="84" t="str">
        <f>DATA!Y48</f>
        <v>IDB</v>
      </c>
      <c r="X61" s="42" t="str">
        <f>DATA!Z48</f>
        <v>Multilateral</v>
      </c>
      <c r="Y61" s="83">
        <f>DATA!AA48</f>
        <v>325000000</v>
      </c>
      <c r="Z61" s="83">
        <f>DATA!AG48</f>
        <v>0</v>
      </c>
      <c r="AA61" s="42">
        <f>DATA!AH48</f>
        <v>2017</v>
      </c>
      <c r="AB61" s="67" t="str">
        <f>DATA!AI48</f>
        <v>-</v>
      </c>
      <c r="AC61" s="152">
        <f>DATA!AM48</f>
        <v>0</v>
      </c>
      <c r="AD61" s="152" t="str">
        <f>DATA!AN48</f>
        <v>belum ada keterangan</v>
      </c>
      <c r="AE61" s="152" t="str">
        <f>DATA!AO48</f>
        <v>belum ada keterangan</v>
      </c>
      <c r="AF61" s="67" t="str">
        <f>DATA!AJ48</f>
        <v>-</v>
      </c>
      <c r="AG61" s="67" t="str">
        <f>DATA!AK48</f>
        <v>-</v>
      </c>
      <c r="AH61" s="67" t="str">
        <f>DATA!AL48</f>
        <v>-</v>
      </c>
      <c r="AI61" s="42">
        <f>DATA!AM48</f>
        <v>0</v>
      </c>
      <c r="AJ61" s="42" t="str">
        <f>DATA!AN48</f>
        <v>belum ada keterangan</v>
      </c>
      <c r="AK61" s="42" t="str">
        <f>DATA!AO48</f>
        <v>belum ada keterangan</v>
      </c>
      <c r="AL61" s="42" t="str">
        <f>DATA!AP48</f>
        <v>belum ada proses tender/lelang</v>
      </c>
      <c r="AM61" s="42" t="str">
        <f>DATA!AY48</f>
        <v>- belum ada proses penyiapan
- Konfirmasi melalui surat Sekjen nomor KU.01.12-Sj/636 tgl 23 Oktober 2015</v>
      </c>
      <c r="AN61" s="42" t="e">
        <f>DATA!#REF!</f>
        <v>#REF!</v>
      </c>
      <c r="AO61" s="42" t="str">
        <f>DATA!AZ48</f>
        <v>Sudah ada pembicaraan awal</v>
      </c>
      <c r="AP61" s="152" t="e">
        <f>DATA!#REF!</f>
        <v>#REF!</v>
      </c>
      <c r="AQ61" s="67" t="str">
        <f>DATA!BA48</f>
        <v>Pembangunan fisik sarana dan prasarana sanitasi serta Instalasi Pengolahan Air Limbah (IPAL) dan penguatan kapasitas lembaga pengelola</v>
      </c>
    </row>
    <row r="62" spans="1:43" s="6" customFormat="1" ht="45.75" customHeight="1">
      <c r="A62" s="6">
        <f>DATA!A49</f>
        <v>40</v>
      </c>
      <c r="B62" s="6">
        <f>DATA!B49</f>
        <v>0</v>
      </c>
      <c r="C62" s="6" t="str">
        <f>DATA!D49</f>
        <v>INFRASTRUKTUR</v>
      </c>
      <c r="D62" s="6">
        <f>DATA!E49</f>
        <v>1</v>
      </c>
      <c r="E62" s="6" t="str">
        <f>DATA!F49</f>
        <v>Kementerian Pekerjaan Umum dan Perumahan Rakyat</v>
      </c>
      <c r="F62" s="6" t="str">
        <f>DATA!H49</f>
        <v>Development of Waste Water Management Program</v>
      </c>
      <c r="G62" s="6" t="str">
        <f>DATA!I49</f>
        <v>E</v>
      </c>
      <c r="H62" s="6" t="str">
        <f>DATA!J49</f>
        <v xml:space="preserve">Program Pembangunan Sistem Pengelolaan Air Limbah </v>
      </c>
      <c r="I62" s="6">
        <f>DATA!K49</f>
        <v>4</v>
      </c>
      <c r="J62" s="38"/>
      <c r="K62" s="39"/>
      <c r="L62" s="39"/>
      <c r="M62" s="43"/>
      <c r="N62" s="67" t="str">
        <f>DATA!L49</f>
        <v>Sewerage System Development in Indonesia</v>
      </c>
      <c r="O62" s="42">
        <f>DATA!Q49</f>
        <v>0.25</v>
      </c>
      <c r="P62" s="42">
        <f>DATA!R49</f>
        <v>0</v>
      </c>
      <c r="Q62" s="42">
        <f>DATA!S49</f>
        <v>0</v>
      </c>
      <c r="R62" s="83">
        <f>DATA!T49</f>
        <v>0</v>
      </c>
      <c r="S62" s="88">
        <f>DATA!U49</f>
        <v>0</v>
      </c>
      <c r="T62" s="83">
        <f>DATA!V49</f>
        <v>0</v>
      </c>
      <c r="U62" s="83">
        <f>DATA!W49</f>
        <v>0</v>
      </c>
      <c r="V62" s="83">
        <f>DATA!X49</f>
        <v>0</v>
      </c>
      <c r="W62" s="84" t="str">
        <f>DATA!Y49</f>
        <v>Bank Dunia</v>
      </c>
      <c r="X62" s="42" t="str">
        <f>DATA!Z49</f>
        <v>Multilateral</v>
      </c>
      <c r="Y62" s="83">
        <f>DATA!AA49</f>
        <v>200000000</v>
      </c>
      <c r="Z62" s="83">
        <f>DATA!AG49</f>
        <v>0</v>
      </c>
      <c r="AA62" s="42">
        <f>DATA!AH49</f>
        <v>2017</v>
      </c>
      <c r="AB62" s="67" t="str">
        <f>DATA!AI49</f>
        <v>-</v>
      </c>
      <c r="AC62" s="152">
        <f>DATA!AM49</f>
        <v>0</v>
      </c>
      <c r="AD62" s="152" t="str">
        <f>DATA!AN49</f>
        <v>belum ada keterangan</v>
      </c>
      <c r="AE62" s="152" t="str">
        <f>DATA!AO49</f>
        <v>belum ada keterangan</v>
      </c>
      <c r="AF62" s="67" t="str">
        <f>DATA!AJ49</f>
        <v>-</v>
      </c>
      <c r="AG62" s="67" t="str">
        <f>DATA!AK49</f>
        <v>-</v>
      </c>
      <c r="AH62" s="67" t="str">
        <f>DATA!AL49</f>
        <v>-</v>
      </c>
      <c r="AI62" s="42">
        <f>DATA!AM49</f>
        <v>0</v>
      </c>
      <c r="AJ62" s="42" t="str">
        <f>DATA!AN49</f>
        <v>belum ada keterangan</v>
      </c>
      <c r="AK62" s="42" t="str">
        <f>DATA!AO49</f>
        <v>belum ada keterangan</v>
      </c>
      <c r="AL62" s="42" t="str">
        <f>DATA!AP49</f>
        <v>belum ada proses tender/lelang</v>
      </c>
      <c r="AM62" s="42" t="str">
        <f>DATA!AY49</f>
        <v>- belum ada proses penyiapan
- Konfirmasi melalui surat Sekjen nomor KU.01.12-Sj/636 tgl 23 Oktober 2015</v>
      </c>
      <c r="AN62" s="42" t="e">
        <f>DATA!#REF!</f>
        <v>#REF!</v>
      </c>
      <c r="AO62" s="42" t="str">
        <f>DATA!AZ49</f>
        <v>Sudah ada pembicaraan awal</v>
      </c>
      <c r="AP62" s="152" t="e">
        <f>DATA!#REF!</f>
        <v>#REF!</v>
      </c>
      <c r="AQ62" s="67" t="str">
        <f>DATA!BA49</f>
        <v>Pembangunan fisik sarana dan prasarana sanitasi serta Instalasi Pengolahan Air Limbah (IPAL) dan penguatan kapasitas lembaga pengelola</v>
      </c>
    </row>
    <row r="63" spans="1:43" ht="43.5" customHeight="1">
      <c r="A63" s="10">
        <f>DATA!A51</f>
        <v>41</v>
      </c>
      <c r="B63" s="10">
        <f>DATA!B51</f>
        <v>0</v>
      </c>
      <c r="C63" s="10" t="str">
        <f>DATA!D51</f>
        <v>INFRASTRUKTUR</v>
      </c>
      <c r="D63" s="10">
        <f>DATA!E51</f>
        <v>1</v>
      </c>
      <c r="E63" s="10" t="str">
        <f>DATA!F51</f>
        <v>Kementerian Pekerjaan Umum dan Perumahan Rakyat</v>
      </c>
      <c r="F63" s="10" t="str">
        <f>DATA!H51</f>
        <v>Development of Waste Water Management Program</v>
      </c>
      <c r="G63" s="10" t="str">
        <f>DATA!I51</f>
        <v>E</v>
      </c>
      <c r="H63" s="10" t="str">
        <f>DATA!J51</f>
        <v xml:space="preserve">Program Pembangunan Sistem Pengelolaan Air Limbah </v>
      </c>
      <c r="I63" s="10">
        <f>DATA!K51</f>
        <v>5</v>
      </c>
      <c r="J63" s="33"/>
      <c r="K63" s="34"/>
      <c r="L63" s="34"/>
      <c r="M63" s="36">
        <f>DATA!K51</f>
        <v>5</v>
      </c>
      <c r="N63" s="37" t="str">
        <f>DATA!L51</f>
        <v>Denpasar Sewerage Development Project - Phase III</v>
      </c>
      <c r="O63" s="20">
        <f>DATA!Q51</f>
        <v>1</v>
      </c>
      <c r="P63" s="20">
        <f>DATA!R51</f>
        <v>1</v>
      </c>
      <c r="Q63" s="20">
        <f>DATA!S51</f>
        <v>35</v>
      </c>
      <c r="R63" s="77">
        <f>DATA!T51</f>
        <v>233000000</v>
      </c>
      <c r="S63" s="88">
        <f>DATA!U51</f>
        <v>233000000</v>
      </c>
      <c r="T63" s="77">
        <f>DATA!V51</f>
        <v>11650000</v>
      </c>
      <c r="U63" s="77">
        <f>DATA!W51</f>
        <v>0</v>
      </c>
      <c r="V63" s="77">
        <f>DATA!X51</f>
        <v>244650000</v>
      </c>
      <c r="W63" s="78" t="str">
        <f>DATA!Y51</f>
        <v>JICA</v>
      </c>
      <c r="X63" s="20" t="str">
        <f>DATA!Z51</f>
        <v>Bilateral</v>
      </c>
      <c r="Y63" s="77">
        <f>DATA!AA51</f>
        <v>233000000</v>
      </c>
      <c r="Z63" s="77">
        <f>DATA!AG51</f>
        <v>0</v>
      </c>
      <c r="AA63" s="20">
        <f>DATA!AH51</f>
        <v>2018</v>
      </c>
      <c r="AB63" s="37" t="str">
        <f>DATA!AI51</f>
        <v>-</v>
      </c>
      <c r="AC63" s="152">
        <f>DATA!AM51</f>
        <v>0</v>
      </c>
      <c r="AD63" s="152" t="str">
        <f>DATA!AN51</f>
        <v>dalam proses
(memiliki FS)</v>
      </c>
      <c r="AE63" s="152" t="str">
        <f>DATA!AO51</f>
        <v>belum ada keterangan</v>
      </c>
      <c r="AF63" s="37" t="str">
        <f>DATA!AJ51</f>
        <v>Penyusunan DED</v>
      </c>
      <c r="AG63" s="37" t="str">
        <f>DATA!AK51</f>
        <v>-</v>
      </c>
      <c r="AH63" s="37" t="str">
        <f>DATA!AL51</f>
        <v>-</v>
      </c>
      <c r="AI63" s="20">
        <f>DATA!AM51</f>
        <v>0</v>
      </c>
      <c r="AJ63" s="20" t="str">
        <f>DATA!AN51</f>
        <v>dalam proses
(memiliki FS)</v>
      </c>
      <c r="AK63" s="20" t="str">
        <f>DATA!AO51</f>
        <v>belum ada keterangan</v>
      </c>
      <c r="AL63" s="20" t="str">
        <f>DATA!AP51</f>
        <v>belum ada proses tender/lelang</v>
      </c>
      <c r="AM63" s="20" t="str">
        <f>DATA!AY51</f>
        <v>Konfirmasi melalui surat Sekjen nomor KU.01.12-Sj/636 tgl 23 Oktober 2015</v>
      </c>
      <c r="AN63" s="20" t="e">
        <f>DATA!#REF!</f>
        <v>#REF!</v>
      </c>
      <c r="AO63" s="20">
        <f>DATA!AZ51</f>
        <v>0</v>
      </c>
      <c r="AP63" s="152" t="e">
        <f>DATA!#REF!</f>
        <v>#REF!</v>
      </c>
      <c r="AQ63" s="37" t="str">
        <f>DATA!BA51</f>
        <v>Pembangunan jaringan perpipaan dengan area pelayanan 2.200 Ha, stasiun pompa sejumlah 2 unit, dan instalasi pengolahan air limbah.</v>
      </c>
    </row>
    <row r="64" spans="1:43" ht="36.75" customHeight="1">
      <c r="A64" s="10">
        <f>DATA!A52</f>
        <v>42</v>
      </c>
      <c r="B64" s="10">
        <f>DATA!B52</f>
        <v>0</v>
      </c>
      <c r="C64" s="10" t="str">
        <f>DATA!D52</f>
        <v>INFRASTRUKTUR</v>
      </c>
      <c r="D64" s="10">
        <f>DATA!E52</f>
        <v>1</v>
      </c>
      <c r="E64" s="10" t="str">
        <f>DATA!F52</f>
        <v>Kementerian Pekerjaan Umum dan Perumahan Rakyat</v>
      </c>
      <c r="F64" s="10" t="str">
        <f>DATA!H52</f>
        <v>Development of Waste Water Management Program</v>
      </c>
      <c r="G64" s="10" t="str">
        <f>DATA!I52</f>
        <v>E</v>
      </c>
      <c r="H64" s="10" t="str">
        <f>DATA!J52</f>
        <v xml:space="preserve">Program Pembangunan Sistem Pengelolaan Air Limbah </v>
      </c>
      <c r="I64" s="10">
        <f>DATA!K52</f>
        <v>6</v>
      </c>
      <c r="J64" s="33"/>
      <c r="K64" s="34"/>
      <c r="L64" s="54"/>
      <c r="M64" s="36">
        <f>DATA!K52</f>
        <v>6</v>
      </c>
      <c r="N64" s="37" t="str">
        <f>DATA!L52</f>
        <v>The Development and Optimization of Wastewater Treatment in Greater Bandung</v>
      </c>
      <c r="O64" s="20">
        <f>DATA!Q52</f>
        <v>1</v>
      </c>
      <c r="P64" s="20">
        <f>DATA!R52</f>
        <v>1</v>
      </c>
      <c r="Q64" s="20">
        <f>DATA!S52</f>
        <v>36</v>
      </c>
      <c r="R64" s="77">
        <f>DATA!T52</f>
        <v>100000000</v>
      </c>
      <c r="S64" s="88">
        <f>DATA!U52</f>
        <v>100000000</v>
      </c>
      <c r="T64" s="77">
        <f>DATA!V52</f>
        <v>5000000</v>
      </c>
      <c r="U64" s="77">
        <f>DATA!W52</f>
        <v>0</v>
      </c>
      <c r="V64" s="77">
        <f>DATA!X52</f>
        <v>105000000</v>
      </c>
      <c r="W64" s="78" t="str">
        <f>DATA!Y52</f>
        <v>Jerman (KfW)</v>
      </c>
      <c r="X64" s="20" t="str">
        <f>DATA!Z52</f>
        <v>Bilateral</v>
      </c>
      <c r="Y64" s="77">
        <f>DATA!AA52</f>
        <v>100000000</v>
      </c>
      <c r="Z64" s="77">
        <f>DATA!AG52</f>
        <v>0</v>
      </c>
      <c r="AA64" s="20">
        <f>DATA!AH52</f>
        <v>2017</v>
      </c>
      <c r="AB64" s="37" t="str">
        <f>DATA!AI52</f>
        <v>Master Plan</v>
      </c>
      <c r="AC64" s="152">
        <f>DATA!AM52</f>
        <v>0</v>
      </c>
      <c r="AD64" s="152" t="str">
        <f>DATA!AN52</f>
        <v>dalam proses
(penyusunan FS)</v>
      </c>
      <c r="AE64" s="152" t="str">
        <f>DATA!AO52</f>
        <v>belum ada keterangan</v>
      </c>
      <c r="AF64" s="37" t="str">
        <f>DATA!AJ52</f>
        <v>Pra FS</v>
      </c>
      <c r="AG64" s="37" t="str">
        <f>DATA!AK52</f>
        <v>-</v>
      </c>
      <c r="AH64" s="37" t="str">
        <f>DATA!AL52</f>
        <v>-</v>
      </c>
      <c r="AI64" s="20">
        <f>DATA!AM52</f>
        <v>0</v>
      </c>
      <c r="AJ64" s="20" t="str">
        <f>DATA!AN52</f>
        <v>dalam proses
(penyusunan FS)</v>
      </c>
      <c r="AK64" s="20" t="str">
        <f>DATA!AO52</f>
        <v>belum ada keterangan</v>
      </c>
      <c r="AL64" s="20" t="str">
        <f>DATA!AP52</f>
        <v>belum ada proses tender/lelang</v>
      </c>
      <c r="AM64" s="20" t="str">
        <f>DATA!AY52</f>
        <v>Konfirmasi melalui surat Sekjen nomor KU.01.12-Sj/636 tgl 23 Oktober 2015</v>
      </c>
      <c r="AN64" s="20" t="e">
        <f>DATA!#REF!</f>
        <v>#REF!</v>
      </c>
      <c r="AO64" s="20">
        <f>DATA!AZ52</f>
        <v>0</v>
      </c>
      <c r="AP64" s="152" t="e">
        <f>DATA!#REF!</f>
        <v>#REF!</v>
      </c>
      <c r="AQ64" s="37" t="str">
        <f>DATA!BA52</f>
        <v>Review master plan air limbah dan optimalisasi Instalasi Pengolahan Air Limbah (IPAL) Bojongsoang.</v>
      </c>
    </row>
    <row r="65" spans="1:43" ht="36.75" customHeight="1">
      <c r="J65" s="33"/>
      <c r="K65" s="34"/>
      <c r="L65" s="54"/>
      <c r="M65" s="36">
        <f>DATA!K53</f>
        <v>7</v>
      </c>
      <c r="N65" s="56" t="str">
        <f>DATA!L53</f>
        <v>Engineering Service for Sanitation Improvement Project</v>
      </c>
      <c r="O65" s="36">
        <f>DATA!Q53</f>
        <v>0</v>
      </c>
      <c r="P65" s="36">
        <f>DATA!R53</f>
        <v>0</v>
      </c>
      <c r="Q65" s="36">
        <f>DATA!S53</f>
        <v>0</v>
      </c>
      <c r="R65" s="88">
        <f>DATA!T53</f>
        <v>0</v>
      </c>
      <c r="S65" s="88">
        <f>DATA!U53</f>
        <v>25200000</v>
      </c>
      <c r="T65" s="88">
        <f>DATA!V53</f>
        <v>0</v>
      </c>
      <c r="U65" s="88">
        <f>DATA!W53</f>
        <v>0</v>
      </c>
      <c r="V65" s="88">
        <f>DATA!X53</f>
        <v>25200000</v>
      </c>
      <c r="W65" s="88" t="str">
        <f>DATA!Y53</f>
        <v>ADB</v>
      </c>
      <c r="X65" s="88" t="str">
        <f>DATA!Z53</f>
        <v>Multilateral</v>
      </c>
      <c r="Y65" s="88">
        <f>DATA!AA53</f>
        <v>25200000</v>
      </c>
      <c r="Z65" s="88">
        <f>DATA!AG53</f>
        <v>0</v>
      </c>
      <c r="AA65" s="102">
        <f>DATA!AH53</f>
        <v>2016</v>
      </c>
      <c r="AB65" s="110" t="str">
        <f>DATA!AI53</f>
        <v>- Green Book 2015</v>
      </c>
      <c r="AC65" s="152" t="str">
        <f>DATA!AM53</f>
        <v>2015; 2016</v>
      </c>
      <c r="AD65" s="152" t="str">
        <f>DATA!AN53</f>
        <v>siap</v>
      </c>
      <c r="AE65" s="152" t="str">
        <f>DATA!AO53</f>
        <v>tidak butuh lahan</v>
      </c>
      <c r="AF65" s="110" t="str">
        <f>DATA!AJ53</f>
        <v>-</v>
      </c>
      <c r="AG65" s="110" t="str">
        <f>DATA!AK53</f>
        <v>-</v>
      </c>
      <c r="AH65" s="110" t="str">
        <f>DATA!AL53</f>
        <v>-</v>
      </c>
      <c r="AI65" s="20"/>
      <c r="AJ65" s="20"/>
      <c r="AK65" s="20"/>
      <c r="AL65" s="20"/>
      <c r="AM65" s="20"/>
      <c r="AN65" s="20"/>
      <c r="AO65" s="20"/>
      <c r="AP65" s="152" t="e">
        <f>DATA!#REF!</f>
        <v>#REF!</v>
      </c>
      <c r="AQ65" s="37"/>
    </row>
    <row r="66" spans="1:43" s="5" customFormat="1" ht="33.75" customHeight="1">
      <c r="J66" s="28"/>
      <c r="K66" s="50"/>
      <c r="L66" s="30" t="str">
        <f>DATA!I54</f>
        <v>F</v>
      </c>
      <c r="M66" s="31" t="str">
        <f>DATA!J54</f>
        <v xml:space="preserve">Program Pembangunan Sistem Pengelolaan Persampahan </v>
      </c>
      <c r="N66" s="51"/>
      <c r="O66" s="31"/>
      <c r="P66" s="31"/>
      <c r="Q66" s="31"/>
      <c r="R66" s="81">
        <f>+R67+R68</f>
        <v>250000000</v>
      </c>
      <c r="S66" s="81">
        <f>+S67+S68</f>
        <v>250000000</v>
      </c>
      <c r="T66" s="81">
        <f>+T67+T68</f>
        <v>12500000</v>
      </c>
      <c r="U66" s="81">
        <f>+U67+U68</f>
        <v>0</v>
      </c>
      <c r="V66" s="81">
        <f>+V67+V68</f>
        <v>262500000</v>
      </c>
      <c r="W66" s="81"/>
      <c r="X66" s="81" t="e">
        <f>+X67+X68</f>
        <v>#VALUE!</v>
      </c>
      <c r="Y66" s="81">
        <f>+Y67+Y68</f>
        <v>250000000</v>
      </c>
      <c r="Z66" s="81">
        <f>+Z67+Z68</f>
        <v>0</v>
      </c>
      <c r="AA66" s="31"/>
      <c r="AB66" s="32"/>
      <c r="AC66" s="153"/>
      <c r="AD66" s="32"/>
      <c r="AE66" s="32"/>
      <c r="AF66" s="32"/>
      <c r="AG66" s="32"/>
      <c r="AH66" s="32"/>
      <c r="AI66" s="31"/>
      <c r="AJ66" s="31"/>
      <c r="AK66" s="31"/>
      <c r="AL66" s="31"/>
      <c r="AM66" s="31"/>
      <c r="AN66" s="31"/>
      <c r="AO66" s="31"/>
      <c r="AP66" s="32"/>
      <c r="AQ66" s="32"/>
    </row>
    <row r="67" spans="1:43" ht="69.75" customHeight="1">
      <c r="A67" s="10">
        <f>DATA!A54</f>
        <v>43</v>
      </c>
      <c r="B67" s="10">
        <f>DATA!B54</f>
        <v>0</v>
      </c>
      <c r="C67" s="10" t="str">
        <f>DATA!D54</f>
        <v>INFRASTRUKTUR</v>
      </c>
      <c r="D67" s="10">
        <f>DATA!E54</f>
        <v>1</v>
      </c>
      <c r="E67" s="10" t="str">
        <f>DATA!F54</f>
        <v>Kementerian Pekerjaan Umum dan Perumahan Rakyat</v>
      </c>
      <c r="F67" s="10" t="str">
        <f>DATA!H54</f>
        <v>Development of Solid Waste Management Program</v>
      </c>
      <c r="G67" s="10" t="str">
        <f>DATA!I54</f>
        <v>F</v>
      </c>
      <c r="H67" s="10" t="str">
        <f>DATA!J54</f>
        <v xml:space="preserve">Program Pembangunan Sistem Pengelolaan Persampahan </v>
      </c>
      <c r="I67" s="10">
        <f>DATA!K54</f>
        <v>1</v>
      </c>
      <c r="J67" s="33"/>
      <c r="K67" s="34"/>
      <c r="L67" s="35"/>
      <c r="M67" s="36">
        <f>DATA!K54</f>
        <v>1</v>
      </c>
      <c r="N67" s="37" t="str">
        <f>DATA!L54</f>
        <v xml:space="preserve">Advanced Solid Waste Management for Sustainable Urban Development (Advance SWM-SUD) </v>
      </c>
      <c r="O67" s="20">
        <f>DATA!Q54</f>
        <v>1</v>
      </c>
      <c r="P67" s="20">
        <f>DATA!R54</f>
        <v>1</v>
      </c>
      <c r="Q67" s="20">
        <f>DATA!S54</f>
        <v>37</v>
      </c>
      <c r="R67" s="77">
        <f>DATA!T54</f>
        <v>150000000</v>
      </c>
      <c r="S67" s="88">
        <f>DATA!U54</f>
        <v>150000000</v>
      </c>
      <c r="T67" s="77">
        <f>DATA!V54</f>
        <v>7500000</v>
      </c>
      <c r="U67" s="77">
        <f>DATA!W54</f>
        <v>0</v>
      </c>
      <c r="V67" s="77">
        <f>DATA!X54</f>
        <v>157500000</v>
      </c>
      <c r="W67" s="78" t="str">
        <f>DATA!Y54</f>
        <v>Jerman (KfW)</v>
      </c>
      <c r="X67" s="20" t="str">
        <f>DATA!Z54</f>
        <v>Bilateral</v>
      </c>
      <c r="Y67" s="77">
        <f>DATA!AA54</f>
        <v>150000000</v>
      </c>
      <c r="Z67" s="77">
        <f>DATA!AG54</f>
        <v>0</v>
      </c>
      <c r="AA67" s="20">
        <f>DATA!AH54</f>
        <v>2017</v>
      </c>
      <c r="AB67" s="37" t="str">
        <f>DATA!AI54</f>
        <v>-</v>
      </c>
      <c r="AC67" s="152">
        <f>DATA!AM54</f>
        <v>0</v>
      </c>
      <c r="AD67" s="152" t="str">
        <f>DATA!AN54</f>
        <v>dalam proses
(penyusunan FS)</v>
      </c>
      <c r="AE67" s="152" t="str">
        <f>DATA!AO54</f>
        <v>belum ada keterangan</v>
      </c>
      <c r="AF67" s="37" t="str">
        <f>DATA!AJ54</f>
        <v>Telah dilakukan kajian awal oleh tim FFM KfW</v>
      </c>
      <c r="AG67" s="37" t="str">
        <f>DATA!AK54</f>
        <v>-</v>
      </c>
      <c r="AH67" s="37" t="str">
        <f>DATA!AL54</f>
        <v>-</v>
      </c>
      <c r="AI67" s="20">
        <f>DATA!AM54</f>
        <v>0</v>
      </c>
      <c r="AJ67" s="20" t="str">
        <f>DATA!AN54</f>
        <v>dalam proses
(penyusunan FS)</v>
      </c>
      <c r="AK67" s="20" t="str">
        <f>DATA!AO54</f>
        <v>belum ada keterangan</v>
      </c>
      <c r="AL67" s="20" t="str">
        <f>DATA!AP54</f>
        <v>belum ada proses tender/lelang</v>
      </c>
      <c r="AM67" s="20" t="str">
        <f>DATA!AY54</f>
        <v>- belum ada proses penyiapan
- Konfirmasi melalui surat Sekjen nomor KU.01.12-Sj/636 tgl 23 Oktober 2015</v>
      </c>
      <c r="AN67" s="20" t="e">
        <f>DATA!#REF!</f>
        <v>#REF!</v>
      </c>
      <c r="AO67" s="20">
        <f>DATA!AZ54</f>
        <v>0</v>
      </c>
      <c r="AP67" s="152" t="e">
        <f>DATA!#REF!</f>
        <v>#REF!</v>
      </c>
      <c r="AQ67" s="37" t="str">
        <f>DATA!BA54</f>
        <v>Pembangunan TPA baru, pembangunan unit sistem teknologi pengolahan sampah, pembangunan Intermediete Treatment Facility (ITF), infrastruktur penunjang, buffer zone, dan supervisi kegiatan konstruksi.</v>
      </c>
    </row>
    <row r="68" spans="1:43" ht="51">
      <c r="A68" s="10">
        <f>DATA!A55</f>
        <v>44</v>
      </c>
      <c r="B68" s="10">
        <f>DATA!B55</f>
        <v>0</v>
      </c>
      <c r="C68" s="10" t="str">
        <f>DATA!D55</f>
        <v>INFRASTRUKTUR</v>
      </c>
      <c r="D68" s="10">
        <f>DATA!E55</f>
        <v>1</v>
      </c>
      <c r="E68" s="10" t="str">
        <f>DATA!F55</f>
        <v>Kementerian Pekerjaan Umum dan Perumahan Rakyat</v>
      </c>
      <c r="F68" s="10" t="str">
        <f>DATA!H55</f>
        <v>Development of Solid Waste Management Program</v>
      </c>
      <c r="G68" s="10" t="str">
        <f>DATA!I55</f>
        <v>F</v>
      </c>
      <c r="H68" s="10" t="str">
        <f>DATA!J55</f>
        <v xml:space="preserve">Program Pembangunan Sistem Pengelolaan Persampahan </v>
      </c>
      <c r="I68" s="10">
        <f>DATA!K55</f>
        <v>2</v>
      </c>
      <c r="J68" s="33"/>
      <c r="K68" s="34"/>
      <c r="L68" s="54"/>
      <c r="M68" s="36">
        <f>DATA!K55</f>
        <v>2</v>
      </c>
      <c r="N68" s="37" t="str">
        <f>DATA!L55</f>
        <v>The Improvement of Solid Waste Management to Support Regional Area and Metropolitan Cities</v>
      </c>
      <c r="O68" s="20">
        <f>DATA!Q55</f>
        <v>1</v>
      </c>
      <c r="P68" s="20">
        <f>DATA!R55</f>
        <v>1</v>
      </c>
      <c r="Q68" s="20">
        <f>DATA!S55</f>
        <v>38</v>
      </c>
      <c r="R68" s="77">
        <f>DATA!T55</f>
        <v>100000000</v>
      </c>
      <c r="S68" s="88">
        <f>DATA!U55</f>
        <v>100000000</v>
      </c>
      <c r="T68" s="77">
        <f>DATA!V55</f>
        <v>5000000</v>
      </c>
      <c r="U68" s="77">
        <f>DATA!W55</f>
        <v>0</v>
      </c>
      <c r="V68" s="77">
        <f>DATA!X55</f>
        <v>105000000</v>
      </c>
      <c r="W68" s="78" t="str">
        <f>DATA!Y55</f>
        <v>Bank Dunia</v>
      </c>
      <c r="X68" s="20" t="str">
        <f>DATA!Z55</f>
        <v>Multilateral</v>
      </c>
      <c r="Y68" s="77">
        <f>DATA!AA55</f>
        <v>100000000</v>
      </c>
      <c r="Z68" s="77">
        <f>DATA!AG55</f>
        <v>0</v>
      </c>
      <c r="AA68" s="20">
        <f>DATA!AH55</f>
        <v>2016</v>
      </c>
      <c r="AB68" s="37" t="str">
        <f>DATA!AI55</f>
        <v>-</v>
      </c>
      <c r="AC68" s="152">
        <f>DATA!AM55</f>
        <v>0</v>
      </c>
      <c r="AD68" s="152" t="str">
        <f>DATA!AN55</f>
        <v>dalam proses
(memiliki FS)</v>
      </c>
      <c r="AE68" s="152" t="str">
        <f>DATA!AO55</f>
        <v>dalam proses
(persiapan)</v>
      </c>
      <c r="AF68" s="37" t="str">
        <f>DATA!AJ55</f>
        <v>DED dalam proses finalisasi</v>
      </c>
      <c r="AG68" s="37" t="str">
        <f>DATA!AK55</f>
        <v>Dalam proses kepemilikan lahan</v>
      </c>
      <c r="AH68" s="37" t="str">
        <f>DATA!AL55</f>
        <v>Belum ada tindak lanjut</v>
      </c>
      <c r="AI68" s="20">
        <f>DATA!AM55</f>
        <v>0</v>
      </c>
      <c r="AJ68" s="20" t="str">
        <f>DATA!AN55</f>
        <v>dalam proses
(memiliki FS)</v>
      </c>
      <c r="AK68" s="20" t="str">
        <f>DATA!AO55</f>
        <v>dalam proses
(persiapan)</v>
      </c>
      <c r="AL68" s="20" t="str">
        <f>DATA!AP55</f>
        <v>belum ada proses tender/lelang</v>
      </c>
      <c r="AM68" s="20" t="str">
        <f>DATA!AY55</f>
        <v xml:space="preserve">- Konfirmasi melalui surat Sekjen nomor KU.01.12-Sj/636 tgl 23 Oktober 2015
- Bank Dunia membantu proses studi, DED, FS (CDIA, INDII Facility) </v>
      </c>
      <c r="AN68" s="20" t="e">
        <f>DATA!#REF!</f>
        <v>#REF!</v>
      </c>
      <c r="AO68" s="20" t="str">
        <f>DATA!AZ55</f>
        <v>- FS
- Diusulkan untuk masuk Green Book 2016</v>
      </c>
      <c r="AP68" s="152" t="e">
        <f>DATA!#REF!</f>
        <v>#REF!</v>
      </c>
      <c r="AQ68" s="37" t="str">
        <f>DATA!BA55</f>
        <v>Pembangunan TPA Sanitary Landfill  baru, pembangunan Intermediete Treatment Facility (ITF), dan pengembangan konsep Reuse, Reduce, and Recycle (3R).</v>
      </c>
    </row>
    <row r="69" spans="1:43" s="5" customFormat="1" ht="33.75" customHeight="1">
      <c r="J69" s="28"/>
      <c r="K69" s="50"/>
      <c r="L69" s="30" t="str">
        <f>DATA!I56</f>
        <v>G</v>
      </c>
      <c r="M69" s="31" t="str">
        <f>DATA!J56</f>
        <v>Program Penanganan Kumuh</v>
      </c>
      <c r="N69" s="51"/>
      <c r="O69" s="31"/>
      <c r="P69" s="31"/>
      <c r="Q69" s="31"/>
      <c r="R69" s="81">
        <f>+R70+R71+R74+R75</f>
        <v>3614740000</v>
      </c>
      <c r="S69" s="81">
        <f>+S70+S71+S74+S75</f>
        <v>3614740000</v>
      </c>
      <c r="T69" s="81">
        <f t="shared" ref="T69:Z69" si="2">+T70+T71+T74+T75</f>
        <v>180737000</v>
      </c>
      <c r="U69" s="81">
        <f t="shared" si="2"/>
        <v>0</v>
      </c>
      <c r="V69" s="81">
        <f t="shared" si="2"/>
        <v>3795477000</v>
      </c>
      <c r="W69" s="81"/>
      <c r="X69" s="81" t="e">
        <f t="shared" si="2"/>
        <v>#VALUE!</v>
      </c>
      <c r="Y69" s="81">
        <f t="shared" si="2"/>
        <v>3614740000</v>
      </c>
      <c r="Z69" s="81">
        <f t="shared" si="2"/>
        <v>0</v>
      </c>
      <c r="AA69" s="31"/>
      <c r="AB69" s="32"/>
      <c r="AC69" s="32"/>
      <c r="AD69" s="32"/>
      <c r="AE69" s="32"/>
      <c r="AF69" s="32"/>
      <c r="AG69" s="32"/>
      <c r="AH69" s="32"/>
      <c r="AI69" s="31"/>
      <c r="AJ69" s="31"/>
      <c r="AK69" s="31"/>
      <c r="AL69" s="31"/>
      <c r="AM69" s="31"/>
      <c r="AN69" s="31"/>
      <c r="AO69" s="31"/>
      <c r="AP69" s="32"/>
      <c r="AQ69" s="32"/>
    </row>
    <row r="70" spans="1:43" ht="180.75" customHeight="1">
      <c r="A70" s="10">
        <f>DATA!A56</f>
        <v>45</v>
      </c>
      <c r="B70" s="10">
        <f>DATA!B56</f>
        <v>0</v>
      </c>
      <c r="C70" s="10" t="str">
        <f>DATA!D56</f>
        <v>INFRASTRUKTUR</v>
      </c>
      <c r="D70" s="10">
        <f>DATA!E56</f>
        <v>1</v>
      </c>
      <c r="E70" s="10" t="str">
        <f>DATA!F56</f>
        <v>Kementerian Pekerjaan Umum dan Perumahan Rakyat</v>
      </c>
      <c r="F70" s="10" t="str">
        <f>DATA!H56</f>
        <v>Slum Alleviation Program</v>
      </c>
      <c r="G70" s="10" t="str">
        <f>DATA!I56</f>
        <v>G</v>
      </c>
      <c r="H70" s="10" t="str">
        <f>DATA!J56</f>
        <v>Program Penanganan Kumuh</v>
      </c>
      <c r="I70" s="10">
        <f>DATA!K56</f>
        <v>1</v>
      </c>
      <c r="J70" s="33"/>
      <c r="K70" s="34"/>
      <c r="L70" s="35"/>
      <c r="M70" s="36">
        <f>DATA!K56</f>
        <v>1</v>
      </c>
      <c r="N70" s="37" t="str">
        <f>DATA!L56</f>
        <v>Slum Improvement in Strategic Human Settlements Area (SISHA)</v>
      </c>
      <c r="O70" s="20">
        <f>DATA!Q56</f>
        <v>1</v>
      </c>
      <c r="P70" s="20">
        <f>DATA!R56</f>
        <v>1</v>
      </c>
      <c r="Q70" s="20">
        <f>DATA!S56</f>
        <v>39</v>
      </c>
      <c r="R70" s="77">
        <f>DATA!T56</f>
        <v>2100000000</v>
      </c>
      <c r="S70" s="88">
        <f>DATA!U56</f>
        <v>2100000000</v>
      </c>
      <c r="T70" s="77">
        <f>DATA!V56</f>
        <v>105000000</v>
      </c>
      <c r="U70" s="77">
        <f>DATA!W56</f>
        <v>0</v>
      </c>
      <c r="V70" s="77">
        <f>DATA!X56</f>
        <v>2205000000</v>
      </c>
      <c r="W70" s="109" t="str">
        <f>DATA!Y56</f>
        <v>Bank Dunia/JICA/ADB</v>
      </c>
      <c r="X70" s="20" t="str">
        <f>DATA!Z56</f>
        <v>Multi Lender</v>
      </c>
      <c r="Y70" s="77">
        <f>DATA!AA56</f>
        <v>2100000000</v>
      </c>
      <c r="Z70" s="77">
        <f>DATA!AG56</f>
        <v>0</v>
      </c>
      <c r="AA70" s="20">
        <f>DATA!AH56</f>
        <v>2017</v>
      </c>
      <c r="AB70" s="37" t="str">
        <f>DATA!AI56</f>
        <v>-</v>
      </c>
      <c r="AC70" s="152">
        <f>DATA!AM56</f>
        <v>0</v>
      </c>
      <c r="AD70" s="152" t="str">
        <f>DATA!AN56</f>
        <v>dalam proses
(penyusunan FS)</v>
      </c>
      <c r="AE70" s="152" t="str">
        <f>DATA!AO56</f>
        <v>dalam proses
(perencanaan)</v>
      </c>
      <c r="AF70" s="37" t="str">
        <f>DATA!AJ56</f>
        <v>117 kab/kota telah terfasilitasi pendampingan penyusunan rencana kawasan permukiman kumuh perkotaan (RKPKP) tahun 2015 sebagai rencana pencegahan dan peningkatan kualitas permukiman dan perumahan kumuh perkotaan.</v>
      </c>
      <c r="AG70" s="37" t="str">
        <f>DATA!AK56</f>
        <v xml:space="preserve">Pemerintah Daerah sudah menetapkan SK Bupati / Walikota untuk Penetapan Lokasi Perumahan Kumuh dan Permukiman Kumuh. </v>
      </c>
      <c r="AH70" s="37" t="str">
        <f>DATA!AL56</f>
        <v>-</v>
      </c>
      <c r="AI70" s="20">
        <f>DATA!AM56</f>
        <v>0</v>
      </c>
      <c r="AJ70" s="20" t="str">
        <f>DATA!AN56</f>
        <v>dalam proses
(penyusunan FS)</v>
      </c>
      <c r="AK70" s="20" t="str">
        <f>DATA!AO56</f>
        <v>dalam proses
(perencanaan)</v>
      </c>
      <c r="AL70" s="20" t="str">
        <f>DATA!AP56</f>
        <v>belum ada proses tender/lelang</v>
      </c>
      <c r="AM70" s="20" t="str">
        <f>DATA!AY56</f>
        <v>- Konsep kegiatan belum siap
- Konfirmasi melalui surat Sekjen nomor KU.01.12-Sj/636 tgl 23 Oktober 2015</v>
      </c>
      <c r="AN70" s="20" t="e">
        <f>DATA!#REF!</f>
        <v>#REF!</v>
      </c>
      <c r="AO70" s="20">
        <f>DATA!AZ56</f>
        <v>0</v>
      </c>
      <c r="AP70" s="152" t="e">
        <f>DATA!#REF!</f>
        <v>#REF!</v>
      </c>
      <c r="AQ70" s="37" t="str">
        <f>DATA!BA56</f>
        <v>Penanganan kawasan kumuh sebesar 4.400 ha</v>
      </c>
    </row>
    <row r="71" spans="1:43" ht="30" customHeight="1">
      <c r="A71" s="10">
        <f>DATA!A57</f>
        <v>46</v>
      </c>
      <c r="B71" s="10">
        <f>DATA!B57</f>
        <v>0</v>
      </c>
      <c r="C71" s="10" t="str">
        <f>DATA!D57</f>
        <v>INFRASTRUKTUR</v>
      </c>
      <c r="D71" s="10">
        <f>DATA!E57</f>
        <v>1</v>
      </c>
      <c r="E71" s="10" t="str">
        <f>DATA!F57</f>
        <v>Kementerian Pekerjaan Umum dan Perumahan Rakyat</v>
      </c>
      <c r="F71" s="10" t="str">
        <f>DATA!H57</f>
        <v>Slum Alleviation Program</v>
      </c>
      <c r="G71" s="10" t="str">
        <f>DATA!I57</f>
        <v>G</v>
      </c>
      <c r="H71" s="10" t="str">
        <f>DATA!J57</f>
        <v>Program Penanganan Kumuh</v>
      </c>
      <c r="I71" s="10">
        <f>DATA!K57</f>
        <v>2</v>
      </c>
      <c r="J71" s="33"/>
      <c r="K71" s="34"/>
      <c r="L71" s="34"/>
      <c r="M71" s="36">
        <f>DATA!K57</f>
        <v>2</v>
      </c>
      <c r="N71" s="37" t="str">
        <f>DATA!L57</f>
        <v>National Slum Upgrading</v>
      </c>
      <c r="O71" s="20">
        <f>DATA!Q57</f>
        <v>0</v>
      </c>
      <c r="P71" s="20">
        <f>DATA!R57</f>
        <v>1</v>
      </c>
      <c r="Q71" s="20">
        <f>DATA!S57</f>
        <v>40</v>
      </c>
      <c r="R71" s="77">
        <f>DATA!T57</f>
        <v>1052640000</v>
      </c>
      <c r="S71" s="88">
        <f>DATA!U57</f>
        <v>1052640000</v>
      </c>
      <c r="T71" s="77">
        <f>DATA!V57</f>
        <v>52632000</v>
      </c>
      <c r="U71" s="77">
        <f>DATA!W57</f>
        <v>0</v>
      </c>
      <c r="V71" s="77">
        <f>DATA!X57</f>
        <v>1105272000</v>
      </c>
      <c r="W71" s="78" t="str">
        <f>DATA!Y57</f>
        <v>-</v>
      </c>
      <c r="X71" s="20">
        <f>DATA!Z57</f>
        <v>0</v>
      </c>
      <c r="Y71" s="77">
        <f>DATA!AA57</f>
        <v>1052640000</v>
      </c>
      <c r="Z71" s="77">
        <f>DATA!AG57</f>
        <v>0</v>
      </c>
      <c r="AA71" s="20" t="str">
        <f>DATA!AH57</f>
        <v>-</v>
      </c>
      <c r="AB71" s="37" t="str">
        <f>DATA!AI57</f>
        <v>-</v>
      </c>
      <c r="AC71" s="152" t="str">
        <f>DATA!AM57</f>
        <v>-</v>
      </c>
      <c r="AD71" s="152" t="str">
        <f>DATA!AN57</f>
        <v>-</v>
      </c>
      <c r="AE71" s="152" t="str">
        <f>DATA!AO57</f>
        <v>-</v>
      </c>
      <c r="AF71" s="37" t="str">
        <f>DATA!AJ57</f>
        <v>-</v>
      </c>
      <c r="AG71" s="37" t="str">
        <f>DATA!AK57</f>
        <v>-</v>
      </c>
      <c r="AH71" s="37" t="str">
        <f>DATA!AL57</f>
        <v>-</v>
      </c>
      <c r="AI71" s="20" t="str">
        <f>DATA!AM57</f>
        <v>-</v>
      </c>
      <c r="AJ71" s="20" t="str">
        <f>DATA!AN57</f>
        <v>-</v>
      </c>
      <c r="AK71" s="20" t="str">
        <f>DATA!AO57</f>
        <v>-</v>
      </c>
      <c r="AL71" s="20" t="str">
        <f>DATA!AP57</f>
        <v>-</v>
      </c>
      <c r="AM71" s="20" t="str">
        <f>DATA!AY57</f>
        <v>Konfirmasi melalui surat Sekjen nomor KU.01.12-Sj/636 tgl 23 Oktober 2015</v>
      </c>
      <c r="AN71" s="20" t="e">
        <f>DATA!#REF!</f>
        <v>#REF!</v>
      </c>
      <c r="AO71" s="20" t="str">
        <f>DATA!AZ57</f>
        <v>-</v>
      </c>
      <c r="AP71" s="152" t="e">
        <f>DATA!#REF!</f>
        <v>#REF!</v>
      </c>
      <c r="AQ71" s="37" t="str">
        <f>DATA!BA57</f>
        <v>-</v>
      </c>
    </row>
    <row r="72" spans="1:43" s="6" customFormat="1" ht="209.25" customHeight="1">
      <c r="A72" s="6">
        <f>DATA!A58</f>
        <v>46</v>
      </c>
      <c r="B72" s="6">
        <f>DATA!B58</f>
        <v>0</v>
      </c>
      <c r="C72" s="6" t="str">
        <f>DATA!D58</f>
        <v>INFRASTRUKTUR</v>
      </c>
      <c r="D72" s="6">
        <f>DATA!E58</f>
        <v>1</v>
      </c>
      <c r="E72" s="6" t="str">
        <f>DATA!F58</f>
        <v>Kementerian Pekerjaan Umum dan Perumahan Rakyat</v>
      </c>
      <c r="F72" s="6" t="str">
        <f>DATA!H58</f>
        <v>Slum Alleviation Program</v>
      </c>
      <c r="G72" s="6" t="str">
        <f>DATA!I58</f>
        <v>G</v>
      </c>
      <c r="H72" s="6" t="str">
        <f>DATA!J58</f>
        <v>Program Penanganan Kumuh</v>
      </c>
      <c r="I72" s="6">
        <f>DATA!K58</f>
        <v>2</v>
      </c>
      <c r="J72" s="38"/>
      <c r="K72" s="39"/>
      <c r="L72" s="39"/>
      <c r="M72" s="40"/>
      <c r="N72" s="67" t="str">
        <f>DATA!L58</f>
        <v>National Slum Upgrading</v>
      </c>
      <c r="O72" s="42">
        <f>DATA!Q58</f>
        <v>0.25</v>
      </c>
      <c r="P72" s="42">
        <f>DATA!R58</f>
        <v>0</v>
      </c>
      <c r="Q72" s="42">
        <f>DATA!S58</f>
        <v>0</v>
      </c>
      <c r="R72" s="83">
        <f>DATA!T58</f>
        <v>0</v>
      </c>
      <c r="S72" s="88">
        <f>DATA!U58</f>
        <v>0</v>
      </c>
      <c r="T72" s="83">
        <f>DATA!V58</f>
        <v>0</v>
      </c>
      <c r="U72" s="83">
        <f>DATA!W58</f>
        <v>0</v>
      </c>
      <c r="V72" s="83">
        <f>DATA!X58</f>
        <v>0</v>
      </c>
      <c r="W72" s="84" t="str">
        <f>DATA!Y58</f>
        <v>IDB</v>
      </c>
      <c r="X72" s="42" t="str">
        <f>DATA!Z58</f>
        <v>Multilateral</v>
      </c>
      <c r="Y72" s="83">
        <f>DATA!AA58</f>
        <v>329760000</v>
      </c>
      <c r="Z72" s="83">
        <f>DATA!AG58</f>
        <v>0</v>
      </c>
      <c r="AA72" s="42">
        <f>DATA!AH58</f>
        <v>2016</v>
      </c>
      <c r="AB72" s="67" t="str">
        <f>DATA!AI58</f>
        <v>Green Book 2016</v>
      </c>
      <c r="AC72" s="152">
        <f>DATA!AM58</f>
        <v>2016</v>
      </c>
      <c r="AD72" s="152" t="str">
        <f>DATA!AN58</f>
        <v>dalam proses
(penyusunan FS)</v>
      </c>
      <c r="AE72" s="152" t="str">
        <f>DATA!AO58</f>
        <v>tidak butuh lahan</v>
      </c>
      <c r="AF72" s="67" t="str">
        <f>DATA!AJ58</f>
        <v>- Concept Paper, Baseline Survey, Draft Guidelines.
- Surat Komitmen Pemda untuk penanganan kumuh.</v>
      </c>
      <c r="AG72" s="67"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H72" s="67" t="str">
        <f>DATA!AL58</f>
        <v>-</v>
      </c>
      <c r="AI72" s="42">
        <f>DATA!AM58</f>
        <v>2016</v>
      </c>
      <c r="AJ72" s="42" t="str">
        <f>DATA!AN58</f>
        <v>dalam proses
(penyusunan FS)</v>
      </c>
      <c r="AK72" s="42" t="str">
        <f>DATA!AO58</f>
        <v>tidak butuh lahan</v>
      </c>
      <c r="AL72" s="42" t="str">
        <f>DATA!AP58</f>
        <v>belum ada proses tender/lelang</v>
      </c>
      <c r="AM72" s="42"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N72" s="42" t="e">
        <f>DATA!#REF!</f>
        <v>#REF!</v>
      </c>
      <c r="AO72" s="42" t="str">
        <f>DATA!AZ58</f>
        <v>Sudah ada R/C</v>
      </c>
      <c r="AP72" s="152" t="e">
        <f>DATA!#REF!</f>
        <v>#REF!</v>
      </c>
      <c r="AQ72" s="67" t="str">
        <f>DATA!BA58</f>
        <v>Peningkatan kualitas permukiman di 21 provinsi, 257 kabupaten/kota,  6.626 kelurahan</v>
      </c>
    </row>
    <row r="73" spans="1:43" s="6" customFormat="1" ht="201" customHeight="1">
      <c r="A73" s="6">
        <f>DATA!A59</f>
        <v>47</v>
      </c>
      <c r="B73" s="6">
        <f>DATA!B59</f>
        <v>0</v>
      </c>
      <c r="C73" s="6" t="str">
        <f>DATA!D59</f>
        <v>INFRASTRUKTUR</v>
      </c>
      <c r="D73" s="6">
        <f>DATA!E59</f>
        <v>1</v>
      </c>
      <c r="E73" s="6" t="str">
        <f>DATA!F59</f>
        <v>Kementerian Pekerjaan Umum dan Perumahan Rakyat</v>
      </c>
      <c r="F73" s="6" t="str">
        <f>DATA!H59</f>
        <v>Slum Alleviation Program</v>
      </c>
      <c r="G73" s="6" t="str">
        <f>DATA!I59</f>
        <v>G</v>
      </c>
      <c r="H73" s="6" t="str">
        <f>DATA!J59</f>
        <v>Program Penanganan Kumuh</v>
      </c>
      <c r="I73" s="6">
        <f>DATA!K59</f>
        <v>2</v>
      </c>
      <c r="J73" s="38"/>
      <c r="K73" s="39"/>
      <c r="L73" s="39"/>
      <c r="M73" s="43"/>
      <c r="N73" s="67" t="str">
        <f>DATA!L59</f>
        <v>National Slum Upgrading</v>
      </c>
      <c r="O73" s="42">
        <f>DATA!Q59</f>
        <v>0.25</v>
      </c>
      <c r="P73" s="42">
        <f>DATA!R59</f>
        <v>0</v>
      </c>
      <c r="Q73" s="42">
        <f>DATA!S59</f>
        <v>0</v>
      </c>
      <c r="R73" s="83">
        <f>DATA!T59</f>
        <v>0</v>
      </c>
      <c r="S73" s="88">
        <f>DATA!U59</f>
        <v>0</v>
      </c>
      <c r="T73" s="83">
        <f>DATA!V59</f>
        <v>0</v>
      </c>
      <c r="U73" s="83">
        <f>DATA!W59</f>
        <v>0</v>
      </c>
      <c r="V73" s="83">
        <f>DATA!X59</f>
        <v>0</v>
      </c>
      <c r="W73" s="84" t="str">
        <f>DATA!Y59</f>
        <v>Bank Dunia</v>
      </c>
      <c r="X73" s="42" t="str">
        <f>DATA!Z59</f>
        <v>Multilateral</v>
      </c>
      <c r="Y73" s="83">
        <f>DATA!AA59</f>
        <v>216500000</v>
      </c>
      <c r="Z73" s="83">
        <f>DATA!AG59</f>
        <v>0</v>
      </c>
      <c r="AA73" s="42">
        <f>DATA!AH59</f>
        <v>2016</v>
      </c>
      <c r="AB73" s="67" t="str">
        <f>DATA!AI59</f>
        <v>Green Book 2016</v>
      </c>
      <c r="AC73" s="152">
        <f>DATA!AM59</f>
        <v>2016</v>
      </c>
      <c r="AD73" s="152" t="str">
        <f>DATA!AN59</f>
        <v>dalam proses
(penyusunan FS)</v>
      </c>
      <c r="AE73" s="152" t="str">
        <f>DATA!AO59</f>
        <v>tidak butuh lahan</v>
      </c>
      <c r="AF73" s="67" t="str">
        <f>DATA!AJ59</f>
        <v>- Concept Paper, Baseline Survey, Draft Guidelines.
- Surat Komitmen Pemda untuk penanganan kumuh.</v>
      </c>
      <c r="AG73" s="67"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H73" s="67" t="str">
        <f>DATA!AL59</f>
        <v>-</v>
      </c>
      <c r="AI73" s="42">
        <f>DATA!AM59</f>
        <v>2016</v>
      </c>
      <c r="AJ73" s="42" t="str">
        <f>DATA!AN59</f>
        <v>dalam proses
(penyusunan FS)</v>
      </c>
      <c r="AK73" s="42" t="str">
        <f>DATA!AO59</f>
        <v>tidak butuh lahan</v>
      </c>
      <c r="AL73" s="42" t="str">
        <f>DATA!AP59</f>
        <v>belum ada proses tender/lelang</v>
      </c>
      <c r="AM73" s="42"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N73" s="42" t="e">
        <f>DATA!#REF!</f>
        <v>#REF!</v>
      </c>
      <c r="AO73" s="42" t="str">
        <f>DATA!AZ59</f>
        <v>Sudah ada R/C</v>
      </c>
      <c r="AP73" s="152" t="e">
        <f>DATA!#REF!</f>
        <v>#REF!</v>
      </c>
      <c r="AQ73" s="67" t="str">
        <f>DATA!BA59</f>
        <v>Peningkatan kualitas permukiman di 21 provinsi, 257 kabupaten/kota,  6.626 kelurahan</v>
      </c>
    </row>
    <row r="74" spans="1:43" ht="89.25" customHeight="1">
      <c r="A74" s="10">
        <f>DATA!A62</f>
        <v>48</v>
      </c>
      <c r="B74" s="10">
        <f>DATA!B62</f>
        <v>0</v>
      </c>
      <c r="C74" s="10" t="str">
        <f>DATA!D62</f>
        <v>INFRASTRUKTUR</v>
      </c>
      <c r="D74" s="10">
        <f>DATA!E62</f>
        <v>1</v>
      </c>
      <c r="E74" s="10" t="str">
        <f>DATA!F62</f>
        <v>Kementerian Pekerjaan Umum dan Perumahan Rakyat</v>
      </c>
      <c r="F74" s="10" t="str">
        <f>DATA!H62</f>
        <v>Slum Alleviation Program</v>
      </c>
      <c r="G74" s="10" t="str">
        <f>DATA!I62</f>
        <v>G</v>
      </c>
      <c r="H74" s="10" t="str">
        <f>DATA!J62</f>
        <v>Program Penanganan Kumuh</v>
      </c>
      <c r="I74" s="10">
        <f>DATA!K62</f>
        <v>3</v>
      </c>
      <c r="J74" s="33"/>
      <c r="K74" s="34"/>
      <c r="L74" s="34"/>
      <c r="M74" s="36">
        <f>DATA!K62</f>
        <v>3</v>
      </c>
      <c r="N74" s="37" t="str">
        <f>DATA!L62</f>
        <v>Rural Settlement Infrastructure Development (RSID)</v>
      </c>
      <c r="O74" s="20">
        <f>DATA!Q62</f>
        <v>1</v>
      </c>
      <c r="P74" s="20">
        <f>DATA!R62</f>
        <v>1</v>
      </c>
      <c r="Q74" s="20">
        <f>DATA!S62</f>
        <v>41</v>
      </c>
      <c r="R74" s="77">
        <f>DATA!T62</f>
        <v>201000000</v>
      </c>
      <c r="S74" s="88">
        <f>DATA!U62</f>
        <v>201000000</v>
      </c>
      <c r="T74" s="77">
        <f>DATA!V62</f>
        <v>10050000</v>
      </c>
      <c r="U74" s="77">
        <f>DATA!W62</f>
        <v>0</v>
      </c>
      <c r="V74" s="77">
        <f>DATA!X62</f>
        <v>211050000</v>
      </c>
      <c r="W74" s="78" t="str">
        <f>DATA!Y62</f>
        <v>JICA</v>
      </c>
      <c r="X74" s="20" t="str">
        <f>DATA!Z62</f>
        <v>Bilateral</v>
      </c>
      <c r="Y74" s="77">
        <f>DATA!AA62</f>
        <v>201000000</v>
      </c>
      <c r="Z74" s="77">
        <f>DATA!AG62</f>
        <v>0</v>
      </c>
      <c r="AA74" s="20">
        <f>DATA!AH62</f>
        <v>2016</v>
      </c>
      <c r="AB74" s="37" t="str">
        <f>DATA!AI62</f>
        <v>-</v>
      </c>
      <c r="AC74" s="152">
        <f>DATA!AM62</f>
        <v>0</v>
      </c>
      <c r="AD74" s="152" t="str">
        <f>DATA!AN62</f>
        <v>dalam proses
(penyusunan FS)</v>
      </c>
      <c r="AE74" s="152" t="str">
        <f>DATA!AO62</f>
        <v>dalam proses
(perencanaan)</v>
      </c>
      <c r="AF74" s="37" t="str">
        <f>DATA!AJ62</f>
        <v>30 (tiga puluh) kabupaten yang sudah mempunyai Perda RTRW dan mempunyai Perda Kawasan Strategis Kabupaten (KSK)</v>
      </c>
      <c r="AG74" s="37" t="str">
        <f>DATA!AK62</f>
        <v>belum ada pedoman teknis untuk pemenuhan lahan.</v>
      </c>
      <c r="AH74" s="37" t="str">
        <f>DATA!AL62</f>
        <v>belum ada</v>
      </c>
      <c r="AI74" s="20">
        <f>DATA!AM62</f>
        <v>0</v>
      </c>
      <c r="AJ74" s="20" t="str">
        <f>DATA!AN62</f>
        <v>dalam proses
(penyusunan FS)</v>
      </c>
      <c r="AK74" s="20" t="str">
        <f>DATA!AO62</f>
        <v>dalam proses
(perencanaan)</v>
      </c>
      <c r="AL74" s="20" t="str">
        <f>DATA!AP62</f>
        <v>belum ada proses tender/lelang</v>
      </c>
      <c r="AM74" s="20" t="str">
        <f>DATA!AY62</f>
        <v>- semula Lender adalah IDB, namun berdasarkan hasil konfirmasi Kem. PUPR, Lender keg ini adalah JICA
- konsep kegiatan belum siap
- Konfirmasi melalui surat Sekjen nomor KU.01.12-Sj/636 tgl 23 Oktober 2015</v>
      </c>
      <c r="AN74" s="20" t="e">
        <f>DATA!#REF!</f>
        <v>#REF!</v>
      </c>
      <c r="AO74" s="20">
        <f>DATA!AZ62</f>
        <v>0</v>
      </c>
      <c r="AP74" s="152" t="e">
        <f>DATA!#REF!</f>
        <v>#REF!</v>
      </c>
      <c r="AQ74" s="37" t="str">
        <f>DATA!BA62</f>
        <v xml:space="preserve">Pembangunan infrastruktur perdesaan seluas 18.589 ha </v>
      </c>
    </row>
    <row r="75" spans="1:43" ht="80.25" customHeight="1">
      <c r="A75" s="10">
        <f>DATA!A63</f>
        <v>49</v>
      </c>
      <c r="B75" s="10">
        <f>DATA!B63</f>
        <v>0</v>
      </c>
      <c r="C75" s="10" t="str">
        <f>DATA!D63</f>
        <v>INFRASTRUKTUR</v>
      </c>
      <c r="D75" s="10">
        <f>DATA!E63</f>
        <v>1</v>
      </c>
      <c r="E75" s="10" t="str">
        <f>DATA!F63</f>
        <v>Kementerian Pekerjaan Umum dan Perumahan Rakyat</v>
      </c>
      <c r="F75" s="10" t="str">
        <f>DATA!H63</f>
        <v>Slum Alleviation Program</v>
      </c>
      <c r="G75" s="10" t="str">
        <f>DATA!I63</f>
        <v>G</v>
      </c>
      <c r="H75" s="10" t="str">
        <f>DATA!J63</f>
        <v>Program Penanganan Kumuh</v>
      </c>
      <c r="I75" s="10">
        <f>DATA!K63</f>
        <v>4</v>
      </c>
      <c r="J75" s="33"/>
      <c r="K75" s="34"/>
      <c r="L75" s="54"/>
      <c r="M75" s="36">
        <f>DATA!K63</f>
        <v>4</v>
      </c>
      <c r="N75" s="37" t="str">
        <f>DATA!L63</f>
        <v>Building Administration and Capacity Enforcement Development for Seismic Resilience</v>
      </c>
      <c r="O75" s="20">
        <f>DATA!Q63</f>
        <v>1</v>
      </c>
      <c r="P75" s="20">
        <f>DATA!R63</f>
        <v>1</v>
      </c>
      <c r="Q75" s="20">
        <f>DATA!S63</f>
        <v>42</v>
      </c>
      <c r="R75" s="77">
        <f>DATA!T63</f>
        <v>261100000</v>
      </c>
      <c r="S75" s="88">
        <f>DATA!U63</f>
        <v>261100000</v>
      </c>
      <c r="T75" s="77">
        <f>DATA!V63</f>
        <v>13055000</v>
      </c>
      <c r="U75" s="77">
        <f>DATA!W63</f>
        <v>0</v>
      </c>
      <c r="V75" s="77">
        <f>DATA!X63</f>
        <v>274155000</v>
      </c>
      <c r="W75" s="78" t="str">
        <f>DATA!Y63</f>
        <v>JICA</v>
      </c>
      <c r="X75" s="20" t="str">
        <f>DATA!Z63</f>
        <v>Bilateral</v>
      </c>
      <c r="Y75" s="77">
        <f>DATA!AA63</f>
        <v>261100000</v>
      </c>
      <c r="Z75" s="77">
        <f>DATA!AG63</f>
        <v>0</v>
      </c>
      <c r="AA75" s="20">
        <f>DATA!AH63</f>
        <v>2016</v>
      </c>
      <c r="AB75" s="37" t="str">
        <f>DATA!AI63</f>
        <v>-</v>
      </c>
      <c r="AC75" s="152">
        <f>DATA!AM63</f>
        <v>0</v>
      </c>
      <c r="AD75" s="152" t="str">
        <f>DATA!AN63</f>
        <v>dalam proses
(penyusunan FS)</v>
      </c>
      <c r="AE75" s="152" t="str">
        <f>DATA!AO63</f>
        <v>tidak butuh lahan</v>
      </c>
      <c r="AF75" s="37" t="str">
        <f>DATA!AJ63</f>
        <v>246 dari total 514 kota / kabupaten telah mengeluarkan Peraturan Daerah Bangunan Gedung).</v>
      </c>
      <c r="AG75" s="37" t="str">
        <f>DATA!AK63</f>
        <v>tidak ada kegiatan pengadaan lahan.</v>
      </c>
      <c r="AH75" s="37" t="str">
        <f>DATA!AL63</f>
        <v>belum ada</v>
      </c>
      <c r="AI75" s="20">
        <f>DATA!AM63</f>
        <v>0</v>
      </c>
      <c r="AJ75" s="20" t="str">
        <f>DATA!AN63</f>
        <v>dalam proses
(penyusunan FS)</v>
      </c>
      <c r="AK75" s="20" t="str">
        <f>DATA!AO63</f>
        <v>tidak butuh lahan</v>
      </c>
      <c r="AL75" s="20" t="str">
        <f>DATA!AP63</f>
        <v>belum ada proses tender/lelang</v>
      </c>
      <c r="AM75" s="20" t="str">
        <f>DATA!AY63</f>
        <v>- konsep kegiatan belum siap
- Konfirmasi melalui surat Sekjen nomor KU.01.12-Sj/636 tgl 23 Oktober 2015</v>
      </c>
      <c r="AN75" s="20" t="e">
        <f>DATA!#REF!</f>
        <v>#REF!</v>
      </c>
      <c r="AO75" s="20" t="str">
        <f>DATA!AZ63</f>
        <v>- JICA diindikasikan akan mendanai kegiatan ini dan sudah ada kajian dengan pihak JICA</v>
      </c>
      <c r="AP75" s="152" t="e">
        <f>DATA!#REF!</f>
        <v>#REF!</v>
      </c>
      <c r="AQ75" s="37" t="str">
        <f>DATA!BA63</f>
        <v>Pengembangan panduan/guidelines untuk 455 kota/kabupaten mengenai bangunan tahan gempa dan sosialisasi metode perkuatan/retrofitting untuk bangunan tahan gempa.</v>
      </c>
    </row>
    <row r="76" spans="1:43" s="5" customFormat="1" ht="33.75" customHeight="1">
      <c r="J76" s="28"/>
      <c r="K76" s="50"/>
      <c r="L76" s="30" t="str">
        <f>DATA!I67</f>
        <v>I</v>
      </c>
      <c r="M76" s="31" t="str">
        <f>DATA!J67</f>
        <v>Program Pengembangan dan Pengelolaan Irigasi</v>
      </c>
      <c r="N76" s="51"/>
      <c r="O76" s="31"/>
      <c r="P76" s="31"/>
      <c r="Q76" s="31"/>
      <c r="R76" s="81">
        <f>SUM(R77,R81:R89)</f>
        <v>3257531000</v>
      </c>
      <c r="S76" s="81">
        <f>SUM(S77,S81:S89)</f>
        <v>3257531000</v>
      </c>
      <c r="T76" s="81">
        <f t="shared" ref="T76:Z76" si="3">SUM(T77,T81:T89)</f>
        <v>345159500</v>
      </c>
      <c r="U76" s="81">
        <f t="shared" si="3"/>
        <v>0</v>
      </c>
      <c r="V76" s="81">
        <f t="shared" si="3"/>
        <v>3602690500</v>
      </c>
      <c r="W76" s="81"/>
      <c r="X76" s="81">
        <f t="shared" si="3"/>
        <v>0</v>
      </c>
      <c r="Y76" s="81">
        <f t="shared" si="3"/>
        <v>3257531000</v>
      </c>
      <c r="Z76" s="81">
        <f t="shared" si="3"/>
        <v>0</v>
      </c>
      <c r="AA76" s="31"/>
      <c r="AB76" s="32"/>
      <c r="AC76" s="32"/>
      <c r="AD76" s="32"/>
      <c r="AE76" s="32"/>
      <c r="AF76" s="32"/>
      <c r="AG76" s="32"/>
      <c r="AH76" s="32"/>
      <c r="AI76" s="31"/>
      <c r="AJ76" s="31"/>
      <c r="AK76" s="31"/>
      <c r="AL76" s="31"/>
      <c r="AM76" s="31"/>
      <c r="AN76" s="31"/>
      <c r="AO76" s="31"/>
      <c r="AP76" s="32"/>
      <c r="AQ76" s="32"/>
    </row>
    <row r="77" spans="1:43" ht="51">
      <c r="A77" s="10">
        <f>DATA!A65</f>
        <v>50</v>
      </c>
      <c r="B77" s="10">
        <f>DATA!B65</f>
        <v>0</v>
      </c>
      <c r="C77" s="10" t="str">
        <f>DATA!D65</f>
        <v>INFRASTRUKTUR</v>
      </c>
      <c r="D77" s="10">
        <f>DATA!E65</f>
        <v>1</v>
      </c>
      <c r="E77" s="10" t="str">
        <f>DATA!F65</f>
        <v>Kementerian Pekerjaan Umum dan Perumahan Rakyat</v>
      </c>
      <c r="F77" s="10" t="str">
        <f>DATA!H65</f>
        <v>Slum Alleviation Program</v>
      </c>
      <c r="G77" s="10" t="str">
        <f>DATA!I65</f>
        <v>I</v>
      </c>
      <c r="H77" s="10" t="str">
        <f>DATA!J65</f>
        <v>Program Pengembangan dan Pengelolaan Irigasi</v>
      </c>
      <c r="I77" s="10">
        <f>DATA!K65</f>
        <v>1</v>
      </c>
      <c r="J77" s="33"/>
      <c r="K77" s="34"/>
      <c r="L77" s="35"/>
      <c r="M77" s="36">
        <f>DATA!K65</f>
        <v>1</v>
      </c>
      <c r="N77" s="37" t="str">
        <f>DATA!L65</f>
        <v>Integrated Participatory Development and Management of Irrigation Project:</v>
      </c>
      <c r="O77" s="20">
        <f>DATA!Q65</f>
        <v>0</v>
      </c>
      <c r="P77" s="20">
        <f>DATA!R65</f>
        <v>0</v>
      </c>
      <c r="Q77" s="20">
        <f>DATA!S65</f>
        <v>0</v>
      </c>
      <c r="R77" s="77">
        <f>DATA!T65</f>
        <v>1200000000</v>
      </c>
      <c r="S77" s="88">
        <f>DATA!U65</f>
        <v>1200000000</v>
      </c>
      <c r="T77" s="77">
        <f>DATA!V65</f>
        <v>120000000</v>
      </c>
      <c r="U77" s="77">
        <f>DATA!W65</f>
        <v>0</v>
      </c>
      <c r="V77" s="77">
        <f>DATA!X65</f>
        <v>1320000000</v>
      </c>
      <c r="W77" s="78" t="str">
        <f>DATA!Y65</f>
        <v>-</v>
      </c>
      <c r="X77" s="20">
        <f>DATA!Z65</f>
        <v>0</v>
      </c>
      <c r="Y77" s="77">
        <f>DATA!AA65</f>
        <v>1200000000</v>
      </c>
      <c r="Z77" s="77">
        <f>DATA!AG65</f>
        <v>0</v>
      </c>
      <c r="AA77" s="20" t="str">
        <f>DATA!AH65</f>
        <v>-</v>
      </c>
      <c r="AB77" s="37" t="str">
        <f>DATA!AI65</f>
        <v>-</v>
      </c>
      <c r="AC77" s="152" t="str">
        <f>DATA!AM65</f>
        <v>-</v>
      </c>
      <c r="AD77" s="152" t="str">
        <f>DATA!AN65</f>
        <v>-</v>
      </c>
      <c r="AE77" s="152" t="str">
        <f>DATA!AO65</f>
        <v>-</v>
      </c>
      <c r="AF77" s="37" t="str">
        <f>DATA!AJ65</f>
        <v>-</v>
      </c>
      <c r="AG77" s="37" t="str">
        <f>DATA!AK65</f>
        <v>-</v>
      </c>
      <c r="AH77" s="37" t="str">
        <f>DATA!AL65</f>
        <v>-</v>
      </c>
      <c r="AI77" s="20" t="str">
        <f>DATA!AM65</f>
        <v>-</v>
      </c>
      <c r="AJ77" s="20" t="str">
        <f>DATA!AN65</f>
        <v>-</v>
      </c>
      <c r="AK77" s="20" t="str">
        <f>DATA!AO65</f>
        <v>-</v>
      </c>
      <c r="AL77" s="20" t="str">
        <f>DATA!AP65</f>
        <v>-</v>
      </c>
      <c r="AM77" s="20" t="str">
        <f>DATA!AY65</f>
        <v>Konfirmasi melalui surat Sekjen nomor KU.01.12-Sj/636 tgl 23 Oktober 2015</v>
      </c>
      <c r="AN77" s="20" t="e">
        <f>DATA!#REF!</f>
        <v>#REF!</v>
      </c>
      <c r="AO77" s="20">
        <f>DATA!AZ65</f>
        <v>0</v>
      </c>
      <c r="AP77" s="152" t="e">
        <f>DATA!#REF!</f>
        <v>#REF!</v>
      </c>
      <c r="AQ77" s="37" t="str">
        <f>DATA!BA65</f>
        <v>Pembangunan lanjutan proyek irigasi dengan total seluas 193.858 Ha dan pembangunan irigasi baru seluas 10.000 Ha yang tersebar di berbagai wilayah di Indonesia</v>
      </c>
    </row>
    <row r="78" spans="1:43" s="6" customFormat="1" ht="88.5" customHeight="1">
      <c r="A78" s="6">
        <f>DATA!A67</f>
        <v>51</v>
      </c>
      <c r="B78" s="6">
        <f>DATA!B67</f>
        <v>0</v>
      </c>
      <c r="C78" s="6" t="str">
        <f>DATA!D67</f>
        <v>INFRASTRUKTUR</v>
      </c>
      <c r="D78" s="6">
        <f>DATA!E67</f>
        <v>1</v>
      </c>
      <c r="E78" s="6" t="str">
        <f>DATA!F67</f>
        <v>Kementerian Pekerjaan Umum dan Perumahan Rakyat</v>
      </c>
      <c r="F78" s="6" t="str">
        <f>DATA!H67</f>
        <v xml:space="preserve">Development and Management of Irrigation Program </v>
      </c>
      <c r="G78" s="6" t="str">
        <f>DATA!I67</f>
        <v>I</v>
      </c>
      <c r="H78" s="6" t="str">
        <f>DATA!J67</f>
        <v>Program Pengembangan dan Pengelolaan Irigasi</v>
      </c>
      <c r="I78" s="6">
        <f>DATA!K67</f>
        <v>1</v>
      </c>
      <c r="J78" s="38"/>
      <c r="K78" s="39"/>
      <c r="L78" s="39"/>
      <c r="M78" s="40"/>
      <c r="N78" s="67" t="str">
        <f>DATA!L67</f>
        <v>Integrated Participatory Development and Management of Irrigation Project - Phase I</v>
      </c>
      <c r="O78" s="42">
        <f>DATA!Q67</f>
        <v>0.5</v>
      </c>
      <c r="P78" s="42">
        <f>DATA!R67</f>
        <v>0</v>
      </c>
      <c r="Q78" s="42">
        <f>DATA!S67</f>
        <v>43</v>
      </c>
      <c r="R78" s="83">
        <f>DATA!T67</f>
        <v>0</v>
      </c>
      <c r="S78" s="88">
        <f>DATA!U67</f>
        <v>0</v>
      </c>
      <c r="T78" s="83">
        <f>DATA!V67</f>
        <v>0</v>
      </c>
      <c r="U78" s="83">
        <f>DATA!W67</f>
        <v>0</v>
      </c>
      <c r="V78" s="83">
        <f>DATA!X67</f>
        <v>0</v>
      </c>
      <c r="W78" s="84" t="str">
        <f>DATA!Y67</f>
        <v>ADB</v>
      </c>
      <c r="X78" s="42" t="str">
        <f>DATA!Z67</f>
        <v>Multilateral</v>
      </c>
      <c r="Y78" s="83">
        <f>DATA!AA67</f>
        <v>600000000</v>
      </c>
      <c r="Z78" s="83">
        <f>DATA!AG67</f>
        <v>0</v>
      </c>
      <c r="AA78" s="42">
        <f>DATA!AH67</f>
        <v>2016</v>
      </c>
      <c r="AB78" s="67" t="str">
        <f>DATA!AI67</f>
        <v>- Sudah ada RC
- Green Book 2015
- Dalam proses pembahasan skema pinjaman</v>
      </c>
      <c r="AC78" s="152" t="str">
        <f>DATA!AM67</f>
        <v>2016; 2015</v>
      </c>
      <c r="AD78" s="152" t="str">
        <f>DATA!AN67</f>
        <v>siap</v>
      </c>
      <c r="AE78" s="152" t="str">
        <f>DATA!AO67</f>
        <v>belum ada keterangan</v>
      </c>
      <c r="AF78" s="67" t="str">
        <f>DATA!AJ67</f>
        <v>FS, DED, AMDAL, LARAP</v>
      </c>
      <c r="AG78" s="67" t="str">
        <f>DATA!AK67</f>
        <v>-</v>
      </c>
      <c r="AH78" s="67" t="str">
        <f>DATA!AL67</f>
        <v>Belum ada tender/lelang</v>
      </c>
      <c r="AI78" s="42" t="str">
        <f>DATA!AM67</f>
        <v>2016; 2015</v>
      </c>
      <c r="AJ78" s="42" t="str">
        <f>DATA!AN67</f>
        <v>siap</v>
      </c>
      <c r="AK78" s="42" t="str">
        <f>DATA!AO67</f>
        <v>belum ada keterangan</v>
      </c>
      <c r="AL78" s="42" t="str">
        <f>DATA!AP67</f>
        <v>belum ada proses tender/lelang</v>
      </c>
      <c r="AM78" s="42" t="str">
        <f>DATA!AY67</f>
        <v>- Cofinancing ADB USD 600 juta dan IFAD USD 100 juta
- Konfirmasi melalui surat Sekjen nomor KU.01.12-Sj/636 tgl 23 Oktober 2015</v>
      </c>
      <c r="AN78" s="42" t="e">
        <f>DATA!#REF!</f>
        <v>#REF!</v>
      </c>
      <c r="AO78" s="42" t="str">
        <f>DATA!AZ67</f>
        <v>termasuk RBL</v>
      </c>
      <c r="AP78" s="152" t="e">
        <f>DATA!#REF!</f>
        <v>#REF!</v>
      </c>
      <c r="AQ78" s="67"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79" spans="1:43" s="6" customFormat="1" ht="86.25" customHeight="1">
      <c r="A79" s="6">
        <f>DATA!A68</f>
        <v>52</v>
      </c>
      <c r="B79" s="6">
        <f>DATA!B68</f>
        <v>0</v>
      </c>
      <c r="C79" s="6" t="str">
        <f>DATA!D68</f>
        <v>INFRASTRUKTUR</v>
      </c>
      <c r="D79" s="6">
        <f>DATA!E68</f>
        <v>1</v>
      </c>
      <c r="E79" s="6" t="str">
        <f>DATA!F68</f>
        <v>Kementerian Pekerjaan Umum dan Perumahan Rakyat</v>
      </c>
      <c r="F79" s="6" t="str">
        <f>DATA!H68</f>
        <v xml:space="preserve">Development and Management of Irrigation Program </v>
      </c>
      <c r="G79" s="6" t="str">
        <f>DATA!I68</f>
        <v>I</v>
      </c>
      <c r="H79" s="6" t="str">
        <f>DATA!J68</f>
        <v>Program Pengembangan dan Pengelolaan Irigasi</v>
      </c>
      <c r="I79" s="6">
        <f>DATA!K68</f>
        <v>1</v>
      </c>
      <c r="J79" s="38"/>
      <c r="K79" s="39"/>
      <c r="L79" s="39"/>
      <c r="M79" s="38"/>
      <c r="N79" s="67" t="str">
        <f>DATA!L68</f>
        <v>Integrated Participatory Development and Management of Irrigation Project - Phase I</v>
      </c>
      <c r="O79" s="42">
        <f>DATA!Q68</f>
        <v>0.5</v>
      </c>
      <c r="P79" s="42">
        <f>DATA!R68</f>
        <v>0</v>
      </c>
      <c r="Q79" s="42">
        <f>DATA!S68</f>
        <v>0</v>
      </c>
      <c r="R79" s="83">
        <f>DATA!T68</f>
        <v>0</v>
      </c>
      <c r="S79" s="88">
        <f>DATA!U68</f>
        <v>0</v>
      </c>
      <c r="T79" s="83">
        <f>DATA!V68</f>
        <v>0</v>
      </c>
      <c r="U79" s="83">
        <f>DATA!W68</f>
        <v>0</v>
      </c>
      <c r="V79" s="83">
        <f>DATA!X68</f>
        <v>0</v>
      </c>
      <c r="W79" s="84" t="str">
        <f>DATA!Y68</f>
        <v>IFAD</v>
      </c>
      <c r="X79" s="42" t="str">
        <f>DATA!Z68</f>
        <v>Multilateral</v>
      </c>
      <c r="Y79" s="83">
        <f>DATA!AA68</f>
        <v>100000000</v>
      </c>
      <c r="Z79" s="83">
        <f>DATA!AG68</f>
        <v>0</v>
      </c>
      <c r="AA79" s="42">
        <f>DATA!AH68</f>
        <v>2015</v>
      </c>
      <c r="AB79" s="67" t="str">
        <f>DATA!AI68</f>
        <v>- Sudah ada RC
- Green Book 2015
- Dalam proses pembahasan skema pinjaman</v>
      </c>
      <c r="AC79" s="152" t="str">
        <f>DATA!AM68</f>
        <v>2016; 2015</v>
      </c>
      <c r="AD79" s="152" t="str">
        <f>DATA!AN68</f>
        <v>siap</v>
      </c>
      <c r="AE79" s="152" t="str">
        <f>DATA!AO68</f>
        <v>belum ada keterangan</v>
      </c>
      <c r="AF79" s="67" t="str">
        <f>DATA!AJ68</f>
        <v>FS, DED, AMDAL, LARAP</v>
      </c>
      <c r="AG79" s="67" t="str">
        <f>DATA!AK68</f>
        <v>-</v>
      </c>
      <c r="AH79" s="67" t="str">
        <f>DATA!AL68</f>
        <v>Belum ada tender/lelang</v>
      </c>
      <c r="AI79" s="42" t="str">
        <f>DATA!AM68</f>
        <v>2016; 2015</v>
      </c>
      <c r="AJ79" s="42" t="str">
        <f>DATA!AN68</f>
        <v>siap</v>
      </c>
      <c r="AK79" s="42" t="str">
        <f>DATA!AO68</f>
        <v>belum ada keterangan</v>
      </c>
      <c r="AL79" s="42" t="str">
        <f>DATA!AP68</f>
        <v>belum ada proses tender/lelang</v>
      </c>
      <c r="AM79" s="42" t="str">
        <f>DATA!AY68</f>
        <v>- Cofinancing ADB USD 600 juta dan IFAD USD 100 juta
- Konfirmasi melalui surat Sekjen nomor KU.01.12-Sj/636 tgl 23 Oktober 2015</v>
      </c>
      <c r="AN79" s="42" t="e">
        <f>DATA!#REF!</f>
        <v>#REF!</v>
      </c>
      <c r="AO79" s="42">
        <f>DATA!AZ68</f>
        <v>0</v>
      </c>
      <c r="AP79" s="152" t="e">
        <f>DATA!#REF!</f>
        <v>#REF!</v>
      </c>
      <c r="AQ79" s="67"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0" spans="1:43" s="6" customFormat="1" ht="52.5" customHeight="1">
      <c r="A80" s="6">
        <f>DATA!A70</f>
        <v>53</v>
      </c>
      <c r="B80" s="6">
        <f>DATA!B70</f>
        <v>0</v>
      </c>
      <c r="C80" s="6" t="str">
        <f>DATA!D70</f>
        <v>INFRASTRUKTUR</v>
      </c>
      <c r="D80" s="6">
        <f>DATA!E70</f>
        <v>1</v>
      </c>
      <c r="E80" s="6" t="str">
        <f>DATA!F70</f>
        <v>Kementerian Pekerjaan Umum dan Perumahan Rakyat</v>
      </c>
      <c r="F80" s="6" t="str">
        <f>DATA!H70</f>
        <v xml:space="preserve">Development and Management of Irrigation Program </v>
      </c>
      <c r="G80" s="6" t="str">
        <f>DATA!I70</f>
        <v>I</v>
      </c>
      <c r="H80" s="6" t="str">
        <f>DATA!J70</f>
        <v>Program Pengembangan dan Pengelolaan Irigasi</v>
      </c>
      <c r="I80" s="6">
        <f>DATA!K70</f>
        <v>1</v>
      </c>
      <c r="J80" s="38"/>
      <c r="K80" s="39"/>
      <c r="L80" s="39"/>
      <c r="M80" s="43"/>
      <c r="N80" s="67" t="str">
        <f>DATA!L70</f>
        <v>Integrated Participatory Development and Management of Irrigation Project - Phase II</v>
      </c>
      <c r="O80" s="42">
        <f>DATA!Q70</f>
        <v>1</v>
      </c>
      <c r="P80" s="42">
        <f>DATA!R70</f>
        <v>0</v>
      </c>
      <c r="Q80" s="42">
        <f>DATA!S70</f>
        <v>44</v>
      </c>
      <c r="R80" s="83">
        <f>DATA!T70</f>
        <v>500000000</v>
      </c>
      <c r="S80" s="88">
        <f>DATA!U70</f>
        <v>500000000</v>
      </c>
      <c r="T80" s="83">
        <f>DATA!V70</f>
        <v>50000000</v>
      </c>
      <c r="U80" s="83">
        <f>DATA!W70</f>
        <v>0</v>
      </c>
      <c r="V80" s="83">
        <f>DATA!X70</f>
        <v>550000000</v>
      </c>
      <c r="W80" s="84" t="str">
        <f>DATA!Y70</f>
        <v>ADB</v>
      </c>
      <c r="X80" s="42" t="str">
        <f>DATA!Z70</f>
        <v>Multilateral</v>
      </c>
      <c r="Y80" s="83">
        <f>DATA!AA70</f>
        <v>500000000</v>
      </c>
      <c r="Z80" s="83">
        <f>DATA!AG70</f>
        <v>0</v>
      </c>
      <c r="AA80" s="42" t="str">
        <f>DATA!AH70</f>
        <v>Tanpa keterangan</v>
      </c>
      <c r="AB80" s="67" t="str">
        <f>DATA!AI70</f>
        <v>-</v>
      </c>
      <c r="AC80" s="152" t="str">
        <f>DATA!AR70</f>
        <v>- untuk yang Phase II: belum ada penyiapan
- belum ada dokumen R/C</v>
      </c>
      <c r="AD80" s="152" t="str">
        <f>DATA!AN70</f>
        <v>belum ada keterangan</v>
      </c>
      <c r="AE80" s="152" t="str">
        <f>DATA!AO70</f>
        <v>belum ada keterangan</v>
      </c>
      <c r="AF80" s="67" t="str">
        <f>DATA!AJ70</f>
        <v>-</v>
      </c>
      <c r="AG80" s="67" t="str">
        <f>DATA!AK70</f>
        <v>-</v>
      </c>
      <c r="AH80" s="67" t="str">
        <f>DATA!AL70</f>
        <v>-</v>
      </c>
      <c r="AI80" s="42" t="str">
        <f>DATA!AR70</f>
        <v>- untuk yang Phase II: belum ada penyiapan
- belum ada dokumen R/C</v>
      </c>
      <c r="AJ80" s="42" t="str">
        <f>DATA!AN70</f>
        <v>belum ada keterangan</v>
      </c>
      <c r="AK80" s="42" t="str">
        <f>DATA!AO70</f>
        <v>belum ada keterangan</v>
      </c>
      <c r="AL80" s="42" t="str">
        <f>DATA!AP70</f>
        <v>belum ada proses tender/lelang</v>
      </c>
      <c r="AM80" s="42" t="str">
        <f>DATA!AY70</f>
        <v>Konfirmasi melalui surat Sekjen nomor KU.01.12-Sj/636 tgl 23 Oktober 2015</v>
      </c>
      <c r="AN80" s="42" t="e">
        <f>DATA!#REF!</f>
        <v>#REF!</v>
      </c>
      <c r="AO80" s="42">
        <f>DATA!AZ70</f>
        <v>0</v>
      </c>
      <c r="AP80" s="152" t="e">
        <f>DATA!#REF!</f>
        <v>#REF!</v>
      </c>
      <c r="AQ80" s="67" t="str">
        <f>DATA!BA70</f>
        <v xml:space="preserve">Pembangunan irigasi baru dengan luas lebih dari 10.000 Ha, perbaikan sistem irigasi seluas 172.880 Ha yang tersebar di seluruh Indonesia. </v>
      </c>
    </row>
    <row r="81" spans="1:43" ht="45.75" customHeight="1">
      <c r="A81" s="10">
        <f>DATA!A72</f>
        <v>54</v>
      </c>
      <c r="B81" s="10">
        <f>DATA!B72</f>
        <v>0</v>
      </c>
      <c r="C81" s="10" t="str">
        <f>DATA!D72</f>
        <v>INFRASTRUKTUR</v>
      </c>
      <c r="D81" s="10">
        <f>DATA!E72</f>
        <v>1</v>
      </c>
      <c r="E81" s="10" t="str">
        <f>DATA!F72</f>
        <v>Kementerian Pekerjaan Umum dan Perumahan Rakyat</v>
      </c>
      <c r="F81" s="10" t="str">
        <f>DATA!H72</f>
        <v xml:space="preserve">Development and Management of Irrigation Program </v>
      </c>
      <c r="G81" s="10" t="str">
        <f>DATA!I72</f>
        <v>I</v>
      </c>
      <c r="H81" s="10" t="str">
        <f>DATA!J72</f>
        <v>Program Pengembangan dan Pengelolaan Irigasi</v>
      </c>
      <c r="I81" s="10">
        <f>DATA!K72</f>
        <v>2</v>
      </c>
      <c r="J81" s="33"/>
      <c r="K81" s="34"/>
      <c r="L81" s="34"/>
      <c r="M81" s="36">
        <f>DATA!K72</f>
        <v>2</v>
      </c>
      <c r="N81" s="37" t="str">
        <f>DATA!L72</f>
        <v>The Urgent Rehabilitation of Strategic Irrigation for Western Region of Indonesia</v>
      </c>
      <c r="O81" s="20">
        <f>DATA!Q72</f>
        <v>1</v>
      </c>
      <c r="P81" s="20">
        <f>DATA!R72</f>
        <v>1</v>
      </c>
      <c r="Q81" s="20">
        <f>DATA!S72</f>
        <v>45</v>
      </c>
      <c r="R81" s="77">
        <f>DATA!T72</f>
        <v>195778000</v>
      </c>
      <c r="S81" s="88">
        <f>DATA!U72</f>
        <v>195778000</v>
      </c>
      <c r="T81" s="77">
        <f>DATA!V72</f>
        <v>27149500</v>
      </c>
      <c r="U81" s="77">
        <f>DATA!W72</f>
        <v>0</v>
      </c>
      <c r="V81" s="77">
        <f>DATA!X72</f>
        <v>222927500</v>
      </c>
      <c r="W81" s="78" t="str">
        <f>DATA!Y72</f>
        <v>Korea</v>
      </c>
      <c r="X81" s="20" t="str">
        <f>DATA!Z72</f>
        <v>Bilateral</v>
      </c>
      <c r="Y81" s="77">
        <f>DATA!AA72</f>
        <v>195778000</v>
      </c>
      <c r="Z81" s="77">
        <f>DATA!AG72</f>
        <v>0</v>
      </c>
      <c r="AA81" s="20">
        <f>DATA!AH72</f>
        <v>2016</v>
      </c>
      <c r="AB81" s="37" t="str">
        <f>DATA!AI72</f>
        <v>- Sudah ada R/C
- Green Book 2015</v>
      </c>
      <c r="AC81" s="152" t="str">
        <f>DATA!AR72</f>
        <v>-</v>
      </c>
      <c r="AD81" s="152" t="str">
        <f>DATA!AN72</f>
        <v>belum ada keterangan</v>
      </c>
      <c r="AE81" s="152" t="str">
        <f>DATA!AO72</f>
        <v>belum ada keterangan</v>
      </c>
      <c r="AF81" s="37" t="str">
        <f>DATA!AJ72</f>
        <v>FS, DED, AMDAL, LARAP</v>
      </c>
      <c r="AG81" s="37" t="str">
        <f>DATA!AK72</f>
        <v>Tidak dibutuhkan lahan</v>
      </c>
      <c r="AH81" s="37" t="str">
        <f>DATA!AL72</f>
        <v>Belum ada tender/lelang</v>
      </c>
      <c r="AI81" s="20" t="str">
        <f>DATA!AR72</f>
        <v>-</v>
      </c>
      <c r="AJ81" s="20" t="str">
        <f>DATA!AN72</f>
        <v>belum ada keterangan</v>
      </c>
      <c r="AK81" s="20" t="str">
        <f>DATA!AO72</f>
        <v>belum ada keterangan</v>
      </c>
      <c r="AL81" s="20" t="str">
        <f>DATA!AP72</f>
        <v>belum ada proses tender/lelang</v>
      </c>
      <c r="AM81" s="20" t="str">
        <f>DATA!AY72</f>
        <v>Konfirmasi melalui surat Sekjen nomor KU.01.12-Sj/636 tgl 23 Oktober 2015</v>
      </c>
      <c r="AN81" s="20" t="e">
        <f>DATA!#REF!</f>
        <v>#REF!</v>
      </c>
      <c r="AO81" s="20">
        <f>DATA!AZ72</f>
        <v>0</v>
      </c>
      <c r="AP81" s="152" t="e">
        <f>DATA!#REF!</f>
        <v>#REF!</v>
      </c>
      <c r="AQ81" s="37" t="str">
        <f>DATA!BA72</f>
        <v xml:space="preserve">Melakukan rehabilitasi fasilitas irigasi, meningkatkan sistem irigasi dan drainase dan peningkatan kapasitas O&amp;P seluas 38,523 Ha </v>
      </c>
    </row>
    <row r="82" spans="1:43" ht="111" customHeight="1">
      <c r="A82" s="10">
        <f>DATA!A73</f>
        <v>55</v>
      </c>
      <c r="B82" s="10">
        <f>DATA!B73</f>
        <v>0</v>
      </c>
      <c r="C82" s="10" t="str">
        <f>DATA!D73</f>
        <v>INFRASTRUKTUR</v>
      </c>
      <c r="D82" s="10">
        <f>DATA!E73</f>
        <v>1</v>
      </c>
      <c r="E82" s="10" t="str">
        <f>DATA!F73</f>
        <v>Kementerian Pekerjaan Umum dan Perumahan Rakyat</v>
      </c>
      <c r="F82" s="10" t="str">
        <f>DATA!H73</f>
        <v xml:space="preserve">Development and Management of Irrigation Program </v>
      </c>
      <c r="G82" s="10" t="str">
        <f>DATA!I73</f>
        <v>I</v>
      </c>
      <c r="H82" s="10" t="str">
        <f>DATA!J73</f>
        <v>Program Pengembangan dan Pengelolaan Irigasi</v>
      </c>
      <c r="I82" s="10">
        <f>DATA!K73</f>
        <v>3</v>
      </c>
      <c r="J82" s="33"/>
      <c r="K82" s="34"/>
      <c r="L82" s="34"/>
      <c r="M82" s="36">
        <f>DATA!K73</f>
        <v>3</v>
      </c>
      <c r="N82" s="37" t="str">
        <f>DATA!L73</f>
        <v>Rentang Modernization Strategic Irrigation (RIMP)</v>
      </c>
      <c r="O82" s="20">
        <f>DATA!Q73</f>
        <v>1</v>
      </c>
      <c r="P82" s="20">
        <f>DATA!R73</f>
        <v>1</v>
      </c>
      <c r="Q82" s="20">
        <f>DATA!S73</f>
        <v>46</v>
      </c>
      <c r="R82" s="77">
        <f>DATA!T73</f>
        <v>480000000</v>
      </c>
      <c r="S82" s="88">
        <f>DATA!U73</f>
        <v>480000000</v>
      </c>
      <c r="T82" s="77">
        <f>DATA!V73</f>
        <v>48000000</v>
      </c>
      <c r="U82" s="77">
        <f>DATA!W73</f>
        <v>0</v>
      </c>
      <c r="V82" s="77">
        <f>DATA!X73</f>
        <v>528000000</v>
      </c>
      <c r="W82" s="78" t="str">
        <f>DATA!Y73</f>
        <v>JICA</v>
      </c>
      <c r="X82" s="20" t="str">
        <f>DATA!Z73</f>
        <v>Bilateral</v>
      </c>
      <c r="Y82" s="77">
        <f>DATA!AA73</f>
        <v>480000000</v>
      </c>
      <c r="Z82" s="77">
        <f>DATA!AG73</f>
        <v>0</v>
      </c>
      <c r="AA82" s="20">
        <f>DATA!AH73</f>
        <v>2017</v>
      </c>
      <c r="AB82" s="37" t="str">
        <f>DATA!AI73</f>
        <v>Sudah ada R/C</v>
      </c>
      <c r="AC82" s="152" t="str">
        <f>DATA!AR73</f>
        <v>-</v>
      </c>
      <c r="AD82" s="152" t="str">
        <f>DATA!AN73</f>
        <v>siap</v>
      </c>
      <c r="AE82" s="152" t="str">
        <f>DATA!AO73</f>
        <v>tidak butuh lahan</v>
      </c>
      <c r="AF82" s="37" t="str">
        <f>DATA!AJ73</f>
        <v>FS, DED, AMDAL</v>
      </c>
      <c r="AG82" s="37" t="str">
        <f>DATA!AK73</f>
        <v>Tidak dibutuhkan lahan</v>
      </c>
      <c r="AH82" s="37" t="str">
        <f>DATA!AL73</f>
        <v>-</v>
      </c>
      <c r="AI82" s="20" t="str">
        <f>DATA!AR73</f>
        <v>-</v>
      </c>
      <c r="AJ82" s="20" t="str">
        <f>DATA!AN73</f>
        <v>siap</v>
      </c>
      <c r="AK82" s="20" t="str">
        <f>DATA!AO73</f>
        <v>tidak butuh lahan</v>
      </c>
      <c r="AL82" s="20" t="str">
        <f>DATA!AP73</f>
        <v>belum ada proses tender/lelang</v>
      </c>
      <c r="AM82" s="20" t="str">
        <f>DATA!AY73</f>
        <v>Konfirmasi melalui surat Sekjen nomor KU.01.12-Sj/636 tgl 23 Oktober 2015</v>
      </c>
      <c r="AN82" s="20" t="e">
        <f>DATA!#REF!</f>
        <v>#REF!</v>
      </c>
      <c r="AO82" s="20">
        <f>DATA!AZ73</f>
        <v>0</v>
      </c>
      <c r="AP82" s="152" t="e">
        <f>DATA!#REF!</f>
        <v>#REF!</v>
      </c>
      <c r="AQ82" s="37"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row>
    <row r="83" spans="1:43" ht="76.5">
      <c r="A83" s="10">
        <f>DATA!A74</f>
        <v>56</v>
      </c>
      <c r="B83" s="10">
        <f>DATA!B74</f>
        <v>0</v>
      </c>
      <c r="C83" s="10" t="str">
        <f>DATA!D74</f>
        <v>INFRASTRUKTUR</v>
      </c>
      <c r="D83" s="10">
        <f>DATA!E74</f>
        <v>1</v>
      </c>
      <c r="E83" s="10" t="str">
        <f>DATA!F74</f>
        <v>Kementerian Pekerjaan Umum dan Perumahan Rakyat</v>
      </c>
      <c r="F83" s="10" t="str">
        <f>DATA!H74</f>
        <v xml:space="preserve">Development and Management of Irrigation Program </v>
      </c>
      <c r="G83" s="10" t="str">
        <f>DATA!I74</f>
        <v>I</v>
      </c>
      <c r="H83" s="10" t="str">
        <f>DATA!J74</f>
        <v>Program Pengembangan dan Pengelolaan Irigasi</v>
      </c>
      <c r="I83" s="10">
        <f>DATA!K74</f>
        <v>4</v>
      </c>
      <c r="J83" s="33"/>
      <c r="K83" s="34"/>
      <c r="L83" s="34"/>
      <c r="M83" s="36">
        <f>DATA!K74</f>
        <v>4</v>
      </c>
      <c r="N83" s="37" t="str">
        <f>DATA!L74</f>
        <v>Komering Irrigation Project Stage III</v>
      </c>
      <c r="O83" s="20">
        <f>DATA!Q74</f>
        <v>1</v>
      </c>
      <c r="P83" s="20">
        <f>DATA!R74</f>
        <v>1</v>
      </c>
      <c r="Q83" s="20">
        <f>DATA!S74</f>
        <v>47</v>
      </c>
      <c r="R83" s="77">
        <f>DATA!T74</f>
        <v>120000000</v>
      </c>
      <c r="S83" s="88">
        <f>DATA!U74</f>
        <v>120000000</v>
      </c>
      <c r="T83" s="77">
        <f>DATA!V74</f>
        <v>12000000</v>
      </c>
      <c r="U83" s="77">
        <f>DATA!W74</f>
        <v>0</v>
      </c>
      <c r="V83" s="77">
        <f>DATA!X74</f>
        <v>132000000</v>
      </c>
      <c r="W83" s="78" t="str">
        <f>DATA!Y74</f>
        <v>JICA</v>
      </c>
      <c r="X83" s="20" t="str">
        <f>DATA!Z74</f>
        <v>Bilateral</v>
      </c>
      <c r="Y83" s="77">
        <f>DATA!AA74</f>
        <v>120000000</v>
      </c>
      <c r="Z83" s="77">
        <f>DATA!AG74</f>
        <v>0</v>
      </c>
      <c r="AA83" s="20">
        <f>DATA!AH74</f>
        <v>2017</v>
      </c>
      <c r="AB83" s="37" t="str">
        <f>DATA!AI74</f>
        <v xml:space="preserve">Sudah ada R/C
</v>
      </c>
      <c r="AC83" s="152" t="str">
        <f>DATA!AR74</f>
        <v>Nilai pinjaman di:
- Rev. GB 16 USD 145.568 ribu
- GB 16 USD 120.000 ribu</v>
      </c>
      <c r="AD83" s="152" t="str">
        <f>DATA!AN74</f>
        <v>siap</v>
      </c>
      <c r="AE83" s="152" t="str">
        <f>DATA!AO74</f>
        <v>belum ada keterangan</v>
      </c>
      <c r="AF83" s="37" t="str">
        <f>DATA!AJ74</f>
        <v>FS, DED, AMDAL, LARAP</v>
      </c>
      <c r="AG83" s="37" t="str">
        <f>DATA!AK74</f>
        <v>-</v>
      </c>
      <c r="AH83" s="37" t="str">
        <f>DATA!AL74</f>
        <v>-</v>
      </c>
      <c r="AI83" s="20" t="str">
        <f>DATA!AR74</f>
        <v>Nilai pinjaman di:
- Rev. GB 16 USD 145.568 ribu
- GB 16 USD 120.000 ribu</v>
      </c>
      <c r="AJ83" s="20" t="str">
        <f>DATA!AN74</f>
        <v>siap</v>
      </c>
      <c r="AK83" s="20" t="str">
        <f>DATA!AO74</f>
        <v>belum ada keterangan</v>
      </c>
      <c r="AL83" s="20" t="str">
        <f>DATA!AP74</f>
        <v>belum ada proses tender/lelang</v>
      </c>
      <c r="AM83" s="20" t="str">
        <f>DATA!AY74</f>
        <v>Konfirmasi melalui surat Sekjen nomor KU.01.12-Sj/636 tgl 23 Oktober 2015</v>
      </c>
      <c r="AN83" s="20" t="e">
        <f>DATA!#REF!</f>
        <v>#REF!</v>
      </c>
      <c r="AO83" s="20">
        <f>DATA!AZ74</f>
        <v>0</v>
      </c>
      <c r="AP83" s="152" t="e">
        <f>DATA!#REF!</f>
        <v>#REF!</v>
      </c>
      <c r="AQ83" s="37"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row>
    <row r="84" spans="1:43" ht="57.75" customHeight="1">
      <c r="A84" s="10">
        <f>DATA!A75</f>
        <v>57</v>
      </c>
      <c r="B84" s="10">
        <f>DATA!B75</f>
        <v>0</v>
      </c>
      <c r="C84" s="10" t="str">
        <f>DATA!D75</f>
        <v>INFRASTRUKTUR</v>
      </c>
      <c r="D84" s="10">
        <f>DATA!E75</f>
        <v>1</v>
      </c>
      <c r="E84" s="10" t="str">
        <f>DATA!F75</f>
        <v>Kementerian Pekerjaan Umum dan Perumahan Rakyat</v>
      </c>
      <c r="F84" s="10" t="str">
        <f>DATA!H75</f>
        <v xml:space="preserve">Development and Management of Irrigation Program </v>
      </c>
      <c r="G84" s="10" t="str">
        <f>DATA!I75</f>
        <v>I</v>
      </c>
      <c r="H84" s="10" t="str">
        <f>DATA!J75</f>
        <v>Program Pengembangan dan Pengelolaan Irigasi</v>
      </c>
      <c r="I84" s="10">
        <f>DATA!K75</f>
        <v>5</v>
      </c>
      <c r="J84" s="33"/>
      <c r="K84" s="34"/>
      <c r="L84" s="34"/>
      <c r="M84" s="36">
        <f>DATA!K75</f>
        <v>5</v>
      </c>
      <c r="N84" s="37" t="str">
        <f>DATA!L75</f>
        <v>Irrigation Development in North Sumatera</v>
      </c>
      <c r="O84" s="20">
        <f>DATA!Q75</f>
        <v>1</v>
      </c>
      <c r="P84" s="20">
        <f>DATA!R75</f>
        <v>1</v>
      </c>
      <c r="Q84" s="20">
        <f>DATA!S75</f>
        <v>48</v>
      </c>
      <c r="R84" s="77">
        <f>DATA!T75</f>
        <v>350000000</v>
      </c>
      <c r="S84" s="88">
        <f>DATA!U75</f>
        <v>350000000</v>
      </c>
      <c r="T84" s="77">
        <f>DATA!V75</f>
        <v>35000000</v>
      </c>
      <c r="U84" s="77">
        <f>DATA!W75</f>
        <v>0</v>
      </c>
      <c r="V84" s="77">
        <f>DATA!X75</f>
        <v>385000000</v>
      </c>
      <c r="W84" s="78" t="str">
        <f>DATA!Y75</f>
        <v>ADB</v>
      </c>
      <c r="X84" s="20" t="str">
        <f>DATA!Z75</f>
        <v>Multilateral</v>
      </c>
      <c r="Y84" s="77">
        <f>DATA!AA75</f>
        <v>350000000</v>
      </c>
      <c r="Z84" s="77">
        <f>DATA!AG75</f>
        <v>0</v>
      </c>
      <c r="AA84" s="20" t="str">
        <f>DATA!AH75</f>
        <v>Tanpa keterangan</v>
      </c>
      <c r="AB84" s="37" t="str">
        <f>DATA!AI75</f>
        <v>-</v>
      </c>
      <c r="AC84" s="152" t="str">
        <f>DATA!AR75</f>
        <v>belum ada dokumen R/C</v>
      </c>
      <c r="AD84" s="152" t="str">
        <f>DATA!AN75</f>
        <v>dalam proses
(memiliki FS dan DED)</v>
      </c>
      <c r="AE84" s="152" t="str">
        <f>DATA!AO75</f>
        <v>belum ada keterangan</v>
      </c>
      <c r="AF84" s="37" t="str">
        <f>DATA!AJ75</f>
        <v>FS, DED, LARAP</v>
      </c>
      <c r="AG84" s="37" t="str">
        <f>DATA!AK75</f>
        <v>-</v>
      </c>
      <c r="AH84" s="37" t="str">
        <f>DATA!AL75</f>
        <v>-</v>
      </c>
      <c r="AI84" s="20" t="str">
        <f>DATA!AR75</f>
        <v>belum ada dokumen R/C</v>
      </c>
      <c r="AJ84" s="20" t="str">
        <f>DATA!AN75</f>
        <v>dalam proses
(memiliki FS dan DED)</v>
      </c>
      <c r="AK84" s="20" t="str">
        <f>DATA!AO75</f>
        <v>belum ada keterangan</v>
      </c>
      <c r="AL84" s="20" t="str">
        <f>DATA!AP75</f>
        <v>belum ada proses tender/lelang</v>
      </c>
      <c r="AM84" s="20" t="str">
        <f>DATA!AY75</f>
        <v>- dengan skema RBL
- Konfirmasi melalui surat Sekjen nomor KU.01.12-Sj/636 tgl 23 Oktober 2015</v>
      </c>
      <c r="AN84" s="20" t="e">
        <f>DATA!#REF!</f>
        <v>#REF!</v>
      </c>
      <c r="AO84" s="20" t="str">
        <f>DATA!AZ75</f>
        <v>JICA&amp;IDB diindikasikan akan mendanai kegiatan ini namun belum ada keputusan</v>
      </c>
      <c r="AP84" s="152" t="e">
        <f>DATA!#REF!</f>
        <v>#REF!</v>
      </c>
      <c r="AQ84" s="37" t="str">
        <f>DATA!BA75</f>
        <v>Pembahasan lahan dan relokasi, pengadaan, pembangunan bangunan utama, pembangunan jaringan irigasi seluas ±100.000 Ha, pencetakan lahan sawah, dan penyusunan O&amp;P</v>
      </c>
    </row>
    <row r="85" spans="1:43" ht="51">
      <c r="A85" s="10">
        <f>DATA!A76</f>
        <v>58</v>
      </c>
      <c r="B85" s="10">
        <f>DATA!B76</f>
        <v>0</v>
      </c>
      <c r="C85" s="10" t="str">
        <f>DATA!D76</f>
        <v>INFRASTRUKTUR</v>
      </c>
      <c r="D85" s="10">
        <f>DATA!E76</f>
        <v>1</v>
      </c>
      <c r="E85" s="10" t="str">
        <f>DATA!F76</f>
        <v>Kementerian Pekerjaan Umum dan Perumahan Rakyat</v>
      </c>
      <c r="F85" s="10" t="str">
        <f>DATA!H76</f>
        <v xml:space="preserve">Development and Management of Irrigation Program </v>
      </c>
      <c r="G85" s="10" t="str">
        <f>DATA!I76</f>
        <v>I</v>
      </c>
      <c r="H85" s="10" t="str">
        <f>DATA!J76</f>
        <v>Program Pengembangan dan Pengelolaan Irigasi</v>
      </c>
      <c r="I85" s="10">
        <f>DATA!K76</f>
        <v>6</v>
      </c>
      <c r="J85" s="33"/>
      <c r="K85" s="34"/>
      <c r="L85" s="34"/>
      <c r="M85" s="36">
        <f>DATA!K76</f>
        <v>6</v>
      </c>
      <c r="N85" s="37" t="str">
        <f>DATA!L76</f>
        <v>Integrated Participatory Development and Management of Lhok Guci and Peureulak Irrigation Project</v>
      </c>
      <c r="O85" s="20">
        <f>DATA!Q76</f>
        <v>1</v>
      </c>
      <c r="P85" s="20">
        <f>DATA!R76</f>
        <v>1</v>
      </c>
      <c r="Q85" s="20">
        <f>DATA!S76</f>
        <v>49</v>
      </c>
      <c r="R85" s="77">
        <f>DATA!T76</f>
        <v>161298000</v>
      </c>
      <c r="S85" s="88">
        <f>DATA!U76</f>
        <v>161298000</v>
      </c>
      <c r="T85" s="77">
        <f>DATA!V76</f>
        <v>24195000</v>
      </c>
      <c r="U85" s="77">
        <f>DATA!W76</f>
        <v>0</v>
      </c>
      <c r="V85" s="77">
        <f>DATA!X76</f>
        <v>185493000</v>
      </c>
      <c r="W85" s="78" t="str">
        <f>DATA!Y76</f>
        <v>ADB</v>
      </c>
      <c r="X85" s="20" t="str">
        <f>DATA!Z76</f>
        <v>Multilateral</v>
      </c>
      <c r="Y85" s="77">
        <f>DATA!AA76</f>
        <v>161298000</v>
      </c>
      <c r="Z85" s="77">
        <f>DATA!AG76</f>
        <v>0</v>
      </c>
      <c r="AA85" s="20" t="str">
        <f>DATA!AH76</f>
        <v>Tanpa keterangan</v>
      </c>
      <c r="AB85" s="37" t="str">
        <f>DATA!AI76</f>
        <v>-</v>
      </c>
      <c r="AC85" s="152" t="str">
        <f>DATA!AR76</f>
        <v>belum ada dokumen R/C</v>
      </c>
      <c r="AD85" s="152" t="str">
        <f>DATA!AN76</f>
        <v>dalam proses
(memiliki FS dan DED)</v>
      </c>
      <c r="AE85" s="152" t="str">
        <f>DATA!AO76</f>
        <v>belum ada keterangan</v>
      </c>
      <c r="AF85" s="37" t="str">
        <f>DATA!AJ76</f>
        <v>FS, DED, LARAP</v>
      </c>
      <c r="AG85" s="37" t="str">
        <f>DATA!AK76</f>
        <v>-</v>
      </c>
      <c r="AH85" s="37" t="str">
        <f>DATA!AL76</f>
        <v>-</v>
      </c>
      <c r="AI85" s="20" t="str">
        <f>DATA!AR76</f>
        <v>belum ada dokumen R/C</v>
      </c>
      <c r="AJ85" s="20" t="str">
        <f>DATA!AN76</f>
        <v>dalam proses
(memiliki FS dan DED)</v>
      </c>
      <c r="AK85" s="20" t="str">
        <f>DATA!AO76</f>
        <v>belum ada keterangan</v>
      </c>
      <c r="AL85" s="20" t="str">
        <f>DATA!AP76</f>
        <v>belum ada proses tender/lelang</v>
      </c>
      <c r="AM85" s="20" t="str">
        <f>DATA!AY76</f>
        <v>- dengan skema RBL
- Konfirmasi melalui surat Sekjen nomor KU.01.12-Sj/636 tgl 23 Oktober 2015</v>
      </c>
      <c r="AN85" s="20" t="e">
        <f>DATA!#REF!</f>
        <v>#REF!</v>
      </c>
      <c r="AO85" s="20" t="str">
        <f>DATA!AZ76</f>
        <v>JICA&amp;IDB diindikasikan akan mendanai kegiatan ini namun belum ada keputusan</v>
      </c>
      <c r="AP85" s="152" t="e">
        <f>DATA!#REF!</f>
        <v>#REF!</v>
      </c>
      <c r="AQ85" s="37" t="str">
        <f>DATA!BA76</f>
        <v>Mendukung pengembangan terpadu fasilitas irigasi 18.542 Ha (lhok guci)  dan 5.000 Ha (peureulak) dengan SID partisipatif, konstruksi, dan operasi pemeliharaan.</v>
      </c>
    </row>
    <row r="86" spans="1:43" ht="88.5" customHeight="1">
      <c r="A86" s="10">
        <f>DATA!A77</f>
        <v>59</v>
      </c>
      <c r="B86" s="10">
        <f>DATA!B77</f>
        <v>0</v>
      </c>
      <c r="C86" s="10" t="str">
        <f>DATA!D77</f>
        <v>INFRASTRUKTUR</v>
      </c>
      <c r="D86" s="10">
        <f>DATA!E77</f>
        <v>1</v>
      </c>
      <c r="E86" s="10" t="str">
        <f>DATA!F77</f>
        <v>Kementerian Pekerjaan Umum dan Perumahan Rakyat</v>
      </c>
      <c r="F86" s="10" t="str">
        <f>DATA!H77</f>
        <v xml:space="preserve">Development and Management of Irrigation Program </v>
      </c>
      <c r="G86" s="10" t="str">
        <f>DATA!I77</f>
        <v>I</v>
      </c>
      <c r="H86" s="10" t="str">
        <f>DATA!J77</f>
        <v>Program Pengembangan dan Pengelolaan Irigasi</v>
      </c>
      <c r="I86" s="10">
        <f>DATA!K77</f>
        <v>7</v>
      </c>
      <c r="J86" s="33"/>
      <c r="K86" s="34"/>
      <c r="L86" s="34"/>
      <c r="M86" s="36">
        <f>DATA!K77</f>
        <v>7</v>
      </c>
      <c r="N86" s="37" t="str">
        <f>DATA!L77</f>
        <v>Modernization Strategic Irrigation Project (MSIP)</v>
      </c>
      <c r="O86" s="20">
        <f>DATA!Q77</f>
        <v>1</v>
      </c>
      <c r="P86" s="20">
        <f>DATA!R77</f>
        <v>1</v>
      </c>
      <c r="Q86" s="20">
        <f>DATA!S77</f>
        <v>50</v>
      </c>
      <c r="R86" s="77">
        <f>DATA!T77</f>
        <v>278355000</v>
      </c>
      <c r="S86" s="88">
        <f>DATA!U77</f>
        <v>278355000</v>
      </c>
      <c r="T86" s="77">
        <f>DATA!V77</f>
        <v>28000000</v>
      </c>
      <c r="U86" s="77">
        <f>DATA!W77</f>
        <v>0</v>
      </c>
      <c r="V86" s="77">
        <f>DATA!X77</f>
        <v>306355000</v>
      </c>
      <c r="W86" s="78" t="str">
        <f>DATA!Y77</f>
        <v>JICA</v>
      </c>
      <c r="X86" s="20" t="str">
        <f>DATA!Z77</f>
        <v>Bilateral</v>
      </c>
      <c r="Y86" s="77">
        <f>DATA!AA77</f>
        <v>278355000</v>
      </c>
      <c r="Z86" s="77">
        <f>DATA!AG77</f>
        <v>0</v>
      </c>
      <c r="AA86" s="20">
        <f>DATA!AH77</f>
        <v>2017</v>
      </c>
      <c r="AB86" s="37" t="str">
        <f>DATA!AI77</f>
        <v>-</v>
      </c>
      <c r="AC86" s="152" t="str">
        <f>DATA!AR77</f>
        <v>belum ada dokumen R/C</v>
      </c>
      <c r="AD86" s="152" t="str">
        <f>DATA!AN77</f>
        <v>belum ada keterangan</v>
      </c>
      <c r="AE86" s="152" t="str">
        <f>DATA!AO77</f>
        <v>belum ada keterangan</v>
      </c>
      <c r="AF86" s="37" t="str">
        <f>DATA!AJ77</f>
        <v>-</v>
      </c>
      <c r="AG86" s="37" t="str">
        <f>DATA!AK77</f>
        <v>-</v>
      </c>
      <c r="AH86" s="37" t="str">
        <f>DATA!AL77</f>
        <v>-</v>
      </c>
      <c r="AI86" s="20" t="str">
        <f>DATA!AR77</f>
        <v>belum ada dokumen R/C</v>
      </c>
      <c r="AJ86" s="20" t="str">
        <f>DATA!AN77</f>
        <v>belum ada keterangan</v>
      </c>
      <c r="AK86" s="20" t="str">
        <f>DATA!AO77</f>
        <v>belum ada keterangan</v>
      </c>
      <c r="AL86" s="20" t="str">
        <f>DATA!AP77</f>
        <v>belum ada proses tender/lelang</v>
      </c>
      <c r="AM86" s="20" t="str">
        <f>DATA!AY77</f>
        <v>Konfirmasi melalui surat Sekjen nomor KU.01.12-Sj/636 tgl 23 Oktober 2015</v>
      </c>
      <c r="AN86" s="20" t="e">
        <f>DATA!#REF!</f>
        <v>#REF!</v>
      </c>
      <c r="AO86" s="20">
        <f>DATA!AZ77</f>
        <v>0</v>
      </c>
      <c r="AP86" s="152" t="e">
        <f>DATA!#REF!</f>
        <v>#REF!</v>
      </c>
      <c r="AQ86" s="37"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row>
    <row r="87" spans="1:43" ht="102">
      <c r="A87" s="10">
        <f>DATA!A78</f>
        <v>60</v>
      </c>
      <c r="B87" s="10">
        <f>DATA!B78</f>
        <v>0</v>
      </c>
      <c r="C87" s="10" t="str">
        <f>DATA!D78</f>
        <v>INFRASTRUKTUR</v>
      </c>
      <c r="D87" s="10">
        <f>DATA!E78</f>
        <v>1</v>
      </c>
      <c r="E87" s="10" t="str">
        <f>DATA!F78</f>
        <v>Kementerian Pekerjaan Umum dan Perumahan Rakyat</v>
      </c>
      <c r="F87" s="10" t="str">
        <f>DATA!H78</f>
        <v xml:space="preserve">Development and Management of Irrigation Program </v>
      </c>
      <c r="G87" s="10" t="str">
        <f>DATA!I78</f>
        <v>I</v>
      </c>
      <c r="H87" s="10" t="str">
        <f>DATA!J78</f>
        <v>Program Pengembangan dan Pengelolaan Irigasi</v>
      </c>
      <c r="I87" s="10">
        <f>DATA!K78</f>
        <v>8</v>
      </c>
      <c r="J87" s="33"/>
      <c r="K87" s="34"/>
      <c r="L87" s="34"/>
      <c r="M87" s="36">
        <f>DATA!K78</f>
        <v>8</v>
      </c>
      <c r="N87" s="37" t="str">
        <f>DATA!L78</f>
        <v>Urgent Rehabilitation of  Irrigation Project in Indonesia (URIP)</v>
      </c>
      <c r="O87" s="20">
        <f>DATA!Q78</f>
        <v>1</v>
      </c>
      <c r="P87" s="20">
        <f>DATA!R78</f>
        <v>1</v>
      </c>
      <c r="Q87" s="20">
        <f>DATA!S78</f>
        <v>51</v>
      </c>
      <c r="R87" s="77">
        <f>DATA!T78</f>
        <v>272100000</v>
      </c>
      <c r="S87" s="88">
        <f>DATA!U78</f>
        <v>272100000</v>
      </c>
      <c r="T87" s="77">
        <f>DATA!V78</f>
        <v>40815000</v>
      </c>
      <c r="U87" s="77">
        <f>DATA!W78</f>
        <v>0</v>
      </c>
      <c r="V87" s="77">
        <f>DATA!X78</f>
        <v>312915000</v>
      </c>
      <c r="W87" s="78" t="str">
        <f>DATA!Y78</f>
        <v>Bank Dunia</v>
      </c>
      <c r="X87" s="20" t="str">
        <f>DATA!Z78</f>
        <v>Multilateral</v>
      </c>
      <c r="Y87" s="77">
        <f>DATA!AA78</f>
        <v>272100000</v>
      </c>
      <c r="Z87" s="77">
        <f>DATA!AG78</f>
        <v>0</v>
      </c>
      <c r="AA87" s="20" t="str">
        <f>DATA!AH78</f>
        <v>Tanpa keterangan</v>
      </c>
      <c r="AB87" s="37" t="str">
        <f>DATA!AI78</f>
        <v>-</v>
      </c>
      <c r="AC87" s="152" t="str">
        <f>DATA!AR78</f>
        <v>belum ada dokumen R/C</v>
      </c>
      <c r="AD87" s="152" t="str">
        <f>DATA!AN78</f>
        <v>belum ada keterangan</v>
      </c>
      <c r="AE87" s="152" t="str">
        <f>DATA!AO78</f>
        <v>belum ada keterangan</v>
      </c>
      <c r="AF87" s="37" t="str">
        <f>DATA!AJ78</f>
        <v>-</v>
      </c>
      <c r="AG87" s="37" t="str">
        <f>DATA!AK78</f>
        <v>-</v>
      </c>
      <c r="AH87" s="37" t="str">
        <f>DATA!AL78</f>
        <v>-</v>
      </c>
      <c r="AI87" s="20" t="str">
        <f>DATA!AR78</f>
        <v>belum ada dokumen R/C</v>
      </c>
      <c r="AJ87" s="20" t="str">
        <f>DATA!AN78</f>
        <v>belum ada keterangan</v>
      </c>
      <c r="AK87" s="20" t="str">
        <f>DATA!AO78</f>
        <v>belum ada keterangan</v>
      </c>
      <c r="AL87" s="20" t="str">
        <f>DATA!AP78</f>
        <v>belum ada proses tender/lelang</v>
      </c>
      <c r="AM87" s="20" t="str">
        <f>DATA!AY78</f>
        <v>Konfirmasi melalui surat Sekjen nomor KU.01.12-Sj/636 tgl 23 Oktober 2015</v>
      </c>
      <c r="AN87" s="20" t="e">
        <f>DATA!#REF!</f>
        <v>#REF!</v>
      </c>
      <c r="AO87" s="20" t="str">
        <f>DATA!AZ78</f>
        <v xml:space="preserve">Belum ada pembicaraan dgn Bank Dunia </v>
      </c>
      <c r="AP87" s="152" t="e">
        <f>DATA!#REF!</f>
        <v>#REF!</v>
      </c>
      <c r="AQ87" s="37"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row>
    <row r="88" spans="1:43" ht="69" customHeight="1">
      <c r="A88" s="10">
        <f>DATA!A79</f>
        <v>61</v>
      </c>
      <c r="B88" s="10">
        <f>DATA!B79</f>
        <v>0</v>
      </c>
      <c r="C88" s="10" t="str">
        <f>DATA!D79</f>
        <v>INFRASTRUKTUR</v>
      </c>
      <c r="D88" s="10">
        <f>DATA!E79</f>
        <v>1</v>
      </c>
      <c r="E88" s="10" t="str">
        <f>DATA!F79</f>
        <v>Kementerian Pekerjaan Umum dan Perumahan Rakyat</v>
      </c>
      <c r="F88" s="10" t="str">
        <f>DATA!H79</f>
        <v xml:space="preserve">Development and Management of Irrigation Program </v>
      </c>
      <c r="G88" s="10" t="str">
        <f>DATA!I79</f>
        <v>I</v>
      </c>
      <c r="H88" s="10" t="str">
        <f>DATA!J79</f>
        <v>Program Pengembangan dan Pengelolaan Irigasi</v>
      </c>
      <c r="I88" s="10">
        <f>DATA!K79</f>
        <v>9</v>
      </c>
      <c r="J88" s="33"/>
      <c r="K88" s="34"/>
      <c r="L88" s="34"/>
      <c r="M88" s="36">
        <f>DATA!K79</f>
        <v>9</v>
      </c>
      <c r="N88" s="37" t="str">
        <f>DATA!L79</f>
        <v>Revitalization Groundwater Irrigation in Indonesia</v>
      </c>
      <c r="O88" s="20">
        <f>DATA!Q79</f>
        <v>1</v>
      </c>
      <c r="P88" s="20">
        <f>DATA!R79</f>
        <v>1</v>
      </c>
      <c r="Q88" s="20">
        <f>DATA!S79</f>
        <v>52</v>
      </c>
      <c r="R88" s="77">
        <f>DATA!T79</f>
        <v>100000000</v>
      </c>
      <c r="S88" s="88">
        <f>DATA!U79</f>
        <v>100000000</v>
      </c>
      <c r="T88" s="77">
        <f>DATA!V79</f>
        <v>10000000</v>
      </c>
      <c r="U88" s="77">
        <f>DATA!W79</f>
        <v>0</v>
      </c>
      <c r="V88" s="77">
        <f>DATA!X79</f>
        <v>110000000</v>
      </c>
      <c r="W88" s="78" t="str">
        <f>DATA!Y79</f>
        <v>JICA</v>
      </c>
      <c r="X88" s="20" t="str">
        <f>DATA!Z79</f>
        <v>Bilateral</v>
      </c>
      <c r="Y88" s="77">
        <f>DATA!AA79</f>
        <v>100000000</v>
      </c>
      <c r="Z88" s="77">
        <f>DATA!AG79</f>
        <v>0</v>
      </c>
      <c r="AA88" s="20">
        <f>DATA!AH79</f>
        <v>2017</v>
      </c>
      <c r="AB88" s="37" t="str">
        <f>DATA!AI79</f>
        <v>-</v>
      </c>
      <c r="AC88" s="152" t="str">
        <f>DATA!AR79</f>
        <v>belum ada dokumen R/C</v>
      </c>
      <c r="AD88" s="152" t="str">
        <f>DATA!AN79</f>
        <v>belum ada keterangan</v>
      </c>
      <c r="AE88" s="152" t="str">
        <f>DATA!AO79</f>
        <v>belum ada keterangan</v>
      </c>
      <c r="AF88" s="37" t="str">
        <f>DATA!AJ79</f>
        <v>-</v>
      </c>
      <c r="AG88" s="37" t="str">
        <f>DATA!AK79</f>
        <v>-</v>
      </c>
      <c r="AH88" s="37" t="str">
        <f>DATA!AL79</f>
        <v>-</v>
      </c>
      <c r="AI88" s="20" t="str">
        <f>DATA!AR79</f>
        <v>belum ada dokumen R/C</v>
      </c>
      <c r="AJ88" s="20" t="str">
        <f>DATA!AN79</f>
        <v>belum ada keterangan</v>
      </c>
      <c r="AK88" s="20" t="str">
        <f>DATA!AO79</f>
        <v>belum ada keterangan</v>
      </c>
      <c r="AL88" s="20" t="str">
        <f>DATA!AP79</f>
        <v>belum ada proses tender/lelang</v>
      </c>
      <c r="AM88" s="20" t="str">
        <f>DATA!AY79</f>
        <v>Konfirmasi melalui surat Sekjen nomor KU.01.12-Sj/636 tgl 23 Oktober 2015</v>
      </c>
      <c r="AN88" s="20" t="e">
        <f>DATA!#REF!</f>
        <v>#REF!</v>
      </c>
      <c r="AO88" s="20">
        <f>DATA!AZ79</f>
        <v>0</v>
      </c>
      <c r="AP88" s="152" t="e">
        <f>DATA!#REF!</f>
        <v>#REF!</v>
      </c>
      <c r="AQ88" s="37" t="str">
        <f>DATA!BA79</f>
        <v>Kegiatan review desain dan kegiatan konstruksi  meliputi: rehabilitasi 772 sumur, perbaikan pipa distribusi air tanah 1.618 km, perbaikan bangunan rumah pompa, penggantian mesin pompa dan atau penggerak</v>
      </c>
    </row>
    <row r="89" spans="1:43" ht="96" customHeight="1">
      <c r="A89" s="10">
        <f>DATA!A80</f>
        <v>62</v>
      </c>
      <c r="B89" s="10">
        <f>DATA!B80</f>
        <v>0</v>
      </c>
      <c r="C89" s="10" t="str">
        <f>DATA!D80</f>
        <v>INFRASTRUKTUR</v>
      </c>
      <c r="D89" s="10">
        <f>DATA!E80</f>
        <v>1</v>
      </c>
      <c r="E89" s="10" t="str">
        <f>DATA!F80</f>
        <v>Kementerian Pekerjaan Umum dan Perumahan Rakyat</v>
      </c>
      <c r="F89" s="10" t="str">
        <f>DATA!H80</f>
        <v xml:space="preserve">Development and Management of Irrigation Program </v>
      </c>
      <c r="G89" s="10" t="str">
        <f>DATA!I80</f>
        <v>I</v>
      </c>
      <c r="H89" s="10" t="str">
        <f>DATA!J80</f>
        <v>Program Pengembangan dan Pengelolaan Irigasi</v>
      </c>
      <c r="I89" s="10">
        <f>DATA!K80</f>
        <v>10</v>
      </c>
      <c r="J89" s="33"/>
      <c r="K89" s="34"/>
      <c r="L89" s="54"/>
      <c r="M89" s="36">
        <f>DATA!K80</f>
        <v>10</v>
      </c>
      <c r="N89" s="37" t="str">
        <f>DATA!L80</f>
        <v>Engineering Service for Irrigation and Low Land Development Project</v>
      </c>
      <c r="O89" s="20">
        <f>DATA!Q80</f>
        <v>1</v>
      </c>
      <c r="P89" s="20">
        <f>DATA!R80</f>
        <v>1</v>
      </c>
      <c r="Q89" s="20">
        <f>DATA!S80</f>
        <v>53</v>
      </c>
      <c r="R89" s="77">
        <f>DATA!T80</f>
        <v>100000000</v>
      </c>
      <c r="S89" s="88">
        <f>DATA!U80</f>
        <v>100000000</v>
      </c>
      <c r="T89" s="77">
        <f>DATA!V80</f>
        <v>0</v>
      </c>
      <c r="U89" s="77">
        <f>DATA!W80</f>
        <v>0</v>
      </c>
      <c r="V89" s="77">
        <f>DATA!X80</f>
        <v>100000000</v>
      </c>
      <c r="W89" s="78" t="str">
        <f>DATA!Y80</f>
        <v>ADB</v>
      </c>
      <c r="X89" s="20" t="str">
        <f>DATA!Z80</f>
        <v>Multilateral</v>
      </c>
      <c r="Y89" s="77">
        <f>DATA!AA80</f>
        <v>100000000</v>
      </c>
      <c r="Z89" s="77">
        <f>DATA!AG80</f>
        <v>0</v>
      </c>
      <c r="AA89" s="20">
        <f>DATA!AH80</f>
        <v>2016</v>
      </c>
      <c r="AB89" s="37" t="str">
        <f>DATA!AI80</f>
        <v>- Sudah ada RC- Green Book 2015</v>
      </c>
      <c r="AC89" s="152" t="str">
        <f>DATA!AR80</f>
        <v>- sudah GB 2016  
- Nilai pinjaman di GB 38.100 ribu</v>
      </c>
      <c r="AD89" s="152" t="str">
        <f>DATA!AN80</f>
        <v>siap</v>
      </c>
      <c r="AE89" s="152" t="str">
        <f>DATA!AO80</f>
        <v>tidak butuh lahan</v>
      </c>
      <c r="AF89" s="37" t="str">
        <f>DATA!AJ80</f>
        <v>FS, DED</v>
      </c>
      <c r="AG89" s="37" t="str">
        <f>DATA!AK80</f>
        <v>Tidak membutuhkan lahan</v>
      </c>
      <c r="AH89" s="37" t="str">
        <f>DATA!AL80</f>
        <v>Belum ada tender/lelang</v>
      </c>
      <c r="AI89" s="20" t="str">
        <f>DATA!AR80</f>
        <v>- sudah GB 2016  
- Nilai pinjaman di GB 38.100 ribu</v>
      </c>
      <c r="AJ89" s="20" t="str">
        <f>DATA!AN80</f>
        <v>siap</v>
      </c>
      <c r="AK89" s="20" t="str">
        <f>DATA!AO80</f>
        <v>tidak butuh lahan</v>
      </c>
      <c r="AL89" s="20" t="str">
        <f>DATA!AP80</f>
        <v>belum ada proses tender/lelang</v>
      </c>
      <c r="AM89"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N89" s="20" t="e">
        <f>DATA!#REF!</f>
        <v>#REF!</v>
      </c>
      <c r="AO89" s="20">
        <f>DATA!AZ80</f>
        <v>0</v>
      </c>
      <c r="AP89" s="152" t="e">
        <f>DATA!#REF!</f>
        <v>#REF!</v>
      </c>
      <c r="AQ89" s="37"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row>
    <row r="90" spans="1:43" s="5" customFormat="1" ht="33.75" customHeight="1">
      <c r="J90" s="28"/>
      <c r="K90" s="50"/>
      <c r="L90" s="30" t="str">
        <f>DATA!I81</f>
        <v>J</v>
      </c>
      <c r="M90" s="31" t="str">
        <f>DATA!J81</f>
        <v xml:space="preserve">Program Penyediaan dan Pengelolaan Air Baku </v>
      </c>
      <c r="N90" s="51"/>
      <c r="O90" s="31"/>
      <c r="P90" s="31"/>
      <c r="Q90" s="31"/>
      <c r="R90" s="81">
        <f>SUM(R91:R93)</f>
        <v>623862000</v>
      </c>
      <c r="S90" s="81">
        <f>SUM(S91:S93)</f>
        <v>623862000</v>
      </c>
      <c r="T90" s="81">
        <f t="shared" ref="T90:Z90" si="4">SUM(T91:T93)</f>
        <v>201074000</v>
      </c>
      <c r="U90" s="81">
        <f t="shared" si="4"/>
        <v>0</v>
      </c>
      <c r="V90" s="81">
        <f t="shared" si="4"/>
        <v>824936000</v>
      </c>
      <c r="W90" s="81"/>
      <c r="X90" s="81">
        <f t="shared" si="4"/>
        <v>0</v>
      </c>
      <c r="Y90" s="81">
        <f t="shared" si="4"/>
        <v>623862000</v>
      </c>
      <c r="Z90" s="81">
        <f t="shared" si="4"/>
        <v>0</v>
      </c>
      <c r="AA90" s="31"/>
      <c r="AB90" s="32"/>
      <c r="AC90" s="32"/>
      <c r="AD90" s="32"/>
      <c r="AE90" s="32"/>
      <c r="AF90" s="32"/>
      <c r="AG90" s="32"/>
      <c r="AH90" s="32"/>
      <c r="AI90" s="31"/>
      <c r="AJ90" s="31"/>
      <c r="AK90" s="31"/>
      <c r="AL90" s="31"/>
      <c r="AM90" s="31"/>
      <c r="AN90" s="31"/>
      <c r="AO90" s="31"/>
      <c r="AP90" s="32"/>
      <c r="AQ90" s="32"/>
    </row>
    <row r="91" spans="1:43" ht="58.5" customHeight="1">
      <c r="A91" s="10">
        <f>DATA!A81</f>
        <v>63</v>
      </c>
      <c r="B91" s="10">
        <f>DATA!B81</f>
        <v>0</v>
      </c>
      <c r="C91" s="10" t="str">
        <f>DATA!D81</f>
        <v>INFRASTRUKTUR</v>
      </c>
      <c r="D91" s="10">
        <f>DATA!E81</f>
        <v>1</v>
      </c>
      <c r="E91" s="10" t="str">
        <f>DATA!F81</f>
        <v>Kementerian Pekerjaan Umum dan Perumahan Rakyat</v>
      </c>
      <c r="F91" s="10" t="str">
        <f>DATA!H81</f>
        <v>Provision and Management of Bulk Water Supply Program</v>
      </c>
      <c r="G91" s="10" t="str">
        <f>DATA!I81</f>
        <v>J</v>
      </c>
      <c r="H91" s="10" t="str">
        <f>DATA!J81</f>
        <v xml:space="preserve">Program Penyediaan dan Pengelolaan Air Baku </v>
      </c>
      <c r="I91" s="10">
        <f>DATA!K81</f>
        <v>1</v>
      </c>
      <c r="J91" s="33"/>
      <c r="K91" s="34"/>
      <c r="L91" s="35"/>
      <c r="M91" s="36">
        <f>DATA!K81</f>
        <v>1</v>
      </c>
      <c r="N91" s="37" t="str">
        <f>DATA!L81</f>
        <v>Integrated Citarum Water Resources Management Investment Program II</v>
      </c>
      <c r="O91" s="20">
        <f>DATA!Q81</f>
        <v>1</v>
      </c>
      <c r="P91" s="20">
        <f>DATA!R81</f>
        <v>1</v>
      </c>
      <c r="Q91" s="20">
        <f>DATA!S81</f>
        <v>54</v>
      </c>
      <c r="R91" s="77">
        <f>DATA!T81</f>
        <v>200000000</v>
      </c>
      <c r="S91" s="88">
        <f>DATA!U81</f>
        <v>200000000</v>
      </c>
      <c r="T91" s="77">
        <f>DATA!V81</f>
        <v>20000000</v>
      </c>
      <c r="U91" s="77">
        <f>DATA!W81</f>
        <v>0</v>
      </c>
      <c r="V91" s="77">
        <f>DATA!X81</f>
        <v>220000000</v>
      </c>
      <c r="W91" s="78" t="str">
        <f>DATA!Y81</f>
        <v>ADB</v>
      </c>
      <c r="X91" s="20" t="str">
        <f>DATA!Z81</f>
        <v>Multilateral</v>
      </c>
      <c r="Y91" s="77">
        <f>DATA!AA81</f>
        <v>200000000</v>
      </c>
      <c r="Z91" s="77">
        <f>DATA!AG81</f>
        <v>0</v>
      </c>
      <c r="AA91" s="20" t="str">
        <f>DATA!AH81</f>
        <v>Tanpa keterangan</v>
      </c>
      <c r="AB91" s="37" t="str">
        <f>DATA!AI81</f>
        <v>-</v>
      </c>
      <c r="AC91" s="152" t="str">
        <f>DATA!AR81</f>
        <v>belum ada dokumen R/C</v>
      </c>
      <c r="AD91" s="152" t="str">
        <f>DATA!AN81</f>
        <v>dalam proses
(memiliki FS dan DED)</v>
      </c>
      <c r="AE91" s="152" t="str">
        <f>DATA!AO81</f>
        <v>dalam proses
(perencanaan)</v>
      </c>
      <c r="AF91" s="37" t="str">
        <f>DATA!AJ81</f>
        <v>FS, DED</v>
      </c>
      <c r="AG91" s="37" t="str">
        <f>DATA!AK81</f>
        <v>Penyusunan dokumen LARAP</v>
      </c>
      <c r="AH91" s="37" t="str">
        <f>DATA!AL81</f>
        <v>-</v>
      </c>
      <c r="AI91" s="20" t="str">
        <f>DATA!AR81</f>
        <v>belum ada dokumen R/C</v>
      </c>
      <c r="AJ91" s="20" t="str">
        <f>DATA!AN81</f>
        <v>dalam proses
(memiliki FS dan DED)</v>
      </c>
      <c r="AK91" s="20" t="str">
        <f>DATA!AO81</f>
        <v>dalam proses
(perencanaan)</v>
      </c>
      <c r="AL91" s="20" t="str">
        <f>DATA!AP81</f>
        <v>belum ada proses tender/lelang</v>
      </c>
      <c r="AM91" s="20" t="str">
        <f>DATA!AY81</f>
        <v>Konfirmasi melalui surat Sekjen nomor KU.01.12-Sj/636 tgl 23 Oktober 2015</v>
      </c>
      <c r="AN91" s="20" t="e">
        <f>DATA!#REF!</f>
        <v>#REF!</v>
      </c>
      <c r="AO91" s="20" t="str">
        <f>DATA!AZ81</f>
        <v>ada penolakan dari ADB untuk membiayai kegiatan ini (info P'Dewo)</v>
      </c>
      <c r="AP91" s="152" t="e">
        <f>DATA!#REF!</f>
        <v>#REF!</v>
      </c>
      <c r="AQ91" s="37" t="str">
        <f>DATA!BA81</f>
        <v>Pengembangan air baku di sungai citarum dan sekeliling bandung untuk memenuhi kebutuhan air baku lebih kurang 1,5 m3/det di Bandung serta menghindari erosi sungai Citarum</v>
      </c>
    </row>
    <row r="92" spans="1:43" ht="46.5" customHeight="1">
      <c r="A92" s="10">
        <f>DATA!A82</f>
        <v>64</v>
      </c>
      <c r="B92" s="10">
        <f>DATA!B82</f>
        <v>0</v>
      </c>
      <c r="C92" s="10" t="str">
        <f>DATA!D82</f>
        <v>INFRASTRUKTUR</v>
      </c>
      <c r="D92" s="10">
        <f>DATA!E82</f>
        <v>1</v>
      </c>
      <c r="E92" s="10" t="str">
        <f>DATA!F82</f>
        <v>Kementerian Pekerjaan Umum dan Perumahan Rakyat</v>
      </c>
      <c r="F92" s="10" t="str">
        <f>DATA!H82</f>
        <v>Provision and Management of Bulk Water Supply Program</v>
      </c>
      <c r="G92" s="10" t="str">
        <f>DATA!I82</f>
        <v>I</v>
      </c>
      <c r="H92" s="10" t="str">
        <f>DATA!J82</f>
        <v xml:space="preserve">Program Penyediaan dan Pengelolaan Air Baku </v>
      </c>
      <c r="I92" s="10">
        <f>DATA!K82</f>
        <v>2</v>
      </c>
      <c r="J92" s="33"/>
      <c r="K92" s="34"/>
      <c r="L92" s="34"/>
      <c r="M92" s="36">
        <f>DATA!K82</f>
        <v>2</v>
      </c>
      <c r="N92" s="37" t="str">
        <f>DATA!L82</f>
        <v>Karian Dam-Serpong Water Conveyance and Supply System Project</v>
      </c>
      <c r="O92" s="20">
        <f>DATA!Q82</f>
        <v>1</v>
      </c>
      <c r="P92" s="20">
        <f>DATA!R82</f>
        <v>1</v>
      </c>
      <c r="Q92" s="20">
        <f>DATA!S82</f>
        <v>55</v>
      </c>
      <c r="R92" s="77">
        <f>DATA!T82</f>
        <v>373862000</v>
      </c>
      <c r="S92" s="88">
        <f>DATA!U82</f>
        <v>373862000</v>
      </c>
      <c r="T92" s="77">
        <f>DATA!V82</f>
        <v>181074000</v>
      </c>
      <c r="U92" s="77">
        <f>DATA!W82</f>
        <v>0</v>
      </c>
      <c r="V92" s="77">
        <f>DATA!X82</f>
        <v>554936000</v>
      </c>
      <c r="W92" s="78" t="str">
        <f>DATA!Y82</f>
        <v>Korea</v>
      </c>
      <c r="X92" s="20" t="str">
        <f>DATA!Z82</f>
        <v>Bilateral</v>
      </c>
      <c r="Y92" s="77">
        <f>DATA!AA82</f>
        <v>373862000</v>
      </c>
      <c r="Z92" s="77">
        <f>DATA!AG82</f>
        <v>0</v>
      </c>
      <c r="AA92" s="20" t="str">
        <f>DATA!AH82</f>
        <v>Tanpa keterangan</v>
      </c>
      <c r="AB92" s="37" t="str">
        <f>DATA!AI82</f>
        <v>-</v>
      </c>
      <c r="AC92" s="152" t="str">
        <f>DATA!AR82</f>
        <v>belum ada dokumen R/C</v>
      </c>
      <c r="AD92" s="152" t="str">
        <f>DATA!AN82</f>
        <v>dalam proses
(memiliki FS)</v>
      </c>
      <c r="AE92" s="152" t="str">
        <f>DATA!AO82</f>
        <v>dalam proses
(perencanaan)</v>
      </c>
      <c r="AF92" s="37" t="str">
        <f>DATA!AJ82</f>
        <v>FS</v>
      </c>
      <c r="AG92" s="37" t="str">
        <f>DATA!AK82</f>
        <v>Persiapan penyusunan dokumen LARAP</v>
      </c>
      <c r="AH92" s="37" t="str">
        <f>DATA!AL82</f>
        <v>-</v>
      </c>
      <c r="AI92" s="20" t="str">
        <f>DATA!AR82</f>
        <v>belum ada dokumen R/C</v>
      </c>
      <c r="AJ92" s="20" t="str">
        <f>DATA!AN82</f>
        <v>dalam proses
(memiliki FS)</v>
      </c>
      <c r="AK92" s="20" t="str">
        <f>DATA!AO82</f>
        <v>dalam proses
(perencanaan)</v>
      </c>
      <c r="AL92" s="20" t="str">
        <f>DATA!AP82</f>
        <v>belum ada proses tender/lelang</v>
      </c>
      <c r="AM92" s="20" t="str">
        <f>DATA!AY82</f>
        <v>Konfirmasi melalui surat Sekjen nomor KU.01.12-Sj/636 tgl 23 Oktober 2015</v>
      </c>
      <c r="AN92" s="20" t="e">
        <f>DATA!#REF!</f>
        <v>#REF!</v>
      </c>
      <c r="AO92" s="20">
        <f>DATA!AZ82</f>
        <v>0</v>
      </c>
      <c r="AP92" s="152" t="e">
        <f>DATA!#REF!</f>
        <v>#REF!</v>
      </c>
      <c r="AQ92" s="37" t="str">
        <f>DATA!BA82</f>
        <v>Pembangunan sistem air baku sepanjang 47,9 km dari Bendungan Karian ke Serpong untuk meningkatkan pasokan air di Banten dan Jakarta</v>
      </c>
    </row>
    <row r="93" spans="1:43" ht="57.75" customHeight="1">
      <c r="A93" s="10">
        <f>DATA!A83</f>
        <v>65</v>
      </c>
      <c r="B93" s="10">
        <f>DATA!B83</f>
        <v>0</v>
      </c>
      <c r="C93" s="10" t="str">
        <f>DATA!D83</f>
        <v>INFRASTRUKTUR</v>
      </c>
      <c r="D93" s="10">
        <f>DATA!E83</f>
        <v>1</v>
      </c>
      <c r="E93" s="10" t="str">
        <f>DATA!F83</f>
        <v>Kementerian Pekerjaan Umum dan Perumahan Rakyat</v>
      </c>
      <c r="F93" s="10" t="str">
        <f>DATA!H83</f>
        <v>Provision and Management of Bulk Water Supply Program</v>
      </c>
      <c r="G93" s="10" t="str">
        <f>DATA!I83</f>
        <v>I</v>
      </c>
      <c r="H93" s="10" t="str">
        <f>DATA!J83</f>
        <v xml:space="preserve">Program Penyediaan dan Pengelolaan Air Baku </v>
      </c>
      <c r="I93" s="10">
        <f>DATA!K83</f>
        <v>3</v>
      </c>
      <c r="J93" s="33"/>
      <c r="K93" s="34"/>
      <c r="L93" s="54"/>
      <c r="M93" s="36">
        <f>DATA!K83</f>
        <v>3</v>
      </c>
      <c r="N93" s="37" t="str">
        <f>DATA!L83</f>
        <v>Engineering Service for Bulk Water and Water Supply Development Project</v>
      </c>
      <c r="O93" s="20">
        <f>DATA!Q83</f>
        <v>1</v>
      </c>
      <c r="P93" s="20">
        <f>DATA!R83</f>
        <v>1</v>
      </c>
      <c r="Q93" s="20">
        <f>DATA!S83</f>
        <v>56</v>
      </c>
      <c r="R93" s="77">
        <f>DATA!T83</f>
        <v>50000000</v>
      </c>
      <c r="S93" s="88">
        <f>DATA!U83</f>
        <v>50000000</v>
      </c>
      <c r="T93" s="77">
        <f>DATA!V83</f>
        <v>0</v>
      </c>
      <c r="U93" s="77">
        <f>DATA!W83</f>
        <v>0</v>
      </c>
      <c r="V93" s="77">
        <f>DATA!X83</f>
        <v>50000000</v>
      </c>
      <c r="W93" s="78" t="str">
        <f>DATA!Y83</f>
        <v>ADB</v>
      </c>
      <c r="X93" s="20" t="str">
        <f>DATA!Z83</f>
        <v>Multilateral</v>
      </c>
      <c r="Y93" s="77">
        <f>DATA!AA83</f>
        <v>50000000</v>
      </c>
      <c r="Z93" s="77">
        <f>DATA!AG83</f>
        <v>0</v>
      </c>
      <c r="AA93" s="20">
        <f>DATA!AH83</f>
        <v>2016</v>
      </c>
      <c r="AB93" s="37" t="str">
        <f>DATA!AI83</f>
        <v>- Sudah ada RC
- Green Book 2015</v>
      </c>
      <c r="AC93" s="152" t="str">
        <f>DATA!AR83</f>
        <v>- sudah GB 2016  
- Nilai pinjaman di GB USD 2.000 ribu</v>
      </c>
      <c r="AD93" s="152" t="str">
        <f>DATA!AN83</f>
        <v>siap</v>
      </c>
      <c r="AE93" s="152" t="str">
        <f>DATA!AO83</f>
        <v>tidak butuh lahan</v>
      </c>
      <c r="AF93" s="37" t="str">
        <f>DATA!AJ83</f>
        <v>FS, DED</v>
      </c>
      <c r="AG93" s="37" t="str">
        <f>DATA!AK83</f>
        <v>Tidak membutuhkan lahan</v>
      </c>
      <c r="AH93" s="37" t="str">
        <f>DATA!AL83</f>
        <v>Belum ada tender/lelang</v>
      </c>
      <c r="AI93" s="20" t="str">
        <f>DATA!AR83</f>
        <v>- sudah GB 2016  
- Nilai pinjaman di GB USD 2.000 ribu</v>
      </c>
      <c r="AJ93" s="20" t="str">
        <f>DATA!AN83</f>
        <v>siap</v>
      </c>
      <c r="AK93" s="20" t="str">
        <f>DATA!AO83</f>
        <v>tidak butuh lahan</v>
      </c>
      <c r="AL93" s="20" t="str">
        <f>DATA!AP83</f>
        <v>belum ada proses tender/lelang</v>
      </c>
      <c r="AM93"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N93" s="20" t="e">
        <f>DATA!#REF!</f>
        <v>#REF!</v>
      </c>
      <c r="AO93" s="20">
        <f>DATA!AZ83</f>
        <v>0</v>
      </c>
      <c r="AP93" s="152" t="e">
        <f>DATA!#REF!</f>
        <v>#REF!</v>
      </c>
      <c r="AQ93" s="37" t="str">
        <f>DATA!BA83</f>
        <v>Membuat perencanaan dan analisis untuk mendukung pembangunan sistem air baku dan menyediakan fasilitas pendukung pengembangan air baku masyarakat</v>
      </c>
    </row>
    <row r="94" spans="1:43" s="5" customFormat="1" ht="33.75" customHeight="1">
      <c r="J94" s="28"/>
      <c r="K94" s="50"/>
      <c r="L94" s="30" t="str">
        <f>DATA!I84</f>
        <v>J</v>
      </c>
      <c r="M94" s="31" t="str">
        <f>DATA!J84</f>
        <v xml:space="preserve">Program Pembangunan Waduk </v>
      </c>
      <c r="N94" s="51"/>
      <c r="O94" s="31"/>
      <c r="P94" s="31"/>
      <c r="Q94" s="31"/>
      <c r="R94" s="81">
        <f>SUM(R95:R108)</f>
        <v>2133750000</v>
      </c>
      <c r="S94" s="81">
        <f>SUM(S95:S108)</f>
        <v>2133750000</v>
      </c>
      <c r="T94" s="81">
        <f t="shared" ref="T94:Y94" si="5">SUM(T95:T108)</f>
        <v>963200000</v>
      </c>
      <c r="U94" s="81">
        <f t="shared" si="5"/>
        <v>0</v>
      </c>
      <c r="V94" s="81">
        <f t="shared" si="5"/>
        <v>3096950000</v>
      </c>
      <c r="W94" s="81"/>
      <c r="X94" s="81">
        <f t="shared" si="5"/>
        <v>0</v>
      </c>
      <c r="Y94" s="81">
        <f t="shared" si="5"/>
        <v>2233750000</v>
      </c>
      <c r="Z94" s="81">
        <f>SUM(Z95:Z104)</f>
        <v>-76391404</v>
      </c>
      <c r="AA94" s="31"/>
      <c r="AB94" s="32"/>
      <c r="AC94" s="32"/>
      <c r="AD94" s="32"/>
      <c r="AE94" s="32"/>
      <c r="AF94" s="32"/>
      <c r="AG94" s="32"/>
      <c r="AH94" s="32"/>
      <c r="AI94" s="31"/>
      <c r="AJ94" s="31"/>
      <c r="AK94" s="31"/>
      <c r="AL94" s="31"/>
      <c r="AM94" s="31"/>
      <c r="AN94" s="31"/>
      <c r="AO94" s="31"/>
      <c r="AP94" s="32"/>
      <c r="AQ94" s="32"/>
    </row>
    <row r="95" spans="1:43" ht="76.5">
      <c r="A95" s="10">
        <f>DATA!A84</f>
        <v>66</v>
      </c>
      <c r="B95" s="10">
        <f>DATA!B84</f>
        <v>0</v>
      </c>
      <c r="C95" s="10" t="str">
        <f>DATA!D84</f>
        <v>INFRASTRUKTUR</v>
      </c>
      <c r="D95" s="10">
        <f>DATA!E84</f>
        <v>1</v>
      </c>
      <c r="E95" s="10" t="str">
        <f>DATA!F84</f>
        <v>Kementerian Pekerjaan Umum dan Perumahan Rakyat</v>
      </c>
      <c r="F95" s="10" t="str">
        <f>DATA!H84</f>
        <v>Dam Development Program</v>
      </c>
      <c r="G95" s="10" t="str">
        <f>DATA!I84</f>
        <v>J</v>
      </c>
      <c r="H95" s="10" t="str">
        <f>DATA!J84</f>
        <v xml:space="preserve">Program Pembangunan Waduk </v>
      </c>
      <c r="I95" s="10">
        <f>DATA!K84</f>
        <v>1</v>
      </c>
      <c r="J95" s="33"/>
      <c r="K95" s="34"/>
      <c r="L95" s="35"/>
      <c r="M95" s="36">
        <f>DATA!K84</f>
        <v>1</v>
      </c>
      <c r="N95" s="37" t="str">
        <f>DATA!L84</f>
        <v>Jambo Aye Multipurpose Dam Project</v>
      </c>
      <c r="O95" s="20">
        <f>DATA!Q84</f>
        <v>1</v>
      </c>
      <c r="P95" s="20">
        <f>DATA!R84</f>
        <v>1</v>
      </c>
      <c r="Q95" s="20">
        <f>DATA!S84</f>
        <v>57</v>
      </c>
      <c r="R95" s="77">
        <f>DATA!T84</f>
        <v>662200000</v>
      </c>
      <c r="S95" s="88">
        <f>DATA!U84</f>
        <v>662200000</v>
      </c>
      <c r="T95" s="77">
        <f>DATA!V84</f>
        <v>460700000</v>
      </c>
      <c r="U95" s="77">
        <f>DATA!W84</f>
        <v>0</v>
      </c>
      <c r="V95" s="77">
        <f>DATA!X84</f>
        <v>1122900000</v>
      </c>
      <c r="W95" s="78" t="str">
        <f>DATA!Y84</f>
        <v>Rupiah Murni</v>
      </c>
      <c r="X95" s="20" t="str">
        <f>DATA!Z84</f>
        <v>Pendanaan Dengan Rupiah Murni</v>
      </c>
      <c r="Y95" s="77">
        <f>DATA!AA84</f>
        <v>662200000</v>
      </c>
      <c r="Z95" s="77">
        <f>DATA!AG84</f>
        <v>0</v>
      </c>
      <c r="AA95" s="20">
        <f>DATA!AH84</f>
        <v>2018</v>
      </c>
      <c r="AB95" s="37" t="str">
        <f>DATA!AI84</f>
        <v>-</v>
      </c>
      <c r="AC95" s="152" t="str">
        <f>DATA!AR84</f>
        <v>belum ada dokumen R/C</v>
      </c>
      <c r="AD95" s="152" t="str">
        <f>DATA!AN84</f>
        <v>belum ada keterangan</v>
      </c>
      <c r="AE95" s="152" t="str">
        <f>DATA!AO84</f>
        <v>dalam proses
(perencanaan)</v>
      </c>
      <c r="AF95" s="37" t="str">
        <f>DATA!AJ84</f>
        <v xml:space="preserve">AMDAL siap dan penyiapan Review DED </v>
      </c>
      <c r="AG95" s="37" t="str">
        <f>DATA!AK84</f>
        <v>LARAP</v>
      </c>
      <c r="AH95" s="37" t="str">
        <f>DATA!AL84</f>
        <v>-</v>
      </c>
      <c r="AI95" s="20" t="str">
        <f>DATA!AR84</f>
        <v>belum ada dokumen R/C</v>
      </c>
      <c r="AJ95" s="20" t="str">
        <f>DATA!AN84</f>
        <v>belum ada keterangan</v>
      </c>
      <c r="AK95" s="20" t="str">
        <f>DATA!AO84</f>
        <v>dalam proses
(perencanaan)</v>
      </c>
      <c r="AL95" s="20" t="str">
        <f>DATA!AP84</f>
        <v>belum ada proses tender/lelang</v>
      </c>
      <c r="AM95" s="20" t="str">
        <f>DATA!AY84</f>
        <v>- Konfirmasi melalui surat Sekjen nomor KU.01.12-Sj/636 tgl 23 Oktober 2015
- Kegiatan akan dilaksanakan oleh pendanaan rupiah murni APBN</v>
      </c>
      <c r="AN95" s="20" t="e">
        <f>DATA!#REF!</f>
        <v>#REF!</v>
      </c>
      <c r="AO95" s="20">
        <f>DATA!AZ84</f>
        <v>0</v>
      </c>
      <c r="AP95" s="152" t="e">
        <f>DATA!#REF!</f>
        <v>#REF!</v>
      </c>
      <c r="AQ95" s="37" t="str">
        <f>DATA!BA84</f>
        <v>Meningkatkan luas areal irigasi sebesar ± 10.000 Ha dengan perbaikan akses jalan, relokasi penduduk, pembebasan lahan, pekerajaan pengelakan sungai jambo aye dan reubek, pembangunan bendungan dan pendukung lainnya, pembangunan fasilitas PLTA 106 MW</v>
      </c>
    </row>
    <row r="96" spans="1:43" ht="84" customHeight="1">
      <c r="A96" s="10">
        <f>DATA!A85</f>
        <v>67</v>
      </c>
      <c r="B96" s="10">
        <f>DATA!B85</f>
        <v>0</v>
      </c>
      <c r="C96" s="10" t="str">
        <f>DATA!D85</f>
        <v>INFRASTRUKTUR</v>
      </c>
      <c r="D96" s="10">
        <f>DATA!E85</f>
        <v>1</v>
      </c>
      <c r="E96" s="10" t="str">
        <f>DATA!F85</f>
        <v>Kementerian Pekerjaan Umum dan Perumahan Rakyat</v>
      </c>
      <c r="F96" s="10" t="str">
        <f>DATA!H85</f>
        <v>Dam Development Program</v>
      </c>
      <c r="G96" s="10" t="str">
        <f>DATA!I85</f>
        <v>J</v>
      </c>
      <c r="H96" s="10" t="str">
        <f>DATA!J85</f>
        <v xml:space="preserve">Program Pembangunan Waduk </v>
      </c>
      <c r="I96" s="10">
        <f>DATA!K85</f>
        <v>2</v>
      </c>
      <c r="J96" s="33"/>
      <c r="K96" s="34"/>
      <c r="L96" s="34"/>
      <c r="M96" s="36">
        <f>DATA!K85</f>
        <v>2</v>
      </c>
      <c r="N96" s="37" t="str">
        <f>DATA!L85</f>
        <v>Komering Multipurpose Dam Project - Phase II</v>
      </c>
      <c r="O96" s="20">
        <f>DATA!Q85</f>
        <v>1</v>
      </c>
      <c r="P96" s="20">
        <f>DATA!R85</f>
        <v>1</v>
      </c>
      <c r="Q96" s="20">
        <f>DATA!S85</f>
        <v>58</v>
      </c>
      <c r="R96" s="77">
        <f>DATA!T85</f>
        <v>200000000</v>
      </c>
      <c r="S96" s="88">
        <f>DATA!U85</f>
        <v>200000000</v>
      </c>
      <c r="T96" s="77">
        <f>DATA!V85</f>
        <v>20000000</v>
      </c>
      <c r="U96" s="77">
        <f>DATA!W85</f>
        <v>0</v>
      </c>
      <c r="V96" s="77">
        <f>DATA!X85</f>
        <v>220000000</v>
      </c>
      <c r="W96" s="78" t="str">
        <f>DATA!Y85</f>
        <v>Rupiah Murni</v>
      </c>
      <c r="X96" s="20" t="str">
        <f>DATA!Z85</f>
        <v>Pendanaan Dengan Rupiah Murni</v>
      </c>
      <c r="Y96" s="77">
        <f>DATA!AA85</f>
        <v>200000000</v>
      </c>
      <c r="Z96" s="77">
        <f>DATA!AG85</f>
        <v>0</v>
      </c>
      <c r="AA96" s="20">
        <f>DATA!AH85</f>
        <v>2016</v>
      </c>
      <c r="AB96" s="37" t="str">
        <f>DATA!AI85</f>
        <v>-</v>
      </c>
      <c r="AC96" s="152" t="str">
        <f>DATA!AR85</f>
        <v>belum ada dokumen R/C</v>
      </c>
      <c r="AD96" s="152" t="str">
        <f>DATA!AN85</f>
        <v>dalam proses
(penyusunan FS)</v>
      </c>
      <c r="AE96" s="152" t="str">
        <f>DATA!AO85</f>
        <v>dalam proses
(perencanaan)</v>
      </c>
      <c r="AF96" s="37" t="str">
        <f>DATA!AJ85</f>
        <v>FS, DED, AMDAL</v>
      </c>
      <c r="AG96" s="37" t="str">
        <f>DATA!AK85</f>
        <v>Revisi RTRW Kabupaten, LARAP</v>
      </c>
      <c r="AH96" s="37" t="str">
        <f>DATA!AL85</f>
        <v>-</v>
      </c>
      <c r="AI96" s="20" t="str">
        <f>DATA!AR85</f>
        <v>belum ada dokumen R/C</v>
      </c>
      <c r="AJ96" s="20" t="str">
        <f>DATA!AN85</f>
        <v>dalam proses
(penyusunan FS)</v>
      </c>
      <c r="AK96" s="20" t="str">
        <f>DATA!AO85</f>
        <v>dalam proses
(perencanaan)</v>
      </c>
      <c r="AL96" s="20" t="str">
        <f>DATA!AP85</f>
        <v>belum ada proses tender/lelang</v>
      </c>
      <c r="AM96" s="20" t="str">
        <f>DATA!AY85</f>
        <v>- Konfirmasi melalui surat Sekjen nomor KU.01.12-Sj/636 tgl 23 Oktober 2015
- Kegiatan akan dilaksanakan oleh pendanaan rupiah murni APBN</v>
      </c>
      <c r="AN96" s="20" t="e">
        <f>DATA!#REF!</f>
        <v>#REF!</v>
      </c>
      <c r="AO96" s="20">
        <f>DATA!AZ85</f>
        <v>0</v>
      </c>
      <c r="AP96" s="152" t="e">
        <f>DATA!#REF!</f>
        <v>#REF!</v>
      </c>
      <c r="AQ96" s="37" t="str">
        <f>DATA!BA85</f>
        <v>Pembangunan bendungan komering 110 juta cm3, pembangunan fasilitas tenaga hidrolik, komponen lunak untuk memperkuat O&amp;P, Hydropower 20,80 MW, pembangunan sistem irigasi utama dan tersier skema Lempuing untuk 8.500 Ha, dan perbaikan fasilitas irigasi yang ada</v>
      </c>
    </row>
    <row r="97" spans="1:43" ht="102">
      <c r="A97" s="10">
        <f>DATA!A86</f>
        <v>68</v>
      </c>
      <c r="B97" s="10">
        <f>DATA!B86</f>
        <v>0</v>
      </c>
      <c r="C97" s="10" t="str">
        <f>DATA!D86</f>
        <v>INFRASTRUKTUR</v>
      </c>
      <c r="D97" s="10">
        <f>DATA!E86</f>
        <v>1</v>
      </c>
      <c r="E97" s="10" t="str">
        <f>DATA!F86</f>
        <v>Kementerian Pekerjaan Umum dan Perumahan Rakyat</v>
      </c>
      <c r="F97" s="10" t="str">
        <f>DATA!H86</f>
        <v>Dam Development Program</v>
      </c>
      <c r="G97" s="10" t="str">
        <f>DATA!I86</f>
        <v>J</v>
      </c>
      <c r="H97" s="10" t="str">
        <f>DATA!J86</f>
        <v xml:space="preserve">Program Pembangunan Waduk </v>
      </c>
      <c r="I97" s="10">
        <f>DATA!K86</f>
        <v>3</v>
      </c>
      <c r="J97" s="33"/>
      <c r="K97" s="34"/>
      <c r="L97" s="34"/>
      <c r="M97" s="36">
        <f>DATA!K86</f>
        <v>3</v>
      </c>
      <c r="N97" s="37" t="str">
        <f>DATA!L86</f>
        <v>Pelosika Multipurpose Dam Construction Project</v>
      </c>
      <c r="O97" s="20">
        <f>DATA!Q86</f>
        <v>1</v>
      </c>
      <c r="P97" s="20">
        <f>DATA!R86</f>
        <v>1</v>
      </c>
      <c r="Q97" s="20">
        <f>DATA!S86</f>
        <v>59</v>
      </c>
      <c r="R97" s="77">
        <f>DATA!T86</f>
        <v>200000000</v>
      </c>
      <c r="S97" s="88">
        <f>DATA!U86</f>
        <v>200000000</v>
      </c>
      <c r="T97" s="77">
        <f>DATA!V86</f>
        <v>170000000</v>
      </c>
      <c r="U97" s="77">
        <f>DATA!W86</f>
        <v>0</v>
      </c>
      <c r="V97" s="77">
        <f>DATA!X86</f>
        <v>370000000</v>
      </c>
      <c r="W97" s="78" t="str">
        <f>DATA!Y86</f>
        <v>Rupiah Murni</v>
      </c>
      <c r="X97" s="20" t="str">
        <f>DATA!Z86</f>
        <v>Pendanaan Dengan Rupiah Murni</v>
      </c>
      <c r="Y97" s="77">
        <f>DATA!AA86</f>
        <v>200000000</v>
      </c>
      <c r="Z97" s="77">
        <f>DATA!AG86</f>
        <v>0</v>
      </c>
      <c r="AA97" s="20">
        <f>DATA!AH86</f>
        <v>2017</v>
      </c>
      <c r="AB97" s="37" t="str">
        <f>DATA!AI86</f>
        <v>-</v>
      </c>
      <c r="AC97" s="152" t="str">
        <f>DATA!AR86</f>
        <v>belum ada dokumen R/C</v>
      </c>
      <c r="AD97" s="152" t="str">
        <f>DATA!AN86</f>
        <v>dalam proses
(penyusunan FS)</v>
      </c>
      <c r="AE97" s="152" t="str">
        <f>DATA!AO86</f>
        <v>dalam proses
(perencanaan)</v>
      </c>
      <c r="AF97" s="37" t="str">
        <f>DATA!AJ86</f>
        <v>AMDAL, geologi detail 2015 dan Penyiapan Review DED</v>
      </c>
      <c r="AG97" s="37" t="str">
        <f>DATA!AK86</f>
        <v>LARAP</v>
      </c>
      <c r="AH97" s="37" t="str">
        <f>DATA!AL86</f>
        <v>-</v>
      </c>
      <c r="AI97" s="20" t="str">
        <f>DATA!AR86</f>
        <v>belum ada dokumen R/C</v>
      </c>
      <c r="AJ97" s="20" t="str">
        <f>DATA!AN86</f>
        <v>dalam proses
(penyusunan FS)</v>
      </c>
      <c r="AK97" s="20" t="str">
        <f>DATA!AO86</f>
        <v>dalam proses
(perencanaan)</v>
      </c>
      <c r="AL97" s="20" t="str">
        <f>DATA!AP86</f>
        <v>belum ada proses tender/lelang</v>
      </c>
      <c r="AM97" s="20" t="str">
        <f>DATA!AY86</f>
        <v>- Konfirmasi melalui surat Sekjen nomor KU.01.12-Sj/636 tgl 23 Oktober 2015
- Kegiatan akan dilaksanakan oleh pendanaan rupiah murni APBN</v>
      </c>
      <c r="AN97" s="20" t="e">
        <f>DATA!#REF!</f>
        <v>#REF!</v>
      </c>
      <c r="AO97" s="20">
        <f>DATA!AZ86</f>
        <v>0</v>
      </c>
      <c r="AP97" s="152" t="e">
        <f>DATA!#REF!</f>
        <v>#REF!</v>
      </c>
      <c r="AQ97" s="37"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row>
    <row r="98" spans="1:43" ht="90.75" customHeight="1">
      <c r="A98" s="10">
        <f>DATA!A87</f>
        <v>69</v>
      </c>
      <c r="B98" s="10">
        <f>DATA!B87</f>
        <v>0</v>
      </c>
      <c r="C98" s="10" t="str">
        <f>DATA!D87</f>
        <v>INFRASTRUKTUR</v>
      </c>
      <c r="D98" s="10">
        <f>DATA!E87</f>
        <v>1</v>
      </c>
      <c r="E98" s="10" t="str">
        <f>DATA!F87</f>
        <v>Kementerian Pekerjaan Umum dan Perumahan Rakyat</v>
      </c>
      <c r="F98" s="10" t="str">
        <f>DATA!H87</f>
        <v>Dam Development Program</v>
      </c>
      <c r="G98" s="10" t="str">
        <f>DATA!I87</f>
        <v>J</v>
      </c>
      <c r="H98" s="10" t="str">
        <f>DATA!J87</f>
        <v xml:space="preserve">Program Pembangunan Waduk </v>
      </c>
      <c r="I98" s="10">
        <f>DATA!K87</f>
        <v>4</v>
      </c>
      <c r="J98" s="33"/>
      <c r="K98" s="34"/>
      <c r="L98" s="34"/>
      <c r="M98" s="36">
        <f>DATA!K87</f>
        <v>4</v>
      </c>
      <c r="N98" s="37" t="str">
        <f>DATA!L87</f>
        <v>Lambakan  Dam Project</v>
      </c>
      <c r="O98" s="20">
        <f>DATA!Q87</f>
        <v>1</v>
      </c>
      <c r="P98" s="20">
        <f>DATA!R87</f>
        <v>1</v>
      </c>
      <c r="Q98" s="20">
        <f>DATA!S87</f>
        <v>60</v>
      </c>
      <c r="R98" s="77">
        <f>DATA!T87</f>
        <v>258000000</v>
      </c>
      <c r="S98" s="88">
        <f>DATA!U87</f>
        <v>258000000</v>
      </c>
      <c r="T98" s="77">
        <f>DATA!V87</f>
        <v>227000000</v>
      </c>
      <c r="U98" s="77">
        <f>DATA!W87</f>
        <v>0</v>
      </c>
      <c r="V98" s="77">
        <f>DATA!X87</f>
        <v>485000000</v>
      </c>
      <c r="W98" s="78" t="str">
        <f>DATA!Y87</f>
        <v>IDB</v>
      </c>
      <c r="X98" s="20" t="str">
        <f>DATA!Z87</f>
        <v>Multilateral</v>
      </c>
      <c r="Y98" s="77">
        <f>DATA!AA87</f>
        <v>258000000</v>
      </c>
      <c r="Z98" s="77">
        <f>DATA!AG87</f>
        <v>0</v>
      </c>
      <c r="AA98" s="20" t="str">
        <f>DATA!AH87</f>
        <v>Tanpa keterangan</v>
      </c>
      <c r="AB98" s="37" t="str">
        <f>DATA!AI87</f>
        <v>-</v>
      </c>
      <c r="AC98" s="152" t="str">
        <f>DATA!AR87</f>
        <v>belum ada dokumen R/C</v>
      </c>
      <c r="AD98" s="152" t="str">
        <f>DATA!AN87</f>
        <v>dalam proses
(penyusunan FS)</v>
      </c>
      <c r="AE98" s="152" t="str">
        <f>DATA!AO87</f>
        <v>dalam proses
(perencanaan)</v>
      </c>
      <c r="AF98" s="37" t="str">
        <f>DATA!AJ87</f>
        <v>AMDAL (2017), geologi detail 2015 dan Penyiapan Review DED</v>
      </c>
      <c r="AG98" s="37" t="str">
        <f>DATA!AK87</f>
        <v>LARAP (2016)</v>
      </c>
      <c r="AH98" s="37" t="str">
        <f>DATA!AL87</f>
        <v>-</v>
      </c>
      <c r="AI98" s="20" t="str">
        <f>DATA!AR87</f>
        <v>belum ada dokumen R/C</v>
      </c>
      <c r="AJ98" s="20" t="str">
        <f>DATA!AN87</f>
        <v>dalam proses
(penyusunan FS)</v>
      </c>
      <c r="AK98" s="20" t="str">
        <f>DATA!AO87</f>
        <v>dalam proses
(perencanaan)</v>
      </c>
      <c r="AL98" s="20" t="str">
        <f>DATA!AP87</f>
        <v>belum ada proses tender/lelang</v>
      </c>
      <c r="AM98" s="20" t="str">
        <f>DATA!AY87</f>
        <v>Konfirmasi melalui surat Sekjen nomor KU.01.12-Sj/636 tgl 23 Oktober 2015</v>
      </c>
      <c r="AN98" s="20" t="e">
        <f>DATA!#REF!</f>
        <v>#REF!</v>
      </c>
      <c r="AO98" s="20">
        <f>DATA!AZ87</f>
        <v>0</v>
      </c>
      <c r="AP98" s="152" t="e">
        <f>DATA!#REF!</f>
        <v>#REF!</v>
      </c>
      <c r="AQ98" s="37" t="str">
        <f>DATA!BA87</f>
        <v>Pembangunan PLTA sebesar 15 MW, pembangunan sistem irigasi untuk mengairi 18.000 Ha, menyediakan air baku 12 m3/det untuk Kabupaten pasir, Kabupaten  Penajam Pasir Utara dan Kota Balikpapan, 4. Pembangunan tanggul penahan banjir di DAS Telake sampai 30%</v>
      </c>
    </row>
    <row r="99" spans="1:43" ht="60.75" customHeight="1">
      <c r="A99" s="10">
        <f>DATA!A88</f>
        <v>70</v>
      </c>
      <c r="B99" s="10">
        <f>DATA!B88</f>
        <v>0</v>
      </c>
      <c r="C99" s="10" t="str">
        <f>DATA!D88</f>
        <v>INFRASTRUKTUR</v>
      </c>
      <c r="D99" s="10">
        <f>DATA!E88</f>
        <v>1</v>
      </c>
      <c r="E99" s="10" t="str">
        <f>DATA!F88</f>
        <v>Kementerian Pekerjaan Umum dan Perumahan Rakyat</v>
      </c>
      <c r="F99" s="10" t="str">
        <f>DATA!H88</f>
        <v>Dam Development Program</v>
      </c>
      <c r="G99" s="10" t="str">
        <f>DATA!I88</f>
        <v>J</v>
      </c>
      <c r="H99" s="10" t="str">
        <f>DATA!J88</f>
        <v xml:space="preserve">Program Pembangunan Waduk </v>
      </c>
      <c r="I99" s="10">
        <f>DATA!K88</f>
        <v>5</v>
      </c>
      <c r="J99" s="33"/>
      <c r="K99" s="34"/>
      <c r="L99" s="34"/>
      <c r="M99" s="36">
        <f>DATA!K88</f>
        <v>5</v>
      </c>
      <c r="N99" s="37" t="str">
        <f>DATA!L88</f>
        <v>Jenelata Dam Construction Project</v>
      </c>
      <c r="O99" s="20">
        <f>DATA!Q88</f>
        <v>1</v>
      </c>
      <c r="P99" s="20">
        <f>DATA!R88</f>
        <v>1</v>
      </c>
      <c r="Q99" s="20">
        <f>DATA!S88</f>
        <v>61</v>
      </c>
      <c r="R99" s="77">
        <f>DATA!T88</f>
        <v>200000000</v>
      </c>
      <c r="S99" s="88">
        <f>DATA!U88</f>
        <v>200000000</v>
      </c>
      <c r="T99" s="77">
        <f>DATA!V88</f>
        <v>20000000</v>
      </c>
      <c r="U99" s="77">
        <f>DATA!W88</f>
        <v>0</v>
      </c>
      <c r="V99" s="77">
        <f>DATA!X88</f>
        <v>220000000</v>
      </c>
      <c r="W99" s="78" t="str">
        <f>DATA!Y88</f>
        <v>RRT</v>
      </c>
      <c r="X99" s="20" t="str">
        <f>DATA!Z88</f>
        <v>Bilateral</v>
      </c>
      <c r="Y99" s="77">
        <f>DATA!AA88</f>
        <v>200000000</v>
      </c>
      <c r="Z99" s="77">
        <f>DATA!AG88</f>
        <v>0</v>
      </c>
      <c r="AA99" s="20">
        <f>DATA!AH88</f>
        <v>2018</v>
      </c>
      <c r="AB99" s="37" t="str">
        <f>DATA!AI88</f>
        <v>-</v>
      </c>
      <c r="AC99" s="152" t="str">
        <f>DATA!AR88</f>
        <v>belum ada dokumen R/C</v>
      </c>
      <c r="AD99" s="152" t="str">
        <f>DATA!AN88</f>
        <v>siap</v>
      </c>
      <c r="AE99" s="152" t="str">
        <f>DATA!AO88</f>
        <v>dalam proses
(perencanaan)</v>
      </c>
      <c r="AF99" s="37" t="str">
        <f>DATA!AJ88</f>
        <v>model test, penyelidikan geologi 2015, AMDAL (2015)</v>
      </c>
      <c r="AG99" s="37" t="str">
        <f>DATA!AK88</f>
        <v>LARAP (2016)</v>
      </c>
      <c r="AH99" s="37" t="str">
        <f>DATA!AL88</f>
        <v>-</v>
      </c>
      <c r="AI99" s="20" t="str">
        <f>DATA!AR88</f>
        <v>belum ada dokumen R/C</v>
      </c>
      <c r="AJ99" s="20" t="str">
        <f>DATA!AN88</f>
        <v>siap</v>
      </c>
      <c r="AK99" s="20" t="str">
        <f>DATA!AO88</f>
        <v>dalam proses
(perencanaan)</v>
      </c>
      <c r="AL99" s="20" t="str">
        <f>DATA!AP88</f>
        <v>belum ada proses tender/lelang</v>
      </c>
      <c r="AM99" s="20" t="str">
        <f>DATA!AY88</f>
        <v>Konfirmasi melalui surat Sekjen nomor KU.01.12-Sj/636 tgl 23 Oktober 2015</v>
      </c>
      <c r="AN99" s="20" t="e">
        <f>DATA!#REF!</f>
        <v>#REF!</v>
      </c>
      <c r="AO99" s="20">
        <f>DATA!AZ88</f>
        <v>0</v>
      </c>
      <c r="AP99" s="152" t="e">
        <f>DATA!#REF!</f>
        <v>#REF!</v>
      </c>
      <c r="AQ99" s="37" t="str">
        <f>DATA!BA88</f>
        <v>Membangun bendungan 223 juta m3, melakukan rehabilitasi jalan, membangun fasilitas PLTA ± 10,9 MW untuk kebutuhan energi listrik Kab.Gowa, perbaikan dan peningkatan jaringan irigasi 24.400 ha</v>
      </c>
    </row>
    <row r="100" spans="1:43" ht="48" customHeight="1">
      <c r="A100" s="10">
        <f>DATA!A89</f>
        <v>71</v>
      </c>
      <c r="B100" s="10">
        <f>DATA!B89</f>
        <v>0</v>
      </c>
      <c r="C100" s="10" t="str">
        <f>DATA!D89</f>
        <v>INFRASTRUKTUR</v>
      </c>
      <c r="D100" s="10">
        <f>DATA!E89</f>
        <v>1</v>
      </c>
      <c r="E100" s="10" t="str">
        <f>DATA!F89</f>
        <v>Kementerian Pekerjaan Umum dan Perumahan Rakyat</v>
      </c>
      <c r="F100" s="10" t="str">
        <f>DATA!H89</f>
        <v>Dam Development Program</v>
      </c>
      <c r="G100" s="10" t="str">
        <f>DATA!I89</f>
        <v>J</v>
      </c>
      <c r="H100" s="10" t="str">
        <f>DATA!J89</f>
        <v xml:space="preserve">Program Pembangunan Waduk </v>
      </c>
      <c r="I100" s="10">
        <f>DATA!K89</f>
        <v>6</v>
      </c>
      <c r="J100" s="33"/>
      <c r="K100" s="34"/>
      <c r="L100" s="34"/>
      <c r="M100" s="36">
        <f>DATA!K89</f>
        <v>6</v>
      </c>
      <c r="N100" s="37" t="str">
        <f>DATA!L89</f>
        <v>Bonehulu Dam Construction Project</v>
      </c>
      <c r="O100" s="20">
        <f>DATA!Q89</f>
        <v>1</v>
      </c>
      <c r="P100" s="20">
        <f>DATA!R89</f>
        <v>1</v>
      </c>
      <c r="Q100" s="20">
        <f>DATA!S89</f>
        <v>62</v>
      </c>
      <c r="R100" s="77">
        <f>DATA!T89</f>
        <v>128250000</v>
      </c>
      <c r="S100" s="88">
        <f>DATA!U89</f>
        <v>128250000</v>
      </c>
      <c r="T100" s="77">
        <f>DATA!V89</f>
        <v>21000000</v>
      </c>
      <c r="U100" s="77">
        <f>DATA!W89</f>
        <v>0</v>
      </c>
      <c r="V100" s="77">
        <f>DATA!X89</f>
        <v>149250000</v>
      </c>
      <c r="W100" s="78" t="str">
        <f>DATA!Y89</f>
        <v>RRT</v>
      </c>
      <c r="X100" s="20" t="str">
        <f>DATA!Z89</f>
        <v>Bilateral</v>
      </c>
      <c r="Y100" s="77">
        <f>DATA!AA89</f>
        <v>128250000</v>
      </c>
      <c r="Z100" s="77">
        <f>DATA!AG89</f>
        <v>0</v>
      </c>
      <c r="AA100" s="20">
        <f>DATA!AH89</f>
        <v>2019</v>
      </c>
      <c r="AB100" s="37" t="str">
        <f>DATA!AI89</f>
        <v>-</v>
      </c>
      <c r="AC100" s="152" t="str">
        <f>DATA!AR89</f>
        <v>belum ada dokumen R/C</v>
      </c>
      <c r="AD100" s="152" t="str">
        <f>DATA!AN89</f>
        <v>dalam proses
(penyusunan FS)</v>
      </c>
      <c r="AE100" s="152" t="str">
        <f>DATA!AO89</f>
        <v>dalam proses
(perencanaan)</v>
      </c>
      <c r="AF100" s="37" t="str">
        <f>DATA!AJ89</f>
        <v>DD, model test, penyelidikan geologi 2015, AMDAL (2017)</v>
      </c>
      <c r="AG100" s="37" t="str">
        <f>DATA!AK89</f>
        <v>LARAP (2015)</v>
      </c>
      <c r="AH100" s="37" t="str">
        <f>DATA!AL89</f>
        <v>-</v>
      </c>
      <c r="AI100" s="20" t="str">
        <f>DATA!AR89</f>
        <v>belum ada dokumen R/C</v>
      </c>
      <c r="AJ100" s="20" t="str">
        <f>DATA!AN89</f>
        <v>dalam proses
(penyusunan FS)</v>
      </c>
      <c r="AK100" s="20" t="str">
        <f>DATA!AO89</f>
        <v>dalam proses
(perencanaan)</v>
      </c>
      <c r="AL100" s="20" t="str">
        <f>DATA!AP89</f>
        <v>belum ada proses tender/lelang</v>
      </c>
      <c r="AM100" s="20" t="str">
        <f>DATA!AY89</f>
        <v>Konfirmasi melalui surat Sekjen nomor KU.01.12-Sj/636 tgl 23 Oktober 2015</v>
      </c>
      <c r="AN100" s="20" t="e">
        <f>DATA!#REF!</f>
        <v>#REF!</v>
      </c>
      <c r="AO100" s="20">
        <f>DATA!AZ89</f>
        <v>0</v>
      </c>
      <c r="AP100" s="152" t="e">
        <f>DATA!#REF!</f>
        <v>#REF!</v>
      </c>
      <c r="AQ100" s="37" t="str">
        <f>DATA!BA89</f>
        <v>Pembangunan PLTA sebesar 9,99 MW, Pembangunan sistem irigasi mengairi 6.800 Ha</v>
      </c>
    </row>
    <row r="101" spans="1:43" ht="59.25" customHeight="1">
      <c r="A101" s="10">
        <f>DATA!A90</f>
        <v>72</v>
      </c>
      <c r="B101" s="10">
        <f>DATA!B90</f>
        <v>0</v>
      </c>
      <c r="C101" s="10" t="str">
        <f>DATA!D90</f>
        <v>INFRASTRUKTUR</v>
      </c>
      <c r="D101" s="10">
        <f>DATA!E90</f>
        <v>1</v>
      </c>
      <c r="E101" s="10" t="str">
        <f>DATA!F90</f>
        <v>Kementerian Pekerjaan Umum dan Perumahan Rakyat</v>
      </c>
      <c r="F101" s="10" t="str">
        <f>DATA!H90</f>
        <v>Dam Development Program</v>
      </c>
      <c r="G101" s="10" t="str">
        <f>DATA!I90</f>
        <v>J</v>
      </c>
      <c r="H101" s="10" t="str">
        <f>DATA!J90</f>
        <v xml:space="preserve">Program Pembangunan Waduk </v>
      </c>
      <c r="I101" s="10">
        <f>DATA!K90</f>
        <v>7</v>
      </c>
      <c r="J101" s="33"/>
      <c r="K101" s="34"/>
      <c r="L101" s="34"/>
      <c r="M101" s="36">
        <f>DATA!K90</f>
        <v>7</v>
      </c>
      <c r="N101" s="37" t="str">
        <f>DATA!L90</f>
        <v>Ladongi Dam Construction Project</v>
      </c>
      <c r="O101" s="20">
        <f>DATA!Q90</f>
        <v>1</v>
      </c>
      <c r="P101" s="20">
        <f>DATA!R90</f>
        <v>1</v>
      </c>
      <c r="Q101" s="20">
        <f>DATA!S90</f>
        <v>63</v>
      </c>
      <c r="R101" s="77">
        <f>DATA!T90</f>
        <v>70000000</v>
      </c>
      <c r="S101" s="88">
        <f>DATA!U90</f>
        <v>70000000</v>
      </c>
      <c r="T101" s="77">
        <f>DATA!V90</f>
        <v>7000000</v>
      </c>
      <c r="U101" s="77">
        <f>DATA!W90</f>
        <v>0</v>
      </c>
      <c r="V101" s="77">
        <f>DATA!X90</f>
        <v>77000000</v>
      </c>
      <c r="W101" s="78" t="str">
        <f>DATA!Y90</f>
        <v>RRT</v>
      </c>
      <c r="X101" s="20" t="str">
        <f>DATA!Z90</f>
        <v>Bilateral</v>
      </c>
      <c r="Y101" s="77">
        <f>DATA!AA90</f>
        <v>70000000</v>
      </c>
      <c r="Z101" s="77">
        <f>DATA!AG90</f>
        <v>0</v>
      </c>
      <c r="AA101" s="20">
        <f>DATA!AH90</f>
        <v>2017</v>
      </c>
      <c r="AB101" s="37" t="str">
        <f>DATA!AI90</f>
        <v>-</v>
      </c>
      <c r="AC101" s="152" t="str">
        <f>DATA!AR90</f>
        <v>belum ada dokumen R/C</v>
      </c>
      <c r="AD101" s="152" t="str">
        <f>DATA!AN90</f>
        <v>siap</v>
      </c>
      <c r="AE101" s="152" t="str">
        <f>DATA!AO90</f>
        <v>dalam proses
(perencanaan)</v>
      </c>
      <c r="AF101" s="37" t="str">
        <f>DATA!AJ90</f>
        <v>SID, AMDAL (2015), penyelidikan geologi, DD, model test 2015</v>
      </c>
      <c r="AG101" s="37" t="str">
        <f>DATA!AK90</f>
        <v>LARAP (2015)</v>
      </c>
      <c r="AH101" s="37" t="str">
        <f>DATA!AL90</f>
        <v>-</v>
      </c>
      <c r="AI101" s="20" t="str">
        <f>DATA!AR90</f>
        <v>belum ada dokumen R/C</v>
      </c>
      <c r="AJ101" s="20" t="str">
        <f>DATA!AN90</f>
        <v>siap</v>
      </c>
      <c r="AK101" s="20" t="str">
        <f>DATA!AO90</f>
        <v>dalam proses
(perencanaan)</v>
      </c>
      <c r="AL101" s="20" t="str">
        <f>DATA!AP90</f>
        <v>belum ada proses tender/lelang</v>
      </c>
      <c r="AM101" s="20" t="str">
        <f>DATA!AY90</f>
        <v>Konfirmasi melalui surat Sekjen nomor KU.01.12-Sj/636 tgl 23 Oktober 2015</v>
      </c>
      <c r="AN101" s="20" t="e">
        <f>DATA!#REF!</f>
        <v>#REF!</v>
      </c>
      <c r="AO101" s="20">
        <f>DATA!AZ90</f>
        <v>0</v>
      </c>
      <c r="AP101" s="152" t="e">
        <f>DATA!#REF!</f>
        <v>#REF!</v>
      </c>
      <c r="AQ101" s="37" t="str">
        <f>DATA!BA90</f>
        <v>Membangun bendungan 25,57 juta m3  dan fasilitas pendukungnya, Melakukan rehabilitasi jalan akses, Membangun PLTA 1,15 MW untuk  Kab.Kolaka Timur dan Perbaikan jaringan irigasi</v>
      </c>
    </row>
    <row r="102" spans="1:43" ht="80.25" customHeight="1">
      <c r="A102" s="10">
        <f>DATA!A91</f>
        <v>73</v>
      </c>
      <c r="B102" s="10">
        <f>DATA!B91</f>
        <v>0</v>
      </c>
      <c r="C102" s="10" t="str">
        <f>DATA!D91</f>
        <v>INFRASTRUKTUR</v>
      </c>
      <c r="D102" s="10">
        <f>DATA!E91</f>
        <v>1</v>
      </c>
      <c r="E102" s="10" t="str">
        <f>DATA!F91</f>
        <v>Kementerian Pekerjaan Umum dan Perumahan Rakyat</v>
      </c>
      <c r="F102" s="10" t="str">
        <f>DATA!H91</f>
        <v>Dam Development Program</v>
      </c>
      <c r="G102" s="10" t="str">
        <f>DATA!I91</f>
        <v>J</v>
      </c>
      <c r="H102" s="10" t="str">
        <f>DATA!J91</f>
        <v xml:space="preserve">Program Pembangunan Waduk </v>
      </c>
      <c r="I102" s="10">
        <f>DATA!K91</f>
        <v>8</v>
      </c>
      <c r="J102" s="33"/>
      <c r="K102" s="34"/>
      <c r="L102" s="34"/>
      <c r="M102" s="36">
        <f>DATA!K91</f>
        <v>8</v>
      </c>
      <c r="N102" s="37" t="str">
        <f>DATA!L91</f>
        <v>Kuwil Kawangkoan Dam Construction Project</v>
      </c>
      <c r="O102" s="20">
        <f>DATA!Q91</f>
        <v>1</v>
      </c>
      <c r="P102" s="20">
        <f>DATA!R91</f>
        <v>1</v>
      </c>
      <c r="Q102" s="20">
        <f>DATA!S91</f>
        <v>64</v>
      </c>
      <c r="R102" s="77">
        <f>DATA!T91</f>
        <v>110000000</v>
      </c>
      <c r="S102" s="88">
        <f>DATA!U91</f>
        <v>110000000</v>
      </c>
      <c r="T102" s="77">
        <f>DATA!V91</f>
        <v>11000000</v>
      </c>
      <c r="U102" s="77">
        <f>DATA!W91</f>
        <v>0</v>
      </c>
      <c r="V102" s="77">
        <f>DATA!X91</f>
        <v>121000000</v>
      </c>
      <c r="W102" s="78" t="str">
        <f>DATA!Y91</f>
        <v>Rupiah Murni</v>
      </c>
      <c r="X102" s="20" t="str">
        <f>DATA!Z91</f>
        <v>Pendanaan Dengan Rupiah Murni</v>
      </c>
      <c r="Y102" s="77">
        <f>DATA!AA91</f>
        <v>110000000</v>
      </c>
      <c r="Z102" s="77">
        <f>DATA!AG91</f>
        <v>0</v>
      </c>
      <c r="AA102" s="20">
        <f>DATA!AH91</f>
        <v>2016</v>
      </c>
      <c r="AB102" s="37" t="str">
        <f>DATA!AI91</f>
        <v>-</v>
      </c>
      <c r="AC102" s="152" t="str">
        <f>DATA!AR91</f>
        <v>belum ada dokumen R/C</v>
      </c>
      <c r="AD102" s="152" t="str">
        <f>DATA!AN91</f>
        <v>dalam proses
(penyusunan FS)</v>
      </c>
      <c r="AE102" s="152" t="str">
        <f>DATA!AO91</f>
        <v>dalam proses
(perencanaan)</v>
      </c>
      <c r="AF102" s="37" t="str">
        <f>DATA!AJ91</f>
        <v>Sertifikasi desain, penyelidikan geologi, AMDAL</v>
      </c>
      <c r="AG102" s="37" t="str">
        <f>DATA!AK91</f>
        <v>LARAP</v>
      </c>
      <c r="AH102" s="37" t="str">
        <f>DATA!AL91</f>
        <v>Dalam proses tender</v>
      </c>
      <c r="AI102" s="20" t="str">
        <f>DATA!AR91</f>
        <v>belum ada dokumen R/C</v>
      </c>
      <c r="AJ102" s="20" t="str">
        <f>DATA!AN91</f>
        <v>dalam proses
(penyusunan FS)</v>
      </c>
      <c r="AK102" s="20" t="str">
        <f>DATA!AO91</f>
        <v>dalam proses
(perencanaan)</v>
      </c>
      <c r="AL102" s="20" t="str">
        <f>DATA!AP91</f>
        <v>belum ada proses tender/lelang</v>
      </c>
      <c r="AM102" s="20" t="str">
        <f>DATA!AY91</f>
        <v>- Konfirmasi melalui surat Sekjen nomor KU.01.12-Sj/636 tgl 23 Oktober 2015
- Kegiatan akan dilaksanakan oleh pendanaan rupiah murni APBN</v>
      </c>
      <c r="AN102" s="20" t="e">
        <f>DATA!#REF!</f>
        <v>#REF!</v>
      </c>
      <c r="AO102" s="20">
        <f>DATA!AZ91</f>
        <v>0</v>
      </c>
      <c r="AP102" s="152" t="e">
        <f>DATA!#REF!</f>
        <v>#REF!</v>
      </c>
      <c r="AQ102" s="37" t="str">
        <f>DATA!BA91</f>
        <v>Melakukan konservasi sumber daya air, pelestarian lingkungan, dan pengendalian banjir, Membangun bendungan dan fasilitas pendukungnya, Melakukan rehabilitasi jalan akses , Membangun fasilitas PLTA ± 1.3 MW untuk provinsi Sulawesi Utara</v>
      </c>
    </row>
    <row r="103" spans="1:43" ht="74.25" customHeight="1">
      <c r="A103" s="10">
        <f>DATA!A92</f>
        <v>74</v>
      </c>
      <c r="B103" s="10">
        <f>DATA!B92</f>
        <v>0</v>
      </c>
      <c r="C103" s="10" t="str">
        <f>DATA!D92</f>
        <v>INFRASTRUKTUR</v>
      </c>
      <c r="D103" s="10">
        <f>DATA!E92</f>
        <v>1</v>
      </c>
      <c r="E103" s="10" t="str">
        <f>DATA!F92</f>
        <v>Kementerian Pekerjaan Umum dan Perumahan Rakyat</v>
      </c>
      <c r="F103" s="10" t="str">
        <f>DATA!H92</f>
        <v>Dam Development Program</v>
      </c>
      <c r="G103" s="10" t="str">
        <f>DATA!I92</f>
        <v>J</v>
      </c>
      <c r="H103" s="10" t="str">
        <f>DATA!J92</f>
        <v xml:space="preserve">Program Pembangunan Waduk </v>
      </c>
      <c r="I103" s="10">
        <f>DATA!K92</f>
        <v>9</v>
      </c>
      <c r="J103" s="33"/>
      <c r="K103" s="34"/>
      <c r="L103" s="34"/>
      <c r="M103" s="36">
        <f>DATA!K92</f>
        <v>9</v>
      </c>
      <c r="N103" s="37" t="str">
        <f>DATA!L92</f>
        <v>Lompatan Harimau Dam Construction Project (Rokan Kiri Dam Construction Project)</v>
      </c>
      <c r="O103" s="20">
        <f>DATA!Q92</f>
        <v>1</v>
      </c>
      <c r="P103" s="20">
        <f>DATA!R92</f>
        <v>1</v>
      </c>
      <c r="Q103" s="20">
        <f>DATA!S92</f>
        <v>65</v>
      </c>
      <c r="R103" s="77">
        <f>DATA!T92</f>
        <v>152100000</v>
      </c>
      <c r="S103" s="88">
        <f>DATA!U92</f>
        <v>152100000</v>
      </c>
      <c r="T103" s="77">
        <f>DATA!V92</f>
        <v>26500000</v>
      </c>
      <c r="U103" s="77">
        <f>DATA!W92</f>
        <v>0</v>
      </c>
      <c r="V103" s="77">
        <f>DATA!X92</f>
        <v>178600000</v>
      </c>
      <c r="W103" s="78" t="str">
        <f>DATA!Y92</f>
        <v>RRT</v>
      </c>
      <c r="X103" s="20" t="str">
        <f>DATA!Z92</f>
        <v>Bilateral</v>
      </c>
      <c r="Y103" s="77">
        <f>DATA!AA92</f>
        <v>152100000</v>
      </c>
      <c r="Z103" s="77">
        <f>DATA!AG92</f>
        <v>0</v>
      </c>
      <c r="AA103" s="20">
        <f>DATA!AH92</f>
        <v>2018</v>
      </c>
      <c r="AB103" s="37" t="str">
        <f>DATA!AI92</f>
        <v>-</v>
      </c>
      <c r="AC103" s="152" t="str">
        <f>DATA!AR92</f>
        <v>belum ada dokumen R/C</v>
      </c>
      <c r="AD103" s="152" t="str">
        <f>DATA!AN92</f>
        <v>dalam proses
(memiliki FS)</v>
      </c>
      <c r="AE103" s="152" t="str">
        <f>DATA!AO92</f>
        <v>dalam proses
(perencanaan)</v>
      </c>
      <c r="AF103" s="37" t="str">
        <f>DATA!AJ92</f>
        <v>FS (2015), DED (2016), AMDAL (2016)</v>
      </c>
      <c r="AG103" s="37" t="str">
        <f>DATA!AK92</f>
        <v>LARAP (2015)</v>
      </c>
      <c r="AH103" s="37" t="str">
        <f>DATA!AL92</f>
        <v>-</v>
      </c>
      <c r="AI103" s="20" t="str">
        <f>DATA!AR92</f>
        <v>belum ada dokumen R/C</v>
      </c>
      <c r="AJ103" s="20" t="str">
        <f>DATA!AN92</f>
        <v>dalam proses
(memiliki FS)</v>
      </c>
      <c r="AK103" s="20" t="str">
        <f>DATA!AO92</f>
        <v>dalam proses
(perencanaan)</v>
      </c>
      <c r="AL103" s="20" t="str">
        <f>DATA!AP92</f>
        <v>belum ada proses tender/lelang</v>
      </c>
      <c r="AM103" s="20" t="str">
        <f>DATA!AY92</f>
        <v>- Konfirmasi melalui surat Sekjen nomor KU.01.12-Sj/636 tgl 23 Oktober 2015
- Nama kegiatan diusulkan untuk diubah menjadi Rokan Kiri Dam Construction Project</v>
      </c>
      <c r="AN103" s="20" t="e">
        <f>DATA!#REF!</f>
        <v>#REF!</v>
      </c>
      <c r="AO103" s="20">
        <f>DATA!AZ92</f>
        <v>0</v>
      </c>
      <c r="AP103" s="152" t="e">
        <f>DATA!#REF!</f>
        <v>#REF!</v>
      </c>
      <c r="AQ103" s="37" t="str">
        <f>DATA!BA92</f>
        <v>Membangun bendungan dan fasilitas pendukungnya untuk kebutuhan irigasi seluas 4000 Ha, Melakukan konservasi SDA, pelestarian lingkungan, dan pengendalian banjir dan Membangun fasilitas PLTA ± 74,40 MW untuk Kab.Rokan</v>
      </c>
    </row>
    <row r="104" spans="1:43" ht="106.5" customHeight="1">
      <c r="A104" s="10">
        <f>DATA!A93</f>
        <v>75</v>
      </c>
      <c r="B104" s="10">
        <f>DATA!B93</f>
        <v>0</v>
      </c>
      <c r="C104" s="10" t="str">
        <f>DATA!D93</f>
        <v>INFRASTRUKTUR</v>
      </c>
      <c r="D104" s="10">
        <f>DATA!E93</f>
        <v>1</v>
      </c>
      <c r="E104" s="10" t="str">
        <f>DATA!F93</f>
        <v>Kementerian Pekerjaan Umum dan Perumahan Rakyat</v>
      </c>
      <c r="F104" s="10" t="str">
        <f>DATA!H93</f>
        <v>Dam Development Program</v>
      </c>
      <c r="G104" s="10" t="str">
        <f>DATA!I93</f>
        <v>J</v>
      </c>
      <c r="H104" s="10" t="str">
        <f>DATA!J93</f>
        <v xml:space="preserve">Program Pembangunan Waduk </v>
      </c>
      <c r="I104" s="10">
        <f>DATA!K93</f>
        <v>10</v>
      </c>
      <c r="J104" s="33"/>
      <c r="K104" s="34"/>
      <c r="L104" s="34"/>
      <c r="M104" s="36">
        <f>DATA!K93</f>
        <v>10</v>
      </c>
      <c r="N104" s="37" t="str">
        <f>DATA!L93</f>
        <v>Engineering Service for Dam Multipurpose Development Project</v>
      </c>
      <c r="O104" s="20">
        <f>DATA!Q93</f>
        <v>0</v>
      </c>
      <c r="P104" s="20">
        <f>DATA!R93</f>
        <v>1</v>
      </c>
      <c r="Q104" s="20">
        <f>DATA!S93</f>
        <v>66</v>
      </c>
      <c r="R104" s="77">
        <f>DATA!T93</f>
        <v>100000000</v>
      </c>
      <c r="S104" s="88">
        <f>DATA!U93</f>
        <v>100000000</v>
      </c>
      <c r="T104" s="77">
        <f>DATA!V93</f>
        <v>0</v>
      </c>
      <c r="U104" s="77">
        <f>DATA!W93</f>
        <v>0</v>
      </c>
      <c r="V104" s="77">
        <f>DATA!X93</f>
        <v>100000000</v>
      </c>
      <c r="W104" s="77">
        <f>DATA!Y93</f>
        <v>0</v>
      </c>
      <c r="X104" s="77">
        <f>DATA!Z93</f>
        <v>0</v>
      </c>
      <c r="Y104" s="77">
        <f>DATA!AA93</f>
        <v>100000000</v>
      </c>
      <c r="Z104" s="77">
        <f>DATA!AG93</f>
        <v>-76391404</v>
      </c>
      <c r="AA104" s="77" t="str">
        <f>DATA!AH93</f>
        <v>-</v>
      </c>
      <c r="AB104" s="77">
        <f>DATA!AI93</f>
        <v>0</v>
      </c>
      <c r="AC104" s="152" t="str">
        <f>DATA!AM93</f>
        <v>-</v>
      </c>
      <c r="AD104" s="152" t="str">
        <f>DATA!AN93</f>
        <v>-</v>
      </c>
      <c r="AE104" s="152" t="str">
        <f>DATA!AO93</f>
        <v>-</v>
      </c>
      <c r="AF104" s="77">
        <f>DATA!AJ93</f>
        <v>0</v>
      </c>
      <c r="AG104" s="77">
        <f>DATA!AK93</f>
        <v>0</v>
      </c>
      <c r="AH104" s="77">
        <f>DATA!AL93</f>
        <v>0</v>
      </c>
      <c r="AI104" s="77" t="str">
        <f>DATA!AM93</f>
        <v>-</v>
      </c>
      <c r="AJ104" s="104" t="str">
        <f>DATA!AN93</f>
        <v>-</v>
      </c>
      <c r="AK104" s="104" t="str">
        <f>DATA!AO93</f>
        <v>-</v>
      </c>
      <c r="AL104" s="104">
        <f>DATA!AP93</f>
        <v>0</v>
      </c>
      <c r="AM104" s="20" t="str">
        <f>DATA!AY93</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104" s="20" t="e">
        <f>DATA!#REF!</f>
        <v>#REF!</v>
      </c>
      <c r="AO104" s="20">
        <f>DATA!AZ93</f>
        <v>0</v>
      </c>
      <c r="AP104" s="152" t="e">
        <f>DATA!#REF!</f>
        <v>#REF!</v>
      </c>
      <c r="AQ104" s="37" t="str">
        <f>DATA!BA93</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5" spans="1:43" s="6" customFormat="1" ht="106.5" customHeight="1">
      <c r="J105" s="38"/>
      <c r="K105" s="39"/>
      <c r="L105" s="39"/>
      <c r="M105" s="72"/>
      <c r="N105" s="67" t="str">
        <f>DATA!L94</f>
        <v>Engineering Service for Dam Multipurpose Development Project</v>
      </c>
      <c r="O105" s="42">
        <f>DATA!Q94</f>
        <v>0.33333333333333298</v>
      </c>
      <c r="P105" s="42">
        <f>DATA!R94</f>
        <v>0</v>
      </c>
      <c r="Q105" s="42">
        <f>DATA!S94</f>
        <v>66</v>
      </c>
      <c r="R105" s="83">
        <f>DATA!T94</f>
        <v>0</v>
      </c>
      <c r="S105" s="88">
        <f>DATA!U94</f>
        <v>0</v>
      </c>
      <c r="T105" s="83">
        <f>DATA!V94</f>
        <v>0</v>
      </c>
      <c r="U105" s="83">
        <f>DATA!W94</f>
        <v>0</v>
      </c>
      <c r="V105" s="83">
        <f>DATA!X94</f>
        <v>0</v>
      </c>
      <c r="W105" s="84" t="str">
        <f>DATA!Y94</f>
        <v>ADB</v>
      </c>
      <c r="X105" s="42" t="str">
        <f>DATA!Z94</f>
        <v>Multilateral</v>
      </c>
      <c r="Y105" s="83">
        <f>DATA!AA94</f>
        <v>1930000</v>
      </c>
      <c r="Z105" s="83">
        <f>DATA!AG94</f>
        <v>0</v>
      </c>
      <c r="AA105" s="42">
        <f>DATA!AH94</f>
        <v>2016</v>
      </c>
      <c r="AB105" s="67" t="str">
        <f>DATA!AI94</f>
        <v>- Sudah ada RC
- Green Book 2015</v>
      </c>
      <c r="AC105" s="152" t="str">
        <f>DATA!AM94</f>
        <v>2016; 2015</v>
      </c>
      <c r="AD105" s="152" t="str">
        <f>DATA!AN94</f>
        <v>siap</v>
      </c>
      <c r="AE105" s="152" t="str">
        <f>DATA!AO94</f>
        <v>tidak butuh lahan</v>
      </c>
      <c r="AF105" s="67" t="str">
        <f>DATA!AJ94</f>
        <v>FS, DED</v>
      </c>
      <c r="AG105" s="67" t="str">
        <f>DATA!AK94</f>
        <v>Tidak membutuhkan lahan</v>
      </c>
      <c r="AH105" s="67" t="str">
        <f>DATA!AL94</f>
        <v>Belum ada tender/lelang</v>
      </c>
      <c r="AI105" s="42" t="str">
        <f>DATA!AM94</f>
        <v>2016; 2015</v>
      </c>
      <c r="AJ105" s="42" t="str">
        <f>DATA!AN94</f>
        <v>siap</v>
      </c>
      <c r="AK105" s="42" t="str">
        <f>DATA!AO94</f>
        <v>tidak butuh lahan</v>
      </c>
      <c r="AL105" s="42" t="str">
        <f>DATA!AP94</f>
        <v>belum ada proses tender/lelang</v>
      </c>
      <c r="AM105" s="42"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105" s="42" t="e">
        <f>DATA!#REF!</f>
        <v>#REF!</v>
      </c>
      <c r="AO105" s="42">
        <f>DATA!AZ94</f>
        <v>0</v>
      </c>
      <c r="AP105" s="152" t="e">
        <f>DATA!#REF!</f>
        <v>#REF!</v>
      </c>
      <c r="AQ105" s="67"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6" spans="1:43" s="6" customFormat="1" ht="106.5" customHeight="1">
      <c r="J106" s="38"/>
      <c r="K106" s="39"/>
      <c r="L106" s="39"/>
      <c r="M106" s="72"/>
      <c r="N106" s="67" t="str">
        <f>DATA!L95</f>
        <v>Engineering Service for Dam Multipurpose Development Project</v>
      </c>
      <c r="O106" s="42">
        <f>DATA!Q95</f>
        <v>0.33333333333333298</v>
      </c>
      <c r="P106" s="42">
        <f>DATA!R95</f>
        <v>0</v>
      </c>
      <c r="Q106" s="42">
        <f>DATA!S95</f>
        <v>66</v>
      </c>
      <c r="R106" s="83">
        <f>DATA!T95</f>
        <v>0</v>
      </c>
      <c r="S106" s="88">
        <f>DATA!U95</f>
        <v>0</v>
      </c>
      <c r="T106" s="83">
        <f>DATA!V95</f>
        <v>0</v>
      </c>
      <c r="U106" s="83">
        <f>DATA!W95</f>
        <v>0</v>
      </c>
      <c r="V106" s="83">
        <f>DATA!X95</f>
        <v>0</v>
      </c>
      <c r="W106" s="84" t="str">
        <f>DATA!Y95</f>
        <v>Korea</v>
      </c>
      <c r="X106" s="42" t="str">
        <f>DATA!Z95</f>
        <v>Bilateral</v>
      </c>
      <c r="Y106" s="83">
        <f>DATA!AA95</f>
        <v>21678596</v>
      </c>
      <c r="Z106" s="83">
        <f>DATA!AG95</f>
        <v>0</v>
      </c>
      <c r="AA106" s="42">
        <f>DATA!AH95</f>
        <v>2016</v>
      </c>
      <c r="AB106" s="67" t="str">
        <f>DATA!AI95</f>
        <v>- Sudah ada RC
- Diusulkan GB 2016</v>
      </c>
      <c r="AC106" s="152">
        <f>DATA!AM95</f>
        <v>2016</v>
      </c>
      <c r="AD106" s="152" t="str">
        <f>DATA!AN95</f>
        <v>siap</v>
      </c>
      <c r="AE106" s="152" t="str">
        <f>DATA!AO95</f>
        <v>tidak butuh lahan</v>
      </c>
      <c r="AF106" s="67" t="str">
        <f>DATA!AJ95</f>
        <v>FS, DED</v>
      </c>
      <c r="AG106" s="67" t="str">
        <f>DATA!AK95</f>
        <v>Tidak membutuhkan lahan</v>
      </c>
      <c r="AH106" s="67" t="str">
        <f>DATA!AL95</f>
        <v>Belum ada tender/lelang</v>
      </c>
      <c r="AI106" s="42">
        <f>DATA!AM95</f>
        <v>2016</v>
      </c>
      <c r="AJ106" s="42" t="str">
        <f>DATA!AN95</f>
        <v>siap</v>
      </c>
      <c r="AK106" s="42" t="str">
        <f>DATA!AO95</f>
        <v>tidak butuh lahan</v>
      </c>
      <c r="AL106" s="42" t="str">
        <f>DATA!AP95</f>
        <v>belum ada proses tender/lelang</v>
      </c>
      <c r="AM106" s="42"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106" s="42" t="e">
        <f>DATA!#REF!</f>
        <v>#REF!</v>
      </c>
      <c r="AO106" s="42">
        <f>DATA!AZ95</f>
        <v>0</v>
      </c>
      <c r="AP106" s="152" t="e">
        <f>DATA!#REF!</f>
        <v>#REF!</v>
      </c>
      <c r="AQ106" s="67"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7" spans="1:43" s="6" customFormat="1" ht="106.5" customHeight="1">
      <c r="J107" s="38"/>
      <c r="K107" s="39"/>
      <c r="L107" s="39"/>
      <c r="M107" s="72"/>
      <c r="N107" s="67" t="str">
        <f>DATA!L96</f>
        <v>Engineering Service for Dam Multipurpose Development Project</v>
      </c>
      <c r="O107" s="42">
        <f>DATA!Q96</f>
        <v>0.33333333333333298</v>
      </c>
      <c r="P107" s="42">
        <f>DATA!R96</f>
        <v>0</v>
      </c>
      <c r="Q107" s="42">
        <f>DATA!S96</f>
        <v>66</v>
      </c>
      <c r="R107" s="83">
        <f>DATA!T96</f>
        <v>0</v>
      </c>
      <c r="S107" s="88">
        <f>DATA!U96</f>
        <v>0</v>
      </c>
      <c r="T107" s="83">
        <f>DATA!V96</f>
        <v>0</v>
      </c>
      <c r="U107" s="83">
        <f>DATA!W96</f>
        <v>0</v>
      </c>
      <c r="V107" s="83">
        <f>DATA!X96</f>
        <v>0</v>
      </c>
      <c r="W107" s="84" t="str">
        <f>DATA!Y96</f>
        <v>Belum Ada Indikasi</v>
      </c>
      <c r="X107" s="42" t="str">
        <f>DATA!Z96</f>
        <v>Belum Ada Indikasi</v>
      </c>
      <c r="Y107" s="83">
        <f>DATA!AA96</f>
        <v>76391404</v>
      </c>
      <c r="Z107" s="83">
        <f>DATA!AG96</f>
        <v>-76391404</v>
      </c>
      <c r="AA107" s="42" t="str">
        <f>DATA!AH96</f>
        <v>Tanpa keterangan</v>
      </c>
      <c r="AB107" s="67" t="str">
        <f>DATA!AI96</f>
        <v>-</v>
      </c>
      <c r="AC107" s="152">
        <f>DATA!AM96</f>
        <v>0</v>
      </c>
      <c r="AD107" s="152" t="str">
        <f>DATA!AN96</f>
        <v>belum ada keterangan</v>
      </c>
      <c r="AE107" s="152" t="str">
        <f>DATA!AO96</f>
        <v>belum ada keterangan</v>
      </c>
      <c r="AF107" s="67" t="str">
        <f>DATA!AJ96</f>
        <v>-</v>
      </c>
      <c r="AG107" s="67" t="str">
        <f>DATA!AK96</f>
        <v>-</v>
      </c>
      <c r="AH107" s="67" t="str">
        <f>DATA!AL96</f>
        <v>-</v>
      </c>
      <c r="AI107" s="42"/>
      <c r="AJ107" s="42"/>
      <c r="AK107" s="42"/>
      <c r="AL107" s="42"/>
      <c r="AM107" s="42"/>
      <c r="AN107" s="42"/>
      <c r="AO107" s="42"/>
      <c r="AP107" s="152" t="e">
        <f>DATA!#REF!</f>
        <v>#REF!</v>
      </c>
      <c r="AQ107" s="67"/>
    </row>
    <row r="108" spans="1:43" ht="63.75">
      <c r="A108" s="10">
        <f>DATA!A97</f>
        <v>76</v>
      </c>
      <c r="B108" s="10">
        <f>DATA!B97</f>
        <v>0</v>
      </c>
      <c r="C108" s="10" t="str">
        <f>DATA!D97</f>
        <v>INFRASTRUKTUR</v>
      </c>
      <c r="D108" s="10">
        <f>DATA!E97</f>
        <v>1</v>
      </c>
      <c r="E108" s="10" t="str">
        <f>DATA!F97</f>
        <v>Kementerian Pekerjaan Umum dan Perumahan Rakyat</v>
      </c>
      <c r="F108" s="10" t="str">
        <f>DATA!H97</f>
        <v>Dam Development Program</v>
      </c>
      <c r="G108" s="10" t="str">
        <f>DATA!I97</f>
        <v>J</v>
      </c>
      <c r="H108" s="10" t="str">
        <f>DATA!J97</f>
        <v xml:space="preserve">Program Pembangunan Waduk </v>
      </c>
      <c r="I108" s="10">
        <f>DATA!K97</f>
        <v>11</v>
      </c>
      <c r="J108" s="33"/>
      <c r="K108" s="34"/>
      <c r="L108" s="54"/>
      <c r="M108" s="36">
        <f>DATA!K97</f>
        <v>11</v>
      </c>
      <c r="N108" s="37" t="str">
        <f>DATA!L97</f>
        <v>Additional Loan for Jatigede Dam Project 2</v>
      </c>
      <c r="O108" s="20">
        <f>DATA!Q97</f>
        <v>1</v>
      </c>
      <c r="P108" s="20">
        <f>DATA!R97</f>
        <v>1</v>
      </c>
      <c r="Q108" s="20">
        <f>DATA!S97</f>
        <v>67</v>
      </c>
      <c r="R108" s="77">
        <f>DATA!T97</f>
        <v>53200000</v>
      </c>
      <c r="S108" s="88">
        <f>DATA!U97</f>
        <v>53200000</v>
      </c>
      <c r="T108" s="77">
        <f>DATA!V97</f>
        <v>0</v>
      </c>
      <c r="U108" s="77">
        <f>DATA!W97</f>
        <v>0</v>
      </c>
      <c r="V108" s="77">
        <f>DATA!X97</f>
        <v>53200000</v>
      </c>
      <c r="W108" s="78" t="str">
        <f>DATA!Y97</f>
        <v>RRT</v>
      </c>
      <c r="X108" s="20" t="str">
        <f>DATA!Z97</f>
        <v>Bilateral</v>
      </c>
      <c r="Y108" s="77">
        <f>DATA!AA97</f>
        <v>53200000</v>
      </c>
      <c r="Z108" s="77">
        <f>DATA!AG97</f>
        <v>0</v>
      </c>
      <c r="AA108" s="20">
        <f>DATA!AH97</f>
        <v>2016</v>
      </c>
      <c r="AB108" s="37" t="str">
        <f>DATA!AI97</f>
        <v>- Sudah ada RC
- Green Book 2015</v>
      </c>
      <c r="AC108" s="152" t="str">
        <f>DATA!AR97</f>
        <v>-</v>
      </c>
      <c r="AD108" s="152" t="str">
        <f>DATA!AN97</f>
        <v>dalam proses
(memiliki FS dan DED)</v>
      </c>
      <c r="AE108" s="152" t="str">
        <f>DATA!AO97</f>
        <v>dalam proses
(persiapan)</v>
      </c>
      <c r="AF108" s="37" t="str">
        <f>DATA!AJ97</f>
        <v>FS, DED, persiapan impounding 2015</v>
      </c>
      <c r="AG108" s="37" t="str">
        <f>DATA!AK97</f>
        <v>- Proses perijinan penggunaan lahan dari Bupati dan Kemenhut
- Proses administrasi kependudukan</v>
      </c>
      <c r="AH108" s="37" t="str">
        <f>DATA!AL97</f>
        <v>Belum ada tender/lelang</v>
      </c>
      <c r="AI108" s="20" t="str">
        <f>DATA!AR97</f>
        <v>-</v>
      </c>
      <c r="AJ108" s="20" t="str">
        <f>DATA!AN97</f>
        <v>dalam proses
(memiliki FS dan DED)</v>
      </c>
      <c r="AK108" s="20" t="str">
        <f>DATA!AO97</f>
        <v>dalam proses
(persiapan)</v>
      </c>
      <c r="AL108" s="20" t="str">
        <f>DATA!AP97</f>
        <v>belum ada proses tender/lelang</v>
      </c>
      <c r="AM108" s="20" t="str">
        <f>DATA!AY97</f>
        <v>Konfirmasi melalui surat Sekjen nomor KU.01.12-Sj/636 tgl 23 Oktober 2015</v>
      </c>
      <c r="AN108" s="20" t="e">
        <f>DATA!#REF!</f>
        <v>#REF!</v>
      </c>
      <c r="AO108" s="20">
        <f>DATA!AZ97</f>
        <v>0</v>
      </c>
      <c r="AP108" s="152" t="e">
        <f>DATA!#REF!</f>
        <v>#REF!</v>
      </c>
      <c r="AQ108" s="37" t="str">
        <f>DATA!BA97</f>
        <v>Menyediakan air untuk keperluan irigasi sebesar 59,63 m3/dt dan membangun infrastruktur untuk PLTA 110 MW.</v>
      </c>
    </row>
    <row r="109" spans="1:43" s="5" customFormat="1" ht="33.75" customHeight="1">
      <c r="J109" s="28"/>
      <c r="K109" s="50"/>
      <c r="L109" s="30" t="str">
        <f>DATA!I98</f>
        <v>K</v>
      </c>
      <c r="M109" s="31" t="str">
        <f>DATA!J98</f>
        <v>Program Mitigasi Terhadap Daya Rusak Air</v>
      </c>
      <c r="N109" s="51"/>
      <c r="O109" s="31"/>
      <c r="P109" s="31"/>
      <c r="Q109" s="31"/>
      <c r="R109" s="81">
        <f>+R110+R111+R112+R113+R114+R115+R116</f>
        <v>1152636000</v>
      </c>
      <c r="S109" s="81">
        <f>+S110+S111+S112+S113+S114+S115+S116</f>
        <v>1152636000</v>
      </c>
      <c r="T109" s="81">
        <f t="shared" ref="T109:Z109" si="6">+T110+T111+T112+T113+T114+T115+T116</f>
        <v>149840000</v>
      </c>
      <c r="U109" s="81">
        <f t="shared" si="6"/>
        <v>0</v>
      </c>
      <c r="V109" s="81">
        <f t="shared" si="6"/>
        <v>1302476000</v>
      </c>
      <c r="W109" s="81"/>
      <c r="X109" s="81" t="e">
        <f t="shared" si="6"/>
        <v>#VALUE!</v>
      </c>
      <c r="Y109" s="81">
        <f t="shared" si="6"/>
        <v>1112256000</v>
      </c>
      <c r="Z109" s="81">
        <f t="shared" si="6"/>
        <v>0</v>
      </c>
      <c r="AA109" s="31"/>
      <c r="AB109" s="32"/>
      <c r="AC109" s="32"/>
      <c r="AD109" s="32"/>
      <c r="AE109" s="32"/>
      <c r="AF109" s="32"/>
      <c r="AG109" s="32"/>
      <c r="AH109" s="32"/>
      <c r="AI109" s="31"/>
      <c r="AJ109" s="31"/>
      <c r="AK109" s="31"/>
      <c r="AL109" s="31"/>
      <c r="AM109" s="31"/>
      <c r="AN109" s="31"/>
      <c r="AO109" s="31"/>
      <c r="AP109" s="32"/>
      <c r="AQ109" s="32"/>
    </row>
    <row r="110" spans="1:43" ht="51" customHeight="1">
      <c r="A110" s="10">
        <f>DATA!A98</f>
        <v>77</v>
      </c>
      <c r="B110" s="10">
        <f>DATA!B98</f>
        <v>0</v>
      </c>
      <c r="C110" s="10" t="str">
        <f>DATA!D98</f>
        <v>INFRASTRUKTUR</v>
      </c>
      <c r="D110" s="10">
        <f>DATA!E98</f>
        <v>1</v>
      </c>
      <c r="E110" s="10" t="str">
        <f>DATA!F98</f>
        <v>Kementerian Pekerjaan Umum dan Perumahan Rakyat</v>
      </c>
      <c r="F110" s="10" t="str">
        <f>DATA!H98</f>
        <v>Mitigation of Water Hazards Program</v>
      </c>
      <c r="G110" s="10" t="str">
        <f>DATA!I98</f>
        <v>K</v>
      </c>
      <c r="H110" s="10" t="str">
        <f>DATA!J98</f>
        <v>Program Mitigasi Terhadap Daya Rusak Air</v>
      </c>
      <c r="I110" s="10">
        <f>DATA!K98</f>
        <v>1</v>
      </c>
      <c r="J110" s="33"/>
      <c r="K110" s="34"/>
      <c r="L110" s="35"/>
      <c r="M110" s="36">
        <f>DATA!K98</f>
        <v>1</v>
      </c>
      <c r="N110" s="37" t="str">
        <f>DATA!L98</f>
        <v>Lower Solo River Improvement Project - Phase II</v>
      </c>
      <c r="O110" s="20">
        <f>DATA!Q98</f>
        <v>1</v>
      </c>
      <c r="P110" s="20">
        <f>DATA!R98</f>
        <v>1</v>
      </c>
      <c r="Q110" s="20">
        <f>DATA!S98</f>
        <v>68</v>
      </c>
      <c r="R110" s="77">
        <f>DATA!T98</f>
        <v>155836000</v>
      </c>
      <c r="S110" s="88">
        <f>DATA!U98</f>
        <v>155836000</v>
      </c>
      <c r="T110" s="77">
        <f>DATA!V98</f>
        <v>22500000</v>
      </c>
      <c r="U110" s="77">
        <f>DATA!W98</f>
        <v>0</v>
      </c>
      <c r="V110" s="77">
        <f>DATA!X98</f>
        <v>178336000</v>
      </c>
      <c r="W110" s="78" t="str">
        <f>DATA!Y98</f>
        <v>JICA</v>
      </c>
      <c r="X110" s="20" t="str">
        <f>DATA!Z98</f>
        <v>Bilateral</v>
      </c>
      <c r="Y110" s="77">
        <f>DATA!AA98</f>
        <v>155836000</v>
      </c>
      <c r="Z110" s="77">
        <f>DATA!AG98</f>
        <v>0</v>
      </c>
      <c r="AA110" s="20">
        <f>DATA!AH98</f>
        <v>2018</v>
      </c>
      <c r="AB110" s="37" t="str">
        <f>DATA!AI98</f>
        <v>-</v>
      </c>
      <c r="AC110" s="152" t="str">
        <f>DATA!AR98</f>
        <v>belum ada dokumen R/C</v>
      </c>
      <c r="AD110" s="152" t="str">
        <f>DATA!AN98</f>
        <v>siap</v>
      </c>
      <c r="AE110" s="152" t="str">
        <f>DATA!AO98</f>
        <v>dalam proses
(perencanaan)</v>
      </c>
      <c r="AF110" s="37" t="str">
        <f>DATA!AJ98</f>
        <v>FS, DED, AMDAL</v>
      </c>
      <c r="AG110" s="37" t="str">
        <f>DATA!AK98</f>
        <v>LARAP</v>
      </c>
      <c r="AH110" s="37" t="str">
        <f>DATA!AL98</f>
        <v>-</v>
      </c>
      <c r="AI110" s="20" t="str">
        <f>DATA!AR98</f>
        <v>belum ada dokumen R/C</v>
      </c>
      <c r="AJ110" s="20" t="str">
        <f>DATA!AN98</f>
        <v>siap</v>
      </c>
      <c r="AK110" s="20" t="str">
        <f>DATA!AO98</f>
        <v>dalam proses
(perencanaan)</v>
      </c>
      <c r="AL110" s="20" t="str">
        <f>DATA!AP98</f>
        <v>belum ada proses tender/lelang</v>
      </c>
      <c r="AM110" s="20" t="str">
        <f>DATA!AY98</f>
        <v>Konfirmasi melalui surat Sekjen nomor KU.01.12-Sj/636 tgl 23 Oktober 2015</v>
      </c>
      <c r="AN110" s="20" t="e">
        <f>DATA!#REF!</f>
        <v>#REF!</v>
      </c>
      <c r="AO110" s="20">
        <f>DATA!AZ98</f>
        <v>0</v>
      </c>
      <c r="AP110" s="152" t="e">
        <f>DATA!#REF!</f>
        <v>#REF!</v>
      </c>
      <c r="AQ110" s="37" t="str">
        <f>DATA!BA98</f>
        <v>Pekerjaan konstruksi dan supervisi pelaksanaan tanggul, parapet wall, pelindung tebing, sluiceway, jembatan, alur sudetan dan bangunan sungai lainnya</v>
      </c>
    </row>
    <row r="111" spans="1:43" ht="72.75" customHeight="1">
      <c r="A111" s="10">
        <f>DATA!A99</f>
        <v>78</v>
      </c>
      <c r="B111" s="10">
        <f>DATA!B99</f>
        <v>0</v>
      </c>
      <c r="C111" s="10" t="str">
        <f>DATA!D99</f>
        <v>INFRASTRUKTUR</v>
      </c>
      <c r="D111" s="10">
        <f>DATA!E99</f>
        <v>1</v>
      </c>
      <c r="E111" s="10" t="str">
        <f>DATA!F99</f>
        <v>Kementerian Pekerjaan Umum dan Perumahan Rakyat</v>
      </c>
      <c r="F111" s="10" t="str">
        <f>DATA!H99</f>
        <v>Mitigation of Water Hazards Program</v>
      </c>
      <c r="G111" s="10" t="str">
        <f>DATA!I99</f>
        <v>K</v>
      </c>
      <c r="H111" s="10" t="str">
        <f>DATA!J99</f>
        <v>Program Mitigasi Terhadap Daya Rusak Air</v>
      </c>
      <c r="I111" s="10">
        <f>DATA!K99</f>
        <v>2</v>
      </c>
      <c r="J111" s="33"/>
      <c r="K111" s="34"/>
      <c r="L111" s="34"/>
      <c r="M111" s="36">
        <f>DATA!K99</f>
        <v>2</v>
      </c>
      <c r="N111" s="37" t="str">
        <f>DATA!L99</f>
        <v>Comprehensive Countermeasure for Sediment &amp; Flood Problems in South Sulawesi Province</v>
      </c>
      <c r="O111" s="20">
        <f>DATA!Q99</f>
        <v>1</v>
      </c>
      <c r="P111" s="20">
        <f>DATA!R99</f>
        <v>1</v>
      </c>
      <c r="Q111" s="20">
        <f>DATA!S99</f>
        <v>69</v>
      </c>
      <c r="R111" s="77">
        <f>DATA!T99</f>
        <v>108100000</v>
      </c>
      <c r="S111" s="88">
        <f>DATA!U99</f>
        <v>108100000</v>
      </c>
      <c r="T111" s="77">
        <f>DATA!V99</f>
        <v>3900000</v>
      </c>
      <c r="U111" s="77">
        <f>DATA!W99</f>
        <v>0</v>
      </c>
      <c r="V111" s="77">
        <f>DATA!X99</f>
        <v>112000000</v>
      </c>
      <c r="W111" s="78" t="str">
        <f>DATA!Y99</f>
        <v>JICA</v>
      </c>
      <c r="X111" s="20" t="str">
        <f>DATA!Z99</f>
        <v>Bilateral</v>
      </c>
      <c r="Y111" s="77">
        <f>DATA!AA99</f>
        <v>108100000</v>
      </c>
      <c r="Z111" s="77">
        <f>DATA!AG99</f>
        <v>0</v>
      </c>
      <c r="AA111" s="20">
        <f>DATA!AH99</f>
        <v>2018</v>
      </c>
      <c r="AB111" s="37" t="str">
        <f>DATA!AI99</f>
        <v>-</v>
      </c>
      <c r="AC111" s="152" t="str">
        <f>DATA!AR99</f>
        <v>belum ada dokumen R/C</v>
      </c>
      <c r="AD111" s="152" t="str">
        <f>DATA!AN99</f>
        <v>dalam proses
(memiliki FS dan DED)</v>
      </c>
      <c r="AE111" s="152" t="str">
        <f>DATA!AO99</f>
        <v>belum ada keterangan</v>
      </c>
      <c r="AF111" s="37" t="str">
        <f>DATA!AJ99</f>
        <v>FS, DED</v>
      </c>
      <c r="AG111" s="37" t="str">
        <f>DATA!AK99</f>
        <v>-</v>
      </c>
      <c r="AH111" s="37" t="str">
        <f>DATA!AL99</f>
        <v>-</v>
      </c>
      <c r="AI111" s="20" t="str">
        <f>DATA!AR99</f>
        <v>belum ada dokumen R/C</v>
      </c>
      <c r="AJ111" s="20" t="str">
        <f>DATA!AN99</f>
        <v>dalam proses
(memiliki FS dan DED)</v>
      </c>
      <c r="AK111" s="20" t="str">
        <f>DATA!AO99</f>
        <v>belum ada keterangan</v>
      </c>
      <c r="AL111" s="20" t="str">
        <f>DATA!AP99</f>
        <v>belum ada proses tender/lelang</v>
      </c>
      <c r="AM111" s="20" t="str">
        <f>DATA!AY99</f>
        <v>Konfirmasi melalui surat Sekjen nomor KU.01.12-Sj/636 tgl 23 Oktober 2015</v>
      </c>
      <c r="AN111" s="20" t="e">
        <f>DATA!#REF!</f>
        <v>#REF!</v>
      </c>
      <c r="AO111" s="20">
        <f>DATA!AZ99</f>
        <v>0</v>
      </c>
      <c r="AP111" s="152" t="e">
        <f>DATA!#REF!</f>
        <v>#REF!</v>
      </c>
      <c r="AQ111" s="37" t="str">
        <f>DATA!BA99</f>
        <v>Rehabilitasi intake waduk bili-bili (1 buah), konstruksi giant sand trap facility (1 buah) di ujung waduk bili-bili dan konstruksi bangunan pengendali sedimen di luar kaldera untuk antisipasi potensi runtuhan lanjutan Bawakaraeng</v>
      </c>
    </row>
    <row r="112" spans="1:43" ht="38.25">
      <c r="A112" s="10">
        <f>DATA!A100</f>
        <v>79</v>
      </c>
      <c r="B112" s="10">
        <f>DATA!B100</f>
        <v>0</v>
      </c>
      <c r="C112" s="10" t="str">
        <f>DATA!D100</f>
        <v>INFRASTRUKTUR</v>
      </c>
      <c r="D112" s="10">
        <f>DATA!E100</f>
        <v>1</v>
      </c>
      <c r="E112" s="10" t="str">
        <f>DATA!F100</f>
        <v>Kementerian Pekerjaan Umum dan Perumahan Rakyat</v>
      </c>
      <c r="F112" s="10" t="str">
        <f>DATA!H100</f>
        <v>Mitigation of Water Hazards Program</v>
      </c>
      <c r="G112" s="10" t="str">
        <f>DATA!I100</f>
        <v>K</v>
      </c>
      <c r="H112" s="10" t="str">
        <f>DATA!J100</f>
        <v>Program Mitigasi Terhadap Daya Rusak Air</v>
      </c>
      <c r="I112" s="10">
        <f>DATA!K100</f>
        <v>3</v>
      </c>
      <c r="J112" s="33"/>
      <c r="K112" s="34"/>
      <c r="L112" s="34"/>
      <c r="M112" s="36">
        <f>DATA!K100</f>
        <v>3</v>
      </c>
      <c r="N112" s="37" t="str">
        <f>DATA!L100</f>
        <v>Bali Beach Conservation Project - Phase II</v>
      </c>
      <c r="O112" s="20">
        <f>DATA!Q100</f>
        <v>1</v>
      </c>
      <c r="P112" s="20">
        <f>DATA!R100</f>
        <v>1</v>
      </c>
      <c r="Q112" s="20">
        <f>DATA!S100</f>
        <v>70</v>
      </c>
      <c r="R112" s="77">
        <f>DATA!T100</f>
        <v>150000000</v>
      </c>
      <c r="S112" s="88">
        <f>DATA!U100</f>
        <v>150000000</v>
      </c>
      <c r="T112" s="77">
        <f>DATA!V100</f>
        <v>15000000</v>
      </c>
      <c r="U112" s="77">
        <f>DATA!W100</f>
        <v>0</v>
      </c>
      <c r="V112" s="77">
        <f>DATA!X100</f>
        <v>165000000</v>
      </c>
      <c r="W112" s="78" t="str">
        <f>DATA!Y100</f>
        <v>JICA</v>
      </c>
      <c r="X112" s="20" t="str">
        <f>DATA!Z100</f>
        <v>Bilateral</v>
      </c>
      <c r="Y112" s="77">
        <f>DATA!AA100</f>
        <v>150000000</v>
      </c>
      <c r="Z112" s="77">
        <f>DATA!AG100</f>
        <v>0</v>
      </c>
      <c r="AA112" s="20">
        <f>DATA!AH100</f>
        <v>2017</v>
      </c>
      <c r="AB112" s="37" t="str">
        <f>DATA!AI100</f>
        <v>-</v>
      </c>
      <c r="AC112" s="152" t="str">
        <f>DATA!AR100</f>
        <v>Nilai pinjaman di GB USD 90.247 ribu</v>
      </c>
      <c r="AD112" s="152" t="str">
        <f>DATA!AN100</f>
        <v>dalam proses
(memiliki FS)</v>
      </c>
      <c r="AE112" s="152" t="str">
        <f>DATA!AO100</f>
        <v>belum ada keterangan</v>
      </c>
      <c r="AF112" s="37" t="str">
        <f>DATA!AJ100</f>
        <v>FS</v>
      </c>
      <c r="AG112" s="37" t="str">
        <f>DATA!AK100</f>
        <v>-</v>
      </c>
      <c r="AH112" s="37" t="str">
        <f>DATA!AL100</f>
        <v>-</v>
      </c>
      <c r="AI112" s="20" t="str">
        <f>DATA!AR100</f>
        <v>Nilai pinjaman di GB USD 90.247 ribu</v>
      </c>
      <c r="AJ112" s="20" t="str">
        <f>DATA!AN100</f>
        <v>dalam proses
(memiliki FS)</v>
      </c>
      <c r="AK112" s="20" t="str">
        <f>DATA!AO100</f>
        <v>belum ada keterangan</v>
      </c>
      <c r="AL112" s="20" t="str">
        <f>DATA!AP100</f>
        <v>belum ada proses tender/lelang</v>
      </c>
      <c r="AM112" s="20" t="str">
        <f>DATA!AY100</f>
        <v>- Konfirmasi melalui surat Sekjen nomor KU.01.12-Sj/636 tgl 23 Oktober 2015
- MoD Fact Finding belum dapat ditandatangani dan ditentukan kemudian</v>
      </c>
      <c r="AN112" s="20" t="e">
        <f>DATA!#REF!</f>
        <v>#REF!</v>
      </c>
      <c r="AO112" s="20">
        <f>DATA!AZ100</f>
        <v>0</v>
      </c>
      <c r="AP112" s="152" t="e">
        <f>DATA!#REF!</f>
        <v>#REF!</v>
      </c>
      <c r="AQ112" s="37" t="str">
        <f>DATA!BA100</f>
        <v>Pengamanan dan konservasi pantai timur bali (sanur utara ~ candidasa) dan Pantai Kuta Utara – Legian – Seminyak dan Canggu</v>
      </c>
    </row>
    <row r="113" spans="1:43" ht="33" customHeight="1">
      <c r="A113" s="10">
        <f>DATA!A101</f>
        <v>80</v>
      </c>
      <c r="B113" s="10">
        <f>DATA!B101</f>
        <v>0</v>
      </c>
      <c r="C113" s="10" t="str">
        <f>DATA!D101</f>
        <v>INFRASTRUKTUR</v>
      </c>
      <c r="D113" s="10">
        <f>DATA!E101</f>
        <v>1</v>
      </c>
      <c r="E113" s="10" t="str">
        <f>DATA!F101</f>
        <v>Kementerian Pekerjaan Umum dan Perumahan Rakyat</v>
      </c>
      <c r="F113" s="10" t="str">
        <f>DATA!H101</f>
        <v>Mitigation of Water Hazards Program</v>
      </c>
      <c r="G113" s="10" t="str">
        <f>DATA!I101</f>
        <v>K</v>
      </c>
      <c r="H113" s="10" t="str">
        <f>DATA!J101</f>
        <v>Program Mitigasi Terhadap Daya Rusak Air</v>
      </c>
      <c r="I113" s="10">
        <f>DATA!K101</f>
        <v>4</v>
      </c>
      <c r="J113" s="33"/>
      <c r="K113" s="34"/>
      <c r="L113" s="34"/>
      <c r="M113" s="36">
        <f>DATA!K101</f>
        <v>4</v>
      </c>
      <c r="N113" s="37" t="str">
        <f>DATA!L101</f>
        <v xml:space="preserve">Urgent Disaster Reduction of Mt. Sinabung, Mt. Semeru, Mt. Kelud Mt. Lokon, and Mt. Gamalama </v>
      </c>
      <c r="O113" s="20">
        <f>DATA!Q101</f>
        <v>1</v>
      </c>
      <c r="P113" s="20">
        <f>DATA!R101</f>
        <v>1</v>
      </c>
      <c r="Q113" s="20">
        <f>DATA!S101</f>
        <v>71</v>
      </c>
      <c r="R113" s="77">
        <f>DATA!T101</f>
        <v>260000000</v>
      </c>
      <c r="S113" s="88">
        <f>DATA!U101</f>
        <v>260000000</v>
      </c>
      <c r="T113" s="77">
        <f>DATA!V101</f>
        <v>26000000</v>
      </c>
      <c r="U113" s="77">
        <f>DATA!W101</f>
        <v>0</v>
      </c>
      <c r="V113" s="77">
        <f>DATA!X101</f>
        <v>286000000</v>
      </c>
      <c r="W113" s="78" t="str">
        <f>DATA!Y101</f>
        <v>JICA</v>
      </c>
      <c r="X113" s="20" t="str">
        <f>DATA!Z101</f>
        <v>Bilateral</v>
      </c>
      <c r="Y113" s="77">
        <f>DATA!AA101</f>
        <v>260000000</v>
      </c>
      <c r="Z113" s="77">
        <f>DATA!AG101</f>
        <v>0</v>
      </c>
      <c r="AA113" s="20">
        <f>DATA!AH101</f>
        <v>2017</v>
      </c>
      <c r="AB113" s="37" t="str">
        <f>DATA!AI101</f>
        <v>-</v>
      </c>
      <c r="AC113" s="152" t="str">
        <f>DATA!AR101</f>
        <v>belum ada dokumen R/C</v>
      </c>
      <c r="AD113" s="152" t="str">
        <f>DATA!AN101</f>
        <v>siap</v>
      </c>
      <c r="AE113" s="152" t="str">
        <f>DATA!AO101</f>
        <v>dalam proses
(persiapan)</v>
      </c>
      <c r="AF113" s="37" t="str">
        <f>DATA!AJ101</f>
        <v>FS, DED, AMDAL</v>
      </c>
      <c r="AG113" s="37" t="str">
        <f>DATA!AK101</f>
        <v>LARAP</v>
      </c>
      <c r="AH113" s="37" t="str">
        <f>DATA!AL101</f>
        <v>-</v>
      </c>
      <c r="AI113" s="20" t="str">
        <f>DATA!AR101</f>
        <v>belum ada dokumen R/C</v>
      </c>
      <c r="AJ113" s="20" t="str">
        <f>DATA!AN101</f>
        <v>siap</v>
      </c>
      <c r="AK113" s="20" t="str">
        <f>DATA!AO101</f>
        <v>dalam proses
(persiapan)</v>
      </c>
      <c r="AL113" s="20" t="str">
        <f>DATA!AP101</f>
        <v>belum ada proses tender/lelang</v>
      </c>
      <c r="AM113" s="20" t="str">
        <f>DATA!AY101</f>
        <v>Konfirmasi melalui surat Sekjen nomor KU.01.12-Sj/636 tgl 23 Oktober 2015</v>
      </c>
      <c r="AN113" s="20" t="e">
        <f>DATA!#REF!</f>
        <v>#REF!</v>
      </c>
      <c r="AO113" s="20">
        <f>DATA!AZ101</f>
        <v>0</v>
      </c>
      <c r="AP113" s="152" t="e">
        <f>DATA!#REF!</f>
        <v>#REF!</v>
      </c>
      <c r="AQ113" s="37" t="str">
        <f>DATA!BA101</f>
        <v>Tersedianya fasilitas Sabo dan bangunan pengontrol sedimen lainnya.</v>
      </c>
    </row>
    <row r="114" spans="1:43" ht="53.25" customHeight="1">
      <c r="A114" s="10">
        <f>DATA!A102</f>
        <v>81</v>
      </c>
      <c r="B114" s="10">
        <f>DATA!B102</f>
        <v>0</v>
      </c>
      <c r="C114" s="10" t="str">
        <f>DATA!D102</f>
        <v>INFRASTRUKTUR</v>
      </c>
      <c r="D114" s="10">
        <f>DATA!E102</f>
        <v>1</v>
      </c>
      <c r="E114" s="10" t="str">
        <f>DATA!F102</f>
        <v>Kementerian Pekerjaan Umum dan Perumahan Rakyat</v>
      </c>
      <c r="F114" s="10" t="str">
        <f>DATA!H102</f>
        <v>Mitigation of Water Hazards Program</v>
      </c>
      <c r="G114" s="10" t="str">
        <f>DATA!I102</f>
        <v>K</v>
      </c>
      <c r="H114" s="10" t="str">
        <f>DATA!J102</f>
        <v>Program Mitigasi Terhadap Daya Rusak Air</v>
      </c>
      <c r="I114" s="10">
        <f>DATA!K102</f>
        <v>5</v>
      </c>
      <c r="J114" s="33"/>
      <c r="K114" s="34"/>
      <c r="L114" s="34"/>
      <c r="M114" s="36">
        <f>DATA!K102</f>
        <v>5</v>
      </c>
      <c r="N114" s="37" t="str">
        <f>DATA!L102</f>
        <v xml:space="preserve">Urban Flood Control System Improvement in Selected Cities -Phase II  </v>
      </c>
      <c r="O114" s="20">
        <f>DATA!Q102</f>
        <v>1</v>
      </c>
      <c r="P114" s="20">
        <f>DATA!R102</f>
        <v>1</v>
      </c>
      <c r="Q114" s="20">
        <f>DATA!S102</f>
        <v>72</v>
      </c>
      <c r="R114" s="77">
        <f>DATA!T102</f>
        <v>120000000</v>
      </c>
      <c r="S114" s="88">
        <f>DATA!U102</f>
        <v>120000000</v>
      </c>
      <c r="T114" s="77">
        <f>DATA!V102</f>
        <v>12000000</v>
      </c>
      <c r="U114" s="77">
        <f>DATA!W102</f>
        <v>0</v>
      </c>
      <c r="V114" s="77">
        <f>DATA!X102</f>
        <v>132000000</v>
      </c>
      <c r="W114" s="78" t="str">
        <f>DATA!Y102</f>
        <v>JICA</v>
      </c>
      <c r="X114" s="20" t="str">
        <f>DATA!Z102</f>
        <v>Bilateral</v>
      </c>
      <c r="Y114" s="77">
        <f>DATA!AA102</f>
        <v>120000000</v>
      </c>
      <c r="Z114" s="77">
        <f>DATA!AG102</f>
        <v>0</v>
      </c>
      <c r="AA114" s="20">
        <f>DATA!AH102</f>
        <v>2018</v>
      </c>
      <c r="AB114" s="37" t="str">
        <f>DATA!AI102</f>
        <v>-</v>
      </c>
      <c r="AC114" s="152" t="str">
        <f>DATA!AR102</f>
        <v>belum ada dokumen R/C</v>
      </c>
      <c r="AD114" s="152" t="str">
        <f>DATA!AN102</f>
        <v>siap</v>
      </c>
      <c r="AE114" s="152" t="str">
        <f>DATA!AO102</f>
        <v>dalam proses
(perencanaan)</v>
      </c>
      <c r="AF114" s="37" t="str">
        <f>DATA!AJ102</f>
        <v>FS, DED, AMDAL</v>
      </c>
      <c r="AG114" s="37" t="str">
        <f>DATA!AK102</f>
        <v>LARAP</v>
      </c>
      <c r="AH114" s="37" t="str">
        <f>DATA!AL102</f>
        <v>-</v>
      </c>
      <c r="AI114" s="20" t="str">
        <f>DATA!AR102</f>
        <v>belum ada dokumen R/C</v>
      </c>
      <c r="AJ114" s="20" t="str">
        <f>DATA!AN102</f>
        <v>siap</v>
      </c>
      <c r="AK114" s="20" t="str">
        <f>DATA!AO102</f>
        <v>dalam proses
(perencanaan)</v>
      </c>
      <c r="AL114" s="20" t="str">
        <f>DATA!AP102</f>
        <v>belum ada proses tender/lelang</v>
      </c>
      <c r="AM114" s="20" t="str">
        <f>DATA!AY102</f>
        <v>Konfirmasi melalui surat Sekjen nomor KU.01.12-Sj/636 tgl 23 Oktober 2015</v>
      </c>
      <c r="AN114" s="20" t="e">
        <f>DATA!#REF!</f>
        <v>#REF!</v>
      </c>
      <c r="AO114" s="20">
        <f>DATA!AZ102</f>
        <v>0</v>
      </c>
      <c r="AP114" s="152" t="e">
        <f>DATA!#REF!</f>
        <v>#REF!</v>
      </c>
      <c r="AQ114" s="37" t="str">
        <f>DATA!BA102</f>
        <v>Meningkatkan kapasitas sistem sungai dengan total panjang 4.35 km dan drainase di kota-kota untuk mengalirkan air hujan dengan pembangunan tanggul 6,5 Km</v>
      </c>
    </row>
    <row r="115" spans="1:43" ht="46.5" customHeight="1">
      <c r="A115" s="10">
        <f>DATA!A104</f>
        <v>0</v>
      </c>
      <c r="B115" s="10">
        <f>DATA!B104</f>
        <v>0</v>
      </c>
      <c r="C115" s="10" t="str">
        <f>DATA!D104</f>
        <v>INFRASTRUKTUR</v>
      </c>
      <c r="D115" s="10">
        <f>DATA!E104</f>
        <v>1</v>
      </c>
      <c r="E115" s="10" t="str">
        <f>DATA!F104</f>
        <v>Kementerian Pekerjaan Umum dan Perumahan Rakyat</v>
      </c>
      <c r="F115" s="10" t="str">
        <f>DATA!H104</f>
        <v>Mitigation of Water Hazards Program</v>
      </c>
      <c r="G115" s="10" t="str">
        <f>DATA!I104</f>
        <v>K</v>
      </c>
      <c r="H115" s="10" t="str">
        <f>DATA!J104</f>
        <v>Program Mitigasi Terhadap Daya Rusak Air</v>
      </c>
      <c r="I115" s="10">
        <f>DATA!K104</f>
        <v>6</v>
      </c>
      <c r="J115" s="33"/>
      <c r="K115" s="34"/>
      <c r="L115" s="34"/>
      <c r="M115" s="36">
        <f>DATA!K104</f>
        <v>6</v>
      </c>
      <c r="N115" s="37" t="str">
        <f>DATA!L104</f>
        <v>Engineering Service for Coastal and River Development Project</v>
      </c>
      <c r="O115" s="20">
        <f>DATA!Q104</f>
        <v>1</v>
      </c>
      <c r="P115" s="20">
        <f>DATA!R104</f>
        <v>1</v>
      </c>
      <c r="Q115" s="20">
        <f>DATA!S104</f>
        <v>73</v>
      </c>
      <c r="R115" s="77">
        <f>DATA!T104</f>
        <v>50000000</v>
      </c>
      <c r="S115" s="88">
        <f>DATA!U104</f>
        <v>50000000</v>
      </c>
      <c r="T115" s="77">
        <f>DATA!V104</f>
        <v>0</v>
      </c>
      <c r="U115" s="77">
        <f>DATA!W104</f>
        <v>0</v>
      </c>
      <c r="V115" s="77">
        <f>DATA!X104</f>
        <v>50000000</v>
      </c>
      <c r="W115" s="78" t="str">
        <f>DATA!Y104</f>
        <v>ADB</v>
      </c>
      <c r="X115" s="20" t="str">
        <f>DATA!Z104</f>
        <v>Multilateral</v>
      </c>
      <c r="Y115" s="77">
        <f>DATA!AA104</f>
        <v>9620000</v>
      </c>
      <c r="Z115" s="77">
        <f>DATA!AG104</f>
        <v>0</v>
      </c>
      <c r="AA115" s="20">
        <f>DATA!AH104</f>
        <v>2016</v>
      </c>
      <c r="AB115" s="37" t="str">
        <f>DATA!AI104</f>
        <v>- Sudah ada RC
- Green Book 2016</v>
      </c>
      <c r="AC115" s="152" t="str">
        <f>DATA!AM104</f>
        <v>2016; 2015</v>
      </c>
      <c r="AD115" s="152" t="str">
        <f>DATA!AN104</f>
        <v>siap</v>
      </c>
      <c r="AE115" s="152" t="str">
        <f>DATA!AO104</f>
        <v>tidak butuh lahan</v>
      </c>
      <c r="AF115" s="37" t="str">
        <f>DATA!AJ104</f>
        <v>FS, DED</v>
      </c>
      <c r="AG115" s="37" t="str">
        <f>DATA!AK104</f>
        <v>Tidak membutuhkan lahan</v>
      </c>
      <c r="AH115" s="37" t="str">
        <f>DATA!AL104</f>
        <v>Belum ada tender/lelang</v>
      </c>
      <c r="AI115" s="20" t="str">
        <f>DATA!AM104</f>
        <v>2016; 2015</v>
      </c>
      <c r="AJ115" s="20" t="str">
        <f>DATA!AN104</f>
        <v>siap</v>
      </c>
      <c r="AK115" s="20" t="str">
        <f>DATA!AO104</f>
        <v>tidak butuh lahan</v>
      </c>
      <c r="AL115" s="20" t="str">
        <f>DATA!AP104</f>
        <v>belum ada proses tender/lelang</v>
      </c>
      <c r="AM115"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N115" s="20" t="e">
        <f>DATA!#REF!</f>
        <v>#REF!</v>
      </c>
      <c r="AO115" s="20">
        <f>DATA!AZ104</f>
        <v>0</v>
      </c>
      <c r="AP115" s="152" t="e">
        <f>DATA!#REF!</f>
        <v>#REF!</v>
      </c>
      <c r="AQ115" s="37" t="str">
        <f>DATA!BA104</f>
        <v>Analisis rencana teknis pembangunan infrastruktur sungai di 33 balai wilayah sungai  dan pantai beserta fasilitasnya, O&amp;P dan pengadaan barang dan jasa</v>
      </c>
    </row>
    <row r="116" spans="1:43" ht="49.5" customHeight="1">
      <c r="A116" s="10">
        <f>DATA!A107</f>
        <v>80</v>
      </c>
      <c r="B116" s="10">
        <f>DATA!B107</f>
        <v>0</v>
      </c>
      <c r="C116" s="10" t="str">
        <f>DATA!D107</f>
        <v>INFRASTRUKTUR</v>
      </c>
      <c r="D116" s="10">
        <f>DATA!E107</f>
        <v>1</v>
      </c>
      <c r="E116" s="10" t="str">
        <f>DATA!F107</f>
        <v>Kementerian Pekerjaan Umum dan Perumahan Rakyat</v>
      </c>
      <c r="F116" s="10" t="str">
        <f>DATA!H107</f>
        <v>Mitigation of Water Hazards Program</v>
      </c>
      <c r="G116" s="10" t="str">
        <f>DATA!I107</f>
        <v>K</v>
      </c>
      <c r="H116" s="10" t="str">
        <f>DATA!J107</f>
        <v>Program Mitigasi Terhadap Daya Rusak Air</v>
      </c>
      <c r="I116" s="10">
        <f>DATA!K107</f>
        <v>7</v>
      </c>
      <c r="J116" s="33"/>
      <c r="K116" s="34"/>
      <c r="L116" s="34"/>
      <c r="M116" s="36">
        <f>DATA!K107</f>
        <v>7</v>
      </c>
      <c r="N116" s="37" t="str">
        <f>DATA!L107</f>
        <v>Flood Management in Selected River Basins:</v>
      </c>
      <c r="O116" s="20">
        <f>DATA!Q107</f>
        <v>0</v>
      </c>
      <c r="P116" s="20">
        <f>DATA!R107</f>
        <v>0</v>
      </c>
      <c r="Q116" s="20">
        <f>DATA!S107</f>
        <v>0</v>
      </c>
      <c r="R116" s="77">
        <f>DATA!T107</f>
        <v>308700000</v>
      </c>
      <c r="S116" s="88">
        <f>DATA!U107</f>
        <v>308700000</v>
      </c>
      <c r="T116" s="77">
        <f>DATA!V107</f>
        <v>70440000</v>
      </c>
      <c r="U116" s="77">
        <f>DATA!W107</f>
        <v>0</v>
      </c>
      <c r="V116" s="77">
        <f>DATA!X107</f>
        <v>379140000</v>
      </c>
      <c r="W116" s="78" t="str">
        <f>DATA!Y107</f>
        <v>-</v>
      </c>
      <c r="X116" s="20">
        <f>DATA!Z107</f>
        <v>0</v>
      </c>
      <c r="Y116" s="77">
        <f>DATA!AA107</f>
        <v>308700000</v>
      </c>
      <c r="Z116" s="77">
        <f>DATA!AG107</f>
        <v>0</v>
      </c>
      <c r="AA116" s="20" t="str">
        <f>DATA!AH107</f>
        <v>-</v>
      </c>
      <c r="AB116" s="37" t="str">
        <f>DATA!AI107</f>
        <v>-</v>
      </c>
      <c r="AC116" s="152" t="str">
        <f>DATA!AM107</f>
        <v>-</v>
      </c>
      <c r="AD116" s="152">
        <f>DATA!AN107</f>
        <v>0</v>
      </c>
      <c r="AE116" s="152" t="str">
        <f>DATA!AO107</f>
        <v>-</v>
      </c>
      <c r="AF116" s="37" t="str">
        <f>DATA!AJ107</f>
        <v>-</v>
      </c>
      <c r="AG116" s="37" t="str">
        <f>DATA!AK107</f>
        <v>-</v>
      </c>
      <c r="AH116" s="37" t="str">
        <f>DATA!AL107</f>
        <v>-</v>
      </c>
      <c r="AI116" s="20" t="str">
        <f>DATA!AM107</f>
        <v>-</v>
      </c>
      <c r="AJ116" s="20">
        <f>DATA!AN107</f>
        <v>0</v>
      </c>
      <c r="AK116" s="20" t="str">
        <f>DATA!AO107</f>
        <v>-</v>
      </c>
      <c r="AL116" s="20">
        <f>DATA!AP107</f>
        <v>0</v>
      </c>
      <c r="AM116" s="20" t="str">
        <f>DATA!AY107</f>
        <v>Konfirmasi melalui surat Sekjen nomor KU.01.12-Sj/636 tgl 23 Oktober 2015</v>
      </c>
      <c r="AN116" s="20" t="e">
        <f>DATA!#REF!</f>
        <v>#REF!</v>
      </c>
      <c r="AO116" s="20">
        <f>DATA!AZ107</f>
        <v>0</v>
      </c>
      <c r="AP116" s="152" t="e">
        <f>DATA!#REF!</f>
        <v>#REF!</v>
      </c>
      <c r="AQ116" s="37" t="str">
        <f>DATA!BA107</f>
        <v>Meningkatkan kesiapan untuk mengelola dan memitigasi banjir melalui pendekatan pengelolaan banjir terpadu di DAS terpilih yang tersebar di seluruh Indonesia</v>
      </c>
    </row>
    <row r="117" spans="1:43" s="6" customFormat="1" ht="38.25">
      <c r="A117" s="6">
        <f>DATA!A108</f>
        <v>83</v>
      </c>
      <c r="B117" s="6">
        <f>DATA!B108</f>
        <v>0</v>
      </c>
      <c r="C117" s="6" t="str">
        <f>DATA!D108</f>
        <v>INFRASTRUKTUR</v>
      </c>
      <c r="D117" s="6">
        <f>DATA!E108</f>
        <v>1</v>
      </c>
      <c r="E117" s="6" t="str">
        <f>DATA!F108</f>
        <v>Kementerian Pekerjaan Umum dan Perumahan Rakyat</v>
      </c>
      <c r="F117" s="6" t="str">
        <f>DATA!H108</f>
        <v>Mitigation of Water Hazards Program</v>
      </c>
      <c r="G117" s="6" t="str">
        <f>DATA!I108</f>
        <v>K</v>
      </c>
      <c r="H117" s="6" t="str">
        <f>DATA!J108</f>
        <v>Program Mitigasi Terhadap Daya Rusak Air</v>
      </c>
      <c r="I117" s="6">
        <f>DATA!K108</f>
        <v>7</v>
      </c>
      <c r="J117" s="38"/>
      <c r="K117" s="39"/>
      <c r="L117" s="39"/>
      <c r="M117" s="72"/>
      <c r="N117" s="67" t="str">
        <f>DATA!L108</f>
        <v>Flood Management in Selected River Basins Sector Project (Additional Financing)</v>
      </c>
      <c r="O117" s="42">
        <f>DATA!Q108</f>
        <v>1</v>
      </c>
      <c r="P117" s="42">
        <f>DATA!R108</f>
        <v>1</v>
      </c>
      <c r="Q117" s="42">
        <f>DATA!S108</f>
        <v>74</v>
      </c>
      <c r="R117" s="83">
        <f>DATA!T108</f>
        <v>200000000</v>
      </c>
      <c r="S117" s="88">
        <f>DATA!U108</f>
        <v>200000000</v>
      </c>
      <c r="T117" s="83">
        <f>DATA!V108</f>
        <v>20000000</v>
      </c>
      <c r="U117" s="83">
        <f>DATA!W108</f>
        <v>0</v>
      </c>
      <c r="V117" s="83">
        <f>DATA!X108</f>
        <v>220000000</v>
      </c>
      <c r="W117" s="84" t="str">
        <f>DATA!Y108</f>
        <v>Belum Ada Indikasi</v>
      </c>
      <c r="X117" s="42" t="str">
        <f>DATA!Z108</f>
        <v>Multilateral</v>
      </c>
      <c r="Y117" s="83">
        <f>DATA!AA108</f>
        <v>200000000</v>
      </c>
      <c r="Z117" s="83">
        <f>DATA!AG108</f>
        <v>0</v>
      </c>
      <c r="AA117" s="42" t="str">
        <f>DATA!AH108</f>
        <v>Tanpa keterangan</v>
      </c>
      <c r="AB117" s="67" t="str">
        <f>DATA!AI108</f>
        <v>-</v>
      </c>
      <c r="AC117" s="152" t="str">
        <f>DATA!AR108</f>
        <v>belum ada dokumen R/C</v>
      </c>
      <c r="AD117" s="152" t="str">
        <f>DATA!AN108</f>
        <v>belum ada keterangan</v>
      </c>
      <c r="AE117" s="152" t="str">
        <f>DATA!AO108</f>
        <v>belum ada keterangan</v>
      </c>
      <c r="AF117" s="67" t="str">
        <f>DATA!AJ108</f>
        <v>-</v>
      </c>
      <c r="AG117" s="67" t="str">
        <f>DATA!AK108</f>
        <v>-</v>
      </c>
      <c r="AH117" s="67" t="str">
        <f>DATA!AL108</f>
        <v>-</v>
      </c>
      <c r="AI117" s="42" t="str">
        <f>DATA!AR108</f>
        <v>belum ada dokumen R/C</v>
      </c>
      <c r="AJ117" s="42" t="str">
        <f>DATA!AN108</f>
        <v>belum ada keterangan</v>
      </c>
      <c r="AK117" s="42" t="str">
        <f>DATA!AO108</f>
        <v>belum ada keterangan</v>
      </c>
      <c r="AL117" s="42" t="str">
        <f>DATA!AP108</f>
        <v>belum ada proses tender/lelang</v>
      </c>
      <c r="AM117" s="42" t="str">
        <f>DATA!AY108</f>
        <v>Konfirmasi melalui surat Sekjen nomor KU.01.12-Sj/636 tgl 23 Oktober 2015</v>
      </c>
      <c r="AN117" s="42" t="e">
        <f>DATA!#REF!</f>
        <v>#REF!</v>
      </c>
      <c r="AO117" s="42" t="str">
        <f>DATA!AZ108</f>
        <v>untuk wilayah Banten</v>
      </c>
      <c r="AP117" s="152" t="e">
        <f>DATA!#REF!</f>
        <v>#REF!</v>
      </c>
      <c r="AQ117" s="67" t="str">
        <f>DATA!BA108</f>
        <v>Meningkatkan kesiapan untuk mengelola dan memitigasi banjir melalui pendekatan pengelolaan banjir terpadu di DAS terpilih</v>
      </c>
    </row>
    <row r="118" spans="1:43" s="6" customFormat="1" ht="87" customHeight="1">
      <c r="A118" s="6">
        <f>DATA!A109</f>
        <v>84</v>
      </c>
      <c r="B118" s="6">
        <f>DATA!B109</f>
        <v>0</v>
      </c>
      <c r="C118" s="6" t="str">
        <f>DATA!D109</f>
        <v>INFRASTRUKTUR</v>
      </c>
      <c r="D118" s="6">
        <f>DATA!E109</f>
        <v>1</v>
      </c>
      <c r="E118" s="6" t="str">
        <f>DATA!F109</f>
        <v>Kementerian Pekerjaan Umum dan Perumahan Rakyat</v>
      </c>
      <c r="F118" s="6" t="str">
        <f>DATA!H109</f>
        <v>Mitigation of Water Hazards Program</v>
      </c>
      <c r="G118" s="6" t="str">
        <f>DATA!I109</f>
        <v>K</v>
      </c>
      <c r="H118" s="6" t="str">
        <f>DATA!J109</f>
        <v>Program Mitigasi Terhadap Daya Rusak Air</v>
      </c>
      <c r="I118" s="6">
        <f>DATA!K109</f>
        <v>7</v>
      </c>
      <c r="J118" s="38"/>
      <c r="K118" s="39"/>
      <c r="L118" s="71"/>
      <c r="M118" s="72"/>
      <c r="N118" s="67" t="str">
        <f>DATA!L109</f>
        <v>Flood Management in Selected River Basins</v>
      </c>
      <c r="O118" s="42">
        <f>DATA!Q109</f>
        <v>1</v>
      </c>
      <c r="P118" s="42">
        <f>DATA!R109</f>
        <v>1</v>
      </c>
      <c r="Q118" s="42">
        <f>DATA!S109</f>
        <v>75</v>
      </c>
      <c r="R118" s="83">
        <f>DATA!T109</f>
        <v>108700000</v>
      </c>
      <c r="S118" s="88">
        <f>DATA!U109</f>
        <v>108700000</v>
      </c>
      <c r="T118" s="83">
        <f>DATA!V109</f>
        <v>50440000</v>
      </c>
      <c r="U118" s="83">
        <f>DATA!W109</f>
        <v>0</v>
      </c>
      <c r="V118" s="83">
        <f>DATA!X109</f>
        <v>159140000</v>
      </c>
      <c r="W118" s="84" t="str">
        <f>DATA!Y109</f>
        <v>ADB</v>
      </c>
      <c r="X118" s="42" t="str">
        <f>DATA!Z109</f>
        <v>Multilateral</v>
      </c>
      <c r="Y118" s="83">
        <f>DATA!AA109</f>
        <v>108700000</v>
      </c>
      <c r="Z118" s="83">
        <f>DATA!AG109</f>
        <v>0</v>
      </c>
      <c r="AA118" s="42" t="str">
        <f>DATA!AH109</f>
        <v>Tanpa keterangan</v>
      </c>
      <c r="AB118" s="67" t="str">
        <f>DATA!AI109</f>
        <v>- Sudah ada RC
- Green Book 2015</v>
      </c>
      <c r="AC118" s="152" t="str">
        <f>DATA!AR109</f>
        <v>-</v>
      </c>
      <c r="AD118" s="152" t="str">
        <f>DATA!AN109</f>
        <v>dalam proses
(memiliki FS dan DED)</v>
      </c>
      <c r="AE118" s="152" t="str">
        <f>DATA!AO109</f>
        <v>dalam proses
(persiapan)</v>
      </c>
      <c r="AF118" s="67" t="str">
        <f>DATA!AJ109</f>
        <v>FS, DED</v>
      </c>
      <c r="AG118" s="67" t="str">
        <f>DATA!AK109</f>
        <v>- Penetapan lokasi dengan SK Gubernur Banten dan Gubernur Maluku
- Izin AMDAL dengan SK Walikota Ambon</v>
      </c>
      <c r="AH118" s="67" t="str">
        <f>DATA!AL109</f>
        <v>Belum ada tender/lelang</v>
      </c>
      <c r="AI118" s="42" t="str">
        <f>DATA!AR109</f>
        <v>-</v>
      </c>
      <c r="AJ118" s="42" t="str">
        <f>DATA!AN109</f>
        <v>dalam proses
(memiliki FS dan DED)</v>
      </c>
      <c r="AK118" s="42" t="str">
        <f>DATA!AO109</f>
        <v>dalam proses
(persiapan)</v>
      </c>
      <c r="AL118" s="42" t="str">
        <f>DATA!AP109</f>
        <v>belum ada proses tender/lelang</v>
      </c>
      <c r="AM118" s="42" t="str">
        <f>DATA!AY109</f>
        <v>Konfirmasi melalui surat Sekjen nomor KU.01.12-Sj/636 tgl 23 Oktober 2015</v>
      </c>
      <c r="AN118" s="42" t="e">
        <f>DATA!#REF!</f>
        <v>#REF!</v>
      </c>
      <c r="AO118" s="42" t="str">
        <f>DATA!AZ109</f>
        <v>Ambon appraisal MoU 2015</v>
      </c>
      <c r="AP118" s="152" t="e">
        <f>DATA!#REF!</f>
        <v>#REF!</v>
      </c>
      <c r="AQ118" s="67" t="str">
        <f>DATA!BA109</f>
        <v>Meningkatkan kesiapan untuk mengelola dan memitigasi banjir melalui pendekatan pengelolaan banjir terpadu di DAS Ciujung, DAS Batu Merah, dan DAS Way Ruhu</v>
      </c>
    </row>
    <row r="119" spans="1:43" s="5" customFormat="1" ht="33.75" customHeight="1">
      <c r="J119" s="28"/>
      <c r="K119" s="50"/>
      <c r="L119" s="30" t="str">
        <f>DATA!I110</f>
        <v>L</v>
      </c>
      <c r="M119" s="31" t="str">
        <f>DATA!J110</f>
        <v xml:space="preserve">Program Pengelolaan Infrastruktur Sumber Daya Air </v>
      </c>
      <c r="N119" s="51"/>
      <c r="O119" s="31"/>
      <c r="P119" s="31"/>
      <c r="Q119" s="31"/>
      <c r="R119" s="81">
        <f>+R120+R121+R122</f>
        <v>650000000</v>
      </c>
      <c r="S119" s="81">
        <f>+S120+S121+S122</f>
        <v>650000000</v>
      </c>
      <c r="T119" s="81">
        <f t="shared" ref="T119:Z119" si="7">+T120+T121+T122</f>
        <v>130000000</v>
      </c>
      <c r="U119" s="81">
        <f t="shared" si="7"/>
        <v>0</v>
      </c>
      <c r="V119" s="81">
        <f t="shared" si="7"/>
        <v>780000000</v>
      </c>
      <c r="W119" s="81"/>
      <c r="X119" s="81" t="e">
        <f t="shared" si="7"/>
        <v>#VALUE!</v>
      </c>
      <c r="Y119" s="81">
        <f t="shared" si="7"/>
        <v>650000000</v>
      </c>
      <c r="Z119" s="81">
        <f t="shared" si="7"/>
        <v>-50000000</v>
      </c>
      <c r="AA119" s="31"/>
      <c r="AB119" s="32"/>
      <c r="AC119" s="32"/>
      <c r="AD119" s="32"/>
      <c r="AE119" s="32"/>
      <c r="AF119" s="32"/>
      <c r="AG119" s="32"/>
      <c r="AH119" s="32"/>
      <c r="AI119" s="31"/>
      <c r="AJ119" s="31"/>
      <c r="AK119" s="31"/>
      <c r="AL119" s="31"/>
      <c r="AM119" s="31"/>
      <c r="AN119" s="31"/>
      <c r="AO119" s="31"/>
      <c r="AP119" s="32"/>
      <c r="AQ119" s="32"/>
    </row>
    <row r="120" spans="1:43" ht="58.5" customHeight="1">
      <c r="A120" s="10">
        <f>DATA!A110</f>
        <v>85</v>
      </c>
      <c r="B120" s="10">
        <f>DATA!B110</f>
        <v>0</v>
      </c>
      <c r="C120" s="10" t="str">
        <f>DATA!D110</f>
        <v>INFRASTRUKTUR</v>
      </c>
      <c r="D120" s="10">
        <f>DATA!E110</f>
        <v>1</v>
      </c>
      <c r="E120" s="10" t="str">
        <f>DATA!F110</f>
        <v>Kementerian Pekerjaan Umum dan Perumahan Rakyat</v>
      </c>
      <c r="F120" s="10" t="str">
        <f>DATA!H110</f>
        <v>Management of Water Resources Infrastructure Program</v>
      </c>
      <c r="G120" s="10" t="str">
        <f>DATA!I110</f>
        <v>L</v>
      </c>
      <c r="H120" s="10" t="str">
        <f>DATA!J110</f>
        <v xml:space="preserve">Program Pengelolaan Infrastruktur Sumber Daya Air </v>
      </c>
      <c r="I120" s="10">
        <f>DATA!K110</f>
        <v>1</v>
      </c>
      <c r="J120" s="33"/>
      <c r="K120" s="34"/>
      <c r="L120" s="35"/>
      <c r="M120" s="36">
        <f>DATA!K110</f>
        <v>1</v>
      </c>
      <c r="N120" s="37" t="str">
        <f>DATA!L110</f>
        <v xml:space="preserve">Dam Operational Improvement and Safety Project (DOISP) - Phase II </v>
      </c>
      <c r="O120" s="20">
        <f>DATA!Q110</f>
        <v>1</v>
      </c>
      <c r="P120" s="20">
        <f>DATA!R110</f>
        <v>1</v>
      </c>
      <c r="Q120" s="20">
        <f>DATA!S110</f>
        <v>76</v>
      </c>
      <c r="R120" s="77">
        <f>DATA!T110</f>
        <v>250000000</v>
      </c>
      <c r="S120" s="88">
        <f>DATA!U110</f>
        <v>250000000</v>
      </c>
      <c r="T120" s="77">
        <f>DATA!V110</f>
        <v>50000000</v>
      </c>
      <c r="U120" s="77">
        <f>DATA!W110</f>
        <v>0</v>
      </c>
      <c r="V120" s="77">
        <f>DATA!X110</f>
        <v>300000000</v>
      </c>
      <c r="W120" s="78" t="str">
        <f>DATA!Y110</f>
        <v>Bank Dunia</v>
      </c>
      <c r="X120" s="20" t="str">
        <f>DATA!Z110</f>
        <v>Multilateral</v>
      </c>
      <c r="Y120" s="77">
        <f>DATA!AA110</f>
        <v>250000000</v>
      </c>
      <c r="Z120" s="77">
        <f>DATA!AG110</f>
        <v>0</v>
      </c>
      <c r="AA120" s="20" t="str">
        <f>DATA!AH110</f>
        <v>Tanpa keterangan</v>
      </c>
      <c r="AB120" s="37" t="str">
        <f>DATA!AI110</f>
        <v>-</v>
      </c>
      <c r="AC120" s="152" t="str">
        <f>DATA!AR110</f>
        <v>-</v>
      </c>
      <c r="AD120" s="152" t="str">
        <f>DATA!AN110</f>
        <v>dalam proses
(memiliki FS)</v>
      </c>
      <c r="AE120" s="152" t="str">
        <f>DATA!AO110</f>
        <v>belum ada keterangan</v>
      </c>
      <c r="AF120" s="37" t="str">
        <f>DATA!AJ110</f>
        <v>FS</v>
      </c>
      <c r="AG120" s="37" t="str">
        <f>DATA!AK110</f>
        <v>-</v>
      </c>
      <c r="AH120" s="37" t="str">
        <f>DATA!AL110</f>
        <v>-</v>
      </c>
      <c r="AI120" s="20" t="str">
        <f>DATA!AR110</f>
        <v>-</v>
      </c>
      <c r="AJ120" s="20" t="str">
        <f>DATA!AN110</f>
        <v>dalam proses
(memiliki FS)</v>
      </c>
      <c r="AK120" s="20" t="str">
        <f>DATA!AO110</f>
        <v>belum ada keterangan</v>
      </c>
      <c r="AL120" s="20" t="str">
        <f>DATA!AP110</f>
        <v>belum ada proses tender/lelang</v>
      </c>
      <c r="AM120" s="20" t="str">
        <f>DATA!AY110</f>
        <v>Konfirmasi melalui surat Sekjen nomor KU.01.12-Sj/636 tgl 23 Oktober 2015</v>
      </c>
      <c r="AN120" s="20" t="e">
        <f>DATA!#REF!</f>
        <v>#REF!</v>
      </c>
      <c r="AO120" s="20">
        <f>DATA!AZ110</f>
        <v>0</v>
      </c>
      <c r="AP120" s="152" t="e">
        <f>DATA!#REF!</f>
        <v>#REF!</v>
      </c>
      <c r="AQ120" s="37" t="str">
        <f>DATA!BA110</f>
        <v>Peningkatan operasi dan keamanan 63 bendungan, peningkatan OP dan kapasitas SDM, mitigasi sedimentasi waduk, peningkatan institusi keamanan bendungan dan manajemen proyek</v>
      </c>
    </row>
    <row r="121" spans="1:43" ht="50.25" customHeight="1">
      <c r="A121" s="10">
        <f>DATA!A113</f>
        <v>86</v>
      </c>
      <c r="B121" s="10">
        <f>DATA!B113</f>
        <v>0</v>
      </c>
      <c r="C121" s="10" t="str">
        <f>DATA!D113</f>
        <v>INFRASTRUKTUR</v>
      </c>
      <c r="D121" s="10">
        <f>DATA!E113</f>
        <v>1</v>
      </c>
      <c r="E121" s="10" t="str">
        <f>DATA!F113</f>
        <v>Kementerian Pekerjaan Umum dan Perumahan Rakyat</v>
      </c>
      <c r="F121" s="10" t="str">
        <f>DATA!H113</f>
        <v>Management of Water Resources Infrastructure Program</v>
      </c>
      <c r="G121" s="10" t="str">
        <f>DATA!I113</f>
        <v>L</v>
      </c>
      <c r="H121" s="10" t="str">
        <f>DATA!J113</f>
        <v xml:space="preserve">Program Pengelolaan Infrastruktur Sumber Daya Air </v>
      </c>
      <c r="I121" s="10">
        <f>DATA!K113</f>
        <v>2</v>
      </c>
      <c r="J121" s="33"/>
      <c r="K121" s="34"/>
      <c r="L121" s="34"/>
      <c r="M121" s="36">
        <f>DATA!K113</f>
        <v>2</v>
      </c>
      <c r="N121" s="37" t="str">
        <f>DATA!L113</f>
        <v xml:space="preserve">Enhanced Water Security Investment Program    </v>
      </c>
      <c r="O121" s="20">
        <f>DATA!Q113</f>
        <v>1</v>
      </c>
      <c r="P121" s="20">
        <f>DATA!R113</f>
        <v>1</v>
      </c>
      <c r="Q121" s="20">
        <f>DATA!S113</f>
        <v>77</v>
      </c>
      <c r="R121" s="77">
        <f>DATA!T113</f>
        <v>350000000</v>
      </c>
      <c r="S121" s="88">
        <f>DATA!U113</f>
        <v>350000000</v>
      </c>
      <c r="T121" s="77">
        <f>DATA!V113</f>
        <v>70000000</v>
      </c>
      <c r="U121" s="77">
        <f>DATA!W113</f>
        <v>0</v>
      </c>
      <c r="V121" s="77">
        <f>DATA!X113</f>
        <v>420000000</v>
      </c>
      <c r="W121" s="78" t="str">
        <f>DATA!Y113</f>
        <v>ADB</v>
      </c>
      <c r="X121" s="20" t="str">
        <f>DATA!Z113</f>
        <v>Multilateral</v>
      </c>
      <c r="Y121" s="77">
        <f>DATA!AA113</f>
        <v>350000000</v>
      </c>
      <c r="Z121" s="77">
        <f>DATA!AG113</f>
        <v>0</v>
      </c>
      <c r="AA121" s="20" t="str">
        <f>DATA!AH113</f>
        <v>Tanpa keterangan</v>
      </c>
      <c r="AB121" s="37" t="str">
        <f>DATA!AI113</f>
        <v>-</v>
      </c>
      <c r="AC121" s="152" t="str">
        <f>DATA!AR113</f>
        <v>belum ada dokumen R/C</v>
      </c>
      <c r="AD121" s="152" t="str">
        <f>DATA!AN113</f>
        <v>belum ada keterangan</v>
      </c>
      <c r="AE121" s="152" t="str">
        <f>DATA!AO113</f>
        <v>belum ada keterangan</v>
      </c>
      <c r="AF121" s="37" t="str">
        <f>DATA!AJ113</f>
        <v>-</v>
      </c>
      <c r="AG121" s="37" t="str">
        <f>DATA!AK113</f>
        <v>-</v>
      </c>
      <c r="AH121" s="37" t="str">
        <f>DATA!AL113</f>
        <v>-</v>
      </c>
      <c r="AI121" s="20" t="str">
        <f>DATA!AR113</f>
        <v>belum ada dokumen R/C</v>
      </c>
      <c r="AJ121" s="20" t="str">
        <f>DATA!AN113</f>
        <v>belum ada keterangan</v>
      </c>
      <c r="AK121" s="20" t="str">
        <f>DATA!AO113</f>
        <v>belum ada keterangan</v>
      </c>
      <c r="AL121" s="20" t="str">
        <f>DATA!AP113</f>
        <v>belum ada proses tender/lelang</v>
      </c>
      <c r="AM121" s="20" t="str">
        <f>DATA!AY113</f>
        <v>Konfirmasi melalui surat Sekjen nomor KU.01.12-Sj/636 tgl 23 Oktober 2015</v>
      </c>
      <c r="AN121" s="20" t="e">
        <f>DATA!#REF!</f>
        <v>#REF!</v>
      </c>
      <c r="AO121" s="20" t="str">
        <f>DATA!AZ113</f>
        <v>Belum ada pembicaraan dgn ADB</v>
      </c>
      <c r="AP121" s="152" t="e">
        <f>DATA!#REF!</f>
        <v>#REF!</v>
      </c>
      <c r="AQ121" s="37" t="str">
        <f>DATA!BA113</f>
        <v>Peningkatan kapasitas waduk, pemanfaatan potensi bendungan untuk pembangkit listrik dan manajemen proyek</v>
      </c>
    </row>
    <row r="122" spans="1:43" ht="32.25" customHeight="1">
      <c r="A122" s="10">
        <f>DATA!A114</f>
        <v>87</v>
      </c>
      <c r="B122" s="10">
        <f>DATA!B114</f>
        <v>0</v>
      </c>
      <c r="C122" s="10" t="str">
        <f>DATA!D114</f>
        <v>INFRASTRUKTUR</v>
      </c>
      <c r="D122" s="10">
        <f>DATA!E114</f>
        <v>1</v>
      </c>
      <c r="E122" s="10" t="str">
        <f>DATA!F114</f>
        <v>Kementerian Pekerjaan Umum dan Perumahan Rakyat</v>
      </c>
      <c r="F122" s="10" t="str">
        <f>DATA!H114</f>
        <v>Management of Water Resources Infrastructure Program</v>
      </c>
      <c r="G122" s="10" t="str">
        <f>DATA!I114</f>
        <v>L</v>
      </c>
      <c r="H122" s="10" t="str">
        <f>DATA!J114</f>
        <v xml:space="preserve">Program Pengelolaan Infrastruktur Sumber Daya Air </v>
      </c>
      <c r="I122" s="10">
        <f>DATA!K114</f>
        <v>3</v>
      </c>
      <c r="J122" s="33"/>
      <c r="K122" s="34"/>
      <c r="L122" s="54"/>
      <c r="M122" s="36">
        <f>DATA!K114</f>
        <v>3</v>
      </c>
      <c r="N122" s="37" t="str">
        <f>DATA!L114</f>
        <v>Engineering Service for Water Resources Infrastructure Management</v>
      </c>
      <c r="O122" s="20">
        <f>DATA!Q114</f>
        <v>1</v>
      </c>
      <c r="P122" s="20">
        <f>DATA!R114</f>
        <v>1</v>
      </c>
      <c r="Q122" s="20">
        <f>DATA!S114</f>
        <v>78</v>
      </c>
      <c r="R122" s="77">
        <f>DATA!T114</f>
        <v>50000000</v>
      </c>
      <c r="S122" s="88">
        <f>DATA!U114</f>
        <v>50000000</v>
      </c>
      <c r="T122" s="77">
        <f>DATA!V114</f>
        <v>10000000</v>
      </c>
      <c r="U122" s="77">
        <f>DATA!W114</f>
        <v>0</v>
      </c>
      <c r="V122" s="77">
        <f>DATA!X114</f>
        <v>60000000</v>
      </c>
      <c r="W122" s="78" t="str">
        <f>DATA!Y114</f>
        <v>Belum Ada Indikasi</v>
      </c>
      <c r="X122" s="20" t="str">
        <f>DATA!Z114</f>
        <v>Multilateral</v>
      </c>
      <c r="Y122" s="77">
        <f>DATA!AA114</f>
        <v>50000000</v>
      </c>
      <c r="Z122" s="77">
        <f>DATA!AG114</f>
        <v>-50000000</v>
      </c>
      <c r="AA122" s="20" t="str">
        <f>DATA!AH114</f>
        <v>Tanpa keterangan</v>
      </c>
      <c r="AB122" s="37" t="str">
        <f>DATA!AI114</f>
        <v>-</v>
      </c>
      <c r="AC122" s="152" t="str">
        <f>DATA!AR114</f>
        <v>belum ada dokumen R/C</v>
      </c>
      <c r="AD122" s="152" t="str">
        <f>DATA!AN114</f>
        <v>siap</v>
      </c>
      <c r="AE122" s="152" t="str">
        <f>DATA!AO114</f>
        <v>tidak butuh lahan</v>
      </c>
      <c r="AF122" s="37" t="str">
        <f>DATA!AJ114</f>
        <v>-</v>
      </c>
      <c r="AG122" s="37" t="str">
        <f>DATA!AK114</f>
        <v>-</v>
      </c>
      <c r="AH122" s="37" t="str">
        <f>DATA!AL114</f>
        <v>-</v>
      </c>
      <c r="AI122" s="20" t="str">
        <f>DATA!AR114</f>
        <v>belum ada dokumen R/C</v>
      </c>
      <c r="AJ122" s="20" t="str">
        <f>DATA!AN114</f>
        <v>siap</v>
      </c>
      <c r="AK122" s="20" t="str">
        <f>DATA!AO114</f>
        <v>tidak butuh lahan</v>
      </c>
      <c r="AL122" s="20" t="str">
        <f>DATA!AP114</f>
        <v>belum ada proses tender/lelang</v>
      </c>
      <c r="AM122" s="20" t="str">
        <f>DATA!AY114</f>
        <v>Konfirmasi melalui surat Sekjen nomor KU.01.12-Sj/636 tgl 23 Oktober 2015</v>
      </c>
      <c r="AN122" s="20" t="e">
        <f>DATA!#REF!</f>
        <v>#REF!</v>
      </c>
      <c r="AO122" s="20" t="str">
        <f>DATA!AZ114</f>
        <v>Belum ada pembicaraan dgn ADB</v>
      </c>
      <c r="AP122" s="152" t="e">
        <f>DATA!#REF!</f>
        <v>#REF!</v>
      </c>
      <c r="AQ122" s="37" t="str">
        <f>DATA!BA114</f>
        <v>Engineering services dan management project untuk pengelolaan infrastruktur sumber daya air</v>
      </c>
    </row>
    <row r="123" spans="1:43" s="5" customFormat="1" ht="33.75" customHeight="1">
      <c r="J123" s="28"/>
      <c r="K123" s="50"/>
      <c r="L123" s="30" t="str">
        <f>DATA!I117</f>
        <v>M</v>
      </c>
      <c r="M123" s="31" t="str">
        <f>DATA!J117</f>
        <v>Program Penyediaaan Perumahan Bagi MBR</v>
      </c>
      <c r="N123" s="51"/>
      <c r="O123" s="31"/>
      <c r="P123" s="31"/>
      <c r="Q123" s="31"/>
      <c r="R123" s="81">
        <f>+R124</f>
        <v>300000000</v>
      </c>
      <c r="S123" s="81">
        <f>+S124</f>
        <v>300000000</v>
      </c>
      <c r="T123" s="81">
        <f t="shared" ref="T123:Z123" si="8">+T124</f>
        <v>15000000</v>
      </c>
      <c r="U123" s="81">
        <f t="shared" si="8"/>
        <v>7000000</v>
      </c>
      <c r="V123" s="81">
        <f t="shared" si="8"/>
        <v>322000000</v>
      </c>
      <c r="W123" s="81"/>
      <c r="X123" s="81" t="str">
        <f t="shared" si="8"/>
        <v>Multilateral</v>
      </c>
      <c r="Y123" s="81">
        <f t="shared" si="8"/>
        <v>300000000</v>
      </c>
      <c r="Z123" s="81">
        <f t="shared" si="8"/>
        <v>0</v>
      </c>
      <c r="AA123" s="31"/>
      <c r="AB123" s="32"/>
      <c r="AC123" s="32"/>
      <c r="AD123" s="32"/>
      <c r="AE123" s="32"/>
      <c r="AF123" s="32"/>
      <c r="AG123" s="32"/>
      <c r="AH123" s="32"/>
      <c r="AI123" s="31"/>
      <c r="AJ123" s="31"/>
      <c r="AK123" s="31"/>
      <c r="AL123" s="31"/>
      <c r="AM123" s="31"/>
      <c r="AN123" s="31"/>
      <c r="AO123" s="31"/>
      <c r="AP123" s="32"/>
      <c r="AQ123" s="32"/>
    </row>
    <row r="124" spans="1:43" ht="45.75" customHeight="1">
      <c r="A124" s="10">
        <f>DATA!A117</f>
        <v>88</v>
      </c>
      <c r="B124" s="10">
        <f>DATA!B117</f>
        <v>0</v>
      </c>
      <c r="C124" s="10" t="str">
        <f>DATA!D117</f>
        <v>INFRASTRUKTUR</v>
      </c>
      <c r="D124" s="10">
        <f>DATA!E117</f>
        <v>1</v>
      </c>
      <c r="E124" s="10" t="str">
        <f>DATA!F117</f>
        <v>Kementerian Pekerjaan Umum dan Perumahan Rakyat</v>
      </c>
      <c r="F124" s="10" t="str">
        <f>DATA!H117</f>
        <v>Program for Provision of Housing For Low-Income Households</v>
      </c>
      <c r="G124" s="10" t="str">
        <f>DATA!I117</f>
        <v>M</v>
      </c>
      <c r="H124" s="10" t="str">
        <f>DATA!J117</f>
        <v>Program Penyediaaan Perumahan Bagi MBR</v>
      </c>
      <c r="I124" s="10">
        <f>DATA!K117</f>
        <v>1</v>
      </c>
      <c r="J124" s="33"/>
      <c r="K124" s="54"/>
      <c r="L124" s="20"/>
      <c r="M124" s="36">
        <f>DATA!K117</f>
        <v>1</v>
      </c>
      <c r="N124" s="37" t="str">
        <f>DATA!L117</f>
        <v xml:space="preserve">Financial Support for Low Income Households </v>
      </c>
      <c r="O124" s="20">
        <f>DATA!Q117</f>
        <v>0</v>
      </c>
      <c r="P124" s="20">
        <f>DATA!R117</f>
        <v>0</v>
      </c>
      <c r="Q124" s="20">
        <f>DATA!S117</f>
        <v>79</v>
      </c>
      <c r="R124" s="77">
        <f>DATA!T117</f>
        <v>300000000</v>
      </c>
      <c r="S124" s="88">
        <f>DATA!U117</f>
        <v>300000000</v>
      </c>
      <c r="T124" s="77">
        <f>DATA!V117</f>
        <v>15000000</v>
      </c>
      <c r="U124" s="77">
        <f>DATA!W117</f>
        <v>7000000</v>
      </c>
      <c r="V124" s="77">
        <f>DATA!X117</f>
        <v>322000000</v>
      </c>
      <c r="W124" s="78" t="str">
        <f>DATA!Y117</f>
        <v>Bank Dunia</v>
      </c>
      <c r="X124" s="20" t="str">
        <f>DATA!Z117</f>
        <v>Multilateral</v>
      </c>
      <c r="Y124" s="77">
        <f>DATA!AA117</f>
        <v>300000000</v>
      </c>
      <c r="Z124" s="77">
        <f>DATA!AG117</f>
        <v>0</v>
      </c>
      <c r="AA124" s="20">
        <f>DATA!AH117</f>
        <v>2017</v>
      </c>
      <c r="AB124" s="37" t="str">
        <f>DATA!AI117</f>
        <v>Penyusunan R/C</v>
      </c>
      <c r="AC124" s="152" t="str">
        <f>DATA!AR117</f>
        <v>belum ada dokumen R/C</v>
      </c>
      <c r="AD124" s="152" t="str">
        <f>DATA!AN117</f>
        <v>belum ada keterangan</v>
      </c>
      <c r="AE124" s="152" t="str">
        <f>DATA!AO117</f>
        <v>belum ada keterangan</v>
      </c>
      <c r="AF124" s="37" t="str">
        <f>DATA!AJ117</f>
        <v>-</v>
      </c>
      <c r="AG124" s="37" t="str">
        <f>DATA!AK117</f>
        <v>-</v>
      </c>
      <c r="AH124" s="37" t="str">
        <f>DATA!AL117</f>
        <v>-</v>
      </c>
      <c r="AI124" s="20" t="str">
        <f>DATA!AR117</f>
        <v>belum ada dokumen R/C</v>
      </c>
      <c r="AJ124" s="20" t="str">
        <f>DATA!AN117</f>
        <v>belum ada keterangan</v>
      </c>
      <c r="AK124" s="20" t="str">
        <f>DATA!AO117</f>
        <v>belum ada keterangan</v>
      </c>
      <c r="AL124" s="20" t="str">
        <f>DATA!AP117</f>
        <v>belum ada proses tender/lelang</v>
      </c>
      <c r="AM124" s="20" t="str">
        <f>DATA!AY117</f>
        <v>Konfirmasi melalui surat Sekjen nomor KU.01.12-Sj/636 tgl 23 Oktober 2015</v>
      </c>
      <c r="AN124" s="20" t="e">
        <f>DATA!#REF!</f>
        <v>#REF!</v>
      </c>
      <c r="AO124" s="20" t="str">
        <f>DATA!AZ117</f>
        <v>Tujuan kegiatan ini adalah untuk membantu uang muka pembangunan rumah</v>
      </c>
      <c r="AP124" s="152" t="e">
        <f>DATA!#REF!</f>
        <v>#REF!</v>
      </c>
      <c r="AQ124" s="37" t="str">
        <f>DATA!BA117</f>
        <v>Peningkatan kapasitas lembaga pembiayaan, pengembangan sistem pembiayaan perumahan mikro, dan pengembangan  sistem pembiayaan perumahan</v>
      </c>
    </row>
    <row r="125" spans="1:43" s="4" customFormat="1" ht="24.95" customHeight="1">
      <c r="J125" s="107"/>
      <c r="K125" s="25">
        <f>DATA!E118</f>
        <v>2</v>
      </c>
      <c r="L125" s="108" t="str">
        <f>DATA!F118</f>
        <v>PERUMNAS</v>
      </c>
      <c r="M125" s="26"/>
      <c r="N125" s="27"/>
      <c r="O125" s="26"/>
      <c r="P125" s="26"/>
      <c r="Q125" s="26"/>
      <c r="R125" s="80">
        <f>+R126</f>
        <v>200000000</v>
      </c>
      <c r="S125" s="80">
        <f>+S126</f>
        <v>200000000</v>
      </c>
      <c r="T125" s="80">
        <f t="shared" ref="T125:Z125" si="9">+T126</f>
        <v>20000000</v>
      </c>
      <c r="U125" s="80">
        <f t="shared" si="9"/>
        <v>0</v>
      </c>
      <c r="V125" s="80">
        <f t="shared" si="9"/>
        <v>220000000</v>
      </c>
      <c r="W125" s="80"/>
      <c r="X125" s="80" t="str">
        <f t="shared" si="9"/>
        <v>Bilateral</v>
      </c>
      <c r="Y125" s="80">
        <f t="shared" si="9"/>
        <v>200000000</v>
      </c>
      <c r="Z125" s="80">
        <f t="shared" si="9"/>
        <v>0</v>
      </c>
      <c r="AA125" s="26"/>
      <c r="AB125" s="27"/>
      <c r="AC125" s="27"/>
      <c r="AD125" s="27"/>
      <c r="AE125" s="27"/>
      <c r="AF125" s="27"/>
      <c r="AG125" s="27"/>
      <c r="AH125" s="27"/>
      <c r="AI125" s="26"/>
      <c r="AJ125" s="26"/>
      <c r="AK125" s="26"/>
      <c r="AL125" s="26"/>
      <c r="AM125" s="26"/>
      <c r="AN125" s="26"/>
      <c r="AO125" s="26"/>
      <c r="AP125" s="27"/>
      <c r="AQ125" s="27"/>
    </row>
    <row r="126" spans="1:43" s="5" customFormat="1" ht="33.75" customHeight="1">
      <c r="J126" s="28"/>
      <c r="K126" s="29"/>
      <c r="L126" s="30" t="str">
        <f>DATA!I118</f>
        <v>A</v>
      </c>
      <c r="M126" s="31" t="str">
        <f>DATA!J118</f>
        <v>Program Penyediaaan Perumahan Bagi MBR</v>
      </c>
      <c r="N126" s="51"/>
      <c r="O126" s="31"/>
      <c r="P126" s="31"/>
      <c r="Q126" s="31"/>
      <c r="R126" s="81">
        <f>+R127</f>
        <v>200000000</v>
      </c>
      <c r="S126" s="81">
        <f>+S127</f>
        <v>200000000</v>
      </c>
      <c r="T126" s="81">
        <f t="shared" ref="T126:Z126" si="10">+T127</f>
        <v>20000000</v>
      </c>
      <c r="U126" s="81">
        <f t="shared" si="10"/>
        <v>0</v>
      </c>
      <c r="V126" s="81">
        <f t="shared" si="10"/>
        <v>220000000</v>
      </c>
      <c r="W126" s="81"/>
      <c r="X126" s="81" t="str">
        <f t="shared" si="10"/>
        <v>Bilateral</v>
      </c>
      <c r="Y126" s="81">
        <f t="shared" si="10"/>
        <v>200000000</v>
      </c>
      <c r="Z126" s="81">
        <f t="shared" si="10"/>
        <v>0</v>
      </c>
      <c r="AA126" s="31"/>
      <c r="AB126" s="32"/>
      <c r="AC126" s="32"/>
      <c r="AD126" s="32"/>
      <c r="AE126" s="32"/>
      <c r="AF126" s="32"/>
      <c r="AG126" s="32"/>
      <c r="AH126" s="32"/>
      <c r="AI126" s="31"/>
      <c r="AJ126" s="31"/>
      <c r="AK126" s="31"/>
      <c r="AL126" s="31"/>
      <c r="AM126" s="31"/>
      <c r="AN126" s="31"/>
      <c r="AO126" s="31"/>
      <c r="AP126" s="32"/>
      <c r="AQ126" s="32"/>
    </row>
    <row r="127" spans="1:43" ht="63.75">
      <c r="A127" s="10">
        <f>DATA!A118</f>
        <v>89</v>
      </c>
      <c r="B127" s="10">
        <f>DATA!B118</f>
        <v>0</v>
      </c>
      <c r="C127" s="10" t="str">
        <f>DATA!D118</f>
        <v>INFRASTRUKTUR</v>
      </c>
      <c r="D127" s="10">
        <f>DATA!E118</f>
        <v>2</v>
      </c>
      <c r="E127" s="10" t="str">
        <f>DATA!F118</f>
        <v>PERUMNAS</v>
      </c>
      <c r="F127" s="10" t="str">
        <f>DATA!H118</f>
        <v>Program for Provision of Housing For Low-Income Households</v>
      </c>
      <c r="G127" s="10" t="str">
        <f>DATA!I118</f>
        <v>A</v>
      </c>
      <c r="H127" s="10" t="str">
        <f>DATA!J118</f>
        <v>Program Penyediaaan Perumahan Bagi MBR</v>
      </c>
      <c r="I127" s="10">
        <f>DATA!K118</f>
        <v>1</v>
      </c>
      <c r="J127" s="33"/>
      <c r="K127" s="54"/>
      <c r="L127" s="20"/>
      <c r="M127" s="36">
        <f>DATA!K118</f>
        <v>1</v>
      </c>
      <c r="N127" s="37" t="str">
        <f>DATA!L118</f>
        <v>Support for National Housing and Urban Development Cooperation</v>
      </c>
      <c r="O127" s="20">
        <f>DATA!Q118</f>
        <v>1</v>
      </c>
      <c r="P127" s="20">
        <f>DATA!R118</f>
        <v>1</v>
      </c>
      <c r="Q127" s="20">
        <f>DATA!S118</f>
        <v>80</v>
      </c>
      <c r="R127" s="77">
        <f>DATA!T118</f>
        <v>200000000</v>
      </c>
      <c r="S127" s="88">
        <f>DATA!U118</f>
        <v>200000000</v>
      </c>
      <c r="T127" s="77">
        <f>DATA!V118</f>
        <v>20000000</v>
      </c>
      <c r="U127" s="77">
        <f>DATA!W118</f>
        <v>0</v>
      </c>
      <c r="V127" s="77">
        <f>DATA!X118</f>
        <v>220000000</v>
      </c>
      <c r="W127" s="78" t="str">
        <f>DATA!Y118</f>
        <v>JICA</v>
      </c>
      <c r="X127" s="20" t="str">
        <f>DATA!Z118</f>
        <v>Bilateral</v>
      </c>
      <c r="Y127" s="77">
        <f>DATA!AA118</f>
        <v>200000000</v>
      </c>
      <c r="Z127" s="77">
        <f>DATA!AG118</f>
        <v>0</v>
      </c>
      <c r="AA127" s="20">
        <f>DATA!AH118</f>
        <v>2017</v>
      </c>
      <c r="AB127" s="37" t="str">
        <f>DATA!AI118</f>
        <v>Penyusunan R/C</v>
      </c>
      <c r="AC127" s="152" t="str">
        <f>DATA!AR118</f>
        <v>belum ada dokumen R/C</v>
      </c>
      <c r="AD127" s="152" t="str">
        <f>DATA!AN118</f>
        <v>dalam proses
(memiliki FS dan DED)</v>
      </c>
      <c r="AE127" s="152" t="str">
        <f>DATA!AO118</f>
        <v>siap</v>
      </c>
      <c r="AF127" s="37" t="str">
        <f>DATA!AJ118</f>
        <v>FS, DED</v>
      </c>
      <c r="AG127" s="37" t="str">
        <f>DATA!AK118</f>
        <v>100% (lahan milik PERUMNAS)</v>
      </c>
      <c r="AH127" s="37" t="str">
        <f>DATA!AL118</f>
        <v>Mengikuti tahapan setiap project sesuai Standart Operational Procedure (SOP) Perumnas</v>
      </c>
      <c r="AI127" s="20" t="str">
        <f>DATA!AR118</f>
        <v>belum ada dokumen R/C</v>
      </c>
      <c r="AJ127" s="20" t="str">
        <f>DATA!AN118</f>
        <v>dalam proses
(memiliki FS dan DED)</v>
      </c>
      <c r="AK127" s="20" t="str">
        <f>DATA!AO118</f>
        <v>siap</v>
      </c>
      <c r="AL127" s="20" t="str">
        <f>DATA!AP118</f>
        <v>belum ada proses tender/lelang</v>
      </c>
      <c r="AM127"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N127" s="20" t="e">
        <f>DATA!#REF!</f>
        <v>#REF!</v>
      </c>
      <c r="AO127" s="20">
        <f>DATA!AZ118</f>
        <v>0</v>
      </c>
      <c r="AP127" s="152" t="e">
        <f>DATA!#REF!</f>
        <v>#REF!</v>
      </c>
      <c r="AQ127" s="37" t="str">
        <f>DATA!BA118</f>
        <v>Membangun 69.784 unit rumah (35.438 unit rumah sederhana tapak dan 34.346 unit rumah susun), meremajakan 3.816 unit rumah susun, dan mengelola perumahan umum (property management)</v>
      </c>
    </row>
    <row r="128" spans="1:43" s="4" customFormat="1" ht="24.95" customHeight="1">
      <c r="J128" s="107"/>
      <c r="K128" s="25">
        <f>DATA!E119</f>
        <v>3</v>
      </c>
      <c r="L128" s="108" t="str">
        <f>DATA!F119</f>
        <v>Kementerian Perhubungan</v>
      </c>
      <c r="M128" s="25"/>
      <c r="N128" s="27"/>
      <c r="O128" s="26"/>
      <c r="P128" s="26"/>
      <c r="Q128" s="26"/>
      <c r="R128" s="80">
        <f>+R129</f>
        <v>5765336700</v>
      </c>
      <c r="S128" s="80">
        <f>+S129</f>
        <v>5765336700</v>
      </c>
      <c r="T128" s="80">
        <f t="shared" ref="T128:Z128" si="11">+T129</f>
        <v>647453200</v>
      </c>
      <c r="U128" s="80">
        <f t="shared" si="11"/>
        <v>0</v>
      </c>
      <c r="V128" s="80">
        <f t="shared" si="11"/>
        <v>6412789900</v>
      </c>
      <c r="W128" s="80"/>
      <c r="X128" s="80" t="e">
        <f t="shared" si="11"/>
        <v>#VALUE!</v>
      </c>
      <c r="Y128" s="80">
        <f t="shared" si="11"/>
        <v>5765336700</v>
      </c>
      <c r="Z128" s="80">
        <f t="shared" si="11"/>
        <v>0</v>
      </c>
      <c r="AA128" s="26"/>
      <c r="AB128" s="27"/>
      <c r="AC128" s="27"/>
      <c r="AD128" s="27"/>
      <c r="AE128" s="27"/>
      <c r="AF128" s="27"/>
      <c r="AG128" s="27"/>
      <c r="AH128" s="27"/>
      <c r="AI128" s="26"/>
      <c r="AJ128" s="26"/>
      <c r="AK128" s="26"/>
      <c r="AL128" s="26"/>
      <c r="AM128" s="26"/>
      <c r="AN128" s="26"/>
      <c r="AO128" s="26"/>
      <c r="AP128" s="27"/>
      <c r="AQ128" s="27"/>
    </row>
    <row r="129" spans="1:43" s="5" customFormat="1" ht="33.75" customHeight="1">
      <c r="J129" s="28"/>
      <c r="K129" s="29"/>
      <c r="L129" s="30" t="str">
        <f>DATA!I119</f>
        <v>A</v>
      </c>
      <c r="M129" s="31" t="str">
        <f>DATA!J119</f>
        <v>Program Pengembangan Perkeretaapian</v>
      </c>
      <c r="N129" s="51"/>
      <c r="O129" s="31"/>
      <c r="P129" s="31"/>
      <c r="Q129" s="31"/>
      <c r="R129" s="81">
        <f>+R130+R133+R134+R135</f>
        <v>5765336700</v>
      </c>
      <c r="S129" s="81">
        <f>+S130+S133+S134+S135</f>
        <v>5765336700</v>
      </c>
      <c r="T129" s="81">
        <f t="shared" ref="T129:Z129" si="12">+T130+T133+T134+T135</f>
        <v>647453200</v>
      </c>
      <c r="U129" s="81">
        <f t="shared" si="12"/>
        <v>0</v>
      </c>
      <c r="V129" s="81">
        <f t="shared" si="12"/>
        <v>6412789900</v>
      </c>
      <c r="W129" s="81"/>
      <c r="X129" s="81" t="e">
        <f t="shared" si="12"/>
        <v>#VALUE!</v>
      </c>
      <c r="Y129" s="81">
        <f t="shared" si="12"/>
        <v>5765336700</v>
      </c>
      <c r="Z129" s="81">
        <f t="shared" si="12"/>
        <v>0</v>
      </c>
      <c r="AA129" s="31"/>
      <c r="AB129" s="32"/>
      <c r="AC129" s="32"/>
      <c r="AD129" s="32"/>
      <c r="AE129" s="32"/>
      <c r="AF129" s="32"/>
      <c r="AG129" s="32"/>
      <c r="AH129" s="32"/>
      <c r="AI129" s="31"/>
      <c r="AJ129" s="31"/>
      <c r="AK129" s="31"/>
      <c r="AL129" s="31"/>
      <c r="AM129" s="31"/>
      <c r="AN129" s="31"/>
      <c r="AO129" s="31"/>
      <c r="AP129" s="32"/>
      <c r="AQ129" s="32"/>
    </row>
    <row r="130" spans="1:43" ht="27.75" customHeight="1">
      <c r="A130" s="10">
        <f>DATA!A119</f>
        <v>90</v>
      </c>
      <c r="B130" s="10">
        <f>DATA!B119</f>
        <v>0</v>
      </c>
      <c r="C130" s="10" t="str">
        <f>DATA!D119</f>
        <v>INFRASTRUKTUR</v>
      </c>
      <c r="D130" s="10">
        <f>DATA!E119</f>
        <v>3</v>
      </c>
      <c r="E130" s="10" t="str">
        <f>DATA!F119</f>
        <v>Kementerian Perhubungan</v>
      </c>
      <c r="F130" s="10" t="str">
        <f>DATA!H119</f>
        <v>Railway Development Program</v>
      </c>
      <c r="G130" s="10" t="str">
        <f>DATA!I119</f>
        <v>A</v>
      </c>
      <c r="H130" s="10" t="str">
        <f>DATA!J119</f>
        <v>Program Pengembangan Perkeretaapian</v>
      </c>
      <c r="I130" s="10">
        <f>DATA!K119</f>
        <v>1</v>
      </c>
      <c r="J130" s="33"/>
      <c r="K130" s="34"/>
      <c r="L130" s="35"/>
      <c r="M130" s="36">
        <f>DATA!K119</f>
        <v>1</v>
      </c>
      <c r="N130" s="37" t="str">
        <f>DATA!L119</f>
        <v>Procurement of Track Material and Turn Out:</v>
      </c>
      <c r="O130" s="20">
        <f>DATA!Q119</f>
        <v>0</v>
      </c>
      <c r="P130" s="20">
        <f>DATA!R119</f>
        <v>0</v>
      </c>
      <c r="Q130" s="20">
        <f>DATA!S119</f>
        <v>0</v>
      </c>
      <c r="R130" s="77">
        <f>DATA!T119</f>
        <v>492336700</v>
      </c>
      <c r="S130" s="88">
        <f>DATA!U119</f>
        <v>492336700</v>
      </c>
      <c r="T130" s="77">
        <f>DATA!V119</f>
        <v>119453200</v>
      </c>
      <c r="U130" s="77">
        <f>DATA!W119</f>
        <v>0</v>
      </c>
      <c r="V130" s="77">
        <f>DATA!X119</f>
        <v>611789900</v>
      </c>
      <c r="W130" s="78" t="str">
        <f>DATA!Y119</f>
        <v>-</v>
      </c>
      <c r="X130" s="20">
        <f>DATA!Z119</f>
        <v>0</v>
      </c>
      <c r="Y130" s="77">
        <f>DATA!AA119</f>
        <v>492336700</v>
      </c>
      <c r="Z130" s="77">
        <f>DATA!AG119</f>
        <v>0</v>
      </c>
      <c r="AA130" s="20" t="str">
        <f>DATA!AH119</f>
        <v>-</v>
      </c>
      <c r="AB130" s="37" t="str">
        <f>DATA!AI119</f>
        <v>-</v>
      </c>
      <c r="AC130" s="152" t="str">
        <f>DATA!AM119</f>
        <v>-</v>
      </c>
      <c r="AD130" s="152">
        <f>DATA!AN119</f>
        <v>0</v>
      </c>
      <c r="AE130" s="152" t="str">
        <f>DATA!AO119</f>
        <v>-</v>
      </c>
      <c r="AF130" s="37" t="str">
        <f>DATA!AJ119</f>
        <v>-</v>
      </c>
      <c r="AG130" s="37" t="str">
        <f>DATA!AK119</f>
        <v>-</v>
      </c>
      <c r="AH130" s="37" t="str">
        <f>DATA!AL119</f>
        <v>-</v>
      </c>
      <c r="AI130" s="20" t="str">
        <f>DATA!AM119</f>
        <v>-</v>
      </c>
      <c r="AJ130" s="20">
        <f>DATA!AN119</f>
        <v>0</v>
      </c>
      <c r="AK130" s="20" t="str">
        <f>DATA!AO119</f>
        <v>-</v>
      </c>
      <c r="AL130" s="20">
        <f>DATA!AP119</f>
        <v>0</v>
      </c>
      <c r="AM130" s="20" t="str">
        <f>DATA!AY119</f>
        <v>Surat Kepala Biro Perencanaan nomor 548/BI/SRT/IX/2015 tgl 10 September 2015</v>
      </c>
      <c r="AN130" s="20" t="e">
        <f>DATA!#REF!</f>
        <v>#REF!</v>
      </c>
      <c r="AO130" s="20">
        <f>DATA!AZ119</f>
        <v>0</v>
      </c>
      <c r="AP130" s="152" t="e">
        <f>DATA!#REF!</f>
        <v>#REF!</v>
      </c>
      <c r="AQ130" s="37" t="str">
        <f>DATA!BA119</f>
        <v>Pengadaan 4.500 km track material dan pengadaan 650 unit wesel</v>
      </c>
    </row>
    <row r="131" spans="1:43" s="6" customFormat="1" ht="89.25">
      <c r="A131" s="6">
        <f>DATA!A120</f>
        <v>91</v>
      </c>
      <c r="B131" s="6">
        <f>DATA!B120</f>
        <v>0</v>
      </c>
      <c r="C131" s="6" t="str">
        <f>DATA!D120</f>
        <v>INFRASTRUKTUR</v>
      </c>
      <c r="D131" s="6">
        <f>DATA!E120</f>
        <v>3</v>
      </c>
      <c r="E131" s="6" t="str">
        <f>DATA!F120</f>
        <v>Kementerian Perhubungan</v>
      </c>
      <c r="F131" s="6" t="str">
        <f>DATA!H120</f>
        <v>Railway Development Program</v>
      </c>
      <c r="G131" s="6" t="str">
        <f>DATA!I120</f>
        <v>A</v>
      </c>
      <c r="H131" s="6" t="str">
        <f>DATA!J120</f>
        <v>Program Pengembangan Perkeretaapian</v>
      </c>
      <c r="I131" s="6">
        <f>DATA!K120</f>
        <v>1</v>
      </c>
      <c r="J131" s="38"/>
      <c r="K131" s="39"/>
      <c r="L131" s="39"/>
      <c r="M131" s="40"/>
      <c r="N131" s="67" t="str">
        <f>DATA!L120</f>
        <v>Procurement of Track Material and Turn Out - Phase II</v>
      </c>
      <c r="O131" s="42">
        <f>DATA!Q120</f>
        <v>1</v>
      </c>
      <c r="P131" s="42">
        <f>DATA!R120</f>
        <v>1</v>
      </c>
      <c r="Q131" s="42">
        <f>DATA!S120</f>
        <v>81</v>
      </c>
      <c r="R131" s="83">
        <f>DATA!T120</f>
        <v>200000000</v>
      </c>
      <c r="S131" s="88">
        <f>DATA!U120</f>
        <v>200000000</v>
      </c>
      <c r="T131" s="83">
        <f>DATA!V120</f>
        <v>46369000</v>
      </c>
      <c r="U131" s="83">
        <f>DATA!W120</f>
        <v>0</v>
      </c>
      <c r="V131" s="83">
        <f>DATA!X120</f>
        <v>246369000</v>
      </c>
      <c r="W131" s="84" t="str">
        <f>DATA!Y120</f>
        <v>RRT</v>
      </c>
      <c r="X131" s="42" t="str">
        <f>DATA!Z120</f>
        <v>Bilateral</v>
      </c>
      <c r="Y131" s="83">
        <f>DATA!AA120</f>
        <v>200000000</v>
      </c>
      <c r="Z131" s="83">
        <f>DATA!AG120</f>
        <v>0</v>
      </c>
      <c r="AA131" s="42">
        <f>DATA!AH120</f>
        <v>2016</v>
      </c>
      <c r="AB131" s="67" t="str">
        <f>DATA!AI120</f>
        <v>- Sudah ada R/C
- Green Book 2015
- Proses E/N dan LA
- Dalam proses persiapan penandatanganan Loan Agreement</v>
      </c>
      <c r="AC131" s="152" t="str">
        <f>DATA!AR120</f>
        <v>Nilai pinjaman di:
- GB 16 USD 175.056 ribu
- GB 15 USD 185.470 ribu</v>
      </c>
      <c r="AD131" s="152" t="str">
        <f>DATA!AN120</f>
        <v>dalam proses</v>
      </c>
      <c r="AE131" s="152" t="str">
        <f>DATA!AO120</f>
        <v>tidak butuh lahan</v>
      </c>
      <c r="AF131" s="67" t="str">
        <f>DATA!AJ120</f>
        <v>- TOR
- RAB</v>
      </c>
      <c r="AG131" s="67" t="str">
        <f>DATA!AK120</f>
        <v xml:space="preserve">Tidak butuh pengadaan lahan </v>
      </c>
      <c r="AH131" s="67" t="str">
        <f>DATA!AL120</f>
        <v>Proses persetujuan draft kontrak oleh Menteri Perhubungan</v>
      </c>
      <c r="AI131" s="42" t="str">
        <f>DATA!AR120</f>
        <v>Nilai pinjaman di:
- GB 16 USD 175.056 ribu
- GB 15 USD 185.470 ribu</v>
      </c>
      <c r="AJ131" s="42" t="str">
        <f>DATA!AN120</f>
        <v>dalam proses</v>
      </c>
      <c r="AK131" s="42" t="str">
        <f>DATA!AO120</f>
        <v>tidak butuh lahan</v>
      </c>
      <c r="AL131" s="42" t="str">
        <f>DATA!AP120</f>
        <v>belum ada proses tender/lelang</v>
      </c>
      <c r="AM131" s="42" t="str">
        <f>DATA!AY120</f>
        <v>Surat Kepala Biro Perencanaan nomor 548/BI/SRT/IX/2015 tgl 10 September 2015</v>
      </c>
      <c r="AN131" s="42" t="e">
        <f>DATA!#REF!</f>
        <v>#REF!</v>
      </c>
      <c r="AO131" s="42">
        <f>DATA!AZ120</f>
        <v>0</v>
      </c>
      <c r="AP131" s="152" t="e">
        <f>DATA!#REF!</f>
        <v>#REF!</v>
      </c>
      <c r="AQ131" s="67" t="str">
        <f>DATA!BA120</f>
        <v>Pengadaan 1.500 km track material tipe UIC-54 dan pengadaan 300 unit wesel</v>
      </c>
    </row>
    <row r="132" spans="1:43" s="6" customFormat="1" ht="35.25" customHeight="1">
      <c r="A132" s="6">
        <f>DATA!A121</f>
        <v>92</v>
      </c>
      <c r="B132" s="6">
        <f>DATA!B121</f>
        <v>0</v>
      </c>
      <c r="C132" s="6" t="str">
        <f>DATA!D121</f>
        <v>INFRASTRUKTUR</v>
      </c>
      <c r="D132" s="6">
        <f>DATA!E121</f>
        <v>3</v>
      </c>
      <c r="E132" s="6" t="str">
        <f>DATA!F121</f>
        <v>Kementerian Perhubungan</v>
      </c>
      <c r="F132" s="6" t="str">
        <f>DATA!H121</f>
        <v>Railway Development Program</v>
      </c>
      <c r="G132" s="6" t="str">
        <f>DATA!I121</f>
        <v>A</v>
      </c>
      <c r="H132" s="6" t="str">
        <f>DATA!J121</f>
        <v>Program Pengembangan Perkeretaapian</v>
      </c>
      <c r="I132" s="6">
        <f>DATA!K121</f>
        <v>1</v>
      </c>
      <c r="J132" s="38"/>
      <c r="K132" s="39"/>
      <c r="L132" s="39"/>
      <c r="M132" s="43"/>
      <c r="N132" s="67" t="str">
        <f>DATA!L121</f>
        <v>Procurement of Track Material and Turn Out - Phase III</v>
      </c>
      <c r="O132" s="42">
        <f>DATA!Q121</f>
        <v>1</v>
      </c>
      <c r="P132" s="42">
        <f>DATA!R121</f>
        <v>1</v>
      </c>
      <c r="Q132" s="42">
        <f>DATA!S121</f>
        <v>82</v>
      </c>
      <c r="R132" s="83">
        <f>DATA!T121</f>
        <v>292336700</v>
      </c>
      <c r="S132" s="88">
        <f>DATA!U121</f>
        <v>292336700</v>
      </c>
      <c r="T132" s="83">
        <f>DATA!V121</f>
        <v>73084200</v>
      </c>
      <c r="U132" s="83">
        <f>DATA!W121</f>
        <v>0</v>
      </c>
      <c r="V132" s="83">
        <f>DATA!X121</f>
        <v>365420900</v>
      </c>
      <c r="W132" s="84" t="str">
        <f>DATA!Y121</f>
        <v>Belum Ada Indikasi</v>
      </c>
      <c r="X132" s="42" t="str">
        <f>DATA!Z121</f>
        <v>Belum Ada Indikasi</v>
      </c>
      <c r="Y132" s="83">
        <f>DATA!AA121</f>
        <v>292336700</v>
      </c>
      <c r="Z132" s="83">
        <f>DATA!AG121</f>
        <v>0</v>
      </c>
      <c r="AA132" s="42">
        <f>DATA!AH121</f>
        <v>2016</v>
      </c>
      <c r="AB132" s="67" t="str">
        <f>DATA!AI121</f>
        <v>-</v>
      </c>
      <c r="AC132" s="152" t="str">
        <f>DATA!AR121</f>
        <v>belum ada dokumen R/C</v>
      </c>
      <c r="AD132" s="152" t="str">
        <f>DATA!AN121</f>
        <v>belum ada keterangan</v>
      </c>
      <c r="AE132" s="152" t="str">
        <f>DATA!AO121</f>
        <v>tidak butuh lahan</v>
      </c>
      <c r="AF132" s="67" t="str">
        <f>DATA!AJ121</f>
        <v>-</v>
      </c>
      <c r="AG132" s="67" t="str">
        <f>DATA!AK121</f>
        <v xml:space="preserve">Tidak butuh pengadaan lahan </v>
      </c>
      <c r="AH132" s="67" t="str">
        <f>DATA!AL121</f>
        <v>-</v>
      </c>
      <c r="AI132" s="42" t="str">
        <f>DATA!AR121</f>
        <v>belum ada dokumen R/C</v>
      </c>
      <c r="AJ132" s="42" t="str">
        <f>DATA!AN121</f>
        <v>belum ada keterangan</v>
      </c>
      <c r="AK132" s="42" t="str">
        <f>DATA!AO121</f>
        <v>tidak butuh lahan</v>
      </c>
      <c r="AL132" s="42" t="str">
        <f>DATA!AP121</f>
        <v>belum ada proses tender/lelang</v>
      </c>
      <c r="AM132" s="42" t="str">
        <f>DATA!AY121</f>
        <v xml:space="preserve">- Menunggu kepastian Lender
- Surat Kepala Biro Perencanaan nomor 548/BI/SRT/IX/2015 tgl 10 September 2015
</v>
      </c>
      <c r="AN132" s="42" t="e">
        <f>DATA!#REF!</f>
        <v>#REF!</v>
      </c>
      <c r="AO132" s="42">
        <f>DATA!AZ121</f>
        <v>0</v>
      </c>
      <c r="AP132" s="152" t="e">
        <f>DATA!#REF!</f>
        <v>#REF!</v>
      </c>
      <c r="AQ132" s="67" t="str">
        <f>DATA!BA121</f>
        <v>Pengadaan 3.000 km track material tipe R 60 dan pengadaan 350 unit wesel</v>
      </c>
    </row>
    <row r="133" spans="1:43" ht="75.75" customHeight="1">
      <c r="A133" s="10">
        <f>DATA!A123</f>
        <v>93</v>
      </c>
      <c r="B133" s="10">
        <f>DATA!B123</f>
        <v>0</v>
      </c>
      <c r="C133" s="10" t="str">
        <f>DATA!D123</f>
        <v>INFRASTRUKTUR</v>
      </c>
      <c r="D133" s="10">
        <f>DATA!E123</f>
        <v>3</v>
      </c>
      <c r="E133" s="10" t="str">
        <f>DATA!F123</f>
        <v>Kementerian Perhubungan</v>
      </c>
      <c r="F133" s="10" t="str">
        <f>DATA!H123</f>
        <v>Railway Development Program</v>
      </c>
      <c r="G133" s="10" t="str">
        <f>DATA!I123</f>
        <v>A</v>
      </c>
      <c r="H133" s="10" t="str">
        <f>DATA!J123</f>
        <v>Program Pengembangan Perkeretaapian</v>
      </c>
      <c r="I133" s="10">
        <f>DATA!K123</f>
        <v>2</v>
      </c>
      <c r="J133" s="33"/>
      <c r="K133" s="34"/>
      <c r="L133" s="34"/>
      <c r="M133" s="36">
        <f>DATA!K123</f>
        <v>2</v>
      </c>
      <c r="N133" s="37" t="str">
        <f>DATA!L123</f>
        <v xml:space="preserve">Construction of Jakarta Mass Rapid Transit Project - Phase II </v>
      </c>
      <c r="O133" s="20">
        <f>DATA!Q123</f>
        <v>1</v>
      </c>
      <c r="P133" s="20">
        <f>DATA!R123</f>
        <v>1</v>
      </c>
      <c r="Q133" s="20">
        <f>DATA!S123</f>
        <v>83</v>
      </c>
      <c r="R133" s="77">
        <f>DATA!T123</f>
        <v>1678000000</v>
      </c>
      <c r="S133" s="88">
        <f>DATA!U123</f>
        <v>1678000000</v>
      </c>
      <c r="T133" s="77">
        <f>DATA!V123</f>
        <v>167800000</v>
      </c>
      <c r="U133" s="77">
        <f>DATA!W123</f>
        <v>0</v>
      </c>
      <c r="V133" s="77">
        <f>DATA!X123</f>
        <v>1845800000</v>
      </c>
      <c r="W133" s="78" t="str">
        <f>DATA!Y123</f>
        <v>JICA</v>
      </c>
      <c r="X133" s="20" t="str">
        <f>DATA!Z123</f>
        <v>Bilateral</v>
      </c>
      <c r="Y133" s="77">
        <f>DATA!AA123</f>
        <v>1678000000</v>
      </c>
      <c r="Z133" s="77">
        <f>DATA!AG123</f>
        <v>0</v>
      </c>
      <c r="AA133" s="20">
        <f>DATA!AH123</f>
        <v>2016</v>
      </c>
      <c r="AB133" s="37" t="str">
        <f>DATA!AI123</f>
        <v>-</v>
      </c>
      <c r="AC133" s="152" t="str">
        <f>DATA!AR123</f>
        <v>belum ada dokumen R/C</v>
      </c>
      <c r="AD133" s="152" t="str">
        <f>DATA!AN123</f>
        <v>dalam proses
(memiliki FS)</v>
      </c>
      <c r="AE133" s="152" t="str">
        <f>DATA!AO123</f>
        <v>dalam proses
(perencanaan)</v>
      </c>
      <c r="AF133" s="37" t="str">
        <f>DATA!AJ123</f>
        <v>- FS
- TOR (Disusun oleh Pemda DKI Jakarta)
-  RAB (Disusun oleh Pemda DKI Jakarta)</v>
      </c>
      <c r="AG133" s="37" t="str">
        <f>DATA!AK123</f>
        <v>Indikasi kebutuhan lahan menunggu hasil desain</v>
      </c>
      <c r="AH133" s="37" t="str">
        <f>DATA!AL123</f>
        <v>- Dilaksanakan oleh Pemda DKI Jakarta (Implementing Agency)</v>
      </c>
      <c r="AI133" s="20" t="str">
        <f>DATA!AR123</f>
        <v>belum ada dokumen R/C</v>
      </c>
      <c r="AJ133" s="20" t="str">
        <f>DATA!AN123</f>
        <v>dalam proses
(memiliki FS)</v>
      </c>
      <c r="AK133" s="20" t="str">
        <f>DATA!AO123</f>
        <v>dalam proses
(perencanaan)</v>
      </c>
      <c r="AL133" s="20" t="str">
        <f>DATA!AP123</f>
        <v>belum ada proses tender/lelang</v>
      </c>
      <c r="AM133" s="20" t="str">
        <f>DATA!AY123</f>
        <v>Surat Kepala Biro Perencanaan nomor 548/BI/SRT/IX/2015 tgl 10 September 2015</v>
      </c>
      <c r="AN133" s="20" t="e">
        <f>DATA!#REF!</f>
        <v>#REF!</v>
      </c>
      <c r="AO133" s="20">
        <f>DATA!AZ123</f>
        <v>0</v>
      </c>
      <c r="AP133" s="152" t="e">
        <f>DATA!#REF!</f>
        <v>#REF!</v>
      </c>
      <c r="AQ133" s="37" t="str">
        <f>DATA!BA123</f>
        <v>Terbangunnya jaringan MRT dari bundaran HI ke Kampung Bandan</v>
      </c>
    </row>
    <row r="134" spans="1:43" ht="74.25" customHeight="1">
      <c r="A134" s="10">
        <f>DATA!A124</f>
        <v>94</v>
      </c>
      <c r="B134" s="10">
        <f>DATA!B124</f>
        <v>0</v>
      </c>
      <c r="C134" s="10" t="str">
        <f>DATA!D124</f>
        <v>INFRASTRUKTUR</v>
      </c>
      <c r="D134" s="10">
        <f>DATA!E124</f>
        <v>3</v>
      </c>
      <c r="E134" s="10" t="str">
        <f>DATA!F124</f>
        <v>Kementerian Perhubungan</v>
      </c>
      <c r="F134" s="10" t="str">
        <f>DATA!H124</f>
        <v>Railway Development Program</v>
      </c>
      <c r="G134" s="10" t="str">
        <f>DATA!I124</f>
        <v>A</v>
      </c>
      <c r="H134" s="10" t="str">
        <f>DATA!J124</f>
        <v>Program Pengembangan Perkeretaapian</v>
      </c>
      <c r="I134" s="10">
        <f>DATA!K124</f>
        <v>3</v>
      </c>
      <c r="J134" s="33"/>
      <c r="K134" s="34"/>
      <c r="L134" s="34"/>
      <c r="M134" s="36">
        <f>DATA!K124</f>
        <v>3</v>
      </c>
      <c r="N134" s="37" t="str">
        <f>DATA!L124</f>
        <v>Construction of Jakarta Mass Rapid Transit East-West Line Project - Phase I</v>
      </c>
      <c r="O134" s="20">
        <f>DATA!Q124</f>
        <v>1</v>
      </c>
      <c r="P134" s="20">
        <f>DATA!R124</f>
        <v>1</v>
      </c>
      <c r="Q134" s="20">
        <f>DATA!S124</f>
        <v>84</v>
      </c>
      <c r="R134" s="77">
        <f>DATA!T124</f>
        <v>3572000000</v>
      </c>
      <c r="S134" s="88">
        <f>DATA!U124</f>
        <v>3572000000</v>
      </c>
      <c r="T134" s="77">
        <f>DATA!V124</f>
        <v>357200000</v>
      </c>
      <c r="U134" s="77">
        <f>DATA!W124</f>
        <v>0</v>
      </c>
      <c r="V134" s="77">
        <f>DATA!X124</f>
        <v>3929200000</v>
      </c>
      <c r="W134" s="78" t="str">
        <f>DATA!Y124</f>
        <v>JICA</v>
      </c>
      <c r="X134" s="20" t="str">
        <f>DATA!Z124</f>
        <v>Bilateral</v>
      </c>
      <c r="Y134" s="77">
        <f>DATA!AA124</f>
        <v>3572000000</v>
      </c>
      <c r="Z134" s="77">
        <f>DATA!AG124</f>
        <v>0</v>
      </c>
      <c r="AA134" s="20">
        <f>DATA!AH124</f>
        <v>2018</v>
      </c>
      <c r="AB134" s="37" t="str">
        <f>DATA!AI124</f>
        <v>-</v>
      </c>
      <c r="AC134" s="152" t="str">
        <f>DATA!AR124</f>
        <v>belum ada dokumen R/C</v>
      </c>
      <c r="AD134" s="152" t="str">
        <f>DATA!AN124</f>
        <v>dalam proses
(memiliki FS)</v>
      </c>
      <c r="AE134" s="152" t="str">
        <f>DATA!AO124</f>
        <v>dalam proses
(perencanaan)</v>
      </c>
      <c r="AF134" s="37" t="str">
        <f>DATA!AJ124</f>
        <v>- FS
- TOR (Disusun oleh Pemda DKI Jakarta)
-  RAB (Disusun oleh Pemda DKI Jakarta)</v>
      </c>
      <c r="AG134" s="37" t="str">
        <f>DATA!AK124</f>
        <v>Indikasi kebutuhan lahan menunggu hasil desain</v>
      </c>
      <c r="AH134" s="37" t="str">
        <f>DATA!AL124</f>
        <v>- Dilaksanakan oleh Pemda DKI Jakarta (Implementing Agency)</v>
      </c>
      <c r="AI134" s="20" t="str">
        <f>DATA!AR124</f>
        <v>belum ada dokumen R/C</v>
      </c>
      <c r="AJ134" s="20" t="str">
        <f>DATA!AN124</f>
        <v>dalam proses
(memiliki FS)</v>
      </c>
      <c r="AK134" s="20" t="str">
        <f>DATA!AO124</f>
        <v>dalam proses
(perencanaan)</v>
      </c>
      <c r="AL134" s="20" t="str">
        <f>DATA!AP124</f>
        <v>belum ada proses tender/lelang</v>
      </c>
      <c r="AM134" s="20" t="str">
        <f>DATA!AY124</f>
        <v>Surat Kepala Biro Perencanaan nomor 548/BI/SRT/IX/2015 tgl 10 September 2015</v>
      </c>
      <c r="AN134" s="20" t="e">
        <f>DATA!#REF!</f>
        <v>#REF!</v>
      </c>
      <c r="AO134" s="20">
        <f>DATA!AZ124</f>
        <v>0</v>
      </c>
      <c r="AP134" s="152" t="e">
        <f>DATA!#REF!</f>
        <v>#REF!</v>
      </c>
      <c r="AQ134" s="37" t="str">
        <f>DATA!BA124</f>
        <v>Terbangunnya jaringan MRT dari Jakarta Timur ke Jakarta Barat</v>
      </c>
    </row>
    <row r="135" spans="1:43" ht="51">
      <c r="A135" s="10">
        <f>DATA!A125</f>
        <v>95</v>
      </c>
      <c r="B135" s="10">
        <f>DATA!B125</f>
        <v>0</v>
      </c>
      <c r="C135" s="10" t="str">
        <f>DATA!D125</f>
        <v>INFRASTRUKTUR</v>
      </c>
      <c r="D135" s="10">
        <f>DATA!E125</f>
        <v>3</v>
      </c>
      <c r="E135" s="10" t="str">
        <f>DATA!F125</f>
        <v>Kementerian Perhubungan</v>
      </c>
      <c r="F135" s="10" t="str">
        <f>DATA!H125</f>
        <v>Railway Development Program</v>
      </c>
      <c r="G135" s="10" t="str">
        <f>DATA!I125</f>
        <v>A</v>
      </c>
      <c r="H135" s="10" t="str">
        <f>DATA!J125</f>
        <v>Program Pengembangan Perkeretaapian</v>
      </c>
      <c r="I135" s="10">
        <f>DATA!K125</f>
        <v>4</v>
      </c>
      <c r="J135" s="33"/>
      <c r="K135" s="54"/>
      <c r="L135" s="54"/>
      <c r="M135" s="36">
        <f>DATA!K125</f>
        <v>4</v>
      </c>
      <c r="N135" s="37" t="str">
        <f>DATA!L125</f>
        <v xml:space="preserve">Engineering Services Jakarta Mass Rapid Transit (MRT) East West Line Project - Phase I </v>
      </c>
      <c r="O135" s="20">
        <f>DATA!Q125</f>
        <v>1</v>
      </c>
      <c r="P135" s="20">
        <f>DATA!R125</f>
        <v>1</v>
      </c>
      <c r="Q135" s="20">
        <f>DATA!S125</f>
        <v>86</v>
      </c>
      <c r="R135" s="77">
        <f>DATA!T125</f>
        <v>23000000</v>
      </c>
      <c r="S135" s="88">
        <f>DATA!U125</f>
        <v>23000000</v>
      </c>
      <c r="T135" s="77">
        <f>DATA!V125</f>
        <v>3000000</v>
      </c>
      <c r="U135" s="77">
        <f>DATA!W125</f>
        <v>0</v>
      </c>
      <c r="V135" s="77">
        <f>DATA!X125</f>
        <v>26000000</v>
      </c>
      <c r="W135" s="78" t="str">
        <f>DATA!Y125</f>
        <v>JICA</v>
      </c>
      <c r="X135" s="20" t="str">
        <f>DATA!Z125</f>
        <v>Bilateral</v>
      </c>
      <c r="Y135" s="77">
        <f>DATA!AA125</f>
        <v>23000000</v>
      </c>
      <c r="Z135" s="77">
        <f>DATA!AG125</f>
        <v>0</v>
      </c>
      <c r="AA135" s="20">
        <f>DATA!AH125</f>
        <v>2015</v>
      </c>
      <c r="AB135" s="37" t="str">
        <f>DATA!AI125</f>
        <v>- Sudah ada R/C
- Green Book 2015
- Loan Agreement tgl 4 Des'15</v>
      </c>
      <c r="AC135" s="152" t="str">
        <f>DATA!AR125</f>
        <v>Nilai pinjaman di GB 19.200 ribu</v>
      </c>
      <c r="AD135" s="152" t="str">
        <f>DATA!AN125</f>
        <v>siap</v>
      </c>
      <c r="AE135" s="152" t="str">
        <f>DATA!AO125</f>
        <v>tidak butuh lahan</v>
      </c>
      <c r="AF135" s="37" t="str">
        <f>DATA!AJ125</f>
        <v>- TOR
- RAB</v>
      </c>
      <c r="AG135" s="37" t="str">
        <f>DATA!AK125</f>
        <v>Tidak membutuhkan pengadaan lahan</v>
      </c>
      <c r="AH135" s="37" t="str">
        <f>DATA!AL125</f>
        <v xml:space="preserve">- </v>
      </c>
      <c r="AI135" s="20" t="str">
        <f>DATA!AR125</f>
        <v>Nilai pinjaman di GB 19.200 ribu</v>
      </c>
      <c r="AJ135" s="20" t="str">
        <f>DATA!AN125</f>
        <v>siap</v>
      </c>
      <c r="AK135" s="20" t="str">
        <f>DATA!AO125</f>
        <v>tidak butuh lahan</v>
      </c>
      <c r="AL135" s="20" t="str">
        <f>DATA!AP125</f>
        <v>belum ada proses tender/lelang</v>
      </c>
      <c r="AM135" s="20" t="str">
        <f>DATA!AY125</f>
        <v>Surat Kepala Biro Perencanaan nomor 548/BI/SRT/IX/2015 tgl 10 September 2015</v>
      </c>
      <c r="AN135" s="20" t="e">
        <f>DATA!#REF!</f>
        <v>#REF!</v>
      </c>
      <c r="AO135" s="20">
        <f>DATA!AZ125</f>
        <v>0</v>
      </c>
      <c r="AP135" s="152" t="e">
        <f>DATA!#REF!</f>
        <v>#REF!</v>
      </c>
      <c r="AQ135" s="37" t="str">
        <f>DATA!BA125</f>
        <v xml:space="preserve">Tersedianya DED dan dokumen tender </v>
      </c>
    </row>
    <row r="136" spans="1:43" s="4" customFormat="1" ht="24.95" customHeight="1">
      <c r="J136" s="107"/>
      <c r="K136" s="25">
        <f>DATA!E130</f>
        <v>4</v>
      </c>
      <c r="L136" s="108" t="str">
        <f>DATA!F130</f>
        <v>Pemprov. DKI Jakarta</v>
      </c>
      <c r="M136" s="25"/>
      <c r="N136" s="27"/>
      <c r="O136" s="26"/>
      <c r="P136" s="26"/>
      <c r="Q136" s="26"/>
      <c r="R136" s="80">
        <f>+R137</f>
        <v>1050000000</v>
      </c>
      <c r="S136" s="80">
        <f>+S137</f>
        <v>1050000000</v>
      </c>
      <c r="T136" s="80">
        <f t="shared" ref="T136:Z136" si="13">+T137</f>
        <v>150000000</v>
      </c>
      <c r="U136" s="80">
        <f t="shared" si="13"/>
        <v>0</v>
      </c>
      <c r="V136" s="80">
        <f t="shared" si="13"/>
        <v>1200000000</v>
      </c>
      <c r="W136" s="80"/>
      <c r="X136" s="80" t="str">
        <f t="shared" si="13"/>
        <v>Bilateral</v>
      </c>
      <c r="Y136" s="80">
        <f t="shared" si="13"/>
        <v>1050000000</v>
      </c>
      <c r="Z136" s="80">
        <f t="shared" si="13"/>
        <v>0</v>
      </c>
      <c r="AA136" s="26"/>
      <c r="AB136" s="27"/>
      <c r="AC136" s="27"/>
      <c r="AD136" s="27"/>
      <c r="AE136" s="27"/>
      <c r="AF136" s="27"/>
      <c r="AG136" s="27"/>
      <c r="AH136" s="27"/>
      <c r="AI136" s="26"/>
      <c r="AJ136" s="26"/>
      <c r="AK136" s="26"/>
      <c r="AL136" s="26"/>
      <c r="AM136" s="26"/>
      <c r="AN136" s="26"/>
      <c r="AO136" s="26"/>
      <c r="AP136" s="27"/>
      <c r="AQ136" s="27"/>
    </row>
    <row r="137" spans="1:43" s="5" customFormat="1" ht="33.75" customHeight="1">
      <c r="J137" s="28"/>
      <c r="K137" s="29"/>
      <c r="L137" s="30" t="str">
        <f>DATA!I130</f>
        <v>A</v>
      </c>
      <c r="M137" s="31" t="str">
        <f>DATA!J130</f>
        <v>Program Pengembangan Perkeretaapian</v>
      </c>
      <c r="N137" s="51"/>
      <c r="O137" s="31"/>
      <c r="P137" s="31"/>
      <c r="Q137" s="31"/>
      <c r="R137" s="81">
        <f>+R138</f>
        <v>1050000000</v>
      </c>
      <c r="S137" s="81">
        <f>+S138</f>
        <v>1050000000</v>
      </c>
      <c r="T137" s="81">
        <f t="shared" ref="T137:Z137" si="14">+T138</f>
        <v>150000000</v>
      </c>
      <c r="U137" s="81">
        <f t="shared" si="14"/>
        <v>0</v>
      </c>
      <c r="V137" s="81">
        <f t="shared" si="14"/>
        <v>1200000000</v>
      </c>
      <c r="W137" s="81"/>
      <c r="X137" s="81" t="str">
        <f t="shared" si="14"/>
        <v>Bilateral</v>
      </c>
      <c r="Y137" s="81">
        <f t="shared" si="14"/>
        <v>1050000000</v>
      </c>
      <c r="Z137" s="81">
        <f t="shared" si="14"/>
        <v>0</v>
      </c>
      <c r="AA137" s="31"/>
      <c r="AB137" s="32"/>
      <c r="AC137" s="32"/>
      <c r="AD137" s="32"/>
      <c r="AE137" s="32"/>
      <c r="AF137" s="32"/>
      <c r="AG137" s="32"/>
      <c r="AH137" s="32"/>
      <c r="AI137" s="31"/>
      <c r="AJ137" s="31"/>
      <c r="AK137" s="31"/>
      <c r="AL137" s="31"/>
      <c r="AM137" s="31"/>
      <c r="AN137" s="31"/>
      <c r="AO137" s="31"/>
      <c r="AP137" s="32"/>
      <c r="AQ137" s="32"/>
    </row>
    <row r="138" spans="1:43" ht="45.75" customHeight="1">
      <c r="A138" s="10">
        <f>DATA!A130</f>
        <v>96</v>
      </c>
      <c r="B138" s="10">
        <f>DATA!B130</f>
        <v>0</v>
      </c>
      <c r="C138" s="10" t="str">
        <f>DATA!D130</f>
        <v>INFRASTRUKTUR</v>
      </c>
      <c r="D138" s="10">
        <f>DATA!E130</f>
        <v>4</v>
      </c>
      <c r="E138" s="10" t="str">
        <f>DATA!F130</f>
        <v>Pemprov. DKI Jakarta</v>
      </c>
      <c r="F138" s="10" t="str">
        <f>DATA!H130</f>
        <v>Railway Development Program</v>
      </c>
      <c r="G138" s="10" t="str">
        <f>DATA!I130</f>
        <v>A</v>
      </c>
      <c r="H138" s="10" t="str">
        <f>DATA!J130</f>
        <v>Program Pengembangan Perkeretaapian</v>
      </c>
      <c r="I138" s="10">
        <f>DATA!K130</f>
        <v>1</v>
      </c>
      <c r="J138" s="33"/>
      <c r="K138" s="54"/>
      <c r="L138" s="20"/>
      <c r="M138" s="20">
        <f>DATA!K130</f>
        <v>1</v>
      </c>
      <c r="N138" s="37" t="str">
        <f>DATA!L130</f>
        <v>Construction of Jakarta Mass Rapid Transit Project</v>
      </c>
      <c r="O138" s="20">
        <f>DATA!Q130</f>
        <v>1</v>
      </c>
      <c r="P138" s="20">
        <f>DATA!R130</f>
        <v>1</v>
      </c>
      <c r="Q138" s="20">
        <f>DATA!S130</f>
        <v>85</v>
      </c>
      <c r="R138" s="77">
        <f>DATA!T130</f>
        <v>1050000000</v>
      </c>
      <c r="S138" s="88">
        <f>DATA!U130</f>
        <v>1050000000</v>
      </c>
      <c r="T138" s="77">
        <f>DATA!V130</f>
        <v>150000000</v>
      </c>
      <c r="U138" s="77">
        <f>DATA!W130</f>
        <v>0</v>
      </c>
      <c r="V138" s="77">
        <f>DATA!X130</f>
        <v>1200000000</v>
      </c>
      <c r="W138" s="78" t="str">
        <f>DATA!Y130</f>
        <v>JICA</v>
      </c>
      <c r="X138" s="20" t="str">
        <f>DATA!Z130</f>
        <v>Bilateral</v>
      </c>
      <c r="Y138" s="77">
        <f>DATA!AA130</f>
        <v>1050000000</v>
      </c>
      <c r="Z138" s="77">
        <f>DATA!AG130</f>
        <v>0</v>
      </c>
      <c r="AA138" s="20">
        <f>DATA!AH130</f>
        <v>2016</v>
      </c>
      <c r="AB138" s="37" t="str">
        <f>DATA!AI130</f>
        <v>- Sudah ada R/C
- Green Book 2015
- Loan Agreement tgl 4 Des'15</v>
      </c>
      <c r="AC138" s="152" t="str">
        <f>DATA!AR130</f>
        <v>Nilai pinjaman di GB USD 752.200 ribu</v>
      </c>
      <c r="AD138" s="152" t="str">
        <f>DATA!AN130</f>
        <v>siap</v>
      </c>
      <c r="AE138" s="152" t="str">
        <f>DATA!AO130</f>
        <v>siap</v>
      </c>
      <c r="AF138" s="37" t="str">
        <f>DATA!AJ130</f>
        <v>- TOR
- RAB</v>
      </c>
      <c r="AG138" s="114">
        <f>DATA!AK130</f>
        <v>1</v>
      </c>
      <c r="AH138" s="37" t="str">
        <f>DATA!AL130</f>
        <v>- Menunggu penandatanganan Loan Agreement</v>
      </c>
      <c r="AI138" s="20" t="str">
        <f>DATA!AR130</f>
        <v>Nilai pinjaman di GB USD 752.200 ribu</v>
      </c>
      <c r="AJ138" s="20" t="str">
        <f>DATA!AN130</f>
        <v>siap</v>
      </c>
      <c r="AK138" s="20" t="str">
        <f>DATA!AO130</f>
        <v>siap</v>
      </c>
      <c r="AL138" s="20" t="str">
        <f>DATA!AP130</f>
        <v>dalam proses tender/lelang</v>
      </c>
      <c r="AM138" s="20" t="str">
        <f>DATA!AY130</f>
        <v>Belum ada konfirmasi. Berdasarkan data dokumen kesiapan (RC)</v>
      </c>
      <c r="AN138" s="20" t="e">
        <f>DATA!#REF!</f>
        <v>#REF!</v>
      </c>
      <c r="AO138" s="20">
        <f>DATA!AZ130</f>
        <v>0</v>
      </c>
      <c r="AP138" s="152" t="e">
        <f>DATA!#REF!</f>
        <v>#REF!</v>
      </c>
      <c r="AQ138" s="37" t="str">
        <f>DATA!BA130</f>
        <v>Terbangunnya jaringan MRT dari Utara ke Selatan</v>
      </c>
    </row>
    <row r="139" spans="1:43" s="4" customFormat="1" ht="24.95" customHeight="1">
      <c r="J139" s="107"/>
      <c r="K139" s="25">
        <f>DATA!E135</f>
        <v>5</v>
      </c>
      <c r="L139" s="108" t="str">
        <f>DATA!F135</f>
        <v>Kementerian Komunikasi dan Informatika</v>
      </c>
      <c r="M139" s="25"/>
      <c r="N139" s="27"/>
      <c r="O139" s="26"/>
      <c r="P139" s="26"/>
      <c r="Q139" s="26"/>
      <c r="R139" s="80">
        <f>+R140</f>
        <v>1056000000</v>
      </c>
      <c r="S139" s="80">
        <f>+S140</f>
        <v>1056000000</v>
      </c>
      <c r="T139" s="80">
        <f t="shared" ref="T139:Z139" si="15">+T140</f>
        <v>86000000</v>
      </c>
      <c r="U139" s="80">
        <f t="shared" si="15"/>
        <v>10000000</v>
      </c>
      <c r="V139" s="80">
        <f t="shared" si="15"/>
        <v>1152000000</v>
      </c>
      <c r="W139" s="80"/>
      <c r="X139" s="80" t="e">
        <f t="shared" si="15"/>
        <v>#VALUE!</v>
      </c>
      <c r="Y139" s="80">
        <f t="shared" si="15"/>
        <v>1056000000</v>
      </c>
      <c r="Z139" s="80">
        <f t="shared" si="15"/>
        <v>-411000000</v>
      </c>
      <c r="AA139" s="26"/>
      <c r="AB139" s="27"/>
      <c r="AC139" s="27"/>
      <c r="AD139" s="27"/>
      <c r="AE139" s="27"/>
      <c r="AF139" s="27"/>
      <c r="AG139" s="27"/>
      <c r="AH139" s="27"/>
      <c r="AI139" s="26"/>
      <c r="AJ139" s="26"/>
      <c r="AK139" s="26"/>
      <c r="AL139" s="26"/>
      <c r="AM139" s="26"/>
      <c r="AN139" s="26"/>
      <c r="AO139" s="26"/>
      <c r="AP139" s="27"/>
      <c r="AQ139" s="27"/>
    </row>
    <row r="140" spans="1:43" s="5" customFormat="1" ht="33.75" customHeight="1">
      <c r="J140" s="28"/>
      <c r="K140" s="29"/>
      <c r="L140" s="30" t="str">
        <f>DATA!I135</f>
        <v>A</v>
      </c>
      <c r="M140" s="31" t="str">
        <f>DATA!J135</f>
        <v>Program Pengembangan Infrastruktur TIK dan Penyiaran</v>
      </c>
      <c r="N140" s="51"/>
      <c r="O140" s="31"/>
      <c r="P140" s="31"/>
      <c r="Q140" s="31"/>
      <c r="R140" s="81">
        <f>+R141+R142+R143</f>
        <v>1056000000</v>
      </c>
      <c r="S140" s="81">
        <f>+S141+S142+S143</f>
        <v>1056000000</v>
      </c>
      <c r="T140" s="81">
        <f t="shared" ref="T140:Z140" si="16">+T141+T142+T143</f>
        <v>86000000</v>
      </c>
      <c r="U140" s="81">
        <f t="shared" si="16"/>
        <v>10000000</v>
      </c>
      <c r="V140" s="81">
        <f t="shared" si="16"/>
        <v>1152000000</v>
      </c>
      <c r="W140" s="81"/>
      <c r="X140" s="81" t="e">
        <f t="shared" si="16"/>
        <v>#VALUE!</v>
      </c>
      <c r="Y140" s="81">
        <f t="shared" si="16"/>
        <v>1056000000</v>
      </c>
      <c r="Z140" s="81">
        <f t="shared" si="16"/>
        <v>-411000000</v>
      </c>
      <c r="AA140" s="31"/>
      <c r="AB140" s="32"/>
      <c r="AC140" s="32"/>
      <c r="AD140" s="32"/>
      <c r="AE140" s="32"/>
      <c r="AF140" s="32"/>
      <c r="AG140" s="32"/>
      <c r="AH140" s="32"/>
      <c r="AI140" s="31"/>
      <c r="AJ140" s="31"/>
      <c r="AK140" s="31"/>
      <c r="AL140" s="31"/>
      <c r="AM140" s="31"/>
      <c r="AN140" s="31"/>
      <c r="AO140" s="31"/>
      <c r="AP140" s="32"/>
      <c r="AQ140" s="32"/>
    </row>
    <row r="141" spans="1:43" ht="71.25" customHeight="1">
      <c r="A141" s="10">
        <f>DATA!A135</f>
        <v>97</v>
      </c>
      <c r="B141" s="10">
        <f>DATA!B135</f>
        <v>0</v>
      </c>
      <c r="C141" s="10" t="str">
        <f>DATA!D135</f>
        <v>INFRASTRUKTUR</v>
      </c>
      <c r="D141" s="10">
        <f>DATA!E135</f>
        <v>5</v>
      </c>
      <c r="E141" s="10" t="str">
        <f>DATA!F135</f>
        <v>Kementerian Komunikasi dan Informatika</v>
      </c>
      <c r="F141" s="10" t="str">
        <f>DATA!H135</f>
        <v>Information Communication And Technology (ICT) And Broadcasting Infrastructure Development Program</v>
      </c>
      <c r="G141" s="10" t="str">
        <f>DATA!I135</f>
        <v>A</v>
      </c>
      <c r="H141" s="10" t="str">
        <f>DATA!J135</f>
        <v>Program Pengembangan Infrastruktur TIK dan Penyiaran</v>
      </c>
      <c r="I141" s="10">
        <f>DATA!K135</f>
        <v>1</v>
      </c>
      <c r="J141" s="33"/>
      <c r="K141" s="34"/>
      <c r="L141" s="35"/>
      <c r="M141" s="36">
        <f>DATA!K135</f>
        <v>1</v>
      </c>
      <c r="N141" s="37" t="str">
        <f>DATA!L135</f>
        <v>Improvement on TV Transmitting Stations (Digitalization of TVRI) - Phase III</v>
      </c>
      <c r="O141" s="20">
        <f>DATA!Q135</f>
        <v>1</v>
      </c>
      <c r="P141" s="20">
        <f>DATA!R135</f>
        <v>1</v>
      </c>
      <c r="Q141" s="20">
        <f>DATA!S135</f>
        <v>87</v>
      </c>
      <c r="R141" s="77">
        <f>DATA!T135</f>
        <v>411000000</v>
      </c>
      <c r="S141" s="88">
        <f>DATA!U135</f>
        <v>411000000</v>
      </c>
      <c r="T141" s="77">
        <f>DATA!V135</f>
        <v>41000000</v>
      </c>
      <c r="U141" s="77">
        <f>DATA!W135</f>
        <v>0</v>
      </c>
      <c r="V141" s="77">
        <f>DATA!X135</f>
        <v>452000000</v>
      </c>
      <c r="W141" s="78" t="str">
        <f>DATA!Y135</f>
        <v>Belum Ada Indikasi</v>
      </c>
      <c r="X141" s="20" t="str">
        <f>DATA!Z135</f>
        <v>Belum Ada Indikasi</v>
      </c>
      <c r="Y141" s="77">
        <f>DATA!AA135</f>
        <v>411000000</v>
      </c>
      <c r="Z141" s="77">
        <f>DATA!AG135</f>
        <v>-411000000</v>
      </c>
      <c r="AA141" s="20" t="str">
        <f>DATA!AH135</f>
        <v>Tanpa keterangan</v>
      </c>
      <c r="AB141" s="37" t="str">
        <f>DATA!AI135</f>
        <v>(tidak ada data)</v>
      </c>
      <c r="AC141" s="152" t="str">
        <f>DATA!AR135</f>
        <v>belum ada dokumen R/C</v>
      </c>
      <c r="AD141" s="152" t="str">
        <f>DATA!AN135</f>
        <v>dalam proses
(penyusunan FS)</v>
      </c>
      <c r="AE141" s="152" t="str">
        <f>DATA!AO135</f>
        <v>siap</v>
      </c>
      <c r="AF141" s="37" t="str">
        <f>DATA!AJ135</f>
        <v>Persiapan penyusunan FS</v>
      </c>
      <c r="AG141" s="37" t="str">
        <f>DATA!AK135</f>
        <v>Menggunakan lahan milik TVRI</v>
      </c>
      <c r="AH141" s="37" t="str">
        <f>DATA!AL135</f>
        <v>Belum ada lelang/tender</v>
      </c>
      <c r="AI141" s="20" t="str">
        <f>DATA!AR135</f>
        <v>belum ada dokumen R/C</v>
      </c>
      <c r="AJ141" s="20" t="str">
        <f>DATA!AN135</f>
        <v>dalam proses
(penyusunan FS)</v>
      </c>
      <c r="AK141" s="20" t="str">
        <f>DATA!AO135</f>
        <v>siap</v>
      </c>
      <c r="AL141" s="20" t="str">
        <f>DATA!AP135</f>
        <v>belum ada proses tender/lelang</v>
      </c>
      <c r="AM141" s="20" t="str">
        <f>DATA!AY135</f>
        <v xml:space="preserve">- Belum ada indikasi Lender, Dit. Telsus sedang melakukan penjajakan, belum bisa diidentifikasikan sampai proses penjajakan selesai
- Surat Karoren Kem. Kominfo nomor S-1075/KOMINFO/SJ.1/PR.01.01/09/2015 tgl 9 September 2015
</v>
      </c>
      <c r="AN141" s="20" t="e">
        <f>DATA!#REF!</f>
        <v>#REF!</v>
      </c>
      <c r="AO141" s="20">
        <f>DATA!AZ135</f>
        <v>0</v>
      </c>
      <c r="AP141" s="152" t="e">
        <f>DATA!#REF!</f>
        <v>#REF!</v>
      </c>
      <c r="AQ141" s="37" t="str">
        <f>DATA!BA135</f>
        <v>Pengadaan peralatan dan mesin untuk rehabilitasi fasilitas produksi dan pemancar TVRI dari sistem analog ke digital untuk: 29 studio (7 di pusat dan 22 di daerah), 250 stasiun transmisi, 30 lokasi untuk ICT Broadcast</v>
      </c>
    </row>
    <row r="142" spans="1:43" ht="81" customHeight="1">
      <c r="A142" s="10">
        <f>DATA!A136</f>
        <v>98</v>
      </c>
      <c r="B142" s="10">
        <f>DATA!B136</f>
        <v>0</v>
      </c>
      <c r="C142" s="10" t="str">
        <f>DATA!D136</f>
        <v>INFRASTRUKTUR</v>
      </c>
      <c r="D142" s="10">
        <f>DATA!E136</f>
        <v>5</v>
      </c>
      <c r="E142" s="10" t="str">
        <f>DATA!F136</f>
        <v>Kementerian Komunikasi dan Informatika</v>
      </c>
      <c r="F142" s="10" t="str">
        <f>DATA!H136</f>
        <v>Information Communication And Technology (ICT) And Broadcasting Infrastructure Development Program</v>
      </c>
      <c r="G142" s="10" t="str">
        <f>DATA!I136</f>
        <v>A</v>
      </c>
      <c r="H142" s="10" t="str">
        <f>DATA!J136</f>
        <v>Program Pengembangan Infrastruktur TIK dan Penyiaran</v>
      </c>
      <c r="I142" s="10">
        <f>DATA!K136</f>
        <v>2</v>
      </c>
      <c r="J142" s="33"/>
      <c r="K142" s="34"/>
      <c r="L142" s="34"/>
      <c r="M142" s="36">
        <f>DATA!K136</f>
        <v>2</v>
      </c>
      <c r="N142" s="37" t="str">
        <f>DATA!L136</f>
        <v>Strengthening of e-Government Infrastructure</v>
      </c>
      <c r="O142" s="20">
        <f>DATA!Q136</f>
        <v>1</v>
      </c>
      <c r="P142" s="20">
        <f>DATA!R136</f>
        <v>1</v>
      </c>
      <c r="Q142" s="20">
        <f>DATA!S136</f>
        <v>88</v>
      </c>
      <c r="R142" s="77">
        <f>DATA!T136</f>
        <v>145000000</v>
      </c>
      <c r="S142" s="88">
        <f>DATA!U136</f>
        <v>145000000</v>
      </c>
      <c r="T142" s="77">
        <f>DATA!V136</f>
        <v>20000000</v>
      </c>
      <c r="U142" s="77">
        <f>DATA!W136</f>
        <v>10000000</v>
      </c>
      <c r="V142" s="77">
        <f>DATA!X136</f>
        <v>175000000</v>
      </c>
      <c r="W142" s="78" t="str">
        <f>DATA!Y136</f>
        <v>Korea</v>
      </c>
      <c r="X142" s="20" t="str">
        <f>DATA!Z136</f>
        <v>Bilateral</v>
      </c>
      <c r="Y142" s="77">
        <f>DATA!AA136</f>
        <v>145000000</v>
      </c>
      <c r="Z142" s="77">
        <f>DATA!AG136</f>
        <v>0</v>
      </c>
      <c r="AA142" s="20" t="str">
        <f>DATA!AH136</f>
        <v>Tanpa keterangan</v>
      </c>
      <c r="AB142" s="37" t="str">
        <f>DATA!AI136</f>
        <v>Persiapan penyusunan R/C</v>
      </c>
      <c r="AC142" s="152" t="str">
        <f>DATA!AR136</f>
        <v>penyiapan dokumen R/C</v>
      </c>
      <c r="AD142" s="152" t="str">
        <f>DATA!AN136</f>
        <v>dalam proses
(penyusunan FS)</v>
      </c>
      <c r="AE142" s="152" t="str">
        <f>DATA!AO136</f>
        <v>dalam proses
(persiapan)</v>
      </c>
      <c r="AF142" s="37" t="str">
        <f>DATA!AJ136</f>
        <v>Persiapan penyusunan FS dan DED</v>
      </c>
      <c r="AG142" s="37" t="str">
        <f>DATA!AK136</f>
        <v>Permohonan ijin lokasi kepada Gubernur Kaltim telah direspon persetujuan menunggu survey</v>
      </c>
      <c r="AH142" s="37" t="str">
        <f>DATA!AL136</f>
        <v>Belum ada lelang/tender</v>
      </c>
      <c r="AI142" s="20" t="str">
        <f>DATA!AR136</f>
        <v>penyiapan dokumen R/C</v>
      </c>
      <c r="AJ142" s="20" t="str">
        <f>DATA!AN136</f>
        <v>dalam proses
(penyusunan FS)</v>
      </c>
      <c r="AK142" s="20" t="str">
        <f>DATA!AO136</f>
        <v>dalam proses
(persiapan)</v>
      </c>
      <c r="AL142" s="20" t="str">
        <f>DATA!AP136</f>
        <v>belum ada proses tender/lelang</v>
      </c>
      <c r="AM142"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N142" s="20" t="e">
        <f>DATA!#REF!</f>
        <v>#REF!</v>
      </c>
      <c r="AO142" s="20">
        <f>DATA!AZ136</f>
        <v>0</v>
      </c>
      <c r="AP142" s="152" t="e">
        <f>DATA!#REF!</f>
        <v>#REF!</v>
      </c>
      <c r="AQ142" s="37" t="str">
        <f>DATA!BA136</f>
        <v>Pembangunan Data Center (DC) Nasional, pembangunan Disaster Recovery Center (DRC), pembangunan National Network Operation Center (NNOC),  sistem Government-Certification of Authority (Govt-CA),  dan penyediaan bandwidth selama 3 tahun.</v>
      </c>
    </row>
    <row r="143" spans="1:43" ht="38.25" customHeight="1">
      <c r="A143" s="10">
        <f>DATA!A137</f>
        <v>99</v>
      </c>
      <c r="B143" s="10">
        <f>DATA!B137</f>
        <v>0</v>
      </c>
      <c r="C143" s="10" t="str">
        <f>DATA!D137</f>
        <v>INFRASTRUKTUR</v>
      </c>
      <c r="D143" s="10">
        <f>DATA!E137</f>
        <v>5</v>
      </c>
      <c r="E143" s="10" t="str">
        <f>DATA!F137</f>
        <v>Kementerian Komunikasi dan Informatika</v>
      </c>
      <c r="F143" s="10" t="str">
        <f>DATA!H137</f>
        <v>Information Communication And Technology (ICT) And Broadcasting Infrastructure Development Program</v>
      </c>
      <c r="G143" s="10" t="str">
        <f>DATA!I137</f>
        <v>A</v>
      </c>
      <c r="H143" s="10" t="str">
        <f>DATA!J137</f>
        <v>Program Pengembangan Infrastruktur TIK dan Penyiaran</v>
      </c>
      <c r="I143" s="10">
        <f>DATA!K137</f>
        <v>3</v>
      </c>
      <c r="J143" s="33"/>
      <c r="K143" s="54"/>
      <c r="L143" s="54"/>
      <c r="M143" s="36">
        <f>DATA!K137</f>
        <v>3</v>
      </c>
      <c r="N143" s="37" t="str">
        <f>DATA!L137</f>
        <v>National Fiber Optic Backbone (Palapa Ring)</v>
      </c>
      <c r="O143" s="20">
        <f>DATA!Q137</f>
        <v>1</v>
      </c>
      <c r="P143" s="20">
        <f>DATA!R137</f>
        <v>1</v>
      </c>
      <c r="Q143" s="20">
        <f>DATA!S137</f>
        <v>89</v>
      </c>
      <c r="R143" s="77">
        <f>DATA!T137</f>
        <v>500000000</v>
      </c>
      <c r="S143" s="88">
        <f>DATA!U137</f>
        <v>500000000</v>
      </c>
      <c r="T143" s="77">
        <f>DATA!V137</f>
        <v>25000000</v>
      </c>
      <c r="U143" s="77">
        <f>DATA!W137</f>
        <v>0</v>
      </c>
      <c r="V143" s="77">
        <f>DATA!X137</f>
        <v>525000000</v>
      </c>
      <c r="W143" s="78" t="str">
        <f>DATA!Y137</f>
        <v>KPS</v>
      </c>
      <c r="X143" s="20" t="str">
        <f>DATA!Z137</f>
        <v>Dipindahkan ke KPS</v>
      </c>
      <c r="Y143" s="77">
        <f>DATA!AA137</f>
        <v>500000000</v>
      </c>
      <c r="Z143" s="77">
        <f>DATA!AG137</f>
        <v>0</v>
      </c>
      <c r="AA143" s="20" t="str">
        <f>DATA!AH137</f>
        <v>Tanpa keterangan</v>
      </c>
      <c r="AB143" s="37" t="str">
        <f>DATA!AI137</f>
        <v>-</v>
      </c>
      <c r="AC143" s="152">
        <f>DATA!AM137</f>
        <v>0</v>
      </c>
      <c r="AD143" s="152" t="str">
        <f>DATA!AN137</f>
        <v>belum ada keterangan</v>
      </c>
      <c r="AE143" s="152" t="str">
        <f>DATA!AO137</f>
        <v>belum ada keterangan</v>
      </c>
      <c r="AF143" s="37" t="str">
        <f>DATA!AJ137</f>
        <v>-</v>
      </c>
      <c r="AG143" s="37" t="str">
        <f>DATA!AK137</f>
        <v>-</v>
      </c>
      <c r="AH143" s="37" t="str">
        <f>DATA!AL137</f>
        <v>-</v>
      </c>
      <c r="AI143" s="20">
        <f>DATA!AM137</f>
        <v>0</v>
      </c>
      <c r="AJ143" s="20" t="str">
        <f>DATA!AN137</f>
        <v>belum ada keterangan</v>
      </c>
      <c r="AK143" s="20" t="str">
        <f>DATA!AO137</f>
        <v>belum ada keterangan</v>
      </c>
      <c r="AL143" s="20" t="str">
        <f>DATA!AP137</f>
        <v>belum ada proses tender/lelang</v>
      </c>
      <c r="AM143"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N143" s="20" t="e">
        <f>DATA!#REF!</f>
        <v>#REF!</v>
      </c>
      <c r="AO143" s="20">
        <f>DATA!AZ137</f>
        <v>0</v>
      </c>
      <c r="AP143" s="152" t="e">
        <f>DATA!#REF!</f>
        <v>#REF!</v>
      </c>
      <c r="AQ143" s="37" t="str">
        <f>DATA!BA137</f>
        <v>Pembangunan jaringan telekomunikasi pitalebar/broadband Palapa Ring di 51 kabupaten/kota.</v>
      </c>
    </row>
    <row r="144" spans="1:43" s="4" customFormat="1" ht="24.95" customHeight="1">
      <c r="J144" s="107"/>
      <c r="K144" s="25">
        <f>DATA!E138</f>
        <v>6</v>
      </c>
      <c r="L144" s="108" t="str">
        <f>DATA!F138</f>
        <v>Kepolisian RI</v>
      </c>
      <c r="M144" s="25"/>
      <c r="N144" s="27"/>
      <c r="O144" s="26"/>
      <c r="P144" s="26"/>
      <c r="Q144" s="26"/>
      <c r="R144" s="80">
        <f>+R145</f>
        <v>20000000</v>
      </c>
      <c r="S144" s="80">
        <f>+S145</f>
        <v>20000000</v>
      </c>
      <c r="T144" s="80">
        <f t="shared" ref="T144:Z144" si="17">+T145</f>
        <v>3500000</v>
      </c>
      <c r="U144" s="80">
        <f t="shared" si="17"/>
        <v>0</v>
      </c>
      <c r="V144" s="80">
        <f t="shared" si="17"/>
        <v>23500000</v>
      </c>
      <c r="W144" s="80"/>
      <c r="X144" s="80" t="str">
        <f t="shared" si="17"/>
        <v>Bilateral</v>
      </c>
      <c r="Y144" s="80">
        <f t="shared" si="17"/>
        <v>20000000</v>
      </c>
      <c r="Z144" s="80">
        <f t="shared" si="17"/>
        <v>0</v>
      </c>
      <c r="AA144" s="26"/>
      <c r="AB144" s="27"/>
      <c r="AC144" s="27"/>
      <c r="AD144" s="27"/>
      <c r="AE144" s="27"/>
      <c r="AF144" s="27"/>
      <c r="AG144" s="27"/>
      <c r="AH144" s="27"/>
      <c r="AI144" s="26"/>
      <c r="AJ144" s="26"/>
      <c r="AK144" s="26"/>
      <c r="AL144" s="26"/>
      <c r="AM144" s="26"/>
      <c r="AN144" s="26"/>
      <c r="AO144" s="26"/>
      <c r="AP144" s="27"/>
      <c r="AQ144" s="27"/>
    </row>
    <row r="145" spans="1:43" s="5" customFormat="1" ht="33.75" customHeight="1">
      <c r="J145" s="28"/>
      <c r="K145" s="29"/>
      <c r="L145" s="30" t="str">
        <f>DATA!I138</f>
        <v>A</v>
      </c>
      <c r="M145" s="31" t="str">
        <f>DATA!J138</f>
        <v>Program Pengembangan Infrastruktur TIK dan Penyiaran</v>
      </c>
      <c r="N145" s="51"/>
      <c r="O145" s="31"/>
      <c r="P145" s="31"/>
      <c r="Q145" s="31"/>
      <c r="R145" s="81">
        <f>+R146</f>
        <v>20000000</v>
      </c>
      <c r="S145" s="81">
        <f>+S146</f>
        <v>20000000</v>
      </c>
      <c r="T145" s="81">
        <f t="shared" ref="T145:Z145" si="18">+T146</f>
        <v>3500000</v>
      </c>
      <c r="U145" s="81">
        <f t="shared" si="18"/>
        <v>0</v>
      </c>
      <c r="V145" s="81">
        <f t="shared" si="18"/>
        <v>23500000</v>
      </c>
      <c r="W145" s="81"/>
      <c r="X145" s="81" t="str">
        <f t="shared" si="18"/>
        <v>Bilateral</v>
      </c>
      <c r="Y145" s="81">
        <f t="shared" si="18"/>
        <v>20000000</v>
      </c>
      <c r="Z145" s="81">
        <f t="shared" si="18"/>
        <v>0</v>
      </c>
      <c r="AA145" s="31"/>
      <c r="AB145" s="32"/>
      <c r="AC145" s="32"/>
      <c r="AD145" s="32"/>
      <c r="AE145" s="32"/>
      <c r="AF145" s="32"/>
      <c r="AG145" s="32"/>
      <c r="AH145" s="32"/>
      <c r="AI145" s="31"/>
      <c r="AJ145" s="31"/>
      <c r="AK145" s="31"/>
      <c r="AL145" s="31"/>
      <c r="AM145" s="31"/>
      <c r="AN145" s="31"/>
      <c r="AO145" s="31"/>
      <c r="AP145" s="32"/>
      <c r="AQ145" s="32"/>
    </row>
    <row r="146" spans="1:43" ht="47.25" customHeight="1">
      <c r="A146" s="10">
        <f>DATA!A138</f>
        <v>100</v>
      </c>
      <c r="B146" s="10">
        <f>DATA!B138</f>
        <v>0</v>
      </c>
      <c r="C146" s="10" t="str">
        <f>DATA!D138</f>
        <v>INFRASTRUKTUR</v>
      </c>
      <c r="D146" s="10">
        <f>DATA!E138</f>
        <v>6</v>
      </c>
      <c r="E146" s="10" t="str">
        <f>DATA!F138</f>
        <v>Kepolisian RI</v>
      </c>
      <c r="F146" s="10" t="str">
        <f>DATA!H138</f>
        <v>Information Communication And Technology (ICT) And Broadcasting Infrastructure Development Program</v>
      </c>
      <c r="G146" s="10" t="str">
        <f>DATA!I138</f>
        <v>A</v>
      </c>
      <c r="H146" s="10" t="str">
        <f>DATA!J138</f>
        <v>Program Pengembangan Infrastruktur TIK dan Penyiaran</v>
      </c>
      <c r="I146" s="10">
        <f>DATA!K138</f>
        <v>1</v>
      </c>
      <c r="J146" s="33"/>
      <c r="K146" s="54"/>
      <c r="L146" s="20"/>
      <c r="M146" s="36">
        <f>DATA!K138</f>
        <v>1</v>
      </c>
      <c r="N146" s="37" t="str">
        <f>DATA!L138</f>
        <v>National Criminal Information Center for Indonesian National Police - Phase II</v>
      </c>
      <c r="O146" s="20">
        <f>DATA!Q138</f>
        <v>1</v>
      </c>
      <c r="P146" s="20">
        <f>DATA!R138</f>
        <v>1</v>
      </c>
      <c r="Q146" s="20">
        <f>DATA!S138</f>
        <v>90</v>
      </c>
      <c r="R146" s="77">
        <f>DATA!T138</f>
        <v>20000000</v>
      </c>
      <c r="S146" s="88">
        <f>DATA!U138</f>
        <v>20000000</v>
      </c>
      <c r="T146" s="77">
        <f>DATA!V138</f>
        <v>3500000</v>
      </c>
      <c r="U146" s="77">
        <f>DATA!W138</f>
        <v>0</v>
      </c>
      <c r="V146" s="77">
        <f>DATA!X138</f>
        <v>23500000</v>
      </c>
      <c r="W146" s="78" t="str">
        <f>DATA!Y138</f>
        <v>Korea</v>
      </c>
      <c r="X146" s="20" t="str">
        <f>DATA!Z138</f>
        <v>Bilateral</v>
      </c>
      <c r="Y146" s="77">
        <f>DATA!AA138</f>
        <v>20000000</v>
      </c>
      <c r="Z146" s="77">
        <f>DATA!AG138</f>
        <v>0</v>
      </c>
      <c r="AA146" s="20" t="str">
        <f>DATA!AH138</f>
        <v>Tanpa keterangan</v>
      </c>
      <c r="AB146" s="37" t="str">
        <f>DATA!AI138</f>
        <v xml:space="preserve">- Sudah ada R/C
- Green Book 2015
</v>
      </c>
      <c r="AC146" s="152">
        <f>DATA!AM138</f>
        <v>2015</v>
      </c>
      <c r="AD146" s="152" t="str">
        <f>DATA!AN138</f>
        <v>siap</v>
      </c>
      <c r="AE146" s="152" t="str">
        <f>DATA!AO138</f>
        <v>tidak butuh lahan</v>
      </c>
      <c r="AF146" s="37" t="str">
        <f>DATA!AJ138</f>
        <v>FS, AMDAL</v>
      </c>
      <c r="AG146" s="37" t="str">
        <f>DATA!AK138</f>
        <v>Tidak butuh lahan</v>
      </c>
      <c r="AH146" s="37" t="str">
        <f>DATA!AL138</f>
        <v>- Dalam proses penandatanganan perjanjian pinjaman</v>
      </c>
      <c r="AI146" s="20">
        <f>DATA!AM138</f>
        <v>2015</v>
      </c>
      <c r="AJ146" s="20" t="str">
        <f>DATA!AN138</f>
        <v>siap</v>
      </c>
      <c r="AK146" s="20" t="str">
        <f>DATA!AO138</f>
        <v>tidak butuh lahan</v>
      </c>
      <c r="AL146" s="20" t="str">
        <f>DATA!AP138</f>
        <v>dalam proses tender/lelang</v>
      </c>
      <c r="AM146" s="20" t="str">
        <f>DATA!AY138</f>
        <v>Belum ada konfirmasi. Berdasarkan data dokumen kesiapan (RC)</v>
      </c>
      <c r="AN146" s="20" t="e">
        <f>DATA!#REF!</f>
        <v>#REF!</v>
      </c>
      <c r="AO146" s="20">
        <f>DATA!AZ138</f>
        <v>0</v>
      </c>
      <c r="AP146" s="152" t="e">
        <f>DATA!#REF!</f>
        <v>#REF!</v>
      </c>
      <c r="AQ146" s="37" t="str">
        <f>DATA!BA138</f>
        <v>Pengembangan proyek PIKNAS tahap I mulai dari perencanaan pengembangan sampai dengan implementasi proyek</v>
      </c>
    </row>
    <row r="147" spans="1:43" s="4" customFormat="1" ht="24.95" customHeight="1">
      <c r="J147" s="107"/>
      <c r="K147" s="25">
        <f>DATA!E139</f>
        <v>7</v>
      </c>
      <c r="L147" s="108" t="str">
        <f>DATA!F139</f>
        <v xml:space="preserve">PT. PLN    </v>
      </c>
      <c r="M147" s="25"/>
      <c r="N147" s="27"/>
      <c r="O147" s="26"/>
      <c r="P147" s="26"/>
      <c r="Q147" s="26"/>
      <c r="R147" s="80">
        <f>+R148</f>
        <v>4906600000</v>
      </c>
      <c r="S147" s="80">
        <f>+S148</f>
        <v>4906600000</v>
      </c>
      <c r="T147" s="80">
        <f t="shared" ref="T147:Z147" si="19">+T148</f>
        <v>931600000</v>
      </c>
      <c r="U147" s="80">
        <f t="shared" si="19"/>
        <v>0</v>
      </c>
      <c r="V147" s="80">
        <f t="shared" si="19"/>
        <v>5838200000</v>
      </c>
      <c r="W147" s="80"/>
      <c r="X147" s="80" t="e">
        <f t="shared" si="19"/>
        <v>#VALUE!</v>
      </c>
      <c r="Y147" s="80">
        <f t="shared" si="19"/>
        <v>4906600000</v>
      </c>
      <c r="Z147" s="80">
        <f t="shared" si="19"/>
        <v>0</v>
      </c>
      <c r="AA147" s="26"/>
      <c r="AB147" s="27"/>
      <c r="AC147" s="27"/>
      <c r="AD147" s="27"/>
      <c r="AE147" s="27"/>
      <c r="AF147" s="27"/>
      <c r="AG147" s="27"/>
      <c r="AH147" s="27"/>
      <c r="AI147" s="26"/>
      <c r="AJ147" s="26"/>
      <c r="AK147" s="26"/>
      <c r="AL147" s="26"/>
      <c r="AM147" s="26"/>
      <c r="AN147" s="26"/>
      <c r="AO147" s="26"/>
      <c r="AP147" s="27"/>
      <c r="AQ147" s="27"/>
    </row>
    <row r="148" spans="1:43" s="5" customFormat="1" ht="33.75" customHeight="1">
      <c r="J148" s="28"/>
      <c r="K148" s="29"/>
      <c r="L148" s="30" t="str">
        <f>DATA!I139</f>
        <v>A</v>
      </c>
      <c r="M148" s="31" t="str">
        <f>DATA!J139</f>
        <v>Program Pembangunan Infrastruktur Ketenagalistrikan</v>
      </c>
      <c r="N148" s="51"/>
      <c r="O148" s="31"/>
      <c r="P148" s="31"/>
      <c r="Q148" s="31"/>
      <c r="R148" s="81">
        <f>+R149+R152+R155+R156+R157+R158+R159+R160</f>
        <v>4906600000</v>
      </c>
      <c r="S148" s="81">
        <f>+S149+S152+S155+S156+S157+S158+S159+S160</f>
        <v>4906600000</v>
      </c>
      <c r="T148" s="81">
        <f t="shared" ref="T148:Z148" si="20">+T149+T152+T155+T156+T157+T158+T159+T160</f>
        <v>931600000</v>
      </c>
      <c r="U148" s="81">
        <f t="shared" si="20"/>
        <v>0</v>
      </c>
      <c r="V148" s="81">
        <f t="shared" si="20"/>
        <v>5838200000</v>
      </c>
      <c r="W148" s="81"/>
      <c r="X148" s="81" t="e">
        <f t="shared" si="20"/>
        <v>#VALUE!</v>
      </c>
      <c r="Y148" s="81">
        <f t="shared" si="20"/>
        <v>4906600000</v>
      </c>
      <c r="Z148" s="81">
        <f t="shared" si="20"/>
        <v>0</v>
      </c>
      <c r="AA148" s="31"/>
      <c r="AB148" s="32"/>
      <c r="AC148" s="32"/>
      <c r="AD148" s="32"/>
      <c r="AE148" s="32"/>
      <c r="AF148" s="32"/>
      <c r="AG148" s="32"/>
      <c r="AH148" s="32"/>
      <c r="AI148" s="31"/>
      <c r="AJ148" s="31"/>
      <c r="AK148" s="31"/>
      <c r="AL148" s="31"/>
      <c r="AM148" s="31"/>
      <c r="AN148" s="31"/>
      <c r="AO148" s="31"/>
      <c r="AP148" s="32"/>
      <c r="AQ148" s="32"/>
    </row>
    <row r="149" spans="1:43" ht="35.25" customHeight="1">
      <c r="A149" s="10">
        <f>DATA!A139</f>
        <v>101</v>
      </c>
      <c r="B149" s="10">
        <f>DATA!B139</f>
        <v>0</v>
      </c>
      <c r="C149" s="10" t="str">
        <f>DATA!D139</f>
        <v>INFRASTRUKTUR</v>
      </c>
      <c r="D149" s="10">
        <f>DATA!E139</f>
        <v>7</v>
      </c>
      <c r="E149" s="10" t="str">
        <f>DATA!F139</f>
        <v xml:space="preserve">PT. PLN    </v>
      </c>
      <c r="F149" s="10" t="str">
        <f>DATA!H139</f>
        <v>Electricity Infrastructure Development Program</v>
      </c>
      <c r="G149" s="10" t="str">
        <f>DATA!I139</f>
        <v>A</v>
      </c>
      <c r="H149" s="10" t="str">
        <f>DATA!J139</f>
        <v>Program Pembangunan Infrastruktur Ketenagalistrikan</v>
      </c>
      <c r="I149" s="10">
        <f>DATA!K139</f>
        <v>1</v>
      </c>
      <c r="J149" s="33"/>
      <c r="K149" s="34"/>
      <c r="L149" s="35"/>
      <c r="M149" s="36">
        <f>DATA!K139</f>
        <v>1</v>
      </c>
      <c r="N149" s="37" t="str">
        <f>DATA!L139</f>
        <v>Construction of Java Sumatera Interconnection 500 kV (HVDC):</v>
      </c>
      <c r="O149" s="20">
        <f>DATA!Q139</f>
        <v>0</v>
      </c>
      <c r="P149" s="20">
        <f>DATA!R139</f>
        <v>0</v>
      </c>
      <c r="Q149" s="20">
        <f>DATA!S139</f>
        <v>0</v>
      </c>
      <c r="R149" s="77">
        <f>DATA!T139</f>
        <v>1562000000</v>
      </c>
      <c r="S149" s="88">
        <f>DATA!U139</f>
        <v>1562000000</v>
      </c>
      <c r="T149" s="77">
        <f>DATA!V139</f>
        <v>253000000</v>
      </c>
      <c r="U149" s="77">
        <f>DATA!W139</f>
        <v>0</v>
      </c>
      <c r="V149" s="77">
        <f>DATA!X139</f>
        <v>1815000000</v>
      </c>
      <c r="W149" s="78" t="str">
        <f>DATA!Y139</f>
        <v>-</v>
      </c>
      <c r="X149" s="20">
        <f>DATA!Z139</f>
        <v>0</v>
      </c>
      <c r="Y149" s="77">
        <f>DATA!AA139</f>
        <v>1562000000</v>
      </c>
      <c r="Z149" s="77">
        <f>DATA!AG139</f>
        <v>0</v>
      </c>
      <c r="AA149" s="20" t="str">
        <f>DATA!AH139</f>
        <v>-</v>
      </c>
      <c r="AB149" s="37" t="str">
        <f>DATA!AI139</f>
        <v>-</v>
      </c>
      <c r="AC149" s="152" t="str">
        <f>DATA!AM139</f>
        <v>-</v>
      </c>
      <c r="AD149" s="152" t="str">
        <f>DATA!AN139</f>
        <v>-</v>
      </c>
      <c r="AE149" s="152" t="str">
        <f>DATA!AO139</f>
        <v>-</v>
      </c>
      <c r="AF149" s="37" t="str">
        <f>DATA!AJ139</f>
        <v>-</v>
      </c>
      <c r="AG149" s="37" t="str">
        <f>DATA!AK139</f>
        <v>-</v>
      </c>
      <c r="AH149" s="37" t="str">
        <f>DATA!AL139</f>
        <v>-</v>
      </c>
      <c r="AI149" s="20" t="str">
        <f>DATA!AM139</f>
        <v>-</v>
      </c>
      <c r="AJ149" s="20" t="str">
        <f>DATA!AN139</f>
        <v>-</v>
      </c>
      <c r="AK149" s="20" t="str">
        <f>DATA!AO139</f>
        <v>-</v>
      </c>
      <c r="AL149" s="20">
        <f>DATA!AP139</f>
        <v>0</v>
      </c>
      <c r="AM149" s="20" t="str">
        <f>DATA!AY139</f>
        <v>Surat Dirut PT. PLN nomor 716/REN.08.01/DIR/2015 tgl 9 September 2015</v>
      </c>
      <c r="AN149" s="20" t="e">
        <f>DATA!#REF!</f>
        <v>#REF!</v>
      </c>
      <c r="AO149" s="20">
        <f>DATA!AZ139</f>
        <v>0</v>
      </c>
      <c r="AP149" s="152" t="e">
        <f>DATA!#REF!</f>
        <v>#REF!</v>
      </c>
      <c r="AQ149" s="37" t="str">
        <f>DATA!BA139</f>
        <v>Pembangunan dan instalasi: 500 kV AC Overhead line</v>
      </c>
    </row>
    <row r="150" spans="1:43" s="6" customFormat="1" ht="142.5" customHeight="1">
      <c r="A150" s="6">
        <f>DATA!A140</f>
        <v>102</v>
      </c>
      <c r="B150" s="6">
        <f>DATA!B140</f>
        <v>0</v>
      </c>
      <c r="C150" s="6" t="str">
        <f>DATA!D140</f>
        <v>INFRASTRUKTUR</v>
      </c>
      <c r="D150" s="6">
        <f>DATA!E140</f>
        <v>7</v>
      </c>
      <c r="E150" s="6" t="str">
        <f>DATA!F140</f>
        <v xml:space="preserve">PT. PLN    </v>
      </c>
      <c r="F150" s="6" t="str">
        <f>DATA!H140</f>
        <v>Electricity Infrastructure Development Program</v>
      </c>
      <c r="G150" s="6" t="str">
        <f>DATA!I140</f>
        <v>A</v>
      </c>
      <c r="H150" s="6" t="str">
        <f>DATA!J140</f>
        <v>Program Pembangunan Infrastruktur Ketenagalistrikan</v>
      </c>
      <c r="I150" s="6">
        <f>DATA!K140</f>
        <v>1</v>
      </c>
      <c r="J150" s="38"/>
      <c r="K150" s="39"/>
      <c r="L150" s="39"/>
      <c r="M150" s="40"/>
      <c r="N150" s="67" t="str">
        <f>DATA!L140</f>
        <v>Java-Sumatera Interconnection Transmission Line (HVDC) 500 kV (Phase II)</v>
      </c>
      <c r="O150" s="42">
        <f>DATA!Q140</f>
        <v>1</v>
      </c>
      <c r="P150" s="42">
        <f>DATA!R140</f>
        <v>1</v>
      </c>
      <c r="Q150" s="42">
        <f>DATA!S140</f>
        <v>91</v>
      </c>
      <c r="R150" s="83">
        <f>DATA!T140</f>
        <v>629000000</v>
      </c>
      <c r="S150" s="88">
        <f>DATA!U140</f>
        <v>629000000</v>
      </c>
      <c r="T150" s="83">
        <f>DATA!V140</f>
        <v>88000000</v>
      </c>
      <c r="U150" s="83">
        <f>DATA!W140</f>
        <v>0</v>
      </c>
      <c r="V150" s="83">
        <f>DATA!X140</f>
        <v>717000000</v>
      </c>
      <c r="W150" s="84" t="str">
        <f>DATA!Y140</f>
        <v>JICA</v>
      </c>
      <c r="X150" s="42" t="str">
        <f>DATA!Z140</f>
        <v>Bilateral</v>
      </c>
      <c r="Y150" s="83">
        <f>DATA!AA140</f>
        <v>629000000</v>
      </c>
      <c r="Z150" s="83">
        <f>DATA!AG140</f>
        <v>0</v>
      </c>
      <c r="AA150" s="42">
        <f>DATA!AH140</f>
        <v>2015</v>
      </c>
      <c r="AB150" s="67" t="str">
        <f>DATA!AI140</f>
        <v>- Sudah ada R/C
- Green Book 2015
- Loan Agreement tgl 18 Des'15</v>
      </c>
      <c r="AC150" s="152" t="str">
        <f>DATA!AR140</f>
        <v>Nilai pinjaman di GB USD 629.140 ribu</v>
      </c>
      <c r="AD150" s="152" t="str">
        <f>DATA!AN140</f>
        <v>siap</v>
      </c>
      <c r="AE150" s="152" t="str">
        <f>DATA!AO140</f>
        <v>dalam proses
(pelaksanaan 30%)</v>
      </c>
      <c r="AF150" s="67" t="str">
        <f>DATA!AJ140</f>
        <v>FS, AMDAL</v>
      </c>
      <c r="AG150" s="115">
        <f>DATA!AK140</f>
        <v>0.3</v>
      </c>
      <c r="AH150" s="67" t="str">
        <f>DATA!AL140</f>
        <v>- Paket 1 = Proses lelang, evaluasi tahap I 
- Paket 2 = Proses lelang, akhir proses tahap I 
- Paket 3 = Kontrak 29 Okt 2014 
- Paket 4 = Proses lelang, RFP 2 Sept 2015 
- Paket 5 = Penyusunan Dokumen Tender</v>
      </c>
      <c r="AI150" s="42" t="str">
        <f>DATA!AR140</f>
        <v>Nilai pinjaman di GB USD 629.140 ribu</v>
      </c>
      <c r="AJ150" s="42" t="str">
        <f>DATA!AN140</f>
        <v>siap</v>
      </c>
      <c r="AK150" s="42" t="str">
        <f>DATA!AO140</f>
        <v>dalam proses
(pelaksanaan 30%)</v>
      </c>
      <c r="AL150" s="42" t="str">
        <f>DATA!AP140</f>
        <v>dalam proses tender/lelang</v>
      </c>
      <c r="AM150" s="42"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N150" s="42" t="e">
        <f>DATA!#REF!</f>
        <v>#REF!</v>
      </c>
      <c r="AO150" s="42">
        <f>DATA!AZ140</f>
        <v>0</v>
      </c>
      <c r="AP150" s="152" t="e">
        <f>DATA!#REF!</f>
        <v>#REF!</v>
      </c>
      <c r="AQ150" s="67" t="str">
        <f>DATA!BA140</f>
        <v>Pembangunan dan instalasi: 500 kV AC Overhead line; 500 IW DC Overhead line; kabel bawah laut HVDC; Stasiun converter HVDC; 275 kV Overhead line (OHL)</v>
      </c>
    </row>
    <row r="151" spans="1:43" s="6" customFormat="1" ht="48.75" customHeight="1">
      <c r="A151" s="6">
        <f>DATA!A141</f>
        <v>103</v>
      </c>
      <c r="B151" s="6">
        <f>DATA!B141</f>
        <v>0</v>
      </c>
      <c r="C151" s="6" t="str">
        <f>DATA!D141</f>
        <v>INFRASTRUKTUR</v>
      </c>
      <c r="D151" s="6">
        <f>DATA!E141</f>
        <v>7</v>
      </c>
      <c r="E151" s="6" t="str">
        <f>DATA!F141</f>
        <v xml:space="preserve">PT. PLN    </v>
      </c>
      <c r="F151" s="6" t="str">
        <f>DATA!H141</f>
        <v>Electricity Infrastructure Development Program</v>
      </c>
      <c r="G151" s="6" t="str">
        <f>DATA!I141</f>
        <v>A</v>
      </c>
      <c r="H151" s="6" t="str">
        <f>DATA!J141</f>
        <v>Program Pembangunan Infrastruktur Ketenagalistrikan</v>
      </c>
      <c r="I151" s="6">
        <f>DATA!K141</f>
        <v>1</v>
      </c>
      <c r="J151" s="38"/>
      <c r="K151" s="39"/>
      <c r="L151" s="39"/>
      <c r="M151" s="43"/>
      <c r="N151" s="67" t="str">
        <f>DATA!L141</f>
        <v>Construction of Java Sumatera Interconnection 500 kV (HVDC-Phase 3 &amp; 4)</v>
      </c>
      <c r="O151" s="42">
        <f>DATA!Q141</f>
        <v>1</v>
      </c>
      <c r="P151" s="42">
        <f>DATA!R141</f>
        <v>1</v>
      </c>
      <c r="Q151" s="42">
        <f>DATA!S141</f>
        <v>92</v>
      </c>
      <c r="R151" s="83">
        <f>DATA!T141</f>
        <v>933000000</v>
      </c>
      <c r="S151" s="88">
        <f>DATA!U141</f>
        <v>933000000</v>
      </c>
      <c r="T151" s="83">
        <f>DATA!V141</f>
        <v>165000000</v>
      </c>
      <c r="U151" s="83">
        <f>DATA!W141</f>
        <v>0</v>
      </c>
      <c r="V151" s="83">
        <f>DATA!X141</f>
        <v>1098000000</v>
      </c>
      <c r="W151" s="84" t="str">
        <f>DATA!Y141</f>
        <v>JICA</v>
      </c>
      <c r="X151" s="42" t="str">
        <f>DATA!Z141</f>
        <v>Bilateral</v>
      </c>
      <c r="Y151" s="83">
        <f>DATA!AA141</f>
        <v>933000000</v>
      </c>
      <c r="Z151" s="83">
        <f>DATA!AG141</f>
        <v>0</v>
      </c>
      <c r="AA151" s="42">
        <f>DATA!AH141</f>
        <v>2015</v>
      </c>
      <c r="AB151" s="67" t="str">
        <f>DATA!AI141</f>
        <v xml:space="preserve">Penyiapan R/C
</v>
      </c>
      <c r="AC151" s="152" t="str">
        <f>DATA!AR141</f>
        <v>penyiapan dokumen R/C</v>
      </c>
      <c r="AD151" s="152" t="str">
        <f>DATA!AN141</f>
        <v>belum ada keterangan</v>
      </c>
      <c r="AE151" s="152" t="str">
        <f>DATA!AO141</f>
        <v>belum ada keterangan</v>
      </c>
      <c r="AF151" s="67" t="str">
        <f>DATA!AJ141</f>
        <v>-</v>
      </c>
      <c r="AG151" s="67" t="str">
        <f>DATA!AK141</f>
        <v>-</v>
      </c>
      <c r="AH151" s="67" t="str">
        <f>DATA!AL141</f>
        <v>-</v>
      </c>
      <c r="AI151" s="42" t="str">
        <f>DATA!AR141</f>
        <v>penyiapan dokumen R/C</v>
      </c>
      <c r="AJ151" s="42" t="str">
        <f>DATA!AN141</f>
        <v>belum ada keterangan</v>
      </c>
      <c r="AK151" s="42" t="str">
        <f>DATA!AO141</f>
        <v>belum ada keterangan</v>
      </c>
      <c r="AL151" s="42" t="str">
        <f>DATA!AP141</f>
        <v>belum ada proses tender/lelang</v>
      </c>
      <c r="AM151" s="42" t="str">
        <f>DATA!AY141</f>
        <v>Surat Dirut PT. PLN nomor 716/REN.08.01/DIR/2015 tgl 9 September 2015</v>
      </c>
      <c r="AN151" s="42" t="e">
        <f>DATA!#REF!</f>
        <v>#REF!</v>
      </c>
      <c r="AO151" s="42">
        <f>DATA!AZ141</f>
        <v>0</v>
      </c>
      <c r="AP151" s="152" t="e">
        <f>DATA!#REF!</f>
        <v>#REF!</v>
      </c>
      <c r="AQ151" s="67" t="str">
        <f>DATA!BA141</f>
        <v>Pembangunan dan instalasi: 500 kV AC Overhead line; 500 IW DC Overhead line; kabel bawah laut HVDC; Stasiun converter HVDC; 275 kV Overhead line (OHL)</v>
      </c>
    </row>
    <row r="152" spans="1:43" ht="43.5" customHeight="1">
      <c r="A152" s="10">
        <f>DATA!A142</f>
        <v>104</v>
      </c>
      <c r="B152" s="10">
        <f>DATA!B142</f>
        <v>0</v>
      </c>
      <c r="C152" s="10" t="str">
        <f>DATA!D142</f>
        <v>INFRASTRUKTUR</v>
      </c>
      <c r="D152" s="10">
        <f>DATA!E142</f>
        <v>7</v>
      </c>
      <c r="E152" s="10" t="str">
        <f>DATA!F142</f>
        <v xml:space="preserve">PT. PLN    </v>
      </c>
      <c r="F152" s="10" t="str">
        <f>DATA!H142</f>
        <v>Electricity Infrastructure Development Program</v>
      </c>
      <c r="G152" s="10" t="str">
        <f>DATA!I142</f>
        <v>A</v>
      </c>
      <c r="H152" s="10" t="str">
        <f>DATA!J142</f>
        <v>Program Pembangunan Infrastruktur Ketenagalistrikan</v>
      </c>
      <c r="I152" s="10">
        <f>DATA!K142</f>
        <v>2</v>
      </c>
      <c r="J152" s="33"/>
      <c r="K152" s="34"/>
      <c r="L152" s="34"/>
      <c r="M152" s="36">
        <f>DATA!K142</f>
        <v>2</v>
      </c>
      <c r="N152" s="37" t="str">
        <f>DATA!L142</f>
        <v>Hululais Geothermal Power Plant 1&amp;2 (2x55MW):</v>
      </c>
      <c r="O152" s="20">
        <f>DATA!Q142</f>
        <v>0</v>
      </c>
      <c r="P152" s="20">
        <f>DATA!R142</f>
        <v>0</v>
      </c>
      <c r="Q152" s="20">
        <f>DATA!S142</f>
        <v>0</v>
      </c>
      <c r="R152" s="77">
        <f>DATA!T142</f>
        <v>210600000</v>
      </c>
      <c r="S152" s="88">
        <f>DATA!U142</f>
        <v>210600000</v>
      </c>
      <c r="T152" s="77">
        <f>DATA!V142</f>
        <v>42600000</v>
      </c>
      <c r="U152" s="77">
        <f>DATA!W142</f>
        <v>0</v>
      </c>
      <c r="V152" s="77">
        <f>DATA!X142</f>
        <v>253200000</v>
      </c>
      <c r="W152" s="78" t="str">
        <f>DATA!Y142</f>
        <v>-</v>
      </c>
      <c r="X152" s="20">
        <f>DATA!Z142</f>
        <v>0</v>
      </c>
      <c r="Y152" s="77">
        <f>DATA!AA142</f>
        <v>210600000</v>
      </c>
      <c r="Z152" s="77">
        <f>DATA!AG142</f>
        <v>0</v>
      </c>
      <c r="AA152" s="20" t="str">
        <f>DATA!AH142</f>
        <v>-</v>
      </c>
      <c r="AB152" s="37" t="str">
        <f>DATA!AI142</f>
        <v>-</v>
      </c>
      <c r="AC152" s="152" t="str">
        <f>DATA!AM142</f>
        <v>-</v>
      </c>
      <c r="AD152" s="152" t="str">
        <f>DATA!AN142</f>
        <v>-</v>
      </c>
      <c r="AE152" s="152" t="str">
        <f>DATA!AO142</f>
        <v>-</v>
      </c>
      <c r="AF152" s="37" t="str">
        <f>DATA!AJ142</f>
        <v>-</v>
      </c>
      <c r="AG152" s="37" t="str">
        <f>DATA!AK142</f>
        <v>-</v>
      </c>
      <c r="AH152" s="37" t="str">
        <f>DATA!AL142</f>
        <v>-</v>
      </c>
      <c r="AI152" s="20" t="str">
        <f>DATA!AM142</f>
        <v>-</v>
      </c>
      <c r="AJ152" s="20" t="str">
        <f>DATA!AN142</f>
        <v>-</v>
      </c>
      <c r="AK152" s="20" t="str">
        <f>DATA!AO142</f>
        <v>-</v>
      </c>
      <c r="AL152" s="20">
        <f>DATA!AP142</f>
        <v>0</v>
      </c>
      <c r="AM152" s="20" t="str">
        <f>DATA!AY142</f>
        <v>Surat Dirut PT. PLN nomor 716/REN.08.01/DIR/2015 tgl 9 September 2015</v>
      </c>
      <c r="AN152" s="20" t="e">
        <f>DATA!#REF!</f>
        <v>#REF!</v>
      </c>
      <c r="AO152" s="20">
        <f>DATA!AZ142</f>
        <v>0</v>
      </c>
      <c r="AP152" s="152" t="e">
        <f>DATA!#REF!</f>
        <v>#REF!</v>
      </c>
      <c r="AQ152" s="37" t="str">
        <f>DATA!BA142</f>
        <v>Pembangunan PLTP Hululais 2x55 MW, pembangunan jaringan transmisi 150 kV, termasuk engineering desainnya</v>
      </c>
    </row>
    <row r="153" spans="1:43" s="6" customFormat="1" ht="74.25" customHeight="1">
      <c r="A153" s="6">
        <f>DATA!A143</f>
        <v>105</v>
      </c>
      <c r="B153" s="6">
        <f>DATA!B143</f>
        <v>0</v>
      </c>
      <c r="C153" s="6" t="str">
        <f>DATA!D143</f>
        <v>INFRASTRUKTUR</v>
      </c>
      <c r="D153" s="6">
        <f>DATA!E143</f>
        <v>7</v>
      </c>
      <c r="E153" s="6" t="str">
        <f>DATA!F143</f>
        <v xml:space="preserve">PT. PLN    </v>
      </c>
      <c r="F153" s="6" t="str">
        <f>DATA!H143</f>
        <v>Electricity Infrastructure Development Program</v>
      </c>
      <c r="G153" s="6" t="str">
        <f>DATA!I143</f>
        <v>A</v>
      </c>
      <c r="H153" s="6" t="str">
        <f>DATA!J143</f>
        <v>Program Pembangunan Infrastruktur Ketenagalistrikan</v>
      </c>
      <c r="I153" s="6">
        <f>DATA!K143</f>
        <v>2</v>
      </c>
      <c r="J153" s="38"/>
      <c r="K153" s="39"/>
      <c r="L153" s="39"/>
      <c r="M153" s="40"/>
      <c r="N153" s="67" t="str">
        <f>DATA!L143</f>
        <v>Engineering Service for Hululais 1&amp;2 Geothermal Power Plant Project (2x55 MW)</v>
      </c>
      <c r="O153" s="42">
        <f>DATA!Q143</f>
        <v>1</v>
      </c>
      <c r="P153" s="42">
        <f>DATA!R143</f>
        <v>1</v>
      </c>
      <c r="Q153" s="42">
        <f>DATA!S143</f>
        <v>93</v>
      </c>
      <c r="R153" s="83">
        <f>DATA!T143</f>
        <v>6600000</v>
      </c>
      <c r="S153" s="88">
        <f>DATA!U143</f>
        <v>6600000</v>
      </c>
      <c r="T153" s="83">
        <f>DATA!V143</f>
        <v>600000</v>
      </c>
      <c r="U153" s="83">
        <f>DATA!W143</f>
        <v>0</v>
      </c>
      <c r="V153" s="83">
        <f>DATA!X143</f>
        <v>7200000</v>
      </c>
      <c r="W153" s="84" t="str">
        <f>DATA!Y143</f>
        <v>JICA</v>
      </c>
      <c r="X153" s="42" t="str">
        <f>DATA!Z143</f>
        <v>Bilateral</v>
      </c>
      <c r="Y153" s="83">
        <f>DATA!AA143</f>
        <v>6600000</v>
      </c>
      <c r="Z153" s="83">
        <f>DATA!AG143</f>
        <v>0</v>
      </c>
      <c r="AA153" s="42">
        <f>DATA!AH143</f>
        <v>2015</v>
      </c>
      <c r="AB153" s="67" t="str">
        <f>DATA!AI143</f>
        <v>- Sudah ada R/C0
- Green Book 2015
- Loan Agreement tgl 18 Des'15</v>
      </c>
      <c r="AC153" s="152" t="str">
        <f>DATA!AR143</f>
        <v>Nilai pinjaman di GB USD 6.570 ribu</v>
      </c>
      <c r="AD153" s="152" t="str">
        <f>DATA!AN143</f>
        <v>siap</v>
      </c>
      <c r="AE153" s="152" t="str">
        <f>DATA!AO143</f>
        <v>tidak butuh lahan</v>
      </c>
      <c r="AF153" s="67" t="str">
        <f>DATA!AJ143</f>
        <v>- AMDAL sedang di proses
- Pengeboran eksplorasi sedang di proses</v>
      </c>
      <c r="AG153" s="67" t="str">
        <f>DATA!AK143</f>
        <v>Belum</v>
      </c>
      <c r="AH153" s="67" t="str">
        <f>DATA!AL143</f>
        <v>Dalam proses persiapan pengadaan konsultan</v>
      </c>
      <c r="AI153" s="42" t="str">
        <f>DATA!AR143</f>
        <v>Nilai pinjaman di GB USD 6.570 ribu</v>
      </c>
      <c r="AJ153" s="42" t="str">
        <f>DATA!AN143</f>
        <v>siap</v>
      </c>
      <c r="AK153" s="42" t="str">
        <f>DATA!AO143</f>
        <v>tidak butuh lahan</v>
      </c>
      <c r="AL153" s="42" t="str">
        <f>DATA!AP143</f>
        <v>belum ada proses tender/lelang</v>
      </c>
      <c r="AM153" s="42" t="str">
        <f>DATA!AY143</f>
        <v>Surat Dirut PT. PLN nomor 716/REN.08.01/DIR/2015 tgl 9 September 2015</v>
      </c>
      <c r="AN153" s="42" t="e">
        <f>DATA!#REF!</f>
        <v>#REF!</v>
      </c>
      <c r="AO153" s="42">
        <f>DATA!AZ143</f>
        <v>0</v>
      </c>
      <c r="AP153" s="152" t="e">
        <f>DATA!#REF!</f>
        <v>#REF!</v>
      </c>
      <c r="AQ153" s="67" t="str">
        <f>DATA!BA143</f>
        <v>Memfasilitasi penyusunan DED, tender dokumen, dan pengawasan konstruksi untuk PLTP Hululais 1 dan 2 (2x55 MW)</v>
      </c>
    </row>
    <row r="154" spans="1:43" s="6" customFormat="1" ht="31.5" customHeight="1">
      <c r="A154" s="6">
        <f>DATA!A144</f>
        <v>106</v>
      </c>
      <c r="B154" s="6">
        <f>DATA!B144</f>
        <v>0</v>
      </c>
      <c r="C154" s="6" t="str">
        <f>DATA!D144</f>
        <v>INFRASTRUKTUR</v>
      </c>
      <c r="D154" s="6">
        <f>DATA!E144</f>
        <v>7</v>
      </c>
      <c r="E154" s="6" t="str">
        <f>DATA!F144</f>
        <v xml:space="preserve">PT. PLN    </v>
      </c>
      <c r="F154" s="6" t="str">
        <f>DATA!H144</f>
        <v>Electricity Infrastructure Development Program</v>
      </c>
      <c r="G154" s="6" t="str">
        <f>DATA!I144</f>
        <v>A</v>
      </c>
      <c r="H154" s="6" t="str">
        <f>DATA!J144</f>
        <v>Program Pembangunan Infrastruktur Ketenagalistrikan</v>
      </c>
      <c r="I154" s="6">
        <f>DATA!K144</f>
        <v>2</v>
      </c>
      <c r="J154" s="38"/>
      <c r="K154" s="39"/>
      <c r="L154" s="39"/>
      <c r="M154" s="43"/>
      <c r="N154" s="67" t="str">
        <f>DATA!L144</f>
        <v>Hululais Geothermal Power Plant  1&amp;2 (2x55MW)</v>
      </c>
      <c r="O154" s="42">
        <f>DATA!Q144</f>
        <v>1</v>
      </c>
      <c r="P154" s="42">
        <f>DATA!R144</f>
        <v>1</v>
      </c>
      <c r="Q154" s="42">
        <f>DATA!S144</f>
        <v>94</v>
      </c>
      <c r="R154" s="83">
        <f>DATA!T144</f>
        <v>204000000</v>
      </c>
      <c r="S154" s="88">
        <f>DATA!U144</f>
        <v>204000000</v>
      </c>
      <c r="T154" s="83">
        <f>DATA!V144</f>
        <v>42000000</v>
      </c>
      <c r="U154" s="83">
        <f>DATA!W144</f>
        <v>0</v>
      </c>
      <c r="V154" s="83">
        <f>DATA!X144</f>
        <v>246000000</v>
      </c>
      <c r="W154" s="84" t="str">
        <f>DATA!Y144</f>
        <v>JICA</v>
      </c>
      <c r="X154" s="42" t="str">
        <f>DATA!Z144</f>
        <v>Bilateral</v>
      </c>
      <c r="Y154" s="83">
        <f>DATA!AA144</f>
        <v>204000000</v>
      </c>
      <c r="Z154" s="83">
        <f>DATA!AG144</f>
        <v>0</v>
      </c>
      <c r="AA154" s="42">
        <f>DATA!AH144</f>
        <v>2015</v>
      </c>
      <c r="AB154" s="67" t="str">
        <f>DATA!AI144</f>
        <v>-</v>
      </c>
      <c r="AC154" s="152" t="str">
        <f>DATA!AR144</f>
        <v>belum ada dokumen R/C</v>
      </c>
      <c r="AD154" s="152" t="str">
        <f>DATA!AN144</f>
        <v>belum ada keterangan</v>
      </c>
      <c r="AE154" s="152" t="str">
        <f>DATA!AO144</f>
        <v>belum ada keterangan</v>
      </c>
      <c r="AF154" s="67" t="str">
        <f>DATA!AJ144</f>
        <v>-</v>
      </c>
      <c r="AG154" s="67" t="str">
        <f>DATA!AK144</f>
        <v>-</v>
      </c>
      <c r="AH154" s="67" t="str">
        <f>DATA!AL144</f>
        <v>-</v>
      </c>
      <c r="AI154" s="42" t="str">
        <f>DATA!AR144</f>
        <v>belum ada dokumen R/C</v>
      </c>
      <c r="AJ154" s="42" t="str">
        <f>DATA!AN144</f>
        <v>belum ada keterangan</v>
      </c>
      <c r="AK154" s="42" t="str">
        <f>DATA!AO144</f>
        <v>belum ada keterangan</v>
      </c>
      <c r="AL154" s="42" t="str">
        <f>DATA!AP144</f>
        <v>belum ada proses tender/lelang</v>
      </c>
      <c r="AM154" s="42" t="str">
        <f>DATA!AY144</f>
        <v>Surat Dirut PT. PLN nomor 716/REN.08.01/DIR/2015 tgl 9 September 2015</v>
      </c>
      <c r="AN154" s="42" t="e">
        <f>DATA!#REF!</f>
        <v>#REF!</v>
      </c>
      <c r="AO154" s="42">
        <f>DATA!AZ144</f>
        <v>0</v>
      </c>
      <c r="AP154" s="152" t="e">
        <f>DATA!#REF!</f>
        <v>#REF!</v>
      </c>
      <c r="AQ154" s="67" t="str">
        <f>DATA!BA144</f>
        <v>Pembangunan PLTP Hululais 2x55 MW dan pembangunan jaringan transmisi 150 kV</v>
      </c>
    </row>
    <row r="155" spans="1:43" ht="51">
      <c r="A155" s="10">
        <f>DATA!A145</f>
        <v>107</v>
      </c>
      <c r="B155" s="10">
        <f>DATA!B145</f>
        <v>0</v>
      </c>
      <c r="C155" s="10" t="str">
        <f>DATA!D145</f>
        <v>INFRASTRUKTUR</v>
      </c>
      <c r="D155" s="10">
        <f>DATA!E145</f>
        <v>7</v>
      </c>
      <c r="E155" s="10" t="str">
        <f>DATA!F145</f>
        <v xml:space="preserve">PT. PLN    </v>
      </c>
      <c r="F155" s="10" t="str">
        <f>DATA!H145</f>
        <v>Electricity Infrastructure Development Program</v>
      </c>
      <c r="G155" s="10" t="str">
        <f>DATA!I145</f>
        <v>A</v>
      </c>
      <c r="H155" s="10" t="str">
        <f>DATA!J145</f>
        <v>Program Pembangunan Infrastruktur Ketenagalistrikan</v>
      </c>
      <c r="I155" s="10">
        <f>DATA!K145</f>
        <v>3</v>
      </c>
      <c r="J155" s="33"/>
      <c r="K155" s="34"/>
      <c r="L155" s="34"/>
      <c r="M155" s="36">
        <f>DATA!K145</f>
        <v>3</v>
      </c>
      <c r="N155" s="37" t="str">
        <f>DATA!L145</f>
        <v>Bakaru II Hydro Electrical Power Plant (2x63MW)</v>
      </c>
      <c r="O155" s="20">
        <f>DATA!Q145</f>
        <v>1</v>
      </c>
      <c r="P155" s="20">
        <f>DATA!R145</f>
        <v>1</v>
      </c>
      <c r="Q155" s="20">
        <f>DATA!S145</f>
        <v>95</v>
      </c>
      <c r="R155" s="77">
        <f>DATA!T145</f>
        <v>280000000</v>
      </c>
      <c r="S155" s="88">
        <f>DATA!U145</f>
        <v>280000000</v>
      </c>
      <c r="T155" s="77">
        <f>DATA!V145</f>
        <v>20000000</v>
      </c>
      <c r="U155" s="77">
        <f>DATA!W145</f>
        <v>0</v>
      </c>
      <c r="V155" s="77">
        <f>DATA!X145</f>
        <v>300000000</v>
      </c>
      <c r="W155" s="78" t="str">
        <f>DATA!Y145</f>
        <v>Jerman (KfW)</v>
      </c>
      <c r="X155" s="20" t="str">
        <f>DATA!Z145</f>
        <v>Bilateral</v>
      </c>
      <c r="Y155" s="77">
        <f>DATA!AA145</f>
        <v>280000000</v>
      </c>
      <c r="Z155" s="77">
        <f>DATA!AG145</f>
        <v>0</v>
      </c>
      <c r="AA155" s="20">
        <f>DATA!AH145</f>
        <v>2016</v>
      </c>
      <c r="AB155" s="37" t="str">
        <f>DATA!AI145</f>
        <v>-</v>
      </c>
      <c r="AC155" s="152">
        <f>DATA!AM145</f>
        <v>0</v>
      </c>
      <c r="AD155" s="152" t="str">
        <f>DATA!AN145</f>
        <v>dalam proses</v>
      </c>
      <c r="AE155" s="152" t="str">
        <f>DATA!AO145</f>
        <v>dalam proses
(perencanaan)</v>
      </c>
      <c r="AF155" s="37" t="str">
        <f>DATA!AJ145</f>
        <v>Dalam tahap reviu FS, Penyusunan AMDAL</v>
      </c>
      <c r="AG155" s="37" t="str">
        <f>DATA!AK145</f>
        <v>Pembebasan lahan menunggu hasil reviu FS</v>
      </c>
      <c r="AH155" s="37" t="str">
        <f>DATA!AL145</f>
        <v>Belum ada lelang/tender</v>
      </c>
      <c r="AI155" s="20">
        <f>DATA!AM145</f>
        <v>0</v>
      </c>
      <c r="AJ155" s="20" t="str">
        <f>DATA!AN145</f>
        <v>dalam proses</v>
      </c>
      <c r="AK155" s="20" t="str">
        <f>DATA!AO145</f>
        <v>dalam proses
(perencanaan)</v>
      </c>
      <c r="AL155" s="20" t="str">
        <f>DATA!AP145</f>
        <v>belum ada proses tender/lelang</v>
      </c>
      <c r="AM155"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N155" s="20" t="e">
        <f>DATA!#REF!</f>
        <v>#REF!</v>
      </c>
      <c r="AO155" s="20">
        <f>DATA!AZ145</f>
        <v>0</v>
      </c>
      <c r="AP155" s="152" t="e">
        <f>DATA!#REF!</f>
        <v>#REF!</v>
      </c>
      <c r="AQ155" s="37" t="str">
        <f>DATA!BA145</f>
        <v xml:space="preserve"> Pembangunan PLTA Bakaru II (2x63 MW), rehabilitasi bendungan dan turbin PLTA Bakaru I, sedimentasi penanggulangan dan Engineering Services PLTA Bakaru II</v>
      </c>
    </row>
    <row r="156" spans="1:43" ht="76.5">
      <c r="A156" s="10">
        <f>DATA!A146</f>
        <v>108</v>
      </c>
      <c r="B156" s="10">
        <f>DATA!B146</f>
        <v>0</v>
      </c>
      <c r="C156" s="10" t="str">
        <f>DATA!D146</f>
        <v>INFRASTRUKTUR</v>
      </c>
      <c r="D156" s="10">
        <f>DATA!E146</f>
        <v>7</v>
      </c>
      <c r="E156" s="10" t="str">
        <f>DATA!F146</f>
        <v xml:space="preserve">PT. PLN    </v>
      </c>
      <c r="F156" s="10" t="str">
        <f>DATA!H146</f>
        <v>Electricity Infrastructure Development Program</v>
      </c>
      <c r="G156" s="10" t="str">
        <f>DATA!I146</f>
        <v>A</v>
      </c>
      <c r="H156" s="10" t="str">
        <f>DATA!J146</f>
        <v>Program Pembangunan Infrastruktur Ketenagalistrikan</v>
      </c>
      <c r="I156" s="10">
        <f>DATA!K146</f>
        <v>4</v>
      </c>
      <c r="J156" s="33"/>
      <c r="K156" s="34"/>
      <c r="L156" s="34"/>
      <c r="M156" s="36">
        <f>DATA!K146</f>
        <v>4</v>
      </c>
      <c r="N156" s="37" t="str">
        <f>DATA!L146</f>
        <v>Tulehu Geothermal Power Plant Project Unit 1&amp;2 (2x10MW)</v>
      </c>
      <c r="O156" s="20">
        <f>DATA!Q146</f>
        <v>1</v>
      </c>
      <c r="P156" s="20">
        <f>DATA!R146</f>
        <v>1</v>
      </c>
      <c r="Q156" s="20">
        <f>DATA!S146</f>
        <v>96</v>
      </c>
      <c r="R156" s="77">
        <f>DATA!T146</f>
        <v>104000000</v>
      </c>
      <c r="S156" s="88">
        <f>DATA!U146</f>
        <v>104000000</v>
      </c>
      <c r="T156" s="77">
        <f>DATA!V146</f>
        <v>18000000</v>
      </c>
      <c r="U156" s="77">
        <f>DATA!W146</f>
        <v>0</v>
      </c>
      <c r="V156" s="77">
        <f>DATA!X146</f>
        <v>122000000</v>
      </c>
      <c r="W156" s="78" t="str">
        <f>DATA!Y146</f>
        <v>JICA</v>
      </c>
      <c r="X156" s="20" t="str">
        <f>DATA!Z146</f>
        <v>Bilateral</v>
      </c>
      <c r="Y156" s="77">
        <f>DATA!AA146</f>
        <v>104000000</v>
      </c>
      <c r="Z156" s="77">
        <f>DATA!AG146</f>
        <v>0</v>
      </c>
      <c r="AA156" s="20">
        <f>DATA!AH146</f>
        <v>2018</v>
      </c>
      <c r="AB156" s="37" t="str">
        <f>DATA!AI146</f>
        <v>-</v>
      </c>
      <c r="AC156" s="152" t="str">
        <f>DATA!AR146</f>
        <v>belum ada dokumen R/C</v>
      </c>
      <c r="AD156" s="152" t="str">
        <f>DATA!AN146</f>
        <v>dalam proses
(penyusunan FS)</v>
      </c>
      <c r="AE156" s="152" t="str">
        <f>DATA!AO146</f>
        <v>dalam proses
(pelaksanaan 63%)</v>
      </c>
      <c r="AF156" s="37" t="str">
        <f>DATA!AJ146</f>
        <v>Dalam proses reviu oleh BLH</v>
      </c>
      <c r="AG156" s="114">
        <f>DATA!AK146</f>
        <v>0.63</v>
      </c>
      <c r="AH156" s="37" t="str">
        <f>DATA!AL146</f>
        <v>- Direncanakan PQ IPM Drilling Sumur Produksi/Injeksi dimulai akhir Sept 2015
- Proses finalisasi dokumen lelang</v>
      </c>
      <c r="AI156" s="20" t="str">
        <f>DATA!AR146</f>
        <v>belum ada dokumen R/C</v>
      </c>
      <c r="AJ156" s="20" t="str">
        <f>DATA!AN146</f>
        <v>dalam proses
(penyusunan FS)</v>
      </c>
      <c r="AK156" s="20" t="str">
        <f>DATA!AO146</f>
        <v>dalam proses
(pelaksanaan 63%)</v>
      </c>
      <c r="AL156" s="20" t="str">
        <f>DATA!AP146</f>
        <v>belum ada proses tender/lelang</v>
      </c>
      <c r="AM156" s="20" t="str">
        <f>DATA!AY146</f>
        <v>- Pembebasan lahan untuk lokasi power plant dan pad B masih terkendala batas wilayah antara dua desa
- Surat Dirut PT. PLN nomor 716/REN.08.01/DIR/2015 tgl 9 September 2015</v>
      </c>
      <c r="AN156" s="20" t="e">
        <f>DATA!#REF!</f>
        <v>#REF!</v>
      </c>
      <c r="AO156" s="20">
        <f>DATA!AZ146</f>
        <v>0</v>
      </c>
      <c r="AP156" s="152" t="e">
        <f>DATA!#REF!</f>
        <v>#REF!</v>
      </c>
      <c r="AQ156" s="37" t="str">
        <f>DATA!BA146</f>
        <v>Pembangunan PLTP Tulehu 2x10 MW dan tambahan pengeboran untuk 3 sumur produksi/injeksi</v>
      </c>
    </row>
    <row r="157" spans="1:43" ht="89.25">
      <c r="A157" s="10">
        <f>DATA!A147</f>
        <v>109</v>
      </c>
      <c r="B157" s="10">
        <f>DATA!B147</f>
        <v>0</v>
      </c>
      <c r="C157" s="10" t="str">
        <f>DATA!D147</f>
        <v>INFRASTRUKTUR</v>
      </c>
      <c r="D157" s="10">
        <f>DATA!E147</f>
        <v>7</v>
      </c>
      <c r="E157" s="10" t="str">
        <f>DATA!F147</f>
        <v xml:space="preserve">PT. PLN    </v>
      </c>
      <c r="F157" s="10" t="str">
        <f>DATA!H147</f>
        <v>Electricity Infrastructure Development Program</v>
      </c>
      <c r="G157" s="10" t="str">
        <f>DATA!I147</f>
        <v>A</v>
      </c>
      <c r="H157" s="10" t="str">
        <f>DATA!J147</f>
        <v>Program Pembangunan Infrastruktur Ketenagalistrikan</v>
      </c>
      <c r="I157" s="10">
        <f>DATA!K147</f>
        <v>5</v>
      </c>
      <c r="J157" s="33"/>
      <c r="K157" s="34"/>
      <c r="L157" s="34"/>
      <c r="M157" s="36">
        <f>DATA!K147</f>
        <v>5</v>
      </c>
      <c r="N157" s="37" t="str">
        <f>DATA!L147</f>
        <v>Indramayu Coal Fired Power Plant  #4 (1x1000MW)</v>
      </c>
      <c r="O157" s="20">
        <f>DATA!Q147</f>
        <v>1</v>
      </c>
      <c r="P157" s="20">
        <f>DATA!R147</f>
        <v>1</v>
      </c>
      <c r="Q157" s="20">
        <f>DATA!S147</f>
        <v>97</v>
      </c>
      <c r="R157" s="77">
        <f>DATA!T147</f>
        <v>1845000000</v>
      </c>
      <c r="S157" s="88">
        <f>DATA!U147</f>
        <v>1845000000</v>
      </c>
      <c r="T157" s="77">
        <f>DATA!V147</f>
        <v>333000000</v>
      </c>
      <c r="U157" s="77">
        <f>DATA!W147</f>
        <v>0</v>
      </c>
      <c r="V157" s="77">
        <f>DATA!X147</f>
        <v>2178000000</v>
      </c>
      <c r="W157" s="78" t="str">
        <f>DATA!Y147</f>
        <v>JICA</v>
      </c>
      <c r="X157" s="20" t="str">
        <f>DATA!Z147</f>
        <v>Bilateral</v>
      </c>
      <c r="Y157" s="77">
        <f>DATA!AA147</f>
        <v>1845000000</v>
      </c>
      <c r="Z157" s="77">
        <f>DATA!AG147</f>
        <v>0</v>
      </c>
      <c r="AA157" s="20">
        <f>DATA!AH147</f>
        <v>2017</v>
      </c>
      <c r="AB157" s="37" t="str">
        <f>DATA!AI147</f>
        <v>-</v>
      </c>
      <c r="AC157" s="152" t="str">
        <f>DATA!AR147</f>
        <v>belum ada dokumen R/C</v>
      </c>
      <c r="AD157" s="152" t="str">
        <f>DATA!AN147</f>
        <v>siap</v>
      </c>
      <c r="AE157" s="152" t="str">
        <f>DATA!AO147</f>
        <v>dalam proses
(perencanaan)</v>
      </c>
      <c r="AF157" s="37" t="str">
        <f>DATA!AJ147</f>
        <v>FS, AMDAL</v>
      </c>
      <c r="AG157" s="37" t="str">
        <f>DATA!AK147</f>
        <v>Pembebasan lahan tahun 2016</v>
      </c>
      <c r="AH157" s="37" t="str">
        <f>DATA!AL147</f>
        <v>Rencana pengadaan konsultan ES selesai Nov 2015</v>
      </c>
      <c r="AI157" s="20" t="str">
        <f>DATA!AR147</f>
        <v>belum ada dokumen R/C</v>
      </c>
      <c r="AJ157" s="20" t="str">
        <f>DATA!AN147</f>
        <v>siap</v>
      </c>
      <c r="AK157" s="20" t="str">
        <f>DATA!AO147</f>
        <v>dalam proses
(perencanaan)</v>
      </c>
      <c r="AL157" s="20" t="str">
        <f>DATA!AP147</f>
        <v>belum ada proses tender/lelang</v>
      </c>
      <c r="AM157" s="20" t="str">
        <f>DATA!AY147</f>
        <v>Surat Dirut PT. PLN nomor 716/REN.08.01/DIR/2015 tgl 9 September 2015</v>
      </c>
      <c r="AN157" s="20" t="e">
        <f>DATA!#REF!</f>
        <v>#REF!</v>
      </c>
      <c r="AO157" s="20">
        <f>DATA!AZ147</f>
        <v>0</v>
      </c>
      <c r="AP157" s="152" t="e">
        <f>DATA!#REF!</f>
        <v>#REF!</v>
      </c>
      <c r="AQ157" s="37"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row>
    <row r="158" spans="1:43" ht="203.25" customHeight="1">
      <c r="A158" s="10">
        <f>DATA!A148</f>
        <v>110</v>
      </c>
      <c r="B158" s="10">
        <f>DATA!B148</f>
        <v>0</v>
      </c>
      <c r="C158" s="10" t="str">
        <f>DATA!D148</f>
        <v>INFRASTRUKTUR</v>
      </c>
      <c r="D158" s="10">
        <f>DATA!E148</f>
        <v>7</v>
      </c>
      <c r="E158" s="10" t="str">
        <f>DATA!F148</f>
        <v xml:space="preserve">PT. PLN    </v>
      </c>
      <c r="F158" s="10" t="str">
        <f>DATA!H148</f>
        <v>Electricity Infrastructure Development Program</v>
      </c>
      <c r="G158" s="10" t="str">
        <f>DATA!I148</f>
        <v>A</v>
      </c>
      <c r="H158" s="10" t="str">
        <f>DATA!J148</f>
        <v>Program Pembangunan Infrastruktur Ketenagalistrikan</v>
      </c>
      <c r="I158" s="10">
        <f>DATA!K148</f>
        <v>6</v>
      </c>
      <c r="J158" s="33"/>
      <c r="K158" s="34"/>
      <c r="L158" s="34"/>
      <c r="M158" s="36">
        <f>DATA!K148</f>
        <v>6</v>
      </c>
      <c r="N158" s="37" t="str">
        <f>DATA!L148</f>
        <v>Additional Loan for Upper Cisokan Pumped Storage Hydro Electrical Power Plant (4x260MW)</v>
      </c>
      <c r="O158" s="20">
        <f>DATA!Q148</f>
        <v>1</v>
      </c>
      <c r="P158" s="20">
        <f>DATA!R148</f>
        <v>1</v>
      </c>
      <c r="Q158" s="20">
        <f>DATA!S148</f>
        <v>98</v>
      </c>
      <c r="R158" s="77">
        <f>DATA!T148</f>
        <v>200000000</v>
      </c>
      <c r="S158" s="88">
        <f>DATA!U148</f>
        <v>200000000</v>
      </c>
      <c r="T158" s="77">
        <f>DATA!V148</f>
        <v>0</v>
      </c>
      <c r="U158" s="77">
        <f>DATA!W148</f>
        <v>0</v>
      </c>
      <c r="V158" s="77">
        <f>DATA!X148</f>
        <v>200000000</v>
      </c>
      <c r="W158" s="78" t="str">
        <f>DATA!Y148</f>
        <v>Bank Dunia</v>
      </c>
      <c r="X158" s="20" t="str">
        <f>DATA!Z148</f>
        <v>Multilateral</v>
      </c>
      <c r="Y158" s="77">
        <f>DATA!AA148</f>
        <v>200000000</v>
      </c>
      <c r="Z158" s="77">
        <f>DATA!AG148</f>
        <v>0</v>
      </c>
      <c r="AA158" s="20">
        <f>DATA!AH148</f>
        <v>2017</v>
      </c>
      <c r="AB158" s="37" t="str">
        <f>DATA!AI148</f>
        <v>-</v>
      </c>
      <c r="AC158" s="152" t="str">
        <f>DATA!AR148</f>
        <v>belum ada dokumen R/C</v>
      </c>
      <c r="AD158" s="152" t="str">
        <f>DATA!AN148</f>
        <v>siap</v>
      </c>
      <c r="AE158" s="152" t="str">
        <f>DATA!AO148</f>
        <v>dalam proses
(pelaksanaan 95%)</v>
      </c>
      <c r="AF158" s="37" t="str">
        <f>DATA!AJ148</f>
        <v>FS, AMDAL</v>
      </c>
      <c r="AG158" s="114">
        <f>DATA!AK148</f>
        <v>0.95</v>
      </c>
      <c r="AH158" s="37"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I158" s="20" t="str">
        <f>DATA!AR148</f>
        <v>belum ada dokumen R/C</v>
      </c>
      <c r="AJ158" s="20" t="str">
        <f>DATA!AN148</f>
        <v>siap</v>
      </c>
      <c r="AK158" s="20" t="str">
        <f>DATA!AO148</f>
        <v>dalam proses
(pelaksanaan 95%)</v>
      </c>
      <c r="AL158" s="20" t="str">
        <f>DATA!AP148</f>
        <v>belum ada proses tender/lelang</v>
      </c>
      <c r="AM158"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N158" s="20" t="e">
        <f>DATA!#REF!</f>
        <v>#REF!</v>
      </c>
      <c r="AO158" s="20">
        <f>DATA!AZ148</f>
        <v>0</v>
      </c>
      <c r="AP158" s="152" t="e">
        <f>DATA!#REF!</f>
        <v>#REF!</v>
      </c>
      <c r="AQ158" s="37"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row>
    <row r="159" spans="1:43" ht="35.25" customHeight="1">
      <c r="A159" s="10">
        <f>DATA!A149</f>
        <v>111</v>
      </c>
      <c r="B159" s="10">
        <f>DATA!B149</f>
        <v>0</v>
      </c>
      <c r="C159" s="10" t="str">
        <f>DATA!D149</f>
        <v>INFRASTRUKTUR</v>
      </c>
      <c r="D159" s="10">
        <f>DATA!E149</f>
        <v>7</v>
      </c>
      <c r="E159" s="10" t="str">
        <f>DATA!F149</f>
        <v xml:space="preserve">PT. PLN    </v>
      </c>
      <c r="F159" s="10" t="str">
        <f>DATA!H149</f>
        <v>Electricity Infrastructure Development Program</v>
      </c>
      <c r="G159" s="10" t="str">
        <f>DATA!I149</f>
        <v>A</v>
      </c>
      <c r="H159" s="10" t="str">
        <f>DATA!J149</f>
        <v>Program Pembangunan Infrastruktur Ketenagalistrikan</v>
      </c>
      <c r="I159" s="10">
        <f>DATA!K149</f>
        <v>7</v>
      </c>
      <c r="J159" s="33"/>
      <c r="K159" s="34"/>
      <c r="L159" s="34"/>
      <c r="M159" s="36">
        <f>DATA!K149</f>
        <v>7</v>
      </c>
      <c r="N159" s="37" t="str">
        <f>DATA!L149</f>
        <v>Sungai Penuh Geothermal Power Plant 1&amp;2 (2x55MW)</v>
      </c>
      <c r="O159" s="20">
        <f>DATA!Q149</f>
        <v>1</v>
      </c>
      <c r="P159" s="20">
        <f>DATA!R149</f>
        <v>1</v>
      </c>
      <c r="Q159" s="20">
        <f>DATA!S149</f>
        <v>99</v>
      </c>
      <c r="R159" s="77">
        <f>DATA!T149</f>
        <v>205000000</v>
      </c>
      <c r="S159" s="88">
        <f>DATA!U149</f>
        <v>205000000</v>
      </c>
      <c r="T159" s="77">
        <f>DATA!V149</f>
        <v>45000000</v>
      </c>
      <c r="U159" s="77">
        <f>DATA!W149</f>
        <v>0</v>
      </c>
      <c r="V159" s="77">
        <f>DATA!X149</f>
        <v>250000000</v>
      </c>
      <c r="W159" s="78" t="str">
        <f>DATA!Y149</f>
        <v>ADB</v>
      </c>
      <c r="X159" s="20" t="str">
        <f>DATA!Z149</f>
        <v>Multilateral</v>
      </c>
      <c r="Y159" s="77">
        <f>DATA!AA149</f>
        <v>205000000</v>
      </c>
      <c r="Z159" s="77">
        <f>DATA!AG149</f>
        <v>0</v>
      </c>
      <c r="AA159" s="20" t="str">
        <f>DATA!AH149</f>
        <v>Tanpa keterangan</v>
      </c>
      <c r="AB159" s="37" t="str">
        <f>DATA!AI149</f>
        <v>-</v>
      </c>
      <c r="AC159" s="152" t="str">
        <f>DATA!AR149</f>
        <v>belum ada dokumen R/C</v>
      </c>
      <c r="AD159" s="152" t="str">
        <f>DATA!AN149</f>
        <v>siap</v>
      </c>
      <c r="AE159" s="152" t="str">
        <f>DATA!AO149</f>
        <v>belum ada keterangan</v>
      </c>
      <c r="AF159" s="37" t="str">
        <f>DATA!AJ149</f>
        <v>AMDAL</v>
      </c>
      <c r="AG159" s="37" t="str">
        <f>DATA!AK149</f>
        <v>-</v>
      </c>
      <c r="AH159" s="37" t="str">
        <f>DATA!AL149</f>
        <v>-</v>
      </c>
      <c r="AI159" s="20" t="str">
        <f>DATA!AR149</f>
        <v>belum ada dokumen R/C</v>
      </c>
      <c r="AJ159" s="20" t="str">
        <f>DATA!AN149</f>
        <v>siap</v>
      </c>
      <c r="AK159" s="20" t="str">
        <f>DATA!AO149</f>
        <v>belum ada keterangan</v>
      </c>
      <c r="AL159" s="20" t="str">
        <f>DATA!AP149</f>
        <v>belum ada proses tender/lelang</v>
      </c>
      <c r="AM159" s="20" t="str">
        <f>DATA!AY149</f>
        <v xml:space="preserve">- FS report terkait resource confirmation dari PGE belum ada
- Surat Dirut PT. PLN nomor 716/REN.08.01/DIR/2015 tgl 9 September 2015
</v>
      </c>
      <c r="AN159" s="20" t="e">
        <f>DATA!#REF!</f>
        <v>#REF!</v>
      </c>
      <c r="AO159" s="20">
        <f>DATA!AZ149</f>
        <v>0</v>
      </c>
      <c r="AP159" s="152" t="e">
        <f>DATA!#REF!</f>
        <v>#REF!</v>
      </c>
      <c r="AQ159" s="37" t="str">
        <f>DATA!BA149</f>
        <v>Pengembangan PLTP Sungai Penuh dengan kapasitas 2x55 MW dan jaringan transmisi terkait</v>
      </c>
    </row>
    <row r="160" spans="1:43" ht="36" customHeight="1">
      <c r="A160" s="10">
        <f>DATA!A150</f>
        <v>112</v>
      </c>
      <c r="B160" s="10">
        <f>DATA!B150</f>
        <v>0</v>
      </c>
      <c r="C160" s="10" t="str">
        <f>DATA!D150</f>
        <v>INFRASTRUKTUR</v>
      </c>
      <c r="D160" s="10">
        <f>DATA!E150</f>
        <v>7</v>
      </c>
      <c r="E160" s="10" t="str">
        <f>DATA!F150</f>
        <v xml:space="preserve">PT. PLN    </v>
      </c>
      <c r="F160" s="10" t="str">
        <f>DATA!H150</f>
        <v>Electricity Infrastructure Development Program</v>
      </c>
      <c r="G160" s="10" t="str">
        <f>DATA!I150</f>
        <v>A</v>
      </c>
      <c r="H160" s="10" t="str">
        <f>DATA!J150</f>
        <v>Program Pembangunan Infrastruktur Ketenagalistrikan</v>
      </c>
      <c r="I160" s="10">
        <f>DATA!K150</f>
        <v>8</v>
      </c>
      <c r="J160" s="52"/>
      <c r="K160" s="54"/>
      <c r="L160" s="54"/>
      <c r="M160" s="36">
        <f>DATA!K150</f>
        <v>8</v>
      </c>
      <c r="N160" s="37" t="str">
        <f>DATA!L150</f>
        <v>Matenggeng Pumped Storage Hydro Electrical Power Plant (4x225MW)</v>
      </c>
      <c r="O160" s="20">
        <f>DATA!Q150</f>
        <v>1</v>
      </c>
      <c r="P160" s="20">
        <f>DATA!R150</f>
        <v>1</v>
      </c>
      <c r="Q160" s="20">
        <f>DATA!S150</f>
        <v>100</v>
      </c>
      <c r="R160" s="77">
        <f>DATA!T150</f>
        <v>500000000</v>
      </c>
      <c r="S160" s="88">
        <f>DATA!U150</f>
        <v>500000000</v>
      </c>
      <c r="T160" s="77">
        <f>DATA!V150</f>
        <v>220000000</v>
      </c>
      <c r="U160" s="77">
        <f>DATA!W150</f>
        <v>0</v>
      </c>
      <c r="V160" s="77">
        <f>DATA!X150</f>
        <v>720000000</v>
      </c>
      <c r="W160" s="78" t="str">
        <f>DATA!Y150</f>
        <v>Bank Dunia</v>
      </c>
      <c r="X160" s="20" t="str">
        <f>DATA!Z150</f>
        <v>Multilateral</v>
      </c>
      <c r="Y160" s="77">
        <f>DATA!AA150</f>
        <v>500000000</v>
      </c>
      <c r="Z160" s="77">
        <f>DATA!AG150</f>
        <v>0</v>
      </c>
      <c r="AA160" s="20">
        <f>DATA!AH150</f>
        <v>2017</v>
      </c>
      <c r="AB160" s="37" t="str">
        <f>DATA!AI150</f>
        <v>-</v>
      </c>
      <c r="AC160" s="152" t="str">
        <f>DATA!AR150</f>
        <v>belum ada dokumen R/C</v>
      </c>
      <c r="AD160" s="152" t="str">
        <f>DATA!AN150</f>
        <v>dalam proses
(penyusunan FS)</v>
      </c>
      <c r="AE160" s="152" t="str">
        <f>DATA!AO150</f>
        <v>belum ada keterangan</v>
      </c>
      <c r="AF160" s="37" t="str">
        <f>DATA!AJ150</f>
        <v>Penyusunan FS</v>
      </c>
      <c r="AG160" s="37" t="str">
        <f>DATA!AK150</f>
        <v>-</v>
      </c>
      <c r="AH160" s="37" t="str">
        <f>DATA!AL150</f>
        <v>-</v>
      </c>
      <c r="AI160" s="20" t="str">
        <f>DATA!AR150</f>
        <v>belum ada dokumen R/C</v>
      </c>
      <c r="AJ160" s="20" t="str">
        <f>DATA!AN150</f>
        <v>dalam proses
(penyusunan FS)</v>
      </c>
      <c r="AK160" s="20" t="str">
        <f>DATA!AO150</f>
        <v>belum ada keterangan</v>
      </c>
      <c r="AL160" s="20" t="str">
        <f>DATA!AP150</f>
        <v>belum ada proses tender/lelang</v>
      </c>
      <c r="AM160" s="20" t="str">
        <f>DATA!AY150</f>
        <v>- Direncanakan menggunakan skema direct lending
- AMDAL direncanakan mulai tahun 2016
- Layout terkini tidak terindikasi overlapping dengan bendungan Matenggeng milik PU
- Surat Dirut PT. PLN nomor 716/REN.08.01/DIR/2015 tgl 9 September 2015</v>
      </c>
      <c r="AN160" s="20" t="e">
        <f>DATA!#REF!</f>
        <v>#REF!</v>
      </c>
      <c r="AO160" s="20">
        <f>DATA!AZ150</f>
        <v>0</v>
      </c>
      <c r="AP160" s="152" t="e">
        <f>DATA!#REF!</f>
        <v>#REF!</v>
      </c>
      <c r="AQ160" s="37" t="str">
        <f>DATA!BA150</f>
        <v>Pengembangan PLTA Matenggeng dengan kapasitas 4x225 MW dan jaringan transmisi terkait</v>
      </c>
    </row>
    <row r="161" spans="1:43" s="3" customFormat="1" ht="30" customHeight="1">
      <c r="J161" s="21" t="str">
        <f>DATA!B160</f>
        <v>II</v>
      </c>
      <c r="K161" s="112" t="str">
        <f>DATA!D160</f>
        <v>NON-INFRASTRUKTUR</v>
      </c>
      <c r="L161" s="22"/>
      <c r="M161" s="22"/>
      <c r="N161" s="23"/>
      <c r="O161" s="22"/>
      <c r="P161" s="22"/>
      <c r="Q161" s="22"/>
      <c r="R161" s="79">
        <f>+R162+R172+R181+R184+R196+R199+R212+R215+R218+R221</f>
        <v>4590772100</v>
      </c>
      <c r="S161" s="79">
        <f>+S162+S172+S181+S184+S196+S199+S212+S215+S218+S221</f>
        <v>4887567200</v>
      </c>
      <c r="T161" s="79">
        <f t="shared" ref="T161:Z161" si="21">+T162+T172+T181+T184+T196+T199+T212+T215+T218+T221</f>
        <v>488120200</v>
      </c>
      <c r="U161" s="79">
        <f t="shared" si="21"/>
        <v>2660000</v>
      </c>
      <c r="V161" s="79">
        <f t="shared" si="21"/>
        <v>5308007600</v>
      </c>
      <c r="W161" s="79"/>
      <c r="X161" s="79" t="e">
        <f t="shared" si="21"/>
        <v>#VALUE!</v>
      </c>
      <c r="Y161" s="79">
        <f t="shared" si="21"/>
        <v>4590772100</v>
      </c>
      <c r="Z161" s="79">
        <f t="shared" si="21"/>
        <v>-1609442600</v>
      </c>
      <c r="AA161" s="22"/>
      <c r="AB161" s="23"/>
      <c r="AC161" s="23"/>
      <c r="AD161" s="23"/>
      <c r="AE161" s="23"/>
      <c r="AF161" s="23"/>
      <c r="AG161" s="23"/>
      <c r="AH161" s="23"/>
      <c r="AI161" s="22"/>
      <c r="AJ161" s="22"/>
      <c r="AK161" s="22"/>
      <c r="AL161" s="22"/>
      <c r="AM161" s="22"/>
      <c r="AN161" s="22"/>
      <c r="AO161" s="22"/>
      <c r="AP161" s="23"/>
      <c r="AQ161" s="23"/>
    </row>
    <row r="162" spans="1:43" s="4" customFormat="1" ht="24.95" customHeight="1">
      <c r="J162" s="24"/>
      <c r="K162" s="25">
        <f>DATA!E160</f>
        <v>8</v>
      </c>
      <c r="L162" s="108" t="str">
        <f>DATA!F160</f>
        <v>Kementerian Riset, Teknologi, dan Pendidikan Tinggi</v>
      </c>
      <c r="M162" s="25"/>
      <c r="N162" s="27"/>
      <c r="O162" s="26"/>
      <c r="P162" s="26"/>
      <c r="Q162" s="26"/>
      <c r="R162" s="80">
        <f>+R163</f>
        <v>290311500</v>
      </c>
      <c r="S162" s="80">
        <f>+S163</f>
        <v>527171100</v>
      </c>
      <c r="T162" s="80">
        <f t="shared" ref="T162:Z162" si="22">+T163</f>
        <v>54543500</v>
      </c>
      <c r="U162" s="80">
        <f t="shared" si="22"/>
        <v>0</v>
      </c>
      <c r="V162" s="80">
        <f t="shared" si="22"/>
        <v>581714600</v>
      </c>
      <c r="W162" s="80"/>
      <c r="X162" s="80">
        <f t="shared" si="22"/>
        <v>0</v>
      </c>
      <c r="Y162" s="80">
        <f t="shared" si="22"/>
        <v>290311500</v>
      </c>
      <c r="Z162" s="80">
        <f t="shared" si="22"/>
        <v>0</v>
      </c>
      <c r="AA162" s="26"/>
      <c r="AB162" s="27"/>
      <c r="AC162" s="27"/>
      <c r="AD162" s="27"/>
      <c r="AE162" s="27"/>
      <c r="AF162" s="27"/>
      <c r="AG162" s="27"/>
      <c r="AH162" s="27"/>
      <c r="AI162" s="26"/>
      <c r="AJ162" s="26"/>
      <c r="AK162" s="26"/>
      <c r="AL162" s="26"/>
      <c r="AM162" s="26"/>
      <c r="AN162" s="26"/>
      <c r="AO162" s="26"/>
      <c r="AP162" s="27"/>
      <c r="AQ162" s="27"/>
    </row>
    <row r="163" spans="1:43" s="5" customFormat="1" ht="33.75" customHeight="1">
      <c r="J163" s="28"/>
      <c r="K163" s="29"/>
      <c r="L163" s="30" t="str">
        <f>DATA!I160</f>
        <v>A</v>
      </c>
      <c r="M163" s="31" t="str">
        <f>DATA!J160</f>
        <v xml:space="preserve">Program Peningkatan Akses, Kualitas, Relevansi, dan Daya Saing Pendidikan Tinggi </v>
      </c>
      <c r="N163" s="51"/>
      <c r="O163" s="31"/>
      <c r="P163" s="31"/>
      <c r="Q163" s="31"/>
      <c r="R163" s="81">
        <f>+R164</f>
        <v>290311500</v>
      </c>
      <c r="S163" s="81">
        <f>+S164</f>
        <v>527171100</v>
      </c>
      <c r="T163" s="81">
        <f t="shared" ref="T163:Z163" si="23">+T164</f>
        <v>54543500</v>
      </c>
      <c r="U163" s="81">
        <f t="shared" si="23"/>
        <v>0</v>
      </c>
      <c r="V163" s="81">
        <f t="shared" si="23"/>
        <v>581714600</v>
      </c>
      <c r="W163" s="81"/>
      <c r="X163" s="81">
        <f t="shared" si="23"/>
        <v>0</v>
      </c>
      <c r="Y163" s="81">
        <f t="shared" si="23"/>
        <v>290311500</v>
      </c>
      <c r="Z163" s="81">
        <f t="shared" si="23"/>
        <v>0</v>
      </c>
      <c r="AA163" s="31"/>
      <c r="AB163" s="32"/>
      <c r="AC163" s="32"/>
      <c r="AD163" s="32"/>
      <c r="AE163" s="32"/>
      <c r="AF163" s="32"/>
      <c r="AG163" s="32"/>
      <c r="AH163" s="32"/>
      <c r="AI163" s="31"/>
      <c r="AJ163" s="31"/>
      <c r="AK163" s="31"/>
      <c r="AL163" s="31"/>
      <c r="AM163" s="31"/>
      <c r="AN163" s="31"/>
      <c r="AO163" s="31"/>
      <c r="AP163" s="32"/>
      <c r="AQ163" s="32"/>
    </row>
    <row r="164" spans="1:43" ht="48.75" customHeight="1">
      <c r="A164" s="10">
        <f>DATA!A160</f>
        <v>113</v>
      </c>
      <c r="B164" s="10" t="str">
        <f>DATA!B160</f>
        <v>II</v>
      </c>
      <c r="C164" s="10" t="str">
        <f>DATA!D160</f>
        <v>NON-INFRASTRUKTUR</v>
      </c>
      <c r="D164" s="10">
        <f>DATA!E160</f>
        <v>8</v>
      </c>
      <c r="E164" s="10" t="str">
        <f>DATA!F160</f>
        <v>Kementerian Riset, Teknologi, dan Pendidikan Tinggi</v>
      </c>
      <c r="F164" s="10" t="str">
        <f>DATA!H160</f>
        <v>Improving Access, Quality, Relevance, and Competitiveness of Higher Education Program</v>
      </c>
      <c r="G164" s="10" t="str">
        <f>DATA!I160</f>
        <v>A</v>
      </c>
      <c r="H164" s="10" t="str">
        <f>DATA!J160</f>
        <v xml:space="preserve">Program Peningkatan Akses, Kualitas, Relevansi, dan Daya Saing Pendidikan Tinggi </v>
      </c>
      <c r="I164" s="10">
        <f>DATA!K160</f>
        <v>1</v>
      </c>
      <c r="J164" s="33"/>
      <c r="K164" s="34"/>
      <c r="L164" s="35"/>
      <c r="M164" s="36">
        <f>DATA!K160</f>
        <v>1</v>
      </c>
      <c r="N164" s="37" t="str">
        <f>DATA!L160</f>
        <v>Strengthening Capacity of State Higher Education:</v>
      </c>
      <c r="O164" s="20">
        <f>DATA!Q160</f>
        <v>0</v>
      </c>
      <c r="P164" s="20">
        <f>DATA!R160</f>
        <v>1</v>
      </c>
      <c r="Q164" s="20">
        <f>DATA!S160</f>
        <v>101</v>
      </c>
      <c r="R164" s="77">
        <f>DATA!T160</f>
        <v>290311500</v>
      </c>
      <c r="S164" s="88">
        <f>DATA!U160</f>
        <v>527171100</v>
      </c>
      <c r="T164" s="77">
        <f>DATA!V160</f>
        <v>54543500</v>
      </c>
      <c r="U164" s="77">
        <f>DATA!W160</f>
        <v>0</v>
      </c>
      <c r="V164" s="77">
        <f>DATA!X160</f>
        <v>581714600</v>
      </c>
      <c r="W164" s="78" t="str">
        <f>DATA!Y160</f>
        <v>-</v>
      </c>
      <c r="X164" s="20">
        <f>DATA!Z160</f>
        <v>0</v>
      </c>
      <c r="Y164" s="77">
        <f>DATA!AA160</f>
        <v>290311500</v>
      </c>
      <c r="Z164" s="77">
        <f>DATA!AG160</f>
        <v>0</v>
      </c>
      <c r="AA164" s="20" t="str">
        <f>DATA!AH160</f>
        <v>-</v>
      </c>
      <c r="AB164" s="37" t="str">
        <f>DATA!AI160</f>
        <v>-</v>
      </c>
      <c r="AC164" s="152" t="str">
        <f>DATA!AM160</f>
        <v>-</v>
      </c>
      <c r="AD164" s="152">
        <f>DATA!AN160</f>
        <v>0</v>
      </c>
      <c r="AE164" s="152" t="str">
        <f>DATA!AO160</f>
        <v>-</v>
      </c>
      <c r="AF164" s="37" t="str">
        <f>DATA!AJ160</f>
        <v>-</v>
      </c>
      <c r="AG164" s="37" t="str">
        <f>DATA!AK160</f>
        <v>-</v>
      </c>
      <c r="AH164" s="37" t="str">
        <f>DATA!AL160</f>
        <v>-</v>
      </c>
      <c r="AI164" s="20" t="str">
        <f>DATA!AM160</f>
        <v>-</v>
      </c>
      <c r="AJ164" s="20">
        <f>DATA!AN160</f>
        <v>0</v>
      </c>
      <c r="AK164" s="20" t="str">
        <f>DATA!AO160</f>
        <v>-</v>
      </c>
      <c r="AL164" s="20">
        <f>DATA!AP160</f>
        <v>0</v>
      </c>
      <c r="AM164" s="20" t="str">
        <f>DATA!AY160</f>
        <v>Surat Sekjen nomor 1532/A.A1/PR/2015 tgl 9 September 2015</v>
      </c>
      <c r="AN164" s="20" t="e">
        <f>DATA!#REF!</f>
        <v>#REF!</v>
      </c>
      <c r="AO164" s="20">
        <f>DATA!AZ160</f>
        <v>0</v>
      </c>
      <c r="AP164" s="152" t="e">
        <f>DATA!#REF!</f>
        <v>#REF!</v>
      </c>
      <c r="AQ164" s="37" t="str">
        <f>DATA!BA160</f>
        <v>Pembangunan sarana dan prasarana perkuliahan, pengadaan peralatan, pengembangan SDM, serta jasa konsultan</v>
      </c>
    </row>
    <row r="165" spans="1:43" s="6" customFormat="1" ht="59.25" customHeight="1">
      <c r="A165" s="6">
        <f>DATA!A161</f>
        <v>114</v>
      </c>
      <c r="B165" s="6">
        <f>DATA!B161</f>
        <v>0</v>
      </c>
      <c r="C165" s="6" t="str">
        <f>DATA!D161</f>
        <v>NON-INFRASTRUKTUR</v>
      </c>
      <c r="D165" s="6">
        <f>DATA!E161</f>
        <v>8</v>
      </c>
      <c r="E165" s="6" t="str">
        <f>DATA!F161</f>
        <v>Kementerian Riset, Teknologi, dan Pendidikan Tinggi</v>
      </c>
      <c r="F165" s="6" t="str">
        <f>DATA!H161</f>
        <v>Improving Access, Quality, Relevance, and Competitiveness of Higher Education Program</v>
      </c>
      <c r="G165" s="6" t="str">
        <f>DATA!I161</f>
        <v>A</v>
      </c>
      <c r="H165" s="6" t="str">
        <f>DATA!J161</f>
        <v xml:space="preserve">Program Peningkatan Akses, Kualitas, Relevansi, dan Daya Saing Pendidikan Tinggi </v>
      </c>
      <c r="I165" s="6">
        <f>DATA!K161</f>
        <v>1</v>
      </c>
      <c r="J165" s="38"/>
      <c r="K165" s="39"/>
      <c r="L165" s="39"/>
      <c r="M165" s="40"/>
      <c r="N165" s="67" t="str">
        <f>DATA!L161</f>
        <v>The Development of Sultan Ageng Tirtayasa University (UNTIRTA)</v>
      </c>
      <c r="O165" s="42">
        <f>DATA!Q161</f>
        <v>0.14285714285714285</v>
      </c>
      <c r="P165" s="42">
        <f>DATA!R161</f>
        <v>0</v>
      </c>
      <c r="Q165" s="42">
        <f>DATA!S161</f>
        <v>0</v>
      </c>
      <c r="R165" s="83">
        <f>DATA!T161</f>
        <v>49882300</v>
      </c>
      <c r="S165" s="88">
        <f>DATA!U161</f>
        <v>49882300</v>
      </c>
      <c r="T165" s="83">
        <f>DATA!V161</f>
        <v>3797300</v>
      </c>
      <c r="U165" s="83">
        <f>DATA!W161</f>
        <v>0</v>
      </c>
      <c r="V165" s="83">
        <f>DATA!X161</f>
        <v>53679600</v>
      </c>
      <c r="W165" s="84" t="str">
        <f>DATA!Y161</f>
        <v>IDB</v>
      </c>
      <c r="X165" s="42" t="str">
        <f>DATA!Z161</f>
        <v>Multilateral</v>
      </c>
      <c r="Y165" s="83">
        <f>DATA!AA161</f>
        <v>49882300</v>
      </c>
      <c r="Z165" s="83">
        <f>DATA!AG161</f>
        <v>0</v>
      </c>
      <c r="AA165" s="42" t="str">
        <f>DATA!AH161</f>
        <v>Tanpa keterangan</v>
      </c>
      <c r="AB165" s="67" t="str">
        <f>DATA!AI161</f>
        <v xml:space="preserve">Penyusunan R/C
</v>
      </c>
      <c r="AC165" s="152" t="str">
        <f>DATA!AR161</f>
        <v>-</v>
      </c>
      <c r="AD165" s="152" t="str">
        <f>DATA!AN161</f>
        <v>siap</v>
      </c>
      <c r="AE165" s="152" t="str">
        <f>DATA!AO161</f>
        <v>siap</v>
      </c>
      <c r="AF165" s="67" t="str">
        <f>DATA!AJ161</f>
        <v>- Pemrosesan FS
- AMDAL proses lelang</v>
      </c>
      <c r="AG165" s="115">
        <f>DATA!AK161</f>
        <v>1</v>
      </c>
      <c r="AH165" s="67" t="str">
        <f>DATA!AL161</f>
        <v>-</v>
      </c>
      <c r="AI165" s="42" t="str">
        <f>DATA!AR161</f>
        <v>-</v>
      </c>
      <c r="AJ165" s="42" t="str">
        <f>DATA!AN161</f>
        <v>siap</v>
      </c>
      <c r="AK165" s="42" t="str">
        <f>DATA!AO161</f>
        <v>siap</v>
      </c>
      <c r="AL165" s="42" t="str">
        <f>DATA!AP161</f>
        <v>belum ada proses tender/lelang</v>
      </c>
      <c r="AM165" s="42" t="str">
        <f>DATA!AY161</f>
        <v>Surat Sekjen nomor 1532/A.A1/PR/2015 tgl 9 September 2015</v>
      </c>
      <c r="AN165" s="42" t="e">
        <f>DATA!#REF!</f>
        <v>#REF!</v>
      </c>
      <c r="AO165" s="42">
        <f>DATA!AZ161</f>
        <v>0</v>
      </c>
      <c r="AP165" s="152" t="e">
        <f>DATA!#REF!</f>
        <v>#REF!</v>
      </c>
      <c r="AQ165" s="67" t="str">
        <f>DATA!BA161</f>
        <v>Pembangunan sarana dan prasarana pendidikan (gedung perkuliahan, laboratorium dan sarana pendukung lainnya)  dan pengembangan landscape dan infrastruktur</v>
      </c>
    </row>
    <row r="166" spans="1:43" s="6" customFormat="1" ht="71.25" customHeight="1">
      <c r="A166" s="6">
        <f>DATA!A162</f>
        <v>115</v>
      </c>
      <c r="B166" s="6">
        <f>DATA!B162</f>
        <v>0</v>
      </c>
      <c r="C166" s="6" t="str">
        <f>DATA!D162</f>
        <v>NON-INFRASTRUKTUR</v>
      </c>
      <c r="D166" s="6">
        <f>DATA!E162</f>
        <v>8</v>
      </c>
      <c r="E166" s="6" t="str">
        <f>DATA!F162</f>
        <v>Kementerian Riset, Teknologi, dan Pendidikan Tinggi</v>
      </c>
      <c r="F166" s="6" t="str">
        <f>DATA!H162</f>
        <v>Improving Access, Quality, Relevance, and Competitiveness of Higher Education Program</v>
      </c>
      <c r="G166" s="6" t="str">
        <f>DATA!I162</f>
        <v>A</v>
      </c>
      <c r="H166" s="6" t="str">
        <f>DATA!J162</f>
        <v xml:space="preserve">Program Peningkatan Akses, Kualitas, Relevansi, dan Daya Saing Pendidikan Tinggi </v>
      </c>
      <c r="I166" s="6">
        <f>DATA!K162</f>
        <v>1</v>
      </c>
      <c r="J166" s="38"/>
      <c r="K166" s="39"/>
      <c r="L166" s="39"/>
      <c r="M166" s="38"/>
      <c r="N166" s="67" t="str">
        <f>DATA!L162</f>
        <v>Development for State University of Malang as The Learning University</v>
      </c>
      <c r="O166" s="42">
        <f>DATA!Q162</f>
        <v>0.14285714285714285</v>
      </c>
      <c r="P166" s="42">
        <f>DATA!R162</f>
        <v>0</v>
      </c>
      <c r="Q166" s="42">
        <f>DATA!S162</f>
        <v>0</v>
      </c>
      <c r="R166" s="83">
        <f>DATA!T162</f>
        <v>38400000</v>
      </c>
      <c r="S166" s="88">
        <f>DATA!U162</f>
        <v>38400000</v>
      </c>
      <c r="T166" s="83">
        <f>DATA!V162</f>
        <v>9335300</v>
      </c>
      <c r="U166" s="83">
        <f>DATA!W162</f>
        <v>0</v>
      </c>
      <c r="V166" s="83">
        <f>DATA!X162</f>
        <v>47735300</v>
      </c>
      <c r="W166" s="84" t="str">
        <f>DATA!Y162</f>
        <v>IDB</v>
      </c>
      <c r="X166" s="42" t="str">
        <f>DATA!Z162</f>
        <v>Multilateral</v>
      </c>
      <c r="Y166" s="83">
        <f>DATA!AA162</f>
        <v>38400000</v>
      </c>
      <c r="Z166" s="83">
        <f>DATA!AG162</f>
        <v>0</v>
      </c>
      <c r="AA166" s="42" t="str">
        <f>DATA!AH162</f>
        <v>Tanpa keterangan</v>
      </c>
      <c r="AB166" s="67" t="str">
        <f>DATA!AI162</f>
        <v xml:space="preserve">Penyusunan R/C
</v>
      </c>
      <c r="AC166" s="152" t="str">
        <f>DATA!AR162</f>
        <v>-</v>
      </c>
      <c r="AD166" s="152" t="str">
        <f>DATA!AN162</f>
        <v>siap</v>
      </c>
      <c r="AE166" s="152" t="str">
        <f>DATA!AO162</f>
        <v>siap</v>
      </c>
      <c r="AF166" s="67" t="str">
        <f>DATA!AJ162</f>
        <v>- FS
- AMDAL dalam proses</v>
      </c>
      <c r="AG166" s="115">
        <f>DATA!AK162</f>
        <v>1</v>
      </c>
      <c r="AH166" s="67" t="str">
        <f>DATA!AL162</f>
        <v>-</v>
      </c>
      <c r="AI166" s="42" t="str">
        <f>DATA!AR162</f>
        <v>-</v>
      </c>
      <c r="AJ166" s="42" t="str">
        <f>DATA!AN162</f>
        <v>siap</v>
      </c>
      <c r="AK166" s="42" t="str">
        <f>DATA!AO162</f>
        <v>siap</v>
      </c>
      <c r="AL166" s="42" t="str">
        <f>DATA!AP162</f>
        <v>belum ada proses tender/lelang</v>
      </c>
      <c r="AM166" s="42" t="str">
        <f>DATA!AY162</f>
        <v>Surat Sekjen nomor 1532/A.A1/PR/2015 tgl 9 September 2015</v>
      </c>
      <c r="AN166" s="42" t="e">
        <f>DATA!#REF!</f>
        <v>#REF!</v>
      </c>
      <c r="AO166" s="42">
        <f>DATA!AZ162</f>
        <v>0</v>
      </c>
      <c r="AP166" s="152" t="e">
        <f>DATA!#REF!</f>
        <v>#REF!</v>
      </c>
      <c r="AQ166" s="67" t="str">
        <f>DATA!BA162</f>
        <v>Pembangunan sarana dan prasarana perkuliahan (ruang kuliah, ruang dosen, peralatan laboratorium, instalasi jaringan listrik dan telekomunikasi, instalasi air bersih, sanitasi dan mekanikal engineering) dan pengembangan SDM.</v>
      </c>
    </row>
    <row r="167" spans="1:43" s="6" customFormat="1" ht="101.25" customHeight="1">
      <c r="A167" s="6">
        <f>DATA!A163</f>
        <v>116</v>
      </c>
      <c r="B167" s="6">
        <f>DATA!B163</f>
        <v>0</v>
      </c>
      <c r="C167" s="6" t="str">
        <f>DATA!D163</f>
        <v>NON-INFRASTRUKTUR</v>
      </c>
      <c r="D167" s="6">
        <f>DATA!E163</f>
        <v>8</v>
      </c>
      <c r="E167" s="6" t="str">
        <f>DATA!F163</f>
        <v>Kementerian Riset, Teknologi, dan Pendidikan Tinggi</v>
      </c>
      <c r="F167" s="6" t="str">
        <f>DATA!H163</f>
        <v>Improving Access, Quality, Relevance, and Competitiveness of Higher Education Program</v>
      </c>
      <c r="G167" s="6" t="str">
        <f>DATA!I163</f>
        <v>A</v>
      </c>
      <c r="H167" s="6" t="str">
        <f>DATA!J163</f>
        <v xml:space="preserve">Program Peningkatan Akses, Kualitas, Relevansi, dan Daya Saing Pendidikan Tinggi </v>
      </c>
      <c r="I167" s="6">
        <f>DATA!K163</f>
        <v>1</v>
      </c>
      <c r="J167" s="38"/>
      <c r="K167" s="39"/>
      <c r="L167" s="39"/>
      <c r="M167" s="38"/>
      <c r="N167" s="67" t="str">
        <f>DATA!L163</f>
        <v>The Development and Upgrading Mulawarman University</v>
      </c>
      <c r="O167" s="42">
        <f>DATA!Q163</f>
        <v>0.14285714285714285</v>
      </c>
      <c r="P167" s="42">
        <f>DATA!R163</f>
        <v>0</v>
      </c>
      <c r="Q167" s="42">
        <f>DATA!S163</f>
        <v>0</v>
      </c>
      <c r="R167" s="83">
        <f>DATA!T163</f>
        <v>44400000</v>
      </c>
      <c r="S167" s="88">
        <f>DATA!U163</f>
        <v>44400000</v>
      </c>
      <c r="T167" s="83">
        <f>DATA!V163</f>
        <v>485800</v>
      </c>
      <c r="U167" s="83">
        <f>DATA!W163</f>
        <v>0</v>
      </c>
      <c r="V167" s="83">
        <f>DATA!X163</f>
        <v>44885800</v>
      </c>
      <c r="W167" s="84" t="str">
        <f>DATA!Y163</f>
        <v>IDB</v>
      </c>
      <c r="X167" s="42" t="str">
        <f>DATA!Z163</f>
        <v>Multilateral</v>
      </c>
      <c r="Y167" s="83">
        <f>DATA!AA163</f>
        <v>44400000</v>
      </c>
      <c r="Z167" s="83">
        <f>DATA!AG163</f>
        <v>0</v>
      </c>
      <c r="AA167" s="42" t="str">
        <f>DATA!AH163</f>
        <v>Tanpa keterangan</v>
      </c>
      <c r="AB167" s="67" t="str">
        <f>DATA!AI163</f>
        <v xml:space="preserve">Penyusunan R/C
</v>
      </c>
      <c r="AC167" s="152" t="str">
        <f>DATA!AR163</f>
        <v>-</v>
      </c>
      <c r="AD167" s="152" t="str">
        <f>DATA!AN163</f>
        <v>siap</v>
      </c>
      <c r="AE167" s="152" t="str">
        <f>DATA!AO163</f>
        <v>siap</v>
      </c>
      <c r="AF167" s="67" t="str">
        <f>DATA!AJ163</f>
        <v>FS dan AMDAL target Desember 2015</v>
      </c>
      <c r="AG167" s="115">
        <f>DATA!AK163</f>
        <v>1</v>
      </c>
      <c r="AH167" s="67" t="str">
        <f>DATA!AL163</f>
        <v>-</v>
      </c>
      <c r="AI167" s="42" t="str">
        <f>DATA!AR163</f>
        <v>-</v>
      </c>
      <c r="AJ167" s="42" t="str">
        <f>DATA!AN163</f>
        <v>siap</v>
      </c>
      <c r="AK167" s="42" t="str">
        <f>DATA!AO163</f>
        <v>siap</v>
      </c>
      <c r="AL167" s="42" t="str">
        <f>DATA!AP163</f>
        <v>belum ada proses tender/lelang</v>
      </c>
      <c r="AM167" s="42" t="str">
        <f>DATA!AY163</f>
        <v>Surat Sekjen nomor 1532/A.A1/PR/2015 tgl 9 September 2015</v>
      </c>
      <c r="AN167" s="42" t="e">
        <f>DATA!#REF!</f>
        <v>#REF!</v>
      </c>
      <c r="AO167" s="42">
        <f>DATA!AZ163</f>
        <v>0</v>
      </c>
      <c r="AP167" s="152" t="e">
        <f>DATA!#REF!</f>
        <v>#REF!</v>
      </c>
      <c r="AQ167" s="67"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row>
    <row r="168" spans="1:43" s="6" customFormat="1" ht="54" customHeight="1">
      <c r="A168" s="6">
        <f>DATA!A164</f>
        <v>117</v>
      </c>
      <c r="B168" s="6">
        <f>DATA!B164</f>
        <v>0</v>
      </c>
      <c r="C168" s="6" t="str">
        <f>DATA!D164</f>
        <v>NON-INFRASTRUKTUR</v>
      </c>
      <c r="D168" s="6">
        <f>DATA!E164</f>
        <v>8</v>
      </c>
      <c r="E168" s="6" t="str">
        <f>DATA!F164</f>
        <v>Kementerian Riset, Teknologi, dan Pendidikan Tinggi</v>
      </c>
      <c r="F168" s="6" t="str">
        <f>DATA!H164</f>
        <v>Improving Access, Quality, Relevance, and Competitiveness of Higher Education Program</v>
      </c>
      <c r="G168" s="6" t="str">
        <f>DATA!I164</f>
        <v>A</v>
      </c>
      <c r="H168" s="6" t="str">
        <f>DATA!J164</f>
        <v xml:space="preserve">Program Peningkatan Akses, Kualitas, Relevansi, dan Daya Saing Pendidikan Tinggi </v>
      </c>
      <c r="I168" s="6">
        <f>DATA!K164</f>
        <v>1</v>
      </c>
      <c r="J168" s="38"/>
      <c r="K168" s="39"/>
      <c r="L168" s="39"/>
      <c r="M168" s="38"/>
      <c r="N168" s="67" t="str">
        <f>DATA!L164</f>
        <v>Improvement of The Capacity and Contribution of The University of Jember on Standardized and Excellent Tridharma Implementation in South East Asia Region</v>
      </c>
      <c r="O168" s="42">
        <f>DATA!Q164</f>
        <v>0.14285714285714285</v>
      </c>
      <c r="P168" s="42">
        <f>DATA!R164</f>
        <v>0</v>
      </c>
      <c r="Q168" s="42">
        <f>DATA!S164</f>
        <v>0</v>
      </c>
      <c r="R168" s="83">
        <f>DATA!T164</f>
        <v>44091200</v>
      </c>
      <c r="S168" s="88">
        <f>DATA!U164</f>
        <v>44091200</v>
      </c>
      <c r="T168" s="83">
        <f>DATA!V164</f>
        <v>1992700</v>
      </c>
      <c r="U168" s="83">
        <f>DATA!W164</f>
        <v>0</v>
      </c>
      <c r="V168" s="83">
        <f>DATA!X164</f>
        <v>46083900</v>
      </c>
      <c r="W168" s="84" t="str">
        <f>DATA!Y164</f>
        <v>IDB</v>
      </c>
      <c r="X168" s="42" t="str">
        <f>DATA!Z164</f>
        <v>Multilateral</v>
      </c>
      <c r="Y168" s="83">
        <f>DATA!AA164</f>
        <v>44091200</v>
      </c>
      <c r="Z168" s="83">
        <f>DATA!AG164</f>
        <v>0</v>
      </c>
      <c r="AA168" s="42" t="str">
        <f>DATA!AH164</f>
        <v>Tanpa keterangan</v>
      </c>
      <c r="AB168" s="67" t="str">
        <f>DATA!AI164</f>
        <v xml:space="preserve">Penyusunan R/C
</v>
      </c>
      <c r="AC168" s="152" t="str">
        <f>DATA!AR164</f>
        <v>-</v>
      </c>
      <c r="AD168" s="152" t="str">
        <f>DATA!AN164</f>
        <v>siap</v>
      </c>
      <c r="AE168" s="152" t="str">
        <f>DATA!AO164</f>
        <v>siap</v>
      </c>
      <c r="AF168" s="67" t="str">
        <f>DATA!AJ164</f>
        <v>- Penyusunan AMDAL dan DED</v>
      </c>
      <c r="AG168" s="115">
        <f>DATA!AK164</f>
        <v>1</v>
      </c>
      <c r="AH168" s="67" t="str">
        <f>DATA!AL164</f>
        <v>-</v>
      </c>
      <c r="AI168" s="42" t="str">
        <f>DATA!AR164</f>
        <v>-</v>
      </c>
      <c r="AJ168" s="42" t="str">
        <f>DATA!AN164</f>
        <v>siap</v>
      </c>
      <c r="AK168" s="42" t="str">
        <f>DATA!AO164</f>
        <v>siap</v>
      </c>
      <c r="AL168" s="42" t="str">
        <f>DATA!AP164</f>
        <v>belum ada proses tender/lelang</v>
      </c>
      <c r="AM168" s="42" t="str">
        <f>DATA!AY164</f>
        <v>Surat Sekjen nomor 1532/A.A1/PR/2015 tgl 9 September 2015</v>
      </c>
      <c r="AN168" s="42" t="e">
        <f>DATA!#REF!</f>
        <v>#REF!</v>
      </c>
      <c r="AO168" s="42">
        <f>DATA!AZ164</f>
        <v>0</v>
      </c>
      <c r="AP168" s="152" t="e">
        <f>DATA!#REF!</f>
        <v>#REF!</v>
      </c>
      <c r="AQ168" s="67" t="str">
        <f>DATA!BA164</f>
        <v>Pembangunan sarana dan prasarana perkuliahan, pengadaan peralatan, pengembangan SDM, dan jasa konsultan</v>
      </c>
    </row>
    <row r="169" spans="1:43" s="6" customFormat="1" ht="43.5" customHeight="1">
      <c r="A169" s="6">
        <f>DATA!A165</f>
        <v>118</v>
      </c>
      <c r="B169" s="6">
        <f>DATA!B165</f>
        <v>0</v>
      </c>
      <c r="C169" s="6" t="str">
        <f>DATA!D165</f>
        <v>NON-INFRASTRUKTUR</v>
      </c>
      <c r="D169" s="6">
        <f>DATA!E165</f>
        <v>8</v>
      </c>
      <c r="E169" s="6" t="str">
        <f>DATA!F165</f>
        <v>Kementerian Riset, Teknologi, dan Pendidikan Tinggi</v>
      </c>
      <c r="F169" s="6" t="str">
        <f>DATA!H165</f>
        <v>Improving Access, Quality, Relevance, and Competitiveness of Higher Education Program</v>
      </c>
      <c r="G169" s="6" t="str">
        <f>DATA!I165</f>
        <v>A</v>
      </c>
      <c r="H169" s="6" t="str">
        <f>DATA!J165</f>
        <v xml:space="preserve">Program Peningkatan Akses, Kualitas, Relevansi, dan Daya Saing Pendidikan Tinggi </v>
      </c>
      <c r="I169" s="6">
        <f>DATA!K165</f>
        <v>1</v>
      </c>
      <c r="J169" s="38"/>
      <c r="K169" s="39"/>
      <c r="L169" s="39"/>
      <c r="M169" s="38"/>
      <c r="N169" s="67" t="str">
        <f>DATA!L165</f>
        <v>The Plan of Hasanuddin University Hospital Development</v>
      </c>
      <c r="O169" s="42">
        <f>DATA!Q165</f>
        <v>0.14285714285714285</v>
      </c>
      <c r="P169" s="42">
        <f>DATA!R165</f>
        <v>0</v>
      </c>
      <c r="Q169" s="42">
        <f>DATA!S165</f>
        <v>0</v>
      </c>
      <c r="R169" s="83">
        <f>DATA!T165</f>
        <v>31565800</v>
      </c>
      <c r="S169" s="88">
        <f>DATA!U165</f>
        <v>31565800</v>
      </c>
      <c r="T169" s="83">
        <f>DATA!V165</f>
        <v>2586200</v>
      </c>
      <c r="U169" s="83">
        <f>DATA!W165</f>
        <v>0</v>
      </c>
      <c r="V169" s="83">
        <f>DATA!X165</f>
        <v>34152000</v>
      </c>
      <c r="W169" s="84" t="str">
        <f>DATA!Y165</f>
        <v>Jerman (KfW)</v>
      </c>
      <c r="X169" s="42" t="str">
        <f>DATA!Z165</f>
        <v>Bilateral</v>
      </c>
      <c r="Y169" s="83">
        <f>DATA!AA165</f>
        <v>31565800</v>
      </c>
      <c r="Z169" s="83">
        <f>DATA!AG165</f>
        <v>0</v>
      </c>
      <c r="AA169" s="42" t="str">
        <f>DATA!AH165</f>
        <v>Tanpa keterangan</v>
      </c>
      <c r="AB169" s="67" t="str">
        <f>DATA!AI165</f>
        <v xml:space="preserve">Penyusunan R/C
</v>
      </c>
      <c r="AC169" s="152" t="str">
        <f>DATA!AR165</f>
        <v>-</v>
      </c>
      <c r="AD169" s="152" t="str">
        <f>DATA!AN165</f>
        <v>siap</v>
      </c>
      <c r="AE169" s="152" t="str">
        <f>DATA!AO165</f>
        <v>siap</v>
      </c>
      <c r="AF169" s="67" t="str">
        <f>DATA!AJ165</f>
        <v>AMDAL</v>
      </c>
      <c r="AG169" s="115">
        <f>DATA!AK165</f>
        <v>1</v>
      </c>
      <c r="AH169" s="67" t="str">
        <f>DATA!AL165</f>
        <v>-</v>
      </c>
      <c r="AI169" s="42" t="str">
        <f>DATA!AR165</f>
        <v>-</v>
      </c>
      <c r="AJ169" s="42" t="str">
        <f>DATA!AN165</f>
        <v>siap</v>
      </c>
      <c r="AK169" s="42" t="str">
        <f>DATA!AO165</f>
        <v>siap</v>
      </c>
      <c r="AL169" s="42" t="str">
        <f>DATA!AP165</f>
        <v>belum ada proses tender/lelang</v>
      </c>
      <c r="AM169" s="42" t="str">
        <f>DATA!AY165</f>
        <v>Surat Sekjen nomor 1532/A.A1/PR/2015 tgl 9 September 2015</v>
      </c>
      <c r="AN169" s="42" t="e">
        <f>DATA!#REF!</f>
        <v>#REF!</v>
      </c>
      <c r="AO169" s="42">
        <f>DATA!AZ165</f>
        <v>0</v>
      </c>
      <c r="AP169" s="152" t="e">
        <f>DATA!#REF!</f>
        <v>#REF!</v>
      </c>
      <c r="AQ169" s="67" t="str">
        <f>DATA!BA165</f>
        <v>Pengadaan peralatan, pengembangan SDM, pengembangan telemedicine dan sistem manajemen informasi, dan manajemen dan jasa konsultasi</v>
      </c>
    </row>
    <row r="170" spans="1:43" s="6" customFormat="1" ht="57.75" customHeight="1">
      <c r="A170" s="6">
        <f>DATA!A166</f>
        <v>119</v>
      </c>
      <c r="B170" s="6">
        <f>DATA!B166</f>
        <v>0</v>
      </c>
      <c r="C170" s="6" t="str">
        <f>DATA!D166</f>
        <v>NON-INFRASTRUKTUR</v>
      </c>
      <c r="D170" s="6">
        <f>DATA!E166</f>
        <v>8</v>
      </c>
      <c r="E170" s="6" t="str">
        <f>DATA!F166</f>
        <v>Kementerian Riset, Teknologi, dan Pendidikan Tinggi</v>
      </c>
      <c r="F170" s="6" t="str">
        <f>DATA!H166</f>
        <v>Improving Access, Quality, Relevance, and Competitiveness of Higher Education Program</v>
      </c>
      <c r="G170" s="6" t="str">
        <f>DATA!I166</f>
        <v>A</v>
      </c>
      <c r="H170" s="6" t="str">
        <f>DATA!J166</f>
        <v xml:space="preserve">Program Peningkatan Akses, Kualitas, Relevansi, dan Daya Saing Pendidikan Tinggi </v>
      </c>
      <c r="I170" s="6">
        <f>DATA!K166</f>
        <v>1</v>
      </c>
      <c r="J170" s="38"/>
      <c r="K170" s="39"/>
      <c r="L170" s="39"/>
      <c r="M170" s="38"/>
      <c r="N170" s="67" t="str">
        <f>DATA!L166</f>
        <v>Establishment of University of Bengkulu’s Hospital</v>
      </c>
      <c r="O170" s="42">
        <f>DATA!Q166</f>
        <v>18000000</v>
      </c>
      <c r="P170" s="42">
        <f>DATA!R166</f>
        <v>0</v>
      </c>
      <c r="Q170" s="42">
        <f>DATA!S166</f>
        <v>0</v>
      </c>
      <c r="R170" s="83">
        <f>DATA!T166</f>
        <v>10278200</v>
      </c>
      <c r="S170" s="88">
        <f>DATA!U166</f>
        <v>10278200</v>
      </c>
      <c r="T170" s="83">
        <f>DATA!V166</f>
        <v>182000</v>
      </c>
      <c r="U170" s="83">
        <f>DATA!W166</f>
        <v>0</v>
      </c>
      <c r="V170" s="83">
        <f>DATA!X166</f>
        <v>10460200</v>
      </c>
      <c r="W170" s="84" t="str">
        <f>DATA!Y166</f>
        <v>JICA</v>
      </c>
      <c r="X170" s="42" t="str">
        <f>DATA!Z166</f>
        <v>Bilateral</v>
      </c>
      <c r="Y170" s="83">
        <f>DATA!AA166</f>
        <v>10278200</v>
      </c>
      <c r="Z170" s="83">
        <f>DATA!AG166</f>
        <v>0</v>
      </c>
      <c r="AA170" s="42" t="str">
        <f>DATA!AH166</f>
        <v>Tanpa keterangan</v>
      </c>
      <c r="AB170" s="67" t="str">
        <f>DATA!AI166</f>
        <v xml:space="preserve">Penyusunan R/C
</v>
      </c>
      <c r="AC170" s="152" t="str">
        <f>DATA!AR166</f>
        <v>penyiapan dokumen R/C</v>
      </c>
      <c r="AD170" s="152" t="str">
        <f>DATA!AN166</f>
        <v>siap</v>
      </c>
      <c r="AE170" s="152" t="str">
        <f>DATA!AO166</f>
        <v>siap</v>
      </c>
      <c r="AF170" s="67" t="str">
        <f>DATA!AJ166</f>
        <v>- FS
- AMDAL</v>
      </c>
      <c r="AG170" s="115">
        <f>DATA!AK166</f>
        <v>1</v>
      </c>
      <c r="AH170" s="67" t="str">
        <f>DATA!AL166</f>
        <v>-</v>
      </c>
      <c r="AI170" s="42" t="str">
        <f>DATA!AR166</f>
        <v>penyiapan dokumen R/C</v>
      </c>
      <c r="AJ170" s="42" t="str">
        <f>DATA!AN166</f>
        <v>siap</v>
      </c>
      <c r="AK170" s="42" t="str">
        <f>DATA!AO166</f>
        <v>siap</v>
      </c>
      <c r="AL170" s="42" t="str">
        <f>DATA!AP166</f>
        <v>belum ada proses tender/lelang</v>
      </c>
      <c r="AM170" s="42" t="str">
        <f>DATA!AY166</f>
        <v>- Lender semula adalah IDB namun pihak Kemristekdikti mengkonfirmasikan  Lender untuk kegiatan ini adalah JICA
- Surat Sekjen nomor 1532/A.A1/PR/2015 tgl 9 September 2015</v>
      </c>
      <c r="AN170" s="42" t="e">
        <f>DATA!#REF!</f>
        <v>#REF!</v>
      </c>
      <c r="AO170" s="42">
        <f>DATA!AZ166</f>
        <v>0</v>
      </c>
      <c r="AP170" s="152" t="e">
        <f>DATA!#REF!</f>
        <v>#REF!</v>
      </c>
      <c r="AQ170" s="67" t="str">
        <f>DATA!BA166</f>
        <v>Pembangunan RS Pendidikan di Universitas Bengkulu, pengadaan peralatan medis dan furniture, pengembangan SDM, manajemen proyek, koordinasi, dan pembelajaran</v>
      </c>
    </row>
    <row r="171" spans="1:43" s="6" customFormat="1" ht="50.25" customHeight="1">
      <c r="A171" s="6">
        <f>DATA!A167</f>
        <v>120</v>
      </c>
      <c r="B171" s="6">
        <f>DATA!B167</f>
        <v>0</v>
      </c>
      <c r="C171" s="6" t="str">
        <f>DATA!D167</f>
        <v>NON-INFRASTRUKTUR</v>
      </c>
      <c r="D171" s="6">
        <f>DATA!E167</f>
        <v>8</v>
      </c>
      <c r="E171" s="6" t="str">
        <f>DATA!F167</f>
        <v>Kementerian Riset, Teknologi, dan Pendidikan Tinggi</v>
      </c>
      <c r="F171" s="6" t="str">
        <f>DATA!H167</f>
        <v>Improving Access, Quality, Relevance, and Competitiveness of Higher Education Program</v>
      </c>
      <c r="G171" s="6" t="str">
        <f>DATA!I167</f>
        <v>A</v>
      </c>
      <c r="H171" s="6" t="str">
        <f>DATA!J167</f>
        <v xml:space="preserve">Program Peningkatan Akses, Kualitas, Relevansi, dan Daya Saing Pendidikan Tinggi </v>
      </c>
      <c r="I171" s="6">
        <f>DATA!K167</f>
        <v>1</v>
      </c>
      <c r="J171" s="38"/>
      <c r="K171" s="71"/>
      <c r="L171" s="71"/>
      <c r="M171" s="43"/>
      <c r="N171" s="67" t="str">
        <f>DATA!L167</f>
        <v>University of Gadjah Mada Achieving World Class University with Socio-Entrepreneurial Spirit</v>
      </c>
      <c r="O171" s="42">
        <f>DATA!Q167</f>
        <v>0.14285714285714285</v>
      </c>
      <c r="P171" s="42">
        <f>DATA!R167</f>
        <v>0</v>
      </c>
      <c r="Q171" s="42">
        <f>DATA!S167</f>
        <v>0</v>
      </c>
      <c r="R171" s="83">
        <f>DATA!T167</f>
        <v>71694000</v>
      </c>
      <c r="S171" s="88">
        <f>DATA!U167</f>
        <v>71694000</v>
      </c>
      <c r="T171" s="83">
        <f>DATA!V167</f>
        <v>7041900</v>
      </c>
      <c r="U171" s="83">
        <f>DATA!W167</f>
        <v>0</v>
      </c>
      <c r="V171" s="83">
        <f>DATA!X167</f>
        <v>78735900</v>
      </c>
      <c r="W171" s="84" t="str">
        <f>DATA!Y167</f>
        <v>JICA</v>
      </c>
      <c r="X171" s="42" t="str">
        <f>DATA!Z167</f>
        <v>Bilateral</v>
      </c>
      <c r="Y171" s="83">
        <f>DATA!AA167</f>
        <v>71694000</v>
      </c>
      <c r="Z171" s="83">
        <f>DATA!AG167</f>
        <v>0</v>
      </c>
      <c r="AA171" s="42" t="str">
        <f>DATA!AH167</f>
        <v>Tanpa keterangan</v>
      </c>
      <c r="AB171" s="67" t="str">
        <f>DATA!AI167</f>
        <v xml:space="preserve">Penyusunan R/C
</v>
      </c>
      <c r="AC171" s="152" t="str">
        <f>DATA!AR167</f>
        <v>-</v>
      </c>
      <c r="AD171" s="152" t="str">
        <f>DATA!AN167</f>
        <v>siap</v>
      </c>
      <c r="AE171" s="152" t="str">
        <f>DATA!AO167</f>
        <v>siap</v>
      </c>
      <c r="AF171" s="67" t="str">
        <f>DATA!AJ167</f>
        <v>- FS
- AMDAL dan DED dalam proses</v>
      </c>
      <c r="AG171" s="115">
        <f>DATA!AK167</f>
        <v>0.95</v>
      </c>
      <c r="AH171" s="67" t="str">
        <f>DATA!AL167</f>
        <v>-</v>
      </c>
      <c r="AI171" s="42" t="str">
        <f>DATA!AR167</f>
        <v>-</v>
      </c>
      <c r="AJ171" s="42" t="str">
        <f>DATA!AN167</f>
        <v>siap</v>
      </c>
      <c r="AK171" s="42" t="str">
        <f>DATA!AO167</f>
        <v>siap</v>
      </c>
      <c r="AL171" s="42" t="str">
        <f>DATA!AP167</f>
        <v>belum ada proses tender/lelang</v>
      </c>
      <c r="AM171" s="42" t="str">
        <f>DATA!AY167</f>
        <v>- Lender semula adalah IDB namun pihak Kemristekdikti mengkonfirmasikan  Lender untuk kegiatan ini adalah JICA
- Target penyelesaian lahan akhir Desember 2015
- Surat Sekjen nomor 1532/A.A1/PR/2015 tgl 9 September 2015</v>
      </c>
      <c r="AN171" s="42" t="e">
        <f>DATA!#REF!</f>
        <v>#REF!</v>
      </c>
      <c r="AO171" s="42">
        <f>DATA!AZ167</f>
        <v>0</v>
      </c>
      <c r="AP171" s="152" t="e">
        <f>DATA!#REF!</f>
        <v>#REF!</v>
      </c>
      <c r="AQ171" s="67" t="str">
        <f>DATA!BA167</f>
        <v>Pembangunan gedung baru, pengadaan peralatan, pengembangan SDM dan desain kurikulum, jasa konsultan, dan manajemen proyek</v>
      </c>
    </row>
    <row r="172" spans="1:43" s="4" customFormat="1" ht="24.95" customHeight="1">
      <c r="J172" s="107"/>
      <c r="K172" s="25">
        <f>DATA!E173</f>
        <v>9</v>
      </c>
      <c r="L172" s="108" t="str">
        <f>DATA!F173</f>
        <v>Kementerian Agama</v>
      </c>
      <c r="M172" s="25"/>
      <c r="N172" s="27"/>
      <c r="O172" s="26"/>
      <c r="P172" s="26"/>
      <c r="Q172" s="26"/>
      <c r="R172" s="80">
        <f>+R173</f>
        <v>238210000</v>
      </c>
      <c r="S172" s="80">
        <f>+S173</f>
        <v>298145500</v>
      </c>
      <c r="T172" s="80">
        <f t="shared" ref="T172:Z172" si="24">+T173</f>
        <v>60851400</v>
      </c>
      <c r="U172" s="80">
        <f t="shared" si="24"/>
        <v>0</v>
      </c>
      <c r="V172" s="80">
        <f t="shared" si="24"/>
        <v>288657100</v>
      </c>
      <c r="W172" s="80"/>
      <c r="X172" s="80">
        <f t="shared" si="24"/>
        <v>0</v>
      </c>
      <c r="Y172" s="80">
        <f t="shared" si="24"/>
        <v>238210000</v>
      </c>
      <c r="Z172" s="80">
        <f t="shared" si="24"/>
        <v>0</v>
      </c>
      <c r="AA172" s="26"/>
      <c r="AB172" s="27"/>
      <c r="AC172" s="27"/>
      <c r="AD172" s="27"/>
      <c r="AE172" s="27"/>
      <c r="AF172" s="27"/>
      <c r="AG172" s="27"/>
      <c r="AH172" s="27"/>
      <c r="AI172" s="26"/>
      <c r="AJ172" s="26"/>
      <c r="AK172" s="26"/>
      <c r="AL172" s="26"/>
      <c r="AM172" s="26"/>
      <c r="AN172" s="26"/>
      <c r="AO172" s="26"/>
      <c r="AP172" s="27"/>
      <c r="AQ172" s="27"/>
    </row>
    <row r="173" spans="1:43" s="5" customFormat="1" ht="33.75" customHeight="1">
      <c r="J173" s="28"/>
      <c r="K173" s="29"/>
      <c r="L173" s="30" t="str">
        <f>DATA!I173</f>
        <v>A</v>
      </c>
      <c r="M173" s="31" t="str">
        <f>DATA!J173</f>
        <v>Program Peningkatan Akses, Kualitas, Relevansi, dan Daya Saing Pendidikan Tinggi Islam</v>
      </c>
      <c r="N173" s="51"/>
      <c r="O173" s="31"/>
      <c r="P173" s="31"/>
      <c r="Q173" s="31"/>
      <c r="R173" s="81">
        <f>+R174</f>
        <v>238210000</v>
      </c>
      <c r="S173" s="81">
        <f>+S174</f>
        <v>298145500</v>
      </c>
      <c r="T173" s="81">
        <f t="shared" ref="T173:Z173" si="25">+T174</f>
        <v>60851400</v>
      </c>
      <c r="U173" s="81">
        <f t="shared" si="25"/>
        <v>0</v>
      </c>
      <c r="V173" s="81">
        <f t="shared" si="25"/>
        <v>288657100</v>
      </c>
      <c r="W173" s="81"/>
      <c r="X173" s="81">
        <f t="shared" si="25"/>
        <v>0</v>
      </c>
      <c r="Y173" s="81">
        <f t="shared" si="25"/>
        <v>238210000</v>
      </c>
      <c r="Z173" s="81">
        <f t="shared" si="25"/>
        <v>0</v>
      </c>
      <c r="AA173" s="31"/>
      <c r="AB173" s="32"/>
      <c r="AC173" s="32"/>
      <c r="AD173" s="32"/>
      <c r="AE173" s="32"/>
      <c r="AF173" s="32"/>
      <c r="AG173" s="32"/>
      <c r="AH173" s="32"/>
      <c r="AI173" s="31"/>
      <c r="AJ173" s="31"/>
      <c r="AK173" s="31"/>
      <c r="AL173" s="31"/>
      <c r="AM173" s="31"/>
      <c r="AN173" s="31"/>
      <c r="AO173" s="31"/>
      <c r="AP173" s="32"/>
      <c r="AQ173" s="32"/>
    </row>
    <row r="174" spans="1:43" ht="38.25">
      <c r="A174" s="10">
        <f>DATA!A173</f>
        <v>121</v>
      </c>
      <c r="B174" s="10">
        <f>DATA!B173</f>
        <v>0</v>
      </c>
      <c r="C174" s="10" t="str">
        <f>DATA!D173</f>
        <v>NON-INFRASTRUKTUR</v>
      </c>
      <c r="D174" s="10">
        <f>DATA!E173</f>
        <v>9</v>
      </c>
      <c r="E174" s="10" t="str">
        <f>DATA!F173</f>
        <v>Kementerian Agama</v>
      </c>
      <c r="F174" s="10" t="str">
        <f>DATA!H173</f>
        <v>Improving Access, Quality, Relevance, and Competitiveness of Islamic Higher Education Program</v>
      </c>
      <c r="G174" s="10" t="str">
        <f>DATA!I173</f>
        <v>A</v>
      </c>
      <c r="H174" s="10" t="str">
        <f>DATA!J173</f>
        <v>Program Peningkatan Akses, Kualitas, Relevansi, dan Daya Saing Pendidikan Tinggi Islam</v>
      </c>
      <c r="I174" s="10">
        <f>DATA!K173</f>
        <v>1</v>
      </c>
      <c r="J174" s="33"/>
      <c r="K174" s="34"/>
      <c r="L174" s="35"/>
      <c r="M174" s="36">
        <f>DATA!K173</f>
        <v>1</v>
      </c>
      <c r="N174" s="37" t="str">
        <f>DATA!L173</f>
        <v>Strengthening Capacity of Islamic Higher Education (IAIN and UIN):</v>
      </c>
      <c r="O174" s="20">
        <f>DATA!Q173</f>
        <v>0</v>
      </c>
      <c r="P174" s="20">
        <f>DATA!R173</f>
        <v>1</v>
      </c>
      <c r="Q174" s="20">
        <f>DATA!S173</f>
        <v>102</v>
      </c>
      <c r="R174" s="77">
        <f>DATA!T173</f>
        <v>238210000</v>
      </c>
      <c r="S174" s="88">
        <f>DATA!U173</f>
        <v>298145500</v>
      </c>
      <c r="T174" s="77">
        <f>DATA!V173</f>
        <v>60851400</v>
      </c>
      <c r="U174" s="77">
        <f>DATA!W173</f>
        <v>0</v>
      </c>
      <c r="V174" s="77">
        <f>DATA!X173</f>
        <v>288657100</v>
      </c>
      <c r="W174" s="78" t="str">
        <f>DATA!Y173</f>
        <v>-</v>
      </c>
      <c r="X174" s="20">
        <f>DATA!Z173</f>
        <v>0</v>
      </c>
      <c r="Y174" s="77">
        <f>DATA!AA173</f>
        <v>238210000</v>
      </c>
      <c r="Z174" s="77">
        <f>DATA!AG173</f>
        <v>0</v>
      </c>
      <c r="AA174" s="20" t="str">
        <f>DATA!AH173</f>
        <v>-</v>
      </c>
      <c r="AB174" s="37" t="str">
        <f>DATA!AI173</f>
        <v>-</v>
      </c>
      <c r="AC174" s="152" t="str">
        <f>DATA!AM173</f>
        <v>-</v>
      </c>
      <c r="AD174" s="152" t="str">
        <f>DATA!AN173</f>
        <v>-</v>
      </c>
      <c r="AE174" s="152" t="str">
        <f>DATA!AO173</f>
        <v>-</v>
      </c>
      <c r="AF174" s="37" t="str">
        <f>DATA!AJ173</f>
        <v>-</v>
      </c>
      <c r="AG174" s="37" t="str">
        <f>DATA!AK173</f>
        <v>-</v>
      </c>
      <c r="AH174" s="37" t="str">
        <f>DATA!AL173</f>
        <v>-</v>
      </c>
      <c r="AI174" s="20" t="str">
        <f>DATA!AM173</f>
        <v>-</v>
      </c>
      <c r="AJ174" s="20" t="str">
        <f>DATA!AN173</f>
        <v>-</v>
      </c>
      <c r="AK174" s="20" t="str">
        <f>DATA!AO173</f>
        <v>-</v>
      </c>
      <c r="AL174" s="20">
        <f>DATA!AP173</f>
        <v>0</v>
      </c>
      <c r="AM174" s="20" t="str">
        <f>DATA!AY173</f>
        <v>Surat Sekjen a/n Menteri Agama nomor SJ/B.I/1/KU.00.2/6260/2015 tanggal 17 September 2015</v>
      </c>
      <c r="AN174" s="20" t="e">
        <f>DATA!#REF!</f>
        <v>#REF!</v>
      </c>
      <c r="AO174" s="20">
        <f>DATA!AZ173</f>
        <v>0</v>
      </c>
      <c r="AP174" s="152" t="e">
        <f>DATA!#REF!</f>
        <v>#REF!</v>
      </c>
      <c r="AQ174" s="37" t="str">
        <f>DATA!BA173</f>
        <v>Pembangunan sarana dan prasarana perkuliahan, pengadaan peralatan, pengembangan SDM, serta jasa konsultan</v>
      </c>
    </row>
    <row r="175" spans="1:43" s="6" customFormat="1" ht="61.5" customHeight="1">
      <c r="A175" s="6">
        <f>DATA!A174</f>
        <v>124</v>
      </c>
      <c r="B175" s="6">
        <f>DATA!B174</f>
        <v>0</v>
      </c>
      <c r="C175" s="6" t="str">
        <f>DATA!D174</f>
        <v>NON-INFRASTRUKTUR</v>
      </c>
      <c r="D175" s="6">
        <f>DATA!E174</f>
        <v>9</v>
      </c>
      <c r="E175" s="6" t="str">
        <f>DATA!F174</f>
        <v>Kementerian Agama</v>
      </c>
      <c r="F175" s="6" t="str">
        <f>DATA!H174</f>
        <v>Improving Access, Quality, Relevance, and Competitiveness of Islamic Higher Education Program</v>
      </c>
      <c r="G175" s="6" t="str">
        <f>DATA!I174</f>
        <v>A</v>
      </c>
      <c r="H175" s="6" t="str">
        <f>DATA!J174</f>
        <v>Program Peningkatan Akses, Kualitas, Relevansi, dan Daya Saing Pendidikan Tinggi Islam</v>
      </c>
      <c r="I175" s="6">
        <f>DATA!K174</f>
        <v>1</v>
      </c>
      <c r="J175" s="38"/>
      <c r="K175" s="39"/>
      <c r="L175" s="39"/>
      <c r="M175" s="40"/>
      <c r="N175" s="67" t="str">
        <f>DATA!L174</f>
        <v>Improvement and Optimalization of Sunan Ampel Surabaya State Islamic University</v>
      </c>
      <c r="O175" s="42">
        <f>DATA!Q174</f>
        <v>0.16666666666666666</v>
      </c>
      <c r="P175" s="42">
        <f>DATA!R174</f>
        <v>0</v>
      </c>
      <c r="Q175" s="42">
        <f>DATA!S174</f>
        <v>0</v>
      </c>
      <c r="R175" s="83">
        <f>DATA!T174</f>
        <v>40000000</v>
      </c>
      <c r="S175" s="88">
        <f>DATA!U174</f>
        <v>40000000</v>
      </c>
      <c r="T175" s="83">
        <f>DATA!V174</f>
        <v>10000000</v>
      </c>
      <c r="U175" s="83">
        <f>DATA!W174</f>
        <v>0</v>
      </c>
      <c r="V175" s="83">
        <f>DATA!X174</f>
        <v>50000000</v>
      </c>
      <c r="W175" s="84" t="str">
        <f>DATA!Y174</f>
        <v>IDB</v>
      </c>
      <c r="X175" s="42" t="str">
        <f>DATA!Z174</f>
        <v>Multilateral</v>
      </c>
      <c r="Y175" s="83">
        <f>DATA!AA174</f>
        <v>40000000</v>
      </c>
      <c r="Z175" s="83">
        <f>DATA!AG174</f>
        <v>0</v>
      </c>
      <c r="AA175" s="42" t="str">
        <f>DATA!AH174</f>
        <v>Tanpa keterangan</v>
      </c>
      <c r="AB175" s="67" t="str">
        <f>DATA!AI174</f>
        <v>Penyusunan R/C</v>
      </c>
      <c r="AC175" s="152" t="str">
        <f>DATA!AR174</f>
        <v>-</v>
      </c>
      <c r="AD175" s="152" t="str">
        <f>DATA!AN174</f>
        <v>siap</v>
      </c>
      <c r="AE175" s="152" t="str">
        <f>DATA!AO174</f>
        <v>siap</v>
      </c>
      <c r="AF175" s="67" t="str">
        <f>DATA!AJ174</f>
        <v>- FS dan Proposal
- Penyusunan R/C</v>
      </c>
      <c r="AG175" s="115">
        <f>DATA!AK174</f>
        <v>0.85</v>
      </c>
      <c r="AH175" s="67" t="str">
        <f>DATA!AL174</f>
        <v>-</v>
      </c>
      <c r="AI175" s="42" t="str">
        <f>DATA!AR174</f>
        <v>-</v>
      </c>
      <c r="AJ175" s="42" t="str">
        <f>DATA!AN174</f>
        <v>siap</v>
      </c>
      <c r="AK175" s="42" t="str">
        <f>DATA!AO174</f>
        <v>siap</v>
      </c>
      <c r="AL175" s="42" t="str">
        <f>DATA!AP174</f>
        <v>belum ada proses tender/lelang</v>
      </c>
      <c r="AM175" s="42" t="str">
        <f>DATA!AY174</f>
        <v xml:space="preserve">- Pembebasan kekurangan lahan dilakukan tahun 2016
- Surat Sekjen a/n Menteri Agama nomor SJ/B.I/1/KU.00.2/6260/2015 tanggal 17 September 2015
</v>
      </c>
      <c r="AN175" s="42" t="e">
        <f>DATA!#REF!</f>
        <v>#REF!</v>
      </c>
      <c r="AO175" s="42">
        <f>DATA!AZ174</f>
        <v>0</v>
      </c>
      <c r="AP175" s="152" t="e">
        <f>DATA!#REF!</f>
        <v>#REF!</v>
      </c>
      <c r="AQ175" s="67" t="str">
        <f>DATA!BA174</f>
        <v xml:space="preserve">Pengembangan sarana prasarana perkuliahan (fakultas Saintek, Psikologi dan Kesehatan, Humaniora dan Ilmu Sosial), pengembangan kurikulum dan manajemen akademik, dan pengembangan SDM 
</v>
      </c>
    </row>
    <row r="176" spans="1:43" s="6" customFormat="1" ht="52.5" customHeight="1">
      <c r="A176" s="6">
        <f>DATA!A175</f>
        <v>125</v>
      </c>
      <c r="B176" s="6">
        <f>DATA!B175</f>
        <v>0</v>
      </c>
      <c r="C176" s="6" t="str">
        <f>DATA!D175</f>
        <v>NON-INFRASTRUKTUR</v>
      </c>
      <c r="D176" s="6">
        <f>DATA!E175</f>
        <v>9</v>
      </c>
      <c r="E176" s="6" t="str">
        <f>DATA!F175</f>
        <v>Kementerian Agama</v>
      </c>
      <c r="F176" s="6" t="str">
        <f>DATA!H175</f>
        <v>Improving Access, Quality, Relevance, and Competitiveness of Islamic Higher Education Program</v>
      </c>
      <c r="G176" s="6" t="str">
        <f>DATA!I175</f>
        <v>A</v>
      </c>
      <c r="H176" s="6" t="str">
        <f>DATA!J175</f>
        <v>Program Peningkatan Akses, Kualitas, Relevansi, dan Daya Saing Pendidikan Tinggi Islam</v>
      </c>
      <c r="I176" s="6">
        <f>DATA!K175</f>
        <v>1</v>
      </c>
      <c r="J176" s="38"/>
      <c r="K176" s="39"/>
      <c r="L176" s="39"/>
      <c r="M176" s="38"/>
      <c r="N176" s="67" t="str">
        <f>DATA!L175</f>
        <v>Improvement Access and Quality of State Islamic Institute  Suthan Maulana Hasanuddin Banten</v>
      </c>
      <c r="O176" s="42">
        <f>DATA!Q175</f>
        <v>0.16666666666666666</v>
      </c>
      <c r="P176" s="42">
        <f>DATA!R175</f>
        <v>0</v>
      </c>
      <c r="Q176" s="42">
        <f>DATA!S175</f>
        <v>0</v>
      </c>
      <c r="R176" s="83">
        <f>DATA!T175</f>
        <v>40000000</v>
      </c>
      <c r="S176" s="88">
        <f>DATA!U175</f>
        <v>40000000</v>
      </c>
      <c r="T176" s="83">
        <f>DATA!V175</f>
        <v>5985000</v>
      </c>
      <c r="U176" s="83">
        <f>DATA!W175</f>
        <v>0</v>
      </c>
      <c r="V176" s="83">
        <f>DATA!X175</f>
        <v>45985000</v>
      </c>
      <c r="W176" s="84" t="str">
        <f>DATA!Y175</f>
        <v>IDB</v>
      </c>
      <c r="X176" s="42" t="str">
        <f>DATA!Z175</f>
        <v>Multilateral</v>
      </c>
      <c r="Y176" s="83">
        <f>DATA!AA175</f>
        <v>40000000</v>
      </c>
      <c r="Z176" s="83">
        <f>DATA!AG175</f>
        <v>0</v>
      </c>
      <c r="AA176" s="42" t="str">
        <f>DATA!AH175</f>
        <v>Tanpa keterangan</v>
      </c>
      <c r="AB176" s="67" t="str">
        <f>DATA!AI175</f>
        <v>Penyusunan R/C</v>
      </c>
      <c r="AC176" s="152" t="str">
        <f>DATA!AR175</f>
        <v>-</v>
      </c>
      <c r="AD176" s="152" t="str">
        <f>DATA!AN175</f>
        <v>siap</v>
      </c>
      <c r="AE176" s="152" t="str">
        <f>DATA!AO175</f>
        <v>siap</v>
      </c>
      <c r="AF176" s="67" t="str">
        <f>DATA!AJ175</f>
        <v>- Sudah ada Master Plan
- AMDAL</v>
      </c>
      <c r="AG176" s="115">
        <f>DATA!AK175</f>
        <v>1</v>
      </c>
      <c r="AH176" s="67" t="str">
        <f>DATA!AL175</f>
        <v>-</v>
      </c>
      <c r="AI176" s="42" t="str">
        <f>DATA!AR175</f>
        <v>-</v>
      </c>
      <c r="AJ176" s="42" t="str">
        <f>DATA!AN175</f>
        <v>siap</v>
      </c>
      <c r="AK176" s="42" t="str">
        <f>DATA!AO175</f>
        <v>siap</v>
      </c>
      <c r="AL176" s="42" t="str">
        <f>DATA!AP175</f>
        <v>belum ada proses tender/lelang</v>
      </c>
      <c r="AM176" s="42"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N176" s="42" t="e">
        <f>DATA!#REF!</f>
        <v>#REF!</v>
      </c>
      <c r="AO176" s="42">
        <f>DATA!AZ175</f>
        <v>0</v>
      </c>
      <c r="AP176" s="152" t="e">
        <f>DATA!#REF!</f>
        <v>#REF!</v>
      </c>
      <c r="AQ176" s="67" t="str">
        <f>DATA!BA175</f>
        <v>Pembangunan gedung dan infrastruktur, pengadaaan mebelair dan peralatan, peningkatan SDM, dan pengembangan kurikulum akademik</v>
      </c>
    </row>
    <row r="177" spans="1:43" s="6" customFormat="1" ht="66.75" customHeight="1">
      <c r="A177" s="6">
        <f>DATA!A176</f>
        <v>126</v>
      </c>
      <c r="B177" s="6">
        <f>DATA!B176</f>
        <v>0</v>
      </c>
      <c r="C177" s="6" t="str">
        <f>DATA!D176</f>
        <v>NON-INFRASTRUKTUR</v>
      </c>
      <c r="D177" s="6">
        <f>DATA!E176</f>
        <v>9</v>
      </c>
      <c r="E177" s="6" t="str">
        <f>DATA!F176</f>
        <v>Kementerian Agama</v>
      </c>
      <c r="F177" s="6" t="str">
        <f>DATA!H176</f>
        <v>Improving Access, Quality, Relevance, and Competitiveness of Islamic Higher Education Program</v>
      </c>
      <c r="G177" s="6" t="str">
        <f>DATA!I176</f>
        <v>A</v>
      </c>
      <c r="H177" s="6" t="str">
        <f>DATA!J176</f>
        <v>Program Peningkatan Akses, Kualitas, Relevansi, dan Daya Saing Pendidikan Tinggi Islam</v>
      </c>
      <c r="I177" s="6">
        <f>DATA!K176</f>
        <v>1</v>
      </c>
      <c r="J177" s="38"/>
      <c r="K177" s="39"/>
      <c r="L177" s="39"/>
      <c r="M177" s="38"/>
      <c r="N177" s="67" t="str">
        <f>DATA!L176</f>
        <v xml:space="preserve">Development and Quality Improvement  of Antasari State Islamic Institute </v>
      </c>
      <c r="O177" s="42">
        <f>DATA!Q176</f>
        <v>0.16666666666666666</v>
      </c>
      <c r="P177" s="42">
        <f>DATA!R176</f>
        <v>0</v>
      </c>
      <c r="Q177" s="42">
        <f>DATA!S176</f>
        <v>0</v>
      </c>
      <c r="R177" s="83">
        <f>DATA!T176</f>
        <v>39908600</v>
      </c>
      <c r="S177" s="88">
        <f>DATA!U176</f>
        <v>39908600</v>
      </c>
      <c r="T177" s="83">
        <f>DATA!V176</f>
        <v>10290700</v>
      </c>
      <c r="U177" s="83">
        <f>DATA!W176</f>
        <v>0</v>
      </c>
      <c r="V177" s="83">
        <f>DATA!X176</f>
        <v>50199300</v>
      </c>
      <c r="W177" s="84" t="str">
        <f>DATA!Y176</f>
        <v>IDB</v>
      </c>
      <c r="X177" s="42" t="str">
        <f>DATA!Z176</f>
        <v>Multilateral</v>
      </c>
      <c r="Y177" s="83">
        <f>DATA!AA176</f>
        <v>39900000</v>
      </c>
      <c r="Z177" s="83">
        <f>DATA!AG176</f>
        <v>0</v>
      </c>
      <c r="AA177" s="42" t="str">
        <f>DATA!AH176</f>
        <v>Tanpa keterangan</v>
      </c>
      <c r="AB177" s="67" t="str">
        <f>DATA!AI176</f>
        <v>Penyusunan R/C</v>
      </c>
      <c r="AC177" s="152" t="str">
        <f>DATA!AR176</f>
        <v>-</v>
      </c>
      <c r="AD177" s="152" t="str">
        <f>DATA!AN176</f>
        <v>siap</v>
      </c>
      <c r="AE177" s="152" t="str">
        <f>DATA!AO176</f>
        <v>siap</v>
      </c>
      <c r="AF177" s="67" t="str">
        <f>DATA!AJ176</f>
        <v>Sudah melakukan penyiapan perencanaan</v>
      </c>
      <c r="AG177" s="115">
        <f>DATA!AK176</f>
        <v>1</v>
      </c>
      <c r="AH177" s="67" t="str">
        <f>DATA!AL176</f>
        <v>-</v>
      </c>
      <c r="AI177" s="42" t="str">
        <f>DATA!AR176</f>
        <v>-</v>
      </c>
      <c r="AJ177" s="42" t="str">
        <f>DATA!AN176</f>
        <v>siap</v>
      </c>
      <c r="AK177" s="42" t="str">
        <f>DATA!AO176</f>
        <v>siap</v>
      </c>
      <c r="AL177" s="42" t="str">
        <f>DATA!AP176</f>
        <v>belum ada proses tender/lelang</v>
      </c>
      <c r="AM177" s="42" t="str">
        <f>DATA!AY176</f>
        <v>Surat Sekjen a/n Menteri Agama nomor SJ/B.I/1/KU.00.2/6260/2015 tanggal 17 September 2015</v>
      </c>
      <c r="AN177" s="42" t="e">
        <f>DATA!#REF!</f>
        <v>#REF!</v>
      </c>
      <c r="AO177" s="42">
        <f>DATA!AZ176</f>
        <v>0</v>
      </c>
      <c r="AP177" s="152" t="e">
        <f>DATA!#REF!</f>
        <v>#REF!</v>
      </c>
      <c r="AQ177" s="67" t="str">
        <f>DATA!BA176</f>
        <v>Pembangunan gedung dan infrastruktur, penguatan kelembagaan (pengembangan kurikulum, prodi, manajemen dan peningkatan jumlah dan kualitas riset), dan pengembangan SDM</v>
      </c>
    </row>
    <row r="178" spans="1:43" s="6" customFormat="1" ht="87" customHeight="1">
      <c r="A178" s="6">
        <f>DATA!A177</f>
        <v>127</v>
      </c>
      <c r="B178" s="6">
        <f>DATA!B177</f>
        <v>0</v>
      </c>
      <c r="C178" s="6" t="str">
        <f>DATA!D177</f>
        <v>NON-INFRASTRUKTUR</v>
      </c>
      <c r="D178" s="6" t="str">
        <f>DATA!E177</f>
        <v>z</v>
      </c>
      <c r="E178" s="6" t="str">
        <f>DATA!F177</f>
        <v>Kementerian Agama</v>
      </c>
      <c r="F178" s="6" t="str">
        <f>DATA!H177</f>
        <v>Improving Access, Quality, Relevance, and Competitiveness of Islamic Higher Education Program</v>
      </c>
      <c r="G178" s="6" t="str">
        <f>DATA!I177</f>
        <v>A</v>
      </c>
      <c r="H178" s="6" t="str">
        <f>DATA!J177</f>
        <v>Program Peningkatan Akses, Kualitas, Relevansi, dan Daya Saing Pendidikan Tinggi Islam</v>
      </c>
      <c r="I178" s="6">
        <f>DATA!K177</f>
        <v>1</v>
      </c>
      <c r="J178" s="38"/>
      <c r="K178" s="39"/>
      <c r="L178" s="39"/>
      <c r="M178" s="38"/>
      <c r="N178" s="67" t="str">
        <f>DATA!L177</f>
        <v xml:space="preserve">Tranformation of State Islamic Institute  Sulthan Thaha Saifuddin to State Islamic University </v>
      </c>
      <c r="O178" s="42">
        <f>DATA!Q177</f>
        <v>0.16666666666666666</v>
      </c>
      <c r="P178" s="42">
        <f>DATA!R177</f>
        <v>0</v>
      </c>
      <c r="Q178" s="42">
        <f>DATA!S177</f>
        <v>0</v>
      </c>
      <c r="R178" s="83">
        <f>DATA!T177</f>
        <v>40000000</v>
      </c>
      <c r="S178" s="88">
        <f>DATA!U177</f>
        <v>40000000</v>
      </c>
      <c r="T178" s="83">
        <f>DATA!V177</f>
        <v>10000000</v>
      </c>
      <c r="U178" s="83">
        <f>DATA!W177</f>
        <v>0</v>
      </c>
      <c r="V178" s="83">
        <f>DATA!X177</f>
        <v>50000000</v>
      </c>
      <c r="W178" s="84" t="str">
        <f>DATA!Y177</f>
        <v>IDB</v>
      </c>
      <c r="X178" s="42" t="str">
        <f>DATA!Z177</f>
        <v>Multilateral</v>
      </c>
      <c r="Y178" s="83">
        <f>DATA!AA177</f>
        <v>40000000</v>
      </c>
      <c r="Z178" s="83">
        <f>DATA!AG177</f>
        <v>0</v>
      </c>
      <c r="AA178" s="42" t="str">
        <f>DATA!AH177</f>
        <v>Tanpa keterangan</v>
      </c>
      <c r="AB178" s="67" t="str">
        <f>DATA!AI177</f>
        <v>Penyusunan R/C</v>
      </c>
      <c r="AC178" s="152" t="str">
        <f>DATA!AR177</f>
        <v>-</v>
      </c>
      <c r="AD178" s="152" t="str">
        <f>DATA!AN177</f>
        <v>siap</v>
      </c>
      <c r="AE178" s="152" t="str">
        <f>DATA!AO177</f>
        <v>siap</v>
      </c>
      <c r="AF178" s="67" t="str">
        <f>DATA!AJ177</f>
        <v>Sedang merinci kegiatan</v>
      </c>
      <c r="AG178" s="115">
        <f>DATA!AK177</f>
        <v>1</v>
      </c>
      <c r="AH178" s="67" t="str">
        <f>DATA!AL177</f>
        <v>-</v>
      </c>
      <c r="AI178" s="42" t="str">
        <f>DATA!AR177</f>
        <v>-</v>
      </c>
      <c r="AJ178" s="42" t="str">
        <f>DATA!AN177</f>
        <v>siap</v>
      </c>
      <c r="AK178" s="42" t="str">
        <f>DATA!AO177</f>
        <v>siap</v>
      </c>
      <c r="AL178" s="42" t="str">
        <f>DATA!AP177</f>
        <v>belum ada proses tender/lelang</v>
      </c>
      <c r="AM178" s="42" t="str">
        <f>DATA!AY177</f>
        <v>Surat Sekjen a/n Menteri Agama nomor SJ/B.I/1/KU.00.2/6260/2015 tanggal 17 September 2015</v>
      </c>
      <c r="AN178" s="42" t="e">
        <f>DATA!#REF!</f>
        <v>#REF!</v>
      </c>
      <c r="AO178" s="42">
        <f>DATA!AZ177</f>
        <v>0</v>
      </c>
      <c r="AP178" s="152" t="e">
        <f>DATA!#REF!</f>
        <v>#REF!</v>
      </c>
      <c r="AQ178" s="67"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row>
    <row r="179" spans="1:43" s="6" customFormat="1" ht="93.75" customHeight="1">
      <c r="A179" s="6">
        <f>DATA!A178</f>
        <v>128</v>
      </c>
      <c r="B179" s="6">
        <f>DATA!B178</f>
        <v>0</v>
      </c>
      <c r="C179" s="6" t="str">
        <f>DATA!D178</f>
        <v>NON-INFRASTRUKTUR</v>
      </c>
      <c r="D179" s="6">
        <f>DATA!E178</f>
        <v>9</v>
      </c>
      <c r="E179" s="6" t="str">
        <f>DATA!F178</f>
        <v>Kementerian Agama</v>
      </c>
      <c r="F179" s="6" t="str">
        <f>DATA!H178</f>
        <v>Improving Access, Quality, Relevance, and Competitiveness of Islamic Higher Education Program</v>
      </c>
      <c r="G179" s="6" t="str">
        <f>DATA!I178</f>
        <v>A</v>
      </c>
      <c r="H179" s="6" t="str">
        <f>DATA!J178</f>
        <v>Program Peningkatan Akses, Kualitas, Relevansi, dan Daya Saing Pendidikan Tinggi Islam</v>
      </c>
      <c r="I179" s="6">
        <f>DATA!K178</f>
        <v>1</v>
      </c>
      <c r="J179" s="38"/>
      <c r="K179" s="39"/>
      <c r="L179" s="39"/>
      <c r="M179" s="38"/>
      <c r="N179" s="67" t="str">
        <f>DATA!L178</f>
        <v>Development and Institutional Transformation of State Islamic Institute  Raden Intan Lampung</v>
      </c>
      <c r="O179" s="42">
        <f>DATA!Q178</f>
        <v>0.16666666666666666</v>
      </c>
      <c r="P179" s="42">
        <f>DATA!R178</f>
        <v>0</v>
      </c>
      <c r="Q179" s="42">
        <f>DATA!S178</f>
        <v>0</v>
      </c>
      <c r="R179" s="83">
        <f>DATA!T178</f>
        <v>40000000</v>
      </c>
      <c r="S179" s="88">
        <f>DATA!U178</f>
        <v>40000000</v>
      </c>
      <c r="T179" s="83">
        <f>DATA!V178</f>
        <v>10000000</v>
      </c>
      <c r="U179" s="83">
        <f>DATA!W178</f>
        <v>0</v>
      </c>
      <c r="V179" s="83">
        <f>DATA!X178</f>
        <v>50000000</v>
      </c>
      <c r="W179" s="84" t="str">
        <f>DATA!Y178</f>
        <v>IDB</v>
      </c>
      <c r="X179" s="42" t="str">
        <f>DATA!Z178</f>
        <v>Multilateral</v>
      </c>
      <c r="Y179" s="83">
        <f>DATA!AA178</f>
        <v>40000000</v>
      </c>
      <c r="Z179" s="83">
        <f>DATA!AG178</f>
        <v>0</v>
      </c>
      <c r="AA179" s="42" t="str">
        <f>DATA!AH178</f>
        <v>Tanpa keterangan</v>
      </c>
      <c r="AB179" s="67" t="str">
        <f>DATA!AI178</f>
        <v>Penyusunan R/C</v>
      </c>
      <c r="AC179" s="152" t="str">
        <f>DATA!AR178</f>
        <v>-</v>
      </c>
      <c r="AD179" s="152" t="str">
        <f>DATA!AN178</f>
        <v>siap</v>
      </c>
      <c r="AE179" s="152" t="str">
        <f>DATA!AO178</f>
        <v>siap</v>
      </c>
      <c r="AF179" s="67" t="str">
        <f>DATA!AJ178</f>
        <v>- Sudah ada Master Plan</v>
      </c>
      <c r="AG179" s="115">
        <f>DATA!AK178</f>
        <v>1</v>
      </c>
      <c r="AH179" s="67" t="str">
        <f>DATA!AL178</f>
        <v>-</v>
      </c>
      <c r="AI179" s="42" t="str">
        <f>DATA!AR178</f>
        <v>-</v>
      </c>
      <c r="AJ179" s="42" t="str">
        <f>DATA!AN178</f>
        <v>siap</v>
      </c>
      <c r="AK179" s="42" t="str">
        <f>DATA!AO178</f>
        <v>siap</v>
      </c>
      <c r="AL179" s="42" t="str">
        <f>DATA!AP178</f>
        <v>belum ada proses tender/lelang</v>
      </c>
      <c r="AM179" s="42"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N179" s="42" t="e">
        <f>DATA!#REF!</f>
        <v>#REF!</v>
      </c>
      <c r="AO179" s="42">
        <f>DATA!AZ178</f>
        <v>0</v>
      </c>
      <c r="AP179" s="152" t="e">
        <f>DATA!#REF!</f>
        <v>#REF!</v>
      </c>
      <c r="AQ179" s="67"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row>
    <row r="180" spans="1:43" s="6" customFormat="1" ht="30.75" customHeight="1">
      <c r="A180" s="6">
        <f>DATA!A179</f>
        <v>123</v>
      </c>
      <c r="B180" s="6">
        <f>DATA!B179</f>
        <v>0</v>
      </c>
      <c r="C180" s="6" t="str">
        <f>DATA!D179</f>
        <v>NON-INFRASTRUKTUR</v>
      </c>
      <c r="D180" s="6">
        <f>DATA!E179</f>
        <v>9</v>
      </c>
      <c r="E180" s="6" t="str">
        <f>DATA!F179</f>
        <v>Kementerian Agama</v>
      </c>
      <c r="F180" s="6" t="str">
        <f>DATA!H179</f>
        <v>Improving Access, Quality, Relevance, and Competitiveness of Islamic Higher Education Program</v>
      </c>
      <c r="G180" s="6" t="str">
        <f>DATA!I179</f>
        <v>A</v>
      </c>
      <c r="H180" s="6" t="str">
        <f>DATA!J179</f>
        <v>Program Peningkatan Akses, Kualitas, Relevansi, dan Daya Saing Pendidikan Tinggi Islam</v>
      </c>
      <c r="I180" s="6">
        <f>DATA!K179</f>
        <v>1</v>
      </c>
      <c r="J180" s="38"/>
      <c r="K180" s="71"/>
      <c r="L180" s="71"/>
      <c r="M180" s="43"/>
      <c r="N180" s="67" t="str">
        <f>DATA!L179</f>
        <v xml:space="preserve">Development of Imam Bonjol State Islamic Institute Project </v>
      </c>
      <c r="O180" s="42">
        <f>DATA!Q179</f>
        <v>0.16666666666666666</v>
      </c>
      <c r="P180" s="42">
        <f>DATA!R179</f>
        <v>0</v>
      </c>
      <c r="Q180" s="42">
        <f>DATA!S179</f>
        <v>0</v>
      </c>
      <c r="R180" s="83">
        <f>DATA!T179</f>
        <v>38301400</v>
      </c>
      <c r="S180" s="88">
        <f>DATA!U179</f>
        <v>38301400</v>
      </c>
      <c r="T180" s="83">
        <f>DATA!V179</f>
        <v>4171400</v>
      </c>
      <c r="U180" s="83">
        <f>DATA!W179</f>
        <v>0</v>
      </c>
      <c r="V180" s="83">
        <f>DATA!X179</f>
        <v>42472800</v>
      </c>
      <c r="W180" s="84" t="str">
        <f>DATA!Y179</f>
        <v>IDB</v>
      </c>
      <c r="X180" s="42" t="str">
        <f>DATA!Z179</f>
        <v>Multilateral</v>
      </c>
      <c r="Y180" s="83">
        <f>DATA!AA179</f>
        <v>38310000</v>
      </c>
      <c r="Z180" s="83">
        <f>DATA!AG179</f>
        <v>0</v>
      </c>
      <c r="AA180" s="42" t="str">
        <f>DATA!AH179</f>
        <v>Tanpa keterangan</v>
      </c>
      <c r="AB180" s="67" t="str">
        <f>DATA!AI179</f>
        <v>Penyusunan R/C</v>
      </c>
      <c r="AC180" s="152" t="str">
        <f>DATA!AR179</f>
        <v>-</v>
      </c>
      <c r="AD180" s="152" t="str">
        <f>DATA!AN179</f>
        <v>siap</v>
      </c>
      <c r="AE180" s="152" t="str">
        <f>DATA!AO179</f>
        <v>siap</v>
      </c>
      <c r="AF180" s="67" t="str">
        <f>DATA!AJ179</f>
        <v>Sedang merinci rencana kegiatan</v>
      </c>
      <c r="AG180" s="115">
        <f>DATA!AK179</f>
        <v>1</v>
      </c>
      <c r="AH180" s="67" t="str">
        <f>DATA!AL179</f>
        <v>-</v>
      </c>
      <c r="AI180" s="42" t="str">
        <f>DATA!AR179</f>
        <v>-</v>
      </c>
      <c r="AJ180" s="42" t="str">
        <f>DATA!AN179</f>
        <v>siap</v>
      </c>
      <c r="AK180" s="42" t="str">
        <f>DATA!AO179</f>
        <v>siap</v>
      </c>
      <c r="AL180" s="42" t="str">
        <f>DATA!AP179</f>
        <v>belum ada proses tender/lelang</v>
      </c>
      <c r="AM180" s="42" t="str">
        <f>DATA!AY179</f>
        <v>Surat Sekjen a/n Menteri Agama nomor SJ/B.I/1/KU.00.2/6260/2015 tanggal 17 September 2015</v>
      </c>
      <c r="AN180" s="42" t="e">
        <f>DATA!#REF!</f>
        <v>#REF!</v>
      </c>
      <c r="AO180" s="42">
        <f>DATA!AZ179</f>
        <v>0</v>
      </c>
      <c r="AP180" s="152" t="e">
        <f>DATA!#REF!</f>
        <v>#REF!</v>
      </c>
      <c r="AQ180" s="67" t="str">
        <f>DATA!BA179</f>
        <v>Pembangunan sarana dan prasarana perkuliahan,  Peningkatan kualitas SDM, pengembangan kurikulum</v>
      </c>
    </row>
    <row r="181" spans="1:43" s="4" customFormat="1" ht="24.95" customHeight="1">
      <c r="J181" s="107"/>
      <c r="K181" s="25">
        <f>DATA!E181</f>
        <v>10</v>
      </c>
      <c r="L181" s="108" t="str">
        <f>DATA!F181</f>
        <v>Kementerian PPN/Bappenas</v>
      </c>
      <c r="M181" s="25"/>
      <c r="N181" s="27"/>
      <c r="O181" s="26"/>
      <c r="P181" s="26"/>
      <c r="Q181" s="26"/>
      <c r="R181" s="80">
        <f>+R182</f>
        <v>300000000</v>
      </c>
      <c r="S181" s="80">
        <f>+S182</f>
        <v>300000000</v>
      </c>
      <c r="T181" s="80">
        <f t="shared" ref="T181:Z181" si="26">+T182</f>
        <v>0</v>
      </c>
      <c r="U181" s="80">
        <f t="shared" si="26"/>
        <v>0</v>
      </c>
      <c r="V181" s="80">
        <f t="shared" si="26"/>
        <v>300000000</v>
      </c>
      <c r="W181" s="80"/>
      <c r="X181" s="80" t="str">
        <f t="shared" si="26"/>
        <v>Multilateral</v>
      </c>
      <c r="Y181" s="80">
        <f t="shared" si="26"/>
        <v>300000000</v>
      </c>
      <c r="Z181" s="80">
        <f t="shared" si="26"/>
        <v>0</v>
      </c>
      <c r="AA181" s="26"/>
      <c r="AB181" s="27"/>
      <c r="AC181" s="27"/>
      <c r="AD181" s="27"/>
      <c r="AE181" s="27"/>
      <c r="AF181" s="27"/>
      <c r="AG181" s="27"/>
      <c r="AH181" s="27"/>
      <c r="AI181" s="26"/>
      <c r="AJ181" s="26"/>
      <c r="AK181" s="26"/>
      <c r="AL181" s="26"/>
      <c r="AM181" s="26"/>
      <c r="AN181" s="26"/>
      <c r="AO181" s="26"/>
      <c r="AP181" s="27"/>
      <c r="AQ181" s="27"/>
    </row>
    <row r="182" spans="1:43" s="5" customFormat="1" ht="33.75" customHeight="1">
      <c r="J182" s="28"/>
      <c r="K182" s="29"/>
      <c r="L182" s="30" t="str">
        <f>DATA!I181</f>
        <v>A</v>
      </c>
      <c r="M182" s="113" t="str">
        <f>DATA!J181</f>
        <v>Program Pengembangan Sumber Daya Aparatur  dalam Rangka Reformasi Birokrasi</v>
      </c>
      <c r="N182" s="51"/>
      <c r="O182" s="31"/>
      <c r="P182" s="31"/>
      <c r="Q182" s="31"/>
      <c r="R182" s="81">
        <f>+R183</f>
        <v>300000000</v>
      </c>
      <c r="S182" s="81">
        <f>+S183</f>
        <v>300000000</v>
      </c>
      <c r="T182" s="81">
        <f>+T183</f>
        <v>0</v>
      </c>
      <c r="U182" s="81">
        <f>+U183</f>
        <v>0</v>
      </c>
      <c r="V182" s="81">
        <f>+V183</f>
        <v>300000000</v>
      </c>
      <c r="W182" s="81"/>
      <c r="X182" s="81" t="str">
        <f>+X183</f>
        <v>Multilateral</v>
      </c>
      <c r="Y182" s="81">
        <f>+Y183</f>
        <v>300000000</v>
      </c>
      <c r="Z182" s="81">
        <f>+Z183</f>
        <v>0</v>
      </c>
      <c r="AA182" s="31"/>
      <c r="AB182" s="32"/>
      <c r="AC182" s="32"/>
      <c r="AD182" s="32"/>
      <c r="AE182" s="32"/>
      <c r="AF182" s="32"/>
      <c r="AG182" s="32"/>
      <c r="AH182" s="32"/>
      <c r="AI182" s="31"/>
      <c r="AJ182" s="31"/>
      <c r="AK182" s="31"/>
      <c r="AL182" s="31"/>
      <c r="AM182" s="31"/>
      <c r="AN182" s="31"/>
      <c r="AO182" s="31"/>
      <c r="AP182" s="32"/>
      <c r="AQ182" s="32"/>
    </row>
    <row r="183" spans="1:43" s="6" customFormat="1" ht="35.25" customHeight="1">
      <c r="A183" s="6">
        <f>DATA!A181</f>
        <v>129</v>
      </c>
      <c r="B183" s="6">
        <f>DATA!B181</f>
        <v>0</v>
      </c>
      <c r="C183" s="6" t="str">
        <f>DATA!D181</f>
        <v>NON-INFRASTRUKTUR</v>
      </c>
      <c r="D183" s="6">
        <f>DATA!E181</f>
        <v>10</v>
      </c>
      <c r="E183" s="6" t="str">
        <f>DATA!F181</f>
        <v>Kementerian PPN/Bappenas</v>
      </c>
      <c r="F183" s="6" t="str">
        <f>DATA!H181</f>
        <v>Human Resources Development for Bureaucracy Reform Program</v>
      </c>
      <c r="G183" s="6" t="str">
        <f>DATA!I181</f>
        <v>A</v>
      </c>
      <c r="H183" s="6" t="str">
        <f>DATA!J181</f>
        <v>Program Pengembangan Sumber Daya Aparatur  dalam Rangka Reformasi Birokrasi</v>
      </c>
      <c r="I183" s="6">
        <f>DATA!K181</f>
        <v>1</v>
      </c>
      <c r="J183" s="38"/>
      <c r="K183" s="71"/>
      <c r="L183" s="39"/>
      <c r="M183" s="38">
        <f>DATA!K181</f>
        <v>1</v>
      </c>
      <c r="N183" s="67" t="str">
        <f>DATA!L181</f>
        <v>Development of Capacity, Quality, and Competency of Human Resources for Government Officer</v>
      </c>
      <c r="O183" s="42">
        <f>DATA!Q181</f>
        <v>1</v>
      </c>
      <c r="P183" s="42">
        <f>DATA!R181</f>
        <v>1</v>
      </c>
      <c r="Q183" s="42">
        <f>DATA!S181</f>
        <v>103</v>
      </c>
      <c r="R183" s="83">
        <f>DATA!T181</f>
        <v>300000000</v>
      </c>
      <c r="S183" s="88">
        <f>DATA!U181</f>
        <v>300000000</v>
      </c>
      <c r="T183" s="83">
        <f>DATA!V181</f>
        <v>0</v>
      </c>
      <c r="U183" s="83">
        <f>DATA!W181</f>
        <v>0</v>
      </c>
      <c r="V183" s="83">
        <f>DATA!X181</f>
        <v>300000000</v>
      </c>
      <c r="W183" s="84" t="str">
        <f>DATA!Y181</f>
        <v>Bank Dunia</v>
      </c>
      <c r="X183" s="42" t="str">
        <f>DATA!Z181</f>
        <v>Multilateral</v>
      </c>
      <c r="Y183" s="83">
        <f>DATA!AA181</f>
        <v>300000000</v>
      </c>
      <c r="Z183" s="83">
        <f>DATA!AG181</f>
        <v>0</v>
      </c>
      <c r="AA183" s="42" t="str">
        <f>DATA!AH181</f>
        <v>Tanpa keterangan</v>
      </c>
      <c r="AB183" s="67" t="str">
        <f>DATA!AI181</f>
        <v>Penyusunan R/C</v>
      </c>
      <c r="AC183" s="152" t="str">
        <f>DATA!AR181</f>
        <v>belum ada dokumen R/C</v>
      </c>
      <c r="AD183" s="152" t="str">
        <f>DATA!AN181</f>
        <v>dalam proses
(penyusunan FS)</v>
      </c>
      <c r="AE183" s="152" t="str">
        <f>DATA!AO181</f>
        <v>tidak butuh lahan</v>
      </c>
      <c r="AF183" s="67" t="str">
        <f>DATA!AJ181</f>
        <v>Sedang evaluasi SPIRIT tahap sebelumnya</v>
      </c>
      <c r="AG183" s="67" t="str">
        <f>DATA!AK181</f>
        <v>Tidak membutuhkan lahan</v>
      </c>
      <c r="AH183" s="67" t="str">
        <f>DATA!AL181</f>
        <v>-</v>
      </c>
      <c r="AI183" s="42" t="str">
        <f>DATA!AR181</f>
        <v>belum ada dokumen R/C</v>
      </c>
      <c r="AJ183" s="42" t="str">
        <f>DATA!AN181</f>
        <v>dalam proses
(penyusunan FS)</v>
      </c>
      <c r="AK183" s="42" t="str">
        <f>DATA!AO181</f>
        <v>tidak butuh lahan</v>
      </c>
      <c r="AL183" s="42" t="str">
        <f>DATA!AP181</f>
        <v>belum ada proses tender/lelang</v>
      </c>
      <c r="AM183" s="42" t="str">
        <f>DATA!AY181</f>
        <v>Surat Sesmen PPN/Sestama Bappenas nomor 5877/SES/09/2015 tgl 14 September 2015</v>
      </c>
      <c r="AN183" s="42" t="e">
        <f>DATA!#REF!</f>
        <v>#REF!</v>
      </c>
      <c r="AO183" s="42" t="str">
        <f>DATA!AZ181</f>
        <v>Diusulkan untuk masuk GB 2016</v>
      </c>
      <c r="AP183" s="152" t="e">
        <f>DATA!#REF!</f>
        <v>#REF!</v>
      </c>
      <c r="AQ183" s="67" t="str">
        <f>DATA!BA181</f>
        <v>Menghasilkan sekitar 2.109 lulusan gelar dan non gelar</v>
      </c>
    </row>
    <row r="184" spans="1:43" s="4" customFormat="1" ht="24.95" customHeight="1">
      <c r="J184" s="107"/>
      <c r="K184" s="25">
        <f>DATA!E182</f>
        <v>11</v>
      </c>
      <c r="L184" s="108" t="str">
        <f>DATA!F182</f>
        <v>Kementerian Kesehatan</v>
      </c>
      <c r="M184" s="25"/>
      <c r="N184" s="27"/>
      <c r="O184" s="26"/>
      <c r="P184" s="26"/>
      <c r="Q184" s="26"/>
      <c r="R184" s="80">
        <f>+R185+R187+R189+R191</f>
        <v>1746000000</v>
      </c>
      <c r="S184" s="80">
        <f>+S185+S187+S189+S191</f>
        <v>1746000000</v>
      </c>
      <c r="T184" s="80">
        <f t="shared" ref="T184:Z184" si="27">+T185+T187+T189+T191</f>
        <v>174600000</v>
      </c>
      <c r="U184" s="80">
        <f t="shared" si="27"/>
        <v>0</v>
      </c>
      <c r="V184" s="80">
        <f t="shared" si="27"/>
        <v>1920600000</v>
      </c>
      <c r="W184" s="80"/>
      <c r="X184" s="80" t="e">
        <f t="shared" si="27"/>
        <v>#VALUE!</v>
      </c>
      <c r="Y184" s="80">
        <f t="shared" si="27"/>
        <v>1746000000</v>
      </c>
      <c r="Z184" s="80">
        <f t="shared" si="27"/>
        <v>-755600000</v>
      </c>
      <c r="AA184" s="26"/>
      <c r="AB184" s="27"/>
      <c r="AC184" s="27"/>
      <c r="AD184" s="27"/>
      <c r="AE184" s="27"/>
      <c r="AF184" s="27"/>
      <c r="AG184" s="27"/>
      <c r="AH184" s="27"/>
      <c r="AI184" s="26"/>
      <c r="AJ184" s="26"/>
      <c r="AK184" s="26"/>
      <c r="AL184" s="26"/>
      <c r="AM184" s="26"/>
      <c r="AN184" s="26"/>
      <c r="AO184" s="26"/>
      <c r="AP184" s="27"/>
      <c r="AQ184" s="27"/>
    </row>
    <row r="185" spans="1:43" s="5" customFormat="1" ht="33.75" customHeight="1">
      <c r="J185" s="28"/>
      <c r="K185" s="29"/>
      <c r="L185" s="30" t="str">
        <f>DATA!I181</f>
        <v>A</v>
      </c>
      <c r="M185" s="31" t="str">
        <f>DATA!J182</f>
        <v>Program Pelayanan Kesehatan Dasar</v>
      </c>
      <c r="N185" s="51"/>
      <c r="O185" s="31"/>
      <c r="P185" s="31"/>
      <c r="Q185" s="31"/>
      <c r="R185" s="81">
        <f>+R186</f>
        <v>150000000</v>
      </c>
      <c r="S185" s="81">
        <f>+S186</f>
        <v>150000000</v>
      </c>
      <c r="T185" s="81">
        <f>+T186</f>
        <v>15000000</v>
      </c>
      <c r="U185" s="81">
        <f>+U186</f>
        <v>0</v>
      </c>
      <c r="V185" s="81">
        <f>+V186</f>
        <v>165000000</v>
      </c>
      <c r="W185" s="81"/>
      <c r="X185" s="81" t="str">
        <f>+X186</f>
        <v>Multilateral</v>
      </c>
      <c r="Y185" s="81">
        <f>+Y186</f>
        <v>150000000</v>
      </c>
      <c r="Z185" s="81">
        <f>+Z186</f>
        <v>0</v>
      </c>
      <c r="AA185" s="31"/>
      <c r="AB185" s="32"/>
      <c r="AC185" s="32"/>
      <c r="AD185" s="32"/>
      <c r="AE185" s="32"/>
      <c r="AF185" s="32"/>
      <c r="AG185" s="32"/>
      <c r="AH185" s="32"/>
      <c r="AI185" s="31"/>
      <c r="AJ185" s="31"/>
      <c r="AK185" s="31"/>
      <c r="AL185" s="31"/>
      <c r="AM185" s="31"/>
      <c r="AN185" s="31"/>
      <c r="AO185" s="31"/>
      <c r="AP185" s="32"/>
      <c r="AQ185" s="32"/>
    </row>
    <row r="186" spans="1:43" ht="75.75" customHeight="1">
      <c r="A186" s="10">
        <f>DATA!A182</f>
        <v>130</v>
      </c>
      <c r="B186" s="10">
        <f>DATA!B182</f>
        <v>0</v>
      </c>
      <c r="C186" s="10" t="str">
        <f>DATA!D182</f>
        <v>NON-INFRASTRUKTUR</v>
      </c>
      <c r="D186" s="10">
        <f>DATA!E182</f>
        <v>11</v>
      </c>
      <c r="E186" s="10" t="str">
        <f>DATA!F182</f>
        <v>Kementerian Kesehatan</v>
      </c>
      <c r="F186" s="10" t="str">
        <f>DATA!H182</f>
        <v>Basic Health Care Program</v>
      </c>
      <c r="G186" s="10" t="str">
        <f>DATA!I182</f>
        <v>A</v>
      </c>
      <c r="H186" s="10" t="str">
        <f>DATA!J182</f>
        <v>Program Pelayanan Kesehatan Dasar</v>
      </c>
      <c r="I186" s="10">
        <f>DATA!K182</f>
        <v>1</v>
      </c>
      <c r="J186" s="33"/>
      <c r="K186" s="34"/>
      <c r="L186" s="54"/>
      <c r="M186" s="52">
        <f>DATA!K182</f>
        <v>1</v>
      </c>
      <c r="N186" s="37" t="str">
        <f>DATA!L182</f>
        <v>Improvement of Primary Health Care</v>
      </c>
      <c r="O186" s="20">
        <f>DATA!Q182</f>
        <v>1</v>
      </c>
      <c r="P186" s="20">
        <f>DATA!R182</f>
        <v>1</v>
      </c>
      <c r="Q186" s="20">
        <f>DATA!S182</f>
        <v>104</v>
      </c>
      <c r="R186" s="77">
        <f>DATA!T182</f>
        <v>150000000</v>
      </c>
      <c r="S186" s="88">
        <f>DATA!U182</f>
        <v>150000000</v>
      </c>
      <c r="T186" s="77">
        <f>DATA!V182</f>
        <v>15000000</v>
      </c>
      <c r="U186" s="77">
        <f>DATA!W182</f>
        <v>0</v>
      </c>
      <c r="V186" s="77">
        <f>DATA!X182</f>
        <v>165000000</v>
      </c>
      <c r="W186" s="78" t="str">
        <f>DATA!Y182</f>
        <v>Bank Dunia</v>
      </c>
      <c r="X186" s="20" t="str">
        <f>DATA!Z182</f>
        <v>Multilateral</v>
      </c>
      <c r="Y186" s="77">
        <f>DATA!AA182</f>
        <v>150000000</v>
      </c>
      <c r="Z186" s="77">
        <f>DATA!AG182</f>
        <v>0</v>
      </c>
      <c r="AA186" s="20" t="str">
        <f>DATA!AH182</f>
        <v>Tanpa keterangan</v>
      </c>
      <c r="AB186" s="37" t="str">
        <f>DATA!AI182</f>
        <v>-</v>
      </c>
      <c r="AC186" s="152" t="str">
        <f>DATA!AR182</f>
        <v>belum ada dokumen R/C</v>
      </c>
      <c r="AD186" s="152" t="str">
        <f>DATA!AN182</f>
        <v>belum ada keterangan</v>
      </c>
      <c r="AE186" s="152" t="str">
        <f>DATA!AO182</f>
        <v>tidak butuh lahan</v>
      </c>
      <c r="AF186" s="37" t="str">
        <f>DATA!AJ182</f>
        <v>-</v>
      </c>
      <c r="AG186" s="37" t="str">
        <f>DATA!AK182</f>
        <v>Tidak dibutuhkan lahan</v>
      </c>
      <c r="AH186" s="37" t="str">
        <f>DATA!AL182</f>
        <v>-</v>
      </c>
      <c r="AI186" s="20" t="str">
        <f>DATA!AR182</f>
        <v>belum ada dokumen R/C</v>
      </c>
      <c r="AJ186" s="20" t="str">
        <f>DATA!AN182</f>
        <v>belum ada keterangan</v>
      </c>
      <c r="AK186" s="20" t="str">
        <f>DATA!AO182</f>
        <v>tidak butuh lahan</v>
      </c>
      <c r="AL186" s="20" t="str">
        <f>DATA!AP182</f>
        <v>belum ada proses tender/lelang</v>
      </c>
      <c r="AM186" s="20" t="str">
        <f>DATA!AY182</f>
        <v>Surat Sekjen nomor PR.02.03/I/1814/2015 tanggal 9 September 2015</v>
      </c>
      <c r="AN186" s="20" t="e">
        <f>DATA!#REF!</f>
        <v>#REF!</v>
      </c>
      <c r="AO186" s="20">
        <f>DATA!AZ182</f>
        <v>0</v>
      </c>
      <c r="AP186" s="152" t="e">
        <f>DATA!#REF!</f>
        <v>#REF!</v>
      </c>
      <c r="AQ186" s="37" t="str">
        <f>DATA!BA182</f>
        <v>Kegiatan akreditasi pusat kesehatan, pengembangan sistem informasi kesehatan, pemenuhan kebutuhan pelayanan kesehatan pada daerah perbatasan, dan memfasilitasi hubungan pusat kesehatan dengan unit transfusi darah</v>
      </c>
    </row>
    <row r="187" spans="1:43" s="5" customFormat="1" ht="33.75" customHeight="1">
      <c r="J187" s="28"/>
      <c r="K187" s="50"/>
      <c r="L187" s="30" t="str">
        <f>DATA!I183</f>
        <v>B</v>
      </c>
      <c r="M187" s="31" t="str">
        <f>DATA!J183</f>
        <v>Program Pengembangan Sumber Daya Manusia Kesehatan</v>
      </c>
      <c r="N187" s="51"/>
      <c r="O187" s="31"/>
      <c r="P187" s="31"/>
      <c r="Q187" s="31"/>
      <c r="R187" s="81">
        <f>+R188</f>
        <v>240000000</v>
      </c>
      <c r="S187" s="81">
        <f>+S188</f>
        <v>240000000</v>
      </c>
      <c r="T187" s="81">
        <f t="shared" ref="T187:Z187" si="28">+T188</f>
        <v>24000000</v>
      </c>
      <c r="U187" s="81">
        <f t="shared" si="28"/>
        <v>0</v>
      </c>
      <c r="V187" s="81">
        <f t="shared" si="28"/>
        <v>264000000</v>
      </c>
      <c r="W187" s="81"/>
      <c r="X187" s="81" t="str">
        <f t="shared" si="28"/>
        <v>Multilateral</v>
      </c>
      <c r="Y187" s="81">
        <f t="shared" si="28"/>
        <v>240000000</v>
      </c>
      <c r="Z187" s="81">
        <f t="shared" si="28"/>
        <v>0</v>
      </c>
      <c r="AA187" s="31"/>
      <c r="AB187" s="32"/>
      <c r="AC187" s="32"/>
      <c r="AD187" s="32"/>
      <c r="AE187" s="32"/>
      <c r="AF187" s="32"/>
      <c r="AG187" s="32"/>
      <c r="AH187" s="32"/>
      <c r="AI187" s="31"/>
      <c r="AJ187" s="31"/>
      <c r="AK187" s="31"/>
      <c r="AL187" s="31"/>
      <c r="AM187" s="31"/>
      <c r="AN187" s="31"/>
      <c r="AO187" s="31"/>
      <c r="AP187" s="32"/>
      <c r="AQ187" s="32"/>
    </row>
    <row r="188" spans="1:43" ht="46.5" customHeight="1">
      <c r="A188" s="10">
        <f>DATA!A183</f>
        <v>131</v>
      </c>
      <c r="B188" s="10">
        <f>DATA!B183</f>
        <v>0</v>
      </c>
      <c r="C188" s="10" t="str">
        <f>DATA!D183</f>
        <v>NON-INFRASTRUKTUR</v>
      </c>
      <c r="D188" s="10">
        <f>DATA!E183</f>
        <v>11</v>
      </c>
      <c r="E188" s="10" t="str">
        <f>DATA!F183</f>
        <v>Kementerian Kesehatan</v>
      </c>
      <c r="F188" s="10" t="str">
        <f>DATA!H183</f>
        <v>Program for Human Resources Development in Health Sector</v>
      </c>
      <c r="G188" s="10" t="str">
        <f>DATA!I183</f>
        <v>B</v>
      </c>
      <c r="H188" s="10" t="str">
        <f>DATA!J183</f>
        <v>Program Pengembangan Sumber Daya Manusia Kesehatan</v>
      </c>
      <c r="I188" s="10">
        <f>DATA!K183</f>
        <v>1</v>
      </c>
      <c r="J188" s="33"/>
      <c r="K188" s="34"/>
      <c r="L188" s="20"/>
      <c r="M188" s="36">
        <f>DATA!K183</f>
        <v>1</v>
      </c>
      <c r="N188" s="37" t="str">
        <f>DATA!L183</f>
        <v>Improvement of Facilities and Infrastructure for Teaching and Learning Activities in Health Sector</v>
      </c>
      <c r="O188" s="20">
        <f>DATA!Q183</f>
        <v>1</v>
      </c>
      <c r="P188" s="20">
        <f>DATA!R183</f>
        <v>1</v>
      </c>
      <c r="Q188" s="20">
        <f>DATA!S183</f>
        <v>105</v>
      </c>
      <c r="R188" s="77">
        <f>DATA!T183</f>
        <v>240000000</v>
      </c>
      <c r="S188" s="88">
        <f>DATA!U183</f>
        <v>240000000</v>
      </c>
      <c r="T188" s="77">
        <f>DATA!V183</f>
        <v>24000000</v>
      </c>
      <c r="U188" s="77">
        <f>DATA!W183</f>
        <v>0</v>
      </c>
      <c r="V188" s="77">
        <f>DATA!X183</f>
        <v>264000000</v>
      </c>
      <c r="W188" s="78" t="str">
        <f>DATA!Y183</f>
        <v>IDB</v>
      </c>
      <c r="X188" s="20" t="str">
        <f>DATA!Z183</f>
        <v>Multilateral</v>
      </c>
      <c r="Y188" s="77">
        <f>DATA!AA183</f>
        <v>240000000</v>
      </c>
      <c r="Z188" s="77">
        <f>DATA!AG183</f>
        <v>0</v>
      </c>
      <c r="AA188" s="20" t="str">
        <f>DATA!AH183</f>
        <v>Tanpa keterangan</v>
      </c>
      <c r="AB188" s="37" t="str">
        <f>DATA!AI183</f>
        <v>Penyusunan R/C</v>
      </c>
      <c r="AC188" s="152">
        <f>DATA!AM183</f>
        <v>0</v>
      </c>
      <c r="AD188" s="152" t="str">
        <f>DATA!AN183</f>
        <v>dalam proses
(memiliki FS dan DED)</v>
      </c>
      <c r="AE188" s="152" t="str">
        <f>DATA!AO183</f>
        <v>siap</v>
      </c>
      <c r="AF188" s="37" t="str">
        <f>DATA!AJ183</f>
        <v>FS. DED</v>
      </c>
      <c r="AG188" s="114">
        <f>DATA!AK183</f>
        <v>1</v>
      </c>
      <c r="AH188" s="37" t="str">
        <f>DATA!AL183</f>
        <v>Belum ada lelang/tender</v>
      </c>
      <c r="AI188" s="20">
        <f>DATA!AM183</f>
        <v>0</v>
      </c>
      <c r="AJ188" s="20" t="str">
        <f>DATA!AN183</f>
        <v>dalam proses
(memiliki FS dan DED)</v>
      </c>
      <c r="AK188" s="20" t="str">
        <f>DATA!AO183</f>
        <v>siap</v>
      </c>
      <c r="AL188" s="20" t="str">
        <f>DATA!AP183</f>
        <v>belum ada proses tender/lelang</v>
      </c>
      <c r="AM188" s="20" t="str">
        <f>DATA!AY183</f>
        <v>- Pelaksanaan tahun 2017
- Surat Sekjen nomor PR.02.03/I/1814/2015 tanggal 9 September 2015</v>
      </c>
      <c r="AN188" s="20" t="e">
        <f>DATA!#REF!</f>
        <v>#REF!</v>
      </c>
      <c r="AO188" s="20">
        <f>DATA!AZ183</f>
        <v>0</v>
      </c>
      <c r="AP188" s="152" t="e">
        <f>DATA!#REF!</f>
        <v>#REF!</v>
      </c>
      <c r="AQ188" s="37" t="str">
        <f>DATA!BA183</f>
        <v>'Peningkatan infrastruktur Poltekkes, BPPK, Bapelkes dan UPT</v>
      </c>
    </row>
    <row r="189" spans="1:43" s="5" customFormat="1" ht="33.75" customHeight="1">
      <c r="J189" s="28"/>
      <c r="K189" s="50"/>
      <c r="L189" s="30" t="str">
        <f>DATA!I184</f>
        <v>C</v>
      </c>
      <c r="M189" s="31" t="str">
        <f>DATA!J184</f>
        <v>Program Pengendalian Penyakit, Penyehatan Lingkungan, dan Penguatan Litbang Kesehatan</v>
      </c>
      <c r="N189" s="51"/>
      <c r="O189" s="31"/>
      <c r="P189" s="31"/>
      <c r="Q189" s="31"/>
      <c r="R189" s="81">
        <f>+R190</f>
        <v>100400000</v>
      </c>
      <c r="S189" s="81">
        <f>+S190</f>
        <v>100400000</v>
      </c>
      <c r="T189" s="81">
        <f t="shared" ref="T189:Z189" si="29">+T190</f>
        <v>10040000</v>
      </c>
      <c r="U189" s="81">
        <f t="shared" si="29"/>
        <v>0</v>
      </c>
      <c r="V189" s="81">
        <f t="shared" si="29"/>
        <v>110440000</v>
      </c>
      <c r="W189" s="81"/>
      <c r="X189" s="81" t="str">
        <f t="shared" si="29"/>
        <v>Bilateral</v>
      </c>
      <c r="Y189" s="81">
        <f t="shared" si="29"/>
        <v>100400000</v>
      </c>
      <c r="Z189" s="81">
        <f t="shared" si="29"/>
        <v>0</v>
      </c>
      <c r="AA189" s="31"/>
      <c r="AB189" s="32"/>
      <c r="AC189" s="32"/>
      <c r="AD189" s="32"/>
      <c r="AE189" s="32"/>
      <c r="AF189" s="32"/>
      <c r="AG189" s="32"/>
      <c r="AH189" s="32"/>
      <c r="AI189" s="31"/>
      <c r="AJ189" s="31"/>
      <c r="AK189" s="31"/>
      <c r="AL189" s="31"/>
      <c r="AM189" s="31"/>
      <c r="AN189" s="31"/>
      <c r="AO189" s="31"/>
      <c r="AP189" s="32"/>
      <c r="AQ189" s="32"/>
    </row>
    <row r="190" spans="1:43" ht="74.25" customHeight="1">
      <c r="A190" s="10">
        <f>DATA!A184</f>
        <v>132</v>
      </c>
      <c r="B190" s="10">
        <f>DATA!B184</f>
        <v>0</v>
      </c>
      <c r="C190" s="10" t="str">
        <f>DATA!D184</f>
        <v>NON-INFRASTRUKTUR</v>
      </c>
      <c r="D190" s="10">
        <f>DATA!E184</f>
        <v>11</v>
      </c>
      <c r="E190" s="10" t="str">
        <f>DATA!F184</f>
        <v>Kementerian Kesehatan</v>
      </c>
      <c r="F190" s="10" t="str">
        <f>DATA!H184</f>
        <v>Program for Disease Control, Environmental Health, and Strengthening Health Research and Development</v>
      </c>
      <c r="G190" s="10" t="str">
        <f>DATA!I184</f>
        <v>C</v>
      </c>
      <c r="H190" s="10" t="str">
        <f>DATA!J184</f>
        <v>Program Pengendalian Penyakit, Penyehatan Lingkungan, dan Penguatan Litbang Kesehatan</v>
      </c>
      <c r="I190" s="10">
        <f>DATA!K184</f>
        <v>1</v>
      </c>
      <c r="J190" s="33"/>
      <c r="K190" s="34"/>
      <c r="L190" s="20"/>
      <c r="M190" s="36">
        <f>DATA!K184</f>
        <v>1</v>
      </c>
      <c r="N190" s="37" t="str">
        <f>DATA!L184</f>
        <v>Improvement of Capacity on Disease Control, Environmental Health, and Strengthening Health’s Research and Development</v>
      </c>
      <c r="O190" s="20">
        <f>DATA!Q184</f>
        <v>1</v>
      </c>
      <c r="P190" s="20">
        <f>DATA!R184</f>
        <v>1</v>
      </c>
      <c r="Q190" s="20">
        <f>DATA!S184</f>
        <v>106</v>
      </c>
      <c r="R190" s="77">
        <f>DATA!T184</f>
        <v>100400000</v>
      </c>
      <c r="S190" s="88">
        <f>DATA!U184</f>
        <v>100400000</v>
      </c>
      <c r="T190" s="77">
        <f>DATA!V184</f>
        <v>10040000</v>
      </c>
      <c r="U190" s="77">
        <f>DATA!W184</f>
        <v>0</v>
      </c>
      <c r="V190" s="77">
        <f>DATA!X184</f>
        <v>110440000</v>
      </c>
      <c r="W190" s="78" t="str">
        <f>DATA!Y184</f>
        <v>Jerman (KfW)</v>
      </c>
      <c r="X190" s="20" t="str">
        <f>DATA!Z184</f>
        <v>Bilateral</v>
      </c>
      <c r="Y190" s="77">
        <f>DATA!AA184</f>
        <v>100400000</v>
      </c>
      <c r="Z190" s="77">
        <f>DATA!AG184</f>
        <v>0</v>
      </c>
      <c r="AA190" s="20" t="str">
        <f>DATA!AH184</f>
        <v>Tanpa keterangan</v>
      </c>
      <c r="AB190" s="37" t="str">
        <f>DATA!AI184</f>
        <v>Penyusunan R/C</v>
      </c>
      <c r="AC190" s="152">
        <f>DATA!AM184</f>
        <v>0</v>
      </c>
      <c r="AD190" s="152" t="str">
        <f>DATA!AN184</f>
        <v>dalam proses
(memiliki)</v>
      </c>
      <c r="AE190" s="152" t="str">
        <f>DATA!AO184</f>
        <v>dalam proses
(pelaksanaan)</v>
      </c>
      <c r="AF190" s="37" t="str">
        <f>DATA!AJ184</f>
        <v>Belum ada DED &amp; AMDAL</v>
      </c>
      <c r="AG190" s="114">
        <f>DATA!AK184</f>
        <v>0.5</v>
      </c>
      <c r="AH190" s="37" t="str">
        <f>DATA!AL184</f>
        <v>Belum ada lelang/tender</v>
      </c>
      <c r="AI190" s="20">
        <f>DATA!AM184</f>
        <v>0</v>
      </c>
      <c r="AJ190" s="20" t="str">
        <f>DATA!AN184</f>
        <v>dalam proses
(memiliki)</v>
      </c>
      <c r="AK190" s="20" t="str">
        <f>DATA!AO184</f>
        <v>dalam proses
(pelaksanaan)</v>
      </c>
      <c r="AL190" s="20" t="str">
        <f>DATA!AP184</f>
        <v>belum ada proses tender/lelang</v>
      </c>
      <c r="AM190" s="20" t="str">
        <f>DATA!AY184</f>
        <v>- Tahap perencanaan selesai tahun 2016, tahap penyiapan dilakukan setelah tahap perencanaan selesai.Pelaksanaan diusulkan mulai tahun 2017.
- Surat Sekjen nomor PR.02.03/I/1814/2015 tanggal 9 September 2015</v>
      </c>
      <c r="AN190" s="20" t="e">
        <f>DATA!#REF!</f>
        <v>#REF!</v>
      </c>
      <c r="AO190" s="20">
        <f>DATA!AZ184</f>
        <v>0</v>
      </c>
      <c r="AP190" s="152" t="e">
        <f>DATA!#REF!</f>
        <v>#REF!</v>
      </c>
      <c r="AQ190" s="37" t="str">
        <f>DATA!BA184</f>
        <v>Penguatan lembaga penelitian dan pengembangan kesehatan, melengkapi fasilitas laboratorium untuk mendukung deteksi dan penelitian macam-macam virus dan bakteri, peningkatan kesadaran masyarakat terhadap kesehatan dan Peningkatan SDM kesehatan</v>
      </c>
    </row>
    <row r="191" spans="1:43" s="5" customFormat="1" ht="33.75" customHeight="1">
      <c r="J191" s="28"/>
      <c r="K191" s="50"/>
      <c r="L191" s="30" t="str">
        <f>DATA!I185</f>
        <v>D</v>
      </c>
      <c r="M191" s="31" t="str">
        <f>DATA!J185</f>
        <v>Program Pelayanan Kesehatan Rujukan</v>
      </c>
      <c r="N191" s="51"/>
      <c r="O191" s="31"/>
      <c r="P191" s="31"/>
      <c r="Q191" s="31"/>
      <c r="R191" s="81">
        <f>+R192</f>
        <v>1255600000</v>
      </c>
      <c r="S191" s="81">
        <f>+S192</f>
        <v>1255600000</v>
      </c>
      <c r="T191" s="81">
        <f t="shared" ref="T191:Z191" si="30">+T192</f>
        <v>125560000</v>
      </c>
      <c r="U191" s="81">
        <f t="shared" si="30"/>
        <v>0</v>
      </c>
      <c r="V191" s="81">
        <f t="shared" si="30"/>
        <v>1381160000</v>
      </c>
      <c r="W191" s="81"/>
      <c r="X191" s="81">
        <f t="shared" si="30"/>
        <v>0</v>
      </c>
      <c r="Y191" s="81">
        <f t="shared" si="30"/>
        <v>1255600000</v>
      </c>
      <c r="Z191" s="81">
        <f t="shared" si="30"/>
        <v>-755600000</v>
      </c>
      <c r="AA191" s="31"/>
      <c r="AB191" s="32"/>
      <c r="AC191" s="32"/>
      <c r="AD191" s="32"/>
      <c r="AE191" s="32"/>
      <c r="AF191" s="32"/>
      <c r="AG191" s="32"/>
      <c r="AH191" s="32"/>
      <c r="AI191" s="31"/>
      <c r="AJ191" s="31"/>
      <c r="AK191" s="31"/>
      <c r="AL191" s="31"/>
      <c r="AM191" s="31"/>
      <c r="AN191" s="31"/>
      <c r="AO191" s="31"/>
      <c r="AP191" s="32"/>
      <c r="AQ191" s="32"/>
    </row>
    <row r="192" spans="1:43" ht="38.25">
      <c r="A192" s="10">
        <f>DATA!A185</f>
        <v>133</v>
      </c>
      <c r="B192" s="10">
        <f>DATA!B185</f>
        <v>0</v>
      </c>
      <c r="C192" s="10" t="str">
        <f>DATA!D185</f>
        <v>NON-INFRASTRUKTUR</v>
      </c>
      <c r="D192" s="10">
        <f>DATA!E185</f>
        <v>11</v>
      </c>
      <c r="E192" s="10" t="str">
        <f>DATA!F185</f>
        <v>Kementerian Kesehatan</v>
      </c>
      <c r="F192" s="10" t="str">
        <f>DATA!H185</f>
        <v>Referral Health Services Program</v>
      </c>
      <c r="G192" s="10" t="str">
        <f>DATA!I185</f>
        <v>D</v>
      </c>
      <c r="H192" s="10" t="str">
        <f>DATA!J185</f>
        <v>Program Pelayanan Kesehatan Rujukan</v>
      </c>
      <c r="I192" s="10">
        <f>DATA!K185</f>
        <v>1</v>
      </c>
      <c r="J192" s="33"/>
      <c r="K192" s="34"/>
      <c r="L192" s="35"/>
      <c r="M192" s="36">
        <f>DATA!K185</f>
        <v>1</v>
      </c>
      <c r="N192" s="37" t="str">
        <f>DATA!L185</f>
        <v>Strengthening of National Referral Hospitals, Province Referral Hospital and Vertical Technical Units</v>
      </c>
      <c r="O192" s="20">
        <f>DATA!Q185</f>
        <v>0</v>
      </c>
      <c r="P192" s="20">
        <f>DATA!R185</f>
        <v>1</v>
      </c>
      <c r="Q192" s="20">
        <f>DATA!S185</f>
        <v>107</v>
      </c>
      <c r="R192" s="77">
        <f>DATA!T185</f>
        <v>1255600000</v>
      </c>
      <c r="S192" s="88">
        <f>DATA!U185</f>
        <v>1255600000</v>
      </c>
      <c r="T192" s="77">
        <f>DATA!V185</f>
        <v>125560000</v>
      </c>
      <c r="U192" s="77">
        <f>DATA!W185</f>
        <v>0</v>
      </c>
      <c r="V192" s="77">
        <f>DATA!X185</f>
        <v>1381160000</v>
      </c>
      <c r="W192" s="78" t="str">
        <f>DATA!Y185</f>
        <v>-</v>
      </c>
      <c r="X192" s="20">
        <f>DATA!Z185</f>
        <v>0</v>
      </c>
      <c r="Y192" s="77">
        <f>DATA!AA185</f>
        <v>1255600000</v>
      </c>
      <c r="Z192" s="77">
        <f>DATA!AG185</f>
        <v>-755600000</v>
      </c>
      <c r="AA192" s="20" t="str">
        <f>DATA!AH185</f>
        <v>-</v>
      </c>
      <c r="AB192" s="37" t="str">
        <f>DATA!AI185</f>
        <v>-</v>
      </c>
      <c r="AC192" s="152" t="str">
        <f>DATA!AM185</f>
        <v>-</v>
      </c>
      <c r="AD192" s="152" t="str">
        <f>DATA!AN185</f>
        <v>-</v>
      </c>
      <c r="AE192" s="152" t="str">
        <f>DATA!AO185</f>
        <v>-</v>
      </c>
      <c r="AF192" s="37" t="str">
        <f>DATA!AJ185</f>
        <v>-</v>
      </c>
      <c r="AG192" s="37" t="str">
        <f>DATA!AK185</f>
        <v>-</v>
      </c>
      <c r="AH192" s="37" t="str">
        <f>DATA!AL185</f>
        <v>-</v>
      </c>
      <c r="AI192" s="20" t="str">
        <f>DATA!AM185</f>
        <v>-</v>
      </c>
      <c r="AJ192" s="20" t="str">
        <f>DATA!AN185</f>
        <v>-</v>
      </c>
      <c r="AK192" s="20" t="str">
        <f>DATA!AO185</f>
        <v>-</v>
      </c>
      <c r="AL192" s="20" t="str">
        <f>DATA!AP185</f>
        <v>-</v>
      </c>
      <c r="AM192" s="20" t="str">
        <f>DATA!AY185</f>
        <v>-</v>
      </c>
      <c r="AN192" s="20" t="e">
        <f>DATA!#REF!</f>
        <v>#REF!</v>
      </c>
      <c r="AO192" s="20" t="str">
        <f>DATA!AZ185</f>
        <v>-</v>
      </c>
      <c r="AP192" s="152" t="e">
        <f>DATA!#REF!</f>
        <v>#REF!</v>
      </c>
      <c r="AQ192" s="37" t="str">
        <f>DATA!BA185</f>
        <v>-</v>
      </c>
    </row>
    <row r="193" spans="1:43" s="6" customFormat="1" ht="63.75" customHeight="1">
      <c r="A193" s="6">
        <f>DATA!A186</f>
        <v>133</v>
      </c>
      <c r="B193" s="6">
        <f>DATA!B186</f>
        <v>0</v>
      </c>
      <c r="C193" s="6" t="str">
        <f>DATA!D186</f>
        <v>NON-INFRASTRUKTUR</v>
      </c>
      <c r="D193" s="6">
        <f>DATA!E186</f>
        <v>11</v>
      </c>
      <c r="E193" s="6" t="str">
        <f>DATA!F186</f>
        <v>Kementerian Kesehatan</v>
      </c>
      <c r="F193" s="6" t="str">
        <f>DATA!H186</f>
        <v>Referral Health Services Program</v>
      </c>
      <c r="G193" s="6" t="str">
        <f>DATA!I186</f>
        <v>D</v>
      </c>
      <c r="H193" s="6" t="str">
        <f>DATA!J186</f>
        <v>Program Pelayanan Kesehatan Rujukan</v>
      </c>
      <c r="I193" s="6">
        <f>DATA!K186</f>
        <v>1</v>
      </c>
      <c r="J193" s="38"/>
      <c r="K193" s="39"/>
      <c r="L193" s="39"/>
      <c r="M193" s="40"/>
      <c r="N193" s="67" t="str">
        <f>DATA!L186</f>
        <v>Strengthening of National Referral Hospitals, Province Referral Hospital and Vertical Technical Units</v>
      </c>
      <c r="O193" s="42">
        <f>DATA!Q186</f>
        <v>0.33333333333333331</v>
      </c>
      <c r="P193" s="42">
        <f>DATA!R186</f>
        <v>0</v>
      </c>
      <c r="Q193" s="42">
        <f>DATA!S186</f>
        <v>0</v>
      </c>
      <c r="R193" s="83">
        <f>DATA!T186</f>
        <v>0</v>
      </c>
      <c r="S193" s="88">
        <f>DATA!U186</f>
        <v>0</v>
      </c>
      <c r="T193" s="83">
        <f>DATA!V186</f>
        <v>0</v>
      </c>
      <c r="U193" s="83">
        <f>DATA!W186</f>
        <v>0</v>
      </c>
      <c r="V193" s="83">
        <f>DATA!X186</f>
        <v>0</v>
      </c>
      <c r="W193" s="84" t="str">
        <f>DATA!Y186</f>
        <v>IDB</v>
      </c>
      <c r="X193" s="42" t="str">
        <f>DATA!Z186</f>
        <v>Multilateral</v>
      </c>
      <c r="Y193" s="83">
        <f>DATA!AA186</f>
        <v>250000000</v>
      </c>
      <c r="Z193" s="83">
        <f>DATA!AG186</f>
        <v>0</v>
      </c>
      <c r="AA193" s="42" t="str">
        <f>DATA!AH186</f>
        <v>Tanpa keterangan</v>
      </c>
      <c r="AB193" s="67" t="str">
        <f>DATA!AI186</f>
        <v>-</v>
      </c>
      <c r="AC193" s="152">
        <f>DATA!AM186</f>
        <v>0</v>
      </c>
      <c r="AD193" s="152" t="str">
        <f>DATA!AN186</f>
        <v>belum ada keterangan</v>
      </c>
      <c r="AE193" s="152" t="str">
        <f>DATA!AO186</f>
        <v>belum ada keterangan</v>
      </c>
      <c r="AF193" s="67" t="str">
        <f>DATA!AJ186</f>
        <v>-</v>
      </c>
      <c r="AG193" s="124" t="str">
        <f>DATA!AK186</f>
        <v>-</v>
      </c>
      <c r="AH193" s="67" t="str">
        <f>DATA!AL186</f>
        <v>-</v>
      </c>
      <c r="AI193" s="42">
        <f>DATA!AM186</f>
        <v>0</v>
      </c>
      <c r="AJ193" s="42" t="str">
        <f>DATA!AN186</f>
        <v>belum ada keterangan</v>
      </c>
      <c r="AK193" s="42" t="str">
        <f>DATA!AO186</f>
        <v>belum ada keterangan</v>
      </c>
      <c r="AL193" s="42" t="str">
        <f>DATA!AP186</f>
        <v>belum ada proses tender/lelang</v>
      </c>
      <c r="AM193" s="42" t="str">
        <f>DATA!AY186</f>
        <v>- (tidak ada data)
- Surat Sekjen nomor PR.02.03/I/1814/2015 tanggal 9 September 2015</v>
      </c>
      <c r="AN193" s="42" t="e">
        <f>DATA!#REF!</f>
        <v>#REF!</v>
      </c>
      <c r="AO193" s="42">
        <f>DATA!AZ186</f>
        <v>0</v>
      </c>
      <c r="AP193" s="152" t="e">
        <f>DATA!#REF!</f>
        <v>#REF!</v>
      </c>
      <c r="AQ193" s="67" t="str">
        <f>DATA!BA186</f>
        <v>Meningkatkan sarana dan prasarana di 14 rumah sakit pusat rujukan nasional, 20 rumah sakit rujukan provinsi dan 39 UPT (unit pelaksana teknis) vertikal sebagai pusat rujukan tersier</v>
      </c>
    </row>
    <row r="194" spans="1:43" s="6" customFormat="1" ht="63.75" customHeight="1">
      <c r="A194" s="6">
        <f>DATA!A187</f>
        <v>134</v>
      </c>
      <c r="B194" s="6">
        <f>DATA!B187</f>
        <v>0</v>
      </c>
      <c r="C194" s="6" t="str">
        <f>DATA!D187</f>
        <v>NON-INFRASTRUKTUR</v>
      </c>
      <c r="D194" s="6">
        <f>DATA!E187</f>
        <v>11</v>
      </c>
      <c r="E194" s="6" t="str">
        <f>DATA!F187</f>
        <v>Kementerian Kesehatan</v>
      </c>
      <c r="F194" s="6" t="str">
        <f>DATA!H187</f>
        <v>Referral Health Services Program</v>
      </c>
      <c r="G194" s="6" t="str">
        <f>DATA!I187</f>
        <v>D</v>
      </c>
      <c r="H194" s="6" t="str">
        <f>DATA!J187</f>
        <v>Program Pelayanan Kesehatan Rujukan</v>
      </c>
      <c r="I194" s="6">
        <f>DATA!K187</f>
        <v>1</v>
      </c>
      <c r="J194" s="38"/>
      <c r="K194" s="39"/>
      <c r="L194" s="39"/>
      <c r="M194" s="38"/>
      <c r="N194" s="67" t="str">
        <f>DATA!L187</f>
        <v>Strengthening of National Referral Hospitals, Province Referral Hospital and Vertical Technical Units</v>
      </c>
      <c r="O194" s="42">
        <f>DATA!Q187</f>
        <v>0.33333333333333331</v>
      </c>
      <c r="P194" s="42">
        <f>DATA!R187</f>
        <v>0</v>
      </c>
      <c r="Q194" s="42">
        <f>DATA!S187</f>
        <v>0</v>
      </c>
      <c r="R194" s="83">
        <f>DATA!T187</f>
        <v>0</v>
      </c>
      <c r="S194" s="88">
        <f>DATA!U187</f>
        <v>0</v>
      </c>
      <c r="T194" s="83">
        <f>DATA!V187</f>
        <v>0</v>
      </c>
      <c r="U194" s="83">
        <f>DATA!W187</f>
        <v>0</v>
      </c>
      <c r="V194" s="83">
        <f>DATA!X187</f>
        <v>0</v>
      </c>
      <c r="W194" s="84" t="str">
        <f>DATA!Y187</f>
        <v>Jerman (KfW)</v>
      </c>
      <c r="X194" s="42" t="str">
        <f>DATA!Z187</f>
        <v>Bilateral</v>
      </c>
      <c r="Y194" s="83">
        <f>DATA!AA187</f>
        <v>250000000</v>
      </c>
      <c r="Z194" s="83">
        <f>DATA!AG187</f>
        <v>0</v>
      </c>
      <c r="AA194" s="42" t="str">
        <f>DATA!AH187</f>
        <v>Tanpa keterangan</v>
      </c>
      <c r="AB194" s="67" t="str">
        <f>DATA!AI187</f>
        <v>-</v>
      </c>
      <c r="AC194" s="152">
        <f>DATA!AM187</f>
        <v>0</v>
      </c>
      <c r="AD194" s="152" t="str">
        <f>DATA!AN187</f>
        <v>belum ada keterangan</v>
      </c>
      <c r="AE194" s="152" t="str">
        <f>DATA!AO187</f>
        <v>belum ada keterangan</v>
      </c>
      <c r="AF194" s="67" t="str">
        <f>DATA!AJ187</f>
        <v>-</v>
      </c>
      <c r="AG194" s="67" t="str">
        <f>DATA!AK187</f>
        <v>-</v>
      </c>
      <c r="AH194" s="67" t="str">
        <f>DATA!AL187</f>
        <v>-</v>
      </c>
      <c r="AI194" s="42">
        <f>DATA!AM187</f>
        <v>0</v>
      </c>
      <c r="AJ194" s="42" t="str">
        <f>DATA!AN187</f>
        <v>belum ada keterangan</v>
      </c>
      <c r="AK194" s="42" t="str">
        <f>DATA!AO187</f>
        <v>belum ada keterangan</v>
      </c>
      <c r="AL194" s="42" t="str">
        <f>DATA!AP187</f>
        <v>belum ada proses tender/lelang</v>
      </c>
      <c r="AM194" s="42" t="str">
        <f>DATA!AY187</f>
        <v>- Keg ini bukan area prioritas dari Pem. Jerman
- Surat Sekjen nomor PR.02.03/I/1814/2015 tanggal 9 September 2015</v>
      </c>
      <c r="AN194" s="42" t="e">
        <f>DATA!#REF!</f>
        <v>#REF!</v>
      </c>
      <c r="AO194" s="42">
        <f>DATA!AZ187</f>
        <v>0</v>
      </c>
      <c r="AP194" s="152" t="e">
        <f>DATA!#REF!</f>
        <v>#REF!</v>
      </c>
      <c r="AQ194" s="67" t="str">
        <f>DATA!BA187</f>
        <v>Meningkatkan sarana dan prasarana di 14 rumah sakit pusat rujukan nasional, 20 rumah sakit rujukan provinsi dan 39 UPT (unit pelaksana teknis) vertikal sebagai pusat rujukan tersier</v>
      </c>
    </row>
    <row r="195" spans="1:43" s="6" customFormat="1" ht="63.75" customHeight="1">
      <c r="A195" s="6">
        <f>DATA!A188</f>
        <v>135</v>
      </c>
      <c r="B195" s="6">
        <f>DATA!B188</f>
        <v>0</v>
      </c>
      <c r="C195" s="6" t="str">
        <f>DATA!D188</f>
        <v>NON-INFRASTRUKTUR</v>
      </c>
      <c r="D195" s="6">
        <f>DATA!E188</f>
        <v>11</v>
      </c>
      <c r="E195" s="6" t="str">
        <f>DATA!F188</f>
        <v>Kementerian Kesehatan</v>
      </c>
      <c r="F195" s="6" t="str">
        <f>DATA!H188</f>
        <v>Referral Health Services Program</v>
      </c>
      <c r="G195" s="6" t="str">
        <f>DATA!I188</f>
        <v>D</v>
      </c>
      <c r="H195" s="6" t="str">
        <f>DATA!J188</f>
        <v>Program Pelayanan Kesehatan Rujukan</v>
      </c>
      <c r="I195" s="6">
        <f>DATA!K188</f>
        <v>1</v>
      </c>
      <c r="J195" s="38"/>
      <c r="K195" s="71"/>
      <c r="L195" s="71"/>
      <c r="M195" s="43"/>
      <c r="N195" s="67" t="str">
        <f>DATA!L188</f>
        <v>Strengthening of National Referral Hospitals, Province Referral Hospital and Vertical Technical Units</v>
      </c>
      <c r="O195" s="42">
        <f>DATA!Q188</f>
        <v>0.33333333333333331</v>
      </c>
      <c r="P195" s="42">
        <f>DATA!R188</f>
        <v>0</v>
      </c>
      <c r="Q195" s="42">
        <f>DATA!S188</f>
        <v>0</v>
      </c>
      <c r="R195" s="83">
        <f>DATA!T188</f>
        <v>0</v>
      </c>
      <c r="S195" s="88">
        <f>DATA!U188</f>
        <v>0</v>
      </c>
      <c r="T195" s="83">
        <f>DATA!V188</f>
        <v>0</v>
      </c>
      <c r="U195" s="83">
        <f>DATA!W188</f>
        <v>0</v>
      </c>
      <c r="V195" s="83">
        <f>DATA!X188</f>
        <v>0</v>
      </c>
      <c r="W195" s="84" t="str">
        <f>DATA!Y188</f>
        <v>Belum Ada Indikasi</v>
      </c>
      <c r="X195" s="42" t="str">
        <f>DATA!Z188</f>
        <v>Belum Ada Indikasi</v>
      </c>
      <c r="Y195" s="83">
        <f>DATA!AA188</f>
        <v>755600000</v>
      </c>
      <c r="Z195" s="83">
        <f>DATA!AG188</f>
        <v>-755600000</v>
      </c>
      <c r="AA195" s="42" t="str">
        <f>DATA!AH188</f>
        <v>Tanpa keterangan</v>
      </c>
      <c r="AB195" s="67" t="str">
        <f>DATA!AI188</f>
        <v>-</v>
      </c>
      <c r="AC195" s="152">
        <f>DATA!AM188</f>
        <v>0</v>
      </c>
      <c r="AD195" s="152" t="str">
        <f>DATA!AN188</f>
        <v>belum ada keterangan</v>
      </c>
      <c r="AE195" s="152" t="str">
        <f>DATA!AO188</f>
        <v>belum ada keterangan</v>
      </c>
      <c r="AF195" s="67" t="str">
        <f>DATA!AJ188</f>
        <v>-</v>
      </c>
      <c r="AG195" s="67" t="str">
        <f>DATA!AK188</f>
        <v>-</v>
      </c>
      <c r="AH195" s="67" t="str">
        <f>DATA!AL188</f>
        <v>-</v>
      </c>
      <c r="AI195" s="42">
        <f>DATA!AM188</f>
        <v>0</v>
      </c>
      <c r="AJ195" s="42" t="str">
        <f>DATA!AN188</f>
        <v>belum ada keterangan</v>
      </c>
      <c r="AK195" s="42" t="str">
        <f>DATA!AO188</f>
        <v>belum ada keterangan</v>
      </c>
      <c r="AL195" s="42" t="str">
        <f>DATA!AP188</f>
        <v>belum ada proses tender/lelang</v>
      </c>
      <c r="AM195" s="42" t="str">
        <f>DATA!AY188</f>
        <v>Surat Sekjen nomor PR.02.03/I/1814/2015 tanggal 9 September 2015</v>
      </c>
      <c r="AN195" s="42" t="e">
        <f>DATA!#REF!</f>
        <v>#REF!</v>
      </c>
      <c r="AO195" s="42">
        <f>DATA!AZ188</f>
        <v>0</v>
      </c>
      <c r="AP195" s="152" t="e">
        <f>DATA!#REF!</f>
        <v>#REF!</v>
      </c>
      <c r="AQ195" s="67" t="str">
        <f>DATA!BA188</f>
        <v>Meningkatkan sarana dan prasarana di 14 rumah sakit pusat rujukan nasional, 20 rumah sakit rujukan provinsi dan 39 UPT (unit pelaksana teknis) vertikal sebagai pusat rujukan tersier</v>
      </c>
    </row>
    <row r="196" spans="1:43" s="4" customFormat="1" ht="24.95" customHeight="1">
      <c r="J196" s="107"/>
      <c r="K196" s="25">
        <f>DATA!E189</f>
        <v>12</v>
      </c>
      <c r="L196" s="108" t="str">
        <f>DATA!F189</f>
        <v>Pemprov. Aceh</v>
      </c>
      <c r="M196" s="25"/>
      <c r="N196" s="27"/>
      <c r="O196" s="26"/>
      <c r="P196" s="26"/>
      <c r="Q196" s="26"/>
      <c r="R196" s="80">
        <f>+R197</f>
        <v>106800000</v>
      </c>
      <c r="S196" s="80">
        <f>+S197</f>
        <v>106800000</v>
      </c>
      <c r="T196" s="80">
        <f t="shared" ref="T196:Z196" si="31">+T197</f>
        <v>10700000</v>
      </c>
      <c r="U196" s="80">
        <f t="shared" si="31"/>
        <v>0</v>
      </c>
      <c r="V196" s="80">
        <f t="shared" si="31"/>
        <v>117500000</v>
      </c>
      <c r="W196" s="80"/>
      <c r="X196" s="80" t="str">
        <f t="shared" si="31"/>
        <v>Bilateral</v>
      </c>
      <c r="Y196" s="80">
        <f t="shared" si="31"/>
        <v>106800000</v>
      </c>
      <c r="Z196" s="80">
        <f t="shared" si="31"/>
        <v>0</v>
      </c>
      <c r="AA196" s="26"/>
      <c r="AB196" s="27"/>
      <c r="AC196" s="27"/>
      <c r="AD196" s="27"/>
      <c r="AE196" s="27"/>
      <c r="AF196" s="27"/>
      <c r="AG196" s="27"/>
      <c r="AH196" s="27"/>
      <c r="AI196" s="26"/>
      <c r="AJ196" s="26"/>
      <c r="AK196" s="26"/>
      <c r="AL196" s="26"/>
      <c r="AM196" s="26"/>
      <c r="AN196" s="26"/>
      <c r="AO196" s="26"/>
      <c r="AP196" s="27"/>
      <c r="AQ196" s="27"/>
    </row>
    <row r="197" spans="1:43" s="5" customFormat="1" ht="33.75" customHeight="1">
      <c r="J197" s="28"/>
      <c r="K197" s="29"/>
      <c r="L197" s="30" t="str">
        <f>DATA!I189</f>
        <v>A</v>
      </c>
      <c r="M197" s="31" t="str">
        <f>DATA!J189</f>
        <v>Program Pelayanan Kesehatan Rujukan</v>
      </c>
      <c r="N197" s="51"/>
      <c r="O197" s="31"/>
      <c r="P197" s="31"/>
      <c r="Q197" s="31"/>
      <c r="R197" s="81">
        <f>+R198</f>
        <v>106800000</v>
      </c>
      <c r="S197" s="81">
        <f>+S198</f>
        <v>106800000</v>
      </c>
      <c r="T197" s="81">
        <f t="shared" ref="T197:Z197" si="32">+T198</f>
        <v>10700000</v>
      </c>
      <c r="U197" s="81">
        <f t="shared" si="32"/>
        <v>0</v>
      </c>
      <c r="V197" s="81">
        <f t="shared" si="32"/>
        <v>117500000</v>
      </c>
      <c r="W197" s="81"/>
      <c r="X197" s="81" t="str">
        <f t="shared" si="32"/>
        <v>Bilateral</v>
      </c>
      <c r="Y197" s="81">
        <f t="shared" si="32"/>
        <v>106800000</v>
      </c>
      <c r="Z197" s="81">
        <f t="shared" si="32"/>
        <v>0</v>
      </c>
      <c r="AA197" s="31"/>
      <c r="AB197" s="32"/>
      <c r="AC197" s="32"/>
      <c r="AD197" s="32"/>
      <c r="AE197" s="32"/>
      <c r="AF197" s="32"/>
      <c r="AG197" s="32"/>
      <c r="AH197" s="32"/>
      <c r="AI197" s="31"/>
      <c r="AJ197" s="31"/>
      <c r="AK197" s="31"/>
      <c r="AL197" s="31"/>
      <c r="AM197" s="31"/>
      <c r="AN197" s="31"/>
      <c r="AO197" s="31"/>
      <c r="AP197" s="32"/>
      <c r="AQ197" s="32"/>
    </row>
    <row r="198" spans="1:43" ht="63.75" customHeight="1">
      <c r="A198" s="10">
        <f>DATA!A189</f>
        <v>136</v>
      </c>
      <c r="B198" s="10">
        <f>DATA!B189</f>
        <v>0</v>
      </c>
      <c r="C198" s="10" t="str">
        <f>DATA!D189</f>
        <v>NON-INFRASTRUKTUR</v>
      </c>
      <c r="D198" s="10">
        <f>DATA!E189</f>
        <v>12</v>
      </c>
      <c r="E198" s="10" t="str">
        <f>DATA!F189</f>
        <v>Pemprov. Aceh</v>
      </c>
      <c r="F198" s="10" t="str">
        <f>DATA!H189</f>
        <v>Health Services Referral Program</v>
      </c>
      <c r="G198" s="10" t="str">
        <f>DATA!I189</f>
        <v>A</v>
      </c>
      <c r="H198" s="10" t="str">
        <f>DATA!J189</f>
        <v>Program Pelayanan Kesehatan Rujukan</v>
      </c>
      <c r="I198" s="10">
        <f>DATA!K189</f>
        <v>1</v>
      </c>
      <c r="J198" s="33"/>
      <c r="K198" s="54"/>
      <c r="L198" s="20"/>
      <c r="M198" s="36">
        <f>DATA!K189</f>
        <v>1</v>
      </c>
      <c r="N198" s="37" t="str">
        <f>DATA!L189</f>
        <v>Reengineering and Improving The Hospital and Referral System in Selected Aceh Districts</v>
      </c>
      <c r="O198" s="20">
        <f>DATA!Q189</f>
        <v>1</v>
      </c>
      <c r="P198" s="20">
        <f>DATA!R189</f>
        <v>1</v>
      </c>
      <c r="Q198" s="20">
        <f>DATA!S189</f>
        <v>108</v>
      </c>
      <c r="R198" s="77">
        <f>DATA!T189</f>
        <v>106800000</v>
      </c>
      <c r="S198" s="88">
        <f>DATA!U189</f>
        <v>106800000</v>
      </c>
      <c r="T198" s="77">
        <f>DATA!V189</f>
        <v>10700000</v>
      </c>
      <c r="U198" s="77">
        <f>DATA!W189</f>
        <v>0</v>
      </c>
      <c r="V198" s="77">
        <f>DATA!X189</f>
        <v>117500000</v>
      </c>
      <c r="W198" s="78" t="str">
        <f>DATA!Y189</f>
        <v>Jerman (KfW)</v>
      </c>
      <c r="X198" s="20" t="str">
        <f>DATA!Z189</f>
        <v>Bilateral</v>
      </c>
      <c r="Y198" s="77">
        <f>DATA!AA189</f>
        <v>106800000</v>
      </c>
      <c r="Z198" s="77">
        <f>DATA!AG189</f>
        <v>0</v>
      </c>
      <c r="AA198" s="20" t="str">
        <f>DATA!AH189</f>
        <v>Tanpa keterangan</v>
      </c>
      <c r="AB198" s="37" t="str">
        <f>DATA!AI189</f>
        <v xml:space="preserve">- Sudah ada R/C
- Green Book 2015
</v>
      </c>
      <c r="AC198" s="152" t="str">
        <f>DATA!AM189</f>
        <v>2016; 2015</v>
      </c>
      <c r="AD198" s="152" t="str">
        <f>DATA!AN189</f>
        <v>dalam proses
(memiliki FS dan DED)</v>
      </c>
      <c r="AE198" s="152" t="str">
        <f>DATA!AO189</f>
        <v>siap</v>
      </c>
      <c r="AF198" s="37" t="str">
        <f>DATA!AJ189</f>
        <v>FS, DED</v>
      </c>
      <c r="AG198" s="114">
        <f>DATA!AK189</f>
        <v>1</v>
      </c>
      <c r="AH198" s="37" t="str">
        <f>DATA!AL189</f>
        <v>-</v>
      </c>
      <c r="AI198" s="20" t="str">
        <f>DATA!AM189</f>
        <v>2016; 2015</v>
      </c>
      <c r="AJ198" s="20" t="str">
        <f>DATA!AN189</f>
        <v>dalam proses
(memiliki FS dan DED)</v>
      </c>
      <c r="AK198" s="20" t="str">
        <f>DATA!AO189</f>
        <v>siap</v>
      </c>
      <c r="AL198" s="20" t="str">
        <f>DATA!AP189</f>
        <v>belum ada proses tender/lelang</v>
      </c>
      <c r="AM198" s="20" t="str">
        <f>DATA!AY189</f>
        <v>Surat Kepala Dinas Kesehatan Prov. Aceh nomor 443.02/998/V/2015 tanggal 27 April 2015 tentang penyampaian dokumen kesiapan (RC)</v>
      </c>
      <c r="AN198" s="20" t="e">
        <f>DATA!#REF!</f>
        <v>#REF!</v>
      </c>
      <c r="AO198" s="20">
        <f>DATA!AZ189</f>
        <v>0</v>
      </c>
      <c r="AP198" s="152" t="e">
        <f>DATA!#REF!</f>
        <v>#REF!</v>
      </c>
      <c r="AQ198" s="37" t="str">
        <f>DATA!BA189</f>
        <v xml:space="preserve">Pengembangan infrastruktur (pembangunan rumah sakit baru, rehabilitasi rumah sakit lama, dan kantor dinas kesehatan, pengadaan peralatan dan operasional, dan peningkatan SDM rumah sakit </v>
      </c>
    </row>
    <row r="199" spans="1:43" s="4" customFormat="1" ht="24.95" customHeight="1">
      <c r="J199" s="107"/>
      <c r="K199" s="25">
        <f>DATA!E190</f>
        <v>13</v>
      </c>
      <c r="L199" s="108" t="str">
        <f>DATA!F190</f>
        <v>Kementerian Pertanian</v>
      </c>
      <c r="M199" s="25"/>
      <c r="N199" s="27"/>
      <c r="O199" s="26"/>
      <c r="P199" s="26"/>
      <c r="Q199" s="26"/>
      <c r="R199" s="80">
        <f>+R200+R209</f>
        <v>1445742600</v>
      </c>
      <c r="S199" s="80">
        <f>+S200+S209</f>
        <v>1445742600</v>
      </c>
      <c r="T199" s="80">
        <f t="shared" ref="T199:Z199" si="33">+T200+T209</f>
        <v>154464300</v>
      </c>
      <c r="U199" s="80">
        <f t="shared" si="33"/>
        <v>500000</v>
      </c>
      <c r="V199" s="80">
        <f t="shared" si="33"/>
        <v>1600706900</v>
      </c>
      <c r="W199" s="80"/>
      <c r="X199" s="80" t="e">
        <f t="shared" si="33"/>
        <v>#VALUE!</v>
      </c>
      <c r="Y199" s="80">
        <f t="shared" si="33"/>
        <v>1445742600</v>
      </c>
      <c r="Z199" s="80">
        <f t="shared" si="33"/>
        <v>-746842600</v>
      </c>
      <c r="AA199" s="26"/>
      <c r="AB199" s="27"/>
      <c r="AC199" s="27"/>
      <c r="AD199" s="27"/>
      <c r="AE199" s="27"/>
      <c r="AF199" s="27"/>
      <c r="AG199" s="27"/>
      <c r="AH199" s="27"/>
      <c r="AI199" s="26"/>
      <c r="AJ199" s="26"/>
      <c r="AK199" s="26"/>
      <c r="AL199" s="26"/>
      <c r="AM199" s="26"/>
      <c r="AN199" s="26"/>
      <c r="AO199" s="26"/>
      <c r="AP199" s="27"/>
      <c r="AQ199" s="27"/>
    </row>
    <row r="200" spans="1:43" s="5" customFormat="1" ht="33.75" customHeight="1">
      <c r="J200" s="28"/>
      <c r="K200" s="29"/>
      <c r="L200" s="30" t="str">
        <f>DATA!I190</f>
        <v>A</v>
      </c>
      <c r="M200" s="31" t="str">
        <f>DATA!J190</f>
        <v>Program Penyediaan dan Pengembangan Prasarana dan Sarana Pertanian</v>
      </c>
      <c r="N200" s="51"/>
      <c r="O200" s="31"/>
      <c r="P200" s="31"/>
      <c r="Q200" s="31"/>
      <c r="R200" s="81">
        <f>+R201+R205</f>
        <v>1346842600</v>
      </c>
      <c r="S200" s="81">
        <f>+S201+S205</f>
        <v>1346842600</v>
      </c>
      <c r="T200" s="81">
        <f t="shared" ref="T200:Z200" si="34">+T201+T205</f>
        <v>134684300</v>
      </c>
      <c r="U200" s="81">
        <f t="shared" si="34"/>
        <v>0</v>
      </c>
      <c r="V200" s="81">
        <f t="shared" si="34"/>
        <v>1481526900</v>
      </c>
      <c r="W200" s="81"/>
      <c r="X200" s="81">
        <f t="shared" si="34"/>
        <v>0</v>
      </c>
      <c r="Y200" s="81">
        <f t="shared" si="34"/>
        <v>1346842600</v>
      </c>
      <c r="Z200" s="81">
        <f t="shared" si="34"/>
        <v>-746842600</v>
      </c>
      <c r="AA200" s="31"/>
      <c r="AB200" s="32"/>
      <c r="AC200" s="32"/>
      <c r="AD200" s="32"/>
      <c r="AE200" s="32"/>
      <c r="AF200" s="32"/>
      <c r="AG200" s="32"/>
      <c r="AH200" s="32"/>
      <c r="AI200" s="31"/>
      <c r="AJ200" s="31"/>
      <c r="AK200" s="31"/>
      <c r="AL200" s="31"/>
      <c r="AM200" s="31"/>
      <c r="AN200" s="31"/>
      <c r="AO200" s="31"/>
      <c r="AP200" s="32"/>
      <c r="AQ200" s="32"/>
    </row>
    <row r="201" spans="1:43" ht="24.75" customHeight="1">
      <c r="A201" s="10">
        <f>DATA!A190</f>
        <v>137</v>
      </c>
      <c r="B201" s="10">
        <f>DATA!B190</f>
        <v>0</v>
      </c>
      <c r="C201" s="10" t="str">
        <f>DATA!D190</f>
        <v>NON-INFRASTRUKTUR</v>
      </c>
      <c r="D201" s="10">
        <f>DATA!E190</f>
        <v>13</v>
      </c>
      <c r="E201" s="10" t="str">
        <f>DATA!F190</f>
        <v>Kementerian Pertanian</v>
      </c>
      <c r="F201" s="10" t="str">
        <f>DATA!H190</f>
        <v>Provision and Development of Agriculture Infrastructure Program</v>
      </c>
      <c r="G201" s="10" t="str">
        <f>DATA!I190</f>
        <v>A</v>
      </c>
      <c r="H201" s="10" t="str">
        <f>DATA!J190</f>
        <v>Program Penyediaan dan Pengembangan Prasarana dan Sarana Pertanian</v>
      </c>
      <c r="I201" s="10">
        <f>DATA!K190</f>
        <v>1</v>
      </c>
      <c r="J201" s="33"/>
      <c r="K201" s="34"/>
      <c r="L201" s="35"/>
      <c r="M201" s="36">
        <f>DATA!K190</f>
        <v>1</v>
      </c>
      <c r="N201" s="37" t="str">
        <f>DATA!L190</f>
        <v>Extensification of New Paddy Field Area</v>
      </c>
      <c r="O201" s="20">
        <f>DATA!Q190</f>
        <v>0</v>
      </c>
      <c r="P201" s="20">
        <f>DATA!R190</f>
        <v>1</v>
      </c>
      <c r="Q201" s="20">
        <f>DATA!S190</f>
        <v>109</v>
      </c>
      <c r="R201" s="77">
        <f>DATA!T190</f>
        <v>811166600</v>
      </c>
      <c r="S201" s="88">
        <f>DATA!U190</f>
        <v>811166600</v>
      </c>
      <c r="T201" s="77">
        <f>DATA!V190</f>
        <v>81116700</v>
      </c>
      <c r="U201" s="77">
        <f>DATA!W190</f>
        <v>0</v>
      </c>
      <c r="V201" s="77">
        <f>DATA!X190</f>
        <v>892283300</v>
      </c>
      <c r="W201" s="78" t="str">
        <f>DATA!Y190</f>
        <v>-</v>
      </c>
      <c r="X201" s="20">
        <f>DATA!Z190</f>
        <v>0</v>
      </c>
      <c r="Y201" s="77">
        <f>DATA!AA190</f>
        <v>811166600</v>
      </c>
      <c r="Z201" s="77">
        <f>DATA!AG190</f>
        <v>-461166600</v>
      </c>
      <c r="AA201" s="20" t="str">
        <f>DATA!AH190</f>
        <v>-</v>
      </c>
      <c r="AB201" s="152" t="str">
        <f>DATA!AI190</f>
        <v>-</v>
      </c>
      <c r="AC201" s="152" t="str">
        <f>DATA!AM190</f>
        <v>-</v>
      </c>
      <c r="AD201" s="152" t="str">
        <f>DATA!AN190</f>
        <v>-</v>
      </c>
      <c r="AE201" s="152" t="str">
        <f>DATA!AO190</f>
        <v>-</v>
      </c>
      <c r="AF201" s="37" t="str">
        <f>DATA!AJ190</f>
        <v>-</v>
      </c>
      <c r="AG201" s="37" t="str">
        <f>DATA!AK190</f>
        <v>-</v>
      </c>
      <c r="AH201" s="37" t="str">
        <f>DATA!AL190</f>
        <v>-</v>
      </c>
      <c r="AI201" s="20" t="str">
        <f>DATA!AM190</f>
        <v>-</v>
      </c>
      <c r="AJ201" s="20" t="str">
        <f>DATA!AN190</f>
        <v>-</v>
      </c>
      <c r="AK201" s="20" t="str">
        <f>DATA!AO190</f>
        <v>-</v>
      </c>
      <c r="AL201" s="20" t="str">
        <f>DATA!AP190</f>
        <v>-</v>
      </c>
      <c r="AM201" s="20" t="str">
        <f>DATA!AY190</f>
        <v>-</v>
      </c>
      <c r="AN201" s="20" t="e">
        <f>DATA!#REF!</f>
        <v>#REF!</v>
      </c>
      <c r="AO201" s="20">
        <f>DATA!AZ190</f>
        <v>0</v>
      </c>
      <c r="AP201" s="152" t="e">
        <f>DATA!#REF!</f>
        <v>#REF!</v>
      </c>
      <c r="AQ201" s="37" t="str">
        <f>DATA!BA190</f>
        <v>-</v>
      </c>
    </row>
    <row r="202" spans="1:43" s="6" customFormat="1" ht="76.5">
      <c r="A202" s="6">
        <f>DATA!A191</f>
        <v>137</v>
      </c>
      <c r="B202" s="6">
        <f>DATA!B191</f>
        <v>0</v>
      </c>
      <c r="C202" s="6" t="str">
        <f>DATA!D191</f>
        <v>NON-INFRASTRUKTUR</v>
      </c>
      <c r="D202" s="6">
        <f>DATA!E191</f>
        <v>13</v>
      </c>
      <c r="E202" s="6" t="str">
        <f>DATA!F191</f>
        <v>Kementerian Pertanian</v>
      </c>
      <c r="F202" s="6" t="str">
        <f>DATA!H191</f>
        <v>Provision and Development of Agriculture Infrastructure Program</v>
      </c>
      <c r="G202" s="6" t="str">
        <f>DATA!I191</f>
        <v>A</v>
      </c>
      <c r="H202" s="6" t="str">
        <f>DATA!J191</f>
        <v>Program Penyediaan dan Pengembangan Prasarana dan Sarana Pertanian</v>
      </c>
      <c r="I202" s="6">
        <f>DATA!K191</f>
        <v>1</v>
      </c>
      <c r="J202" s="38"/>
      <c r="K202" s="39"/>
      <c r="L202" s="39"/>
      <c r="M202" s="40"/>
      <c r="N202" s="67" t="str">
        <f>DATA!L191</f>
        <v>Extensification of New Paddy Field Area</v>
      </c>
      <c r="O202" s="42">
        <f>DATA!Q191</f>
        <v>0.33333333333333331</v>
      </c>
      <c r="P202" s="42">
        <f>DATA!R191</f>
        <v>0</v>
      </c>
      <c r="Q202" s="42">
        <f>DATA!S191</f>
        <v>0</v>
      </c>
      <c r="R202" s="83">
        <f>DATA!T191</f>
        <v>0</v>
      </c>
      <c r="S202" s="88">
        <f>DATA!U191</f>
        <v>0</v>
      </c>
      <c r="T202" s="83">
        <f>DATA!V191</f>
        <v>0</v>
      </c>
      <c r="U202" s="83">
        <f>DATA!W191</f>
        <v>0</v>
      </c>
      <c r="V202" s="83">
        <f>DATA!X191</f>
        <v>0</v>
      </c>
      <c r="W202" s="84" t="str">
        <f>DATA!Y191</f>
        <v>Bank Dunia</v>
      </c>
      <c r="X202" s="42" t="str">
        <f>DATA!Z191</f>
        <v>Multilateral</v>
      </c>
      <c r="Y202" s="83">
        <f>DATA!AA191</f>
        <v>225000000</v>
      </c>
      <c r="Z202" s="83">
        <f>DATA!AG191</f>
        <v>0</v>
      </c>
      <c r="AA202" s="42" t="str">
        <f>DATA!AH191</f>
        <v>Tanpa keterangan</v>
      </c>
      <c r="AB202" s="67" t="str">
        <f>DATA!AI191</f>
        <v>-</v>
      </c>
      <c r="AC202" s="152">
        <f>DATA!AM191</f>
        <v>0</v>
      </c>
      <c r="AD202" s="152" t="str">
        <f>DATA!AN191</f>
        <v>dalam proses
(penyusunan FS)</v>
      </c>
      <c r="AE202" s="152" t="str">
        <f>DATA!AO191</f>
        <v>belum ada keterangan</v>
      </c>
      <c r="AF202" s="67" t="str">
        <f>DATA!AJ191</f>
        <v xml:space="preserve">TOR </v>
      </c>
      <c r="AG202" s="115">
        <f>DATA!AK191</f>
        <v>0</v>
      </c>
      <c r="AH202" s="67" t="str">
        <f>DATA!AL191</f>
        <v>-</v>
      </c>
      <c r="AI202" s="42">
        <f>DATA!AM191</f>
        <v>0</v>
      </c>
      <c r="AJ202" s="42" t="str">
        <f>DATA!AN191</f>
        <v>dalam proses
(penyusunan FS)</v>
      </c>
      <c r="AK202" s="42" t="str">
        <f>DATA!AO191</f>
        <v>belum ada keterangan</v>
      </c>
      <c r="AL202" s="42" t="str">
        <f>DATA!AP191</f>
        <v>belum ada proses tender/lelang</v>
      </c>
      <c r="AM202" s="42" t="str">
        <f>DATA!AY191</f>
        <v>Surat Plh. Kepala Pusat Kem.Pertanian nomor 246/KL.230/A.6.3/09/2015 tgl 9 September 2015</v>
      </c>
      <c r="AN202" s="42" t="e">
        <f>DATA!#REF!</f>
        <v>#REF!</v>
      </c>
      <c r="AO202" s="42">
        <f>DATA!AZ191</f>
        <v>0</v>
      </c>
      <c r="AP202" s="152" t="e">
        <f>DATA!#REF!</f>
        <v>#REF!</v>
      </c>
      <c r="AQ202" s="67" t="str">
        <f>DATA!BA191</f>
        <v>Pembentukan lahan pertanian padi baru di 34 provinsi, meliputi: identifikasi calon petani dan calon lokasi (CPCL), survey/investigasi, penetapan lokasi, penyiapan lahan (land clearing and land leveling), bantuan sarana produksi, dan pertanian untuk budidaya padi.</v>
      </c>
    </row>
    <row r="203" spans="1:43" s="6" customFormat="1" ht="76.5">
      <c r="A203" s="6">
        <f>DATA!A192</f>
        <v>138</v>
      </c>
      <c r="B203" s="6">
        <f>DATA!B192</f>
        <v>0</v>
      </c>
      <c r="C203" s="6" t="str">
        <f>DATA!D192</f>
        <v>NON-INFRASTRUKTUR</v>
      </c>
      <c r="D203" s="6">
        <f>DATA!E192</f>
        <v>13</v>
      </c>
      <c r="E203" s="6" t="str">
        <f>DATA!F192</f>
        <v>Kementerian Pertanian</v>
      </c>
      <c r="F203" s="6" t="str">
        <f>DATA!H192</f>
        <v>Provision and Development of Agriculture Infrastructure Program</v>
      </c>
      <c r="G203" s="6" t="str">
        <f>DATA!I192</f>
        <v>A</v>
      </c>
      <c r="H203" s="6" t="str">
        <f>DATA!J192</f>
        <v>Program Penyediaan dan Pengembangan Prasarana dan Sarana Pertanian</v>
      </c>
      <c r="I203" s="6">
        <f>DATA!K192</f>
        <v>1</v>
      </c>
      <c r="J203" s="38"/>
      <c r="K203" s="39"/>
      <c r="L203" s="39"/>
      <c r="M203" s="38"/>
      <c r="N203" s="67" t="str">
        <f>DATA!L192</f>
        <v>Extensification of New Paddy Field Area</v>
      </c>
      <c r="O203" s="42">
        <f>DATA!Q192</f>
        <v>0.33333333333333331</v>
      </c>
      <c r="P203" s="42">
        <f>DATA!R192</f>
        <v>0</v>
      </c>
      <c r="Q203" s="42">
        <f>DATA!S192</f>
        <v>0</v>
      </c>
      <c r="R203" s="83">
        <f>DATA!T192</f>
        <v>0</v>
      </c>
      <c r="S203" s="88">
        <f>DATA!U192</f>
        <v>0</v>
      </c>
      <c r="T203" s="83">
        <f>DATA!V192</f>
        <v>0</v>
      </c>
      <c r="U203" s="83">
        <f>DATA!W192</f>
        <v>0</v>
      </c>
      <c r="V203" s="83">
        <f>DATA!X192</f>
        <v>0</v>
      </c>
      <c r="W203" s="84" t="str">
        <f>DATA!Y192</f>
        <v>IDB</v>
      </c>
      <c r="X203" s="42" t="str">
        <f>DATA!Z192</f>
        <v>Multilateral</v>
      </c>
      <c r="Y203" s="83">
        <f>DATA!AA192</f>
        <v>125000000</v>
      </c>
      <c r="Z203" s="83">
        <f>DATA!AG192</f>
        <v>0</v>
      </c>
      <c r="AA203" s="42" t="str">
        <f>DATA!AH192</f>
        <v>Tanpa keterangan</v>
      </c>
      <c r="AB203" s="67" t="str">
        <f>DATA!AI192</f>
        <v>-</v>
      </c>
      <c r="AC203" s="152">
        <f>DATA!AM192</f>
        <v>0</v>
      </c>
      <c r="AD203" s="152" t="str">
        <f>DATA!AN192</f>
        <v>dalam proses
(penyusunan FS)</v>
      </c>
      <c r="AE203" s="152" t="str">
        <f>DATA!AO192</f>
        <v>belum ada keterangan</v>
      </c>
      <c r="AF203" s="67" t="str">
        <f>DATA!AJ192</f>
        <v>-</v>
      </c>
      <c r="AG203" s="115" t="str">
        <f>DATA!AK192</f>
        <v>-</v>
      </c>
      <c r="AH203" s="67" t="str">
        <f>DATA!AL192</f>
        <v>-</v>
      </c>
      <c r="AI203" s="42">
        <f>DATA!AM192</f>
        <v>0</v>
      </c>
      <c r="AJ203" s="42" t="str">
        <f>DATA!AN192</f>
        <v>dalam proses
(penyusunan FS)</v>
      </c>
      <c r="AK203" s="42" t="str">
        <f>DATA!AO192</f>
        <v>belum ada keterangan</v>
      </c>
      <c r="AL203" s="42" t="str">
        <f>DATA!AP192</f>
        <v>belum ada proses tender/lelang</v>
      </c>
      <c r="AM203" s="42" t="str">
        <f>DATA!AY192</f>
        <v>Surat Plh. Kepala Pusat Kem.Pertanian nomor 246/KL.230/A.6.3/09/2015 tgl 9 September 2015</v>
      </c>
      <c r="AN203" s="42" t="e">
        <f>DATA!#REF!</f>
        <v>#REF!</v>
      </c>
      <c r="AO203" s="42">
        <f>DATA!AZ192</f>
        <v>0</v>
      </c>
      <c r="AP203" s="152" t="e">
        <f>DATA!#REF!</f>
        <v>#REF!</v>
      </c>
      <c r="AQ203" s="67" t="str">
        <f>DATA!BA192</f>
        <v>Pembentukan lahan pertanian padi baru di 34 provinsi, meliputi: identifikasi calon petani dan calon lokasi (CPCL), survey/investigasi, penetapan lokasi, penyiapan lahan (land clearing and land leveling), bantuan sarana produksi, dan pertanian untuk budidaya padi.</v>
      </c>
    </row>
    <row r="204" spans="1:43" s="6" customFormat="1" ht="76.5">
      <c r="A204" s="6">
        <f>DATA!A193</f>
        <v>139</v>
      </c>
      <c r="B204" s="6">
        <f>DATA!B193</f>
        <v>0</v>
      </c>
      <c r="C204" s="6" t="str">
        <f>DATA!D193</f>
        <v>NON-INFRASTRUKTUR</v>
      </c>
      <c r="D204" s="6">
        <f>DATA!E193</f>
        <v>13</v>
      </c>
      <c r="E204" s="6" t="str">
        <f>DATA!F193</f>
        <v>Kementerian Pertanian</v>
      </c>
      <c r="F204" s="6" t="str">
        <f>DATA!H193</f>
        <v>Provision and Development of Agriculture Infrastructure Program</v>
      </c>
      <c r="G204" s="6" t="str">
        <f>DATA!I193</f>
        <v>A</v>
      </c>
      <c r="H204" s="6" t="str">
        <f>DATA!J193</f>
        <v>Program Penyediaan dan Pengembangan Prasarana dan Sarana Pertanian</v>
      </c>
      <c r="I204" s="6">
        <f>DATA!K193</f>
        <v>1</v>
      </c>
      <c r="J204" s="38"/>
      <c r="K204" s="39"/>
      <c r="L204" s="39"/>
      <c r="M204" s="43"/>
      <c r="N204" s="67" t="str">
        <f>DATA!L193</f>
        <v>Extensification of New Paddy Field Area</v>
      </c>
      <c r="O204" s="42">
        <f>DATA!Q193</f>
        <v>0.33333333333333331</v>
      </c>
      <c r="P204" s="42">
        <f>DATA!R193</f>
        <v>0</v>
      </c>
      <c r="Q204" s="42">
        <f>DATA!S193</f>
        <v>0</v>
      </c>
      <c r="R204" s="83">
        <f>DATA!T193</f>
        <v>0</v>
      </c>
      <c r="S204" s="88">
        <f>DATA!U193</f>
        <v>0</v>
      </c>
      <c r="T204" s="83">
        <f>DATA!V193</f>
        <v>0</v>
      </c>
      <c r="U204" s="83">
        <f>DATA!W193</f>
        <v>0</v>
      </c>
      <c r="V204" s="83">
        <f>DATA!X193</f>
        <v>0</v>
      </c>
      <c r="W204" s="84" t="str">
        <f>DATA!Y193</f>
        <v>Belum Ada Indikasi</v>
      </c>
      <c r="X204" s="42" t="str">
        <f>DATA!Z193</f>
        <v>Belum Ada Indikasi</v>
      </c>
      <c r="Y204" s="83">
        <f>DATA!AA193</f>
        <v>461166600</v>
      </c>
      <c r="Z204" s="83">
        <f>DATA!AG193</f>
        <v>-461166600</v>
      </c>
      <c r="AA204" s="42" t="str">
        <f>DATA!AH193</f>
        <v>Tanpa keterangan</v>
      </c>
      <c r="AB204" s="67" t="str">
        <f>DATA!AI193</f>
        <v>-</v>
      </c>
      <c r="AC204" s="152">
        <f>DATA!AM193</f>
        <v>0</v>
      </c>
      <c r="AD204" s="152" t="str">
        <f>DATA!AN193</f>
        <v>belum ada keterangan</v>
      </c>
      <c r="AE204" s="152" t="str">
        <f>DATA!AO193</f>
        <v>belum ada keterangan</v>
      </c>
      <c r="AF204" s="67" t="str">
        <f>DATA!AJ193</f>
        <v>-</v>
      </c>
      <c r="AG204" s="115" t="str">
        <f>DATA!AK193</f>
        <v>-</v>
      </c>
      <c r="AH204" s="67" t="str">
        <f>DATA!AL193</f>
        <v>-</v>
      </c>
      <c r="AI204" s="42">
        <f>DATA!AM193</f>
        <v>0</v>
      </c>
      <c r="AJ204" s="42" t="str">
        <f>DATA!AN193</f>
        <v>belum ada keterangan</v>
      </c>
      <c r="AK204" s="42" t="str">
        <f>DATA!AO193</f>
        <v>belum ada keterangan</v>
      </c>
      <c r="AL204" s="42" t="str">
        <f>DATA!AP193</f>
        <v>belum ada proses tender/lelang</v>
      </c>
      <c r="AM204" s="42" t="str">
        <f>DATA!AY193</f>
        <v>Surat Plh. Kepala Pusat Kem.Pertanian nomor 246/KL.230/A.6.3/09/2015 tgl 9 September 2015</v>
      </c>
      <c r="AN204" s="42" t="e">
        <f>DATA!#REF!</f>
        <v>#REF!</v>
      </c>
      <c r="AO204" s="42">
        <f>DATA!AZ193</f>
        <v>0</v>
      </c>
      <c r="AP204" s="152" t="e">
        <f>DATA!#REF!</f>
        <v>#REF!</v>
      </c>
      <c r="AQ204" s="67" t="str">
        <f>DATA!BA193</f>
        <v>Pembentukan lahan pertanian padi baru di 34 provinsi, meliputi: identifikasi calon petani dan calon lokasi (CPCL), survey/investigasi, penetapan lokasi, penyiapan lahan (land clearing and land leveling), bantuan sarana produksi, dan pertanian untuk budidaya padi.</v>
      </c>
    </row>
    <row r="205" spans="1:43" ht="60.75" customHeight="1">
      <c r="A205" s="10">
        <f>DATA!A194</f>
        <v>140</v>
      </c>
      <c r="B205" s="10">
        <f>DATA!B194</f>
        <v>0</v>
      </c>
      <c r="C205" s="10" t="str">
        <f>DATA!D194</f>
        <v>NON-INFRASTRUKTUR</v>
      </c>
      <c r="D205" s="10">
        <f>DATA!E194</f>
        <v>13</v>
      </c>
      <c r="E205" s="10" t="str">
        <f>DATA!F194</f>
        <v>Kementerian Pertanian</v>
      </c>
      <c r="F205" s="10" t="str">
        <f>DATA!H194</f>
        <v>Provision and Development of Agriculture Infrastructure Program</v>
      </c>
      <c r="G205" s="10" t="str">
        <f>DATA!I194</f>
        <v>A</v>
      </c>
      <c r="H205" s="10" t="str">
        <f>DATA!J194</f>
        <v>Program Penyediaan dan Pengembangan Prasarana dan Sarana Pertanian</v>
      </c>
      <c r="I205" s="10">
        <f>DATA!K194</f>
        <v>2</v>
      </c>
      <c r="J205" s="33"/>
      <c r="K205" s="34"/>
      <c r="L205" s="34"/>
      <c r="M205" s="36">
        <f>DATA!K194</f>
        <v>2</v>
      </c>
      <c r="N205" s="37" t="str">
        <f>DATA!L194</f>
        <v>Upland Development for National Food Security</v>
      </c>
      <c r="O205" s="20">
        <f>DATA!Q194</f>
        <v>0</v>
      </c>
      <c r="P205" s="20">
        <f>DATA!R194</f>
        <v>1</v>
      </c>
      <c r="Q205" s="20">
        <f>DATA!S194</f>
        <v>110</v>
      </c>
      <c r="R205" s="77">
        <f>DATA!T194</f>
        <v>535676000</v>
      </c>
      <c r="S205" s="88">
        <f>DATA!U194</f>
        <v>535676000</v>
      </c>
      <c r="T205" s="77">
        <f>DATA!V194</f>
        <v>53567600</v>
      </c>
      <c r="U205" s="77">
        <f>DATA!W194</f>
        <v>0</v>
      </c>
      <c r="V205" s="77">
        <f>DATA!X194</f>
        <v>589243600</v>
      </c>
      <c r="W205" s="78" t="str">
        <f>DATA!Y194</f>
        <v>-</v>
      </c>
      <c r="X205" s="20">
        <f>DATA!Z194</f>
        <v>0</v>
      </c>
      <c r="Y205" s="77">
        <f>DATA!AA194</f>
        <v>535676000</v>
      </c>
      <c r="Z205" s="77">
        <f>DATA!AG194</f>
        <v>-285676000</v>
      </c>
      <c r="AA205" s="20" t="str">
        <f>DATA!AH194</f>
        <v>-</v>
      </c>
      <c r="AB205" s="37" t="str">
        <f>DATA!AI194</f>
        <v>-</v>
      </c>
      <c r="AC205" s="152">
        <f>DATA!AM194</f>
        <v>0</v>
      </c>
      <c r="AD205" s="152" t="str">
        <f>DATA!AN194</f>
        <v>-</v>
      </c>
      <c r="AE205" s="152" t="str">
        <f>DATA!AO194</f>
        <v>tanpa keterangan</v>
      </c>
      <c r="AF205" s="37" t="str">
        <f>DATA!AJ194</f>
        <v xml:space="preserve">TOR </v>
      </c>
      <c r="AG205" s="115">
        <f>DATA!AK194</f>
        <v>0</v>
      </c>
      <c r="AH205" s="37" t="str">
        <f>DATA!AL194</f>
        <v>-</v>
      </c>
      <c r="AI205" s="20">
        <f>DATA!AM194</f>
        <v>0</v>
      </c>
      <c r="AJ205" s="20" t="str">
        <f>DATA!AN194</f>
        <v>-</v>
      </c>
      <c r="AK205" s="20" t="str">
        <f>DATA!AO194</f>
        <v>tanpa keterangan</v>
      </c>
      <c r="AL205" s="20" t="str">
        <f>DATA!AP194</f>
        <v>belum ada proses tender/lelang</v>
      </c>
      <c r="AM205" s="20" t="str">
        <f>DATA!AY194</f>
        <v>Surat Plh. Kepala Pusat Kem.Pertanian nomor 246/KL.230/A.6.3/09/2015 tgl 9 September 2015</v>
      </c>
      <c r="AN205" s="20" t="e">
        <f>DATA!#REF!</f>
        <v>#REF!</v>
      </c>
      <c r="AO205" s="20">
        <f>DATA!AZ194</f>
        <v>0</v>
      </c>
      <c r="AP205" s="152" t="e">
        <f>DATA!#REF!</f>
        <v>#REF!</v>
      </c>
      <c r="AQ205" s="37" t="str">
        <f>DATA!BA194</f>
        <v>Rencana penggunaan lahan di dataran tinggi berdasarkan kesesuaiannya, konservasi lahan dan air di dataran tinggi, dan budidaya pertanian ramah lingkungan untuk dataran tinggi</v>
      </c>
    </row>
    <row r="206" spans="1:43" s="6" customFormat="1" ht="61.5" customHeight="1">
      <c r="A206" s="6">
        <f>DATA!A195</f>
        <v>140</v>
      </c>
      <c r="B206" s="6">
        <f>DATA!B195</f>
        <v>0</v>
      </c>
      <c r="C206" s="6" t="str">
        <f>DATA!D195</f>
        <v>NON-INFRASTRUKTUR</v>
      </c>
      <c r="D206" s="6">
        <f>DATA!E195</f>
        <v>13</v>
      </c>
      <c r="E206" s="6" t="str">
        <f>DATA!F195</f>
        <v>Kementerian Pertanian</v>
      </c>
      <c r="F206" s="6" t="str">
        <f>DATA!H195</f>
        <v>Provision and Development of Agriculture Infrastructure Program</v>
      </c>
      <c r="G206" s="6" t="str">
        <f>DATA!I195</f>
        <v>A</v>
      </c>
      <c r="H206" s="6" t="str">
        <f>DATA!J195</f>
        <v>Program Penyediaan dan Pengembangan Prasarana dan Sarana Pertanian</v>
      </c>
      <c r="I206" s="6">
        <f>DATA!K195</f>
        <v>2</v>
      </c>
      <c r="J206" s="38"/>
      <c r="K206" s="39"/>
      <c r="L206" s="39"/>
      <c r="M206" s="40"/>
      <c r="N206" s="67" t="str">
        <f>DATA!L195</f>
        <v>Upland Development for National Food Security</v>
      </c>
      <c r="O206" s="42">
        <f>DATA!Q195</f>
        <v>0.33333333333333331</v>
      </c>
      <c r="P206" s="42">
        <f>DATA!R195</f>
        <v>0</v>
      </c>
      <c r="Q206" s="42">
        <f>DATA!S195</f>
        <v>0</v>
      </c>
      <c r="R206" s="83">
        <f>DATA!T195</f>
        <v>0</v>
      </c>
      <c r="S206" s="88">
        <f>DATA!U195</f>
        <v>0</v>
      </c>
      <c r="T206" s="83">
        <f>DATA!V195</f>
        <v>0</v>
      </c>
      <c r="U206" s="83">
        <f>DATA!W195</f>
        <v>0</v>
      </c>
      <c r="V206" s="83">
        <f>DATA!X195</f>
        <v>0</v>
      </c>
      <c r="W206" s="84" t="str">
        <f>DATA!Y195</f>
        <v>Bank Dunia</v>
      </c>
      <c r="X206" s="42" t="str">
        <f>DATA!Z195</f>
        <v>Multilateral</v>
      </c>
      <c r="Y206" s="83">
        <f>DATA!AA195</f>
        <v>125000000</v>
      </c>
      <c r="Z206" s="83">
        <f>DATA!AG195</f>
        <v>0</v>
      </c>
      <c r="AA206" s="42" t="str">
        <f>DATA!AH195</f>
        <v>Tanpa keterangan</v>
      </c>
      <c r="AB206" s="67" t="str">
        <f>DATA!AI195</f>
        <v>-</v>
      </c>
      <c r="AC206" s="152">
        <f>DATA!AM195</f>
        <v>0</v>
      </c>
      <c r="AD206" s="152" t="str">
        <f>DATA!AN195</f>
        <v>dalam proses
(penyusunan FS)</v>
      </c>
      <c r="AE206" s="152" t="str">
        <f>DATA!AO195</f>
        <v>belum ada keterangan</v>
      </c>
      <c r="AF206" s="67" t="str">
        <f>DATA!AJ195</f>
        <v xml:space="preserve">TOR </v>
      </c>
      <c r="AG206" s="115">
        <f>DATA!AK195</f>
        <v>0</v>
      </c>
      <c r="AH206" s="67" t="str">
        <f>DATA!AL195</f>
        <v>-</v>
      </c>
      <c r="AI206" s="42">
        <f>DATA!AM195</f>
        <v>0</v>
      </c>
      <c r="AJ206" s="42" t="str">
        <f>DATA!AN195</f>
        <v>dalam proses
(penyusunan FS)</v>
      </c>
      <c r="AK206" s="42" t="str">
        <f>DATA!AO195</f>
        <v>belum ada keterangan</v>
      </c>
      <c r="AL206" s="42" t="str">
        <f>DATA!AP195</f>
        <v>belum ada proses tender/lelang</v>
      </c>
      <c r="AM206" s="42" t="str">
        <f>DATA!AY195</f>
        <v>Surat Plh. Kepala Pusat Kem.Pertanian nomor 246/KL.230/A.6.3/09/2015 tgl 9 September 2015</v>
      </c>
      <c r="AN206" s="42" t="e">
        <f>DATA!#REF!</f>
        <v>#REF!</v>
      </c>
      <c r="AO206" s="42">
        <f>DATA!AZ195</f>
        <v>0</v>
      </c>
      <c r="AP206" s="152" t="e">
        <f>DATA!#REF!</f>
        <v>#REF!</v>
      </c>
      <c r="AQ206" s="67" t="str">
        <f>DATA!BA195</f>
        <v>Rencana penggunaan lahan di dataran tinggi berdasarkan kesesuaiannya, konservasi lahan dan air di dataran tinggi, dan budidaya pertanian ramah lingkungan untuk dataran tinggi</v>
      </c>
    </row>
    <row r="207" spans="1:43" s="6" customFormat="1" ht="51">
      <c r="A207" s="6">
        <f>DATA!A196</f>
        <v>141</v>
      </c>
      <c r="B207" s="6">
        <f>DATA!B196</f>
        <v>0</v>
      </c>
      <c r="C207" s="6" t="str">
        <f>DATA!D196</f>
        <v>NON-INFRASTRUKTUR</v>
      </c>
      <c r="D207" s="6">
        <f>DATA!E196</f>
        <v>13</v>
      </c>
      <c r="E207" s="6" t="str">
        <f>DATA!F196</f>
        <v>Kementerian Pertanian</v>
      </c>
      <c r="F207" s="6" t="str">
        <f>DATA!H196</f>
        <v>Provision and Development of Agriculture Infrastructure Program</v>
      </c>
      <c r="G207" s="6" t="str">
        <f>DATA!I196</f>
        <v>A</v>
      </c>
      <c r="H207" s="6" t="str">
        <f>DATA!J196</f>
        <v>Program Penyediaan dan Pengembangan Prasarana dan Sarana Pertanian</v>
      </c>
      <c r="I207" s="6">
        <f>DATA!K196</f>
        <v>2</v>
      </c>
      <c r="J207" s="38"/>
      <c r="K207" s="39"/>
      <c r="L207" s="39"/>
      <c r="M207" s="38"/>
      <c r="N207" s="67" t="str">
        <f>DATA!L196</f>
        <v>Upland Development for National Food Security</v>
      </c>
      <c r="O207" s="42">
        <f>DATA!Q196</f>
        <v>0.33333333333333331</v>
      </c>
      <c r="P207" s="42">
        <f>DATA!R196</f>
        <v>0</v>
      </c>
      <c r="Q207" s="42">
        <f>DATA!S196</f>
        <v>0</v>
      </c>
      <c r="R207" s="83">
        <f>DATA!T196</f>
        <v>0</v>
      </c>
      <c r="S207" s="88">
        <f>DATA!U196</f>
        <v>0</v>
      </c>
      <c r="T207" s="83">
        <f>DATA!V196</f>
        <v>0</v>
      </c>
      <c r="U207" s="83">
        <f>DATA!W196</f>
        <v>0</v>
      </c>
      <c r="V207" s="83">
        <f>DATA!X196</f>
        <v>0</v>
      </c>
      <c r="W207" s="84" t="str">
        <f>DATA!Y196</f>
        <v>IDB</v>
      </c>
      <c r="X207" s="42" t="str">
        <f>DATA!Z196</f>
        <v>Multilateral</v>
      </c>
      <c r="Y207" s="83">
        <f>DATA!AA196</f>
        <v>125000000</v>
      </c>
      <c r="Z207" s="83">
        <f>DATA!AG196</f>
        <v>0</v>
      </c>
      <c r="AA207" s="42" t="str">
        <f>DATA!AH196</f>
        <v>Tanpa keterangan</v>
      </c>
      <c r="AB207" s="67" t="str">
        <f>DATA!AI196</f>
        <v>-</v>
      </c>
      <c r="AC207" s="152">
        <f>DATA!AM196</f>
        <v>0</v>
      </c>
      <c r="AD207" s="152" t="str">
        <f>DATA!AN196</f>
        <v>dalam proses
(penyusunan FS)</v>
      </c>
      <c r="AE207" s="152" t="str">
        <f>DATA!AO196</f>
        <v>belum ada keterangan</v>
      </c>
      <c r="AF207" s="67" t="str">
        <f>DATA!AJ196</f>
        <v>-</v>
      </c>
      <c r="AG207" s="115" t="str">
        <f>DATA!AK196</f>
        <v>-</v>
      </c>
      <c r="AH207" s="67" t="str">
        <f>DATA!AL196</f>
        <v>-</v>
      </c>
      <c r="AI207" s="42">
        <f>DATA!AM196</f>
        <v>0</v>
      </c>
      <c r="AJ207" s="42" t="str">
        <f>DATA!AN196</f>
        <v>dalam proses
(penyusunan FS)</v>
      </c>
      <c r="AK207" s="42" t="str">
        <f>DATA!AO196</f>
        <v>belum ada keterangan</v>
      </c>
      <c r="AL207" s="42" t="str">
        <f>DATA!AP196</f>
        <v>belum ada proses tender/lelang</v>
      </c>
      <c r="AM207" s="42" t="str">
        <f>DATA!AY196</f>
        <v>Surat Plh. Kepala Pusat Kem.Pertanian nomor 246/KL.230/A.6.3/09/2015 tgl 9 September 2015</v>
      </c>
      <c r="AN207" s="42" t="e">
        <f>DATA!#REF!</f>
        <v>#REF!</v>
      </c>
      <c r="AO207" s="42">
        <f>DATA!AZ196</f>
        <v>0</v>
      </c>
      <c r="AP207" s="152" t="e">
        <f>DATA!#REF!</f>
        <v>#REF!</v>
      </c>
      <c r="AQ207" s="67" t="str">
        <f>DATA!BA196</f>
        <v>Rencana penggunaan lahan di dataran tinggi berdasarkan kesesuaiannya, konservasi lahan dan air di dataran tinggi, dan budidaya pertanian ramah lingkungan untuk dataran tinggi</v>
      </c>
    </row>
    <row r="208" spans="1:43" s="6" customFormat="1" ht="65.25" customHeight="1">
      <c r="A208" s="6">
        <f>DATA!A197</f>
        <v>142</v>
      </c>
      <c r="B208" s="6">
        <f>DATA!B197</f>
        <v>0</v>
      </c>
      <c r="C208" s="6" t="str">
        <f>DATA!D197</f>
        <v>NON-INFRASTRUKTUR</v>
      </c>
      <c r="D208" s="6">
        <f>DATA!E197</f>
        <v>13</v>
      </c>
      <c r="E208" s="6" t="str">
        <f>DATA!F197</f>
        <v>Kementerian Pertanian</v>
      </c>
      <c r="F208" s="6" t="str">
        <f>DATA!H197</f>
        <v>Provision and Development of Agriculture Infrastructure Program</v>
      </c>
      <c r="G208" s="6" t="str">
        <f>DATA!I197</f>
        <v>A</v>
      </c>
      <c r="H208" s="6" t="str">
        <f>DATA!J197</f>
        <v>Program Penyediaan dan Pengembangan Prasarana dan Sarana Pertanian</v>
      </c>
      <c r="I208" s="6">
        <f>DATA!K197</f>
        <v>2</v>
      </c>
      <c r="J208" s="38"/>
      <c r="K208" s="39"/>
      <c r="L208" s="71"/>
      <c r="M208" s="43"/>
      <c r="N208" s="67" t="str">
        <f>DATA!L197</f>
        <v>Upland Development for National Food Security</v>
      </c>
      <c r="O208" s="42">
        <f>DATA!Q197</f>
        <v>0.33333333333333331</v>
      </c>
      <c r="P208" s="42">
        <f>DATA!R197</f>
        <v>0</v>
      </c>
      <c r="Q208" s="42">
        <f>DATA!S197</f>
        <v>0</v>
      </c>
      <c r="R208" s="83">
        <f>DATA!T197</f>
        <v>0</v>
      </c>
      <c r="S208" s="88">
        <f>DATA!U197</f>
        <v>0</v>
      </c>
      <c r="T208" s="83">
        <f>DATA!V197</f>
        <v>0</v>
      </c>
      <c r="U208" s="83">
        <f>DATA!W197</f>
        <v>0</v>
      </c>
      <c r="V208" s="83">
        <f>DATA!X197</f>
        <v>0</v>
      </c>
      <c r="W208" s="84" t="str">
        <f>DATA!Y197</f>
        <v>Belum Ada Indikasi</v>
      </c>
      <c r="X208" s="42" t="str">
        <f>DATA!Z197</f>
        <v>Belum Ada Indikasi</v>
      </c>
      <c r="Y208" s="83">
        <f>DATA!AA197</f>
        <v>285676000</v>
      </c>
      <c r="Z208" s="83">
        <f>DATA!AG197</f>
        <v>-285676000</v>
      </c>
      <c r="AA208" s="42" t="str">
        <f>DATA!AH197</f>
        <v>Tanpa keterangan</v>
      </c>
      <c r="AB208" s="67" t="str">
        <f>DATA!AI197</f>
        <v>-</v>
      </c>
      <c r="AC208" s="152">
        <f>DATA!AM197</f>
        <v>0</v>
      </c>
      <c r="AD208" s="152" t="str">
        <f>DATA!AN197</f>
        <v>belum ada keterangan</v>
      </c>
      <c r="AE208" s="152" t="str">
        <f>DATA!AO197</f>
        <v>belum ada keterangan</v>
      </c>
      <c r="AF208" s="67" t="str">
        <f>DATA!AJ197</f>
        <v>-</v>
      </c>
      <c r="AG208" s="115" t="str">
        <f>DATA!AK197</f>
        <v>-</v>
      </c>
      <c r="AH208" s="67" t="str">
        <f>DATA!AL197</f>
        <v>-</v>
      </c>
      <c r="AI208" s="42">
        <f>DATA!AM197</f>
        <v>0</v>
      </c>
      <c r="AJ208" s="42" t="str">
        <f>DATA!AN197</f>
        <v>belum ada keterangan</v>
      </c>
      <c r="AK208" s="42" t="str">
        <f>DATA!AO197</f>
        <v>belum ada keterangan</v>
      </c>
      <c r="AL208" s="42" t="str">
        <f>DATA!AP197</f>
        <v>belum ada proses tender/lelang</v>
      </c>
      <c r="AM208" s="42" t="str">
        <f>DATA!AY197</f>
        <v>Surat Plh. Kepala Pusat Kem.Pertanian nomor 246/KL.230/A.6.3/09/2015 tgl 9 September 2015</v>
      </c>
      <c r="AN208" s="42" t="e">
        <f>DATA!#REF!</f>
        <v>#REF!</v>
      </c>
      <c r="AO208" s="42">
        <f>DATA!AZ197</f>
        <v>0</v>
      </c>
      <c r="AP208" s="152" t="e">
        <f>DATA!#REF!</f>
        <v>#REF!</v>
      </c>
      <c r="AQ208" s="67" t="str">
        <f>DATA!BA197</f>
        <v>Rencana penggunaan lahan di dataran tinggi berdasarkan kesesuaiannya, konservasi lahan dan air di dataran tinggi, dan budidaya pertanian ramah lingkungan untuk dataran tinggi</v>
      </c>
    </row>
    <row r="209" spans="1:43" s="5" customFormat="1" ht="33.75" customHeight="1">
      <c r="J209" s="28"/>
      <c r="K209" s="50"/>
      <c r="L209" s="30" t="str">
        <f>DATA!I198</f>
        <v>B</v>
      </c>
      <c r="M209" s="31" t="str">
        <f>DATA!J198</f>
        <v>Program Peningkatan Penyuluhan, Pendidikan, dan Pelatihan Pertanian</v>
      </c>
      <c r="N209" s="51"/>
      <c r="O209" s="31"/>
      <c r="P209" s="31"/>
      <c r="Q209" s="31"/>
      <c r="R209" s="81">
        <f>+R210+R211</f>
        <v>98900000</v>
      </c>
      <c r="S209" s="81">
        <f>+S210+S211</f>
        <v>98900000</v>
      </c>
      <c r="T209" s="81">
        <f t="shared" ref="T209:Z209" si="35">+T210+T211</f>
        <v>19780000</v>
      </c>
      <c r="U209" s="81">
        <f t="shared" si="35"/>
        <v>500000</v>
      </c>
      <c r="V209" s="81">
        <f t="shared" si="35"/>
        <v>119180000</v>
      </c>
      <c r="W209" s="81"/>
      <c r="X209" s="81" t="e">
        <f t="shared" si="35"/>
        <v>#VALUE!</v>
      </c>
      <c r="Y209" s="81">
        <f t="shared" si="35"/>
        <v>98900000</v>
      </c>
      <c r="Z209" s="81">
        <f t="shared" si="35"/>
        <v>0</v>
      </c>
      <c r="AA209" s="31"/>
      <c r="AB209" s="32"/>
      <c r="AC209" s="32"/>
      <c r="AD209" s="32"/>
      <c r="AE209" s="32"/>
      <c r="AF209" s="32"/>
      <c r="AG209" s="115" t="str">
        <f>DATA!AK198</f>
        <v>-</v>
      </c>
      <c r="AH209" s="32"/>
      <c r="AI209" s="31"/>
      <c r="AJ209" s="31"/>
      <c r="AK209" s="31"/>
      <c r="AL209" s="31"/>
      <c r="AM209" s="31"/>
      <c r="AN209" s="31"/>
      <c r="AO209" s="31"/>
      <c r="AP209" s="32"/>
      <c r="AQ209" s="32"/>
    </row>
    <row r="210" spans="1:43" ht="106.5" customHeight="1">
      <c r="A210" s="10">
        <f>DATA!A198</f>
        <v>143</v>
      </c>
      <c r="B210" s="10">
        <f>DATA!B198</f>
        <v>0</v>
      </c>
      <c r="C210" s="10" t="str">
        <f>DATA!D198</f>
        <v>NON-INFRASTRUKTUR</v>
      </c>
      <c r="D210" s="10">
        <f>DATA!E198</f>
        <v>13</v>
      </c>
      <c r="E210" s="10" t="str">
        <f>DATA!F198</f>
        <v>Kementerian Pertanian</v>
      </c>
      <c r="F210" s="10" t="str">
        <f>DATA!H198</f>
        <v>Agriculture Extention, Education, and Training Improvement Program</v>
      </c>
      <c r="G210" s="10" t="str">
        <f>DATA!I198</f>
        <v>B</v>
      </c>
      <c r="H210" s="10" t="str">
        <f>DATA!J198</f>
        <v>Program Peningkatan Penyuluhan, Pendidikan, dan Pelatihan Pertanian</v>
      </c>
      <c r="I210" s="10">
        <f>DATA!K198</f>
        <v>1</v>
      </c>
      <c r="J210" s="33"/>
      <c r="K210" s="34"/>
      <c r="L210" s="35"/>
      <c r="M210" s="36">
        <f>DATA!K198</f>
        <v>1</v>
      </c>
      <c r="N210" s="37" t="str">
        <f>DATA!L198</f>
        <v>Young Enterpreneur Growth and Development for Sustainable Agricultural Development</v>
      </c>
      <c r="O210" s="20">
        <f>DATA!Q198</f>
        <v>1</v>
      </c>
      <c r="P210" s="20">
        <f>DATA!R198</f>
        <v>1</v>
      </c>
      <c r="Q210" s="20">
        <f>DATA!S198</f>
        <v>111</v>
      </c>
      <c r="R210" s="77">
        <f>DATA!T198</f>
        <v>68900000</v>
      </c>
      <c r="S210" s="88">
        <f>DATA!U198</f>
        <v>68900000</v>
      </c>
      <c r="T210" s="77">
        <f>DATA!V198</f>
        <v>13780000</v>
      </c>
      <c r="U210" s="77">
        <f>DATA!W198</f>
        <v>0</v>
      </c>
      <c r="V210" s="77">
        <f>DATA!X198</f>
        <v>82680000</v>
      </c>
      <c r="W210" s="78" t="str">
        <f>DATA!Y198</f>
        <v>IFAD</v>
      </c>
      <c r="X210" s="20" t="str">
        <f>DATA!Z198</f>
        <v>Multilateral</v>
      </c>
      <c r="Y210" s="77">
        <f>DATA!AA198</f>
        <v>68900000</v>
      </c>
      <c r="Z210" s="77">
        <f>DATA!AG198</f>
        <v>0</v>
      </c>
      <c r="AA210" s="20" t="str">
        <f>DATA!AH198</f>
        <v>Tanpa keterangan</v>
      </c>
      <c r="AB210" s="37" t="str">
        <f>DATA!AI198</f>
        <v>Dalam tahap diskusi awal dengan pihak lender untuk penyempurnaan proposal</v>
      </c>
      <c r="AC210" s="152">
        <f>DATA!AM198</f>
        <v>0</v>
      </c>
      <c r="AD210" s="152" t="str">
        <f>DATA!AN198</f>
        <v>belum ada keterangan</v>
      </c>
      <c r="AE210" s="152" t="str">
        <f>DATA!AO198</f>
        <v>belum ada keterangan</v>
      </c>
      <c r="AF210" s="37" t="str">
        <f>DATA!AJ198</f>
        <v>-</v>
      </c>
      <c r="AG210" s="115" t="str">
        <f>DATA!AK199</f>
        <v>-</v>
      </c>
      <c r="AH210" s="37" t="str">
        <f>DATA!AL198</f>
        <v>-</v>
      </c>
      <c r="AI210" s="20">
        <f>DATA!AM198</f>
        <v>0</v>
      </c>
      <c r="AJ210" s="20" t="str">
        <f>DATA!AN198</f>
        <v>belum ada keterangan</v>
      </c>
      <c r="AK210" s="20" t="str">
        <f>DATA!AO198</f>
        <v>belum ada keterangan</v>
      </c>
      <c r="AL210" s="20" t="str">
        <f>DATA!AP198</f>
        <v>belum ada proses tender/lelang</v>
      </c>
      <c r="AM210" s="20" t="str">
        <f>DATA!AY198</f>
        <v>Surat Plh. Kepala Pusat Kem.Pertanian nomor 246/KL.230/A.6.3/09/2015 tgl 9 September 2015</v>
      </c>
      <c r="AN210" s="20" t="e">
        <f>DATA!#REF!</f>
        <v>#REF!</v>
      </c>
      <c r="AO210" s="20">
        <f>DATA!AZ198</f>
        <v>0</v>
      </c>
      <c r="AP210" s="152" t="e">
        <f>DATA!#REF!</f>
        <v>#REF!</v>
      </c>
      <c r="AQ210" s="37"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row>
    <row r="211" spans="1:43" ht="63.75">
      <c r="A211" s="10">
        <f>DATA!A199</f>
        <v>144</v>
      </c>
      <c r="B211" s="10">
        <f>DATA!B199</f>
        <v>0</v>
      </c>
      <c r="C211" s="10" t="str">
        <f>DATA!D199</f>
        <v>NON-INFRASTRUKTUR</v>
      </c>
      <c r="D211" s="10">
        <f>DATA!E199</f>
        <v>13</v>
      </c>
      <c r="E211" s="10" t="str">
        <f>DATA!F199</f>
        <v>Kementerian Pertanian</v>
      </c>
      <c r="F211" s="10" t="str">
        <f>DATA!H199</f>
        <v>Agriculture Extention, Education, and Training Improvement Program</v>
      </c>
      <c r="G211" s="10" t="str">
        <f>DATA!I199</f>
        <v>B</v>
      </c>
      <c r="H211" s="10" t="str">
        <f>DATA!J199</f>
        <v>Program Peningkatan Penyuluhan, Pendidikan, dan Pelatihan Pertanian</v>
      </c>
      <c r="I211" s="10">
        <f>DATA!K199</f>
        <v>2</v>
      </c>
      <c r="J211" s="33"/>
      <c r="K211" s="54"/>
      <c r="L211" s="54"/>
      <c r="M211" s="36">
        <f>DATA!K199</f>
        <v>2</v>
      </c>
      <c r="N211" s="37" t="str">
        <f>DATA!L199</f>
        <v>Rural Empowerment and Agricultural Development (READ) Programme in Sulawesi Island – Phase II</v>
      </c>
      <c r="O211" s="20">
        <f>DATA!Q199</f>
        <v>1</v>
      </c>
      <c r="P211" s="20">
        <f>DATA!R199</f>
        <v>1</v>
      </c>
      <c r="Q211" s="20">
        <f>DATA!S199</f>
        <v>112</v>
      </c>
      <c r="R211" s="77">
        <f>DATA!T199</f>
        <v>30000000</v>
      </c>
      <c r="S211" s="88">
        <f>DATA!U199</f>
        <v>30000000</v>
      </c>
      <c r="T211" s="77">
        <f>DATA!V199</f>
        <v>6000000</v>
      </c>
      <c r="U211" s="77">
        <f>DATA!W199</f>
        <v>500000</v>
      </c>
      <c r="V211" s="77">
        <f>DATA!X199</f>
        <v>36500000</v>
      </c>
      <c r="W211" s="78" t="str">
        <f>DATA!Y199</f>
        <v>IFAD</v>
      </c>
      <c r="X211" s="20" t="str">
        <f>DATA!Z199</f>
        <v>Multilateral</v>
      </c>
      <c r="Y211" s="77">
        <f>DATA!AA199</f>
        <v>30000000</v>
      </c>
      <c r="Z211" s="77">
        <f>DATA!AG199</f>
        <v>0</v>
      </c>
      <c r="AA211" s="20" t="str">
        <f>DATA!AH199</f>
        <v>Tanpa keterangan</v>
      </c>
      <c r="AB211" s="37" t="str">
        <f>DATA!AI199</f>
        <v>Dalam tahap diskusi awal dengan pihak lender untuk penyempurnaan proposal</v>
      </c>
      <c r="AC211" s="152">
        <f>DATA!AM199</f>
        <v>0</v>
      </c>
      <c r="AD211" s="152" t="str">
        <f>DATA!AN199</f>
        <v>belum ada keterangan</v>
      </c>
      <c r="AE211" s="152" t="str">
        <f>DATA!AO199</f>
        <v>belum ada keterangan</v>
      </c>
      <c r="AF211" s="37" t="str">
        <f>DATA!AJ199</f>
        <v>-</v>
      </c>
      <c r="AG211" s="115" t="str">
        <f>DATA!AK200</f>
        <v>-</v>
      </c>
      <c r="AH211" s="37" t="str">
        <f>DATA!AL199</f>
        <v>-</v>
      </c>
      <c r="AI211" s="20">
        <f>DATA!AM199</f>
        <v>0</v>
      </c>
      <c r="AJ211" s="20" t="str">
        <f>DATA!AN199</f>
        <v>belum ada keterangan</v>
      </c>
      <c r="AK211" s="20" t="str">
        <f>DATA!AO199</f>
        <v>belum ada keterangan</v>
      </c>
      <c r="AL211" s="20" t="str">
        <f>DATA!AP199</f>
        <v>belum ada proses tender/lelang</v>
      </c>
      <c r="AM211" s="20" t="str">
        <f>DATA!AY199</f>
        <v>Surat Plh. Kepala Pusat Kem.Pertanian nomor 246/KL.230/A.6.3/09/2015 tgl 9 September 2015</v>
      </c>
      <c r="AN211" s="20" t="e">
        <f>DATA!#REF!</f>
        <v>#REF!</v>
      </c>
      <c r="AO211" s="20">
        <f>DATA!AZ199</f>
        <v>0</v>
      </c>
      <c r="AP211" s="152" t="e">
        <f>DATA!#REF!</f>
        <v>#REF!</v>
      </c>
      <c r="AQ211" s="37" t="str">
        <f>DATA!BA199</f>
        <v>Pemberdayaan masyarakat petani, peningkatan mata pencaharian, dan pembangunan infrastruktur pertanian</v>
      </c>
    </row>
    <row r="212" spans="1:43" s="4" customFormat="1" ht="24.95" customHeight="1">
      <c r="J212" s="107"/>
      <c r="K212" s="25">
        <f>DATA!E200</f>
        <v>14</v>
      </c>
      <c r="L212" s="108" t="str">
        <f>DATA!F200</f>
        <v>Kementerian Ketenagakerjaan</v>
      </c>
      <c r="M212" s="25"/>
      <c r="N212" s="27"/>
      <c r="O212" s="26"/>
      <c r="P212" s="26"/>
      <c r="Q212" s="26"/>
      <c r="R212" s="80">
        <f>+R213</f>
        <v>92308000</v>
      </c>
      <c r="S212" s="80">
        <f>+S213</f>
        <v>92308000</v>
      </c>
      <c r="T212" s="80">
        <f t="shared" ref="T212:Z212" si="36">+T213</f>
        <v>2500000</v>
      </c>
      <c r="U212" s="80">
        <f t="shared" si="36"/>
        <v>0</v>
      </c>
      <c r="V212" s="80">
        <f t="shared" si="36"/>
        <v>94808000</v>
      </c>
      <c r="W212" s="120" t="str">
        <f t="shared" si="36"/>
        <v>-</v>
      </c>
      <c r="X212" s="80" t="str">
        <f t="shared" si="36"/>
        <v>Multi Lender</v>
      </c>
      <c r="Y212" s="80">
        <f t="shared" si="36"/>
        <v>92308000</v>
      </c>
      <c r="Z212" s="80">
        <f t="shared" si="36"/>
        <v>0</v>
      </c>
      <c r="AA212" s="26"/>
      <c r="AB212" s="27"/>
      <c r="AC212" s="27"/>
      <c r="AD212" s="27"/>
      <c r="AE212" s="27"/>
      <c r="AF212" s="27"/>
      <c r="AG212" s="27"/>
      <c r="AH212" s="27"/>
      <c r="AI212" s="26"/>
      <c r="AJ212" s="26"/>
      <c r="AK212" s="26"/>
      <c r="AL212" s="26"/>
      <c r="AM212" s="26"/>
      <c r="AN212" s="26"/>
      <c r="AO212" s="26"/>
      <c r="AP212" s="27"/>
      <c r="AQ212" s="27"/>
    </row>
    <row r="213" spans="1:43" s="5" customFormat="1" ht="33.75" customHeight="1">
      <c r="J213" s="28"/>
      <c r="K213" s="29"/>
      <c r="L213" s="30" t="str">
        <f>DATA!I206</f>
        <v>A</v>
      </c>
      <c r="M213" s="31" t="str">
        <f>DATA!J206</f>
        <v>Program Pengembangan dan Pembinaan Meteorologi, Klimatologi, dan Geofisika</v>
      </c>
      <c r="N213" s="51"/>
      <c r="O213" s="31"/>
      <c r="P213" s="31"/>
      <c r="Q213" s="31"/>
      <c r="R213" s="81">
        <f>+R214</f>
        <v>92308000</v>
      </c>
      <c r="S213" s="81">
        <f>+S214</f>
        <v>92308000</v>
      </c>
      <c r="T213" s="81">
        <f t="shared" ref="T213:Z213" si="37">+T214</f>
        <v>2500000</v>
      </c>
      <c r="U213" s="81">
        <f t="shared" si="37"/>
        <v>0</v>
      </c>
      <c r="V213" s="81">
        <f t="shared" si="37"/>
        <v>94808000</v>
      </c>
      <c r="W213" s="121" t="s">
        <v>21</v>
      </c>
      <c r="X213" s="81" t="str">
        <f t="shared" si="37"/>
        <v>Multi Lender</v>
      </c>
      <c r="Y213" s="81">
        <f t="shared" si="37"/>
        <v>92308000</v>
      </c>
      <c r="Z213" s="81">
        <f t="shared" si="37"/>
        <v>0</v>
      </c>
      <c r="AA213" s="31"/>
      <c r="AB213" s="32"/>
      <c r="AC213" s="32"/>
      <c r="AD213" s="32"/>
      <c r="AE213" s="32"/>
      <c r="AF213" s="32"/>
      <c r="AG213" s="32"/>
      <c r="AH213" s="32"/>
      <c r="AI213" s="31"/>
      <c r="AJ213" s="31"/>
      <c r="AK213" s="31"/>
      <c r="AL213" s="31"/>
      <c r="AM213" s="31"/>
      <c r="AN213" s="31"/>
      <c r="AO213" s="31"/>
      <c r="AP213" s="32"/>
      <c r="AQ213" s="32"/>
    </row>
    <row r="214" spans="1:43" ht="47.25" customHeight="1">
      <c r="A214" s="10">
        <f>DATA!A200</f>
        <v>145</v>
      </c>
      <c r="B214" s="10">
        <f>DATA!B200</f>
        <v>0</v>
      </c>
      <c r="C214" s="10" t="str">
        <f>DATA!D200</f>
        <v>NON-INFRASTRUKTUR</v>
      </c>
      <c r="D214" s="10">
        <f>DATA!E200</f>
        <v>14</v>
      </c>
      <c r="E214" s="10" t="str">
        <f>DATA!F200</f>
        <v>Kementerian Ketenagakerjaan</v>
      </c>
      <c r="F214" s="10" t="str">
        <f>DATA!H200</f>
        <v>Improving Labor Competitiveness Program</v>
      </c>
      <c r="G214" s="10" t="str">
        <f>DATA!I200</f>
        <v>A</v>
      </c>
      <c r="H214" s="10" t="str">
        <f>DATA!J200</f>
        <v>Program Peningkatan Daya Saing Tenaga Kerja</v>
      </c>
      <c r="I214" s="10">
        <f>DATA!K200</f>
        <v>1</v>
      </c>
      <c r="J214" s="33"/>
      <c r="K214" s="54"/>
      <c r="L214" s="20"/>
      <c r="M214" s="36">
        <f>DATA!K200</f>
        <v>1</v>
      </c>
      <c r="N214" s="37" t="str">
        <f>DATA!L200</f>
        <v>Development of Maritime Vocational Training Centers</v>
      </c>
      <c r="O214" s="20">
        <f>DATA!Q200</f>
        <v>1</v>
      </c>
      <c r="P214" s="20">
        <f>DATA!R200</f>
        <v>1</v>
      </c>
      <c r="Q214" s="20">
        <f>DATA!S200</f>
        <v>113</v>
      </c>
      <c r="R214" s="77">
        <f>DATA!T200</f>
        <v>92308000</v>
      </c>
      <c r="S214" s="88">
        <f>DATA!U200</f>
        <v>92308000</v>
      </c>
      <c r="T214" s="77">
        <f>DATA!V200</f>
        <v>2500000</v>
      </c>
      <c r="U214" s="77">
        <f>DATA!W200</f>
        <v>0</v>
      </c>
      <c r="V214" s="77">
        <f>DATA!X200</f>
        <v>94808000</v>
      </c>
      <c r="W214" s="78" t="str">
        <f>DATA!Y200</f>
        <v>Austria/ JICA/ Singapura</v>
      </c>
      <c r="X214" s="20" t="str">
        <f>DATA!Z200</f>
        <v>Multi Lender</v>
      </c>
      <c r="Y214" s="77">
        <f>DATA!AA200</f>
        <v>92308000</v>
      </c>
      <c r="Z214" s="77">
        <f>DATA!AG200</f>
        <v>0</v>
      </c>
      <c r="AA214" s="20" t="str">
        <f>DATA!AH200</f>
        <v>Tanpa keterangan</v>
      </c>
      <c r="AB214" s="37" t="str">
        <f>DATA!AI200</f>
        <v>-</v>
      </c>
      <c r="AC214" s="152">
        <f>DATA!AM200</f>
        <v>0</v>
      </c>
      <c r="AD214" s="152" t="str">
        <f>DATA!AN200</f>
        <v>belum ada keterangan</v>
      </c>
      <c r="AE214" s="152" t="str">
        <f>DATA!AO200</f>
        <v>belum ada keterangan</v>
      </c>
      <c r="AF214" s="37" t="str">
        <f>DATA!AJ200</f>
        <v>-</v>
      </c>
      <c r="AG214" s="37" t="str">
        <f>DATA!AK200</f>
        <v>-</v>
      </c>
      <c r="AH214" s="37" t="str">
        <f>DATA!AL200</f>
        <v>-</v>
      </c>
      <c r="AI214" s="20">
        <f>DATA!AM200</f>
        <v>0</v>
      </c>
      <c r="AJ214" s="20" t="str">
        <f>DATA!AN200</f>
        <v>belum ada keterangan</v>
      </c>
      <c r="AK214" s="20" t="str">
        <f>DATA!AO200</f>
        <v>belum ada keterangan</v>
      </c>
      <c r="AL214" s="20" t="str">
        <f>DATA!AP200</f>
        <v>belum ada proses tender/lelang</v>
      </c>
      <c r="AM214" s="20" t="str">
        <f>DATA!AY200</f>
        <v xml:space="preserve">- Semula indikasi pendanaan oleh IDB namun pihak Kem. Naker mengkonfirmasikan bahwa Lender keg ini belum ada indikasi lender
- Konfirmasi Lender Austria didapatkan dari rapat dgn Dit. Multilateral tgl 15 Okt' 2015 di R.SG-4
</v>
      </c>
      <c r="AN214" s="20" t="e">
        <f>DATA!#REF!</f>
        <v>#REF!</v>
      </c>
      <c r="AO214" s="20" t="str">
        <f>DATA!AZ200</f>
        <v>Konfirmasi Lender Austria didapatkan dari rapat dgn Dit. Multilateral tgl 15 Okt' 2015 di R.SG-4</v>
      </c>
      <c r="AP214" s="152" t="e">
        <f>DATA!#REF!</f>
        <v>#REF!</v>
      </c>
      <c r="AQ214" s="37" t="str">
        <f>DATA!BA200</f>
        <v>Penyediaan sarana dan peralatan BLK Maritim, rehabilitasi Workshop, pengembangan Software Pelatihan, dan Training of Trainers (ToT)</v>
      </c>
    </row>
    <row r="215" spans="1:43" s="4" customFormat="1" ht="24.95" customHeight="1">
      <c r="J215" s="107"/>
      <c r="K215" s="25">
        <f>DATA!E201</f>
        <v>15</v>
      </c>
      <c r="L215" s="108" t="str">
        <f>DATA!F201</f>
        <v>Kementerian Kelautan dan Perikanan</v>
      </c>
      <c r="M215" s="25"/>
      <c r="N215" s="27"/>
      <c r="O215" s="26"/>
      <c r="P215" s="26"/>
      <c r="Q215" s="26"/>
      <c r="R215" s="80">
        <f>+R216</f>
        <v>107000000</v>
      </c>
      <c r="S215" s="80">
        <f>+S216</f>
        <v>107000000</v>
      </c>
      <c r="T215" s="80">
        <f>+T216</f>
        <v>4261000</v>
      </c>
      <c r="U215" s="80">
        <f>+U216</f>
        <v>2160000</v>
      </c>
      <c r="V215" s="80">
        <f>+V216</f>
        <v>113421000</v>
      </c>
      <c r="W215" s="80"/>
      <c r="X215" s="80" t="str">
        <f>+X216</f>
        <v>-</v>
      </c>
      <c r="Y215" s="80">
        <f>+Y216</f>
        <v>107000000</v>
      </c>
      <c r="Z215" s="80">
        <f>+Z216</f>
        <v>-107000000</v>
      </c>
      <c r="AA215" s="26"/>
      <c r="AB215" s="27"/>
      <c r="AC215" s="27"/>
      <c r="AD215" s="27"/>
      <c r="AE215" s="27"/>
      <c r="AF215" s="27"/>
      <c r="AG215" s="27"/>
      <c r="AH215" s="27"/>
      <c r="AI215" s="26"/>
      <c r="AJ215" s="26"/>
      <c r="AK215" s="26"/>
      <c r="AL215" s="26"/>
      <c r="AM215" s="26"/>
      <c r="AN215" s="26"/>
      <c r="AO215" s="26"/>
      <c r="AP215" s="27"/>
      <c r="AQ215" s="27"/>
    </row>
    <row r="216" spans="1:43" s="5" customFormat="1" ht="33.75" customHeight="1">
      <c r="J216" s="28"/>
      <c r="K216" s="116"/>
      <c r="L216" s="30" t="str">
        <f>DATA!I201</f>
        <v>A</v>
      </c>
      <c r="M216" s="31" t="str">
        <f>DATA!J201</f>
        <v>Program Peningkatan Fasilitas Perikanan</v>
      </c>
      <c r="N216" s="51"/>
      <c r="O216" s="31"/>
      <c r="P216" s="31"/>
      <c r="Q216" s="31"/>
      <c r="R216" s="81">
        <f>+R217</f>
        <v>107000000</v>
      </c>
      <c r="S216" s="81">
        <f>+S217</f>
        <v>107000000</v>
      </c>
      <c r="T216" s="81">
        <f t="shared" ref="T216:Z216" si="38">+T217</f>
        <v>4261000</v>
      </c>
      <c r="U216" s="81">
        <f t="shared" si="38"/>
        <v>2160000</v>
      </c>
      <c r="V216" s="81">
        <f t="shared" si="38"/>
        <v>113421000</v>
      </c>
      <c r="W216" s="81"/>
      <c r="X216" s="81" t="str">
        <f t="shared" si="38"/>
        <v>-</v>
      </c>
      <c r="Y216" s="81">
        <f t="shared" si="38"/>
        <v>107000000</v>
      </c>
      <c r="Z216" s="81">
        <f t="shared" si="38"/>
        <v>-107000000</v>
      </c>
      <c r="AA216" s="31"/>
      <c r="AB216" s="32"/>
      <c r="AC216" s="32"/>
      <c r="AD216" s="32"/>
      <c r="AE216" s="32"/>
      <c r="AF216" s="32"/>
      <c r="AG216" s="32"/>
      <c r="AH216" s="32"/>
      <c r="AI216" s="31"/>
      <c r="AJ216" s="31"/>
      <c r="AK216" s="31"/>
      <c r="AL216" s="31"/>
      <c r="AM216" s="31"/>
      <c r="AN216" s="31"/>
      <c r="AO216" s="31"/>
      <c r="AP216" s="32"/>
      <c r="AQ216" s="32"/>
    </row>
    <row r="217" spans="1:43" ht="58.5" customHeight="1">
      <c r="A217" s="10">
        <f>DATA!A201</f>
        <v>146</v>
      </c>
      <c r="B217" s="10">
        <f>DATA!B201</f>
        <v>0</v>
      </c>
      <c r="C217" s="10" t="str">
        <f>DATA!D201</f>
        <v>NON-INFRASTRUKTUR</v>
      </c>
      <c r="D217" s="10">
        <f>DATA!E201</f>
        <v>15</v>
      </c>
      <c r="E217" s="10" t="str">
        <f>DATA!F201</f>
        <v>Kementerian Kelautan dan Perikanan</v>
      </c>
      <c r="F217" s="10" t="str">
        <f>DATA!H201</f>
        <v>Improvement of Fisheries Facilities Program</v>
      </c>
      <c r="G217" s="10" t="str">
        <f>DATA!I201</f>
        <v>A</v>
      </c>
      <c r="H217" s="10" t="str">
        <f>DATA!J201</f>
        <v>Program Peningkatan Fasilitas Perikanan</v>
      </c>
      <c r="I217" s="10">
        <f>DATA!K201</f>
        <v>1</v>
      </c>
      <c r="J217" s="33"/>
      <c r="K217" s="20"/>
      <c r="L217" s="20"/>
      <c r="M217" s="36">
        <f>DATA!K201</f>
        <v>1</v>
      </c>
      <c r="N217" s="37" t="str">
        <f>DATA!L201</f>
        <v xml:space="preserve">Outer Ring Fishing Ports Development - Phase I </v>
      </c>
      <c r="O217" s="20">
        <f>DATA!Q201</f>
        <v>1</v>
      </c>
      <c r="P217" s="20">
        <f>DATA!R201</f>
        <v>1</v>
      </c>
      <c r="Q217" s="20">
        <f>DATA!S201</f>
        <v>114</v>
      </c>
      <c r="R217" s="77">
        <f>DATA!T201</f>
        <v>107000000</v>
      </c>
      <c r="S217" s="88">
        <f>DATA!U201</f>
        <v>107000000</v>
      </c>
      <c r="T217" s="77">
        <f>DATA!V201</f>
        <v>4261000</v>
      </c>
      <c r="U217" s="77">
        <f>DATA!W201</f>
        <v>2160000</v>
      </c>
      <c r="V217" s="77">
        <f>DATA!X201</f>
        <v>113421000</v>
      </c>
      <c r="W217" s="78" t="str">
        <f>DATA!Y201</f>
        <v>-</v>
      </c>
      <c r="X217" s="20" t="str">
        <f>DATA!Z201</f>
        <v>-</v>
      </c>
      <c r="Y217" s="77">
        <f>DATA!AA201</f>
        <v>107000000</v>
      </c>
      <c r="Z217" s="77">
        <f>DATA!AG201</f>
        <v>-107000000</v>
      </c>
      <c r="AA217" s="20" t="str">
        <f>DATA!AH201</f>
        <v>Tanpa keterangan</v>
      </c>
      <c r="AB217" s="37" t="str">
        <f>DATA!AI201</f>
        <v>-</v>
      </c>
      <c r="AC217" s="152">
        <f>DATA!AM201</f>
        <v>0</v>
      </c>
      <c r="AD217" s="152" t="str">
        <f>DATA!AN201</f>
        <v>dalam proses
(memiliki FS)</v>
      </c>
      <c r="AE217" s="152" t="str">
        <f>DATA!AO201</f>
        <v>belum ada keterangan</v>
      </c>
      <c r="AF217" s="37" t="str">
        <f>DATA!AJ201</f>
        <v>sudah ada RC</v>
      </c>
      <c r="AG217" s="37" t="str">
        <f>DATA!AK201</f>
        <v>-</v>
      </c>
      <c r="AH217" s="37" t="str">
        <f>DATA!AL201</f>
        <v>-</v>
      </c>
      <c r="AI217" s="20">
        <f>DATA!AM201</f>
        <v>0</v>
      </c>
      <c r="AJ217" s="20" t="str">
        <f>DATA!AN201</f>
        <v>dalam proses
(memiliki FS)</v>
      </c>
      <c r="AK217" s="20" t="str">
        <f>DATA!AO201</f>
        <v>belum ada keterangan</v>
      </c>
      <c r="AL217" s="20" t="str">
        <f>DATA!AP201</f>
        <v>belum ada proses tender/lelang</v>
      </c>
      <c r="AM217" s="20" t="str">
        <f>DATA!AY201</f>
        <v>- berdasarkan data/dokumen pada Bluebook sebelumnya. Semula indikasi lender Prancis, kemudian Kem. KKP mengkonfirmasikan bahwa belum ada indikasi lender
- Belum ada konfirmasi</v>
      </c>
      <c r="AN217" s="20" t="e">
        <f>DATA!#REF!</f>
        <v>#REF!</v>
      </c>
      <c r="AO217" s="20">
        <f>DATA!AZ201</f>
        <v>0</v>
      </c>
      <c r="AP217" s="152" t="e">
        <f>DATA!#REF!</f>
        <v>#REF!</v>
      </c>
      <c r="AQ217" s="37" t="str">
        <f>DATA!BA201</f>
        <v>Pekerjaan pembangunan dan peningkatan fasilitas pelabuhan perikanan serta pelatihan dan pendidikan SDM di 8 lokasi prioritas yang memiliki standar pelayanan berskala internasional</v>
      </c>
    </row>
    <row r="218" spans="1:43" s="4" customFormat="1" ht="24.95" customHeight="1">
      <c r="J218" s="107"/>
      <c r="K218" s="25">
        <f>DATA!E206</f>
        <v>16</v>
      </c>
      <c r="L218" s="108" t="str">
        <f>DATA!F206</f>
        <v>Badan Meteorologi, Klimatologi dan Geofisika (BMKG)</v>
      </c>
      <c r="M218" s="25"/>
      <c r="N218" s="27"/>
      <c r="O218" s="26"/>
      <c r="P218" s="26"/>
      <c r="Q218" s="26"/>
      <c r="R218" s="80">
        <f>+R219</f>
        <v>150000000</v>
      </c>
      <c r="S218" s="80">
        <f>+S219</f>
        <v>150000000</v>
      </c>
      <c r="T218" s="80">
        <f t="shared" ref="T218:Z218" si="39">+T219</f>
        <v>9000000</v>
      </c>
      <c r="U218" s="80">
        <f t="shared" si="39"/>
        <v>0</v>
      </c>
      <c r="V218" s="80">
        <f t="shared" si="39"/>
        <v>159000000</v>
      </c>
      <c r="W218" s="80">
        <f t="shared" si="39"/>
        <v>0</v>
      </c>
      <c r="X218" s="80">
        <f t="shared" si="39"/>
        <v>0</v>
      </c>
      <c r="Y218" s="80">
        <f t="shared" si="39"/>
        <v>150000000</v>
      </c>
      <c r="Z218" s="80">
        <f t="shared" si="39"/>
        <v>0</v>
      </c>
      <c r="AA218" s="26"/>
      <c r="AB218" s="27"/>
      <c r="AC218" s="27"/>
      <c r="AD218" s="27"/>
      <c r="AE218" s="27"/>
      <c r="AF218" s="27"/>
      <c r="AG218" s="27"/>
      <c r="AH218" s="27"/>
      <c r="AI218" s="26"/>
      <c r="AJ218" s="26"/>
      <c r="AK218" s="26"/>
      <c r="AL218" s="26"/>
      <c r="AM218" s="26"/>
      <c r="AN218" s="26"/>
      <c r="AO218" s="26"/>
      <c r="AP218" s="27"/>
      <c r="AQ218" s="27"/>
    </row>
    <row r="219" spans="1:43" s="5" customFormat="1" ht="33.75" customHeight="1">
      <c r="J219" s="28"/>
      <c r="K219" s="29"/>
      <c r="L219" s="30" t="str">
        <f>DATA!I206</f>
        <v>A</v>
      </c>
      <c r="M219" s="31" t="str">
        <f>DATA!J206</f>
        <v>Program Pengembangan dan Pembinaan Meteorologi, Klimatologi, dan Geofisika</v>
      </c>
      <c r="N219" s="51"/>
      <c r="O219" s="31"/>
      <c r="P219" s="31"/>
      <c r="Q219" s="31"/>
      <c r="R219" s="81">
        <f>+R220</f>
        <v>150000000</v>
      </c>
      <c r="S219" s="81">
        <f>+S220</f>
        <v>150000000</v>
      </c>
      <c r="T219" s="81">
        <f>+T220</f>
        <v>9000000</v>
      </c>
      <c r="U219" s="81">
        <f>+U220</f>
        <v>0</v>
      </c>
      <c r="V219" s="81">
        <f>+V220</f>
        <v>159000000</v>
      </c>
      <c r="W219" s="82"/>
      <c r="X219" s="31"/>
      <c r="Y219" s="81">
        <f>+Y220</f>
        <v>150000000</v>
      </c>
      <c r="Z219" s="81">
        <f>+Z220</f>
        <v>0</v>
      </c>
      <c r="AA219" s="31"/>
      <c r="AB219" s="32"/>
      <c r="AC219" s="32"/>
      <c r="AD219" s="32"/>
      <c r="AE219" s="32"/>
      <c r="AF219" s="32"/>
      <c r="AG219" s="32"/>
      <c r="AH219" s="32"/>
      <c r="AI219" s="31"/>
      <c r="AJ219" s="31"/>
      <c r="AK219" s="31"/>
      <c r="AL219" s="31"/>
      <c r="AM219" s="31"/>
      <c r="AN219" s="31"/>
      <c r="AO219" s="31"/>
      <c r="AP219" s="32"/>
      <c r="AQ219" s="32"/>
    </row>
    <row r="220" spans="1:43" ht="102">
      <c r="A220" s="10">
        <f>DATA!A206</f>
        <v>147</v>
      </c>
      <c r="B220" s="10">
        <f>DATA!B206</f>
        <v>0</v>
      </c>
      <c r="C220" s="10" t="str">
        <f>DATA!D206</f>
        <v>NON-INFRASTRUKTUR</v>
      </c>
      <c r="D220" s="10">
        <f>DATA!E206</f>
        <v>16</v>
      </c>
      <c r="E220" s="10" t="str">
        <f>DATA!F206</f>
        <v>Badan Meteorologi, Klimatologi dan Geofisika (BMKG)</v>
      </c>
      <c r="F220" s="10" t="str">
        <f>DATA!H206</f>
        <v>Program for Capacity Development and Guidance of Meteorology, Climatology, and Geophysics</v>
      </c>
      <c r="G220" s="10" t="str">
        <f>DATA!I206</f>
        <v>A</v>
      </c>
      <c r="H220" s="10" t="str">
        <f>DATA!J206</f>
        <v>Program Pengembangan dan Pembinaan Meteorologi, Klimatologi, dan Geofisika</v>
      </c>
      <c r="I220" s="10">
        <f>DATA!K206</f>
        <v>1</v>
      </c>
      <c r="J220" s="33"/>
      <c r="K220" s="54"/>
      <c r="L220" s="36"/>
      <c r="M220" s="36">
        <f>DATA!K206</f>
        <v>1</v>
      </c>
      <c r="N220" s="37" t="str">
        <f>DATA!L206</f>
        <v xml:space="preserve">Strengthening Climate and Weather Service Capacity – Phase II:
a) Kegiatan lanjutan dari kegiatan Strengthening BMKG Climate and Weather Services Capacity Phase I
b) Kegiatan pengembangan sistem Layanan Informasi Meteorologi Maritim </v>
      </c>
      <c r="O220" s="20">
        <f>DATA!Q206</f>
        <v>1</v>
      </c>
      <c r="P220" s="20">
        <f>DATA!R206</f>
        <v>1</v>
      </c>
      <c r="Q220" s="20">
        <f>DATA!S206</f>
        <v>115</v>
      </c>
      <c r="R220" s="77">
        <f>DATA!T206</f>
        <v>150000000</v>
      </c>
      <c r="S220" s="88">
        <f>DATA!U206</f>
        <v>150000000</v>
      </c>
      <c r="T220" s="77">
        <f>DATA!V206</f>
        <v>9000000</v>
      </c>
      <c r="U220" s="77">
        <f>DATA!W206</f>
        <v>0</v>
      </c>
      <c r="V220" s="77">
        <f>DATA!X206</f>
        <v>159000000</v>
      </c>
      <c r="W220" s="78" t="str">
        <f>DATA!Y206</f>
        <v>US EXIM</v>
      </c>
      <c r="X220" s="20" t="str">
        <f>DATA!Z206</f>
        <v>Bilateral</v>
      </c>
      <c r="Y220" s="77">
        <f>DATA!AA206</f>
        <v>150000000</v>
      </c>
      <c r="Z220" s="77">
        <f>DATA!AG206</f>
        <v>0</v>
      </c>
      <c r="AA220" s="20" t="str">
        <f>DATA!AH206</f>
        <v>Tanpa keterangan</v>
      </c>
      <c r="AB220" s="37" t="str">
        <f>DATA!AI206</f>
        <v>a) Siap
b) -</v>
      </c>
      <c r="AC220" s="152">
        <f>DATA!AM206</f>
        <v>0</v>
      </c>
      <c r="AD220" s="152" t="str">
        <f>DATA!AN206</f>
        <v>dalam proses
(penyusunan FS)</v>
      </c>
      <c r="AE220" s="152" t="str">
        <f>DATA!AO206</f>
        <v>siap</v>
      </c>
      <c r="AF220" s="37" t="str">
        <f>DATA!AJ206</f>
        <v>a) Siap
b) -</v>
      </c>
      <c r="AG220" s="37" t="str">
        <f>DATA!AK206</f>
        <v>a) Siap
b) Siap</v>
      </c>
      <c r="AH220" s="37" t="str">
        <f>DATA!AL206</f>
        <v>a) -
b) -</v>
      </c>
      <c r="AI220" s="20">
        <f>DATA!AM206</f>
        <v>0</v>
      </c>
      <c r="AJ220" s="20" t="str">
        <f>DATA!AN206</f>
        <v>dalam proses
(penyusunan FS)</v>
      </c>
      <c r="AK220" s="20" t="str">
        <f>DATA!AO206</f>
        <v>siap</v>
      </c>
      <c r="AL220" s="20" t="str">
        <f>DATA!AP206</f>
        <v>belum ada proses tender/lelang</v>
      </c>
      <c r="AM220" s="20" t="str">
        <f>DATA!AY206</f>
        <v>- Terintegrasi dengan sarana dan sistem hasil kegiatan fase 1 yang sudah terbangun sebelumnya
- Surat Kepala BMKG nomor KU.205/003/KB/IX/2015 tanggal 8 September 2015</v>
      </c>
      <c r="AN220" s="20" t="e">
        <f>DATA!#REF!</f>
        <v>#REF!</v>
      </c>
      <c r="AO220" s="20">
        <f>DATA!AZ206</f>
        <v>0</v>
      </c>
      <c r="AP220" s="152" t="e">
        <f>DATA!#REF!</f>
        <v>#REF!</v>
      </c>
      <c r="AQ220" s="37"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row>
    <row r="221" spans="1:43" s="4" customFormat="1" ht="24.95" customHeight="1">
      <c r="J221" s="107"/>
      <c r="K221" s="25">
        <f>DATA!E207</f>
        <v>17</v>
      </c>
      <c r="L221" s="108" t="str">
        <f>DATA!F207</f>
        <v>Badan Pengkajian dan Penerapan Teknologi (BPPT)</v>
      </c>
      <c r="M221" s="25"/>
      <c r="N221" s="27"/>
      <c r="O221" s="26"/>
      <c r="P221" s="26"/>
      <c r="Q221" s="26"/>
      <c r="R221" s="80">
        <f>+R222</f>
        <v>114400000</v>
      </c>
      <c r="S221" s="80">
        <f>+S222</f>
        <v>114400000</v>
      </c>
      <c r="T221" s="80">
        <f>+T222</f>
        <v>17200000</v>
      </c>
      <c r="U221" s="80">
        <f>+U222</f>
        <v>0</v>
      </c>
      <c r="V221" s="80">
        <f>+V222</f>
        <v>131600000</v>
      </c>
      <c r="W221" s="122"/>
      <c r="X221" s="26"/>
      <c r="Y221" s="80">
        <f>+Y222</f>
        <v>114400000</v>
      </c>
      <c r="Z221" s="80">
        <f>+Z222</f>
        <v>0</v>
      </c>
      <c r="AA221" s="26"/>
      <c r="AB221" s="27"/>
      <c r="AC221" s="27"/>
      <c r="AD221" s="27"/>
      <c r="AE221" s="27"/>
      <c r="AF221" s="27"/>
      <c r="AG221" s="27"/>
      <c r="AH221" s="27"/>
      <c r="AI221" s="26"/>
      <c r="AJ221" s="26"/>
      <c r="AK221" s="26"/>
      <c r="AL221" s="26"/>
      <c r="AM221" s="26"/>
      <c r="AN221" s="26"/>
      <c r="AO221" s="26"/>
      <c r="AP221" s="27"/>
      <c r="AQ221" s="27"/>
    </row>
    <row r="222" spans="1:43" s="5" customFormat="1" ht="33.75" customHeight="1">
      <c r="J222" s="28"/>
      <c r="K222" s="29"/>
      <c r="L222" s="30" t="str">
        <f>DATA!I207</f>
        <v>A</v>
      </c>
      <c r="M222" s="31" t="str">
        <f>DATA!J207</f>
        <v>Program Pembangunan Science Park dan Technopark</v>
      </c>
      <c r="N222" s="51"/>
      <c r="O222" s="31"/>
      <c r="P222" s="31"/>
      <c r="Q222" s="31"/>
      <c r="R222" s="81">
        <f>+R223</f>
        <v>114400000</v>
      </c>
      <c r="S222" s="81">
        <f>+S223</f>
        <v>114400000</v>
      </c>
      <c r="T222" s="81">
        <f t="shared" ref="T222:Z222" si="40">+T223</f>
        <v>17200000</v>
      </c>
      <c r="U222" s="81">
        <f t="shared" si="40"/>
        <v>0</v>
      </c>
      <c r="V222" s="81">
        <f t="shared" si="40"/>
        <v>131600000</v>
      </c>
      <c r="W222" s="81"/>
      <c r="X222" s="81" t="str">
        <f t="shared" si="40"/>
        <v>Bilateral</v>
      </c>
      <c r="Y222" s="81">
        <f t="shared" si="40"/>
        <v>114400000</v>
      </c>
      <c r="Z222" s="81">
        <f t="shared" si="40"/>
        <v>0</v>
      </c>
      <c r="AA222" s="31"/>
      <c r="AB222" s="32"/>
      <c r="AC222" s="32"/>
      <c r="AD222" s="32"/>
      <c r="AE222" s="32"/>
      <c r="AF222" s="32"/>
      <c r="AG222" s="32"/>
      <c r="AH222" s="32"/>
      <c r="AI222" s="31"/>
      <c r="AJ222" s="31"/>
      <c r="AK222" s="31"/>
      <c r="AL222" s="31"/>
      <c r="AM222" s="31"/>
      <c r="AN222" s="31"/>
      <c r="AO222" s="31"/>
      <c r="AP222" s="32"/>
      <c r="AQ222" s="32"/>
    </row>
    <row r="223" spans="1:43" ht="91.5" customHeight="1">
      <c r="A223" s="10">
        <f>DATA!A207</f>
        <v>148</v>
      </c>
      <c r="B223" s="10">
        <f>DATA!B207</f>
        <v>0</v>
      </c>
      <c r="C223" s="10" t="str">
        <f>DATA!D207</f>
        <v>NON-INFRASTRUKTUR</v>
      </c>
      <c r="D223" s="10">
        <f>DATA!E207</f>
        <v>17</v>
      </c>
      <c r="E223" s="10" t="str">
        <f>DATA!F207</f>
        <v>Badan Pengkajian dan Penerapan Teknologi (BPPT)</v>
      </c>
      <c r="F223" s="10" t="str">
        <f>DATA!H207</f>
        <v>Science Park and Technopark Development Program</v>
      </c>
      <c r="G223" s="10" t="str">
        <f>DATA!I207</f>
        <v>A</v>
      </c>
      <c r="H223" s="10" t="str">
        <f>DATA!J207</f>
        <v>Program Pembangunan Science Park dan Technopark</v>
      </c>
      <c r="I223" s="10">
        <f>DATA!K207</f>
        <v>1</v>
      </c>
      <c r="J223" s="52"/>
      <c r="K223" s="54"/>
      <c r="L223" s="36"/>
      <c r="M223" s="36">
        <f>DATA!K207</f>
        <v>1</v>
      </c>
      <c r="N223" s="37" t="str">
        <f>DATA!L207</f>
        <v>Development of Maritime National Science and Technology Park (NTSP) in the Northern Penajam Paser and Revitalization Infrastructure Marine Survey</v>
      </c>
      <c r="O223" s="20">
        <f>DATA!Q207</f>
        <v>1</v>
      </c>
      <c r="P223" s="20">
        <f>DATA!R207</f>
        <v>1</v>
      </c>
      <c r="Q223" s="20">
        <f>DATA!S207</f>
        <v>116</v>
      </c>
      <c r="R223" s="77">
        <f>DATA!T207</f>
        <v>114400000</v>
      </c>
      <c r="S223" s="88">
        <f>DATA!U207</f>
        <v>114400000</v>
      </c>
      <c r="T223" s="77">
        <f>DATA!V207</f>
        <v>17200000</v>
      </c>
      <c r="U223" s="77">
        <f>DATA!W207</f>
        <v>0</v>
      </c>
      <c r="V223" s="77">
        <f>DATA!X207</f>
        <v>131600000</v>
      </c>
      <c r="W223" s="78" t="str">
        <f>DATA!Y207</f>
        <v xml:space="preserve">Perancis (AFD)  </v>
      </c>
      <c r="X223" s="20" t="str">
        <f>DATA!Z207</f>
        <v>Bilateral</v>
      </c>
      <c r="Y223" s="77">
        <f>DATA!AA207</f>
        <v>114400000</v>
      </c>
      <c r="Z223" s="77">
        <f>DATA!AG207</f>
        <v>0</v>
      </c>
      <c r="AA223" s="20" t="str">
        <f>DATA!AH207</f>
        <v>Tanpa keterangan</v>
      </c>
      <c r="AB223" s="37" t="str">
        <f>DATA!AI207</f>
        <v xml:space="preserve">  (1) Development of Maritime NTSP: (tidak ada data)
(2) Revitalization Infrastructure Marine Survey: (tidak ada data)  </v>
      </c>
      <c r="AC223" s="152">
        <f>DATA!AM207</f>
        <v>0</v>
      </c>
      <c r="AD223" s="152" t="str">
        <f>DATA!AN207</f>
        <v>dalam proses
(penyusunan FS)</v>
      </c>
      <c r="AE223" s="152" t="str">
        <f>DATA!AO207</f>
        <v>dalam proses
(pelaksanaan)</v>
      </c>
      <c r="AF223" s="37" t="str">
        <f>DATA!AJ207</f>
        <v xml:space="preserve">  (1) Development of Maritime NTSP: Pra-FS
(2) Revitalization Infrastructure Marine Survey: (tidak ada data)  </v>
      </c>
      <c r="AG223" s="37" t="str">
        <f>DATA!AK207</f>
        <v xml:space="preserve">  (1) Development of Maritime NTSP: 20%
(2) Revitalization Infrastructure Marine Survey: tidak memerlukan lahan  </v>
      </c>
      <c r="AH223" s="37" t="str">
        <f>DATA!AL207</f>
        <v xml:space="preserve">  (1) Development of Maritime NTSP: belum ada tender
(2) Revitalization Infrastructure Marine Survey:belum ada tender  </v>
      </c>
      <c r="AI223" s="20">
        <f>DATA!AM207</f>
        <v>0</v>
      </c>
      <c r="AJ223" s="20" t="str">
        <f>DATA!AN207</f>
        <v>dalam proses
(penyusunan FS)</v>
      </c>
      <c r="AK223" s="20" t="str">
        <f>DATA!AO207</f>
        <v>dalam proses
(pelaksanaan)</v>
      </c>
      <c r="AL223" s="20" t="str">
        <f>DATA!AP207</f>
        <v>belum ada proses tender/lelang</v>
      </c>
      <c r="AM223" s="20" t="str">
        <f>DATA!AY207</f>
        <v>- Selain Perancis , pihak BPPT mengkonfirmasikan bahwa Korea berminat untuk menjadi lender pada proyek NSTP Maritim Kab. PPU
- Pelaksanaannya direncanakan tahun 2016 dan tahun 2017
-  Konfirmasi melalui e-mail tanggal 10 Sept 2015</v>
      </c>
      <c r="AN223" s="20" t="e">
        <f>DATA!#REF!</f>
        <v>#REF!</v>
      </c>
      <c r="AO223" s="20">
        <f>DATA!AZ207</f>
        <v>0</v>
      </c>
      <c r="AP223" s="152" t="e">
        <f>DATA!#REF!</f>
        <v>#REF!</v>
      </c>
      <c r="AQ223" s="37" t="str">
        <f>DATA!BA207</f>
        <v>Pembangunan dermaga kapal riset, laboratorium kemaritiman, workshop, dan sarana prasarana penunjang darat lainnya serta Revitalisasi 4 buah kapal riset Baruna Jaya I, II, III, dan IV dan peralatan survei kelautan lainnya</v>
      </c>
    </row>
    <row r="224" spans="1:43" s="3" customFormat="1" ht="30" customHeight="1">
      <c r="J224" s="3363" t="s">
        <v>477</v>
      </c>
      <c r="K224" s="3364"/>
      <c r="L224" s="3364"/>
      <c r="M224" s="3364"/>
      <c r="N224" s="3365"/>
      <c r="O224" s="119"/>
      <c r="P224" s="119"/>
      <c r="Q224" s="119"/>
      <c r="R224" s="123">
        <f>+R8+R161</f>
        <v>39876907800</v>
      </c>
      <c r="S224" s="123">
        <f>+S8+S161</f>
        <v>40173702900</v>
      </c>
      <c r="T224" s="123">
        <f>+T8+T161</f>
        <v>5212917900</v>
      </c>
      <c r="U224" s="123">
        <f>+U8+U161</f>
        <v>19660000</v>
      </c>
      <c r="V224" s="123">
        <f>+V8+V161</f>
        <v>45085941000</v>
      </c>
      <c r="W224" s="123"/>
      <c r="X224" s="123" t="e">
        <f>+X8+X161</f>
        <v>#VALUE!</v>
      </c>
      <c r="Y224" s="123">
        <f>+Y8+Y161</f>
        <v>39686527800</v>
      </c>
      <c r="Z224" s="123">
        <f>+Z8+Z161</f>
        <v>-2146834004</v>
      </c>
      <c r="AA224" s="119"/>
      <c r="AB224" s="125"/>
      <c r="AC224" s="125"/>
      <c r="AD224" s="125"/>
      <c r="AE224" s="125"/>
      <c r="AF224" s="125"/>
      <c r="AG224" s="125"/>
      <c r="AH224" s="125"/>
      <c r="AI224" s="119"/>
      <c r="AJ224" s="119"/>
      <c r="AK224" s="119"/>
      <c r="AL224" s="119"/>
      <c r="AM224" s="119"/>
      <c r="AN224" s="119"/>
      <c r="AO224" s="119"/>
      <c r="AP224" s="125"/>
      <c r="AQ224" s="125"/>
    </row>
  </sheetData>
  <autoFilter ref="A7:AQ224"/>
  <mergeCells count="15">
    <mergeCell ref="J1:AQ1"/>
    <mergeCell ref="J2:AH2"/>
    <mergeCell ref="W5:Y5"/>
    <mergeCell ref="AB5:AH5"/>
    <mergeCell ref="J224:N224"/>
    <mergeCell ref="R5:R6"/>
    <mergeCell ref="S5:S6"/>
    <mergeCell ref="T5:T6"/>
    <mergeCell ref="U5:U6"/>
    <mergeCell ref="V5:V6"/>
    <mergeCell ref="Z5:Z6"/>
    <mergeCell ref="AA5:AA6"/>
    <mergeCell ref="AP5:AP6"/>
    <mergeCell ref="AQ5:AQ6"/>
    <mergeCell ref="J5:N6"/>
  </mergeCells>
  <printOptions horizontalCentered="1"/>
  <pageMargins left="0.39305555555555599" right="0.39305555555555599" top="0.39305555555555599" bottom="0.39305555555555599" header="0.31458333333333299" footer="0.196527777777778"/>
  <pageSetup paperSize="9" scale="45" fitToHeight="0" orientation="landscape"/>
  <headerFooter>
    <oddFooter>&amp;R&amp;"Cambria,Italic"&amp;9&amp;P/&amp;N</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BA211"/>
  <sheetViews>
    <sheetView topLeftCell="J1" zoomScale="64" zoomScaleNormal="64" workbookViewId="0">
      <pane ySplit="8" topLeftCell="A30" activePane="bottomLeft" state="frozen"/>
      <selection pane="bottomLeft" activeCell="R13" sqref="R13"/>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3.42578125" style="10" customWidth="1"/>
    <col min="14" max="14" width="43.7109375" style="12" customWidth="1"/>
    <col min="15" max="17" width="9.140625" style="10" hidden="1" customWidth="1"/>
    <col min="18" max="19" width="21" style="13" customWidth="1"/>
    <col min="20" max="20" width="20.140625" style="13" customWidth="1"/>
    <col min="21" max="21" width="15.85546875" style="13" customWidth="1"/>
    <col min="22" max="22" width="21" style="13" customWidth="1"/>
    <col min="23" max="23" width="20.85546875" style="14" customWidth="1"/>
    <col min="24" max="24" width="1.28515625" style="10" hidden="1" customWidth="1"/>
    <col min="25" max="25" width="21" style="13" customWidth="1"/>
    <col min="26" max="26" width="20.28515625" style="13" hidden="1" customWidth="1"/>
    <col min="27" max="27" width="18.42578125" style="10" customWidth="1"/>
    <col min="28" max="28" width="20.7109375" style="12" customWidth="1"/>
    <col min="29" max="31" width="20.7109375" style="12" hidden="1" customWidth="1"/>
    <col min="32" max="34" width="20.7109375" style="12" customWidth="1"/>
    <col min="35" max="35" width="31.28515625" style="10" hidden="1" customWidth="1"/>
    <col min="36" max="36" width="33.5703125" style="10" hidden="1" customWidth="1"/>
    <col min="37" max="37" width="26.7109375" style="10" hidden="1" customWidth="1"/>
    <col min="38" max="38" width="24" style="10" hidden="1" customWidth="1"/>
    <col min="39" max="39" width="29.28515625" style="10" hidden="1" customWidth="1"/>
    <col min="40" max="40" width="20.140625" style="10" hidden="1" customWidth="1"/>
    <col min="41" max="41" width="22.5703125" style="10" hidden="1" customWidth="1"/>
    <col min="42" max="42" width="22.5703125" style="12" customWidth="1"/>
    <col min="43" max="43" width="45.7109375" style="12" hidden="1" customWidth="1"/>
    <col min="44" max="44" width="16" style="143" customWidth="1"/>
    <col min="45" max="45" width="9.140625" style="10"/>
    <col min="46" max="46" width="11.7109375" style="10" customWidth="1"/>
    <col min="47" max="47" width="18.7109375" style="10" customWidth="1"/>
    <col min="48" max="48" width="12.85546875" style="10" customWidth="1"/>
    <col min="49" max="49" width="16.7109375" style="10" customWidth="1"/>
    <col min="50" max="16384" width="9.140625" style="10"/>
  </cols>
  <sheetData>
    <row r="1" spans="1:52" s="1" customFormat="1" ht="18">
      <c r="J1" s="3356" t="s">
        <v>481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c r="AP1" s="3356"/>
      <c r="AQ1" s="3356"/>
      <c r="AR1" s="154"/>
    </row>
    <row r="2" spans="1:52" s="1" customFormat="1" ht="18">
      <c r="J2" s="3356" t="s">
        <v>491</v>
      </c>
      <c r="K2" s="3356"/>
      <c r="L2" s="3356"/>
      <c r="M2" s="3356"/>
      <c r="N2" s="3356"/>
      <c r="O2" s="3356"/>
      <c r="P2" s="3356"/>
      <c r="Q2" s="3356"/>
      <c r="R2" s="3356"/>
      <c r="S2" s="3356"/>
      <c r="T2" s="3356"/>
      <c r="U2" s="3356"/>
      <c r="V2" s="3356"/>
      <c r="W2" s="3356"/>
      <c r="X2" s="3356"/>
      <c r="Y2" s="3356"/>
      <c r="Z2" s="3356"/>
      <c r="AA2" s="3356"/>
      <c r="AB2" s="3356"/>
      <c r="AC2" s="3356"/>
      <c r="AD2" s="3356"/>
      <c r="AE2" s="3356"/>
      <c r="AF2" s="3356"/>
      <c r="AG2" s="3356"/>
      <c r="AH2" s="3356"/>
      <c r="AI2" s="3356"/>
      <c r="AJ2" s="3356"/>
      <c r="AK2" s="3356"/>
      <c r="AL2" s="3356"/>
      <c r="AM2" s="3356"/>
      <c r="AN2" s="3356"/>
      <c r="AO2" s="3356"/>
      <c r="AP2" s="3356"/>
      <c r="AQ2" s="15"/>
      <c r="AR2" s="154"/>
    </row>
    <row r="3" spans="1:52" s="1" customFormat="1" ht="18">
      <c r="J3" s="3357" t="s">
        <v>482</v>
      </c>
      <c r="K3" s="3358"/>
      <c r="L3" s="3358"/>
      <c r="M3" s="3358"/>
      <c r="N3" s="3358"/>
      <c r="O3" s="3358"/>
      <c r="P3" s="3358"/>
      <c r="Q3" s="3358"/>
      <c r="R3" s="3358"/>
      <c r="S3" s="3358"/>
      <c r="T3" s="3358"/>
      <c r="U3" s="3358"/>
      <c r="V3" s="3358"/>
      <c r="W3" s="3358"/>
      <c r="X3" s="3358"/>
      <c r="Y3" s="3358"/>
      <c r="Z3" s="3358"/>
      <c r="AA3" s="3358"/>
      <c r="AB3" s="3358"/>
      <c r="AC3" s="3358"/>
      <c r="AD3" s="3358"/>
      <c r="AE3" s="3358"/>
      <c r="AF3" s="3358"/>
      <c r="AG3" s="3358"/>
      <c r="AH3" s="3358"/>
      <c r="AI3" s="15"/>
      <c r="AJ3" s="15"/>
      <c r="AK3" s="15"/>
      <c r="AL3" s="15"/>
      <c r="AM3" s="15"/>
      <c r="AN3" s="15"/>
      <c r="AO3" s="15"/>
      <c r="AP3" s="146"/>
      <c r="AQ3" s="15"/>
      <c r="AR3" s="154"/>
    </row>
    <row r="4" spans="1:52" s="1" customFormat="1" ht="15.75" customHeight="1">
      <c r="J4" s="15"/>
      <c r="K4" s="15"/>
      <c r="L4" s="15"/>
      <c r="M4" s="15"/>
      <c r="N4" s="15"/>
      <c r="O4" s="15"/>
      <c r="P4" s="15"/>
      <c r="Q4" s="15"/>
      <c r="R4" s="73"/>
      <c r="S4" s="73"/>
      <c r="T4" s="73"/>
      <c r="U4" s="73"/>
      <c r="V4" s="73"/>
      <c r="W4" s="146"/>
      <c r="X4" s="15"/>
      <c r="Y4" s="15"/>
      <c r="Z4" s="73"/>
      <c r="AA4" s="15"/>
      <c r="AB4" s="15"/>
      <c r="AC4" s="15"/>
      <c r="AD4" s="15"/>
      <c r="AE4" s="15"/>
      <c r="AF4" s="15"/>
      <c r="AG4" s="15"/>
      <c r="AH4" s="94"/>
      <c r="AI4" s="15"/>
      <c r="AJ4" s="15"/>
      <c r="AK4" s="15"/>
      <c r="AL4" s="15"/>
      <c r="AM4" s="15"/>
      <c r="AN4" s="15"/>
      <c r="AO4" s="15"/>
      <c r="AP4" s="94" t="s">
        <v>483</v>
      </c>
      <c r="AQ4" s="15"/>
      <c r="AR4" s="154"/>
    </row>
    <row r="5" spans="1:52">
      <c r="AQ5" s="106" t="s">
        <v>483</v>
      </c>
      <c r="AR5" s="155"/>
    </row>
    <row r="6" spans="1:52" s="2" customFormat="1" ht="24.95" customHeight="1">
      <c r="J6" s="3359" t="s">
        <v>484</v>
      </c>
      <c r="K6" s="3359"/>
      <c r="L6" s="3359"/>
      <c r="M6" s="3359"/>
      <c r="N6" s="3359"/>
      <c r="O6" s="16"/>
      <c r="P6" s="16"/>
      <c r="Q6" s="16"/>
      <c r="R6" s="3366" t="s">
        <v>493</v>
      </c>
      <c r="S6" s="3368" t="s">
        <v>1455</v>
      </c>
      <c r="T6" s="3366" t="s">
        <v>487</v>
      </c>
      <c r="U6" s="3366" t="s">
        <v>488</v>
      </c>
      <c r="V6" s="3366" t="s">
        <v>477</v>
      </c>
      <c r="W6" s="3359" t="s">
        <v>7</v>
      </c>
      <c r="X6" s="3359"/>
      <c r="Y6" s="3359"/>
      <c r="Z6" s="3368" t="s">
        <v>489</v>
      </c>
      <c r="AA6" s="3370" t="s">
        <v>490</v>
      </c>
      <c r="AB6" s="3360" t="s">
        <v>9</v>
      </c>
      <c r="AC6" s="3361"/>
      <c r="AD6" s="3361"/>
      <c r="AE6" s="3361"/>
      <c r="AF6" s="3361"/>
      <c r="AG6" s="3361"/>
      <c r="AH6" s="3362"/>
      <c r="AI6" s="16"/>
      <c r="AJ6" s="16"/>
      <c r="AK6" s="16"/>
      <c r="AL6" s="16"/>
      <c r="AM6" s="16"/>
      <c r="AN6" s="16"/>
      <c r="AO6" s="16"/>
      <c r="AP6" s="3370" t="s">
        <v>491</v>
      </c>
      <c r="AQ6" s="3370" t="s">
        <v>492</v>
      </c>
      <c r="AR6" s="156"/>
    </row>
    <row r="7" spans="1:52" s="2" customFormat="1" ht="24.95" customHeight="1">
      <c r="J7" s="3359"/>
      <c r="K7" s="3359"/>
      <c r="L7" s="3359"/>
      <c r="M7" s="3359"/>
      <c r="N7" s="3359"/>
      <c r="O7" s="16"/>
      <c r="P7" s="16"/>
      <c r="Q7" s="16"/>
      <c r="R7" s="3367"/>
      <c r="S7" s="3369"/>
      <c r="T7" s="3367"/>
      <c r="U7" s="3367"/>
      <c r="V7" s="3367"/>
      <c r="W7" s="76" t="s">
        <v>11</v>
      </c>
      <c r="X7" s="16"/>
      <c r="Y7" s="75" t="s">
        <v>493</v>
      </c>
      <c r="Z7" s="3369"/>
      <c r="AA7" s="3371"/>
      <c r="AB7" s="95" t="s">
        <v>13</v>
      </c>
      <c r="AC7" s="95" t="s">
        <v>494</v>
      </c>
      <c r="AD7" s="95" t="s">
        <v>495</v>
      </c>
      <c r="AE7" s="95" t="s">
        <v>496</v>
      </c>
      <c r="AF7" s="95" t="s">
        <v>14</v>
      </c>
      <c r="AG7" s="95" t="s">
        <v>15</v>
      </c>
      <c r="AH7" s="95" t="s">
        <v>16</v>
      </c>
      <c r="AI7" s="16"/>
      <c r="AJ7" s="16"/>
      <c r="AK7" s="16"/>
      <c r="AL7" s="16"/>
      <c r="AM7" s="16"/>
      <c r="AN7" s="16"/>
      <c r="AO7" s="16"/>
      <c r="AP7" s="3371"/>
      <c r="AQ7" s="3371"/>
      <c r="AR7" s="156"/>
    </row>
    <row r="8" spans="1:52">
      <c r="J8" s="17"/>
      <c r="K8" s="18"/>
      <c r="L8" s="18"/>
      <c r="M8" s="18"/>
      <c r="N8" s="19"/>
      <c r="O8" s="20"/>
      <c r="P8" s="20"/>
      <c r="Q8" s="20"/>
      <c r="R8" s="77"/>
      <c r="S8" s="77"/>
      <c r="T8" s="77"/>
      <c r="U8" s="77"/>
      <c r="V8" s="77"/>
      <c r="W8" s="78"/>
      <c r="X8" s="20" t="str">
        <f>BB[[#Headers],[BILA-MULTI]]</f>
        <v>BILA-MULTI</v>
      </c>
      <c r="Y8" s="77"/>
      <c r="Z8" s="77"/>
      <c r="AA8" s="20"/>
      <c r="AB8" s="37"/>
      <c r="AC8" s="37"/>
      <c r="AD8" s="37"/>
      <c r="AE8" s="37"/>
      <c r="AF8" s="37"/>
      <c r="AG8" s="37"/>
      <c r="AH8" s="37"/>
      <c r="AI8" s="20" t="s">
        <v>497</v>
      </c>
      <c r="AJ8" s="20" t="s">
        <v>498</v>
      </c>
      <c r="AK8" s="20" t="s">
        <v>499</v>
      </c>
      <c r="AL8" s="20" t="s">
        <v>500</v>
      </c>
      <c r="AM8" s="20" t="s">
        <v>10</v>
      </c>
      <c r="AN8" s="20" t="s">
        <v>501</v>
      </c>
      <c r="AO8" s="20" t="s">
        <v>502</v>
      </c>
      <c r="AP8" s="37"/>
      <c r="AQ8" s="37"/>
      <c r="AR8" s="157" t="s">
        <v>1456</v>
      </c>
      <c r="AS8" s="10" t="s">
        <v>1457</v>
      </c>
      <c r="AT8" s="10" t="s">
        <v>1458</v>
      </c>
      <c r="AU8" s="10" t="s">
        <v>1459</v>
      </c>
      <c r="AV8" s="10" t="s">
        <v>1460</v>
      </c>
      <c r="AW8" s="10" t="s">
        <v>1461</v>
      </c>
      <c r="AX8" s="10" t="s">
        <v>27</v>
      </c>
      <c r="AY8" s="10" t="s">
        <v>1462</v>
      </c>
      <c r="AZ8" s="10" t="s">
        <v>1463</v>
      </c>
    </row>
    <row r="9" spans="1:52" s="3" customFormat="1" ht="30" customHeight="1">
      <c r="A9" s="3" t="s">
        <v>21</v>
      </c>
      <c r="B9" s="3" t="s">
        <v>21</v>
      </c>
      <c r="C9" s="3" t="s">
        <v>21</v>
      </c>
      <c r="D9" s="3" t="s">
        <v>21</v>
      </c>
      <c r="E9" s="3" t="s">
        <v>21</v>
      </c>
      <c r="F9" s="3" t="s">
        <v>21</v>
      </c>
      <c r="G9" s="3" t="s">
        <v>21</v>
      </c>
      <c r="H9" s="3" t="s">
        <v>21</v>
      </c>
      <c r="I9" s="3" t="s">
        <v>21</v>
      </c>
      <c r="J9" s="21" t="str">
        <f>DATA!B2</f>
        <v>I</v>
      </c>
      <c r="K9" s="22" t="str">
        <f>DATA!D2</f>
        <v>INFRASTRUKTUR</v>
      </c>
      <c r="L9" s="22"/>
      <c r="M9" s="22"/>
      <c r="N9" s="23"/>
      <c r="O9" s="22"/>
      <c r="P9" s="22"/>
      <c r="Q9" s="22"/>
      <c r="R9" s="79" t="e">
        <f>+R10+R107+R110+R118+R121+R126+R129</f>
        <v>#REF!</v>
      </c>
      <c r="S9" s="79"/>
      <c r="T9" s="79" t="e">
        <f>+T10+T107+T110+T118+T121+T126+T129</f>
        <v>#REF!</v>
      </c>
      <c r="U9" s="79" t="e">
        <f>+U10+U107+U110+U118+U121+U126+U129</f>
        <v>#REF!</v>
      </c>
      <c r="V9" s="79" t="e">
        <f>+V10+V107+V110+V118+V121+V126+V129</f>
        <v>#REF!</v>
      </c>
      <c r="W9" s="147"/>
      <c r="X9" s="79" t="e">
        <f>+X10+X107+X110+X118+X121+X126+X129</f>
        <v>#REF!</v>
      </c>
      <c r="Y9" s="79" t="e">
        <f>+Y10+Y107+Y110+Y118+Y121+Y126+Y129</f>
        <v>#REF!</v>
      </c>
      <c r="Z9" s="79" t="e">
        <f>+Z10+Z107+Z110+Z118+Z121+Z126+Z129</f>
        <v>#REF!</v>
      </c>
      <c r="AA9" s="22"/>
      <c r="AB9" s="23"/>
      <c r="AC9" s="23"/>
      <c r="AD9" s="23"/>
      <c r="AE9" s="23"/>
      <c r="AF9" s="23"/>
      <c r="AG9" s="23"/>
      <c r="AH9" s="23"/>
      <c r="AI9" s="22"/>
      <c r="AJ9" s="22"/>
      <c r="AK9" s="22"/>
      <c r="AL9" s="22"/>
      <c r="AM9" s="22"/>
      <c r="AN9" s="22"/>
      <c r="AO9" s="22"/>
      <c r="AP9" s="23"/>
      <c r="AQ9" s="23"/>
      <c r="AR9" s="158"/>
    </row>
    <row r="10" spans="1:52" s="4" customFormat="1" ht="24.95" customHeight="1">
      <c r="J10" s="24"/>
      <c r="K10" s="25">
        <f>DATA!E2</f>
        <v>1</v>
      </c>
      <c r="L10" s="26" t="str">
        <f>DATA!F2</f>
        <v>Kementerian Pekerjaan Umum dan Perumahan Rakyat</v>
      </c>
      <c r="M10" s="26"/>
      <c r="N10" s="27"/>
      <c r="O10" s="26"/>
      <c r="P10" s="26"/>
      <c r="Q10" s="26"/>
      <c r="R10" s="80" t="e">
        <f>+#REF!+R11+R15+R21+R35+R48+R51+R58+R72+R76+R91+R101+R105</f>
        <v>#REF!</v>
      </c>
      <c r="S10" s="80"/>
      <c r="T10" s="80" t="e">
        <f>+#REF!+T11+T15+T21+T35+T48+T51+T58+T72+T76+T91+T101+T105</f>
        <v>#REF!</v>
      </c>
      <c r="U10" s="80" t="e">
        <f>+#REF!+U11+U15+U21+U35+U48+U51+U58+U72+U76+U91+U101+U105</f>
        <v>#REF!</v>
      </c>
      <c r="V10" s="80" t="e">
        <f>+#REF!+V11+V15+V21+V35+V48+V51+V58+V72+V76+V91+V101+V105</f>
        <v>#REF!</v>
      </c>
      <c r="W10" s="148"/>
      <c r="X10" s="80" t="e">
        <f>+#REF!+X11+X15+X21+X35+X48+X51+X58+X72+X76+X91+X101+X105</f>
        <v>#REF!</v>
      </c>
      <c r="Y10" s="80" t="e">
        <f>+#REF!+Y11+Y15+Y21+Y35+Y48+Y51+Y58+Y72+Y76+Y91+Y101+Y105</f>
        <v>#REF!</v>
      </c>
      <c r="Z10" s="80" t="e">
        <f>+#REF!+Z11+Z15+Z21+Z35+Z48+Z51+Z58+Z72+Z76+Z91+Z101+Z105</f>
        <v>#REF!</v>
      </c>
      <c r="AA10" s="26"/>
      <c r="AB10" s="27"/>
      <c r="AC10" s="27"/>
      <c r="AD10" s="27"/>
      <c r="AE10" s="27"/>
      <c r="AF10" s="27"/>
      <c r="AG10" s="27"/>
      <c r="AH10" s="27"/>
      <c r="AI10" s="26"/>
      <c r="AJ10" s="26"/>
      <c r="AK10" s="26"/>
      <c r="AL10" s="26"/>
      <c r="AM10" s="26"/>
      <c r="AN10" s="26"/>
      <c r="AO10" s="26"/>
      <c r="AP10" s="27"/>
      <c r="AQ10" s="27"/>
      <c r="AR10" s="159"/>
    </row>
    <row r="11" spans="1:52" s="5" customFormat="1" ht="33.75" customHeight="1">
      <c r="J11" s="28"/>
      <c r="K11" s="50"/>
      <c r="L11" s="30" t="str">
        <f>DATA!I10</f>
        <v>B</v>
      </c>
      <c r="M11" s="31" t="str">
        <f>DATA!J10</f>
        <v xml:space="preserve">Program Pembangunan / Peningkatan Jembatan </v>
      </c>
      <c r="N11" s="51"/>
      <c r="O11" s="31"/>
      <c r="P11" s="31"/>
      <c r="Q11" s="31"/>
      <c r="R11" s="81">
        <f>SUM(R12:R14)</f>
        <v>980000000</v>
      </c>
      <c r="S11" s="81"/>
      <c r="T11" s="81">
        <f>SUM(T12:T14)</f>
        <v>26500000</v>
      </c>
      <c r="U11" s="81">
        <f>SUM(U12:U14)</f>
        <v>0</v>
      </c>
      <c r="V11" s="81">
        <f>SUM(V12:V14)</f>
        <v>1006500000</v>
      </c>
      <c r="W11" s="149"/>
      <c r="X11" s="81">
        <f>SUM(X12:X14)</f>
        <v>0</v>
      </c>
      <c r="Y11" s="81">
        <f>SUM(Y12:Y14)</f>
        <v>980000000</v>
      </c>
      <c r="Z11" s="81">
        <f>SUM(Z12:Z14)</f>
        <v>0</v>
      </c>
      <c r="AA11" s="31"/>
      <c r="AB11" s="32"/>
      <c r="AC11" s="32"/>
      <c r="AD11" s="32"/>
      <c r="AE11" s="32"/>
      <c r="AF11" s="32"/>
      <c r="AG11" s="32"/>
      <c r="AH11" s="32"/>
      <c r="AI11" s="31"/>
      <c r="AJ11" s="31"/>
      <c r="AK11" s="31"/>
      <c r="AL11" s="31"/>
      <c r="AM11" s="31"/>
      <c r="AN11" s="31"/>
      <c r="AO11" s="31"/>
      <c r="AP11" s="32"/>
      <c r="AQ11" s="32"/>
      <c r="AR11" s="160"/>
    </row>
    <row r="12" spans="1:52" s="8" customFormat="1" ht="45" customHeight="1">
      <c r="A12" s="10">
        <f>DATA!A10</f>
        <v>8</v>
      </c>
      <c r="B12" s="10">
        <f>DATA!B10</f>
        <v>0</v>
      </c>
      <c r="C12" s="10" t="str">
        <f>DATA!D10</f>
        <v>INFRASTRUKTUR</v>
      </c>
      <c r="D12" s="10">
        <f>DATA!E10</f>
        <v>1</v>
      </c>
      <c r="E12" s="10" t="str">
        <f>DATA!F10</f>
        <v>Kementerian Pekerjaan Umum dan Perumahan Rakyat</v>
      </c>
      <c r="F12" s="10" t="str">
        <f>DATA!H10</f>
        <v>Development and Improvement of National Bridges Program</v>
      </c>
      <c r="G12" s="10" t="str">
        <f>DATA!I10</f>
        <v>B</v>
      </c>
      <c r="H12" s="10" t="str">
        <f>DATA!J10</f>
        <v xml:space="preserve">Program Pembangunan / Peningkatan Jembatan </v>
      </c>
      <c r="I12" s="10">
        <f>DATA!K10</f>
        <v>1</v>
      </c>
      <c r="J12" s="57"/>
      <c r="K12" s="58"/>
      <c r="L12" s="59"/>
      <c r="M12" s="144">
        <f>DATA!K10</f>
        <v>1</v>
      </c>
      <c r="N12" s="145" t="str">
        <f>DATA!L10</f>
        <v>Material Procurement for Construction and Bridge Rehabilitation</v>
      </c>
      <c r="O12" s="20">
        <f>DATA!Q10</f>
        <v>1</v>
      </c>
      <c r="P12" s="20">
        <f>DATA!R10</f>
        <v>1</v>
      </c>
      <c r="Q12" s="20">
        <f>DATA!S10</f>
        <v>6</v>
      </c>
      <c r="R12" s="89">
        <f>DATA!T10</f>
        <v>450000000</v>
      </c>
      <c r="S12" s="85">
        <f>DATA!U10</f>
        <v>450000000</v>
      </c>
      <c r="T12" s="89">
        <f>DATA!V10</f>
        <v>0</v>
      </c>
      <c r="U12" s="89">
        <f>DATA!W10</f>
        <v>0</v>
      </c>
      <c r="V12" s="89">
        <f>DATA!X10</f>
        <v>450000000</v>
      </c>
      <c r="W12" s="90" t="str">
        <f>DATA!Y10</f>
        <v>Spanyol/RRT</v>
      </c>
      <c r="X12" s="20" t="str">
        <f>DATA!Z10</f>
        <v>Multi Lender</v>
      </c>
      <c r="Y12" s="89">
        <f>DATA!AA10</f>
        <v>450000000</v>
      </c>
      <c r="Z12" s="77">
        <f>DATA!AG10</f>
        <v>0</v>
      </c>
      <c r="AA12" s="103">
        <f>DATA!AH10</f>
        <v>2017</v>
      </c>
      <c r="AB12" s="61" t="str">
        <f>DATA!AI10</f>
        <v>-</v>
      </c>
      <c r="AC12" s="152" t="str">
        <f>DATA!AR10</f>
        <v>belum ada dokumen R/C</v>
      </c>
      <c r="AD12" s="152" t="str">
        <f>DATA!AN10</f>
        <v>belum ada keterangan</v>
      </c>
      <c r="AE12" s="152" t="str">
        <f>DATA!AO10</f>
        <v>belum ada keterangan</v>
      </c>
      <c r="AF12" s="61" t="str">
        <f>DATA!AJ10</f>
        <v>-</v>
      </c>
      <c r="AG12" s="61" t="str">
        <f>DATA!AK10</f>
        <v>-</v>
      </c>
      <c r="AH12" s="61" t="str">
        <f>DATA!AL10</f>
        <v>-</v>
      </c>
      <c r="AI12" s="20" t="str">
        <f>DATA!AR10</f>
        <v>belum ada dokumen R/C</v>
      </c>
      <c r="AJ12" s="20" t="str">
        <f>DATA!AN10</f>
        <v>belum ada keterangan</v>
      </c>
      <c r="AK12" s="20" t="str">
        <f>DATA!AO10</f>
        <v>belum ada keterangan</v>
      </c>
      <c r="AL12" s="20" t="str">
        <f>DATA!AP10</f>
        <v>belum ada proses tender/lelang</v>
      </c>
      <c r="AM12" s="20" t="str">
        <f>DATA!AY10</f>
        <v>- Konfirmasi melalui surat Sekjen nomor KU.01.12-Sj/636 tgl 23 Oktober 2015
- Telah ada pengalaman sebelumnya dengan Loan Spanyol</v>
      </c>
      <c r="AN12" s="20" t="e">
        <f>DATA!#REF!</f>
        <v>#REF!</v>
      </c>
      <c r="AO12" s="20">
        <f>DATA!AZ10</f>
        <v>0</v>
      </c>
      <c r="AP12" s="161" t="e">
        <f>DATA!#REF!</f>
        <v>#REF!</v>
      </c>
      <c r="AQ12" s="37" t="str">
        <f>DATA!BA10</f>
        <v>Pengadaan material rangka jembatan untuk pekerjaan konstruksi dan rehabilitasi sekitar 55.000 m jembatan yang ada di Indonesia</v>
      </c>
      <c r="AR12" s="162">
        <v>1</v>
      </c>
      <c r="AS12" s="8">
        <v>1</v>
      </c>
    </row>
    <row r="13" spans="1:52" s="8" customFormat="1" ht="87.75" customHeight="1">
      <c r="A13" s="10">
        <f>DATA!A13</f>
        <v>11</v>
      </c>
      <c r="B13" s="10">
        <f>DATA!B13</f>
        <v>0</v>
      </c>
      <c r="C13" s="10" t="str">
        <f>DATA!D13</f>
        <v>INFRASTRUKTUR</v>
      </c>
      <c r="D13" s="10">
        <f>DATA!E13</f>
        <v>1</v>
      </c>
      <c r="E13" s="10" t="str">
        <f>DATA!F13</f>
        <v>Kementerian Pekerjaan Umum dan Perumahan Rakyat</v>
      </c>
      <c r="F13" s="10" t="str">
        <f>DATA!H13</f>
        <v>Development and Improvement of National Bridges Program</v>
      </c>
      <c r="G13" s="10" t="str">
        <f>DATA!I13</f>
        <v>B</v>
      </c>
      <c r="H13" s="10" t="str">
        <f>DATA!J13</f>
        <v xml:space="preserve">Program Pembangunan / Peningkatan Jembatan </v>
      </c>
      <c r="I13" s="10">
        <f>DATA!K13</f>
        <v>4</v>
      </c>
      <c r="J13" s="57"/>
      <c r="K13" s="58"/>
      <c r="L13" s="58"/>
      <c r="M13" s="60">
        <f>DATA!K13</f>
        <v>4</v>
      </c>
      <c r="N13" s="61" t="str">
        <f>DATA!L13</f>
        <v>Balinka - Matur - Ngarai Sianok Tunnel Construction</v>
      </c>
      <c r="O13" s="20">
        <f>DATA!Q13</f>
        <v>1</v>
      </c>
      <c r="P13" s="20">
        <f>DATA!R13</f>
        <v>1</v>
      </c>
      <c r="Q13" s="20">
        <f>DATA!S13</f>
        <v>9</v>
      </c>
      <c r="R13" s="89">
        <f>DATA!T13</f>
        <v>175000000</v>
      </c>
      <c r="S13" s="85">
        <f>DATA!U13</f>
        <v>175000000</v>
      </c>
      <c r="T13" s="89">
        <f>DATA!V13</f>
        <v>8750000</v>
      </c>
      <c r="U13" s="89">
        <f>DATA!W13</f>
        <v>0</v>
      </c>
      <c r="V13" s="89">
        <f>DATA!X13</f>
        <v>183750000</v>
      </c>
      <c r="W13" s="90" t="str">
        <f>DATA!Y13</f>
        <v>Korea/RRT</v>
      </c>
      <c r="X13" s="20" t="str">
        <f>DATA!Z13</f>
        <v>Multi Lender</v>
      </c>
      <c r="Y13" s="89">
        <f>DATA!AA13</f>
        <v>175000000</v>
      </c>
      <c r="Z13" s="77">
        <f>DATA!AG13</f>
        <v>0</v>
      </c>
      <c r="AA13" s="103">
        <f>DATA!AH13</f>
        <v>2017</v>
      </c>
      <c r="AB13" s="61" t="str">
        <f>DATA!AI13</f>
        <v>-</v>
      </c>
      <c r="AC13" s="152" t="str">
        <f>DATA!AR13</f>
        <v>belum ada dokumen R/C</v>
      </c>
      <c r="AD13" s="152" t="str">
        <f>DATA!AN13</f>
        <v>dalam proses
(memiliki FS dan DED)</v>
      </c>
      <c r="AE13" s="152" t="str">
        <f>DATA!AO13</f>
        <v>belum ada keterangan</v>
      </c>
      <c r="AF13" s="61" t="str">
        <f>DATA!AJ13</f>
        <v>FS, DED, SP2LP</v>
      </c>
      <c r="AG13" s="61" t="str">
        <f>DATA!AK13</f>
        <v>-</v>
      </c>
      <c r="AH13" s="61" t="str">
        <f>DATA!AL13</f>
        <v>-</v>
      </c>
      <c r="AI13" s="20" t="str">
        <f>DATA!AR13</f>
        <v>belum ada dokumen R/C</v>
      </c>
      <c r="AJ13" s="20" t="str">
        <f>DATA!AN13</f>
        <v>dalam proses
(memiliki FS dan DED)</v>
      </c>
      <c r="AK13" s="20" t="str">
        <f>DATA!AO13</f>
        <v>belum ada keterangan</v>
      </c>
      <c r="AL13" s="20" t="str">
        <f>DATA!AP13</f>
        <v>belum ada proses tender/lelang</v>
      </c>
      <c r="AM13" s="20" t="str">
        <f>DATA!AY13</f>
        <v>Konfirmasi melalui surat Sekjen nomor KU.01.12-Sj/636 tgl 23 Oktober 2015</v>
      </c>
      <c r="AN13" s="20" t="e">
        <f>DATA!#REF!</f>
        <v>#REF!</v>
      </c>
      <c r="AO13" s="20">
        <f>DATA!AZ13</f>
        <v>0</v>
      </c>
      <c r="AP13" s="161" t="e">
        <f>DATA!#REF!</f>
        <v>#REF!</v>
      </c>
      <c r="AQ13" s="37" t="str">
        <f>DATA!BA13</f>
        <v xml:space="preserve">Pembangunan terowongan, jembatan dan jalan sepanjang 5 km di daerah Balinka-Ngarai Sianok, Sumatera Barat </v>
      </c>
      <c r="AR13" s="162">
        <v>1</v>
      </c>
      <c r="AS13" s="8">
        <v>1</v>
      </c>
    </row>
    <row r="14" spans="1:52" s="8" customFormat="1" ht="58.5" customHeight="1">
      <c r="A14" s="10">
        <f>DATA!A14</f>
        <v>12</v>
      </c>
      <c r="B14" s="10">
        <f>DATA!B14</f>
        <v>0</v>
      </c>
      <c r="C14" s="10" t="str">
        <f>DATA!D14</f>
        <v>INFRASTRUKTUR</v>
      </c>
      <c r="D14" s="10">
        <f>DATA!E14</f>
        <v>1</v>
      </c>
      <c r="E14" s="10" t="str">
        <f>DATA!F14</f>
        <v>Kementerian Pekerjaan Umum dan Perumahan Rakyat</v>
      </c>
      <c r="F14" s="10" t="str">
        <f>DATA!H14</f>
        <v>Development and Improvement of National Bridges Program</v>
      </c>
      <c r="G14" s="10" t="str">
        <f>DATA!I14</f>
        <v>B</v>
      </c>
      <c r="H14" s="10" t="str">
        <f>DATA!J14</f>
        <v xml:space="preserve">Program Pembangunan / Peningkatan Jembatan </v>
      </c>
      <c r="I14" s="10">
        <f>DATA!K14</f>
        <v>5</v>
      </c>
      <c r="J14" s="57"/>
      <c r="K14" s="58"/>
      <c r="L14" s="111"/>
      <c r="M14" s="60">
        <f>DATA!K14</f>
        <v>5</v>
      </c>
      <c r="N14" s="61" t="str">
        <f>DATA!L14</f>
        <v>Long Span Bridge Development for Selected Area</v>
      </c>
      <c r="O14" s="20">
        <f>DATA!Q14</f>
        <v>1</v>
      </c>
      <c r="P14" s="20">
        <f>DATA!R14</f>
        <v>1</v>
      </c>
      <c r="Q14" s="20">
        <f>DATA!S14</f>
        <v>10</v>
      </c>
      <c r="R14" s="89">
        <f>DATA!T14</f>
        <v>355000000</v>
      </c>
      <c r="S14" s="85">
        <f>DATA!U14</f>
        <v>355000000</v>
      </c>
      <c r="T14" s="89">
        <f>DATA!V14</f>
        <v>17750000</v>
      </c>
      <c r="U14" s="89">
        <f>DATA!W14</f>
        <v>0</v>
      </c>
      <c r="V14" s="89">
        <f>DATA!X14</f>
        <v>372750000</v>
      </c>
      <c r="W14" s="90" t="str">
        <f>DATA!Y14</f>
        <v>Korea/RRT</v>
      </c>
      <c r="X14" s="20" t="str">
        <f>DATA!Z14</f>
        <v>Multi Lender</v>
      </c>
      <c r="Y14" s="89">
        <f>DATA!AA14</f>
        <v>355000000</v>
      </c>
      <c r="Z14" s="77">
        <f>DATA!AG14</f>
        <v>0</v>
      </c>
      <c r="AA14" s="103" t="str">
        <f>DATA!AH14</f>
        <v>Tanpa keterangan</v>
      </c>
      <c r="AB14" s="61" t="str">
        <f>DATA!AI14</f>
        <v>-</v>
      </c>
      <c r="AC14" s="152" t="str">
        <f>DATA!AR14</f>
        <v>belum ada dokumen R/C</v>
      </c>
      <c r="AD14" s="152" t="str">
        <f>DATA!AN14</f>
        <v>belum ada keterangan</v>
      </c>
      <c r="AE14" s="152" t="str">
        <f>DATA!AO14</f>
        <v>belum ada keterangan</v>
      </c>
      <c r="AF14" s="61" t="str">
        <f>DATA!AJ14</f>
        <v>-</v>
      </c>
      <c r="AG14" s="61" t="str">
        <f>DATA!AK14</f>
        <v>-</v>
      </c>
      <c r="AH14" s="61" t="str">
        <f>DATA!AL14</f>
        <v>-</v>
      </c>
      <c r="AI14" s="20" t="str">
        <f>DATA!AR14</f>
        <v>belum ada dokumen R/C</v>
      </c>
      <c r="AJ14" s="20" t="str">
        <f>DATA!AN14</f>
        <v>belum ada keterangan</v>
      </c>
      <c r="AK14" s="20" t="str">
        <f>DATA!AO14</f>
        <v>belum ada keterangan</v>
      </c>
      <c r="AL14" s="20" t="str">
        <f>DATA!AP14</f>
        <v>belum ada proses tender/lelang</v>
      </c>
      <c r="AM14" s="20" t="str">
        <f>DATA!AY14</f>
        <v>Konfirmasi melalui surat Sekjen nomor KU.01.12-Sj/636 tgl 23 Oktober 2015</v>
      </c>
      <c r="AN14" s="20" t="e">
        <f>DATA!#REF!</f>
        <v>#REF!</v>
      </c>
      <c r="AO14" s="20">
        <f>DATA!AZ14</f>
        <v>0</v>
      </c>
      <c r="AP14" s="161" t="e">
        <f>DATA!#REF!</f>
        <v>#REF!</v>
      </c>
      <c r="AQ14" s="37" t="str">
        <f>DATA!BA14</f>
        <v>Pembangunan jembatan bentang panjang 5.000 m (pada area tertentu) di wilayah Pulau Jawa dan Sumatera yang dipisahkan oleh oleh sungai, rawa, danau, selat, saluran besar.</v>
      </c>
      <c r="AR14" s="162">
        <v>1</v>
      </c>
      <c r="AS14" s="8">
        <v>1</v>
      </c>
    </row>
    <row r="15" spans="1:52" s="5" customFormat="1" ht="33.75" customHeight="1">
      <c r="J15" s="28"/>
      <c r="K15" s="50"/>
      <c r="L15" s="30" t="str">
        <f>DATA!I15</f>
        <v>C</v>
      </c>
      <c r="M15" s="31" t="str">
        <f>DATA!J16</f>
        <v>Program Pembangunan / Peningkatan Jalan</v>
      </c>
      <c r="N15" s="51"/>
      <c r="O15" s="31"/>
      <c r="P15" s="31"/>
      <c r="Q15" s="31"/>
      <c r="R15" s="81">
        <f>SUM(R16:R19)</f>
        <v>1000000000</v>
      </c>
      <c r="S15" s="81"/>
      <c r="T15" s="81">
        <f>SUM(T17:T19)</f>
        <v>150000000</v>
      </c>
      <c r="U15" s="81">
        <f>SUM(U17:U19)</f>
        <v>0</v>
      </c>
      <c r="V15" s="81">
        <f>SUM(V17:V19)</f>
        <v>900000000</v>
      </c>
      <c r="W15" s="149"/>
      <c r="X15" s="81">
        <f>SUM(X17:X19)</f>
        <v>0</v>
      </c>
      <c r="Y15" s="81">
        <f>SUM(Y17:Y19)</f>
        <v>750000000</v>
      </c>
      <c r="Z15" s="81">
        <f>SUM(Z17:Z19)</f>
        <v>0</v>
      </c>
      <c r="AA15" s="31"/>
      <c r="AB15" s="32"/>
      <c r="AC15" s="32"/>
      <c r="AD15" s="32"/>
      <c r="AE15" s="32"/>
      <c r="AF15" s="32"/>
      <c r="AG15" s="32"/>
      <c r="AH15" s="32"/>
      <c r="AI15" s="31"/>
      <c r="AJ15" s="31"/>
      <c r="AK15" s="31"/>
      <c r="AL15" s="31"/>
      <c r="AM15" s="31"/>
      <c r="AN15" s="31"/>
      <c r="AO15" s="31"/>
      <c r="AP15" s="32"/>
      <c r="AQ15" s="32"/>
      <c r="AR15" s="160"/>
    </row>
    <row r="16" spans="1:52" s="135" customFormat="1" ht="96" customHeight="1">
      <c r="A16" s="5"/>
      <c r="B16" s="5"/>
      <c r="C16" s="5"/>
      <c r="D16" s="5"/>
      <c r="E16" s="5"/>
      <c r="F16" s="5"/>
      <c r="G16" s="5"/>
      <c r="H16" s="5"/>
      <c r="I16" s="5"/>
      <c r="J16" s="136"/>
      <c r="K16" s="137"/>
      <c r="L16" s="138"/>
      <c r="M16" s="60">
        <f>DATA!K15</f>
        <v>1</v>
      </c>
      <c r="N16" s="61" t="str">
        <f>DATA!L15</f>
        <v>Urban Arterial Road Improvement Project</v>
      </c>
      <c r="O16" s="37">
        <f>DATA!Q15</f>
        <v>1</v>
      </c>
      <c r="P16" s="37">
        <f>DATA!R15</f>
        <v>1</v>
      </c>
      <c r="Q16" s="37">
        <f>DATA!S15</f>
        <v>0</v>
      </c>
      <c r="R16" s="139">
        <f>DATA!T15</f>
        <v>250000000</v>
      </c>
      <c r="S16" s="139">
        <f>DATA!U15</f>
        <v>205000000</v>
      </c>
      <c r="T16" s="139">
        <f>DATA!V15</f>
        <v>50000000</v>
      </c>
      <c r="U16" s="139">
        <f>DATA!W15</f>
        <v>0</v>
      </c>
      <c r="V16" s="139">
        <f>DATA!X15</f>
        <v>300000000</v>
      </c>
      <c r="W16" s="90" t="str">
        <f>DATA!Y15</f>
        <v>JICA</v>
      </c>
      <c r="X16" s="37" t="str">
        <f>DATA!Z15</f>
        <v>Multilateral</v>
      </c>
      <c r="Y16" s="139">
        <f>DATA!AA15</f>
        <v>205000000</v>
      </c>
      <c r="Z16" s="87">
        <f>DATA!AG15</f>
        <v>0</v>
      </c>
      <c r="AA16" s="61">
        <f>DATA!AH15</f>
        <v>2016</v>
      </c>
      <c r="AB16" s="127" t="str">
        <f>DATA!AI15</f>
        <v>-</v>
      </c>
      <c r="AC16" s="152">
        <f>DATA!AM15</f>
        <v>0</v>
      </c>
      <c r="AD16" s="152" t="str">
        <f>DATA!AN15</f>
        <v>siap</v>
      </c>
      <c r="AE16" s="152" t="str">
        <f>DATA!AO15</f>
        <v>belum ada keterangan</v>
      </c>
      <c r="AF16" s="127" t="str">
        <f>DATA!AJ15</f>
        <v>Sebagian telah ada FS, DED dan AMDAL</v>
      </c>
      <c r="AG16" s="127" t="str">
        <f>DATA!AK15</f>
        <v>-</v>
      </c>
      <c r="AH16" s="127" t="str">
        <f>DATA!AL15</f>
        <v>-</v>
      </c>
      <c r="AI16" s="31"/>
      <c r="AJ16" s="31"/>
      <c r="AK16" s="31"/>
      <c r="AL16" s="31"/>
      <c r="AM16" s="31"/>
      <c r="AN16" s="31"/>
      <c r="AO16" s="31"/>
      <c r="AP16" s="161" t="e">
        <f>DATA!#REF!</f>
        <v>#REF!</v>
      </c>
      <c r="AQ16" s="32"/>
      <c r="AR16" s="163">
        <v>1</v>
      </c>
      <c r="AT16" s="135">
        <v>1</v>
      </c>
    </row>
    <row r="17" spans="1:52" s="8" customFormat="1" ht="84" customHeight="1">
      <c r="A17" s="10">
        <f>DATA!A18</f>
        <v>16</v>
      </c>
      <c r="B17" s="10">
        <f>DATA!B18</f>
        <v>0</v>
      </c>
      <c r="C17" s="10" t="str">
        <f>DATA!D18</f>
        <v>INFRASTRUKTUR</v>
      </c>
      <c r="D17" s="10">
        <f>DATA!E18</f>
        <v>1</v>
      </c>
      <c r="E17" s="10" t="str">
        <f>DATA!F18</f>
        <v>Kementerian Pekerjaan Umum dan Perumahan Rakyat</v>
      </c>
      <c r="F17" s="10" t="str">
        <f>DATA!H18</f>
        <v>Development and Improvement of National Roads Program</v>
      </c>
      <c r="G17" s="10" t="str">
        <f>DATA!I18</f>
        <v>C</v>
      </c>
      <c r="H17" s="10" t="str">
        <f>DATA!J18</f>
        <v>Program Pembangunan / Peningkatan Jalan</v>
      </c>
      <c r="I17" s="10">
        <f>DATA!K18</f>
        <v>4</v>
      </c>
      <c r="J17" s="57"/>
      <c r="K17" s="58"/>
      <c r="L17" s="58"/>
      <c r="M17" s="60">
        <f>DATA!K18</f>
        <v>4</v>
      </c>
      <c r="N17" s="61" t="str">
        <f>DATA!L18</f>
        <v>Road Improvement Project to Support Integrated Land and Sea Toll Way - Southern Area</v>
      </c>
      <c r="O17" s="20">
        <f>DATA!Q18</f>
        <v>1</v>
      </c>
      <c r="P17" s="20">
        <f>DATA!R18</f>
        <v>1</v>
      </c>
      <c r="Q17" s="20">
        <f>DATA!S18</f>
        <v>14</v>
      </c>
      <c r="R17" s="89">
        <f>DATA!T18</f>
        <v>250000000</v>
      </c>
      <c r="S17" s="85">
        <f>DATA!U17</f>
        <v>250000000</v>
      </c>
      <c r="T17" s="89">
        <f>DATA!V18</f>
        <v>50000000</v>
      </c>
      <c r="U17" s="89">
        <f>DATA!W18</f>
        <v>0</v>
      </c>
      <c r="V17" s="89">
        <f>DATA!X18</f>
        <v>300000000</v>
      </c>
      <c r="W17" s="90" t="str">
        <f>DATA!Y18</f>
        <v>Bank Dunia/ADB</v>
      </c>
      <c r="X17" s="20" t="str">
        <f>DATA!Z18</f>
        <v>Multi Lender</v>
      </c>
      <c r="Y17" s="89">
        <f>DATA!AA18</f>
        <v>250000000</v>
      </c>
      <c r="Z17" s="77">
        <f>DATA!AG18</f>
        <v>0</v>
      </c>
      <c r="AA17" s="103" t="str">
        <f>DATA!AH18</f>
        <v>Tanpa keterangan</v>
      </c>
      <c r="AB17" s="127" t="str">
        <f>DATA!AI18</f>
        <v>-</v>
      </c>
      <c r="AC17" s="152" t="str">
        <f>DATA!AR18</f>
        <v>belum ada dokumen R/C</v>
      </c>
      <c r="AD17" s="152" t="str">
        <f>DATA!AN18</f>
        <v>belum ada keterangan</v>
      </c>
      <c r="AE17" s="152" t="str">
        <f>DATA!AO18</f>
        <v>belum ada keterangan</v>
      </c>
      <c r="AF17" s="127" t="str">
        <f>DATA!AJ18</f>
        <v>-</v>
      </c>
      <c r="AG17" s="127" t="str">
        <f>DATA!AK18</f>
        <v>-</v>
      </c>
      <c r="AH17" s="127" t="str">
        <f>DATA!AL18</f>
        <v>-</v>
      </c>
      <c r="AI17" s="20" t="str">
        <f>DATA!AR18</f>
        <v>belum ada dokumen R/C</v>
      </c>
      <c r="AJ17" s="20" t="str">
        <f>DATA!AN18</f>
        <v>belum ada keterangan</v>
      </c>
      <c r="AK17" s="20" t="str">
        <f>DATA!AO18</f>
        <v>belum ada keterangan</v>
      </c>
      <c r="AL17" s="20" t="str">
        <f>DATA!AP18</f>
        <v>belum ada proses tender/lelang</v>
      </c>
      <c r="AM17" s="20" t="str">
        <f>DATA!AY18</f>
        <v>Konfirmasi melalui surat Sekjen nomor KU.01.12-Sj/636 tgl 23 Oktober 2015</v>
      </c>
      <c r="AN17" s="20" t="e">
        <f>DATA!#REF!</f>
        <v>#REF!</v>
      </c>
      <c r="AO17" s="20">
        <f>DATA!AZ18</f>
        <v>0</v>
      </c>
      <c r="AP17" s="161" t="e">
        <f>DATA!#REF!</f>
        <v>#REF!</v>
      </c>
      <c r="AQ17" s="37"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c r="AR17" s="162">
        <v>1</v>
      </c>
      <c r="AS17" s="8">
        <v>1</v>
      </c>
    </row>
    <row r="18" spans="1:52" s="8" customFormat="1" ht="36.75" customHeight="1">
      <c r="A18" s="10">
        <f>DATA!A20</f>
        <v>18</v>
      </c>
      <c r="B18" s="10">
        <f>DATA!B20</f>
        <v>0</v>
      </c>
      <c r="C18" s="10" t="str">
        <f>DATA!D20</f>
        <v>INFRASTRUKTUR</v>
      </c>
      <c r="D18" s="10">
        <f>DATA!E20</f>
        <v>1</v>
      </c>
      <c r="E18" s="10" t="str">
        <f>DATA!F20</f>
        <v>Kementerian Pekerjaan Umum dan Perumahan Rakyat</v>
      </c>
      <c r="F18" s="10" t="str">
        <f>DATA!H20</f>
        <v>Development and Improvement of National Roads Program</v>
      </c>
      <c r="G18" s="10" t="str">
        <f>DATA!I20</f>
        <v>C</v>
      </c>
      <c r="H18" s="10" t="str">
        <f>DATA!J20</f>
        <v>Program Pembangunan / Peningkatan Jalan</v>
      </c>
      <c r="I18" s="10">
        <f>DATA!K20</f>
        <v>6</v>
      </c>
      <c r="J18" s="57"/>
      <c r="K18" s="58"/>
      <c r="L18" s="58"/>
      <c r="M18" s="60">
        <f>DATA!K20</f>
        <v>6</v>
      </c>
      <c r="N18" s="61" t="str">
        <f>DATA!L20</f>
        <v>National Road Improvement in Central Kalimantan</v>
      </c>
      <c r="O18" s="20">
        <f>DATA!Q20</f>
        <v>1</v>
      </c>
      <c r="P18" s="20">
        <f>DATA!R20</f>
        <v>1</v>
      </c>
      <c r="Q18" s="20">
        <f>DATA!S20</f>
        <v>16</v>
      </c>
      <c r="R18" s="89">
        <f>DATA!T20</f>
        <v>250000000</v>
      </c>
      <c r="S18" s="85">
        <f>DATA!U19</f>
        <v>250000000</v>
      </c>
      <c r="T18" s="89">
        <f>DATA!V20</f>
        <v>50000000</v>
      </c>
      <c r="U18" s="89">
        <f>DATA!W20</f>
        <v>0</v>
      </c>
      <c r="V18" s="89">
        <f>DATA!X20</f>
        <v>300000000</v>
      </c>
      <c r="W18" s="90" t="str">
        <f>DATA!Y20</f>
        <v>Bank Dunia/ADB</v>
      </c>
      <c r="X18" s="20" t="str">
        <f>DATA!Z20</f>
        <v>Multi Lender</v>
      </c>
      <c r="Y18" s="89">
        <f>DATA!AA20</f>
        <v>250000000</v>
      </c>
      <c r="Z18" s="77">
        <f>DATA!AG20</f>
        <v>0</v>
      </c>
      <c r="AA18" s="103" t="str">
        <f>DATA!AH20</f>
        <v>Tanpa keterangan</v>
      </c>
      <c r="AB18" s="127" t="str">
        <f>DATA!AI20</f>
        <v>-</v>
      </c>
      <c r="AC18" s="152" t="str">
        <f>DATA!AR20</f>
        <v>belum ada dokumen R/C</v>
      </c>
      <c r="AD18" s="152" t="str">
        <f>DATA!AN20</f>
        <v>siap</v>
      </c>
      <c r="AE18" s="152" t="str">
        <f>DATA!AO20</f>
        <v>belum ada keterangan</v>
      </c>
      <c r="AF18" s="127" t="str">
        <f>DATA!AJ20</f>
        <v xml:space="preserve">FS, BD, AMDAL, Penyusunan DED, SP2LP </v>
      </c>
      <c r="AG18" s="127" t="str">
        <f>DATA!AK20</f>
        <v>-</v>
      </c>
      <c r="AH18" s="127" t="str">
        <f>DATA!AL20</f>
        <v>-</v>
      </c>
      <c r="AI18" s="20" t="str">
        <f>DATA!AR20</f>
        <v>belum ada dokumen R/C</v>
      </c>
      <c r="AJ18" s="20" t="str">
        <f>DATA!AN20</f>
        <v>siap</v>
      </c>
      <c r="AK18" s="20" t="str">
        <f>DATA!AO20</f>
        <v>belum ada keterangan</v>
      </c>
      <c r="AL18" s="20" t="str">
        <f>DATA!AP20</f>
        <v>belum ada proses tender/lelang</v>
      </c>
      <c r="AM18" s="20" t="str">
        <f>DATA!AY20</f>
        <v>Konfirmasi melalui surat Sekjen nomor KU.01.12-Sj/636 tgl 23 Oktober 2015</v>
      </c>
      <c r="AN18" s="20" t="e">
        <f>DATA!#REF!</f>
        <v>#REF!</v>
      </c>
      <c r="AO18" s="20">
        <f>DATA!AZ20</f>
        <v>0</v>
      </c>
      <c r="AP18" s="161" t="e">
        <f>DATA!#REF!</f>
        <v>#REF!</v>
      </c>
      <c r="AQ18" s="37" t="str">
        <f>DATA!BA20</f>
        <v>Pembangunan 200 km jalan di wilayah Kalimantan Tengah</v>
      </c>
      <c r="AR18" s="162">
        <v>1</v>
      </c>
      <c r="AS18" s="8">
        <v>1</v>
      </c>
    </row>
    <row r="19" spans="1:52" s="8" customFormat="1" ht="48" customHeight="1">
      <c r="A19" s="10">
        <f>DATA!A22</f>
        <v>20</v>
      </c>
      <c r="B19" s="10">
        <f>DATA!B22</f>
        <v>0</v>
      </c>
      <c r="C19" s="10" t="str">
        <f>DATA!D22</f>
        <v>INFRASTRUKTUR</v>
      </c>
      <c r="D19" s="10">
        <f>DATA!E22</f>
        <v>1</v>
      </c>
      <c r="E19" s="10" t="str">
        <f>DATA!F22</f>
        <v>Kementerian Pekerjaan Umum dan Perumahan Rakyat</v>
      </c>
      <c r="F19" s="10" t="str">
        <f>DATA!H22</f>
        <v>Development and Improvement of National Roads Program</v>
      </c>
      <c r="G19" s="10" t="str">
        <f>DATA!I22</f>
        <v>C</v>
      </c>
      <c r="H19" s="10" t="str">
        <f>DATA!J22</f>
        <v>Program Pembangunan / Peningkatan Jalan</v>
      </c>
      <c r="I19" s="10">
        <f>DATA!K22</f>
        <v>8</v>
      </c>
      <c r="J19" s="57"/>
      <c r="K19" s="58"/>
      <c r="L19" s="111"/>
      <c r="M19" s="60">
        <f>DATA!K22</f>
        <v>8</v>
      </c>
      <c r="N19" s="61" t="str">
        <f>DATA!L22</f>
        <v>Road Improvement Project in Sulawesi Island and Major Cities</v>
      </c>
      <c r="O19" s="20">
        <f>DATA!Q22</f>
        <v>1</v>
      </c>
      <c r="P19" s="20">
        <f>DATA!R22</f>
        <v>1</v>
      </c>
      <c r="Q19" s="20">
        <f>DATA!S22</f>
        <v>18</v>
      </c>
      <c r="R19" s="89">
        <f>DATA!T22</f>
        <v>250000000</v>
      </c>
      <c r="S19" s="85">
        <f>DATA!U21</f>
        <v>250000000</v>
      </c>
      <c r="T19" s="89">
        <f>DATA!V22</f>
        <v>50000000</v>
      </c>
      <c r="U19" s="89">
        <f>DATA!W22</f>
        <v>0</v>
      </c>
      <c r="V19" s="89">
        <f>DATA!X22</f>
        <v>300000000</v>
      </c>
      <c r="W19" s="90" t="str">
        <f>DATA!Y22</f>
        <v>IDB</v>
      </c>
      <c r="X19" s="20" t="str">
        <f>DATA!Z22</f>
        <v>Multilateral</v>
      </c>
      <c r="Y19" s="89">
        <f>DATA!AA22</f>
        <v>250000000</v>
      </c>
      <c r="Z19" s="77">
        <f>DATA!AG22</f>
        <v>0</v>
      </c>
      <c r="AA19" s="103">
        <f>DATA!AH22</f>
        <v>2016</v>
      </c>
      <c r="AB19" s="127" t="str">
        <f>DATA!AI22</f>
        <v>-</v>
      </c>
      <c r="AC19" s="152" t="str">
        <f>DATA!AR22</f>
        <v>belum ada dokumen R/C</v>
      </c>
      <c r="AD19" s="152" t="str">
        <f>DATA!AN22</f>
        <v>siap</v>
      </c>
      <c r="AE19" s="152" t="str">
        <f>DATA!AO22</f>
        <v>belum ada keterangan</v>
      </c>
      <c r="AF19" s="127" t="str">
        <f>DATA!AJ22</f>
        <v>FS, AMDAL</v>
      </c>
      <c r="AG19" s="127" t="str">
        <f>DATA!AK22</f>
        <v>-</v>
      </c>
      <c r="AH19" s="127" t="str">
        <f>DATA!AL22</f>
        <v>-</v>
      </c>
      <c r="AI19" s="20" t="str">
        <f>DATA!AR22</f>
        <v>belum ada dokumen R/C</v>
      </c>
      <c r="AJ19" s="20" t="str">
        <f>DATA!AN22</f>
        <v>siap</v>
      </c>
      <c r="AK19" s="20" t="str">
        <f>DATA!AO22</f>
        <v>belum ada keterangan</v>
      </c>
      <c r="AL19" s="20" t="str">
        <f>DATA!AP22</f>
        <v>belum ada proses tender/lelang</v>
      </c>
      <c r="AM19" s="20" t="str">
        <f>DATA!AY22</f>
        <v xml:space="preserve">Konfirmasi melalui surat Sekjen nomor KU.01.12-Sj/636 tgl 23 Oktober 2015
</v>
      </c>
      <c r="AN19" s="20" t="e">
        <f>DATA!#REF!</f>
        <v>#REF!</v>
      </c>
      <c r="AO19" s="20" t="str">
        <f>DATA!AZ22</f>
        <v xml:space="preserve">Lender kembali IDB berdasarkan hasil konfirmasi rapat dgn Dit,Multilateral tgl 15 Okt'15 </v>
      </c>
      <c r="AP19" s="161" t="e">
        <f>DATA!#REF!</f>
        <v>#REF!</v>
      </c>
      <c r="AQ19" s="37" t="str">
        <f>DATA!BA22</f>
        <v xml:space="preserve">Pembangunan jalan (ringroad dan bypass) sepanjang sekitar 200 km di wilayah metropolitan Mamminasata dan Gorontalo Outer Ring Road </v>
      </c>
      <c r="AR19" s="162">
        <v>1</v>
      </c>
      <c r="AT19" s="8">
        <v>1</v>
      </c>
    </row>
    <row r="20" spans="1:52" s="8" customFormat="1" ht="48" customHeight="1">
      <c r="A20" s="10"/>
      <c r="B20" s="10"/>
      <c r="C20" s="10"/>
      <c r="D20" s="10"/>
      <c r="E20" s="10"/>
      <c r="F20" s="10"/>
      <c r="G20" s="10"/>
      <c r="H20" s="10"/>
      <c r="I20" s="10"/>
      <c r="J20" s="57"/>
      <c r="K20" s="58"/>
      <c r="L20" s="111"/>
      <c r="M20" s="60">
        <f>DATA!K23</f>
        <v>9</v>
      </c>
      <c r="N20" s="127" t="str">
        <f>DATA!L23</f>
        <v>Engineering Service for National Roads Development Project</v>
      </c>
      <c r="O20" s="36">
        <f>DATA!Q23</f>
        <v>0</v>
      </c>
      <c r="P20" s="36">
        <f>DATA!R23</f>
        <v>1</v>
      </c>
      <c r="Q20" s="36">
        <f>DATA!S23</f>
        <v>0</v>
      </c>
      <c r="R20" s="128">
        <f>DATA!T23</f>
        <v>0</v>
      </c>
      <c r="S20" s="128">
        <f>DATA!U23</f>
        <v>45000000</v>
      </c>
      <c r="T20" s="128">
        <f>DATA!V23</f>
        <v>0</v>
      </c>
      <c r="U20" s="128">
        <f>DATA!W23</f>
        <v>0</v>
      </c>
      <c r="V20" s="128">
        <f>DATA!X23</f>
        <v>0</v>
      </c>
      <c r="W20" s="150" t="str">
        <f>DATA!Y23</f>
        <v>ADB</v>
      </c>
      <c r="X20" s="88" t="str">
        <f>DATA!Z23</f>
        <v>Multilateral</v>
      </c>
      <c r="Y20" s="128">
        <f>DATA!AA23</f>
        <v>45000000</v>
      </c>
      <c r="Z20" s="88">
        <f>DATA!AG23</f>
        <v>0</v>
      </c>
      <c r="AA20" s="129">
        <f>DATA!AH23</f>
        <v>2016</v>
      </c>
      <c r="AB20" s="127" t="str">
        <f>DATA!AI23</f>
        <v>- Sudah ada R/C
- Green Book 2015</v>
      </c>
      <c r="AC20" s="152" t="str">
        <f>DATA!AM23</f>
        <v>2016; 2015</v>
      </c>
      <c r="AD20" s="152" t="str">
        <f>DATA!AN23</f>
        <v>siap</v>
      </c>
      <c r="AE20" s="152" t="str">
        <f>DATA!AO23</f>
        <v>tidak butuh lahan</v>
      </c>
      <c r="AF20" s="127" t="str">
        <f>DATA!AJ23</f>
        <v>-</v>
      </c>
      <c r="AG20" s="127" t="str">
        <f>DATA!AK23</f>
        <v>-</v>
      </c>
      <c r="AH20" s="127" t="str">
        <f>DATA!AL23</f>
        <v>-</v>
      </c>
      <c r="AI20" s="20"/>
      <c r="AJ20" s="20"/>
      <c r="AK20" s="20"/>
      <c r="AL20" s="20"/>
      <c r="AM20" s="20"/>
      <c r="AN20" s="20"/>
      <c r="AO20" s="20"/>
      <c r="AP20" s="161" t="e">
        <f>DATA!#REF!</f>
        <v>#REF!</v>
      </c>
      <c r="AQ20" s="37"/>
      <c r="AR20" s="162">
        <v>1</v>
      </c>
      <c r="AZ20" s="8">
        <v>1</v>
      </c>
    </row>
    <row r="21" spans="1:52" s="5" customFormat="1" ht="33.75" customHeight="1">
      <c r="J21" s="28"/>
      <c r="K21" s="50"/>
      <c r="L21" s="30" t="str">
        <f>DATA!I24</f>
        <v>D</v>
      </c>
      <c r="M21" s="31" t="str">
        <f>DATA!J24</f>
        <v>Program Pembangunan Air Minum</v>
      </c>
      <c r="N21" s="51"/>
      <c r="O21" s="31"/>
      <c r="P21" s="31"/>
      <c r="Q21" s="31"/>
      <c r="R21" s="81" t="e">
        <f>+#REF!+#REF!+#REF!+R29</f>
        <v>#REF!</v>
      </c>
      <c r="S21" s="81"/>
      <c r="T21" s="81" t="e">
        <f>+#REF!+#REF!+#REF!+T29</f>
        <v>#REF!</v>
      </c>
      <c r="U21" s="81" t="e">
        <f>+#REF!+#REF!+#REF!+U29</f>
        <v>#REF!</v>
      </c>
      <c r="V21" s="81" t="e">
        <f>+#REF!+#REF!+#REF!+V29</f>
        <v>#REF!</v>
      </c>
      <c r="W21" s="149"/>
      <c r="X21" s="81" t="e">
        <f>+#REF!+#REF!+#REF!+X29</f>
        <v>#REF!</v>
      </c>
      <c r="Y21" s="81" t="e">
        <f>+#REF!+#REF!+#REF!+Y29</f>
        <v>#REF!</v>
      </c>
      <c r="Z21" s="81" t="e">
        <f>+#REF!+#REF!+#REF!+Z29</f>
        <v>#REF!</v>
      </c>
      <c r="AA21" s="31"/>
      <c r="AB21" s="32"/>
      <c r="AC21" s="32"/>
      <c r="AD21" s="32"/>
      <c r="AE21" s="32"/>
      <c r="AF21" s="32"/>
      <c r="AG21" s="32"/>
      <c r="AH21" s="32"/>
      <c r="AI21" s="31"/>
      <c r="AJ21" s="31"/>
      <c r="AK21" s="31"/>
      <c r="AL21" s="31"/>
      <c r="AM21" s="31"/>
      <c r="AN21" s="31"/>
      <c r="AO21" s="31"/>
      <c r="AP21" s="32"/>
      <c r="AQ21" s="32"/>
      <c r="AR21" s="160"/>
    </row>
    <row r="22" spans="1:52" s="7" customFormat="1" ht="60.75" customHeight="1">
      <c r="A22" s="6">
        <f>DATA!A27</f>
        <v>24</v>
      </c>
      <c r="B22" s="6">
        <f>DATA!B27</f>
        <v>0</v>
      </c>
      <c r="C22" s="6" t="str">
        <f>DATA!D27</f>
        <v>INFRASTRUKTUR</v>
      </c>
      <c r="D22" s="6">
        <f>DATA!E27</f>
        <v>1</v>
      </c>
      <c r="E22" s="6" t="str">
        <f>DATA!F27</f>
        <v>Kementerian Pekerjaan Umum dan Perumahan Rakyat</v>
      </c>
      <c r="F22" s="6" t="str">
        <f>DATA!H27</f>
        <v>Drinking Water Development Program</v>
      </c>
      <c r="G22" s="6" t="str">
        <f>DATA!I27</f>
        <v>D</v>
      </c>
      <c r="H22" s="6" t="str">
        <f>DATA!J27</f>
        <v>Program Pembangunan Air Minum</v>
      </c>
      <c r="I22" s="6">
        <f>DATA!K27</f>
        <v>3</v>
      </c>
      <c r="J22" s="44"/>
      <c r="K22" s="45"/>
      <c r="L22" s="45"/>
      <c r="M22" s="48"/>
      <c r="N22" s="68" t="str">
        <f>DATA!L27</f>
        <v xml:space="preserve">Mamminasata Water Supply Development Project </v>
      </c>
      <c r="O22" s="42">
        <f>DATA!Q27</f>
        <v>1</v>
      </c>
      <c r="P22" s="42">
        <f>DATA!R27</f>
        <v>1</v>
      </c>
      <c r="Q22" s="42">
        <f>DATA!S27</f>
        <v>21</v>
      </c>
      <c r="R22" s="85">
        <f>DATA!T27</f>
        <v>100000000</v>
      </c>
      <c r="S22" s="85"/>
      <c r="T22" s="85">
        <f>DATA!V27</f>
        <v>5000000</v>
      </c>
      <c r="U22" s="85">
        <f>DATA!W27</f>
        <v>0</v>
      </c>
      <c r="V22" s="85">
        <f>DATA!X27</f>
        <v>105000000</v>
      </c>
      <c r="W22" s="86" t="str">
        <f>DATA!Y27</f>
        <v>JICA</v>
      </c>
      <c r="X22" s="42" t="str">
        <f>DATA!Z27</f>
        <v>Bilateral</v>
      </c>
      <c r="Y22" s="85">
        <f>DATA!AA27</f>
        <v>100000000</v>
      </c>
      <c r="Z22" s="83">
        <f>DATA!AG27</f>
        <v>0</v>
      </c>
      <c r="AA22" s="98">
        <f>DATA!AH27</f>
        <v>2016</v>
      </c>
      <c r="AB22" s="68" t="str">
        <f>DATA!AI27</f>
        <v>-</v>
      </c>
      <c r="AC22" s="152">
        <f>DATA!AM27</f>
        <v>0</v>
      </c>
      <c r="AD22" s="152" t="str">
        <f>DATA!AN27</f>
        <v>siap</v>
      </c>
      <c r="AE22" s="152" t="str">
        <f>DATA!AO27</f>
        <v>dalam proses
(persiapan)</v>
      </c>
      <c r="AF22" s="68" t="str">
        <f>DATA!AJ27</f>
        <v>FS , AMDAL, DED</v>
      </c>
      <c r="AG22" s="68" t="str">
        <f>DATA!AK27</f>
        <v>Proses pembebasan lahan oleh Pemda</v>
      </c>
      <c r="AH22" s="68" t="str">
        <f>DATA!AL27</f>
        <v>-</v>
      </c>
      <c r="AI22" s="42">
        <f>DATA!AM27</f>
        <v>0</v>
      </c>
      <c r="AJ22" s="42" t="str">
        <f>DATA!AN27</f>
        <v>siap</v>
      </c>
      <c r="AK22" s="42" t="str">
        <f>DATA!AO27</f>
        <v>dalam proses
(persiapan)</v>
      </c>
      <c r="AL22" s="42" t="str">
        <f>DATA!AP27</f>
        <v>belum ada proses tender/lelang</v>
      </c>
      <c r="AM22" s="42" t="str">
        <f>DATA!AY27</f>
        <v>Konfirmasi melalui surat Sekjen nomor KU.01.12-Sj/636 tgl 23 Oktober 2015</v>
      </c>
      <c r="AN22" s="42" t="e">
        <f>DATA!#REF!</f>
        <v>#REF!</v>
      </c>
      <c r="AO22" s="42">
        <f>DATA!AZ27</f>
        <v>0</v>
      </c>
      <c r="AP22" s="161" t="e">
        <f>DATA!#REF!</f>
        <v>#REF!</v>
      </c>
      <c r="AQ22" s="67" t="str">
        <f>DATA!BA27</f>
        <v>Pembangunan IPA Somba Opu Tahap II, kap. 1.000 lt/dt dan pembangunan jaringan pipa transmisi air minum untuk melayani 149.925 SR di wilayah Makassar, Maros, Gowa dan Takalar.</v>
      </c>
      <c r="AR22" s="164"/>
    </row>
    <row r="23" spans="1:52" s="7" customFormat="1" ht="88.5" customHeight="1">
      <c r="A23" s="6">
        <f>DATA!A28</f>
        <v>25</v>
      </c>
      <c r="B23" s="6">
        <f>DATA!B28</f>
        <v>0</v>
      </c>
      <c r="C23" s="6" t="str">
        <f>DATA!D28</f>
        <v>INFRASTRUKTUR</v>
      </c>
      <c r="D23" s="6">
        <f>DATA!E28</f>
        <v>1</v>
      </c>
      <c r="E23" s="6" t="str">
        <f>DATA!F28</f>
        <v>Kementerian Pekerjaan Umum dan Perumahan Rakyat</v>
      </c>
      <c r="F23" s="6" t="str">
        <f>DATA!H28</f>
        <v>Drinking Water Development Program</v>
      </c>
      <c r="G23" s="6" t="str">
        <f>DATA!I28</f>
        <v>D</v>
      </c>
      <c r="H23" s="6" t="str">
        <f>DATA!J28</f>
        <v>Program Pembangunan Air Minum</v>
      </c>
      <c r="I23" s="6">
        <f>DATA!K28</f>
        <v>3</v>
      </c>
      <c r="J23" s="44"/>
      <c r="K23" s="45"/>
      <c r="L23" s="45"/>
      <c r="M23" s="44"/>
      <c r="N23" s="68" t="str">
        <f>DATA!L28</f>
        <v xml:space="preserve">The Development of Regional Water Supply System in Benteng Kobema </v>
      </c>
      <c r="O23" s="42">
        <f>DATA!Q28</f>
        <v>1</v>
      </c>
      <c r="P23" s="42">
        <f>DATA!R28</f>
        <v>1</v>
      </c>
      <c r="Q23" s="42">
        <f>DATA!S28</f>
        <v>22</v>
      </c>
      <c r="R23" s="85">
        <f>DATA!T28</f>
        <v>74300000</v>
      </c>
      <c r="S23" s="85"/>
      <c r="T23" s="85">
        <f>DATA!V28</f>
        <v>3715000</v>
      </c>
      <c r="U23" s="85">
        <f>DATA!W28</f>
        <v>0</v>
      </c>
      <c r="V23" s="85">
        <f>DATA!X28</f>
        <v>78015000</v>
      </c>
      <c r="W23" s="86" t="str">
        <f>DATA!Y28</f>
        <v>Bank Dunia/JICA/ADB</v>
      </c>
      <c r="X23" s="42" t="str">
        <f>DATA!Z28</f>
        <v>Multi Lender</v>
      </c>
      <c r="Y23" s="85">
        <f>DATA!AA28</f>
        <v>74300000</v>
      </c>
      <c r="Z23" s="83">
        <f>DATA!AG28</f>
        <v>0</v>
      </c>
      <c r="AA23" s="98">
        <f>DATA!AH28</f>
        <v>2017</v>
      </c>
      <c r="AB23" s="68" t="str">
        <f>DATA!AI28</f>
        <v>-</v>
      </c>
      <c r="AC23" s="152">
        <f>DATA!AM28</f>
        <v>0</v>
      </c>
      <c r="AD23" s="152" t="str">
        <f>DATA!AN28</f>
        <v>dalam proses
(penyusunan FS)</v>
      </c>
      <c r="AE23" s="152" t="str">
        <f>DATA!AO28</f>
        <v>dalam proses
(persiapan)</v>
      </c>
      <c r="AF23" s="68" t="str">
        <f>DATA!AJ28</f>
        <v>RISPAM, DED, SIPA, Organisasi Pelaksana, DDUB</v>
      </c>
      <c r="AG23" s="68" t="str">
        <f>DATA!AK28</f>
        <v>Proses pembebasan lahan oleh Pemda</v>
      </c>
      <c r="AH23" s="68" t="str">
        <f>DATA!AL28</f>
        <v>-</v>
      </c>
      <c r="AI23" s="42">
        <f>DATA!AM28</f>
        <v>0</v>
      </c>
      <c r="AJ23" s="42" t="str">
        <f>DATA!AN28</f>
        <v>dalam proses
(penyusunan FS)</v>
      </c>
      <c r="AK23" s="42" t="str">
        <f>DATA!AO28</f>
        <v>dalam proses
(persiapan)</v>
      </c>
      <c r="AL23" s="42" t="str">
        <f>DATA!AP28</f>
        <v>belum ada proses tender/lelang</v>
      </c>
      <c r="AM23" s="42" t="str">
        <f>DATA!AY28</f>
        <v>Konfirmasi melalui surat Sekjen nomor KU.01.12-Sj/636 tgl 23 Oktober 2015</v>
      </c>
      <c r="AN23" s="42" t="e">
        <f>DATA!#REF!</f>
        <v>#REF!</v>
      </c>
      <c r="AO23" s="42" t="str">
        <f>DATA!AZ28</f>
        <v>JICA &amp; ADB juga diindikasikan akan mendanai kegiatan ini meskipun belum ada pembicaraan</v>
      </c>
      <c r="AP23" s="161" t="e">
        <f>DATA!#REF!</f>
        <v>#REF!</v>
      </c>
      <c r="AQ23" s="67"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c r="AR23" s="164">
        <v>1</v>
      </c>
      <c r="AU23" s="7">
        <v>1</v>
      </c>
    </row>
    <row r="24" spans="1:52" s="7" customFormat="1" ht="120" customHeight="1">
      <c r="A24" s="6">
        <f>DATA!A30</f>
        <v>27</v>
      </c>
      <c r="B24" s="6">
        <f>DATA!B30</f>
        <v>0</v>
      </c>
      <c r="C24" s="6" t="str">
        <f>DATA!D30</f>
        <v>INFRASTRUKTUR</v>
      </c>
      <c r="D24" s="6">
        <f>DATA!E30</f>
        <v>1</v>
      </c>
      <c r="E24" s="6" t="str">
        <f>DATA!F30</f>
        <v>Kementerian Pekerjaan Umum dan Perumahan Rakyat</v>
      </c>
      <c r="F24" s="6" t="str">
        <f>DATA!H30</f>
        <v>Drinking Water Development Program</v>
      </c>
      <c r="G24" s="6" t="str">
        <f>DATA!I30</f>
        <v>D</v>
      </c>
      <c r="H24" s="6" t="str">
        <f>DATA!J30</f>
        <v>Program Pembangunan Air Minum</v>
      </c>
      <c r="I24" s="6">
        <f>DATA!K30</f>
        <v>3</v>
      </c>
      <c r="J24" s="44"/>
      <c r="K24" s="45"/>
      <c r="L24" s="45"/>
      <c r="M24" s="44"/>
      <c r="N24" s="68" t="str">
        <f>DATA!L30</f>
        <v xml:space="preserve">The Development of Regional Water Supply System of Jatigede </v>
      </c>
      <c r="O24" s="42">
        <f>DATA!Q30</f>
        <v>1</v>
      </c>
      <c r="P24" s="42">
        <f>DATA!R30</f>
        <v>1</v>
      </c>
      <c r="Q24" s="42">
        <f>DATA!S30</f>
        <v>24</v>
      </c>
      <c r="R24" s="85">
        <f>DATA!T30</f>
        <v>167000000</v>
      </c>
      <c r="S24" s="85"/>
      <c r="T24" s="85">
        <f>DATA!V30</f>
        <v>8350000</v>
      </c>
      <c r="U24" s="85">
        <f>DATA!W30</f>
        <v>0</v>
      </c>
      <c r="V24" s="85">
        <f>DATA!X30</f>
        <v>175350000</v>
      </c>
      <c r="W24" s="86" t="str">
        <f>DATA!Y30</f>
        <v>Bank Dunia/JICA/ADB</v>
      </c>
      <c r="X24" s="42" t="str">
        <f>DATA!Z30</f>
        <v>Multi Lender</v>
      </c>
      <c r="Y24" s="85">
        <f>DATA!AA30</f>
        <v>140620000</v>
      </c>
      <c r="Z24" s="83">
        <f>DATA!AG30</f>
        <v>0</v>
      </c>
      <c r="AA24" s="98">
        <f>DATA!AH30</f>
        <v>2017</v>
      </c>
      <c r="AB24" s="68" t="str">
        <f>DATA!AI30</f>
        <v>-</v>
      </c>
      <c r="AC24" s="152">
        <f>DATA!AM30</f>
        <v>0</v>
      </c>
      <c r="AD24" s="152" t="str">
        <f>DATA!AN30</f>
        <v>belum ada keterangan</v>
      </c>
      <c r="AE24" s="152" t="str">
        <f>DATA!AO30</f>
        <v>belum ada keterangan</v>
      </c>
      <c r="AF24" s="68" t="str">
        <f>DATA!AJ30</f>
        <v>-</v>
      </c>
      <c r="AG24" s="68" t="str">
        <f>DATA!AK30</f>
        <v>-</v>
      </c>
      <c r="AH24" s="68" t="str">
        <f>DATA!AL30</f>
        <v>-</v>
      </c>
      <c r="AI24" s="42">
        <f>DATA!AM30</f>
        <v>0</v>
      </c>
      <c r="AJ24" s="42" t="str">
        <f>DATA!AN30</f>
        <v>belum ada keterangan</v>
      </c>
      <c r="AK24" s="42" t="str">
        <f>DATA!AO30</f>
        <v>belum ada keterangan</v>
      </c>
      <c r="AL24" s="42" t="str">
        <f>DATA!AP30</f>
        <v>belum ada proses tender/lelang</v>
      </c>
      <c r="AM24" s="42" t="str">
        <f>DATA!AY30</f>
        <v>Konfirmasi melalui surat Sekjen nomor KU.01.12-Sj/636 tgl 23 Oktober 2015</v>
      </c>
      <c r="AN24" s="42" t="e">
        <f>DATA!#REF!</f>
        <v>#REF!</v>
      </c>
      <c r="AO24" s="42">
        <f>DATA!AZ30</f>
        <v>0</v>
      </c>
      <c r="AP24" s="161" t="e">
        <f>DATA!#REF!</f>
        <v>#REF!</v>
      </c>
      <c r="AQ24" s="67"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c r="AR24" s="164">
        <v>1</v>
      </c>
      <c r="AS24" s="7">
        <v>1</v>
      </c>
    </row>
    <row r="25" spans="1:52" s="7" customFormat="1" ht="88.5" customHeight="1">
      <c r="A25" s="6">
        <f>DATA!A31</f>
        <v>28</v>
      </c>
      <c r="B25" s="6">
        <f>DATA!B31</f>
        <v>0</v>
      </c>
      <c r="C25" s="6" t="str">
        <f>DATA!D31</f>
        <v>INFRASTRUKTUR</v>
      </c>
      <c r="D25" s="6">
        <f>DATA!E31</f>
        <v>1</v>
      </c>
      <c r="E25" s="6" t="str">
        <f>DATA!F31</f>
        <v>Kementerian Pekerjaan Umum dan Perumahan Rakyat</v>
      </c>
      <c r="F25" s="6" t="str">
        <f>DATA!H31</f>
        <v>Drinking Water Development Program</v>
      </c>
      <c r="G25" s="6" t="str">
        <f>DATA!I31</f>
        <v>D</v>
      </c>
      <c r="H25" s="6" t="str">
        <f>DATA!J31</f>
        <v>Program Pembangunan Air Minum</v>
      </c>
      <c r="I25" s="6">
        <f>DATA!K31</f>
        <v>3</v>
      </c>
      <c r="J25" s="44"/>
      <c r="K25" s="45"/>
      <c r="L25" s="45"/>
      <c r="M25" s="44"/>
      <c r="N25" s="68" t="str">
        <f>DATA!L31</f>
        <v>The Development of Regional Water Supply System of Petanglong</v>
      </c>
      <c r="O25" s="42">
        <f>DATA!Q31</f>
        <v>1</v>
      </c>
      <c r="P25" s="42">
        <f>DATA!R31</f>
        <v>1</v>
      </c>
      <c r="Q25" s="42">
        <f>DATA!S31</f>
        <v>25</v>
      </c>
      <c r="R25" s="85">
        <f>DATA!T31</f>
        <v>95380000</v>
      </c>
      <c r="S25" s="85"/>
      <c r="T25" s="85">
        <f>DATA!V31</f>
        <v>4769000</v>
      </c>
      <c r="U25" s="85">
        <f>DATA!W31</f>
        <v>0</v>
      </c>
      <c r="V25" s="85">
        <f>DATA!X31</f>
        <v>100149000</v>
      </c>
      <c r="W25" s="86" t="str">
        <f>DATA!Y31</f>
        <v>Bank Dunia/JICA/ADB</v>
      </c>
      <c r="X25" s="42" t="str">
        <f>DATA!Z31</f>
        <v>Multi Lender</v>
      </c>
      <c r="Y25" s="85">
        <f>DATA!AA31</f>
        <v>95380000</v>
      </c>
      <c r="Z25" s="83">
        <f>DATA!AG31</f>
        <v>0</v>
      </c>
      <c r="AA25" s="98">
        <f>DATA!AH31</f>
        <v>2017</v>
      </c>
      <c r="AB25" s="68" t="str">
        <f>DATA!AI31</f>
        <v>Tahap persiapan project</v>
      </c>
      <c r="AC25" s="152">
        <f>DATA!AM31</f>
        <v>0</v>
      </c>
      <c r="AD25" s="152" t="str">
        <f>DATA!AN31</f>
        <v>belum ada keterangan</v>
      </c>
      <c r="AE25" s="152" t="str">
        <f>DATA!AO31</f>
        <v>belum ada keterangan</v>
      </c>
      <c r="AF25" s="68" t="str">
        <f>DATA!AJ31</f>
        <v>-</v>
      </c>
      <c r="AG25" s="68" t="str">
        <f>DATA!AK31</f>
        <v>-</v>
      </c>
      <c r="AH25" s="68" t="str">
        <f>DATA!AL31</f>
        <v>-</v>
      </c>
      <c r="AI25" s="42">
        <f>DATA!AM31</f>
        <v>0</v>
      </c>
      <c r="AJ25" s="42" t="str">
        <f>DATA!AN31</f>
        <v>belum ada keterangan</v>
      </c>
      <c r="AK25" s="42" t="str">
        <f>DATA!AO31</f>
        <v>belum ada keterangan</v>
      </c>
      <c r="AL25" s="42" t="str">
        <f>DATA!AP31</f>
        <v>belum ada proses tender/lelang</v>
      </c>
      <c r="AM25" s="42" t="str">
        <f>DATA!AY31</f>
        <v>Konfirmasi melalui surat Sekjen nomor KU.01.12-Sj/636 tgl 23 Oktober 2015</v>
      </c>
      <c r="AN25" s="42" t="e">
        <f>DATA!#REF!</f>
        <v>#REF!</v>
      </c>
      <c r="AO25" s="42">
        <f>DATA!AZ31</f>
        <v>0</v>
      </c>
      <c r="AP25" s="161" t="e">
        <f>DATA!#REF!</f>
        <v>#REF!</v>
      </c>
      <c r="AQ25" s="67" t="str">
        <f>DATA!BA31</f>
        <v>Pembangunan intake dan transmisi air baku, pembangunan IPA dengan kapasitas 1.100 lt/dt untuk sistem pengelolaan air minum yang berkapasitas 1.100 lt/dt, dan untuk penyediaan SPAM yang melayani 142.999 SR  di wilayah Kab. Batang, Kota Pekalongan, Kab. Pekalongan</v>
      </c>
      <c r="AR25" s="164">
        <v>1</v>
      </c>
      <c r="AS25" s="7">
        <v>1</v>
      </c>
    </row>
    <row r="26" spans="1:52" s="7" customFormat="1" ht="76.5">
      <c r="A26" s="6">
        <f>DATA!A32</f>
        <v>29</v>
      </c>
      <c r="B26" s="6">
        <f>DATA!B32</f>
        <v>0</v>
      </c>
      <c r="C26" s="6" t="str">
        <f>DATA!D32</f>
        <v>INFRASTRUKTUR</v>
      </c>
      <c r="D26" s="6">
        <f>DATA!E32</f>
        <v>1</v>
      </c>
      <c r="E26" s="6" t="str">
        <f>DATA!F32</f>
        <v>Kementerian Pekerjaan Umum dan Perumahan Rakyat</v>
      </c>
      <c r="F26" s="6" t="str">
        <f>DATA!H32</f>
        <v>Drinking Water Development Program</v>
      </c>
      <c r="G26" s="6" t="str">
        <f>DATA!I32</f>
        <v>D</v>
      </c>
      <c r="H26" s="6" t="str">
        <f>DATA!J32</f>
        <v>Program Pembangunan Air Minum</v>
      </c>
      <c r="I26" s="6">
        <f>DATA!K32</f>
        <v>3</v>
      </c>
      <c r="J26" s="44"/>
      <c r="K26" s="45"/>
      <c r="L26" s="45"/>
      <c r="M26" s="44"/>
      <c r="N26" s="68" t="str">
        <f>DATA!L32</f>
        <v xml:space="preserve">The Development of Regional Water Supply System of Durolis </v>
      </c>
      <c r="O26" s="42">
        <f>DATA!Q32</f>
        <v>1</v>
      </c>
      <c r="P26" s="42">
        <f>DATA!R32</f>
        <v>1</v>
      </c>
      <c r="Q26" s="42">
        <f>DATA!S32</f>
        <v>26</v>
      </c>
      <c r="R26" s="85">
        <f>DATA!T32</f>
        <v>33400000</v>
      </c>
      <c r="S26" s="85"/>
      <c r="T26" s="85">
        <f>DATA!V32</f>
        <v>1670000</v>
      </c>
      <c r="U26" s="85">
        <f>DATA!W32</f>
        <v>0</v>
      </c>
      <c r="V26" s="85">
        <f>DATA!X32</f>
        <v>35070000</v>
      </c>
      <c r="W26" s="86" t="str">
        <f>DATA!Y32</f>
        <v>Bank Dunia/JICA/ADB</v>
      </c>
      <c r="X26" s="42" t="str">
        <f>DATA!Z32</f>
        <v>Multi Lender</v>
      </c>
      <c r="Y26" s="85">
        <f>DATA!AA32</f>
        <v>33400000</v>
      </c>
      <c r="Z26" s="83">
        <f>DATA!AG32</f>
        <v>0</v>
      </c>
      <c r="AA26" s="98">
        <f>DATA!AH32</f>
        <v>2017</v>
      </c>
      <c r="AB26" s="68" t="str">
        <f>DATA!AI32</f>
        <v>-</v>
      </c>
      <c r="AC26" s="152">
        <f>DATA!AM32</f>
        <v>0</v>
      </c>
      <c r="AD26" s="152" t="str">
        <f>DATA!AN32</f>
        <v>siap</v>
      </c>
      <c r="AE26" s="152" t="str">
        <f>DATA!AO32</f>
        <v>siap</v>
      </c>
      <c r="AF26" s="68" t="str">
        <f>DATA!AJ32</f>
        <v>FS, DED, AMDAL</v>
      </c>
      <c r="AG26" s="68" t="str">
        <f>DATA!AK32</f>
        <v xml:space="preserve"> Lahan sudah tersedia </v>
      </c>
      <c r="AH26" s="68" t="str">
        <f>DATA!AL32</f>
        <v>-</v>
      </c>
      <c r="AI26" s="42">
        <f>DATA!AM32</f>
        <v>0</v>
      </c>
      <c r="AJ26" s="42" t="str">
        <f>DATA!AN32</f>
        <v>siap</v>
      </c>
      <c r="AK26" s="42" t="str">
        <f>DATA!AO32</f>
        <v>siap</v>
      </c>
      <c r="AL26" s="42" t="str">
        <f>DATA!AP32</f>
        <v>belum ada proses tender/lelang</v>
      </c>
      <c r="AM26" s="42" t="str">
        <f>DATA!AY32</f>
        <v>Konfirmasi melalui surat Sekjen nomor KU.01.12-Sj/636 tgl 23 Oktober 2015</v>
      </c>
      <c r="AN26" s="42" t="e">
        <f>DATA!#REF!</f>
        <v>#REF!</v>
      </c>
      <c r="AO26" s="42" t="str">
        <f>DATA!AZ32</f>
        <v>ADB juga diindikasikan akan mendanai kegiatan ini</v>
      </c>
      <c r="AP26" s="161" t="e">
        <f>DATA!#REF!</f>
        <v>#REF!</v>
      </c>
      <c r="AQ26" s="67" t="str">
        <f>DATA!BA32</f>
        <v>Pembangunan unit air baku, unit produksi dan distribusi utama, unit pelayanan dan unit pengelolaan untuk sistem pengelolaan air minum yang berkapasitas 500 lt/dt dan untuk melayani masyarakat sebesar 24.000 SR di wilayah Dumai, Rokan Hilir dan Bengkalis</v>
      </c>
      <c r="AR26" s="164">
        <v>1</v>
      </c>
      <c r="AU26" s="7">
        <v>1</v>
      </c>
    </row>
    <row r="27" spans="1:52" s="6" customFormat="1" ht="86.25" customHeight="1">
      <c r="A27" s="6">
        <f>DATA!A33</f>
        <v>30</v>
      </c>
      <c r="B27" s="6">
        <f>DATA!B33</f>
        <v>0</v>
      </c>
      <c r="C27" s="6" t="str">
        <f>DATA!D33</f>
        <v>INFRASTRUKTUR</v>
      </c>
      <c r="D27" s="6">
        <f>DATA!E33</f>
        <v>1</v>
      </c>
      <c r="E27" s="6" t="str">
        <f>DATA!F33</f>
        <v>Kementerian Pekerjaan Umum dan Perumahan Rakyat</v>
      </c>
      <c r="F27" s="6" t="str">
        <f>DATA!H33</f>
        <v>Drinking Water Development Program</v>
      </c>
      <c r="G27" s="6" t="str">
        <f>DATA!I33</f>
        <v>D</v>
      </c>
      <c r="H27" s="6" t="str">
        <f>DATA!J33</f>
        <v>Program Pembangunan Air Minum</v>
      </c>
      <c r="I27" s="6">
        <f>DATA!K33</f>
        <v>3</v>
      </c>
      <c r="J27" s="38"/>
      <c r="K27" s="39"/>
      <c r="L27" s="39"/>
      <c r="M27" s="38"/>
      <c r="N27" s="67" t="str">
        <f>DATA!L33</f>
        <v xml:space="preserve">The Development of Regional Water Supply System of  Banten - Jakarta from Karian Dam </v>
      </c>
      <c r="O27" s="42">
        <f>DATA!Q33</f>
        <v>1</v>
      </c>
      <c r="P27" s="42">
        <f>DATA!R33</f>
        <v>1</v>
      </c>
      <c r="Q27" s="42">
        <f>DATA!S33</f>
        <v>27</v>
      </c>
      <c r="R27" s="83">
        <f>DATA!T33</f>
        <v>40000000</v>
      </c>
      <c r="S27" s="83"/>
      <c r="T27" s="83">
        <f>DATA!V33</f>
        <v>2000000</v>
      </c>
      <c r="U27" s="83">
        <f>DATA!W33</f>
        <v>0</v>
      </c>
      <c r="V27" s="83">
        <f>DATA!X33</f>
        <v>42000000</v>
      </c>
      <c r="W27" s="84" t="str">
        <f>DATA!Y33</f>
        <v>Korea</v>
      </c>
      <c r="X27" s="42" t="str">
        <f>DATA!Z33</f>
        <v>Bilateral</v>
      </c>
      <c r="Y27" s="83">
        <f>DATA!AA33</f>
        <v>40000000</v>
      </c>
      <c r="Z27" s="83">
        <f>DATA!AG33</f>
        <v>0</v>
      </c>
      <c r="AA27" s="42">
        <f>DATA!AH33</f>
        <v>2017</v>
      </c>
      <c r="AB27" s="67" t="str">
        <f>DATA!AI33</f>
        <v>-</v>
      </c>
      <c r="AC27" s="152">
        <f>DATA!AM33</f>
        <v>0</v>
      </c>
      <c r="AD27" s="152" t="str">
        <f>DATA!AN33</f>
        <v>dalam proses
(memiliki FS)</v>
      </c>
      <c r="AE27" s="152" t="str">
        <f>DATA!AO33</f>
        <v>dalam proses
(persiapan)</v>
      </c>
      <c r="AF27" s="67" t="str">
        <f>DATA!AJ33</f>
        <v>FS</v>
      </c>
      <c r="AG27" s="67" t="str">
        <f>DATA!AK33</f>
        <v>Proses pembebasan lahan oleh Pemda</v>
      </c>
      <c r="AH27" s="67" t="str">
        <f>DATA!AL33</f>
        <v>-</v>
      </c>
      <c r="AI27" s="42">
        <f>DATA!AM33</f>
        <v>0</v>
      </c>
      <c r="AJ27" s="42" t="str">
        <f>DATA!AN33</f>
        <v>dalam proses
(memiliki FS)</v>
      </c>
      <c r="AK27" s="42" t="str">
        <f>DATA!AO33</f>
        <v>dalam proses
(persiapan)</v>
      </c>
      <c r="AL27" s="42" t="str">
        <f>DATA!AP33</f>
        <v>belum ada proses tender/lelang</v>
      </c>
      <c r="AM27" s="42" t="str">
        <f>DATA!AY33</f>
        <v>Konfirmasi melalui surat Sekjen nomor KU.01.12-Sj/636 tgl 23 Oktober 2015</v>
      </c>
      <c r="AN27" s="42" t="e">
        <f>DATA!#REF!</f>
        <v>#REF!</v>
      </c>
      <c r="AO27" s="42">
        <f>DATA!AZ33</f>
        <v>0</v>
      </c>
      <c r="AP27" s="152" t="e">
        <f>DATA!#REF!</f>
        <v>#REF!</v>
      </c>
      <c r="AQ27" s="67"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c r="AR27" s="165"/>
    </row>
    <row r="28" spans="1:52" s="6" customFormat="1" ht="56.25" customHeight="1">
      <c r="A28" s="6">
        <f>DATA!A34</f>
        <v>31</v>
      </c>
      <c r="B28" s="6">
        <f>DATA!B34</f>
        <v>0</v>
      </c>
      <c r="C28" s="6" t="str">
        <f>DATA!D34</f>
        <v>INFRASTRUKTUR</v>
      </c>
      <c r="D28" s="6">
        <f>DATA!E34</f>
        <v>1</v>
      </c>
      <c r="E28" s="6" t="str">
        <f>DATA!F34</f>
        <v>Kementerian Pekerjaan Umum dan Perumahan Rakyat</v>
      </c>
      <c r="F28" s="6" t="str">
        <f>DATA!H34</f>
        <v>Drinking Water Development Program</v>
      </c>
      <c r="G28" s="6" t="str">
        <f>DATA!I34</f>
        <v>D</v>
      </c>
      <c r="H28" s="6" t="str">
        <f>DATA!J34</f>
        <v>Program Pembangunan Air Minum</v>
      </c>
      <c r="I28" s="6">
        <f>DATA!K34</f>
        <v>3</v>
      </c>
      <c r="J28" s="38"/>
      <c r="K28" s="39"/>
      <c r="L28" s="39"/>
      <c r="M28" s="43"/>
      <c r="N28" s="67" t="str">
        <f>DATA!L34</f>
        <v xml:space="preserve">The Development of Regional Water Supply System of Mebidang </v>
      </c>
      <c r="O28" s="42">
        <f>DATA!Q34</f>
        <v>1</v>
      </c>
      <c r="P28" s="42">
        <f>DATA!R34</f>
        <v>1</v>
      </c>
      <c r="Q28" s="42">
        <f>DATA!S34</f>
        <v>28</v>
      </c>
      <c r="R28" s="83">
        <f>DATA!T34</f>
        <v>56400000</v>
      </c>
      <c r="S28" s="83"/>
      <c r="T28" s="83">
        <f>DATA!V34</f>
        <v>2820000</v>
      </c>
      <c r="U28" s="83">
        <f>DATA!W34</f>
        <v>0</v>
      </c>
      <c r="V28" s="83">
        <f>DATA!X34</f>
        <v>59220000</v>
      </c>
      <c r="W28" s="84" t="str">
        <f>DATA!Y34</f>
        <v>Jerman (KfW)</v>
      </c>
      <c r="X28" s="42" t="str">
        <f>DATA!Z34</f>
        <v>Bilateral</v>
      </c>
      <c r="Y28" s="83">
        <f>DATA!AA34</f>
        <v>56400000</v>
      </c>
      <c r="Z28" s="83">
        <f>DATA!AG34</f>
        <v>0</v>
      </c>
      <c r="AA28" s="42">
        <f>DATA!AH34</f>
        <v>2017</v>
      </c>
      <c r="AB28" s="67" t="str">
        <f>DATA!AI34</f>
        <v>-</v>
      </c>
      <c r="AC28" s="152">
        <f>DATA!AM34</f>
        <v>0</v>
      </c>
      <c r="AD28" s="152" t="str">
        <f>DATA!AN34</f>
        <v>dalam proses
(memiliki FS dan DED)</v>
      </c>
      <c r="AE28" s="152" t="str">
        <f>DATA!AO34</f>
        <v>dalam proses
(persiapan)</v>
      </c>
      <c r="AF28" s="67" t="str">
        <f>DATA!AJ34</f>
        <v>FS, DED</v>
      </c>
      <c r="AG28" s="67" t="str">
        <f>DATA!AK34</f>
        <v>Proses pembebasan lahan oleh Pemda</v>
      </c>
      <c r="AH28" s="67" t="str">
        <f>DATA!AL34</f>
        <v>-</v>
      </c>
      <c r="AI28" s="42">
        <f>DATA!AM34</f>
        <v>0</v>
      </c>
      <c r="AJ28" s="42" t="str">
        <f>DATA!AN34</f>
        <v>dalam proses
(memiliki FS dan DED)</v>
      </c>
      <c r="AK28" s="42" t="str">
        <f>DATA!AO34</f>
        <v>dalam proses
(persiapan)</v>
      </c>
      <c r="AL28" s="42" t="str">
        <f>DATA!AP34</f>
        <v>belum ada proses tender/lelang</v>
      </c>
      <c r="AM28" s="42" t="str">
        <f>DATA!AY34</f>
        <v>Konfirmasi melalui surat Sekjen nomor KU.01.12-Sj/636 tgl 23 Oktober 2015</v>
      </c>
      <c r="AN28" s="42" t="e">
        <f>DATA!#REF!</f>
        <v>#REF!</v>
      </c>
      <c r="AO28" s="42">
        <f>DATA!AZ34</f>
        <v>0</v>
      </c>
      <c r="AP28" s="152" t="e">
        <f>DATA!#REF!</f>
        <v>#REF!</v>
      </c>
      <c r="AQ28" s="67" t="str">
        <f>DATA!BA34</f>
        <v>Pembangunan IPA dengan kapasitas 1.250 lt/dt, pembangunan jaringan pipa transmisi untuk penyediaan air minum yang melayani 84.558 SR di wilayah Medan, Binjai, dan Deli Serdang.</v>
      </c>
      <c r="AR28" s="165"/>
    </row>
    <row r="29" spans="1:52" ht="48.75" customHeight="1">
      <c r="A29" s="10">
        <f>DATA!A35</f>
        <v>32</v>
      </c>
      <c r="B29" s="10">
        <f>DATA!B35</f>
        <v>0</v>
      </c>
      <c r="C29" s="10" t="str">
        <f>DATA!D35</f>
        <v>INFRASTRUKTUR</v>
      </c>
      <c r="D29" s="10">
        <f>DATA!E35</f>
        <v>1</v>
      </c>
      <c r="E29" s="10" t="str">
        <f>DATA!F35</f>
        <v>Kementerian Pekerjaan Umum dan Perumahan Rakyat</v>
      </c>
      <c r="F29" s="10" t="str">
        <f>DATA!H35</f>
        <v>Drinking Water Development Program</v>
      </c>
      <c r="G29" s="10" t="str">
        <f>DATA!I35</f>
        <v>D</v>
      </c>
      <c r="H29" s="10" t="str">
        <f>DATA!J35</f>
        <v>Program Pembangunan Air Minum</v>
      </c>
      <c r="I29" s="10">
        <f>DATA!K35</f>
        <v>4</v>
      </c>
      <c r="J29" s="33"/>
      <c r="K29" s="34"/>
      <c r="L29" s="34"/>
      <c r="M29" s="36">
        <f>DATA!K35</f>
        <v>4</v>
      </c>
      <c r="N29" s="37" t="str">
        <f>DATA!L35</f>
        <v>Water Supply System and Small Scale Water Treatment:</v>
      </c>
      <c r="O29" s="20">
        <f>DATA!Q35</f>
        <v>0</v>
      </c>
      <c r="P29" s="20">
        <f>DATA!R35</f>
        <v>0</v>
      </c>
      <c r="Q29" s="20">
        <f>DATA!S35</f>
        <v>0</v>
      </c>
      <c r="R29" s="77">
        <f>DATA!T35</f>
        <v>125000000</v>
      </c>
      <c r="S29" s="77"/>
      <c r="T29" s="77">
        <f>DATA!V35</f>
        <v>5800000</v>
      </c>
      <c r="U29" s="77">
        <f>DATA!W35</f>
        <v>0</v>
      </c>
      <c r="V29" s="77">
        <f>DATA!X35</f>
        <v>130800000</v>
      </c>
      <c r="W29" s="78" t="str">
        <f>DATA!Y35</f>
        <v>-</v>
      </c>
      <c r="X29" s="20">
        <f>DATA!Z35</f>
        <v>0</v>
      </c>
      <c r="Y29" s="77">
        <f>DATA!AA35</f>
        <v>125000000</v>
      </c>
      <c r="Z29" s="77">
        <f>DATA!AG35</f>
        <v>0</v>
      </c>
      <c r="AA29" s="20" t="str">
        <f>DATA!AH35</f>
        <v>-</v>
      </c>
      <c r="AB29" s="37" t="str">
        <f>DATA!AI35</f>
        <v>-</v>
      </c>
      <c r="AC29" s="152">
        <f>DATA!AM35</f>
        <v>0</v>
      </c>
      <c r="AD29" s="152" t="str">
        <f>DATA!AN35</f>
        <v>-</v>
      </c>
      <c r="AE29" s="152" t="str">
        <f>DATA!AO35</f>
        <v>-</v>
      </c>
      <c r="AF29" s="37" t="str">
        <f>DATA!AJ35</f>
        <v>-</v>
      </c>
      <c r="AG29" s="37" t="str">
        <f>DATA!AK35</f>
        <v>-</v>
      </c>
      <c r="AH29" s="37" t="str">
        <f>DATA!AL35</f>
        <v>-</v>
      </c>
      <c r="AI29" s="20">
        <f>DATA!AM35</f>
        <v>0</v>
      </c>
      <c r="AJ29" s="20" t="str">
        <f>DATA!AN35</f>
        <v>-</v>
      </c>
      <c r="AK29" s="20" t="str">
        <f>DATA!AO35</f>
        <v>-</v>
      </c>
      <c r="AL29" s="20">
        <f>DATA!AP35</f>
        <v>0</v>
      </c>
      <c r="AM29" s="20" t="str">
        <f>DATA!AY35</f>
        <v>Konfirmasi melalui surat Sekjen nomor KU.01.12-Sj/636 tgl 23 Oktober 2015</v>
      </c>
      <c r="AN29" s="20" t="e">
        <f>DATA!#REF!</f>
        <v>#REF!</v>
      </c>
      <c r="AO29" s="20">
        <f>DATA!AZ35</f>
        <v>0</v>
      </c>
      <c r="AP29" s="152" t="e">
        <f>DATA!#REF!</f>
        <v>#REF!</v>
      </c>
      <c r="AQ29" s="37" t="str">
        <f>DATA!BA35</f>
        <v>Pengadaan dan pembangunan Instalasi Pengolahan Air Minum skala kecil untuk penanganan keadaan darurat dan Ibu Kota Kecamatan (IKK) terpilih</v>
      </c>
      <c r="AR29" s="166"/>
    </row>
    <row r="30" spans="1:52" s="6" customFormat="1" ht="66.75" customHeight="1">
      <c r="A30" s="6">
        <f>DATA!A36</f>
        <v>33</v>
      </c>
      <c r="B30" s="6">
        <f>DATA!B36</f>
        <v>0</v>
      </c>
      <c r="C30" s="6" t="str">
        <f>DATA!D36</f>
        <v>INFRASTRUKTUR</v>
      </c>
      <c r="D30" s="6">
        <f>DATA!E36</f>
        <v>1</v>
      </c>
      <c r="E30" s="6" t="str">
        <f>DATA!F36</f>
        <v>Kementerian Pekerjaan Umum dan Perumahan Rakyat</v>
      </c>
      <c r="F30" s="6" t="str">
        <f>DATA!H36</f>
        <v>Drinking Water Development Program</v>
      </c>
      <c r="G30" s="6" t="str">
        <f>DATA!I36</f>
        <v>D</v>
      </c>
      <c r="H30" s="6" t="str">
        <f>DATA!J36</f>
        <v>Program Pembangunan Air Minum</v>
      </c>
      <c r="I30" s="6">
        <f>DATA!K36</f>
        <v>4</v>
      </c>
      <c r="J30" s="38"/>
      <c r="K30" s="39"/>
      <c r="L30" s="39"/>
      <c r="M30" s="40"/>
      <c r="N30" s="67" t="str">
        <f>DATA!L36</f>
        <v xml:space="preserve">Small Scale Water Treatment Plants for Emergency Relief </v>
      </c>
      <c r="O30" s="42">
        <f>DATA!Q36</f>
        <v>1</v>
      </c>
      <c r="P30" s="42">
        <f>DATA!R36</f>
        <v>1</v>
      </c>
      <c r="Q30" s="42">
        <f>DATA!S36</f>
        <v>29</v>
      </c>
      <c r="R30" s="83">
        <f>DATA!T36</f>
        <v>25000000</v>
      </c>
      <c r="S30" s="83"/>
      <c r="T30" s="83">
        <f>DATA!V36</f>
        <v>800000</v>
      </c>
      <c r="U30" s="83">
        <f>DATA!W36</f>
        <v>0</v>
      </c>
      <c r="V30" s="83">
        <f>DATA!X36</f>
        <v>25800000</v>
      </c>
      <c r="W30" s="84" t="str">
        <f>DATA!Y36</f>
        <v>Spanyol</v>
      </c>
      <c r="X30" s="42" t="str">
        <f>DATA!Z36</f>
        <v>Bilateral</v>
      </c>
      <c r="Y30" s="83">
        <f>DATA!AA36</f>
        <v>25000000</v>
      </c>
      <c r="Z30" s="83">
        <f>DATA!AG36</f>
        <v>0</v>
      </c>
      <c r="AA30" s="42">
        <f>DATA!AH36</f>
        <v>2016</v>
      </c>
      <c r="AB30" s="67" t="str">
        <f>DATA!AI36</f>
        <v>- Sudah ada R/C
- Green Book 2015
 - Proses Loan Agreement</v>
      </c>
      <c r="AC30" s="152" t="str">
        <f>DATA!AM36</f>
        <v>2016; 2015</v>
      </c>
      <c r="AD30" s="152" t="str">
        <f>DATA!AN36</f>
        <v>siap</v>
      </c>
      <c r="AE30" s="152" t="str">
        <f>DATA!AO36</f>
        <v>dalam proses
(persiapan)</v>
      </c>
      <c r="AF30" s="67" t="str">
        <f>DATA!AJ36</f>
        <v>FS</v>
      </c>
      <c r="AG30" s="67" t="str">
        <f>DATA!AK36</f>
        <v>-</v>
      </c>
      <c r="AH30" s="67" t="str">
        <f>DATA!AL36</f>
        <v>-</v>
      </c>
      <c r="AI30" s="42" t="str">
        <f>DATA!AM36</f>
        <v>2016; 2015</v>
      </c>
      <c r="AJ30" s="42" t="str">
        <f>DATA!AN36</f>
        <v>siap</v>
      </c>
      <c r="AK30" s="42" t="str">
        <f>DATA!AO36</f>
        <v>dalam proses
(persiapan)</v>
      </c>
      <c r="AL30" s="42" t="str">
        <f>DATA!AP36</f>
        <v>belum ada proses tender/lelang</v>
      </c>
      <c r="AM30" s="42" t="str">
        <f>DATA!AY36</f>
        <v>Konfirmasi melalui surat Sekjen nomor KU.01.12-Sj/636 tgl 23 Oktober 2015</v>
      </c>
      <c r="AN30" s="42" t="e">
        <f>DATA!#REF!</f>
        <v>#REF!</v>
      </c>
      <c r="AO30" s="42">
        <f>DATA!AZ36</f>
        <v>0</v>
      </c>
      <c r="AP30" s="152" t="e">
        <f>DATA!#REF!</f>
        <v>#REF!</v>
      </c>
      <c r="AQ30" s="67" t="str">
        <f>DATA!BA36</f>
        <v>Pengadaan Instalasi Pengolahan Air (IPA) yang dapat dipindahkan (mobile) untuk penanganan keadaan darurat,  yang dilengkapi dengan alat pendukung, truk, dan sistem komunikasi di 4 lokasi (kota Medan, Bekasi, Makassar, dan Surabaya)</v>
      </c>
      <c r="AR30" s="165"/>
    </row>
    <row r="31" spans="1:52" ht="35.25" customHeight="1">
      <c r="J31" s="33"/>
      <c r="K31" s="34"/>
      <c r="L31" s="34"/>
      <c r="M31" s="33"/>
      <c r="N31" s="37" t="str">
        <f>DATA!L37</f>
        <v>IKK Water Supply Program and Small Water Treatment Plant for Water Scarcity Area</v>
      </c>
      <c r="O31" s="20">
        <f>DATA!Q37</f>
        <v>0</v>
      </c>
      <c r="P31" s="20">
        <f>DATA!R37</f>
        <v>1</v>
      </c>
      <c r="Q31" s="20">
        <f>DATA!S37</f>
        <v>30</v>
      </c>
      <c r="R31" s="77">
        <f>DATA!T37</f>
        <v>100000000</v>
      </c>
      <c r="S31" s="77"/>
      <c r="T31" s="77">
        <f>DATA!V37</f>
        <v>5000000</v>
      </c>
      <c r="U31" s="77">
        <f>DATA!W37</f>
        <v>0</v>
      </c>
      <c r="V31" s="77">
        <f>DATA!X37</f>
        <v>105000000</v>
      </c>
      <c r="W31" s="78" t="str">
        <f>DATA!Y37</f>
        <v>-</v>
      </c>
      <c r="X31" s="20">
        <f>DATA!Z37</f>
        <v>0</v>
      </c>
      <c r="Y31" s="77">
        <f>DATA!AA37</f>
        <v>100000000</v>
      </c>
      <c r="Z31" s="77">
        <f>DATA!AG37</f>
        <v>0</v>
      </c>
      <c r="AA31" s="104" t="str">
        <f>DATA!AH37</f>
        <v>-</v>
      </c>
      <c r="AB31" s="105" t="str">
        <f>DATA!AI37</f>
        <v>-</v>
      </c>
      <c r="AC31" s="152" t="str">
        <f>DATA!AM37</f>
        <v>-</v>
      </c>
      <c r="AD31" s="152" t="str">
        <f>DATA!AN37</f>
        <v>-</v>
      </c>
      <c r="AE31" s="152" t="str">
        <f>DATA!AO37</f>
        <v>-</v>
      </c>
      <c r="AF31" s="105" t="str">
        <f>DATA!AJ37</f>
        <v>-</v>
      </c>
      <c r="AG31" s="105" t="str">
        <f>DATA!AK37</f>
        <v>-</v>
      </c>
      <c r="AH31" s="105" t="str">
        <f>DATA!AL37</f>
        <v>-</v>
      </c>
      <c r="AI31" s="104" t="str">
        <f>DATA!AM37</f>
        <v>-</v>
      </c>
      <c r="AJ31" s="104" t="str">
        <f>DATA!AN37</f>
        <v>-</v>
      </c>
      <c r="AK31" s="104" t="str">
        <f>DATA!AO37</f>
        <v>-</v>
      </c>
      <c r="AL31" s="104" t="str">
        <f>DATA!AP37</f>
        <v>-</v>
      </c>
      <c r="AM31" s="104" t="str">
        <f>DATA!AY37</f>
        <v>Konfirmasi melalui surat Sekjen nomor KU.01.12-Sj/636 tgl 23 Oktober 2015</v>
      </c>
      <c r="AN31" s="104" t="e">
        <f>DATA!#REF!</f>
        <v>#REF!</v>
      </c>
      <c r="AO31" s="104" t="str">
        <f>DATA!AZ37</f>
        <v>-</v>
      </c>
      <c r="AP31" s="152" t="e">
        <f>DATA!#REF!</f>
        <v>#REF!</v>
      </c>
      <c r="AQ31" s="105" t="str">
        <f>DATA!BA37</f>
        <v>-</v>
      </c>
      <c r="AR31" s="167"/>
    </row>
    <row r="32" spans="1:52" s="7" customFormat="1" ht="89.25">
      <c r="A32" s="6">
        <f>DATA!A38</f>
        <v>34</v>
      </c>
      <c r="B32" s="6">
        <f>DATA!B38</f>
        <v>0</v>
      </c>
      <c r="C32" s="6" t="str">
        <f>DATA!D38</f>
        <v>INFRASTRUKTUR</v>
      </c>
      <c r="D32" s="6">
        <f>DATA!E38</f>
        <v>1</v>
      </c>
      <c r="E32" s="6" t="str">
        <f>DATA!F38</f>
        <v>Kementerian Pekerjaan Umum dan Perumahan Rakyat</v>
      </c>
      <c r="F32" s="6" t="str">
        <f>DATA!H38</f>
        <v>Drinking Water Development Program</v>
      </c>
      <c r="G32" s="6" t="str">
        <f>DATA!I38</f>
        <v>D</v>
      </c>
      <c r="H32" s="6" t="str">
        <f>DATA!J38</f>
        <v>Program Pembangunan Air Minum</v>
      </c>
      <c r="I32" s="6">
        <f>DATA!K38</f>
        <v>4</v>
      </c>
      <c r="J32" s="44"/>
      <c r="K32" s="45"/>
      <c r="L32" s="69"/>
      <c r="M32" s="70"/>
      <c r="N32" s="68" t="str">
        <f>DATA!L38</f>
        <v>IKK Water Supply Program and Small Water Treatment Plant for Water Scarcity Area</v>
      </c>
      <c r="O32" s="42">
        <f>DATA!Q38</f>
        <v>0.5</v>
      </c>
      <c r="P32" s="42">
        <f>DATA!R38</f>
        <v>0</v>
      </c>
      <c r="Q32" s="42">
        <f>DATA!S38</f>
        <v>0</v>
      </c>
      <c r="R32" s="85">
        <f>DATA!T38</f>
        <v>0</v>
      </c>
      <c r="S32" s="85"/>
      <c r="T32" s="85">
        <f>DATA!V38</f>
        <v>0</v>
      </c>
      <c r="U32" s="85">
        <f>DATA!W38</f>
        <v>0</v>
      </c>
      <c r="V32" s="85">
        <f>DATA!X38</f>
        <v>0</v>
      </c>
      <c r="W32" s="86" t="str">
        <f>DATA!Y38</f>
        <v>Hungaria</v>
      </c>
      <c r="X32" s="42" t="str">
        <f>DATA!Z38</f>
        <v>Bilateral</v>
      </c>
      <c r="Y32" s="85">
        <f>DATA!AA38</f>
        <v>50000000</v>
      </c>
      <c r="Z32" s="83">
        <f>DATA!AG38</f>
        <v>0</v>
      </c>
      <c r="AA32" s="98">
        <f>DATA!AH38</f>
        <v>2016</v>
      </c>
      <c r="AB32" s="68" t="str">
        <f>DATA!AI38</f>
        <v>- Sudah ada R/C
- Green Book 2015
- Proses LA</v>
      </c>
      <c r="AC32" s="152" t="str">
        <f>DATA!AM38</f>
        <v>2016; 2015</v>
      </c>
      <c r="AD32" s="152" t="str">
        <f>DATA!AN38</f>
        <v>siap</v>
      </c>
      <c r="AE32" s="152" t="str">
        <f>DATA!AO38</f>
        <v>dalam proses
(pelaksanaan &lt;50%)</v>
      </c>
      <c r="AF32" s="68" t="str">
        <f>DATA!AJ38</f>
        <v>Surat minat, RISPAM, DED, SIPA, Organisasi Pelaksana, DDUB</v>
      </c>
      <c r="AG32" s="68" t="str">
        <f>DATA!AK38</f>
        <v>Sebagian lokasi dalam proses pembebasan lahan oleh Pemda</v>
      </c>
      <c r="AH32" s="68" t="str">
        <f>DATA!AL38</f>
        <v>Dalam proses pengadaan</v>
      </c>
      <c r="AI32" s="42" t="str">
        <f>DATA!AM38</f>
        <v>2016; 2015</v>
      </c>
      <c r="AJ32" s="42" t="str">
        <f>DATA!AN38</f>
        <v>siap</v>
      </c>
      <c r="AK32" s="42" t="str">
        <f>DATA!AO38</f>
        <v>dalam proses
(pelaksanaan &lt;50%)</v>
      </c>
      <c r="AL32" s="42" t="str">
        <f>DATA!AP38</f>
        <v>dalam proses tender/lelang</v>
      </c>
      <c r="AM32" s="42" t="str">
        <f>DATA!AY38</f>
        <v>Konfirmasi melalui surat Sekjen nomor KU.01.12-Sj/636 tgl 23 Oktober 2015</v>
      </c>
      <c r="AN32" s="42" t="e">
        <f>DATA!#REF!</f>
        <v>#REF!</v>
      </c>
      <c r="AO32" s="42"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P32" s="161" t="e">
        <f>DATA!#REF!</f>
        <v>#REF!</v>
      </c>
      <c r="AQ32" s="67"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c r="AR32" s="164">
        <v>1</v>
      </c>
      <c r="AW32" s="7">
        <v>1</v>
      </c>
    </row>
    <row r="33" spans="1:52" s="7" customFormat="1" ht="30" customHeight="1">
      <c r="A33" s="6"/>
      <c r="B33" s="6"/>
      <c r="C33" s="6"/>
      <c r="D33" s="6"/>
      <c r="E33" s="6"/>
      <c r="F33" s="6"/>
      <c r="G33" s="6"/>
      <c r="H33" s="6"/>
      <c r="I33" s="6"/>
      <c r="J33" s="44"/>
      <c r="K33" s="45"/>
      <c r="L33" s="69"/>
      <c r="M33" s="70"/>
      <c r="N33" s="68" t="str">
        <f>DATA!L39</f>
        <v>IKK Water Supply Program and Small Water Treatment Plant for Water Scarcity Area</v>
      </c>
      <c r="O33" s="42">
        <f>DATA!Q39</f>
        <v>0.5</v>
      </c>
      <c r="P33" s="42">
        <f>DATA!R39</f>
        <v>0</v>
      </c>
      <c r="Q33" s="42">
        <f>DATA!S39</f>
        <v>0</v>
      </c>
      <c r="R33" s="85">
        <f>DATA!T39</f>
        <v>0</v>
      </c>
      <c r="S33" s="85"/>
      <c r="T33" s="85">
        <f>DATA!V39</f>
        <v>0</v>
      </c>
      <c r="U33" s="85">
        <f>DATA!W39</f>
        <v>0</v>
      </c>
      <c r="V33" s="85">
        <f>DATA!X39</f>
        <v>0</v>
      </c>
      <c r="W33" s="86" t="str">
        <f>DATA!Y39</f>
        <v>IDB</v>
      </c>
      <c r="X33" s="42" t="str">
        <f>DATA!Z39</f>
        <v>Multilateral</v>
      </c>
      <c r="Y33" s="85">
        <f>DATA!AA39</f>
        <v>50000000</v>
      </c>
      <c r="Z33" s="83">
        <f>DATA!AG39</f>
        <v>0</v>
      </c>
      <c r="AA33" s="98">
        <f>DATA!AH39</f>
        <v>2017</v>
      </c>
      <c r="AB33" s="68" t="str">
        <f>DATA!AI39</f>
        <v>-</v>
      </c>
      <c r="AC33" s="152">
        <f>DATA!AM39</f>
        <v>0</v>
      </c>
      <c r="AD33" s="152" t="str">
        <f>DATA!AN39</f>
        <v>siap</v>
      </c>
      <c r="AE33" s="152" t="str">
        <f>DATA!AO39</f>
        <v>dalam proses
(pelaksanaan &lt;50%)</v>
      </c>
      <c r="AF33" s="68" t="str">
        <f>DATA!AJ39</f>
        <v>-</v>
      </c>
      <c r="AG33" s="68" t="str">
        <f>DATA!AK39</f>
        <v>-</v>
      </c>
      <c r="AH33" s="68" t="str">
        <f>DATA!AL39</f>
        <v>-</v>
      </c>
      <c r="AI33" s="42">
        <f>DATA!AM39</f>
        <v>0</v>
      </c>
      <c r="AJ33" s="42" t="str">
        <f>DATA!AN39</f>
        <v>siap</v>
      </c>
      <c r="AK33" s="42" t="str">
        <f>DATA!AO39</f>
        <v>dalam proses
(pelaksanaan &lt;50%)</v>
      </c>
      <c r="AL33" s="42" t="str">
        <f>DATA!AP39</f>
        <v>belum ada proses tender/lelang</v>
      </c>
      <c r="AM33" s="42" t="str">
        <f>DATA!AY39</f>
        <v>Konfirmasi melalui surat Sekjen nomor KU.01.12-Sj/636 tgl 23 Oktober 2015</v>
      </c>
      <c r="AN33" s="42" t="e">
        <f>DATA!#REF!</f>
        <v>#REF!</v>
      </c>
      <c r="AO33" s="42">
        <f>DATA!AZ39</f>
        <v>0</v>
      </c>
      <c r="AP33" s="161" t="e">
        <f>DATA!#REF!</f>
        <v>#REF!</v>
      </c>
      <c r="AQ33" s="67">
        <f>DATA!BA39</f>
        <v>0</v>
      </c>
      <c r="AR33" s="164"/>
    </row>
    <row r="34" spans="1:52" s="7" customFormat="1" ht="54" customHeight="1">
      <c r="A34" s="6"/>
      <c r="B34" s="6"/>
      <c r="C34" s="6"/>
      <c r="D34" s="6"/>
      <c r="E34" s="6"/>
      <c r="F34" s="6"/>
      <c r="G34" s="6"/>
      <c r="H34" s="6"/>
      <c r="I34" s="6"/>
      <c r="J34" s="44"/>
      <c r="K34" s="45"/>
      <c r="L34" s="69"/>
      <c r="M34" s="60">
        <f>DATA!K40</f>
        <v>5</v>
      </c>
      <c r="N34" s="61" t="str">
        <f>DATA!L40</f>
        <v>Engineering Service for Water Supply Development Project</v>
      </c>
      <c r="O34" s="20">
        <f>DATA!Q40</f>
        <v>0</v>
      </c>
      <c r="P34" s="20">
        <f>DATA!R40</f>
        <v>1</v>
      </c>
      <c r="Q34" s="20">
        <f>DATA!S40</f>
        <v>0</v>
      </c>
      <c r="R34" s="89">
        <f>DATA!T40</f>
        <v>0</v>
      </c>
      <c r="S34" s="89"/>
      <c r="T34" s="89">
        <f>DATA!V40</f>
        <v>0</v>
      </c>
      <c r="U34" s="89">
        <f>DATA!W40</f>
        <v>0</v>
      </c>
      <c r="V34" s="89">
        <f>DATA!X40</f>
        <v>0</v>
      </c>
      <c r="W34" s="90" t="str">
        <f>DATA!Y40</f>
        <v>ADB</v>
      </c>
      <c r="X34" s="20" t="str">
        <f>DATA!Z40</f>
        <v>Multilateral</v>
      </c>
      <c r="Y34" s="89">
        <f>DATA!AA40</f>
        <v>26380000</v>
      </c>
      <c r="Z34" s="77">
        <f>DATA!AG40</f>
        <v>0</v>
      </c>
      <c r="AA34" s="103">
        <f>DATA!AH40</f>
        <v>2016</v>
      </c>
      <c r="AB34" s="61" t="str">
        <f>DATA!AI40</f>
        <v>- Green Book 2015</v>
      </c>
      <c r="AC34" s="152" t="str">
        <f>DATA!AM40</f>
        <v>2015; 2016</v>
      </c>
      <c r="AD34" s="152" t="str">
        <f>DATA!AN40</f>
        <v>siap</v>
      </c>
      <c r="AE34" s="152" t="str">
        <f>DATA!AO40</f>
        <v>tidak butuh lahan</v>
      </c>
      <c r="AF34" s="61" t="str">
        <f>DATA!AJ40</f>
        <v>-</v>
      </c>
      <c r="AG34" s="61" t="str">
        <f>DATA!AK40</f>
        <v>-</v>
      </c>
      <c r="AH34" s="61" t="str">
        <f>DATA!AL40</f>
        <v>-</v>
      </c>
      <c r="AI34" s="42"/>
      <c r="AJ34" s="42"/>
      <c r="AK34" s="42"/>
      <c r="AL34" s="42"/>
      <c r="AM34" s="42"/>
      <c r="AN34" s="42"/>
      <c r="AO34" s="42"/>
      <c r="AP34" s="161" t="e">
        <f>DATA!#REF!</f>
        <v>#REF!</v>
      </c>
      <c r="AQ34" s="67"/>
      <c r="AR34" s="164">
        <v>1</v>
      </c>
      <c r="AZ34" s="7">
        <v>1</v>
      </c>
    </row>
    <row r="35" spans="1:52" s="5" customFormat="1" ht="33.75" customHeight="1">
      <c r="J35" s="28"/>
      <c r="K35" s="50"/>
      <c r="L35" s="30" t="str">
        <f>DATA!I41</f>
        <v>E</v>
      </c>
      <c r="M35" s="31" t="str">
        <f>DATA!J41</f>
        <v xml:space="preserve">Program Pembangunan Sistem Pengelolaan Air Limbah </v>
      </c>
      <c r="N35" s="51"/>
      <c r="O35" s="31"/>
      <c r="P35" s="31"/>
      <c r="Q35" s="31"/>
      <c r="R35" s="81">
        <f>+R36+R39+R40+R41+R45+R46</f>
        <v>3583000000</v>
      </c>
      <c r="S35" s="81"/>
      <c r="T35" s="81">
        <f t="shared" ref="T35:Z35" si="0">+T36+T39+T40+T41+T45+T46</f>
        <v>179150000</v>
      </c>
      <c r="U35" s="81">
        <f t="shared" si="0"/>
        <v>0</v>
      </c>
      <c r="V35" s="81">
        <f t="shared" si="0"/>
        <v>3762150000</v>
      </c>
      <c r="W35" s="149"/>
      <c r="X35" s="81" t="e">
        <f t="shared" si="0"/>
        <v>#VALUE!</v>
      </c>
      <c r="Y35" s="81">
        <f t="shared" si="0"/>
        <v>3583000000</v>
      </c>
      <c r="Z35" s="81">
        <f t="shared" si="0"/>
        <v>0</v>
      </c>
      <c r="AA35" s="31"/>
      <c r="AB35" s="32"/>
      <c r="AC35" s="32"/>
      <c r="AD35" s="32"/>
      <c r="AE35" s="32"/>
      <c r="AF35" s="32"/>
      <c r="AG35" s="32"/>
      <c r="AH35" s="32"/>
      <c r="AI35" s="31"/>
      <c r="AJ35" s="31"/>
      <c r="AK35" s="31"/>
      <c r="AL35" s="31"/>
      <c r="AM35" s="31"/>
      <c r="AN35" s="31"/>
      <c r="AO35" s="31"/>
      <c r="AP35" s="32"/>
      <c r="AQ35" s="32"/>
      <c r="AR35" s="160"/>
    </row>
    <row r="36" spans="1:52" ht="57.75" customHeight="1">
      <c r="A36" s="10">
        <f>DATA!A41</f>
        <v>35</v>
      </c>
      <c r="B36" s="10">
        <f>DATA!B41</f>
        <v>0</v>
      </c>
      <c r="C36" s="10" t="str">
        <f>DATA!D41</f>
        <v>INFRASTRUKTUR</v>
      </c>
      <c r="D36" s="10">
        <f>DATA!E41</f>
        <v>1</v>
      </c>
      <c r="E36" s="10" t="str">
        <f>DATA!F41</f>
        <v>Kementerian Pekerjaan Umum dan Perumahan Rakyat</v>
      </c>
      <c r="F36" s="10" t="str">
        <f>DATA!H41</f>
        <v>Development of Waste Water Management Program</v>
      </c>
      <c r="G36" s="10" t="str">
        <f>DATA!I41</f>
        <v>E</v>
      </c>
      <c r="H36" s="10" t="str">
        <f>DATA!J41</f>
        <v xml:space="preserve">Program Pembangunan Sistem Pengelolaan Air Limbah </v>
      </c>
      <c r="I36" s="10">
        <f>DATA!K41</f>
        <v>1</v>
      </c>
      <c r="J36" s="33"/>
      <c r="K36" s="34"/>
      <c r="L36" s="35"/>
      <c r="M36" s="36">
        <f>DATA!K41</f>
        <v>1</v>
      </c>
      <c r="N36" s="37" t="str">
        <f>DATA!L41</f>
        <v>Community Based Sanitation Program (SANIMAS)</v>
      </c>
      <c r="O36" s="37">
        <f>DATA!Q41</f>
        <v>0</v>
      </c>
      <c r="P36" s="37">
        <f>DATA!R41</f>
        <v>1</v>
      </c>
      <c r="Q36" s="37">
        <f>DATA!S41</f>
        <v>31</v>
      </c>
      <c r="R36" s="87">
        <f>DATA!T41</f>
        <v>250000000</v>
      </c>
      <c r="S36" s="87"/>
      <c r="T36" s="87">
        <f>DATA!V41</f>
        <v>12500000</v>
      </c>
      <c r="U36" s="87">
        <f>DATA!W41</f>
        <v>0</v>
      </c>
      <c r="V36" s="87">
        <f>DATA!X41</f>
        <v>262500000</v>
      </c>
      <c r="W36" s="37" t="str">
        <f>DATA!Y41</f>
        <v>-</v>
      </c>
      <c r="X36" s="37">
        <f>DATA!Z41</f>
        <v>0</v>
      </c>
      <c r="Y36" s="37">
        <f>DATA!AA41</f>
        <v>250000000</v>
      </c>
      <c r="Z36" s="87">
        <f>DATA!AG41</f>
        <v>0</v>
      </c>
      <c r="AA36" s="37" t="str">
        <f>DATA!AH41</f>
        <v>-</v>
      </c>
      <c r="AB36" s="37" t="str">
        <f>DATA!AI41</f>
        <v>-</v>
      </c>
      <c r="AC36" s="152" t="str">
        <f>DATA!AM41</f>
        <v>-</v>
      </c>
      <c r="AD36" s="152" t="str">
        <f>DATA!AN41</f>
        <v>-</v>
      </c>
      <c r="AE36" s="152" t="str">
        <f>DATA!AO41</f>
        <v>-</v>
      </c>
      <c r="AF36" s="37" t="str">
        <f>DATA!AJ41</f>
        <v>-</v>
      </c>
      <c r="AG36" s="37" t="str">
        <f>DATA!AK41</f>
        <v>-</v>
      </c>
      <c r="AH36" s="37" t="str">
        <f>DATA!AL41</f>
        <v>-</v>
      </c>
      <c r="AI36" s="37" t="str">
        <f>DATA!AM41</f>
        <v>-</v>
      </c>
      <c r="AJ36" s="37" t="str">
        <f>DATA!AN41</f>
        <v>-</v>
      </c>
      <c r="AK36" s="37" t="str">
        <f>DATA!AO41</f>
        <v>-</v>
      </c>
      <c r="AL36" s="37" t="str">
        <f>DATA!AP41</f>
        <v>belum ada proses tender/lelang</v>
      </c>
      <c r="AM36" s="37" t="str">
        <f>DATA!AY41</f>
        <v>- Merupakan kelanjutan dari kegiatan Urban Sanitation and Rural Infrastructure Support to PNPM Mandiri Projrct (USRI) yang telah berakhir pada tanggal 30 Juni 2015
- Konfirmasi melalui surat Sekjen nomor KU.01.12-Sj/636 tgl 23 Oktober 2015</v>
      </c>
      <c r="AN36" s="37" t="e">
        <f>DATA!#REF!</f>
        <v>#REF!</v>
      </c>
      <c r="AO36" s="37" t="str">
        <f>DATA!AZ41</f>
        <v>- ADB akan co-financing dengan IDB dan diindikasikan akan mendanai kegiatan ini sebesar USD 125 juta untuk wilayah Indonesia Timur
'- IDB akan co-financing dengan ADB dan diindikasikan akan mendanai kegiatan ini sebesar USD 25 juta untuk wilayah Indonesia Barat</v>
      </c>
      <c r="AP36" s="152" t="e">
        <f>DATA!#REF!</f>
        <v>#REF!</v>
      </c>
      <c r="AQ36" s="37" t="str">
        <f>DATA!BA41</f>
        <v>Bantuan langsung masyarakat, penguatan institusi pengelola, dan jasa konsultasi.</v>
      </c>
      <c r="AR36" s="166"/>
    </row>
    <row r="37" spans="1:52" s="7" customFormat="1" ht="55.5" customHeight="1">
      <c r="A37" s="6"/>
      <c r="B37" s="6"/>
      <c r="C37" s="6"/>
      <c r="D37" s="6"/>
      <c r="E37" s="6"/>
      <c r="F37" s="6"/>
      <c r="G37" s="6"/>
      <c r="H37" s="6"/>
      <c r="I37" s="6"/>
      <c r="J37" s="44"/>
      <c r="K37" s="45"/>
      <c r="L37" s="45"/>
      <c r="M37" s="46"/>
      <c r="N37" s="68" t="str">
        <f>DATA!L42</f>
        <v>Community Based Sanitation Program (SANIMAS)</v>
      </c>
      <c r="O37" s="67">
        <f>DATA!Q42</f>
        <v>0.5</v>
      </c>
      <c r="P37" s="67">
        <f>DATA!R42</f>
        <v>1</v>
      </c>
      <c r="Q37" s="67">
        <f>DATA!S42</f>
        <v>31</v>
      </c>
      <c r="R37" s="140">
        <f>DATA!T42</f>
        <v>0</v>
      </c>
      <c r="S37" s="140"/>
      <c r="T37" s="140">
        <f>DATA!V42</f>
        <v>0</v>
      </c>
      <c r="U37" s="140">
        <f>DATA!W42</f>
        <v>0</v>
      </c>
      <c r="V37" s="140">
        <f>DATA!X42</f>
        <v>0</v>
      </c>
      <c r="W37" s="86" t="str">
        <f>DATA!Y42</f>
        <v>ADB</v>
      </c>
      <c r="X37" s="67" t="str">
        <f>DATA!Z42</f>
        <v>Multilateral</v>
      </c>
      <c r="Y37" s="68">
        <f>DATA!AA42</f>
        <v>125000000</v>
      </c>
      <c r="Z37" s="93">
        <f>DATA!AG42</f>
        <v>0</v>
      </c>
      <c r="AA37" s="68">
        <f>DATA!AH42</f>
        <v>2016</v>
      </c>
      <c r="AB37" s="68" t="str">
        <f>DATA!AI42</f>
        <v>-</v>
      </c>
      <c r="AC37" s="152">
        <f>DATA!AM42</f>
        <v>0</v>
      </c>
      <c r="AD37" s="152" t="str">
        <f>DATA!AN42</f>
        <v>belum ada keterangan</v>
      </c>
      <c r="AE37" s="152" t="str">
        <f>DATA!AO42</f>
        <v>tidak butuh lahan</v>
      </c>
      <c r="AF37" s="68" t="str">
        <f>DATA!AJ42</f>
        <v>-</v>
      </c>
      <c r="AG37" s="68" t="str">
        <f>DATA!AK42</f>
        <v>Tidak ada kegiatan pengadaan lahan, lahan akan diperoleh dari masyarakat</v>
      </c>
      <c r="AH37" s="68" t="str">
        <f>DATA!AL42</f>
        <v>-</v>
      </c>
      <c r="AI37" s="67">
        <f>DATA!AM42</f>
        <v>0</v>
      </c>
      <c r="AJ37" s="67" t="str">
        <f>DATA!AN42</f>
        <v>belum ada keterangan</v>
      </c>
      <c r="AK37" s="67" t="str">
        <f>DATA!AO42</f>
        <v>tidak butuh lahan</v>
      </c>
      <c r="AL37" s="67" t="str">
        <f>DATA!AP42</f>
        <v>belum ada proses tender/lelang</v>
      </c>
      <c r="AM37" s="67" t="str">
        <f>DATA!AY42</f>
        <v>- Merupakan kelanjutan dari kegiatan Urban Sanitation and Rural Infrastructure Support to PNPM Mandiri Projrct (USRI) yang telah berakhir pada tanggal 30 Juni 2015
- Konfirmasi melalui e-mail tanggal 17, 18, dan 21 Sept 2015</v>
      </c>
      <c r="AN37" s="67" t="e">
        <f>DATA!#REF!</f>
        <v>#REF!</v>
      </c>
      <c r="AO37" s="6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P37" s="161" t="e">
        <f>DATA!#REF!</f>
        <v>#REF!</v>
      </c>
      <c r="AQ37" s="67" t="str">
        <f>DATA!BA42</f>
        <v>Bantuan langsung masyarakat, penguatan institusi pengelola, dan jasa konsultasi.</v>
      </c>
      <c r="AR37" s="164">
        <v>1</v>
      </c>
      <c r="AV37" s="7">
        <v>1</v>
      </c>
    </row>
    <row r="38" spans="1:52" s="7" customFormat="1" ht="46.5" customHeight="1">
      <c r="A38" s="6"/>
      <c r="B38" s="6"/>
      <c r="C38" s="6"/>
      <c r="D38" s="6"/>
      <c r="E38" s="6"/>
      <c r="F38" s="6"/>
      <c r="G38" s="6"/>
      <c r="H38" s="6"/>
      <c r="I38" s="6"/>
      <c r="J38" s="44"/>
      <c r="K38" s="45"/>
      <c r="L38" s="45"/>
      <c r="M38" s="46"/>
      <c r="N38" s="68" t="str">
        <f>DATA!L43</f>
        <v>Community Based Sanitation Program (SANIMAS)</v>
      </c>
      <c r="O38" s="67">
        <f>DATA!Q43</f>
        <v>0.5</v>
      </c>
      <c r="P38" s="67">
        <f>DATA!R43</f>
        <v>1</v>
      </c>
      <c r="Q38" s="67">
        <f>DATA!S43</f>
        <v>31</v>
      </c>
      <c r="R38" s="140">
        <f>DATA!T43</f>
        <v>0</v>
      </c>
      <c r="S38" s="140"/>
      <c r="T38" s="140">
        <f>DATA!V43</f>
        <v>0</v>
      </c>
      <c r="U38" s="140">
        <f>DATA!W43</f>
        <v>0</v>
      </c>
      <c r="V38" s="140">
        <f>DATA!X43</f>
        <v>0</v>
      </c>
      <c r="W38" s="86" t="str">
        <f>DATA!Y43</f>
        <v>IDB</v>
      </c>
      <c r="X38" s="67" t="str">
        <f>DATA!Z43</f>
        <v>Multilateral</v>
      </c>
      <c r="Y38" s="68">
        <f>DATA!AA43</f>
        <v>125000000</v>
      </c>
      <c r="Z38" s="93">
        <f>DATA!AG43</f>
        <v>0</v>
      </c>
      <c r="AA38" s="68">
        <f>DATA!AH43</f>
        <v>2017</v>
      </c>
      <c r="AB38" s="68" t="str">
        <f>DATA!AI43</f>
        <v>-</v>
      </c>
      <c r="AC38" s="152">
        <f>DATA!AM43</f>
        <v>0</v>
      </c>
      <c r="AD38" s="152" t="str">
        <f>DATA!AN43</f>
        <v>belum ada keterangan</v>
      </c>
      <c r="AE38" s="152" t="str">
        <f>DATA!AO43</f>
        <v>tidak butuh lahan</v>
      </c>
      <c r="AF38" s="68" t="str">
        <f>DATA!AJ43</f>
        <v>-</v>
      </c>
      <c r="AG38" s="68" t="str">
        <f>DATA!AK43</f>
        <v>Tidak ada kegiatan pengadaan lahan, lahan akan diperoleh dari masyarakat</v>
      </c>
      <c r="AH38" s="68" t="str">
        <f>DATA!AL43</f>
        <v>-</v>
      </c>
      <c r="AI38" s="67">
        <f>DATA!AM43</f>
        <v>0</v>
      </c>
      <c r="AJ38" s="67" t="str">
        <f>DATA!AN43</f>
        <v>belum ada keterangan</v>
      </c>
      <c r="AK38" s="67" t="str">
        <f>DATA!AO43</f>
        <v>tidak butuh lahan</v>
      </c>
      <c r="AL38" s="67" t="str">
        <f>DATA!AP43</f>
        <v>belum ada proses tender/lelang</v>
      </c>
      <c r="AM38" s="67" t="str">
        <f>DATA!AY43</f>
        <v>- Merupakan kelanjutan dari kegiatan Urban Sanitation and Rural Infrastructure Support to PNPM Mandiri Projrct (USRI) yang telah berakhir pada tanggal 30 Juni 2015
- Konfirmasi melalui surat Sekjen nomor KU.01.12-Sj/636 tgl 23 Oktober 2015</v>
      </c>
      <c r="AN38" s="67" t="e">
        <f>DATA!#REF!</f>
        <v>#REF!</v>
      </c>
      <c r="AO38" s="6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P38" s="161" t="e">
        <f>DATA!#REF!</f>
        <v>#REF!</v>
      </c>
      <c r="AQ38" s="67" t="str">
        <f>DATA!BA43</f>
        <v>Bantuan langsung masyarakat, penguatan institusi pengelola, dan jasa konsultasi.</v>
      </c>
      <c r="AR38" s="164"/>
      <c r="AV38" s="7">
        <v>1</v>
      </c>
    </row>
    <row r="39" spans="1:52" ht="80.25" customHeight="1">
      <c r="A39" s="10">
        <f>DATA!A44</f>
        <v>36</v>
      </c>
      <c r="B39" s="10">
        <f>DATA!B44</f>
        <v>0</v>
      </c>
      <c r="C39" s="10" t="str">
        <f>DATA!D44</f>
        <v>INFRASTRUKTUR</v>
      </c>
      <c r="D39" s="10">
        <f>DATA!E44</f>
        <v>1</v>
      </c>
      <c r="E39" s="10" t="str">
        <f>DATA!F44</f>
        <v>Kementerian Pekerjaan Umum dan Perumahan Rakyat</v>
      </c>
      <c r="F39" s="10" t="str">
        <f>DATA!H44</f>
        <v>Development of Waste Water Management Program</v>
      </c>
      <c r="G39" s="10" t="str">
        <f>DATA!I44</f>
        <v>E</v>
      </c>
      <c r="H39" s="10" t="str">
        <f>DATA!J44</f>
        <v xml:space="preserve">Program Pembangunan Sistem Pengelolaan Air Limbah </v>
      </c>
      <c r="I39" s="10">
        <f>DATA!K44</f>
        <v>2</v>
      </c>
      <c r="J39" s="33"/>
      <c r="K39" s="34"/>
      <c r="L39" s="34"/>
      <c r="M39" s="36">
        <f>DATA!K44</f>
        <v>2</v>
      </c>
      <c r="N39" s="37" t="str">
        <f>DATA!L44</f>
        <v>Jakarta Sewerage Development Project - Zone 1 and Zone 6</v>
      </c>
      <c r="O39" s="20">
        <f>DATA!Q44</f>
        <v>1</v>
      </c>
      <c r="P39" s="20">
        <f>DATA!R44</f>
        <v>1</v>
      </c>
      <c r="Q39" s="20">
        <f>DATA!S44</f>
        <v>32</v>
      </c>
      <c r="R39" s="77">
        <f>DATA!T44</f>
        <v>1950000000</v>
      </c>
      <c r="S39" s="77"/>
      <c r="T39" s="77">
        <f>DATA!V44</f>
        <v>97500000</v>
      </c>
      <c r="U39" s="77">
        <f>DATA!W44</f>
        <v>0</v>
      </c>
      <c r="V39" s="77">
        <f>DATA!X44</f>
        <v>2047500000</v>
      </c>
      <c r="W39" s="78" t="str">
        <f>DATA!Y44</f>
        <v>JICA</v>
      </c>
      <c r="X39" s="20" t="str">
        <f>DATA!Z44</f>
        <v>Bilateral</v>
      </c>
      <c r="Y39" s="77">
        <f>DATA!AA44</f>
        <v>1950000000</v>
      </c>
      <c r="Z39" s="77">
        <f>DATA!AG44</f>
        <v>0</v>
      </c>
      <c r="AA39" s="20">
        <f>DATA!AH44</f>
        <v>2017</v>
      </c>
      <c r="AB39" s="37" t="str">
        <f>DATA!AI44</f>
        <v>-</v>
      </c>
      <c r="AC39" s="152">
        <f>DATA!AM44</f>
        <v>0</v>
      </c>
      <c r="AD39" s="152" t="str">
        <f>DATA!AN44</f>
        <v>dalam proses
(memiliki FS)</v>
      </c>
      <c r="AE39" s="152" t="str">
        <f>DATA!AO44</f>
        <v>dalam proses</v>
      </c>
      <c r="AF39" s="37" t="str">
        <f>DATA!AJ44</f>
        <v>- FS
- Penyusunan DED</v>
      </c>
      <c r="AG39" s="37" t="str">
        <f>DATA!AK44</f>
        <v>Lahan untuk IPAL sudah dibebaskan</v>
      </c>
      <c r="AH39" s="37" t="str">
        <f>DATA!AL44</f>
        <v>-</v>
      </c>
      <c r="AI39" s="20">
        <f>DATA!AM44</f>
        <v>0</v>
      </c>
      <c r="AJ39" s="20" t="str">
        <f>DATA!AN44</f>
        <v>dalam proses
(memiliki FS)</v>
      </c>
      <c r="AK39" s="20" t="str">
        <f>DATA!AO44</f>
        <v>dalam proses</v>
      </c>
      <c r="AL39" s="20" t="str">
        <f>DATA!AP44</f>
        <v>belum ada proses tender/lelang</v>
      </c>
      <c r="AM39" s="20" t="str">
        <f>DATA!AY44</f>
        <v>Konfirmasi melalui surat Sekjen nomor KU.01.12-Sj/636 tgl 23 Oktober 2015</v>
      </c>
      <c r="AN39" s="20" t="e">
        <f>DATA!#REF!</f>
        <v>#REF!</v>
      </c>
      <c r="AO39" s="20">
        <f>DATA!AZ44</f>
        <v>0</v>
      </c>
      <c r="AP39" s="152" t="e">
        <f>DATA!#REF!</f>
        <v>#REF!</v>
      </c>
      <c r="AQ39" s="37" t="str">
        <f>DATA!BA44</f>
        <v>Pembangunan jaringan perpipaan dan Instalasi Pengolahan Air Limbah (IPAL) terpusat di Zona-1 dan Zona-6, pembangunan unit stasiun pompa, serta penyusunan Detail Engineering Design (DED) untuk IPAL Terpusat Zona 6</v>
      </c>
      <c r="AR39" s="166"/>
    </row>
    <row r="40" spans="1:52" s="8" customFormat="1" ht="51" customHeight="1">
      <c r="A40" s="10">
        <f>DATA!A45</f>
        <v>37</v>
      </c>
      <c r="B40" s="10">
        <f>DATA!B45</f>
        <v>0</v>
      </c>
      <c r="C40" s="10" t="str">
        <f>DATA!D45</f>
        <v>INFRASTRUKTUR</v>
      </c>
      <c r="D40" s="10">
        <f>DATA!E45</f>
        <v>1</v>
      </c>
      <c r="E40" s="10" t="str">
        <f>DATA!F45</f>
        <v>Kementerian Pekerjaan Umum dan Perumahan Rakyat</v>
      </c>
      <c r="F40" s="10" t="str">
        <f>DATA!H45</f>
        <v>Development of Waste Water Management Program</v>
      </c>
      <c r="G40" s="10" t="str">
        <f>DATA!I45</f>
        <v>E</v>
      </c>
      <c r="H40" s="10" t="str">
        <f>DATA!J45</f>
        <v xml:space="preserve">Program Pembangunan Sistem Pengelolaan Air Limbah </v>
      </c>
      <c r="I40" s="10">
        <f>DATA!K45</f>
        <v>3</v>
      </c>
      <c r="J40" s="57"/>
      <c r="K40" s="58"/>
      <c r="L40" s="58"/>
      <c r="M40" s="60">
        <f>DATA!K45</f>
        <v>3</v>
      </c>
      <c r="N40" s="61" t="str">
        <f>DATA!L45</f>
        <v>The Development of Sewage Treatment Plant Facility in Priority Area</v>
      </c>
      <c r="O40" s="20">
        <f>DATA!Q45</f>
        <v>1</v>
      </c>
      <c r="P40" s="20">
        <f>DATA!R45</f>
        <v>1</v>
      </c>
      <c r="Q40" s="20">
        <f>DATA!S45</f>
        <v>33</v>
      </c>
      <c r="R40" s="89">
        <f>DATA!T45</f>
        <v>75000000</v>
      </c>
      <c r="S40" s="89"/>
      <c r="T40" s="89">
        <f>DATA!V45</f>
        <v>3750000</v>
      </c>
      <c r="U40" s="89">
        <f>DATA!W45</f>
        <v>0</v>
      </c>
      <c r="V40" s="89">
        <f>DATA!X45</f>
        <v>78750000</v>
      </c>
      <c r="W40" s="90" t="str">
        <f>DATA!Y45</f>
        <v>Bank Dunia/JICA</v>
      </c>
      <c r="X40" s="20" t="str">
        <f>DATA!Z45</f>
        <v>Multi Lender</v>
      </c>
      <c r="Y40" s="89">
        <f>DATA!AA45</f>
        <v>75000000</v>
      </c>
      <c r="Z40" s="77">
        <f>DATA!AG45</f>
        <v>0</v>
      </c>
      <c r="AA40" s="103">
        <f>DATA!AH45</f>
        <v>2018</v>
      </c>
      <c r="AB40" s="61" t="str">
        <f>DATA!AI45</f>
        <v>-</v>
      </c>
      <c r="AC40" s="152">
        <f>DATA!AM45</f>
        <v>0</v>
      </c>
      <c r="AD40" s="152" t="str">
        <f>DATA!AN45</f>
        <v>dalam proses
(memiliki FS)</v>
      </c>
      <c r="AE40" s="152" t="str">
        <f>DATA!AO45</f>
        <v>belum ada keterangan</v>
      </c>
      <c r="AF40" s="61" t="str">
        <f>DATA!AJ45</f>
        <v>FS disiapkan melalui APBN TA 2015</v>
      </c>
      <c r="AG40" s="61" t="str">
        <f>DATA!AK45</f>
        <v>-</v>
      </c>
      <c r="AH40" s="61" t="str">
        <f>DATA!AL45</f>
        <v>-</v>
      </c>
      <c r="AI40" s="20">
        <f>DATA!AM45</f>
        <v>0</v>
      </c>
      <c r="AJ40" s="20" t="str">
        <f>DATA!AN45</f>
        <v>dalam proses
(memiliki FS)</v>
      </c>
      <c r="AK40" s="20" t="str">
        <f>DATA!AO45</f>
        <v>belum ada keterangan</v>
      </c>
      <c r="AL40" s="20" t="str">
        <f>DATA!AP45</f>
        <v>belum ada proses tender/lelang</v>
      </c>
      <c r="AM40" s="20" t="str">
        <f>DATA!AY45</f>
        <v>- Sedang dalam konsep desain bentuk kegiatan
- 'Konfirmasi melalui surat Sekjen nomor KU.01.12-Sj/636 tgl 23 Oktober 2015</v>
      </c>
      <c r="AN40" s="20" t="e">
        <f>DATA!#REF!</f>
        <v>#REF!</v>
      </c>
      <c r="AO40" s="20" t="str">
        <f>DATA!AZ45</f>
        <v>JICA diindikasikan juga akan mendanai kegaiatan ini</v>
      </c>
      <c r="AP40" s="161" t="e">
        <f>DATA!#REF!</f>
        <v>#REF!</v>
      </c>
      <c r="AQ40" s="37" t="str">
        <f>DATA!BA45</f>
        <v>Penyediaan sarana prasarana Instalasi Pengolahan Lumpur Tinja (IPLT), seperti mobil tinja, pompa penyedot dan unit IPLT.</v>
      </c>
      <c r="AR40" s="162">
        <v>1</v>
      </c>
      <c r="AU40" s="8">
        <v>1</v>
      </c>
    </row>
    <row r="41" spans="1:52" s="8" customFormat="1" ht="22.5" customHeight="1">
      <c r="A41" s="10">
        <f>DATA!A46</f>
        <v>38</v>
      </c>
      <c r="B41" s="10">
        <f>DATA!B46</f>
        <v>0</v>
      </c>
      <c r="C41" s="10" t="str">
        <f>DATA!D46</f>
        <v>INFRASTRUKTUR</v>
      </c>
      <c r="D41" s="10">
        <f>DATA!E46</f>
        <v>1</v>
      </c>
      <c r="E41" s="10" t="str">
        <f>DATA!F46</f>
        <v>Kementerian Pekerjaan Umum dan Perumahan Rakyat</v>
      </c>
      <c r="F41" s="10" t="str">
        <f>DATA!H46</f>
        <v>Development of Waste Water Management Program</v>
      </c>
      <c r="G41" s="10" t="str">
        <f>DATA!I46</f>
        <v>E</v>
      </c>
      <c r="H41" s="10" t="str">
        <f>DATA!J46</f>
        <v xml:space="preserve">Program Pembangunan Sistem Pengelolaan Air Limbah </v>
      </c>
      <c r="I41" s="10">
        <f>DATA!K46</f>
        <v>4</v>
      </c>
      <c r="J41" s="57"/>
      <c r="K41" s="58"/>
      <c r="L41" s="58"/>
      <c r="M41" s="60">
        <f>DATA!K46</f>
        <v>4</v>
      </c>
      <c r="N41" s="61" t="str">
        <f>DATA!L46</f>
        <v>Sewerage System Development in Indonesia</v>
      </c>
      <c r="O41" s="20">
        <f>DATA!Q46</f>
        <v>0</v>
      </c>
      <c r="P41" s="20">
        <f>DATA!R46</f>
        <v>1</v>
      </c>
      <c r="Q41" s="20">
        <f>DATA!S46</f>
        <v>34</v>
      </c>
      <c r="R41" s="89">
        <f>DATA!T46</f>
        <v>975000000</v>
      </c>
      <c r="S41" s="89"/>
      <c r="T41" s="89">
        <f>DATA!V46</f>
        <v>48750000</v>
      </c>
      <c r="U41" s="89">
        <f>DATA!W46</f>
        <v>0</v>
      </c>
      <c r="V41" s="89">
        <f>DATA!X46</f>
        <v>1023750000</v>
      </c>
      <c r="W41" s="90" t="str">
        <f>DATA!Y46</f>
        <v>-</v>
      </c>
      <c r="X41" s="20">
        <f>DATA!Z46</f>
        <v>0</v>
      </c>
      <c r="Y41" s="89">
        <f>DATA!AA46</f>
        <v>975000000</v>
      </c>
      <c r="Z41" s="77">
        <f>DATA!AG46</f>
        <v>0</v>
      </c>
      <c r="AA41" s="103"/>
      <c r="AB41" s="61" t="str">
        <f>DATA!AI46</f>
        <v>-</v>
      </c>
      <c r="AC41" s="152" t="str">
        <f>DATA!AM46</f>
        <v>-</v>
      </c>
      <c r="AD41" s="152" t="str">
        <f>DATA!AN46</f>
        <v>-</v>
      </c>
      <c r="AE41" s="152" t="str">
        <f>DATA!AO46</f>
        <v>-</v>
      </c>
      <c r="AF41" s="61" t="str">
        <f>DATA!AJ46</f>
        <v>-</v>
      </c>
      <c r="AG41" s="61" t="str">
        <f>DATA!AK46</f>
        <v>-</v>
      </c>
      <c r="AH41" s="61" t="str">
        <f>DATA!AL46</f>
        <v>-</v>
      </c>
      <c r="AI41" s="20" t="str">
        <f>DATA!AM46</f>
        <v>-</v>
      </c>
      <c r="AJ41" s="20" t="str">
        <f>DATA!AN46</f>
        <v>-</v>
      </c>
      <c r="AK41" s="20" t="str">
        <f>DATA!AO46</f>
        <v>-</v>
      </c>
      <c r="AL41" s="20" t="str">
        <f>DATA!AP46</f>
        <v>-</v>
      </c>
      <c r="AM41" s="20" t="str">
        <f>DATA!AY46</f>
        <v>Konfirmasi melalui surat Sekjen nomor KU.01.12-Sj/636 tgl 23 Oktober 2015</v>
      </c>
      <c r="AN41" s="20" t="e">
        <f>DATA!#REF!</f>
        <v>#REF!</v>
      </c>
      <c r="AO41" s="20" t="str">
        <f>DATA!AZ46</f>
        <v>-</v>
      </c>
      <c r="AP41" s="161" t="e">
        <f>DATA!#REF!</f>
        <v>#REF!</v>
      </c>
      <c r="AQ41" s="37" t="str">
        <f>DATA!BA46</f>
        <v>-</v>
      </c>
      <c r="AR41" s="162"/>
    </row>
    <row r="42" spans="1:52" s="7" customFormat="1" ht="38.25">
      <c r="A42" s="6">
        <f>DATA!A47</f>
        <v>38</v>
      </c>
      <c r="B42" s="6">
        <f>DATA!B47</f>
        <v>0</v>
      </c>
      <c r="C42" s="6" t="str">
        <f>DATA!D47</f>
        <v>INFRASTRUKTUR</v>
      </c>
      <c r="D42" s="6">
        <f>DATA!E47</f>
        <v>1</v>
      </c>
      <c r="E42" s="6" t="str">
        <f>DATA!F47</f>
        <v>Kementerian Pekerjaan Umum dan Perumahan Rakyat</v>
      </c>
      <c r="F42" s="6" t="str">
        <f>DATA!H47</f>
        <v>Development of Waste Water Management Program</v>
      </c>
      <c r="G42" s="6" t="str">
        <f>DATA!I47</f>
        <v>E</v>
      </c>
      <c r="H42" s="6" t="str">
        <f>DATA!J47</f>
        <v xml:space="preserve">Program Pembangunan Sistem Pengelolaan Air Limbah </v>
      </c>
      <c r="I42" s="6">
        <f>DATA!K47</f>
        <v>4</v>
      </c>
      <c r="J42" s="44"/>
      <c r="K42" s="45"/>
      <c r="L42" s="45"/>
      <c r="M42" s="48"/>
      <c r="N42" s="68" t="str">
        <f>DATA!L47</f>
        <v>Sewerage System Development in Indonesia</v>
      </c>
      <c r="O42" s="42">
        <f>DATA!Q47</f>
        <v>0.25</v>
      </c>
      <c r="P42" s="42">
        <f>DATA!R47</f>
        <v>0</v>
      </c>
      <c r="Q42" s="42">
        <f>DATA!S47</f>
        <v>0</v>
      </c>
      <c r="R42" s="85">
        <f>DATA!T47</f>
        <v>0</v>
      </c>
      <c r="S42" s="85"/>
      <c r="T42" s="85">
        <f>DATA!V47</f>
        <v>0</v>
      </c>
      <c r="U42" s="85">
        <f>DATA!W47</f>
        <v>0</v>
      </c>
      <c r="V42" s="85">
        <f>DATA!X47</f>
        <v>0</v>
      </c>
      <c r="W42" s="86" t="str">
        <f>DATA!Y47</f>
        <v>ADB</v>
      </c>
      <c r="X42" s="42" t="str">
        <f>DATA!Z47</f>
        <v>Multilateral</v>
      </c>
      <c r="Y42" s="85">
        <f>DATA!AA47</f>
        <v>424800000</v>
      </c>
      <c r="Z42" s="83">
        <f>DATA!AG47</f>
        <v>0</v>
      </c>
      <c r="AA42" s="98">
        <f>DATA!AH47</f>
        <v>2017</v>
      </c>
      <c r="AB42" s="68" t="str">
        <f>DATA!AI47</f>
        <v>-</v>
      </c>
      <c r="AC42" s="152">
        <f>DATA!AM47</f>
        <v>0</v>
      </c>
      <c r="AD42" s="152" t="str">
        <f>DATA!AN47</f>
        <v>belum ada keterangan</v>
      </c>
      <c r="AE42" s="152" t="str">
        <f>DATA!AO47</f>
        <v>belum ada keterangan</v>
      </c>
      <c r="AF42" s="68" t="str">
        <f>DATA!AJ47</f>
        <v>-</v>
      </c>
      <c r="AG42" s="68" t="str">
        <f>DATA!AK47</f>
        <v>-</v>
      </c>
      <c r="AH42" s="68" t="str">
        <f>DATA!AL47</f>
        <v>-</v>
      </c>
      <c r="AI42" s="42">
        <f>DATA!AM47</f>
        <v>0</v>
      </c>
      <c r="AJ42" s="42" t="str">
        <f>DATA!AN47</f>
        <v>belum ada keterangan</v>
      </c>
      <c r="AK42" s="42" t="str">
        <f>DATA!AO47</f>
        <v>belum ada keterangan</v>
      </c>
      <c r="AL42" s="42" t="str">
        <f>DATA!AP47</f>
        <v>belum ada proses tender/lelang</v>
      </c>
      <c r="AM42" s="42" t="str">
        <f>DATA!AY47</f>
        <v>- termasuk ESP senilai USD 26,38 juta, indikasi Lender ADB
- belum ada proses penyiapan
- Konfirmasi melalui surat Sekjen nomor KU.01.12-Sj/636 tgl 23 Oktober 2015</v>
      </c>
      <c r="AN42" s="42" t="e">
        <f>DATA!#REF!</f>
        <v>#REF!</v>
      </c>
      <c r="AO42" s="42" t="str">
        <f>DATA!AZ47</f>
        <v>Sudah ada pembicaraan awal</v>
      </c>
      <c r="AP42" s="161" t="e">
        <f>DATA!#REF!</f>
        <v>#REF!</v>
      </c>
      <c r="AQ42" s="67" t="str">
        <f>DATA!BA47</f>
        <v>Pembangunan fisik sarana dan prasarana sanitasi serta Instalasi Pengolahan Air Limbah (IPAL) dan penguatan kapasitas lembaga pengelola</v>
      </c>
      <c r="AR42" s="164">
        <v>1</v>
      </c>
      <c r="AV42" s="7">
        <v>1</v>
      </c>
    </row>
    <row r="43" spans="1:52" s="7" customFormat="1" ht="115.5" customHeight="1">
      <c r="A43" s="6">
        <f>DATA!A48</f>
        <v>39</v>
      </c>
      <c r="B43" s="6">
        <f>DATA!B48</f>
        <v>0</v>
      </c>
      <c r="C43" s="6" t="str">
        <f>DATA!D48</f>
        <v>INFRASTRUKTUR</v>
      </c>
      <c r="D43" s="6">
        <f>DATA!E48</f>
        <v>1</v>
      </c>
      <c r="E43" s="6" t="str">
        <f>DATA!F48</f>
        <v>Kementerian Pekerjaan Umum dan Perumahan Rakyat</v>
      </c>
      <c r="F43" s="6" t="str">
        <f>DATA!H48</f>
        <v>Development of Waste Water Management Program</v>
      </c>
      <c r="G43" s="6" t="str">
        <f>DATA!I48</f>
        <v>E</v>
      </c>
      <c r="H43" s="6" t="str">
        <f>DATA!J48</f>
        <v xml:space="preserve">Program Pembangunan Sistem Pengelolaan Air Limbah </v>
      </c>
      <c r="I43" s="6">
        <f>DATA!K48</f>
        <v>4</v>
      </c>
      <c r="J43" s="44"/>
      <c r="K43" s="45"/>
      <c r="L43" s="45"/>
      <c r="M43" s="44"/>
      <c r="N43" s="68" t="str">
        <f>DATA!L48</f>
        <v>Sewerage System Development in Indonesia</v>
      </c>
      <c r="O43" s="42">
        <f>DATA!Q48</f>
        <v>0.25</v>
      </c>
      <c r="P43" s="42">
        <f>DATA!R48</f>
        <v>0</v>
      </c>
      <c r="Q43" s="42">
        <f>DATA!S48</f>
        <v>0</v>
      </c>
      <c r="R43" s="85">
        <f>DATA!T48</f>
        <v>0</v>
      </c>
      <c r="S43" s="85"/>
      <c r="T43" s="85">
        <f>DATA!V48</f>
        <v>0</v>
      </c>
      <c r="U43" s="85">
        <f>DATA!W48</f>
        <v>0</v>
      </c>
      <c r="V43" s="85">
        <f>DATA!X48</f>
        <v>0</v>
      </c>
      <c r="W43" s="86" t="str">
        <f>DATA!Y48</f>
        <v>IDB</v>
      </c>
      <c r="X43" s="42" t="str">
        <f>DATA!Z48</f>
        <v>Multilateral</v>
      </c>
      <c r="Y43" s="85">
        <f>DATA!AA48</f>
        <v>325000000</v>
      </c>
      <c r="Z43" s="83">
        <f>DATA!AG48</f>
        <v>0</v>
      </c>
      <c r="AA43" s="98">
        <f>DATA!AH48</f>
        <v>2017</v>
      </c>
      <c r="AB43" s="68" t="str">
        <f>DATA!AI48</f>
        <v>-</v>
      </c>
      <c r="AC43" s="152">
        <f>DATA!AM48</f>
        <v>0</v>
      </c>
      <c r="AD43" s="152" t="str">
        <f>DATA!AN48</f>
        <v>belum ada keterangan</v>
      </c>
      <c r="AE43" s="152" t="str">
        <f>DATA!AO48</f>
        <v>belum ada keterangan</v>
      </c>
      <c r="AF43" s="68" t="str">
        <f>DATA!AJ48</f>
        <v>-</v>
      </c>
      <c r="AG43" s="68" t="str">
        <f>DATA!AK48</f>
        <v>-</v>
      </c>
      <c r="AH43" s="68" t="str">
        <f>DATA!AL48</f>
        <v>-</v>
      </c>
      <c r="AI43" s="42">
        <f>DATA!AM48</f>
        <v>0</v>
      </c>
      <c r="AJ43" s="42" t="str">
        <f>DATA!AN48</f>
        <v>belum ada keterangan</v>
      </c>
      <c r="AK43" s="42" t="str">
        <f>DATA!AO48</f>
        <v>belum ada keterangan</v>
      </c>
      <c r="AL43" s="42" t="str">
        <f>DATA!AP48</f>
        <v>belum ada proses tender/lelang</v>
      </c>
      <c r="AM43" s="42" t="str">
        <f>DATA!AY48</f>
        <v>- belum ada proses penyiapan
- Konfirmasi melalui surat Sekjen nomor KU.01.12-Sj/636 tgl 23 Oktober 2015</v>
      </c>
      <c r="AN43" s="42" t="e">
        <f>DATA!#REF!</f>
        <v>#REF!</v>
      </c>
      <c r="AO43" s="42" t="str">
        <f>DATA!AZ48</f>
        <v>Sudah ada pembicaraan awal</v>
      </c>
      <c r="AP43" s="161" t="e">
        <f>DATA!#REF!</f>
        <v>#REF!</v>
      </c>
      <c r="AQ43" s="67" t="str">
        <f>DATA!BA48</f>
        <v>Pembangunan fisik sarana dan prasarana sanitasi serta Instalasi Pengolahan Air Limbah (IPAL) dan penguatan kapasitas lembaga pengelola</v>
      </c>
      <c r="AR43" s="164"/>
    </row>
    <row r="44" spans="1:52" s="7" customFormat="1" ht="45.75" customHeight="1">
      <c r="A44" s="6">
        <f>DATA!A49</f>
        <v>40</v>
      </c>
      <c r="B44" s="6">
        <f>DATA!B49</f>
        <v>0</v>
      </c>
      <c r="C44" s="6" t="str">
        <f>DATA!D49</f>
        <v>INFRASTRUKTUR</v>
      </c>
      <c r="D44" s="6">
        <f>DATA!E49</f>
        <v>1</v>
      </c>
      <c r="E44" s="6" t="str">
        <f>DATA!F49</f>
        <v>Kementerian Pekerjaan Umum dan Perumahan Rakyat</v>
      </c>
      <c r="F44" s="6" t="str">
        <f>DATA!H49</f>
        <v>Development of Waste Water Management Program</v>
      </c>
      <c r="G44" s="6" t="str">
        <f>DATA!I49</f>
        <v>E</v>
      </c>
      <c r="H44" s="6" t="str">
        <f>DATA!J49</f>
        <v xml:space="preserve">Program Pembangunan Sistem Pengelolaan Air Limbah </v>
      </c>
      <c r="I44" s="6">
        <f>DATA!K49</f>
        <v>4</v>
      </c>
      <c r="J44" s="44"/>
      <c r="K44" s="45"/>
      <c r="L44" s="45"/>
      <c r="M44" s="70"/>
      <c r="N44" s="68" t="str">
        <f>DATA!L49</f>
        <v>Sewerage System Development in Indonesia</v>
      </c>
      <c r="O44" s="42">
        <f>DATA!Q49</f>
        <v>0.25</v>
      </c>
      <c r="P44" s="42">
        <f>DATA!R49</f>
        <v>0</v>
      </c>
      <c r="Q44" s="42">
        <f>DATA!S49</f>
        <v>0</v>
      </c>
      <c r="R44" s="85">
        <f>DATA!T49</f>
        <v>0</v>
      </c>
      <c r="S44" s="85"/>
      <c r="T44" s="85">
        <f>DATA!V49</f>
        <v>0</v>
      </c>
      <c r="U44" s="85">
        <f>DATA!W49</f>
        <v>0</v>
      </c>
      <c r="V44" s="85">
        <f>DATA!X49</f>
        <v>0</v>
      </c>
      <c r="W44" s="86" t="str">
        <f>DATA!Y49</f>
        <v>Bank Dunia</v>
      </c>
      <c r="X44" s="42" t="str">
        <f>DATA!Z49</f>
        <v>Multilateral</v>
      </c>
      <c r="Y44" s="85">
        <f>DATA!AA49</f>
        <v>200000000</v>
      </c>
      <c r="Z44" s="83">
        <f>DATA!AG49</f>
        <v>0</v>
      </c>
      <c r="AA44" s="98">
        <f>DATA!AH49</f>
        <v>2017</v>
      </c>
      <c r="AB44" s="68" t="str">
        <f>DATA!AI49</f>
        <v>-</v>
      </c>
      <c r="AC44" s="152">
        <f>DATA!AM49</f>
        <v>0</v>
      </c>
      <c r="AD44" s="152" t="str">
        <f>DATA!AN49</f>
        <v>belum ada keterangan</v>
      </c>
      <c r="AE44" s="152" t="str">
        <f>DATA!AO49</f>
        <v>belum ada keterangan</v>
      </c>
      <c r="AF44" s="68" t="str">
        <f>DATA!AJ49</f>
        <v>-</v>
      </c>
      <c r="AG44" s="68" t="str">
        <f>DATA!AK49</f>
        <v>-</v>
      </c>
      <c r="AH44" s="68" t="str">
        <f>DATA!AL49</f>
        <v>-</v>
      </c>
      <c r="AI44" s="42">
        <f>DATA!AM49</f>
        <v>0</v>
      </c>
      <c r="AJ44" s="42" t="str">
        <f>DATA!AN49</f>
        <v>belum ada keterangan</v>
      </c>
      <c r="AK44" s="42" t="str">
        <f>DATA!AO49</f>
        <v>belum ada keterangan</v>
      </c>
      <c r="AL44" s="42" t="str">
        <f>DATA!AP49</f>
        <v>belum ada proses tender/lelang</v>
      </c>
      <c r="AM44" s="42" t="str">
        <f>DATA!AY49</f>
        <v>- belum ada proses penyiapan
- Konfirmasi melalui surat Sekjen nomor KU.01.12-Sj/636 tgl 23 Oktober 2015</v>
      </c>
      <c r="AN44" s="42" t="e">
        <f>DATA!#REF!</f>
        <v>#REF!</v>
      </c>
      <c r="AO44" s="42" t="str">
        <f>DATA!AZ49</f>
        <v>Sudah ada pembicaraan awal</v>
      </c>
      <c r="AP44" s="161" t="e">
        <f>DATA!#REF!</f>
        <v>#REF!</v>
      </c>
      <c r="AQ44" s="67" t="str">
        <f>DATA!BA49</f>
        <v>Pembangunan fisik sarana dan prasarana sanitasi serta Instalasi Pengolahan Air Limbah (IPAL) dan penguatan kapasitas lembaga pengelola</v>
      </c>
      <c r="AR44" s="164"/>
    </row>
    <row r="45" spans="1:52" ht="43.5" customHeight="1">
      <c r="A45" s="10">
        <f>DATA!A51</f>
        <v>41</v>
      </c>
      <c r="B45" s="10">
        <f>DATA!B51</f>
        <v>0</v>
      </c>
      <c r="C45" s="10" t="str">
        <f>DATA!D51</f>
        <v>INFRASTRUKTUR</v>
      </c>
      <c r="D45" s="10">
        <f>DATA!E51</f>
        <v>1</v>
      </c>
      <c r="E45" s="10" t="str">
        <f>DATA!F51</f>
        <v>Kementerian Pekerjaan Umum dan Perumahan Rakyat</v>
      </c>
      <c r="F45" s="10" t="str">
        <f>DATA!H51</f>
        <v>Development of Waste Water Management Program</v>
      </c>
      <c r="G45" s="10" t="str">
        <f>DATA!I51</f>
        <v>E</v>
      </c>
      <c r="H45" s="10" t="str">
        <f>DATA!J51</f>
        <v xml:space="preserve">Program Pembangunan Sistem Pengelolaan Air Limbah </v>
      </c>
      <c r="I45" s="10">
        <f>DATA!K51</f>
        <v>5</v>
      </c>
      <c r="J45" s="33"/>
      <c r="K45" s="34"/>
      <c r="L45" s="34"/>
      <c r="M45" s="36">
        <f>DATA!K51</f>
        <v>5</v>
      </c>
      <c r="N45" s="37" t="str">
        <f>DATA!L51</f>
        <v>Denpasar Sewerage Development Project - Phase III</v>
      </c>
      <c r="O45" s="20">
        <f>DATA!Q51</f>
        <v>1</v>
      </c>
      <c r="P45" s="20">
        <f>DATA!R51</f>
        <v>1</v>
      </c>
      <c r="Q45" s="20">
        <f>DATA!S51</f>
        <v>35</v>
      </c>
      <c r="R45" s="77">
        <f>DATA!T51</f>
        <v>233000000</v>
      </c>
      <c r="S45" s="77"/>
      <c r="T45" s="77">
        <f>DATA!V51</f>
        <v>11650000</v>
      </c>
      <c r="U45" s="77">
        <f>DATA!W51</f>
        <v>0</v>
      </c>
      <c r="V45" s="77">
        <f>DATA!X51</f>
        <v>244650000</v>
      </c>
      <c r="W45" s="78" t="str">
        <f>DATA!Y51</f>
        <v>JICA</v>
      </c>
      <c r="X45" s="20" t="str">
        <f>DATA!Z51</f>
        <v>Bilateral</v>
      </c>
      <c r="Y45" s="77">
        <f>DATA!AA51</f>
        <v>233000000</v>
      </c>
      <c r="Z45" s="77">
        <f>DATA!AG51</f>
        <v>0</v>
      </c>
      <c r="AA45" s="20">
        <f>DATA!AH51</f>
        <v>2018</v>
      </c>
      <c r="AB45" s="37" t="str">
        <f>DATA!AI51</f>
        <v>-</v>
      </c>
      <c r="AC45" s="152">
        <f>DATA!AM51</f>
        <v>0</v>
      </c>
      <c r="AD45" s="152" t="str">
        <f>DATA!AN51</f>
        <v>dalam proses
(memiliki FS)</v>
      </c>
      <c r="AE45" s="152" t="str">
        <f>DATA!AO51</f>
        <v>belum ada keterangan</v>
      </c>
      <c r="AF45" s="37" t="str">
        <f>DATA!AJ51</f>
        <v>Penyusunan DED</v>
      </c>
      <c r="AG45" s="37" t="str">
        <f>DATA!AK51</f>
        <v>-</v>
      </c>
      <c r="AH45" s="37" t="str">
        <f>DATA!AL51</f>
        <v>-</v>
      </c>
      <c r="AI45" s="20">
        <f>DATA!AM51</f>
        <v>0</v>
      </c>
      <c r="AJ45" s="20" t="str">
        <f>DATA!AN51</f>
        <v>dalam proses
(memiliki FS)</v>
      </c>
      <c r="AK45" s="20" t="str">
        <f>DATA!AO51</f>
        <v>belum ada keterangan</v>
      </c>
      <c r="AL45" s="20" t="str">
        <f>DATA!AP51</f>
        <v>belum ada proses tender/lelang</v>
      </c>
      <c r="AM45" s="20" t="str">
        <f>DATA!AY51</f>
        <v>Konfirmasi melalui surat Sekjen nomor KU.01.12-Sj/636 tgl 23 Oktober 2015</v>
      </c>
      <c r="AN45" s="20" t="e">
        <f>DATA!#REF!</f>
        <v>#REF!</v>
      </c>
      <c r="AO45" s="20">
        <f>DATA!AZ51</f>
        <v>0</v>
      </c>
      <c r="AP45" s="152" t="e">
        <f>DATA!#REF!</f>
        <v>#REF!</v>
      </c>
      <c r="AQ45" s="37" t="str">
        <f>DATA!BA51</f>
        <v>Pembangunan jaringan perpipaan dengan area pelayanan 2.200 Ha, stasiun pompa sejumlah 2 unit, dan instalasi pengolahan air limbah.</v>
      </c>
      <c r="AR45" s="166"/>
    </row>
    <row r="46" spans="1:52" ht="36.75" customHeight="1">
      <c r="A46" s="10">
        <f>DATA!A52</f>
        <v>42</v>
      </c>
      <c r="B46" s="10">
        <f>DATA!B52</f>
        <v>0</v>
      </c>
      <c r="C46" s="10" t="str">
        <f>DATA!D52</f>
        <v>INFRASTRUKTUR</v>
      </c>
      <c r="D46" s="10">
        <f>DATA!E52</f>
        <v>1</v>
      </c>
      <c r="E46" s="10" t="str">
        <f>DATA!F52</f>
        <v>Kementerian Pekerjaan Umum dan Perumahan Rakyat</v>
      </c>
      <c r="F46" s="10" t="str">
        <f>DATA!H52</f>
        <v>Development of Waste Water Management Program</v>
      </c>
      <c r="G46" s="10" t="str">
        <f>DATA!I52</f>
        <v>E</v>
      </c>
      <c r="H46" s="10" t="str">
        <f>DATA!J52</f>
        <v xml:space="preserve">Program Pembangunan Sistem Pengelolaan Air Limbah </v>
      </c>
      <c r="I46" s="10">
        <f>DATA!K52</f>
        <v>6</v>
      </c>
      <c r="J46" s="33"/>
      <c r="K46" s="34"/>
      <c r="L46" s="54"/>
      <c r="M46" s="36">
        <f>DATA!K52</f>
        <v>6</v>
      </c>
      <c r="N46" s="37" t="str">
        <f>DATA!L52</f>
        <v>The Development and Optimization of Wastewater Treatment in Greater Bandung</v>
      </c>
      <c r="O46" s="20">
        <f>DATA!Q52</f>
        <v>1</v>
      </c>
      <c r="P46" s="20">
        <f>DATA!R52</f>
        <v>1</v>
      </c>
      <c r="Q46" s="20">
        <f>DATA!S52</f>
        <v>36</v>
      </c>
      <c r="R46" s="77">
        <f>DATA!T52</f>
        <v>100000000</v>
      </c>
      <c r="S46" s="77"/>
      <c r="T46" s="77">
        <f>DATA!V52</f>
        <v>5000000</v>
      </c>
      <c r="U46" s="77">
        <f>DATA!W52</f>
        <v>0</v>
      </c>
      <c r="V46" s="77">
        <f>DATA!X52</f>
        <v>105000000</v>
      </c>
      <c r="W46" s="78" t="str">
        <f>DATA!Y52</f>
        <v>Jerman (KfW)</v>
      </c>
      <c r="X46" s="20" t="str">
        <f>DATA!Z52</f>
        <v>Bilateral</v>
      </c>
      <c r="Y46" s="77">
        <f>DATA!AA52</f>
        <v>100000000</v>
      </c>
      <c r="Z46" s="77">
        <f>DATA!AG52</f>
        <v>0</v>
      </c>
      <c r="AA46" s="20">
        <f>DATA!AH52</f>
        <v>2017</v>
      </c>
      <c r="AB46" s="37" t="str">
        <f>DATA!AI52</f>
        <v>Master Plan</v>
      </c>
      <c r="AC46" s="152">
        <f>DATA!AM52</f>
        <v>0</v>
      </c>
      <c r="AD46" s="152" t="str">
        <f>DATA!AN52</f>
        <v>dalam proses
(penyusunan FS)</v>
      </c>
      <c r="AE46" s="152" t="str">
        <f>DATA!AO52</f>
        <v>belum ada keterangan</v>
      </c>
      <c r="AF46" s="37" t="str">
        <f>DATA!AJ52</f>
        <v>Pra FS</v>
      </c>
      <c r="AG46" s="37" t="str">
        <f>DATA!AK52</f>
        <v>-</v>
      </c>
      <c r="AH46" s="37" t="str">
        <f>DATA!AL52</f>
        <v>-</v>
      </c>
      <c r="AI46" s="20">
        <f>DATA!AM52</f>
        <v>0</v>
      </c>
      <c r="AJ46" s="20" t="str">
        <f>DATA!AN52</f>
        <v>dalam proses
(penyusunan FS)</v>
      </c>
      <c r="AK46" s="20" t="str">
        <f>DATA!AO52</f>
        <v>belum ada keterangan</v>
      </c>
      <c r="AL46" s="20" t="str">
        <f>DATA!AP52</f>
        <v>belum ada proses tender/lelang</v>
      </c>
      <c r="AM46" s="20" t="str">
        <f>DATA!AY52</f>
        <v>Konfirmasi melalui surat Sekjen nomor KU.01.12-Sj/636 tgl 23 Oktober 2015</v>
      </c>
      <c r="AN46" s="20" t="e">
        <f>DATA!#REF!</f>
        <v>#REF!</v>
      </c>
      <c r="AO46" s="20">
        <f>DATA!AZ52</f>
        <v>0</v>
      </c>
      <c r="AP46" s="152" t="e">
        <f>DATA!#REF!</f>
        <v>#REF!</v>
      </c>
      <c r="AQ46" s="37" t="str">
        <f>DATA!BA52</f>
        <v>Review master plan air limbah dan optimalisasi Instalasi Pengolahan Air Limbah (IPAL) Bojongsoang.</v>
      </c>
      <c r="AR46" s="166"/>
    </row>
    <row r="47" spans="1:52" s="8" customFormat="1" ht="36.75" customHeight="1">
      <c r="A47" s="10"/>
      <c r="B47" s="10"/>
      <c r="C47" s="10"/>
      <c r="D47" s="10"/>
      <c r="E47" s="10"/>
      <c r="F47" s="10"/>
      <c r="G47" s="10"/>
      <c r="H47" s="10"/>
      <c r="I47" s="10"/>
      <c r="J47" s="57"/>
      <c r="K47" s="58"/>
      <c r="L47" s="111"/>
      <c r="M47" s="60">
        <f>DATA!K53</f>
        <v>7</v>
      </c>
      <c r="N47" s="127" t="str">
        <f>DATA!L53</f>
        <v>Engineering Service for Sanitation Improvement Project</v>
      </c>
      <c r="O47" s="36">
        <f>DATA!Q53</f>
        <v>0</v>
      </c>
      <c r="P47" s="36">
        <f>DATA!R53</f>
        <v>0</v>
      </c>
      <c r="Q47" s="36">
        <f>DATA!S53</f>
        <v>0</v>
      </c>
      <c r="R47" s="128">
        <f>DATA!T53</f>
        <v>0</v>
      </c>
      <c r="S47" s="128">
        <f>DATA!U53</f>
        <v>25200000</v>
      </c>
      <c r="T47" s="128">
        <f>DATA!V53</f>
        <v>0</v>
      </c>
      <c r="U47" s="128">
        <f>DATA!W53</f>
        <v>0</v>
      </c>
      <c r="V47" s="128">
        <f>DATA!X53</f>
        <v>25200000</v>
      </c>
      <c r="W47" s="150" t="str">
        <f>DATA!Y53</f>
        <v>ADB</v>
      </c>
      <c r="X47" s="88" t="str">
        <f>DATA!Z53</f>
        <v>Multilateral</v>
      </c>
      <c r="Y47" s="128">
        <f>DATA!AA53</f>
        <v>25200000</v>
      </c>
      <c r="Z47" s="88">
        <f>DATA!AG53</f>
        <v>0</v>
      </c>
      <c r="AA47" s="129">
        <f>DATA!AH53</f>
        <v>2016</v>
      </c>
      <c r="AB47" s="130" t="str">
        <f>DATA!AI53</f>
        <v>- Green Book 2015</v>
      </c>
      <c r="AC47" s="152" t="str">
        <f>DATA!AM53</f>
        <v>2015; 2016</v>
      </c>
      <c r="AD47" s="152" t="str">
        <f>DATA!AN53</f>
        <v>siap</v>
      </c>
      <c r="AE47" s="152" t="str">
        <f>DATA!AO53</f>
        <v>tidak butuh lahan</v>
      </c>
      <c r="AF47" s="130" t="str">
        <f>DATA!AJ53</f>
        <v>-</v>
      </c>
      <c r="AG47" s="130" t="str">
        <f>DATA!AK53</f>
        <v>-</v>
      </c>
      <c r="AH47" s="130" t="str">
        <f>DATA!AL53</f>
        <v>-</v>
      </c>
      <c r="AI47" s="20"/>
      <c r="AJ47" s="20"/>
      <c r="AK47" s="20"/>
      <c r="AL47" s="20"/>
      <c r="AM47" s="20"/>
      <c r="AN47" s="20"/>
      <c r="AO47" s="20"/>
      <c r="AP47" s="161" t="e">
        <f>DATA!#REF!</f>
        <v>#REF!</v>
      </c>
      <c r="AQ47" s="37"/>
      <c r="AR47" s="162">
        <v>1</v>
      </c>
      <c r="AZ47" s="8">
        <v>1</v>
      </c>
    </row>
    <row r="48" spans="1:52" s="5" customFormat="1" ht="33.75" customHeight="1">
      <c r="J48" s="28"/>
      <c r="K48" s="50"/>
      <c r="L48" s="30" t="str">
        <f>DATA!I54</f>
        <v>F</v>
      </c>
      <c r="M48" s="31" t="str">
        <f>DATA!J54</f>
        <v xml:space="preserve">Program Pembangunan Sistem Pengelolaan Persampahan </v>
      </c>
      <c r="N48" s="51"/>
      <c r="O48" s="31"/>
      <c r="P48" s="31"/>
      <c r="Q48" s="31"/>
      <c r="R48" s="81">
        <f>+R49+R50</f>
        <v>250000000</v>
      </c>
      <c r="S48" s="81"/>
      <c r="T48" s="81">
        <f>+T49+T50</f>
        <v>12500000</v>
      </c>
      <c r="U48" s="81">
        <f>+U49+U50</f>
        <v>0</v>
      </c>
      <c r="V48" s="81">
        <f>+V49+V50</f>
        <v>262500000</v>
      </c>
      <c r="W48" s="149"/>
      <c r="X48" s="81" t="e">
        <f>+X49+X50</f>
        <v>#VALUE!</v>
      </c>
      <c r="Y48" s="81">
        <f>+Y49+Y50</f>
        <v>250000000</v>
      </c>
      <c r="Z48" s="81">
        <f>+Z49+Z50</f>
        <v>0</v>
      </c>
      <c r="AA48" s="31"/>
      <c r="AB48" s="32"/>
      <c r="AC48" s="153"/>
      <c r="AD48" s="32"/>
      <c r="AE48" s="32"/>
      <c r="AF48" s="32"/>
      <c r="AG48" s="32"/>
      <c r="AH48" s="32"/>
      <c r="AI48" s="31"/>
      <c r="AJ48" s="31"/>
      <c r="AK48" s="31"/>
      <c r="AL48" s="31"/>
      <c r="AM48" s="31"/>
      <c r="AN48" s="31"/>
      <c r="AO48" s="31"/>
      <c r="AP48" s="32"/>
      <c r="AQ48" s="32"/>
      <c r="AR48" s="160"/>
    </row>
    <row r="49" spans="1:48" ht="69.75" customHeight="1">
      <c r="A49" s="10">
        <f>DATA!A54</f>
        <v>43</v>
      </c>
      <c r="B49" s="10">
        <f>DATA!B54</f>
        <v>0</v>
      </c>
      <c r="C49" s="10" t="str">
        <f>DATA!D54</f>
        <v>INFRASTRUKTUR</v>
      </c>
      <c r="D49" s="10">
        <f>DATA!E54</f>
        <v>1</v>
      </c>
      <c r="E49" s="10" t="str">
        <f>DATA!F54</f>
        <v>Kementerian Pekerjaan Umum dan Perumahan Rakyat</v>
      </c>
      <c r="F49" s="10" t="str">
        <f>DATA!H54</f>
        <v>Development of Solid Waste Management Program</v>
      </c>
      <c r="G49" s="10" t="str">
        <f>DATA!I54</f>
        <v>F</v>
      </c>
      <c r="H49" s="10" t="str">
        <f>DATA!J54</f>
        <v xml:space="preserve">Program Pembangunan Sistem Pengelolaan Persampahan </v>
      </c>
      <c r="I49" s="10">
        <f>DATA!K54</f>
        <v>1</v>
      </c>
      <c r="J49" s="33"/>
      <c r="K49" s="34"/>
      <c r="L49" s="35"/>
      <c r="M49" s="36">
        <f>DATA!K54</f>
        <v>1</v>
      </c>
      <c r="N49" s="37" t="str">
        <f>DATA!L54</f>
        <v xml:space="preserve">Advanced Solid Waste Management for Sustainable Urban Development (Advance SWM-SUD) </v>
      </c>
      <c r="O49" s="20">
        <f>DATA!Q54</f>
        <v>1</v>
      </c>
      <c r="P49" s="20">
        <f>DATA!R54</f>
        <v>1</v>
      </c>
      <c r="Q49" s="20">
        <f>DATA!S54</f>
        <v>37</v>
      </c>
      <c r="R49" s="77">
        <f>DATA!T54</f>
        <v>150000000</v>
      </c>
      <c r="S49" s="77"/>
      <c r="T49" s="77">
        <f>DATA!V54</f>
        <v>7500000</v>
      </c>
      <c r="U49" s="77">
        <f>DATA!W54</f>
        <v>0</v>
      </c>
      <c r="V49" s="77">
        <f>DATA!X54</f>
        <v>157500000</v>
      </c>
      <c r="W49" s="78" t="str">
        <f>DATA!Y54</f>
        <v>Jerman (KfW)</v>
      </c>
      <c r="X49" s="20" t="str">
        <f>DATA!Z54</f>
        <v>Bilateral</v>
      </c>
      <c r="Y49" s="77">
        <f>DATA!AA54</f>
        <v>150000000</v>
      </c>
      <c r="Z49" s="77">
        <f>DATA!AG54</f>
        <v>0</v>
      </c>
      <c r="AA49" s="20">
        <f>DATA!AH54</f>
        <v>2017</v>
      </c>
      <c r="AB49" s="37" t="str">
        <f>DATA!AI54</f>
        <v>-</v>
      </c>
      <c r="AC49" s="152">
        <f>DATA!AM54</f>
        <v>0</v>
      </c>
      <c r="AD49" s="152" t="str">
        <f>DATA!AN54</f>
        <v>dalam proses
(penyusunan FS)</v>
      </c>
      <c r="AE49" s="152" t="str">
        <f>DATA!AO54</f>
        <v>belum ada keterangan</v>
      </c>
      <c r="AF49" s="37" t="str">
        <f>DATA!AJ54</f>
        <v>Telah dilakukan kajian awal oleh tim FFM KfW</v>
      </c>
      <c r="AG49" s="37" t="str">
        <f>DATA!AK54</f>
        <v>-</v>
      </c>
      <c r="AH49" s="37" t="str">
        <f>DATA!AL54</f>
        <v>-</v>
      </c>
      <c r="AI49" s="20">
        <f>DATA!AM54</f>
        <v>0</v>
      </c>
      <c r="AJ49" s="20" t="str">
        <f>DATA!AN54</f>
        <v>dalam proses
(penyusunan FS)</v>
      </c>
      <c r="AK49" s="20" t="str">
        <f>DATA!AO54</f>
        <v>belum ada keterangan</v>
      </c>
      <c r="AL49" s="20" t="str">
        <f>DATA!AP54</f>
        <v>belum ada proses tender/lelang</v>
      </c>
      <c r="AM49" s="20" t="str">
        <f>DATA!AY54</f>
        <v>- belum ada proses penyiapan
- Konfirmasi melalui surat Sekjen nomor KU.01.12-Sj/636 tgl 23 Oktober 2015</v>
      </c>
      <c r="AN49" s="20" t="e">
        <f>DATA!#REF!</f>
        <v>#REF!</v>
      </c>
      <c r="AO49" s="20">
        <f>DATA!AZ54</f>
        <v>0</v>
      </c>
      <c r="AP49" s="152" t="e">
        <f>DATA!#REF!</f>
        <v>#REF!</v>
      </c>
      <c r="AQ49" s="37" t="str">
        <f>DATA!BA54</f>
        <v>Pembangunan TPA baru, pembangunan unit sistem teknologi pengolahan sampah, pembangunan Intermediete Treatment Facility (ITF), infrastruktur penunjang, buffer zone, dan supervisi kegiatan konstruksi.</v>
      </c>
      <c r="AR49" s="166"/>
    </row>
    <row r="50" spans="1:48" ht="51">
      <c r="A50" s="10">
        <f>DATA!A55</f>
        <v>44</v>
      </c>
      <c r="B50" s="10">
        <f>DATA!B55</f>
        <v>0</v>
      </c>
      <c r="C50" s="10" t="str">
        <f>DATA!D55</f>
        <v>INFRASTRUKTUR</v>
      </c>
      <c r="D50" s="10">
        <f>DATA!E55</f>
        <v>1</v>
      </c>
      <c r="E50" s="10" t="str">
        <f>DATA!F55</f>
        <v>Kementerian Pekerjaan Umum dan Perumahan Rakyat</v>
      </c>
      <c r="F50" s="10" t="str">
        <f>DATA!H55</f>
        <v>Development of Solid Waste Management Program</v>
      </c>
      <c r="G50" s="10" t="str">
        <f>DATA!I55</f>
        <v>F</v>
      </c>
      <c r="H50" s="10" t="str">
        <f>DATA!J55</f>
        <v xml:space="preserve">Program Pembangunan Sistem Pengelolaan Persampahan </v>
      </c>
      <c r="I50" s="10">
        <f>DATA!K55</f>
        <v>2</v>
      </c>
      <c r="J50" s="33"/>
      <c r="K50" s="34"/>
      <c r="L50" s="54"/>
      <c r="M50" s="36">
        <f>DATA!K55</f>
        <v>2</v>
      </c>
      <c r="N50" s="37" t="str">
        <f>DATA!L55</f>
        <v>The Improvement of Solid Waste Management to Support Regional Area and Metropolitan Cities</v>
      </c>
      <c r="O50" s="20">
        <f>DATA!Q55</f>
        <v>1</v>
      </c>
      <c r="P50" s="20">
        <f>DATA!R55</f>
        <v>1</v>
      </c>
      <c r="Q50" s="20">
        <f>DATA!S55</f>
        <v>38</v>
      </c>
      <c r="R50" s="77">
        <f>DATA!T55</f>
        <v>100000000</v>
      </c>
      <c r="S50" s="77"/>
      <c r="T50" s="77">
        <f>DATA!V55</f>
        <v>5000000</v>
      </c>
      <c r="U50" s="77">
        <f>DATA!W55</f>
        <v>0</v>
      </c>
      <c r="V50" s="77">
        <f>DATA!X55</f>
        <v>105000000</v>
      </c>
      <c r="W50" s="78" t="str">
        <f>DATA!Y55</f>
        <v>Bank Dunia</v>
      </c>
      <c r="X50" s="20" t="str">
        <f>DATA!Z55</f>
        <v>Multilateral</v>
      </c>
      <c r="Y50" s="77">
        <f>DATA!AA55</f>
        <v>100000000</v>
      </c>
      <c r="Z50" s="77">
        <f>DATA!AG55</f>
        <v>0</v>
      </c>
      <c r="AA50" s="20">
        <f>DATA!AH55</f>
        <v>2016</v>
      </c>
      <c r="AB50" s="37" t="str">
        <f>DATA!AI55</f>
        <v>-</v>
      </c>
      <c r="AC50" s="152">
        <f>DATA!AM55</f>
        <v>0</v>
      </c>
      <c r="AD50" s="152" t="str">
        <f>DATA!AN55</f>
        <v>dalam proses
(memiliki FS)</v>
      </c>
      <c r="AE50" s="152" t="str">
        <f>DATA!AO55</f>
        <v>dalam proses
(persiapan)</v>
      </c>
      <c r="AF50" s="37" t="str">
        <f>DATA!AJ55</f>
        <v>DED dalam proses finalisasi</v>
      </c>
      <c r="AG50" s="37" t="str">
        <f>DATA!AK55</f>
        <v>Dalam proses kepemilikan lahan</v>
      </c>
      <c r="AH50" s="37" t="str">
        <f>DATA!AL55</f>
        <v>Belum ada tindak lanjut</v>
      </c>
      <c r="AI50" s="20">
        <f>DATA!AM55</f>
        <v>0</v>
      </c>
      <c r="AJ50" s="20" t="str">
        <f>DATA!AN55</f>
        <v>dalam proses
(memiliki FS)</v>
      </c>
      <c r="AK50" s="20" t="str">
        <f>DATA!AO55</f>
        <v>dalam proses
(persiapan)</v>
      </c>
      <c r="AL50" s="20" t="str">
        <f>DATA!AP55</f>
        <v>belum ada proses tender/lelang</v>
      </c>
      <c r="AM50" s="20" t="str">
        <f>DATA!AY55</f>
        <v xml:space="preserve">- Konfirmasi melalui surat Sekjen nomor KU.01.12-Sj/636 tgl 23 Oktober 2015
- Bank Dunia membantu proses studi, DED, FS (CDIA, INDII Facility) </v>
      </c>
      <c r="AN50" s="20" t="e">
        <f>DATA!#REF!</f>
        <v>#REF!</v>
      </c>
      <c r="AO50" s="20" t="str">
        <f>DATA!AZ55</f>
        <v>- FS
- Diusulkan untuk masuk Green Book 2016</v>
      </c>
      <c r="AP50" s="152" t="e">
        <f>DATA!#REF!</f>
        <v>#REF!</v>
      </c>
      <c r="AQ50" s="37" t="str">
        <f>DATA!BA55</f>
        <v>Pembangunan TPA Sanitary Landfill  baru, pembangunan Intermediete Treatment Facility (ITF), dan pengembangan konsep Reuse, Reduce, and Recycle (3R).</v>
      </c>
      <c r="AR50" s="166"/>
    </row>
    <row r="51" spans="1:48" s="5" customFormat="1" ht="33.75" customHeight="1">
      <c r="J51" s="28"/>
      <c r="K51" s="50"/>
      <c r="L51" s="30" t="str">
        <f>DATA!I56</f>
        <v>G</v>
      </c>
      <c r="M51" s="31" t="str">
        <f>DATA!J56</f>
        <v>Program Penanganan Kumuh</v>
      </c>
      <c r="N51" s="51"/>
      <c r="O51" s="31"/>
      <c r="P51" s="31"/>
      <c r="Q51" s="31"/>
      <c r="R51" s="81">
        <f>+R52+R53+R56+R57</f>
        <v>3614740000</v>
      </c>
      <c r="S51" s="81"/>
      <c r="T51" s="81">
        <f t="shared" ref="T51:Z51" si="1">+T52+T53+T56+T57</f>
        <v>180737000</v>
      </c>
      <c r="U51" s="81">
        <f t="shared" si="1"/>
        <v>0</v>
      </c>
      <c r="V51" s="81">
        <f t="shared" si="1"/>
        <v>3795477000</v>
      </c>
      <c r="W51" s="149"/>
      <c r="X51" s="81" t="e">
        <f t="shared" si="1"/>
        <v>#VALUE!</v>
      </c>
      <c r="Y51" s="81">
        <f t="shared" si="1"/>
        <v>3614740000</v>
      </c>
      <c r="Z51" s="81">
        <f t="shared" si="1"/>
        <v>0</v>
      </c>
      <c r="AA51" s="31"/>
      <c r="AB51" s="32"/>
      <c r="AC51" s="32"/>
      <c r="AD51" s="32"/>
      <c r="AE51" s="32"/>
      <c r="AF51" s="32"/>
      <c r="AG51" s="32"/>
      <c r="AH51" s="32"/>
      <c r="AI51" s="31"/>
      <c r="AJ51" s="31"/>
      <c r="AK51" s="31"/>
      <c r="AL51" s="31"/>
      <c r="AM51" s="31"/>
      <c r="AN51" s="31"/>
      <c r="AO51" s="31"/>
      <c r="AP51" s="32"/>
      <c r="AQ51" s="32"/>
      <c r="AR51" s="160"/>
    </row>
    <row r="52" spans="1:48" s="8" customFormat="1" ht="180.75" customHeight="1">
      <c r="A52" s="10">
        <f>DATA!A56</f>
        <v>45</v>
      </c>
      <c r="B52" s="10">
        <f>DATA!B56</f>
        <v>0</v>
      </c>
      <c r="C52" s="10" t="str">
        <f>DATA!D56</f>
        <v>INFRASTRUKTUR</v>
      </c>
      <c r="D52" s="10">
        <f>DATA!E56</f>
        <v>1</v>
      </c>
      <c r="E52" s="10" t="str">
        <f>DATA!F56</f>
        <v>Kementerian Pekerjaan Umum dan Perumahan Rakyat</v>
      </c>
      <c r="F52" s="10" t="str">
        <f>DATA!H56</f>
        <v>Slum Alleviation Program</v>
      </c>
      <c r="G52" s="10" t="str">
        <f>DATA!I56</f>
        <v>G</v>
      </c>
      <c r="H52" s="10" t="str">
        <f>DATA!J56</f>
        <v>Program Penanganan Kumuh</v>
      </c>
      <c r="I52" s="10">
        <f>DATA!K56</f>
        <v>1</v>
      </c>
      <c r="J52" s="57"/>
      <c r="K52" s="58"/>
      <c r="L52" s="59"/>
      <c r="M52" s="60">
        <f>DATA!K56</f>
        <v>1</v>
      </c>
      <c r="N52" s="61" t="str">
        <f>DATA!L56</f>
        <v>Slum Improvement in Strategic Human Settlements Area (SISHA)</v>
      </c>
      <c r="O52" s="20">
        <f>DATA!Q56</f>
        <v>1</v>
      </c>
      <c r="P52" s="20">
        <f>DATA!R56</f>
        <v>1</v>
      </c>
      <c r="Q52" s="20">
        <f>DATA!S56</f>
        <v>39</v>
      </c>
      <c r="R52" s="89">
        <f>DATA!T56</f>
        <v>2100000000</v>
      </c>
      <c r="S52" s="89"/>
      <c r="T52" s="89">
        <f>DATA!V56</f>
        <v>105000000</v>
      </c>
      <c r="U52" s="89">
        <f>DATA!W56</f>
        <v>0</v>
      </c>
      <c r="V52" s="89">
        <f>DATA!X56</f>
        <v>2205000000</v>
      </c>
      <c r="W52" s="151" t="str">
        <f>DATA!Y56</f>
        <v>Bank Dunia/JICA/ADB</v>
      </c>
      <c r="X52" s="20" t="str">
        <f>DATA!Z56</f>
        <v>Multi Lender</v>
      </c>
      <c r="Y52" s="89">
        <f>DATA!AA56</f>
        <v>2100000000</v>
      </c>
      <c r="Z52" s="77">
        <f>DATA!AG56</f>
        <v>0</v>
      </c>
      <c r="AA52" s="103">
        <f>DATA!AH56</f>
        <v>2017</v>
      </c>
      <c r="AB52" s="61" t="str">
        <f>DATA!AI56</f>
        <v>-</v>
      </c>
      <c r="AC52" s="152">
        <f>DATA!AM56</f>
        <v>0</v>
      </c>
      <c r="AD52" s="152" t="str">
        <f>DATA!AN56</f>
        <v>dalam proses
(penyusunan FS)</v>
      </c>
      <c r="AE52" s="152" t="str">
        <f>DATA!AO56</f>
        <v>dalam proses
(perencanaan)</v>
      </c>
      <c r="AF52" s="61" t="str">
        <f>DATA!AJ56</f>
        <v>117 kab/kota telah terfasilitasi pendampingan penyusunan rencana kawasan permukiman kumuh perkotaan (RKPKP) tahun 2015 sebagai rencana pencegahan dan peningkatan kualitas permukiman dan perumahan kumuh perkotaan.</v>
      </c>
      <c r="AG52" s="61" t="str">
        <f>DATA!AK56</f>
        <v xml:space="preserve">Pemerintah Daerah sudah menetapkan SK Bupati / Walikota untuk Penetapan Lokasi Perumahan Kumuh dan Permukiman Kumuh. </v>
      </c>
      <c r="AH52" s="61" t="str">
        <f>DATA!AL56</f>
        <v>-</v>
      </c>
      <c r="AI52" s="20">
        <f>DATA!AM56</f>
        <v>0</v>
      </c>
      <c r="AJ52" s="20" t="str">
        <f>DATA!AN56</f>
        <v>dalam proses
(penyusunan FS)</v>
      </c>
      <c r="AK52" s="20" t="str">
        <f>DATA!AO56</f>
        <v>dalam proses
(perencanaan)</v>
      </c>
      <c r="AL52" s="20" t="str">
        <f>DATA!AP56</f>
        <v>belum ada proses tender/lelang</v>
      </c>
      <c r="AM52" s="20" t="str">
        <f>DATA!AY56</f>
        <v>- Konsep kegiatan belum siap
- Konfirmasi melalui surat Sekjen nomor KU.01.12-Sj/636 tgl 23 Oktober 2015</v>
      </c>
      <c r="AN52" s="20" t="e">
        <f>DATA!#REF!</f>
        <v>#REF!</v>
      </c>
      <c r="AO52" s="20">
        <f>DATA!AZ56</f>
        <v>0</v>
      </c>
      <c r="AP52" s="161" t="e">
        <f>DATA!#REF!</f>
        <v>#REF!</v>
      </c>
      <c r="AQ52" s="37" t="str">
        <f>DATA!BA56</f>
        <v>Penanganan kawasan kumuh sebesar 4.400 ha</v>
      </c>
      <c r="AR52" s="162">
        <v>1</v>
      </c>
      <c r="AS52" s="8">
        <v>1</v>
      </c>
    </row>
    <row r="53" spans="1:48" ht="30" customHeight="1">
      <c r="A53" s="10">
        <f>DATA!A57</f>
        <v>46</v>
      </c>
      <c r="B53" s="10">
        <f>DATA!B57</f>
        <v>0</v>
      </c>
      <c r="C53" s="10" t="str">
        <f>DATA!D57</f>
        <v>INFRASTRUKTUR</v>
      </c>
      <c r="D53" s="10">
        <f>DATA!E57</f>
        <v>1</v>
      </c>
      <c r="E53" s="10" t="str">
        <f>DATA!F57</f>
        <v>Kementerian Pekerjaan Umum dan Perumahan Rakyat</v>
      </c>
      <c r="F53" s="10" t="str">
        <f>DATA!H57</f>
        <v>Slum Alleviation Program</v>
      </c>
      <c r="G53" s="10" t="str">
        <f>DATA!I57</f>
        <v>G</v>
      </c>
      <c r="H53" s="10" t="str">
        <f>DATA!J57</f>
        <v>Program Penanganan Kumuh</v>
      </c>
      <c r="I53" s="10">
        <f>DATA!K57</f>
        <v>2</v>
      </c>
      <c r="J53" s="33"/>
      <c r="K53" s="34"/>
      <c r="L53" s="34"/>
      <c r="M53" s="36">
        <f>DATA!K57</f>
        <v>2</v>
      </c>
      <c r="N53" s="37" t="str">
        <f>DATA!L57</f>
        <v>National Slum Upgrading</v>
      </c>
      <c r="O53" s="20">
        <f>DATA!Q57</f>
        <v>0</v>
      </c>
      <c r="P53" s="20">
        <f>DATA!R57</f>
        <v>1</v>
      </c>
      <c r="Q53" s="20">
        <f>DATA!S57</f>
        <v>40</v>
      </c>
      <c r="R53" s="77">
        <f>DATA!T57</f>
        <v>1052640000</v>
      </c>
      <c r="S53" s="77"/>
      <c r="T53" s="77">
        <f>DATA!V57</f>
        <v>52632000</v>
      </c>
      <c r="U53" s="77">
        <f>DATA!W57</f>
        <v>0</v>
      </c>
      <c r="V53" s="77">
        <f>DATA!X57</f>
        <v>1105272000</v>
      </c>
      <c r="W53" s="78" t="str">
        <f>DATA!Y57</f>
        <v>-</v>
      </c>
      <c r="X53" s="20">
        <f>DATA!Z57</f>
        <v>0</v>
      </c>
      <c r="Y53" s="77">
        <f>DATA!AA57</f>
        <v>1052640000</v>
      </c>
      <c r="Z53" s="77">
        <f>DATA!AG57</f>
        <v>0</v>
      </c>
      <c r="AA53" s="20" t="str">
        <f>DATA!AH57</f>
        <v>-</v>
      </c>
      <c r="AB53" s="37" t="str">
        <f>DATA!AI57</f>
        <v>-</v>
      </c>
      <c r="AC53" s="152" t="str">
        <f>DATA!AM57</f>
        <v>-</v>
      </c>
      <c r="AD53" s="152" t="str">
        <f>DATA!AN57</f>
        <v>-</v>
      </c>
      <c r="AE53" s="152" t="str">
        <f>DATA!AO57</f>
        <v>-</v>
      </c>
      <c r="AF53" s="37" t="str">
        <f>DATA!AJ57</f>
        <v>-</v>
      </c>
      <c r="AG53" s="37" t="str">
        <f>DATA!AK57</f>
        <v>-</v>
      </c>
      <c r="AH53" s="37" t="str">
        <f>DATA!AL57</f>
        <v>-</v>
      </c>
      <c r="AI53" s="20" t="str">
        <f>DATA!AM57</f>
        <v>-</v>
      </c>
      <c r="AJ53" s="20" t="str">
        <f>DATA!AN57</f>
        <v>-</v>
      </c>
      <c r="AK53" s="20" t="str">
        <f>DATA!AO57</f>
        <v>-</v>
      </c>
      <c r="AL53" s="20" t="str">
        <f>DATA!AP57</f>
        <v>-</v>
      </c>
      <c r="AM53" s="20" t="str">
        <f>DATA!AY57</f>
        <v>Konfirmasi melalui surat Sekjen nomor KU.01.12-Sj/636 tgl 23 Oktober 2015</v>
      </c>
      <c r="AN53" s="20" t="e">
        <f>DATA!#REF!</f>
        <v>#REF!</v>
      </c>
      <c r="AO53" s="20" t="str">
        <f>DATA!AZ57</f>
        <v>-</v>
      </c>
      <c r="AP53" s="152" t="e">
        <f>DATA!#REF!</f>
        <v>#REF!</v>
      </c>
      <c r="AQ53" s="37" t="str">
        <f>DATA!BA57</f>
        <v>-</v>
      </c>
      <c r="AR53" s="166"/>
    </row>
    <row r="54" spans="1:48" s="6" customFormat="1" ht="209.25" customHeight="1">
      <c r="A54" s="6">
        <f>DATA!A58</f>
        <v>46</v>
      </c>
      <c r="B54" s="6">
        <f>DATA!B58</f>
        <v>0</v>
      </c>
      <c r="C54" s="6" t="str">
        <f>DATA!D58</f>
        <v>INFRASTRUKTUR</v>
      </c>
      <c r="D54" s="6">
        <f>DATA!E58</f>
        <v>1</v>
      </c>
      <c r="E54" s="6" t="str">
        <f>DATA!F58</f>
        <v>Kementerian Pekerjaan Umum dan Perumahan Rakyat</v>
      </c>
      <c r="F54" s="6" t="str">
        <f>DATA!H58</f>
        <v>Slum Alleviation Program</v>
      </c>
      <c r="G54" s="6" t="str">
        <f>DATA!I58</f>
        <v>G</v>
      </c>
      <c r="H54" s="6" t="str">
        <f>DATA!J58</f>
        <v>Program Penanganan Kumuh</v>
      </c>
      <c r="I54" s="6">
        <f>DATA!K58</f>
        <v>2</v>
      </c>
      <c r="J54" s="38"/>
      <c r="K54" s="39"/>
      <c r="L54" s="39"/>
      <c r="M54" s="40"/>
      <c r="N54" s="67" t="str">
        <f>DATA!L58</f>
        <v>National Slum Upgrading</v>
      </c>
      <c r="O54" s="42">
        <f>DATA!Q58</f>
        <v>0.25</v>
      </c>
      <c r="P54" s="42">
        <f>DATA!R58</f>
        <v>0</v>
      </c>
      <c r="Q54" s="42">
        <f>DATA!S58</f>
        <v>0</v>
      </c>
      <c r="R54" s="83">
        <f>DATA!T58</f>
        <v>0</v>
      </c>
      <c r="S54" s="83"/>
      <c r="T54" s="83">
        <f>DATA!V58</f>
        <v>0</v>
      </c>
      <c r="U54" s="83">
        <f>DATA!W58</f>
        <v>0</v>
      </c>
      <c r="V54" s="83">
        <f>DATA!X58</f>
        <v>0</v>
      </c>
      <c r="W54" s="84" t="str">
        <f>DATA!Y58</f>
        <v>IDB</v>
      </c>
      <c r="X54" s="42" t="str">
        <f>DATA!Z58</f>
        <v>Multilateral</v>
      </c>
      <c r="Y54" s="83">
        <f>DATA!AA58</f>
        <v>329760000</v>
      </c>
      <c r="Z54" s="83">
        <f>DATA!AG58</f>
        <v>0</v>
      </c>
      <c r="AA54" s="42">
        <f>DATA!AH58</f>
        <v>2016</v>
      </c>
      <c r="AB54" s="67" t="str">
        <f>DATA!AI58</f>
        <v>Green Book 2016</v>
      </c>
      <c r="AC54" s="152">
        <f>DATA!AM58</f>
        <v>2016</v>
      </c>
      <c r="AD54" s="152" t="str">
        <f>DATA!AN58</f>
        <v>dalam proses
(penyusunan FS)</v>
      </c>
      <c r="AE54" s="152" t="str">
        <f>DATA!AO58</f>
        <v>tidak butuh lahan</v>
      </c>
      <c r="AF54" s="67" t="str">
        <f>DATA!AJ58</f>
        <v>- Concept Paper, Baseline Survey, Draft Guidelines.
- Surat Komitmen Pemda untuk penanganan kumuh.</v>
      </c>
      <c r="AG54" s="67"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H54" s="67" t="str">
        <f>DATA!AL58</f>
        <v>-</v>
      </c>
      <c r="AI54" s="42">
        <f>DATA!AM58</f>
        <v>2016</v>
      </c>
      <c r="AJ54" s="42" t="str">
        <f>DATA!AN58</f>
        <v>dalam proses
(penyusunan FS)</v>
      </c>
      <c r="AK54" s="42" t="str">
        <f>DATA!AO58</f>
        <v>tidak butuh lahan</v>
      </c>
      <c r="AL54" s="42" t="str">
        <f>DATA!AP58</f>
        <v>belum ada proses tender/lelang</v>
      </c>
      <c r="AM54" s="42"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N54" s="42" t="e">
        <f>DATA!#REF!</f>
        <v>#REF!</v>
      </c>
      <c r="AO54" s="42" t="str">
        <f>DATA!AZ58</f>
        <v>Sudah ada R/C</v>
      </c>
      <c r="AP54" s="152" t="e">
        <f>DATA!#REF!</f>
        <v>#REF!</v>
      </c>
      <c r="AQ54" s="67" t="str">
        <f>DATA!BA58</f>
        <v>Peningkatan kualitas permukiman di 21 provinsi, 257 kabupaten/kota,  6.626 kelurahan</v>
      </c>
      <c r="AR54" s="165"/>
    </row>
    <row r="55" spans="1:48" s="6" customFormat="1" ht="201" customHeight="1">
      <c r="A55" s="6">
        <f>DATA!A59</f>
        <v>47</v>
      </c>
      <c r="B55" s="6">
        <f>DATA!B59</f>
        <v>0</v>
      </c>
      <c r="C55" s="6" t="str">
        <f>DATA!D59</f>
        <v>INFRASTRUKTUR</v>
      </c>
      <c r="D55" s="6">
        <f>DATA!E59</f>
        <v>1</v>
      </c>
      <c r="E55" s="6" t="str">
        <f>DATA!F59</f>
        <v>Kementerian Pekerjaan Umum dan Perumahan Rakyat</v>
      </c>
      <c r="F55" s="6" t="str">
        <f>DATA!H59</f>
        <v>Slum Alleviation Program</v>
      </c>
      <c r="G55" s="6" t="str">
        <f>DATA!I59</f>
        <v>G</v>
      </c>
      <c r="H55" s="6" t="str">
        <f>DATA!J59</f>
        <v>Program Penanganan Kumuh</v>
      </c>
      <c r="I55" s="6">
        <f>DATA!K59</f>
        <v>2</v>
      </c>
      <c r="J55" s="38"/>
      <c r="K55" s="39"/>
      <c r="L55" s="39"/>
      <c r="M55" s="43"/>
      <c r="N55" s="67" t="str">
        <f>DATA!L59</f>
        <v>National Slum Upgrading</v>
      </c>
      <c r="O55" s="42">
        <f>DATA!Q59</f>
        <v>0.25</v>
      </c>
      <c r="P55" s="42">
        <f>DATA!R59</f>
        <v>0</v>
      </c>
      <c r="Q55" s="42">
        <f>DATA!S59</f>
        <v>0</v>
      </c>
      <c r="R55" s="83">
        <f>DATA!T59</f>
        <v>0</v>
      </c>
      <c r="S55" s="83"/>
      <c r="T55" s="83">
        <f>DATA!V59</f>
        <v>0</v>
      </c>
      <c r="U55" s="83">
        <f>DATA!W59</f>
        <v>0</v>
      </c>
      <c r="V55" s="83">
        <f>DATA!X59</f>
        <v>0</v>
      </c>
      <c r="W55" s="84" t="str">
        <f>DATA!Y59</f>
        <v>Bank Dunia</v>
      </c>
      <c r="X55" s="42" t="str">
        <f>DATA!Z59</f>
        <v>Multilateral</v>
      </c>
      <c r="Y55" s="83">
        <f>DATA!AA59</f>
        <v>216500000</v>
      </c>
      <c r="Z55" s="83">
        <f>DATA!AG59</f>
        <v>0</v>
      </c>
      <c r="AA55" s="42">
        <f>DATA!AH59</f>
        <v>2016</v>
      </c>
      <c r="AB55" s="67" t="str">
        <f>DATA!AI59</f>
        <v>Green Book 2016</v>
      </c>
      <c r="AC55" s="152">
        <f>DATA!AM59</f>
        <v>2016</v>
      </c>
      <c r="AD55" s="152" t="str">
        <f>DATA!AN59</f>
        <v>dalam proses
(penyusunan FS)</v>
      </c>
      <c r="AE55" s="152" t="str">
        <f>DATA!AO59</f>
        <v>tidak butuh lahan</v>
      </c>
      <c r="AF55" s="67" t="str">
        <f>DATA!AJ59</f>
        <v>- Concept Paper, Baseline Survey, Draft Guidelines.
- Surat Komitmen Pemda untuk penanganan kumuh.</v>
      </c>
      <c r="AG55" s="67"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H55" s="67" t="str">
        <f>DATA!AL59</f>
        <v>-</v>
      </c>
      <c r="AI55" s="42">
        <f>DATA!AM59</f>
        <v>2016</v>
      </c>
      <c r="AJ55" s="42" t="str">
        <f>DATA!AN59</f>
        <v>dalam proses
(penyusunan FS)</v>
      </c>
      <c r="AK55" s="42" t="str">
        <f>DATA!AO59</f>
        <v>tidak butuh lahan</v>
      </c>
      <c r="AL55" s="42" t="str">
        <f>DATA!AP59</f>
        <v>belum ada proses tender/lelang</v>
      </c>
      <c r="AM55" s="42"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N55" s="42" t="e">
        <f>DATA!#REF!</f>
        <v>#REF!</v>
      </c>
      <c r="AO55" s="42" t="str">
        <f>DATA!AZ59</f>
        <v>Sudah ada R/C</v>
      </c>
      <c r="AP55" s="152" t="e">
        <f>DATA!#REF!</f>
        <v>#REF!</v>
      </c>
      <c r="AQ55" s="67" t="str">
        <f>DATA!BA59</f>
        <v>Peningkatan kualitas permukiman di 21 provinsi, 257 kabupaten/kota,  6.626 kelurahan</v>
      </c>
      <c r="AR55" s="165"/>
    </row>
    <row r="56" spans="1:48" ht="89.25" customHeight="1">
      <c r="A56" s="10">
        <f>DATA!A62</f>
        <v>48</v>
      </c>
      <c r="B56" s="10">
        <f>DATA!B62</f>
        <v>0</v>
      </c>
      <c r="C56" s="10" t="str">
        <f>DATA!D62</f>
        <v>INFRASTRUKTUR</v>
      </c>
      <c r="D56" s="10">
        <f>DATA!E62</f>
        <v>1</v>
      </c>
      <c r="E56" s="10" t="str">
        <f>DATA!F62</f>
        <v>Kementerian Pekerjaan Umum dan Perumahan Rakyat</v>
      </c>
      <c r="F56" s="10" t="str">
        <f>DATA!H62</f>
        <v>Slum Alleviation Program</v>
      </c>
      <c r="G56" s="10" t="str">
        <f>DATA!I62</f>
        <v>G</v>
      </c>
      <c r="H56" s="10" t="str">
        <f>DATA!J62</f>
        <v>Program Penanganan Kumuh</v>
      </c>
      <c r="I56" s="10">
        <f>DATA!K62</f>
        <v>3</v>
      </c>
      <c r="J56" s="33"/>
      <c r="K56" s="34"/>
      <c r="L56" s="34"/>
      <c r="M56" s="36">
        <f>DATA!K62</f>
        <v>3</v>
      </c>
      <c r="N56" s="37" t="str">
        <f>DATA!L62</f>
        <v>Rural Settlement Infrastructure Development (RSID)</v>
      </c>
      <c r="O56" s="20">
        <f>DATA!Q62</f>
        <v>1</v>
      </c>
      <c r="P56" s="20">
        <f>DATA!R62</f>
        <v>1</v>
      </c>
      <c r="Q56" s="20">
        <f>DATA!S62</f>
        <v>41</v>
      </c>
      <c r="R56" s="77">
        <f>DATA!T62</f>
        <v>201000000</v>
      </c>
      <c r="S56" s="77"/>
      <c r="T56" s="77">
        <f>DATA!V62</f>
        <v>10050000</v>
      </c>
      <c r="U56" s="77">
        <f>DATA!W62</f>
        <v>0</v>
      </c>
      <c r="V56" s="77">
        <f>DATA!X62</f>
        <v>211050000</v>
      </c>
      <c r="W56" s="78" t="str">
        <f>DATA!Y62</f>
        <v>JICA</v>
      </c>
      <c r="X56" s="20" t="str">
        <f>DATA!Z62</f>
        <v>Bilateral</v>
      </c>
      <c r="Y56" s="77">
        <f>DATA!AA62</f>
        <v>201000000</v>
      </c>
      <c r="Z56" s="77">
        <f>DATA!AG62</f>
        <v>0</v>
      </c>
      <c r="AA56" s="20">
        <f>DATA!AH62</f>
        <v>2016</v>
      </c>
      <c r="AB56" s="37" t="str">
        <f>DATA!AI62</f>
        <v>-</v>
      </c>
      <c r="AC56" s="152">
        <f>DATA!AM62</f>
        <v>0</v>
      </c>
      <c r="AD56" s="152" t="str">
        <f>DATA!AN62</f>
        <v>dalam proses
(penyusunan FS)</v>
      </c>
      <c r="AE56" s="152" t="str">
        <f>DATA!AO62</f>
        <v>dalam proses
(perencanaan)</v>
      </c>
      <c r="AF56" s="37" t="str">
        <f>DATA!AJ62</f>
        <v>30 (tiga puluh) kabupaten yang sudah mempunyai Perda RTRW dan mempunyai Perda Kawasan Strategis Kabupaten (KSK)</v>
      </c>
      <c r="AG56" s="37" t="str">
        <f>DATA!AK62</f>
        <v>belum ada pedoman teknis untuk pemenuhan lahan.</v>
      </c>
      <c r="AH56" s="37" t="str">
        <f>DATA!AL62</f>
        <v>belum ada</v>
      </c>
      <c r="AI56" s="20">
        <f>DATA!AM62</f>
        <v>0</v>
      </c>
      <c r="AJ56" s="20" t="str">
        <f>DATA!AN62</f>
        <v>dalam proses
(penyusunan FS)</v>
      </c>
      <c r="AK56" s="20" t="str">
        <f>DATA!AO62</f>
        <v>dalam proses
(perencanaan)</v>
      </c>
      <c r="AL56" s="20" t="str">
        <f>DATA!AP62</f>
        <v>belum ada proses tender/lelang</v>
      </c>
      <c r="AM56" s="20" t="str">
        <f>DATA!AY62</f>
        <v>- semula Lender adalah IDB, namun berdasarkan hasil konfirmasi Kem. PUPR, Lender keg ini adalah JICA
- konsep kegiatan belum siap
- Konfirmasi melalui surat Sekjen nomor KU.01.12-Sj/636 tgl 23 Oktober 2015</v>
      </c>
      <c r="AN56" s="20" t="e">
        <f>DATA!#REF!</f>
        <v>#REF!</v>
      </c>
      <c r="AO56" s="20">
        <f>DATA!AZ62</f>
        <v>0</v>
      </c>
      <c r="AP56" s="152" t="e">
        <f>DATA!#REF!</f>
        <v>#REF!</v>
      </c>
      <c r="AQ56" s="37" t="str">
        <f>DATA!BA62</f>
        <v xml:space="preserve">Pembangunan infrastruktur perdesaan seluas 18.589 ha </v>
      </c>
      <c r="AR56" s="166"/>
    </row>
    <row r="57" spans="1:48" s="8" customFormat="1" ht="80.25" customHeight="1">
      <c r="A57" s="10">
        <f>DATA!A63</f>
        <v>49</v>
      </c>
      <c r="B57" s="10">
        <f>DATA!B63</f>
        <v>0</v>
      </c>
      <c r="C57" s="10" t="str">
        <f>DATA!D63</f>
        <v>INFRASTRUKTUR</v>
      </c>
      <c r="D57" s="10">
        <f>DATA!E63</f>
        <v>1</v>
      </c>
      <c r="E57" s="10" t="str">
        <f>DATA!F63</f>
        <v>Kementerian Pekerjaan Umum dan Perumahan Rakyat</v>
      </c>
      <c r="F57" s="10" t="str">
        <f>DATA!H63</f>
        <v>Slum Alleviation Program</v>
      </c>
      <c r="G57" s="10" t="str">
        <f>DATA!I63</f>
        <v>G</v>
      </c>
      <c r="H57" s="10" t="str">
        <f>DATA!J63</f>
        <v>Program Penanganan Kumuh</v>
      </c>
      <c r="I57" s="10">
        <f>DATA!K63</f>
        <v>4</v>
      </c>
      <c r="J57" s="57"/>
      <c r="K57" s="58"/>
      <c r="L57" s="111"/>
      <c r="M57" s="60">
        <f>DATA!K63</f>
        <v>4</v>
      </c>
      <c r="N57" s="61" t="str">
        <f>DATA!L63</f>
        <v>Building Administration and Capacity Enforcement Development for Seismic Resilience</v>
      </c>
      <c r="O57" s="20">
        <f>DATA!Q63</f>
        <v>1</v>
      </c>
      <c r="P57" s="20">
        <f>DATA!R63</f>
        <v>1</v>
      </c>
      <c r="Q57" s="20">
        <f>DATA!S63</f>
        <v>42</v>
      </c>
      <c r="R57" s="89">
        <f>DATA!T63</f>
        <v>261100000</v>
      </c>
      <c r="S57" s="89"/>
      <c r="T57" s="89">
        <f>DATA!V63</f>
        <v>13055000</v>
      </c>
      <c r="U57" s="89">
        <f>DATA!W63</f>
        <v>0</v>
      </c>
      <c r="V57" s="89">
        <f>DATA!X63</f>
        <v>274155000</v>
      </c>
      <c r="W57" s="90" t="str">
        <f>DATA!Y63</f>
        <v>JICA</v>
      </c>
      <c r="X57" s="20" t="str">
        <f>DATA!Z63</f>
        <v>Bilateral</v>
      </c>
      <c r="Y57" s="89">
        <f>DATA!AA63</f>
        <v>261100000</v>
      </c>
      <c r="Z57" s="77">
        <f>DATA!AG63</f>
        <v>0</v>
      </c>
      <c r="AA57" s="103">
        <f>DATA!AH63</f>
        <v>2016</v>
      </c>
      <c r="AB57" s="61" t="str">
        <f>DATA!AI63</f>
        <v>-</v>
      </c>
      <c r="AC57" s="152">
        <f>DATA!AM63</f>
        <v>0</v>
      </c>
      <c r="AD57" s="152" t="str">
        <f>DATA!AN63</f>
        <v>dalam proses
(penyusunan FS)</v>
      </c>
      <c r="AE57" s="152" t="str">
        <f>DATA!AO63</f>
        <v>tidak butuh lahan</v>
      </c>
      <c r="AF57" s="61" t="str">
        <f>DATA!AJ63</f>
        <v>246 dari total 514 kota / kabupaten telah mengeluarkan Peraturan Daerah Bangunan Gedung).</v>
      </c>
      <c r="AG57" s="61" t="str">
        <f>DATA!AK63</f>
        <v>tidak ada kegiatan pengadaan lahan.</v>
      </c>
      <c r="AH57" s="61" t="str">
        <f>DATA!AL63</f>
        <v>belum ada</v>
      </c>
      <c r="AI57" s="20">
        <f>DATA!AM63</f>
        <v>0</v>
      </c>
      <c r="AJ57" s="20" t="str">
        <f>DATA!AN63</f>
        <v>dalam proses
(penyusunan FS)</v>
      </c>
      <c r="AK57" s="20" t="str">
        <f>DATA!AO63</f>
        <v>tidak butuh lahan</v>
      </c>
      <c r="AL57" s="20" t="str">
        <f>DATA!AP63</f>
        <v>belum ada proses tender/lelang</v>
      </c>
      <c r="AM57" s="20" t="str">
        <f>DATA!AY63</f>
        <v>- konsep kegiatan belum siap
- Konfirmasi melalui surat Sekjen nomor KU.01.12-Sj/636 tgl 23 Oktober 2015</v>
      </c>
      <c r="AN57" s="20" t="e">
        <f>DATA!#REF!</f>
        <v>#REF!</v>
      </c>
      <c r="AO57" s="20" t="str">
        <f>DATA!AZ63</f>
        <v>- JICA diindikasikan akan mendanai kegiatan ini dan sudah ada kajian dengan pihak JICA</v>
      </c>
      <c r="AP57" s="161" t="e">
        <f>DATA!#REF!</f>
        <v>#REF!</v>
      </c>
      <c r="AQ57" s="37" t="str">
        <f>DATA!BA63</f>
        <v>Pengembangan panduan/guidelines untuk 455 kota/kabupaten mengenai bangunan tahan gempa dan sosialisasi metode perkuatan/retrofitting untuk bangunan tahan gempa.</v>
      </c>
      <c r="AR57" s="162">
        <v>1</v>
      </c>
      <c r="AV57" s="8">
        <v>1</v>
      </c>
    </row>
    <row r="58" spans="1:48" s="5" customFormat="1" ht="33.75" customHeight="1">
      <c r="J58" s="28"/>
      <c r="K58" s="50"/>
      <c r="L58" s="30" t="str">
        <f>DATA!I67</f>
        <v>I</v>
      </c>
      <c r="M58" s="31" t="str">
        <f>DATA!J67</f>
        <v>Program Pengembangan dan Pengelolaan Irigasi</v>
      </c>
      <c r="N58" s="51"/>
      <c r="O58" s="31"/>
      <c r="P58" s="31"/>
      <c r="Q58" s="31"/>
      <c r="R58" s="81">
        <f>SUM(R59,R63:R71)</f>
        <v>3257531000</v>
      </c>
      <c r="S58" s="81"/>
      <c r="T58" s="81">
        <f t="shared" ref="T58:Z58" si="2">SUM(T59,T63:T71)</f>
        <v>345159500</v>
      </c>
      <c r="U58" s="81">
        <f t="shared" si="2"/>
        <v>0</v>
      </c>
      <c r="V58" s="81">
        <f t="shared" si="2"/>
        <v>3602690500</v>
      </c>
      <c r="W58" s="149"/>
      <c r="X58" s="81">
        <f t="shared" si="2"/>
        <v>0</v>
      </c>
      <c r="Y58" s="81">
        <f t="shared" si="2"/>
        <v>3257531000</v>
      </c>
      <c r="Z58" s="81">
        <f t="shared" si="2"/>
        <v>0</v>
      </c>
      <c r="AA58" s="31"/>
      <c r="AB58" s="32"/>
      <c r="AC58" s="32"/>
      <c r="AD58" s="32"/>
      <c r="AE58" s="32"/>
      <c r="AF58" s="32"/>
      <c r="AG58" s="32"/>
      <c r="AH58" s="32"/>
      <c r="AI58" s="31"/>
      <c r="AJ58" s="31"/>
      <c r="AK58" s="31"/>
      <c r="AL58" s="31"/>
      <c r="AM58" s="31"/>
      <c r="AN58" s="31"/>
      <c r="AO58" s="31"/>
      <c r="AP58" s="32"/>
      <c r="AQ58" s="32"/>
      <c r="AR58" s="160"/>
    </row>
    <row r="59" spans="1:48" ht="51">
      <c r="A59" s="10">
        <f>DATA!A65</f>
        <v>50</v>
      </c>
      <c r="B59" s="10">
        <f>DATA!B65</f>
        <v>0</v>
      </c>
      <c r="C59" s="10" t="str">
        <f>DATA!D65</f>
        <v>INFRASTRUKTUR</v>
      </c>
      <c r="D59" s="10">
        <f>DATA!E65</f>
        <v>1</v>
      </c>
      <c r="E59" s="10" t="str">
        <f>DATA!F65</f>
        <v>Kementerian Pekerjaan Umum dan Perumahan Rakyat</v>
      </c>
      <c r="F59" s="10" t="str">
        <f>DATA!H65</f>
        <v>Slum Alleviation Program</v>
      </c>
      <c r="G59" s="10" t="str">
        <f>DATA!I65</f>
        <v>I</v>
      </c>
      <c r="H59" s="10" t="str">
        <f>DATA!J65</f>
        <v>Program Pengembangan dan Pengelolaan Irigasi</v>
      </c>
      <c r="I59" s="10">
        <f>DATA!K65</f>
        <v>1</v>
      </c>
      <c r="J59" s="33"/>
      <c r="K59" s="34"/>
      <c r="L59" s="35"/>
      <c r="M59" s="36">
        <f>DATA!K65</f>
        <v>1</v>
      </c>
      <c r="N59" s="37" t="str">
        <f>DATA!L65</f>
        <v>Integrated Participatory Development and Management of Irrigation Project:</v>
      </c>
      <c r="O59" s="20">
        <f>DATA!Q65</f>
        <v>0</v>
      </c>
      <c r="P59" s="20">
        <f>DATA!R65</f>
        <v>0</v>
      </c>
      <c r="Q59" s="20">
        <f>DATA!S65</f>
        <v>0</v>
      </c>
      <c r="R59" s="77">
        <f>DATA!T65</f>
        <v>1200000000</v>
      </c>
      <c r="S59" s="77"/>
      <c r="T59" s="77">
        <f>DATA!V65</f>
        <v>120000000</v>
      </c>
      <c r="U59" s="77">
        <f>DATA!W65</f>
        <v>0</v>
      </c>
      <c r="V59" s="77">
        <f>DATA!X65</f>
        <v>1320000000</v>
      </c>
      <c r="W59" s="78" t="str">
        <f>DATA!Y65</f>
        <v>-</v>
      </c>
      <c r="X59" s="20">
        <f>DATA!Z65</f>
        <v>0</v>
      </c>
      <c r="Y59" s="77">
        <f>DATA!AA65</f>
        <v>1200000000</v>
      </c>
      <c r="Z59" s="77">
        <f>DATA!AG65</f>
        <v>0</v>
      </c>
      <c r="AA59" s="20" t="str">
        <f>DATA!AH65</f>
        <v>-</v>
      </c>
      <c r="AB59" s="37" t="str">
        <f>DATA!AI65</f>
        <v>-</v>
      </c>
      <c r="AC59" s="152" t="str">
        <f>DATA!AM65</f>
        <v>-</v>
      </c>
      <c r="AD59" s="152" t="str">
        <f>DATA!AN65</f>
        <v>-</v>
      </c>
      <c r="AE59" s="152" t="str">
        <f>DATA!AO65</f>
        <v>-</v>
      </c>
      <c r="AF59" s="37" t="str">
        <f>DATA!AJ65</f>
        <v>-</v>
      </c>
      <c r="AG59" s="37" t="str">
        <f>DATA!AK65</f>
        <v>-</v>
      </c>
      <c r="AH59" s="37" t="str">
        <f>DATA!AL65</f>
        <v>-</v>
      </c>
      <c r="AI59" s="20" t="str">
        <f>DATA!AM65</f>
        <v>-</v>
      </c>
      <c r="AJ59" s="20" t="str">
        <f>DATA!AN65</f>
        <v>-</v>
      </c>
      <c r="AK59" s="20" t="str">
        <f>DATA!AO65</f>
        <v>-</v>
      </c>
      <c r="AL59" s="20" t="str">
        <f>DATA!AP65</f>
        <v>-</v>
      </c>
      <c r="AM59" s="20" t="str">
        <f>DATA!AY65</f>
        <v>Konfirmasi melalui surat Sekjen nomor KU.01.12-Sj/636 tgl 23 Oktober 2015</v>
      </c>
      <c r="AN59" s="20" t="e">
        <f>DATA!#REF!</f>
        <v>#REF!</v>
      </c>
      <c r="AO59" s="20">
        <f>DATA!AZ65</f>
        <v>0</v>
      </c>
      <c r="AP59" s="152" t="e">
        <f>DATA!#REF!</f>
        <v>#REF!</v>
      </c>
      <c r="AQ59" s="37" t="str">
        <f>DATA!BA65</f>
        <v>Pembangunan lanjutan proyek irigasi dengan total seluas 193.858 Ha dan pembangunan irigasi baru seluas 10.000 Ha yang tersebar di berbagai wilayah di Indonesia</v>
      </c>
      <c r="AR59" s="166"/>
    </row>
    <row r="60" spans="1:48" s="6" customFormat="1" ht="88.5" customHeight="1">
      <c r="A60" s="6">
        <f>DATA!A67</f>
        <v>51</v>
      </c>
      <c r="B60" s="6">
        <f>DATA!B67</f>
        <v>0</v>
      </c>
      <c r="C60" s="6" t="str">
        <f>DATA!D67</f>
        <v>INFRASTRUKTUR</v>
      </c>
      <c r="D60" s="6">
        <f>DATA!E67</f>
        <v>1</v>
      </c>
      <c r="E60" s="6" t="str">
        <f>DATA!F67</f>
        <v>Kementerian Pekerjaan Umum dan Perumahan Rakyat</v>
      </c>
      <c r="F60" s="6" t="str">
        <f>DATA!H67</f>
        <v xml:space="preserve">Development and Management of Irrigation Program </v>
      </c>
      <c r="G60" s="6" t="str">
        <f>DATA!I67</f>
        <v>I</v>
      </c>
      <c r="H60" s="6" t="str">
        <f>DATA!J67</f>
        <v>Program Pengembangan dan Pengelolaan Irigasi</v>
      </c>
      <c r="I60" s="6">
        <f>DATA!K67</f>
        <v>1</v>
      </c>
      <c r="J60" s="38"/>
      <c r="K60" s="39"/>
      <c r="L60" s="39"/>
      <c r="M60" s="40"/>
      <c r="N60" s="67" t="str">
        <f>DATA!L67</f>
        <v>Integrated Participatory Development and Management of Irrigation Project - Phase I</v>
      </c>
      <c r="O60" s="42">
        <f>DATA!Q67</f>
        <v>0.5</v>
      </c>
      <c r="P60" s="42">
        <f>DATA!R67</f>
        <v>0</v>
      </c>
      <c r="Q60" s="42">
        <f>DATA!S67</f>
        <v>43</v>
      </c>
      <c r="R60" s="83">
        <f>DATA!T67</f>
        <v>0</v>
      </c>
      <c r="S60" s="83"/>
      <c r="T60" s="83">
        <f>DATA!V67</f>
        <v>0</v>
      </c>
      <c r="U60" s="83">
        <f>DATA!W67</f>
        <v>0</v>
      </c>
      <c r="V60" s="83">
        <f>DATA!X67</f>
        <v>0</v>
      </c>
      <c r="W60" s="84" t="str">
        <f>DATA!Y67</f>
        <v>ADB</v>
      </c>
      <c r="X60" s="42" t="str">
        <f>DATA!Z67</f>
        <v>Multilateral</v>
      </c>
      <c r="Y60" s="83">
        <f>DATA!AA67</f>
        <v>600000000</v>
      </c>
      <c r="Z60" s="83">
        <f>DATA!AG67</f>
        <v>0</v>
      </c>
      <c r="AA60" s="42">
        <f>DATA!AH67</f>
        <v>2016</v>
      </c>
      <c r="AB60" s="67" t="str">
        <f>DATA!AI67</f>
        <v>- Sudah ada RC
- Green Book 2015
- Dalam proses pembahasan skema pinjaman</v>
      </c>
      <c r="AC60" s="152" t="str">
        <f>DATA!AM67</f>
        <v>2016; 2015</v>
      </c>
      <c r="AD60" s="152" t="str">
        <f>DATA!AN67</f>
        <v>siap</v>
      </c>
      <c r="AE60" s="152" t="str">
        <f>DATA!AO67</f>
        <v>belum ada keterangan</v>
      </c>
      <c r="AF60" s="67" t="str">
        <f>DATA!AJ67</f>
        <v>FS, DED, AMDAL, LARAP</v>
      </c>
      <c r="AG60" s="67" t="str">
        <f>DATA!AK67</f>
        <v>-</v>
      </c>
      <c r="AH60" s="67" t="str">
        <f>DATA!AL67</f>
        <v>Belum ada tender/lelang</v>
      </c>
      <c r="AI60" s="42" t="str">
        <f>DATA!AM67</f>
        <v>2016; 2015</v>
      </c>
      <c r="AJ60" s="42" t="str">
        <f>DATA!AN67</f>
        <v>siap</v>
      </c>
      <c r="AK60" s="42" t="str">
        <f>DATA!AO67</f>
        <v>belum ada keterangan</v>
      </c>
      <c r="AL60" s="42" t="str">
        <f>DATA!AP67</f>
        <v>belum ada proses tender/lelang</v>
      </c>
      <c r="AM60" s="42" t="str">
        <f>DATA!AY67</f>
        <v>- Cofinancing ADB USD 600 juta dan IFAD USD 100 juta
- Konfirmasi melalui surat Sekjen nomor KU.01.12-Sj/636 tgl 23 Oktober 2015</v>
      </c>
      <c r="AN60" s="42" t="e">
        <f>DATA!#REF!</f>
        <v>#REF!</v>
      </c>
      <c r="AO60" s="42" t="str">
        <f>DATA!AZ67</f>
        <v>termasuk RBL</v>
      </c>
      <c r="AP60" s="152" t="e">
        <f>DATA!#REF!</f>
        <v>#REF!</v>
      </c>
      <c r="AQ60" s="67"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c r="AR60" s="165"/>
    </row>
    <row r="61" spans="1:48" s="6" customFormat="1" ht="86.25" customHeight="1">
      <c r="A61" s="6">
        <f>DATA!A68</f>
        <v>52</v>
      </c>
      <c r="B61" s="6">
        <f>DATA!B68</f>
        <v>0</v>
      </c>
      <c r="C61" s="6" t="str">
        <f>DATA!D68</f>
        <v>INFRASTRUKTUR</v>
      </c>
      <c r="D61" s="6">
        <f>DATA!E68</f>
        <v>1</v>
      </c>
      <c r="E61" s="6" t="str">
        <f>DATA!F68</f>
        <v>Kementerian Pekerjaan Umum dan Perumahan Rakyat</v>
      </c>
      <c r="F61" s="6" t="str">
        <f>DATA!H68</f>
        <v xml:space="preserve">Development and Management of Irrigation Program </v>
      </c>
      <c r="G61" s="6" t="str">
        <f>DATA!I68</f>
        <v>I</v>
      </c>
      <c r="H61" s="6" t="str">
        <f>DATA!J68</f>
        <v>Program Pengembangan dan Pengelolaan Irigasi</v>
      </c>
      <c r="I61" s="6">
        <f>DATA!K68</f>
        <v>1</v>
      </c>
      <c r="J61" s="38"/>
      <c r="K61" s="39"/>
      <c r="L61" s="39"/>
      <c r="M61" s="38"/>
      <c r="N61" s="67" t="str">
        <f>DATA!L68</f>
        <v>Integrated Participatory Development and Management of Irrigation Project - Phase I</v>
      </c>
      <c r="O61" s="42">
        <f>DATA!Q68</f>
        <v>0.5</v>
      </c>
      <c r="P61" s="42">
        <f>DATA!R68</f>
        <v>0</v>
      </c>
      <c r="Q61" s="42">
        <f>DATA!S68</f>
        <v>0</v>
      </c>
      <c r="R61" s="83">
        <f>DATA!T68</f>
        <v>0</v>
      </c>
      <c r="S61" s="83"/>
      <c r="T61" s="83">
        <f>DATA!V68</f>
        <v>0</v>
      </c>
      <c r="U61" s="83">
        <f>DATA!W68</f>
        <v>0</v>
      </c>
      <c r="V61" s="83">
        <f>DATA!X68</f>
        <v>0</v>
      </c>
      <c r="W61" s="84" t="str">
        <f>DATA!Y68</f>
        <v>IFAD</v>
      </c>
      <c r="X61" s="42" t="str">
        <f>DATA!Z68</f>
        <v>Multilateral</v>
      </c>
      <c r="Y61" s="83">
        <f>DATA!AA68</f>
        <v>100000000</v>
      </c>
      <c r="Z61" s="83">
        <f>DATA!AG68</f>
        <v>0</v>
      </c>
      <c r="AA61" s="42">
        <f>DATA!AH68</f>
        <v>2015</v>
      </c>
      <c r="AB61" s="67" t="str">
        <f>DATA!AI68</f>
        <v>- Sudah ada RC
- Green Book 2015
- Dalam proses pembahasan skema pinjaman</v>
      </c>
      <c r="AC61" s="152" t="str">
        <f>DATA!AM68</f>
        <v>2016; 2015</v>
      </c>
      <c r="AD61" s="152" t="str">
        <f>DATA!AN68</f>
        <v>siap</v>
      </c>
      <c r="AE61" s="152" t="str">
        <f>DATA!AO68</f>
        <v>belum ada keterangan</v>
      </c>
      <c r="AF61" s="67" t="str">
        <f>DATA!AJ68</f>
        <v>FS, DED, AMDAL, LARAP</v>
      </c>
      <c r="AG61" s="67" t="str">
        <f>DATA!AK68</f>
        <v>-</v>
      </c>
      <c r="AH61" s="67" t="str">
        <f>DATA!AL68</f>
        <v>Belum ada tender/lelang</v>
      </c>
      <c r="AI61" s="42" t="str">
        <f>DATA!AM68</f>
        <v>2016; 2015</v>
      </c>
      <c r="AJ61" s="42" t="str">
        <f>DATA!AN68</f>
        <v>siap</v>
      </c>
      <c r="AK61" s="42" t="str">
        <f>DATA!AO68</f>
        <v>belum ada keterangan</v>
      </c>
      <c r="AL61" s="42" t="str">
        <f>DATA!AP68</f>
        <v>belum ada proses tender/lelang</v>
      </c>
      <c r="AM61" s="42" t="str">
        <f>DATA!AY68</f>
        <v>- Cofinancing ADB USD 600 juta dan IFAD USD 100 juta
- Konfirmasi melalui surat Sekjen nomor KU.01.12-Sj/636 tgl 23 Oktober 2015</v>
      </c>
      <c r="AN61" s="42" t="e">
        <f>DATA!#REF!</f>
        <v>#REF!</v>
      </c>
      <c r="AO61" s="42">
        <f>DATA!AZ68</f>
        <v>0</v>
      </c>
      <c r="AP61" s="152" t="e">
        <f>DATA!#REF!</f>
        <v>#REF!</v>
      </c>
      <c r="AQ61" s="67"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c r="AR61" s="165"/>
    </row>
    <row r="62" spans="1:48" s="7" customFormat="1" ht="52.5" customHeight="1">
      <c r="A62" s="6">
        <f>DATA!A70</f>
        <v>53</v>
      </c>
      <c r="B62" s="6">
        <f>DATA!B70</f>
        <v>0</v>
      </c>
      <c r="C62" s="6" t="str">
        <f>DATA!D70</f>
        <v>INFRASTRUKTUR</v>
      </c>
      <c r="D62" s="6">
        <f>DATA!E70</f>
        <v>1</v>
      </c>
      <c r="E62" s="6" t="str">
        <f>DATA!F70</f>
        <v>Kementerian Pekerjaan Umum dan Perumahan Rakyat</v>
      </c>
      <c r="F62" s="6" t="str">
        <f>DATA!H70</f>
        <v xml:space="preserve">Development and Management of Irrigation Program </v>
      </c>
      <c r="G62" s="6" t="str">
        <f>DATA!I70</f>
        <v>I</v>
      </c>
      <c r="H62" s="6" t="str">
        <f>DATA!J70</f>
        <v>Program Pengembangan dan Pengelolaan Irigasi</v>
      </c>
      <c r="I62" s="6">
        <f>DATA!K70</f>
        <v>1</v>
      </c>
      <c r="J62" s="44"/>
      <c r="K62" s="45"/>
      <c r="L62" s="45"/>
      <c r="M62" s="70"/>
      <c r="N62" s="68" t="str">
        <f>DATA!L70</f>
        <v>Integrated Participatory Development and Management of Irrigation Project - Phase II</v>
      </c>
      <c r="O62" s="42">
        <f>DATA!Q70</f>
        <v>1</v>
      </c>
      <c r="P62" s="42">
        <f>DATA!R70</f>
        <v>0</v>
      </c>
      <c r="Q62" s="42">
        <f>DATA!S70</f>
        <v>44</v>
      </c>
      <c r="R62" s="85">
        <f>DATA!T70</f>
        <v>500000000</v>
      </c>
      <c r="S62" s="85"/>
      <c r="T62" s="85">
        <f>DATA!V70</f>
        <v>50000000</v>
      </c>
      <c r="U62" s="85">
        <f>DATA!W70</f>
        <v>0</v>
      </c>
      <c r="V62" s="85">
        <f>DATA!X70</f>
        <v>550000000</v>
      </c>
      <c r="W62" s="86" t="str">
        <f>DATA!Y70</f>
        <v>ADB</v>
      </c>
      <c r="X62" s="42" t="str">
        <f>DATA!Z70</f>
        <v>Multilateral</v>
      </c>
      <c r="Y62" s="85">
        <f>DATA!AA70</f>
        <v>500000000</v>
      </c>
      <c r="Z62" s="83">
        <f>DATA!AG70</f>
        <v>0</v>
      </c>
      <c r="AA62" s="98" t="str">
        <f>DATA!AH70</f>
        <v>Tanpa keterangan</v>
      </c>
      <c r="AB62" s="68" t="str">
        <f>DATA!AI70</f>
        <v>-</v>
      </c>
      <c r="AC62" s="152" t="str">
        <f>DATA!AR70</f>
        <v>- untuk yang Phase II: belum ada penyiapan
- belum ada dokumen R/C</v>
      </c>
      <c r="AD62" s="152" t="str">
        <f>DATA!AN70</f>
        <v>belum ada keterangan</v>
      </c>
      <c r="AE62" s="152" t="str">
        <f>DATA!AO70</f>
        <v>belum ada keterangan</v>
      </c>
      <c r="AF62" s="68" t="str">
        <f>DATA!AJ70</f>
        <v>-</v>
      </c>
      <c r="AG62" s="68" t="str">
        <f>DATA!AK70</f>
        <v>-</v>
      </c>
      <c r="AH62" s="68" t="str">
        <f>DATA!AL70</f>
        <v>-</v>
      </c>
      <c r="AI62" s="42" t="str">
        <f>DATA!AR70</f>
        <v>- untuk yang Phase II: belum ada penyiapan
- belum ada dokumen R/C</v>
      </c>
      <c r="AJ62" s="42" t="str">
        <f>DATA!AN70</f>
        <v>belum ada keterangan</v>
      </c>
      <c r="AK62" s="42" t="str">
        <f>DATA!AO70</f>
        <v>belum ada keterangan</v>
      </c>
      <c r="AL62" s="42" t="str">
        <f>DATA!AP70</f>
        <v>belum ada proses tender/lelang</v>
      </c>
      <c r="AM62" s="42" t="str">
        <f>DATA!AY70</f>
        <v>Konfirmasi melalui surat Sekjen nomor KU.01.12-Sj/636 tgl 23 Oktober 2015</v>
      </c>
      <c r="AN62" s="42" t="e">
        <f>DATA!#REF!</f>
        <v>#REF!</v>
      </c>
      <c r="AO62" s="42">
        <f>DATA!AZ70</f>
        <v>0</v>
      </c>
      <c r="AP62" s="161" t="e">
        <f>DATA!#REF!</f>
        <v>#REF!</v>
      </c>
      <c r="AQ62" s="67" t="str">
        <f>DATA!BA70</f>
        <v xml:space="preserve">Pembangunan irigasi baru dengan luas lebih dari 10.000 Ha, perbaikan sistem irigasi seluas 172.880 Ha yang tersebar di seluruh Indonesia. </v>
      </c>
      <c r="AR62" s="164">
        <v>1</v>
      </c>
      <c r="AS62" s="7">
        <v>1</v>
      </c>
    </row>
    <row r="63" spans="1:48" ht="45.75" customHeight="1">
      <c r="A63" s="10">
        <f>DATA!A72</f>
        <v>54</v>
      </c>
      <c r="B63" s="10">
        <f>DATA!B72</f>
        <v>0</v>
      </c>
      <c r="C63" s="10" t="str">
        <f>DATA!D72</f>
        <v>INFRASTRUKTUR</v>
      </c>
      <c r="D63" s="10">
        <f>DATA!E72</f>
        <v>1</v>
      </c>
      <c r="E63" s="10" t="str">
        <f>DATA!F72</f>
        <v>Kementerian Pekerjaan Umum dan Perumahan Rakyat</v>
      </c>
      <c r="F63" s="10" t="str">
        <f>DATA!H72</f>
        <v xml:space="preserve">Development and Management of Irrigation Program </v>
      </c>
      <c r="G63" s="10" t="str">
        <f>DATA!I72</f>
        <v>I</v>
      </c>
      <c r="H63" s="10" t="str">
        <f>DATA!J72</f>
        <v>Program Pengembangan dan Pengelolaan Irigasi</v>
      </c>
      <c r="I63" s="10">
        <f>DATA!K72</f>
        <v>2</v>
      </c>
      <c r="J63" s="33"/>
      <c r="K63" s="34"/>
      <c r="L63" s="34"/>
      <c r="M63" s="36">
        <f>DATA!K72</f>
        <v>2</v>
      </c>
      <c r="N63" s="37" t="str">
        <f>DATA!L72</f>
        <v>The Urgent Rehabilitation of Strategic Irrigation for Western Region of Indonesia</v>
      </c>
      <c r="O63" s="20">
        <f>DATA!Q72</f>
        <v>1</v>
      </c>
      <c r="P63" s="20">
        <f>DATA!R72</f>
        <v>1</v>
      </c>
      <c r="Q63" s="20">
        <f>DATA!S72</f>
        <v>45</v>
      </c>
      <c r="R63" s="77">
        <f>DATA!T72</f>
        <v>195778000</v>
      </c>
      <c r="S63" s="77"/>
      <c r="T63" s="77">
        <f>DATA!V72</f>
        <v>27149500</v>
      </c>
      <c r="U63" s="77">
        <f>DATA!W72</f>
        <v>0</v>
      </c>
      <c r="V63" s="77">
        <f>DATA!X72</f>
        <v>222927500</v>
      </c>
      <c r="W63" s="78" t="str">
        <f>DATA!Y72</f>
        <v>Korea</v>
      </c>
      <c r="X63" s="20" t="str">
        <f>DATA!Z72</f>
        <v>Bilateral</v>
      </c>
      <c r="Y63" s="77">
        <f>DATA!AA72</f>
        <v>195778000</v>
      </c>
      <c r="Z63" s="77">
        <f>DATA!AG72</f>
        <v>0</v>
      </c>
      <c r="AA63" s="20">
        <f>DATA!AH72</f>
        <v>2016</v>
      </c>
      <c r="AB63" s="37" t="str">
        <f>DATA!AI72</f>
        <v>- Sudah ada R/C
- Green Book 2015</v>
      </c>
      <c r="AC63" s="152" t="str">
        <f>DATA!AR72</f>
        <v>-</v>
      </c>
      <c r="AD63" s="152" t="str">
        <f>DATA!AN72</f>
        <v>belum ada keterangan</v>
      </c>
      <c r="AE63" s="152" t="str">
        <f>DATA!AO72</f>
        <v>belum ada keterangan</v>
      </c>
      <c r="AF63" s="37" t="str">
        <f>DATA!AJ72</f>
        <v>FS, DED, AMDAL, LARAP</v>
      </c>
      <c r="AG63" s="37" t="str">
        <f>DATA!AK72</f>
        <v>Tidak dibutuhkan lahan</v>
      </c>
      <c r="AH63" s="37" t="str">
        <f>DATA!AL72</f>
        <v>Belum ada tender/lelang</v>
      </c>
      <c r="AI63" s="20" t="str">
        <f>DATA!AR72</f>
        <v>-</v>
      </c>
      <c r="AJ63" s="20" t="str">
        <f>DATA!AN72</f>
        <v>belum ada keterangan</v>
      </c>
      <c r="AK63" s="20" t="str">
        <f>DATA!AO72</f>
        <v>belum ada keterangan</v>
      </c>
      <c r="AL63" s="20" t="str">
        <f>DATA!AP72</f>
        <v>belum ada proses tender/lelang</v>
      </c>
      <c r="AM63" s="20" t="str">
        <f>DATA!AY72</f>
        <v>Konfirmasi melalui surat Sekjen nomor KU.01.12-Sj/636 tgl 23 Oktober 2015</v>
      </c>
      <c r="AN63" s="20" t="e">
        <f>DATA!#REF!</f>
        <v>#REF!</v>
      </c>
      <c r="AO63" s="20">
        <f>DATA!AZ72</f>
        <v>0</v>
      </c>
      <c r="AP63" s="152" t="e">
        <f>DATA!#REF!</f>
        <v>#REF!</v>
      </c>
      <c r="AQ63" s="37" t="str">
        <f>DATA!BA72</f>
        <v xml:space="preserve">Melakukan rehabilitasi fasilitas irigasi, meningkatkan sistem irigasi dan drainase dan peningkatan kapasitas O&amp;P seluas 38,523 Ha </v>
      </c>
      <c r="AR63" s="166"/>
    </row>
    <row r="64" spans="1:48" ht="111" customHeight="1">
      <c r="A64" s="10">
        <f>DATA!A73</f>
        <v>55</v>
      </c>
      <c r="B64" s="10">
        <f>DATA!B73</f>
        <v>0</v>
      </c>
      <c r="C64" s="10" t="str">
        <f>DATA!D73</f>
        <v>INFRASTRUKTUR</v>
      </c>
      <c r="D64" s="10">
        <f>DATA!E73</f>
        <v>1</v>
      </c>
      <c r="E64" s="10" t="str">
        <f>DATA!F73</f>
        <v>Kementerian Pekerjaan Umum dan Perumahan Rakyat</v>
      </c>
      <c r="F64" s="10" t="str">
        <f>DATA!H73</f>
        <v xml:space="preserve">Development and Management of Irrigation Program </v>
      </c>
      <c r="G64" s="10" t="str">
        <f>DATA!I73</f>
        <v>I</v>
      </c>
      <c r="H64" s="10" t="str">
        <f>DATA!J73</f>
        <v>Program Pengembangan dan Pengelolaan Irigasi</v>
      </c>
      <c r="I64" s="10">
        <f>DATA!K73</f>
        <v>3</v>
      </c>
      <c r="J64" s="33"/>
      <c r="K64" s="34"/>
      <c r="L64" s="34"/>
      <c r="M64" s="36">
        <f>DATA!K73</f>
        <v>3</v>
      </c>
      <c r="N64" s="37" t="str">
        <f>DATA!L73</f>
        <v>Rentang Modernization Strategic Irrigation (RIMP)</v>
      </c>
      <c r="O64" s="20">
        <f>DATA!Q73</f>
        <v>1</v>
      </c>
      <c r="P64" s="20">
        <f>DATA!R73</f>
        <v>1</v>
      </c>
      <c r="Q64" s="20">
        <f>DATA!S73</f>
        <v>46</v>
      </c>
      <c r="R64" s="77">
        <f>DATA!T73</f>
        <v>480000000</v>
      </c>
      <c r="S64" s="77"/>
      <c r="T64" s="77">
        <f>DATA!V73</f>
        <v>48000000</v>
      </c>
      <c r="U64" s="77">
        <f>DATA!W73</f>
        <v>0</v>
      </c>
      <c r="V64" s="77">
        <f>DATA!X73</f>
        <v>528000000</v>
      </c>
      <c r="W64" s="78" t="str">
        <f>DATA!Y73</f>
        <v>JICA</v>
      </c>
      <c r="X64" s="20" t="str">
        <f>DATA!Z73</f>
        <v>Bilateral</v>
      </c>
      <c r="Y64" s="77">
        <f>DATA!AA73</f>
        <v>480000000</v>
      </c>
      <c r="Z64" s="77">
        <f>DATA!AG73</f>
        <v>0</v>
      </c>
      <c r="AA64" s="20">
        <f>DATA!AH73</f>
        <v>2017</v>
      </c>
      <c r="AB64" s="37" t="str">
        <f>DATA!AI73</f>
        <v>Sudah ada R/C</v>
      </c>
      <c r="AC64" s="152" t="str">
        <f>DATA!AR73</f>
        <v>-</v>
      </c>
      <c r="AD64" s="152" t="str">
        <f>DATA!AN73</f>
        <v>siap</v>
      </c>
      <c r="AE64" s="152" t="str">
        <f>DATA!AO73</f>
        <v>tidak butuh lahan</v>
      </c>
      <c r="AF64" s="37" t="str">
        <f>DATA!AJ73</f>
        <v>FS, DED, AMDAL</v>
      </c>
      <c r="AG64" s="37" t="str">
        <f>DATA!AK73</f>
        <v>Tidak dibutuhkan lahan</v>
      </c>
      <c r="AH64" s="37" t="str">
        <f>DATA!AL73</f>
        <v>-</v>
      </c>
      <c r="AI64" s="20" t="str">
        <f>DATA!AR73</f>
        <v>-</v>
      </c>
      <c r="AJ64" s="20" t="str">
        <f>DATA!AN73</f>
        <v>siap</v>
      </c>
      <c r="AK64" s="20" t="str">
        <f>DATA!AO73</f>
        <v>tidak butuh lahan</v>
      </c>
      <c r="AL64" s="20" t="str">
        <f>DATA!AP73</f>
        <v>belum ada proses tender/lelang</v>
      </c>
      <c r="AM64" s="20" t="str">
        <f>DATA!AY73</f>
        <v>Konfirmasi melalui surat Sekjen nomor KU.01.12-Sj/636 tgl 23 Oktober 2015</v>
      </c>
      <c r="AN64" s="20" t="e">
        <f>DATA!#REF!</f>
        <v>#REF!</v>
      </c>
      <c r="AO64" s="20">
        <f>DATA!AZ73</f>
        <v>0</v>
      </c>
      <c r="AP64" s="152" t="e">
        <f>DATA!#REF!</f>
        <v>#REF!</v>
      </c>
      <c r="AQ64" s="37"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c r="AR64" s="166"/>
    </row>
    <row r="65" spans="1:50" ht="76.5">
      <c r="A65" s="10">
        <f>DATA!A74</f>
        <v>56</v>
      </c>
      <c r="B65" s="10">
        <f>DATA!B74</f>
        <v>0</v>
      </c>
      <c r="C65" s="10" t="str">
        <f>DATA!D74</f>
        <v>INFRASTRUKTUR</v>
      </c>
      <c r="D65" s="10">
        <f>DATA!E74</f>
        <v>1</v>
      </c>
      <c r="E65" s="10" t="str">
        <f>DATA!F74</f>
        <v>Kementerian Pekerjaan Umum dan Perumahan Rakyat</v>
      </c>
      <c r="F65" s="10" t="str">
        <f>DATA!H74</f>
        <v xml:space="preserve">Development and Management of Irrigation Program </v>
      </c>
      <c r="G65" s="10" t="str">
        <f>DATA!I74</f>
        <v>I</v>
      </c>
      <c r="H65" s="10" t="str">
        <f>DATA!J74</f>
        <v>Program Pengembangan dan Pengelolaan Irigasi</v>
      </c>
      <c r="I65" s="10">
        <f>DATA!K74</f>
        <v>4</v>
      </c>
      <c r="J65" s="33"/>
      <c r="K65" s="34"/>
      <c r="L65" s="34"/>
      <c r="M65" s="36">
        <f>DATA!K74</f>
        <v>4</v>
      </c>
      <c r="N65" s="37" t="str">
        <f>DATA!L74</f>
        <v>Komering Irrigation Project Stage III</v>
      </c>
      <c r="O65" s="20">
        <f>DATA!Q74</f>
        <v>1</v>
      </c>
      <c r="P65" s="20">
        <f>DATA!R74</f>
        <v>1</v>
      </c>
      <c r="Q65" s="20">
        <f>DATA!S74</f>
        <v>47</v>
      </c>
      <c r="R65" s="77">
        <f>DATA!T74</f>
        <v>120000000</v>
      </c>
      <c r="S65" s="77"/>
      <c r="T65" s="77">
        <f>DATA!V74</f>
        <v>12000000</v>
      </c>
      <c r="U65" s="77">
        <f>DATA!W74</f>
        <v>0</v>
      </c>
      <c r="V65" s="77">
        <f>DATA!X74</f>
        <v>132000000</v>
      </c>
      <c r="W65" s="78" t="str">
        <f>DATA!Y74</f>
        <v>JICA</v>
      </c>
      <c r="X65" s="20" t="str">
        <f>DATA!Z74</f>
        <v>Bilateral</v>
      </c>
      <c r="Y65" s="77">
        <f>DATA!AA74</f>
        <v>120000000</v>
      </c>
      <c r="Z65" s="77">
        <f>DATA!AG74</f>
        <v>0</v>
      </c>
      <c r="AA65" s="20">
        <f>DATA!AH74</f>
        <v>2017</v>
      </c>
      <c r="AB65" s="37" t="str">
        <f>DATA!AI74</f>
        <v xml:space="preserve">Sudah ada R/C
</v>
      </c>
      <c r="AC65" s="152" t="str">
        <f>DATA!AR74</f>
        <v>Nilai pinjaman di:
- Rev. GB 16 USD 145.568 ribu
- GB 16 USD 120.000 ribu</v>
      </c>
      <c r="AD65" s="152" t="str">
        <f>DATA!AN74</f>
        <v>siap</v>
      </c>
      <c r="AE65" s="152" t="str">
        <f>DATA!AO74</f>
        <v>belum ada keterangan</v>
      </c>
      <c r="AF65" s="37" t="str">
        <f>DATA!AJ74</f>
        <v>FS, DED, AMDAL, LARAP</v>
      </c>
      <c r="AG65" s="37" t="str">
        <f>DATA!AK74</f>
        <v>-</v>
      </c>
      <c r="AH65" s="37" t="str">
        <f>DATA!AL74</f>
        <v>-</v>
      </c>
      <c r="AI65" s="20" t="str">
        <f>DATA!AR74</f>
        <v>Nilai pinjaman di:
- Rev. GB 16 USD 145.568 ribu
- GB 16 USD 120.000 ribu</v>
      </c>
      <c r="AJ65" s="20" t="str">
        <f>DATA!AN74</f>
        <v>siap</v>
      </c>
      <c r="AK65" s="20" t="str">
        <f>DATA!AO74</f>
        <v>belum ada keterangan</v>
      </c>
      <c r="AL65" s="20" t="str">
        <f>DATA!AP74</f>
        <v>belum ada proses tender/lelang</v>
      </c>
      <c r="AM65" s="20" t="str">
        <f>DATA!AY74</f>
        <v>Konfirmasi melalui surat Sekjen nomor KU.01.12-Sj/636 tgl 23 Oktober 2015</v>
      </c>
      <c r="AN65" s="20" t="e">
        <f>DATA!#REF!</f>
        <v>#REF!</v>
      </c>
      <c r="AO65" s="20">
        <f>DATA!AZ74</f>
        <v>0</v>
      </c>
      <c r="AP65" s="152" t="e">
        <f>DATA!#REF!</f>
        <v>#REF!</v>
      </c>
      <c r="AQ65" s="37"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c r="AR65" s="166"/>
    </row>
    <row r="66" spans="1:50" ht="57.75" customHeight="1">
      <c r="A66" s="10">
        <f>DATA!A75</f>
        <v>57</v>
      </c>
      <c r="B66" s="10">
        <f>DATA!B75</f>
        <v>0</v>
      </c>
      <c r="C66" s="10" t="str">
        <f>DATA!D75</f>
        <v>INFRASTRUKTUR</v>
      </c>
      <c r="D66" s="10">
        <f>DATA!E75</f>
        <v>1</v>
      </c>
      <c r="E66" s="10" t="str">
        <f>DATA!F75</f>
        <v>Kementerian Pekerjaan Umum dan Perumahan Rakyat</v>
      </c>
      <c r="F66" s="10" t="str">
        <f>DATA!H75</f>
        <v xml:space="preserve">Development and Management of Irrigation Program </v>
      </c>
      <c r="G66" s="10" t="str">
        <f>DATA!I75</f>
        <v>I</v>
      </c>
      <c r="H66" s="10" t="str">
        <f>DATA!J75</f>
        <v>Program Pengembangan dan Pengelolaan Irigasi</v>
      </c>
      <c r="I66" s="10">
        <f>DATA!K75</f>
        <v>5</v>
      </c>
      <c r="J66" s="33"/>
      <c r="K66" s="34"/>
      <c r="L66" s="34"/>
      <c r="M66" s="36">
        <f>DATA!K75</f>
        <v>5</v>
      </c>
      <c r="N66" s="37" t="str">
        <f>DATA!L75</f>
        <v>Irrigation Development in North Sumatera</v>
      </c>
      <c r="O66" s="20">
        <f>DATA!Q75</f>
        <v>1</v>
      </c>
      <c r="P66" s="20">
        <f>DATA!R75</f>
        <v>1</v>
      </c>
      <c r="Q66" s="20">
        <f>DATA!S75</f>
        <v>48</v>
      </c>
      <c r="R66" s="77">
        <f>DATA!T75</f>
        <v>350000000</v>
      </c>
      <c r="S66" s="77"/>
      <c r="T66" s="77">
        <f>DATA!V75</f>
        <v>35000000</v>
      </c>
      <c r="U66" s="77">
        <f>DATA!W75</f>
        <v>0</v>
      </c>
      <c r="V66" s="77">
        <f>DATA!X75</f>
        <v>385000000</v>
      </c>
      <c r="W66" s="78" t="str">
        <f>DATA!Y75</f>
        <v>ADB</v>
      </c>
      <c r="X66" s="20" t="str">
        <f>DATA!Z75</f>
        <v>Multilateral</v>
      </c>
      <c r="Y66" s="77">
        <f>DATA!AA75</f>
        <v>350000000</v>
      </c>
      <c r="Z66" s="77">
        <f>DATA!AG75</f>
        <v>0</v>
      </c>
      <c r="AA66" s="20" t="str">
        <f>DATA!AH75</f>
        <v>Tanpa keterangan</v>
      </c>
      <c r="AB66" s="37" t="str">
        <f>DATA!AI75</f>
        <v>-</v>
      </c>
      <c r="AC66" s="152" t="str">
        <f>DATA!AR75</f>
        <v>belum ada dokumen R/C</v>
      </c>
      <c r="AD66" s="152" t="str">
        <f>DATA!AN75</f>
        <v>dalam proses
(memiliki FS dan DED)</v>
      </c>
      <c r="AE66" s="152" t="str">
        <f>DATA!AO75</f>
        <v>belum ada keterangan</v>
      </c>
      <c r="AF66" s="37" t="str">
        <f>DATA!AJ75</f>
        <v>FS, DED, LARAP</v>
      </c>
      <c r="AG66" s="37" t="str">
        <f>DATA!AK75</f>
        <v>-</v>
      </c>
      <c r="AH66" s="37" t="str">
        <f>DATA!AL75</f>
        <v>-</v>
      </c>
      <c r="AI66" s="20" t="str">
        <f>DATA!AR75</f>
        <v>belum ada dokumen R/C</v>
      </c>
      <c r="AJ66" s="20" t="str">
        <f>DATA!AN75</f>
        <v>dalam proses
(memiliki FS dan DED)</v>
      </c>
      <c r="AK66" s="20" t="str">
        <f>DATA!AO75</f>
        <v>belum ada keterangan</v>
      </c>
      <c r="AL66" s="20" t="str">
        <f>DATA!AP75</f>
        <v>belum ada proses tender/lelang</v>
      </c>
      <c r="AM66" s="20" t="str">
        <f>DATA!AY75</f>
        <v>- dengan skema RBL
- Konfirmasi melalui surat Sekjen nomor KU.01.12-Sj/636 tgl 23 Oktober 2015</v>
      </c>
      <c r="AN66" s="20" t="e">
        <f>DATA!#REF!</f>
        <v>#REF!</v>
      </c>
      <c r="AO66" s="20" t="str">
        <f>DATA!AZ75</f>
        <v>JICA&amp;IDB diindikasikan akan mendanai kegiatan ini namun belum ada keputusan</v>
      </c>
      <c r="AP66" s="152" t="e">
        <f>DATA!#REF!</f>
        <v>#REF!</v>
      </c>
      <c r="AQ66" s="37" t="str">
        <f>DATA!BA75</f>
        <v>Pembahasan lahan dan relokasi, pengadaan, pembangunan bangunan utama, pembangunan jaringan irigasi seluas ±100.000 Ha, pencetakan lahan sawah, dan penyusunan O&amp;P</v>
      </c>
      <c r="AR66" s="166"/>
    </row>
    <row r="67" spans="1:50" ht="51">
      <c r="A67" s="10">
        <f>DATA!A76</f>
        <v>58</v>
      </c>
      <c r="B67" s="10">
        <f>DATA!B76</f>
        <v>0</v>
      </c>
      <c r="C67" s="10" t="str">
        <f>DATA!D76</f>
        <v>INFRASTRUKTUR</v>
      </c>
      <c r="D67" s="10">
        <f>DATA!E76</f>
        <v>1</v>
      </c>
      <c r="E67" s="10" t="str">
        <f>DATA!F76</f>
        <v>Kementerian Pekerjaan Umum dan Perumahan Rakyat</v>
      </c>
      <c r="F67" s="10" t="str">
        <f>DATA!H76</f>
        <v xml:space="preserve">Development and Management of Irrigation Program </v>
      </c>
      <c r="G67" s="10" t="str">
        <f>DATA!I76</f>
        <v>I</v>
      </c>
      <c r="H67" s="10" t="str">
        <f>DATA!J76</f>
        <v>Program Pengembangan dan Pengelolaan Irigasi</v>
      </c>
      <c r="I67" s="10">
        <f>DATA!K76</f>
        <v>6</v>
      </c>
      <c r="J67" s="33"/>
      <c r="K67" s="34"/>
      <c r="L67" s="34"/>
      <c r="M67" s="36">
        <f>DATA!K76</f>
        <v>6</v>
      </c>
      <c r="N67" s="37" t="str">
        <f>DATA!L76</f>
        <v>Integrated Participatory Development and Management of Lhok Guci and Peureulak Irrigation Project</v>
      </c>
      <c r="O67" s="20">
        <f>DATA!Q76</f>
        <v>1</v>
      </c>
      <c r="P67" s="20">
        <f>DATA!R76</f>
        <v>1</v>
      </c>
      <c r="Q67" s="20">
        <f>DATA!S76</f>
        <v>49</v>
      </c>
      <c r="R67" s="77">
        <f>DATA!T76</f>
        <v>161298000</v>
      </c>
      <c r="S67" s="77"/>
      <c r="T67" s="77">
        <f>DATA!V76</f>
        <v>24195000</v>
      </c>
      <c r="U67" s="77">
        <f>DATA!W76</f>
        <v>0</v>
      </c>
      <c r="V67" s="77">
        <f>DATA!X76</f>
        <v>185493000</v>
      </c>
      <c r="W67" s="78" t="str">
        <f>DATA!Y76</f>
        <v>ADB</v>
      </c>
      <c r="X67" s="20" t="str">
        <f>DATA!Z76</f>
        <v>Multilateral</v>
      </c>
      <c r="Y67" s="77">
        <f>DATA!AA76</f>
        <v>161298000</v>
      </c>
      <c r="Z67" s="77">
        <f>DATA!AG76</f>
        <v>0</v>
      </c>
      <c r="AA67" s="20" t="str">
        <f>DATA!AH76</f>
        <v>Tanpa keterangan</v>
      </c>
      <c r="AB67" s="37" t="str">
        <f>DATA!AI76</f>
        <v>-</v>
      </c>
      <c r="AC67" s="152" t="str">
        <f>DATA!AR76</f>
        <v>belum ada dokumen R/C</v>
      </c>
      <c r="AD67" s="152" t="str">
        <f>DATA!AN76</f>
        <v>dalam proses
(memiliki FS dan DED)</v>
      </c>
      <c r="AE67" s="152" t="str">
        <f>DATA!AO76</f>
        <v>belum ada keterangan</v>
      </c>
      <c r="AF67" s="37" t="str">
        <f>DATA!AJ76</f>
        <v>FS, DED, LARAP</v>
      </c>
      <c r="AG67" s="37" t="str">
        <f>DATA!AK76</f>
        <v>-</v>
      </c>
      <c r="AH67" s="37" t="str">
        <f>DATA!AL76</f>
        <v>-</v>
      </c>
      <c r="AI67" s="20" t="str">
        <f>DATA!AR76</f>
        <v>belum ada dokumen R/C</v>
      </c>
      <c r="AJ67" s="20" t="str">
        <f>DATA!AN76</f>
        <v>dalam proses
(memiliki FS dan DED)</v>
      </c>
      <c r="AK67" s="20" t="str">
        <f>DATA!AO76</f>
        <v>belum ada keterangan</v>
      </c>
      <c r="AL67" s="20" t="str">
        <f>DATA!AP76</f>
        <v>belum ada proses tender/lelang</v>
      </c>
      <c r="AM67" s="20" t="str">
        <f>DATA!AY76</f>
        <v>- dengan skema RBL
- Konfirmasi melalui surat Sekjen nomor KU.01.12-Sj/636 tgl 23 Oktober 2015</v>
      </c>
      <c r="AN67" s="20" t="e">
        <f>DATA!#REF!</f>
        <v>#REF!</v>
      </c>
      <c r="AO67" s="20" t="str">
        <f>DATA!AZ76</f>
        <v>JICA&amp;IDB diindikasikan akan mendanai kegiatan ini namun belum ada keputusan</v>
      </c>
      <c r="AP67" s="152" t="e">
        <f>DATA!#REF!</f>
        <v>#REF!</v>
      </c>
      <c r="AQ67" s="37" t="str">
        <f>DATA!BA76</f>
        <v>Mendukung pengembangan terpadu fasilitas irigasi 18.542 Ha (lhok guci)  dan 5.000 Ha (peureulak) dengan SID partisipatif, konstruksi, dan operasi pemeliharaan.</v>
      </c>
      <c r="AR67" s="166"/>
    </row>
    <row r="68" spans="1:50" ht="88.5" customHeight="1">
      <c r="A68" s="10">
        <f>DATA!A77</f>
        <v>59</v>
      </c>
      <c r="B68" s="10">
        <f>DATA!B77</f>
        <v>0</v>
      </c>
      <c r="C68" s="10" t="str">
        <f>DATA!D77</f>
        <v>INFRASTRUKTUR</v>
      </c>
      <c r="D68" s="10">
        <f>DATA!E77</f>
        <v>1</v>
      </c>
      <c r="E68" s="10" t="str">
        <f>DATA!F77</f>
        <v>Kementerian Pekerjaan Umum dan Perumahan Rakyat</v>
      </c>
      <c r="F68" s="10" t="str">
        <f>DATA!H77</f>
        <v xml:space="preserve">Development and Management of Irrigation Program </v>
      </c>
      <c r="G68" s="10" t="str">
        <f>DATA!I77</f>
        <v>I</v>
      </c>
      <c r="H68" s="10" t="str">
        <f>DATA!J77</f>
        <v>Program Pengembangan dan Pengelolaan Irigasi</v>
      </c>
      <c r="I68" s="10">
        <f>DATA!K77</f>
        <v>7</v>
      </c>
      <c r="J68" s="33"/>
      <c r="K68" s="34"/>
      <c r="L68" s="34"/>
      <c r="M68" s="36">
        <f>DATA!K77</f>
        <v>7</v>
      </c>
      <c r="N68" s="37" t="str">
        <f>DATA!L77</f>
        <v>Modernization Strategic Irrigation Project (MSIP)</v>
      </c>
      <c r="O68" s="20">
        <f>DATA!Q77</f>
        <v>1</v>
      </c>
      <c r="P68" s="20">
        <f>DATA!R77</f>
        <v>1</v>
      </c>
      <c r="Q68" s="20">
        <f>DATA!S77</f>
        <v>50</v>
      </c>
      <c r="R68" s="77">
        <f>DATA!T77</f>
        <v>278355000</v>
      </c>
      <c r="S68" s="77"/>
      <c r="T68" s="77">
        <f>DATA!V77</f>
        <v>28000000</v>
      </c>
      <c r="U68" s="77">
        <f>DATA!W77</f>
        <v>0</v>
      </c>
      <c r="V68" s="77">
        <f>DATA!X77</f>
        <v>306355000</v>
      </c>
      <c r="W68" s="78" t="str">
        <f>DATA!Y77</f>
        <v>JICA</v>
      </c>
      <c r="X68" s="20" t="str">
        <f>DATA!Z77</f>
        <v>Bilateral</v>
      </c>
      <c r="Y68" s="77">
        <f>DATA!AA77</f>
        <v>278355000</v>
      </c>
      <c r="Z68" s="77">
        <f>DATA!AG77</f>
        <v>0</v>
      </c>
      <c r="AA68" s="20">
        <f>DATA!AH77</f>
        <v>2017</v>
      </c>
      <c r="AB68" s="37" t="str">
        <f>DATA!AI77</f>
        <v>-</v>
      </c>
      <c r="AC68" s="152" t="str">
        <f>DATA!AR77</f>
        <v>belum ada dokumen R/C</v>
      </c>
      <c r="AD68" s="152" t="str">
        <f>DATA!AN77</f>
        <v>belum ada keterangan</v>
      </c>
      <c r="AE68" s="152" t="str">
        <f>DATA!AO77</f>
        <v>belum ada keterangan</v>
      </c>
      <c r="AF68" s="37" t="str">
        <f>DATA!AJ77</f>
        <v>-</v>
      </c>
      <c r="AG68" s="37" t="str">
        <f>DATA!AK77</f>
        <v>-</v>
      </c>
      <c r="AH68" s="37" t="str">
        <f>DATA!AL77</f>
        <v>-</v>
      </c>
      <c r="AI68" s="20" t="str">
        <f>DATA!AR77</f>
        <v>belum ada dokumen R/C</v>
      </c>
      <c r="AJ68" s="20" t="str">
        <f>DATA!AN77</f>
        <v>belum ada keterangan</v>
      </c>
      <c r="AK68" s="20" t="str">
        <f>DATA!AO77</f>
        <v>belum ada keterangan</v>
      </c>
      <c r="AL68" s="20" t="str">
        <f>DATA!AP77</f>
        <v>belum ada proses tender/lelang</v>
      </c>
      <c r="AM68" s="20" t="str">
        <f>DATA!AY77</f>
        <v>Konfirmasi melalui surat Sekjen nomor KU.01.12-Sj/636 tgl 23 Oktober 2015</v>
      </c>
      <c r="AN68" s="20" t="e">
        <f>DATA!#REF!</f>
        <v>#REF!</v>
      </c>
      <c r="AO68" s="20">
        <f>DATA!AZ77</f>
        <v>0</v>
      </c>
      <c r="AP68" s="152" t="e">
        <f>DATA!#REF!</f>
        <v>#REF!</v>
      </c>
      <c r="AQ68" s="37"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c r="AR68" s="166"/>
    </row>
    <row r="69" spans="1:50" ht="102">
      <c r="A69" s="10">
        <f>DATA!A78</f>
        <v>60</v>
      </c>
      <c r="B69" s="10">
        <f>DATA!B78</f>
        <v>0</v>
      </c>
      <c r="C69" s="10" t="str">
        <f>DATA!D78</f>
        <v>INFRASTRUKTUR</v>
      </c>
      <c r="D69" s="10">
        <f>DATA!E78</f>
        <v>1</v>
      </c>
      <c r="E69" s="10" t="str">
        <f>DATA!F78</f>
        <v>Kementerian Pekerjaan Umum dan Perumahan Rakyat</v>
      </c>
      <c r="F69" s="10" t="str">
        <f>DATA!H78</f>
        <v xml:space="preserve">Development and Management of Irrigation Program </v>
      </c>
      <c r="G69" s="10" t="str">
        <f>DATA!I78</f>
        <v>I</v>
      </c>
      <c r="H69" s="10" t="str">
        <f>DATA!J78</f>
        <v>Program Pengembangan dan Pengelolaan Irigasi</v>
      </c>
      <c r="I69" s="10">
        <f>DATA!K78</f>
        <v>8</v>
      </c>
      <c r="J69" s="33"/>
      <c r="K69" s="34"/>
      <c r="L69" s="34"/>
      <c r="M69" s="36">
        <f>DATA!K78</f>
        <v>8</v>
      </c>
      <c r="N69" s="37" t="str">
        <f>DATA!L78</f>
        <v>Urgent Rehabilitation of  Irrigation Project in Indonesia (URIP)</v>
      </c>
      <c r="O69" s="20">
        <f>DATA!Q78</f>
        <v>1</v>
      </c>
      <c r="P69" s="20">
        <f>DATA!R78</f>
        <v>1</v>
      </c>
      <c r="Q69" s="20">
        <f>DATA!S78</f>
        <v>51</v>
      </c>
      <c r="R69" s="77">
        <f>DATA!T78</f>
        <v>272100000</v>
      </c>
      <c r="S69" s="77"/>
      <c r="T69" s="77">
        <f>DATA!V78</f>
        <v>40815000</v>
      </c>
      <c r="U69" s="77">
        <f>DATA!W78</f>
        <v>0</v>
      </c>
      <c r="V69" s="77">
        <f>DATA!X78</f>
        <v>312915000</v>
      </c>
      <c r="W69" s="78" t="str">
        <f>DATA!Y78</f>
        <v>Bank Dunia</v>
      </c>
      <c r="X69" s="20" t="str">
        <f>DATA!Z78</f>
        <v>Multilateral</v>
      </c>
      <c r="Y69" s="77">
        <f>DATA!AA78</f>
        <v>272100000</v>
      </c>
      <c r="Z69" s="77">
        <f>DATA!AG78</f>
        <v>0</v>
      </c>
      <c r="AA69" s="20" t="str">
        <f>DATA!AH78</f>
        <v>Tanpa keterangan</v>
      </c>
      <c r="AB69" s="37" t="str">
        <f>DATA!AI78</f>
        <v>-</v>
      </c>
      <c r="AC69" s="152" t="str">
        <f>DATA!AR78</f>
        <v>belum ada dokumen R/C</v>
      </c>
      <c r="AD69" s="152" t="str">
        <f>DATA!AN78</f>
        <v>belum ada keterangan</v>
      </c>
      <c r="AE69" s="152" t="str">
        <f>DATA!AO78</f>
        <v>belum ada keterangan</v>
      </c>
      <c r="AF69" s="37" t="str">
        <f>DATA!AJ78</f>
        <v>-</v>
      </c>
      <c r="AG69" s="37" t="str">
        <f>DATA!AK78</f>
        <v>-</v>
      </c>
      <c r="AH69" s="37" t="str">
        <f>DATA!AL78</f>
        <v>-</v>
      </c>
      <c r="AI69" s="20" t="str">
        <f>DATA!AR78</f>
        <v>belum ada dokumen R/C</v>
      </c>
      <c r="AJ69" s="20" t="str">
        <f>DATA!AN78</f>
        <v>belum ada keterangan</v>
      </c>
      <c r="AK69" s="20" t="str">
        <f>DATA!AO78</f>
        <v>belum ada keterangan</v>
      </c>
      <c r="AL69" s="20" t="str">
        <f>DATA!AP78</f>
        <v>belum ada proses tender/lelang</v>
      </c>
      <c r="AM69" s="20" t="str">
        <f>DATA!AY78</f>
        <v>Konfirmasi melalui surat Sekjen nomor KU.01.12-Sj/636 tgl 23 Oktober 2015</v>
      </c>
      <c r="AN69" s="20" t="e">
        <f>DATA!#REF!</f>
        <v>#REF!</v>
      </c>
      <c r="AO69" s="20" t="str">
        <f>DATA!AZ78</f>
        <v xml:space="preserve">Belum ada pembicaraan dgn Bank Dunia </v>
      </c>
      <c r="AP69" s="152" t="e">
        <f>DATA!#REF!</f>
        <v>#REF!</v>
      </c>
      <c r="AQ69" s="37"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c r="AR69" s="166"/>
    </row>
    <row r="70" spans="1:50" ht="69" customHeight="1">
      <c r="A70" s="10">
        <f>DATA!A79</f>
        <v>61</v>
      </c>
      <c r="B70" s="10">
        <f>DATA!B79</f>
        <v>0</v>
      </c>
      <c r="C70" s="10" t="str">
        <f>DATA!D79</f>
        <v>INFRASTRUKTUR</v>
      </c>
      <c r="D70" s="10">
        <f>DATA!E79</f>
        <v>1</v>
      </c>
      <c r="E70" s="10" t="str">
        <f>DATA!F79</f>
        <v>Kementerian Pekerjaan Umum dan Perumahan Rakyat</v>
      </c>
      <c r="F70" s="10" t="str">
        <f>DATA!H79</f>
        <v xml:space="preserve">Development and Management of Irrigation Program </v>
      </c>
      <c r="G70" s="10" t="str">
        <f>DATA!I79</f>
        <v>I</v>
      </c>
      <c r="H70" s="10" t="str">
        <f>DATA!J79</f>
        <v>Program Pengembangan dan Pengelolaan Irigasi</v>
      </c>
      <c r="I70" s="10">
        <f>DATA!K79</f>
        <v>9</v>
      </c>
      <c r="J70" s="33"/>
      <c r="K70" s="34"/>
      <c r="L70" s="34"/>
      <c r="M70" s="36">
        <f>DATA!K79</f>
        <v>9</v>
      </c>
      <c r="N70" s="37" t="str">
        <f>DATA!L79</f>
        <v>Revitalization Groundwater Irrigation in Indonesia</v>
      </c>
      <c r="O70" s="20">
        <f>DATA!Q79</f>
        <v>1</v>
      </c>
      <c r="P70" s="20">
        <f>DATA!R79</f>
        <v>1</v>
      </c>
      <c r="Q70" s="20">
        <f>DATA!S79</f>
        <v>52</v>
      </c>
      <c r="R70" s="77">
        <f>DATA!T79</f>
        <v>100000000</v>
      </c>
      <c r="S70" s="77"/>
      <c r="T70" s="77">
        <f>DATA!V79</f>
        <v>10000000</v>
      </c>
      <c r="U70" s="77">
        <f>DATA!W79</f>
        <v>0</v>
      </c>
      <c r="V70" s="77">
        <f>DATA!X79</f>
        <v>110000000</v>
      </c>
      <c r="W70" s="78" t="str">
        <f>DATA!Y79</f>
        <v>JICA</v>
      </c>
      <c r="X70" s="20" t="str">
        <f>DATA!Z79</f>
        <v>Bilateral</v>
      </c>
      <c r="Y70" s="77">
        <f>DATA!AA79</f>
        <v>100000000</v>
      </c>
      <c r="Z70" s="77">
        <f>DATA!AG79</f>
        <v>0</v>
      </c>
      <c r="AA70" s="20">
        <f>DATA!AH79</f>
        <v>2017</v>
      </c>
      <c r="AB70" s="37" t="str">
        <f>DATA!AI79</f>
        <v>-</v>
      </c>
      <c r="AC70" s="152" t="str">
        <f>DATA!AR79</f>
        <v>belum ada dokumen R/C</v>
      </c>
      <c r="AD70" s="152" t="str">
        <f>DATA!AN79</f>
        <v>belum ada keterangan</v>
      </c>
      <c r="AE70" s="152" t="str">
        <f>DATA!AO79</f>
        <v>belum ada keterangan</v>
      </c>
      <c r="AF70" s="37" t="str">
        <f>DATA!AJ79</f>
        <v>-</v>
      </c>
      <c r="AG70" s="37" t="str">
        <f>DATA!AK79</f>
        <v>-</v>
      </c>
      <c r="AH70" s="37" t="str">
        <f>DATA!AL79</f>
        <v>-</v>
      </c>
      <c r="AI70" s="20" t="str">
        <f>DATA!AR79</f>
        <v>belum ada dokumen R/C</v>
      </c>
      <c r="AJ70" s="20" t="str">
        <f>DATA!AN79</f>
        <v>belum ada keterangan</v>
      </c>
      <c r="AK70" s="20" t="str">
        <f>DATA!AO79</f>
        <v>belum ada keterangan</v>
      </c>
      <c r="AL70" s="20" t="str">
        <f>DATA!AP79</f>
        <v>belum ada proses tender/lelang</v>
      </c>
      <c r="AM70" s="20" t="str">
        <f>DATA!AY79</f>
        <v>Konfirmasi melalui surat Sekjen nomor KU.01.12-Sj/636 tgl 23 Oktober 2015</v>
      </c>
      <c r="AN70" s="20" t="e">
        <f>DATA!#REF!</f>
        <v>#REF!</v>
      </c>
      <c r="AO70" s="20">
        <f>DATA!AZ79</f>
        <v>0</v>
      </c>
      <c r="AP70" s="152" t="e">
        <f>DATA!#REF!</f>
        <v>#REF!</v>
      </c>
      <c r="AQ70" s="37" t="str">
        <f>DATA!BA79</f>
        <v>Kegiatan review desain dan kegiatan konstruksi  meliputi: rehabilitasi 772 sumur, perbaikan pipa distribusi air tanah 1.618 km, perbaikan bangunan rumah pompa, penggantian mesin pompa dan atau penggerak</v>
      </c>
      <c r="AR70" s="166"/>
    </row>
    <row r="71" spans="1:50" ht="96" customHeight="1">
      <c r="A71" s="10">
        <f>DATA!A80</f>
        <v>62</v>
      </c>
      <c r="B71" s="10">
        <f>DATA!B80</f>
        <v>0</v>
      </c>
      <c r="C71" s="10" t="str">
        <f>DATA!D80</f>
        <v>INFRASTRUKTUR</v>
      </c>
      <c r="D71" s="10">
        <f>DATA!E80</f>
        <v>1</v>
      </c>
      <c r="E71" s="10" t="str">
        <f>DATA!F80</f>
        <v>Kementerian Pekerjaan Umum dan Perumahan Rakyat</v>
      </c>
      <c r="F71" s="10" t="str">
        <f>DATA!H80</f>
        <v xml:space="preserve">Development and Management of Irrigation Program </v>
      </c>
      <c r="G71" s="10" t="str">
        <f>DATA!I80</f>
        <v>I</v>
      </c>
      <c r="H71" s="10" t="str">
        <f>DATA!J80</f>
        <v>Program Pengembangan dan Pengelolaan Irigasi</v>
      </c>
      <c r="I71" s="10">
        <f>DATA!K80</f>
        <v>10</v>
      </c>
      <c r="J71" s="33"/>
      <c r="K71" s="34"/>
      <c r="L71" s="54"/>
      <c r="M71" s="36">
        <f>DATA!K80</f>
        <v>10</v>
      </c>
      <c r="N71" s="37" t="str">
        <f>DATA!L80</f>
        <v>Engineering Service for Irrigation and Low Land Development Project</v>
      </c>
      <c r="O71" s="20">
        <f>DATA!Q80</f>
        <v>1</v>
      </c>
      <c r="P71" s="20">
        <f>DATA!R80</f>
        <v>1</v>
      </c>
      <c r="Q71" s="20">
        <f>DATA!S80</f>
        <v>53</v>
      </c>
      <c r="R71" s="77">
        <f>DATA!T80</f>
        <v>100000000</v>
      </c>
      <c r="S71" s="77"/>
      <c r="T71" s="77">
        <f>DATA!V80</f>
        <v>0</v>
      </c>
      <c r="U71" s="77">
        <f>DATA!W80</f>
        <v>0</v>
      </c>
      <c r="V71" s="77">
        <f>DATA!X80</f>
        <v>100000000</v>
      </c>
      <c r="W71" s="78" t="str">
        <f>DATA!Y80</f>
        <v>ADB</v>
      </c>
      <c r="X71" s="20" t="str">
        <f>DATA!Z80</f>
        <v>Multilateral</v>
      </c>
      <c r="Y71" s="77">
        <f>DATA!AA80</f>
        <v>100000000</v>
      </c>
      <c r="Z71" s="77">
        <f>DATA!AG80</f>
        <v>0</v>
      </c>
      <c r="AA71" s="20">
        <f>DATA!AH80</f>
        <v>2016</v>
      </c>
      <c r="AB71" s="37" t="str">
        <f>DATA!AI80</f>
        <v>- Sudah ada RC- Green Book 2015</v>
      </c>
      <c r="AC71" s="152" t="str">
        <f>DATA!AR80</f>
        <v>- sudah GB 2016  
- Nilai pinjaman di GB 38.100 ribu</v>
      </c>
      <c r="AD71" s="152" t="str">
        <f>DATA!AN80</f>
        <v>siap</v>
      </c>
      <c r="AE71" s="152" t="str">
        <f>DATA!AO80</f>
        <v>tidak butuh lahan</v>
      </c>
      <c r="AF71" s="37" t="str">
        <f>DATA!AJ80</f>
        <v>FS, DED</v>
      </c>
      <c r="AG71" s="37" t="str">
        <f>DATA!AK80</f>
        <v>Tidak membutuhkan lahan</v>
      </c>
      <c r="AH71" s="37" t="str">
        <f>DATA!AL80</f>
        <v>Belum ada tender/lelang</v>
      </c>
      <c r="AI71" s="20" t="str">
        <f>DATA!AR80</f>
        <v>- sudah GB 2016  
- Nilai pinjaman di GB 38.100 ribu</v>
      </c>
      <c r="AJ71" s="20" t="str">
        <f>DATA!AN80</f>
        <v>siap</v>
      </c>
      <c r="AK71" s="20" t="str">
        <f>DATA!AO80</f>
        <v>tidak butuh lahan</v>
      </c>
      <c r="AL71" s="20" t="str">
        <f>DATA!AP80</f>
        <v>belum ada proses tender/lelang</v>
      </c>
      <c r="AM71"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N71" s="20" t="e">
        <f>DATA!#REF!</f>
        <v>#REF!</v>
      </c>
      <c r="AO71" s="20">
        <f>DATA!AZ80</f>
        <v>0</v>
      </c>
      <c r="AP71" s="152" t="e">
        <f>DATA!#REF!</f>
        <v>#REF!</v>
      </c>
      <c r="AQ71" s="37"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c r="AR71" s="166"/>
    </row>
    <row r="72" spans="1:50" s="5" customFormat="1" ht="33.75" customHeight="1">
      <c r="J72" s="28"/>
      <c r="K72" s="50"/>
      <c r="L72" s="30" t="str">
        <f>DATA!I81</f>
        <v>J</v>
      </c>
      <c r="M72" s="31" t="str">
        <f>DATA!J81</f>
        <v xml:space="preserve">Program Penyediaan dan Pengelolaan Air Baku </v>
      </c>
      <c r="N72" s="51"/>
      <c r="O72" s="31"/>
      <c r="P72" s="31"/>
      <c r="Q72" s="31"/>
      <c r="R72" s="81">
        <f>SUM(R73:R75)</f>
        <v>623862000</v>
      </c>
      <c r="S72" s="81"/>
      <c r="T72" s="81">
        <f t="shared" ref="T72:Z72" si="3">SUM(T73:T75)</f>
        <v>201074000</v>
      </c>
      <c r="U72" s="81">
        <f t="shared" si="3"/>
        <v>0</v>
      </c>
      <c r="V72" s="81">
        <f t="shared" si="3"/>
        <v>824936000</v>
      </c>
      <c r="W72" s="149"/>
      <c r="X72" s="81">
        <f t="shared" si="3"/>
        <v>0</v>
      </c>
      <c r="Y72" s="81">
        <f t="shared" si="3"/>
        <v>623862000</v>
      </c>
      <c r="Z72" s="81">
        <f t="shared" si="3"/>
        <v>0</v>
      </c>
      <c r="AA72" s="31"/>
      <c r="AB72" s="32"/>
      <c r="AC72" s="32"/>
      <c r="AD72" s="32"/>
      <c r="AE72" s="32"/>
      <c r="AF72" s="32"/>
      <c r="AG72" s="32"/>
      <c r="AH72" s="32"/>
      <c r="AI72" s="31"/>
      <c r="AJ72" s="31"/>
      <c r="AK72" s="31"/>
      <c r="AL72" s="31"/>
      <c r="AM72" s="31"/>
      <c r="AN72" s="31"/>
      <c r="AO72" s="31"/>
      <c r="AP72" s="32"/>
      <c r="AQ72" s="32"/>
      <c r="AR72" s="160"/>
    </row>
    <row r="73" spans="1:50" ht="58.5" customHeight="1">
      <c r="A73" s="10">
        <f>DATA!A81</f>
        <v>63</v>
      </c>
      <c r="B73" s="10">
        <f>DATA!B81</f>
        <v>0</v>
      </c>
      <c r="C73" s="10" t="str">
        <f>DATA!D81</f>
        <v>INFRASTRUKTUR</v>
      </c>
      <c r="D73" s="10">
        <f>DATA!E81</f>
        <v>1</v>
      </c>
      <c r="E73" s="10" t="str">
        <f>DATA!F81</f>
        <v>Kementerian Pekerjaan Umum dan Perumahan Rakyat</v>
      </c>
      <c r="F73" s="10" t="str">
        <f>DATA!H81</f>
        <v>Provision and Management of Bulk Water Supply Program</v>
      </c>
      <c r="G73" s="10" t="str">
        <f>DATA!I81</f>
        <v>J</v>
      </c>
      <c r="H73" s="10" t="str">
        <f>DATA!J81</f>
        <v xml:space="preserve">Program Penyediaan dan Pengelolaan Air Baku </v>
      </c>
      <c r="I73" s="10">
        <f>DATA!K81</f>
        <v>1</v>
      </c>
      <c r="J73" s="33"/>
      <c r="K73" s="34"/>
      <c r="L73" s="35"/>
      <c r="M73" s="36">
        <f>DATA!K81</f>
        <v>1</v>
      </c>
      <c r="N73" s="37" t="str">
        <f>DATA!L81</f>
        <v>Integrated Citarum Water Resources Management Investment Program II</v>
      </c>
      <c r="O73" s="20">
        <f>DATA!Q81</f>
        <v>1</v>
      </c>
      <c r="P73" s="20">
        <f>DATA!R81</f>
        <v>1</v>
      </c>
      <c r="Q73" s="20">
        <f>DATA!S81</f>
        <v>54</v>
      </c>
      <c r="R73" s="77">
        <f>DATA!T81</f>
        <v>200000000</v>
      </c>
      <c r="S73" s="77"/>
      <c r="T73" s="77">
        <f>DATA!V81</f>
        <v>20000000</v>
      </c>
      <c r="U73" s="77">
        <f>DATA!W81</f>
        <v>0</v>
      </c>
      <c r="V73" s="77">
        <f>DATA!X81</f>
        <v>220000000</v>
      </c>
      <c r="W73" s="78" t="str">
        <f>DATA!Y81</f>
        <v>ADB</v>
      </c>
      <c r="X73" s="20" t="str">
        <f>DATA!Z81</f>
        <v>Multilateral</v>
      </c>
      <c r="Y73" s="77">
        <f>DATA!AA81</f>
        <v>200000000</v>
      </c>
      <c r="Z73" s="77">
        <f>DATA!AG81</f>
        <v>0</v>
      </c>
      <c r="AA73" s="20" t="str">
        <f>DATA!AH81</f>
        <v>Tanpa keterangan</v>
      </c>
      <c r="AB73" s="37" t="str">
        <f>DATA!AI81</f>
        <v>-</v>
      </c>
      <c r="AC73" s="152" t="str">
        <f>DATA!AR81</f>
        <v>belum ada dokumen R/C</v>
      </c>
      <c r="AD73" s="152" t="str">
        <f>DATA!AN81</f>
        <v>dalam proses
(memiliki FS dan DED)</v>
      </c>
      <c r="AE73" s="152" t="str">
        <f>DATA!AO81</f>
        <v>dalam proses
(perencanaan)</v>
      </c>
      <c r="AF73" s="37" t="str">
        <f>DATA!AJ81</f>
        <v>FS, DED</v>
      </c>
      <c r="AG73" s="37" t="str">
        <f>DATA!AK81</f>
        <v>Penyusunan dokumen LARAP</v>
      </c>
      <c r="AH73" s="37" t="str">
        <f>DATA!AL81</f>
        <v>-</v>
      </c>
      <c r="AI73" s="20" t="str">
        <f>DATA!AR81</f>
        <v>belum ada dokumen R/C</v>
      </c>
      <c r="AJ73" s="20" t="str">
        <f>DATA!AN81</f>
        <v>dalam proses
(memiliki FS dan DED)</v>
      </c>
      <c r="AK73" s="20" t="str">
        <f>DATA!AO81</f>
        <v>dalam proses
(perencanaan)</v>
      </c>
      <c r="AL73" s="20" t="str">
        <f>DATA!AP81</f>
        <v>belum ada proses tender/lelang</v>
      </c>
      <c r="AM73" s="20" t="str">
        <f>DATA!AY81</f>
        <v>Konfirmasi melalui surat Sekjen nomor KU.01.12-Sj/636 tgl 23 Oktober 2015</v>
      </c>
      <c r="AN73" s="20" t="e">
        <f>DATA!#REF!</f>
        <v>#REF!</v>
      </c>
      <c r="AO73" s="20" t="str">
        <f>DATA!AZ81</f>
        <v>ada penolakan dari ADB untuk membiayai kegiatan ini (info P'Dewo)</v>
      </c>
      <c r="AP73" s="152" t="e">
        <f>DATA!#REF!</f>
        <v>#REF!</v>
      </c>
      <c r="AQ73" s="37" t="str">
        <f>DATA!BA81</f>
        <v>Pengembangan air baku di sungai citarum dan sekeliling bandung untuk memenuhi kebutuhan air baku lebih kurang 1,5 m3/det di Bandung serta menghindari erosi sungai Citarum</v>
      </c>
      <c r="AR73" s="166"/>
    </row>
    <row r="74" spans="1:50" ht="46.5" customHeight="1">
      <c r="A74" s="10">
        <f>DATA!A82</f>
        <v>64</v>
      </c>
      <c r="B74" s="10">
        <f>DATA!B82</f>
        <v>0</v>
      </c>
      <c r="C74" s="10" t="str">
        <f>DATA!D82</f>
        <v>INFRASTRUKTUR</v>
      </c>
      <c r="D74" s="10">
        <f>DATA!E82</f>
        <v>1</v>
      </c>
      <c r="E74" s="10" t="str">
        <f>DATA!F82</f>
        <v>Kementerian Pekerjaan Umum dan Perumahan Rakyat</v>
      </c>
      <c r="F74" s="10" t="str">
        <f>DATA!H82</f>
        <v>Provision and Management of Bulk Water Supply Program</v>
      </c>
      <c r="G74" s="10" t="str">
        <f>DATA!I82</f>
        <v>I</v>
      </c>
      <c r="H74" s="10" t="str">
        <f>DATA!J82</f>
        <v xml:space="preserve">Program Penyediaan dan Pengelolaan Air Baku </v>
      </c>
      <c r="I74" s="10">
        <f>DATA!K82</f>
        <v>2</v>
      </c>
      <c r="J74" s="33"/>
      <c r="K74" s="34"/>
      <c r="L74" s="34"/>
      <c r="M74" s="36">
        <f>DATA!K82</f>
        <v>2</v>
      </c>
      <c r="N74" s="37" t="str">
        <f>DATA!L82</f>
        <v>Karian Dam-Serpong Water Conveyance and Supply System Project</v>
      </c>
      <c r="O74" s="20">
        <f>DATA!Q82</f>
        <v>1</v>
      </c>
      <c r="P74" s="20">
        <f>DATA!R82</f>
        <v>1</v>
      </c>
      <c r="Q74" s="20">
        <f>DATA!S82</f>
        <v>55</v>
      </c>
      <c r="R74" s="77">
        <f>DATA!T82</f>
        <v>373862000</v>
      </c>
      <c r="S74" s="77"/>
      <c r="T74" s="77">
        <f>DATA!V82</f>
        <v>181074000</v>
      </c>
      <c r="U74" s="77">
        <f>DATA!W82</f>
        <v>0</v>
      </c>
      <c r="V74" s="77">
        <f>DATA!X82</f>
        <v>554936000</v>
      </c>
      <c r="W74" s="78" t="str">
        <f>DATA!Y82</f>
        <v>Korea</v>
      </c>
      <c r="X74" s="20" t="str">
        <f>DATA!Z82</f>
        <v>Bilateral</v>
      </c>
      <c r="Y74" s="77">
        <f>DATA!AA82</f>
        <v>373862000</v>
      </c>
      <c r="Z74" s="77">
        <f>DATA!AG82</f>
        <v>0</v>
      </c>
      <c r="AA74" s="20" t="str">
        <f>DATA!AH82</f>
        <v>Tanpa keterangan</v>
      </c>
      <c r="AB74" s="37" t="str">
        <f>DATA!AI82</f>
        <v>-</v>
      </c>
      <c r="AC74" s="152" t="str">
        <f>DATA!AR82</f>
        <v>belum ada dokumen R/C</v>
      </c>
      <c r="AD74" s="152" t="str">
        <f>DATA!AN82</f>
        <v>dalam proses
(memiliki FS)</v>
      </c>
      <c r="AE74" s="152" t="str">
        <f>DATA!AO82</f>
        <v>dalam proses
(perencanaan)</v>
      </c>
      <c r="AF74" s="37" t="str">
        <f>DATA!AJ82</f>
        <v>FS</v>
      </c>
      <c r="AG74" s="37" t="str">
        <f>DATA!AK82</f>
        <v>Persiapan penyusunan dokumen LARAP</v>
      </c>
      <c r="AH74" s="37" t="str">
        <f>DATA!AL82</f>
        <v>-</v>
      </c>
      <c r="AI74" s="20" t="str">
        <f>DATA!AR82</f>
        <v>belum ada dokumen R/C</v>
      </c>
      <c r="AJ74" s="20" t="str">
        <f>DATA!AN82</f>
        <v>dalam proses
(memiliki FS)</v>
      </c>
      <c r="AK74" s="20" t="str">
        <f>DATA!AO82</f>
        <v>dalam proses
(perencanaan)</v>
      </c>
      <c r="AL74" s="20" t="str">
        <f>DATA!AP82</f>
        <v>belum ada proses tender/lelang</v>
      </c>
      <c r="AM74" s="20" t="str">
        <f>DATA!AY82</f>
        <v>Konfirmasi melalui surat Sekjen nomor KU.01.12-Sj/636 tgl 23 Oktober 2015</v>
      </c>
      <c r="AN74" s="20" t="e">
        <f>DATA!#REF!</f>
        <v>#REF!</v>
      </c>
      <c r="AO74" s="20">
        <f>DATA!AZ82</f>
        <v>0</v>
      </c>
      <c r="AP74" s="152" t="e">
        <f>DATA!#REF!</f>
        <v>#REF!</v>
      </c>
      <c r="AQ74" s="37" t="str">
        <f>DATA!BA82</f>
        <v>Pembangunan sistem air baku sepanjang 47,9 km dari Bendungan Karian ke Serpong untuk meningkatkan pasokan air di Banten dan Jakarta</v>
      </c>
      <c r="AR74" s="166"/>
    </row>
    <row r="75" spans="1:50" ht="57.75" customHeight="1">
      <c r="A75" s="10">
        <f>DATA!A83</f>
        <v>65</v>
      </c>
      <c r="B75" s="10">
        <f>DATA!B83</f>
        <v>0</v>
      </c>
      <c r="C75" s="10" t="str">
        <f>DATA!D83</f>
        <v>INFRASTRUKTUR</v>
      </c>
      <c r="D75" s="10">
        <f>DATA!E83</f>
        <v>1</v>
      </c>
      <c r="E75" s="10" t="str">
        <f>DATA!F83</f>
        <v>Kementerian Pekerjaan Umum dan Perumahan Rakyat</v>
      </c>
      <c r="F75" s="10" t="str">
        <f>DATA!H83</f>
        <v>Provision and Management of Bulk Water Supply Program</v>
      </c>
      <c r="G75" s="10" t="str">
        <f>DATA!I83</f>
        <v>I</v>
      </c>
      <c r="H75" s="10" t="str">
        <f>DATA!J83</f>
        <v xml:space="preserve">Program Penyediaan dan Pengelolaan Air Baku </v>
      </c>
      <c r="I75" s="10">
        <f>DATA!K83</f>
        <v>3</v>
      </c>
      <c r="J75" s="33"/>
      <c r="K75" s="34"/>
      <c r="L75" s="54"/>
      <c r="M75" s="36">
        <f>DATA!K83</f>
        <v>3</v>
      </c>
      <c r="N75" s="37" t="str">
        <f>DATA!L83</f>
        <v>Engineering Service for Bulk Water and Water Supply Development Project</v>
      </c>
      <c r="O75" s="20">
        <f>DATA!Q83</f>
        <v>1</v>
      </c>
      <c r="P75" s="20">
        <f>DATA!R83</f>
        <v>1</v>
      </c>
      <c r="Q75" s="20">
        <f>DATA!S83</f>
        <v>56</v>
      </c>
      <c r="R75" s="77">
        <f>DATA!T83</f>
        <v>50000000</v>
      </c>
      <c r="S75" s="77"/>
      <c r="T75" s="77">
        <f>DATA!V83</f>
        <v>0</v>
      </c>
      <c r="U75" s="77">
        <f>DATA!W83</f>
        <v>0</v>
      </c>
      <c r="V75" s="77">
        <f>DATA!X83</f>
        <v>50000000</v>
      </c>
      <c r="W75" s="78" t="str">
        <f>DATA!Y83</f>
        <v>ADB</v>
      </c>
      <c r="X75" s="20" t="str">
        <f>DATA!Z83</f>
        <v>Multilateral</v>
      </c>
      <c r="Y75" s="77">
        <f>DATA!AA83</f>
        <v>50000000</v>
      </c>
      <c r="Z75" s="77">
        <f>DATA!AG83</f>
        <v>0</v>
      </c>
      <c r="AA75" s="20">
        <f>DATA!AH83</f>
        <v>2016</v>
      </c>
      <c r="AB75" s="37" t="str">
        <f>DATA!AI83</f>
        <v>- Sudah ada RC
- Green Book 2015</v>
      </c>
      <c r="AC75" s="152" t="str">
        <f>DATA!AR83</f>
        <v>- sudah GB 2016  
- Nilai pinjaman di GB USD 2.000 ribu</v>
      </c>
      <c r="AD75" s="152" t="str">
        <f>DATA!AN83</f>
        <v>siap</v>
      </c>
      <c r="AE75" s="152" t="str">
        <f>DATA!AO83</f>
        <v>tidak butuh lahan</v>
      </c>
      <c r="AF75" s="37" t="str">
        <f>DATA!AJ83</f>
        <v>FS, DED</v>
      </c>
      <c r="AG75" s="37" t="str">
        <f>DATA!AK83</f>
        <v>Tidak membutuhkan lahan</v>
      </c>
      <c r="AH75" s="37" t="str">
        <f>DATA!AL83</f>
        <v>Belum ada tender/lelang</v>
      </c>
      <c r="AI75" s="20" t="str">
        <f>DATA!AR83</f>
        <v>- sudah GB 2016  
- Nilai pinjaman di GB USD 2.000 ribu</v>
      </c>
      <c r="AJ75" s="20" t="str">
        <f>DATA!AN83</f>
        <v>siap</v>
      </c>
      <c r="AK75" s="20" t="str">
        <f>DATA!AO83</f>
        <v>tidak butuh lahan</v>
      </c>
      <c r="AL75" s="20" t="str">
        <f>DATA!AP83</f>
        <v>belum ada proses tender/lelang</v>
      </c>
      <c r="AM75"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N75" s="20" t="e">
        <f>DATA!#REF!</f>
        <v>#REF!</v>
      </c>
      <c r="AO75" s="20">
        <f>DATA!AZ83</f>
        <v>0</v>
      </c>
      <c r="AP75" s="152" t="e">
        <f>DATA!#REF!</f>
        <v>#REF!</v>
      </c>
      <c r="AQ75" s="37" t="str">
        <f>DATA!BA83</f>
        <v>Membuat perencanaan dan analisis untuk mendukung pembangunan sistem air baku dan menyediakan fasilitas pendukung pengembangan air baku masyarakat</v>
      </c>
      <c r="AR75" s="166"/>
    </row>
    <row r="76" spans="1:50" s="5" customFormat="1" ht="33.75" customHeight="1">
      <c r="J76" s="28"/>
      <c r="K76" s="50"/>
      <c r="L76" s="30" t="str">
        <f>DATA!I84</f>
        <v>J</v>
      </c>
      <c r="M76" s="31" t="str">
        <f>DATA!J84</f>
        <v xml:space="preserve">Program Pembangunan Waduk </v>
      </c>
      <c r="N76" s="51"/>
      <c r="O76" s="31"/>
      <c r="P76" s="31"/>
      <c r="Q76" s="31"/>
      <c r="R76" s="81">
        <f>SUM(R77:R90)</f>
        <v>2133750000</v>
      </c>
      <c r="S76" s="81"/>
      <c r="T76" s="81">
        <f t="shared" ref="T76:Y76" si="4">SUM(T77:T90)</f>
        <v>963200000</v>
      </c>
      <c r="U76" s="81">
        <f t="shared" si="4"/>
        <v>0</v>
      </c>
      <c r="V76" s="81">
        <f t="shared" si="4"/>
        <v>3096950000</v>
      </c>
      <c r="W76" s="149"/>
      <c r="X76" s="81">
        <f t="shared" si="4"/>
        <v>0</v>
      </c>
      <c r="Y76" s="81">
        <f t="shared" si="4"/>
        <v>2233750000</v>
      </c>
      <c r="Z76" s="81">
        <f>SUM(Z77:Z86)</f>
        <v>-76391404</v>
      </c>
      <c r="AA76" s="31"/>
      <c r="AB76" s="32"/>
      <c r="AC76" s="32"/>
      <c r="AD76" s="32"/>
      <c r="AE76" s="32"/>
      <c r="AF76" s="32"/>
      <c r="AG76" s="32"/>
      <c r="AH76" s="32"/>
      <c r="AI76" s="31"/>
      <c r="AJ76" s="31"/>
      <c r="AK76" s="31"/>
      <c r="AL76" s="31"/>
      <c r="AM76" s="31"/>
      <c r="AN76" s="31"/>
      <c r="AO76" s="31"/>
      <c r="AP76" s="32"/>
      <c r="AQ76" s="32"/>
      <c r="AR76" s="160"/>
    </row>
    <row r="77" spans="1:50" s="8" customFormat="1" ht="76.5">
      <c r="A77" s="10">
        <f>DATA!A84</f>
        <v>66</v>
      </c>
      <c r="B77" s="10">
        <f>DATA!B84</f>
        <v>0</v>
      </c>
      <c r="C77" s="10" t="str">
        <f>DATA!D84</f>
        <v>INFRASTRUKTUR</v>
      </c>
      <c r="D77" s="10">
        <f>DATA!E84</f>
        <v>1</v>
      </c>
      <c r="E77" s="10" t="str">
        <f>DATA!F84</f>
        <v>Kementerian Pekerjaan Umum dan Perumahan Rakyat</v>
      </c>
      <c r="F77" s="10" t="str">
        <f>DATA!H84</f>
        <v>Dam Development Program</v>
      </c>
      <c r="G77" s="10" t="str">
        <f>DATA!I84</f>
        <v>J</v>
      </c>
      <c r="H77" s="10" t="str">
        <f>DATA!J84</f>
        <v xml:space="preserve">Program Pembangunan Waduk </v>
      </c>
      <c r="I77" s="10">
        <f>DATA!K84</f>
        <v>1</v>
      </c>
      <c r="J77" s="57"/>
      <c r="K77" s="58"/>
      <c r="L77" s="59"/>
      <c r="M77" s="60">
        <f>DATA!K84</f>
        <v>1</v>
      </c>
      <c r="N77" s="61" t="str">
        <f>DATA!L84</f>
        <v>Jambo Aye Multipurpose Dam Project</v>
      </c>
      <c r="O77" s="20">
        <f>DATA!Q84</f>
        <v>1</v>
      </c>
      <c r="P77" s="20">
        <f>DATA!R84</f>
        <v>1</v>
      </c>
      <c r="Q77" s="20">
        <f>DATA!S84</f>
        <v>57</v>
      </c>
      <c r="R77" s="89">
        <f>DATA!T84</f>
        <v>662200000</v>
      </c>
      <c r="S77" s="89"/>
      <c r="T77" s="89">
        <f>DATA!V84</f>
        <v>460700000</v>
      </c>
      <c r="U77" s="89">
        <f>DATA!W84</f>
        <v>0</v>
      </c>
      <c r="V77" s="89">
        <f>DATA!X84</f>
        <v>1122900000</v>
      </c>
      <c r="W77" s="90" t="str">
        <f>DATA!Y84</f>
        <v>Rupiah Murni</v>
      </c>
      <c r="X77" s="20" t="str">
        <f>DATA!Z84</f>
        <v>Pendanaan Dengan Rupiah Murni</v>
      </c>
      <c r="Y77" s="89">
        <f>DATA!AA84</f>
        <v>662200000</v>
      </c>
      <c r="Z77" s="77">
        <f>DATA!AG84</f>
        <v>0</v>
      </c>
      <c r="AA77" s="103">
        <f>DATA!AH84</f>
        <v>2018</v>
      </c>
      <c r="AB77" s="61" t="str">
        <f>DATA!AI84</f>
        <v>-</v>
      </c>
      <c r="AC77" s="152" t="str">
        <f>DATA!AR84</f>
        <v>belum ada dokumen R/C</v>
      </c>
      <c r="AD77" s="152" t="str">
        <f>DATA!AN84</f>
        <v>belum ada keterangan</v>
      </c>
      <c r="AE77" s="152" t="str">
        <f>DATA!AO84</f>
        <v>dalam proses
(perencanaan)</v>
      </c>
      <c r="AF77" s="61" t="str">
        <f>DATA!AJ84</f>
        <v xml:space="preserve">AMDAL siap dan penyiapan Review DED </v>
      </c>
      <c r="AG77" s="61" t="str">
        <f>DATA!AK84</f>
        <v>LARAP</v>
      </c>
      <c r="AH77" s="61" t="str">
        <f>DATA!AL84</f>
        <v>-</v>
      </c>
      <c r="AI77" s="20" t="str">
        <f>DATA!AR84</f>
        <v>belum ada dokumen R/C</v>
      </c>
      <c r="AJ77" s="20" t="str">
        <f>DATA!AN84</f>
        <v>belum ada keterangan</v>
      </c>
      <c r="AK77" s="20" t="str">
        <f>DATA!AO84</f>
        <v>dalam proses
(perencanaan)</v>
      </c>
      <c r="AL77" s="20" t="str">
        <f>DATA!AP84</f>
        <v>belum ada proses tender/lelang</v>
      </c>
      <c r="AM77" s="20" t="str">
        <f>DATA!AY84</f>
        <v>- Konfirmasi melalui surat Sekjen nomor KU.01.12-Sj/636 tgl 23 Oktober 2015
- Kegiatan akan dilaksanakan oleh pendanaan rupiah murni APBN</v>
      </c>
      <c r="AN77" s="20" t="e">
        <f>DATA!#REF!</f>
        <v>#REF!</v>
      </c>
      <c r="AO77" s="20">
        <f>DATA!AZ84</f>
        <v>0</v>
      </c>
      <c r="AP77" s="161" t="e">
        <f>DATA!#REF!</f>
        <v>#REF!</v>
      </c>
      <c r="AQ77" s="37" t="str">
        <f>DATA!BA84</f>
        <v>Meningkatkan luas areal irigasi sebesar ± 10.000 Ha dengan perbaikan akses jalan, relokasi penduduk, pembebasan lahan, pekerajaan pengelakan sungai jambo aye dan reubek, pembangunan bendungan dan pendukung lainnya, pembangunan fasilitas PLTA 106 MW</v>
      </c>
      <c r="AR77" s="162">
        <v>1</v>
      </c>
      <c r="AX77" s="8">
        <v>1</v>
      </c>
    </row>
    <row r="78" spans="1:50" s="8" customFormat="1" ht="84" customHeight="1">
      <c r="A78" s="10">
        <f>DATA!A85</f>
        <v>67</v>
      </c>
      <c r="B78" s="10">
        <f>DATA!B85</f>
        <v>0</v>
      </c>
      <c r="C78" s="10" t="str">
        <f>DATA!D85</f>
        <v>INFRASTRUKTUR</v>
      </c>
      <c r="D78" s="10">
        <f>DATA!E85</f>
        <v>1</v>
      </c>
      <c r="E78" s="10" t="str">
        <f>DATA!F85</f>
        <v>Kementerian Pekerjaan Umum dan Perumahan Rakyat</v>
      </c>
      <c r="F78" s="10" t="str">
        <f>DATA!H85</f>
        <v>Dam Development Program</v>
      </c>
      <c r="G78" s="10" t="str">
        <f>DATA!I85</f>
        <v>J</v>
      </c>
      <c r="H78" s="10" t="str">
        <f>DATA!J85</f>
        <v xml:space="preserve">Program Pembangunan Waduk </v>
      </c>
      <c r="I78" s="10">
        <f>DATA!K85</f>
        <v>2</v>
      </c>
      <c r="J78" s="57"/>
      <c r="K78" s="58"/>
      <c r="L78" s="58"/>
      <c r="M78" s="60">
        <f>DATA!K85</f>
        <v>2</v>
      </c>
      <c r="N78" s="61" t="str">
        <f>DATA!L85</f>
        <v>Komering Multipurpose Dam Project - Phase II</v>
      </c>
      <c r="O78" s="20">
        <f>DATA!Q85</f>
        <v>1</v>
      </c>
      <c r="P78" s="20">
        <f>DATA!R85</f>
        <v>1</v>
      </c>
      <c r="Q78" s="20">
        <f>DATA!S85</f>
        <v>58</v>
      </c>
      <c r="R78" s="89">
        <f>DATA!T85</f>
        <v>200000000</v>
      </c>
      <c r="S78" s="89"/>
      <c r="T78" s="89">
        <f>DATA!V85</f>
        <v>20000000</v>
      </c>
      <c r="U78" s="89">
        <f>DATA!W85</f>
        <v>0</v>
      </c>
      <c r="V78" s="89">
        <f>DATA!X85</f>
        <v>220000000</v>
      </c>
      <c r="W78" s="90" t="str">
        <f>DATA!Y85</f>
        <v>Rupiah Murni</v>
      </c>
      <c r="X78" s="20" t="str">
        <f>DATA!Z85</f>
        <v>Pendanaan Dengan Rupiah Murni</v>
      </c>
      <c r="Y78" s="89">
        <f>DATA!AA85</f>
        <v>200000000</v>
      </c>
      <c r="Z78" s="77">
        <f>DATA!AG85</f>
        <v>0</v>
      </c>
      <c r="AA78" s="103">
        <f>DATA!AH85</f>
        <v>2016</v>
      </c>
      <c r="AB78" s="61" t="str">
        <f>DATA!AI85</f>
        <v>-</v>
      </c>
      <c r="AC78" s="152" t="str">
        <f>DATA!AR85</f>
        <v>belum ada dokumen R/C</v>
      </c>
      <c r="AD78" s="152" t="str">
        <f>DATA!AN85</f>
        <v>dalam proses
(penyusunan FS)</v>
      </c>
      <c r="AE78" s="152" t="str">
        <f>DATA!AO85</f>
        <v>dalam proses
(perencanaan)</v>
      </c>
      <c r="AF78" s="61" t="str">
        <f>DATA!AJ85</f>
        <v>FS, DED, AMDAL</v>
      </c>
      <c r="AG78" s="61" t="str">
        <f>DATA!AK85</f>
        <v>Revisi RTRW Kabupaten, LARAP</v>
      </c>
      <c r="AH78" s="61" t="str">
        <f>DATA!AL85</f>
        <v>-</v>
      </c>
      <c r="AI78" s="20" t="str">
        <f>DATA!AR85</f>
        <v>belum ada dokumen R/C</v>
      </c>
      <c r="AJ78" s="20" t="str">
        <f>DATA!AN85</f>
        <v>dalam proses
(penyusunan FS)</v>
      </c>
      <c r="AK78" s="20" t="str">
        <f>DATA!AO85</f>
        <v>dalam proses
(perencanaan)</v>
      </c>
      <c r="AL78" s="20" t="str">
        <f>DATA!AP85</f>
        <v>belum ada proses tender/lelang</v>
      </c>
      <c r="AM78" s="20" t="str">
        <f>DATA!AY85</f>
        <v>- Konfirmasi melalui surat Sekjen nomor KU.01.12-Sj/636 tgl 23 Oktober 2015
- Kegiatan akan dilaksanakan oleh pendanaan rupiah murni APBN</v>
      </c>
      <c r="AN78" s="20" t="e">
        <f>DATA!#REF!</f>
        <v>#REF!</v>
      </c>
      <c r="AO78" s="20">
        <f>DATA!AZ85</f>
        <v>0</v>
      </c>
      <c r="AP78" s="161" t="e">
        <f>DATA!#REF!</f>
        <v>#REF!</v>
      </c>
      <c r="AQ78" s="37" t="str">
        <f>DATA!BA85</f>
        <v>Pembangunan bendungan komering 110 juta cm3, pembangunan fasilitas tenaga hidrolik, komponen lunak untuk memperkuat O&amp;P, Hydropower 20,80 MW, pembangunan sistem irigasi utama dan tersier skema Lempuing untuk 8.500 Ha, dan perbaikan fasilitas irigasi yang ada</v>
      </c>
      <c r="AR78" s="162">
        <v>1</v>
      </c>
      <c r="AX78" s="8">
        <v>1</v>
      </c>
    </row>
    <row r="79" spans="1:50" s="8" customFormat="1" ht="102">
      <c r="A79" s="10">
        <f>DATA!A86</f>
        <v>68</v>
      </c>
      <c r="B79" s="10">
        <f>DATA!B86</f>
        <v>0</v>
      </c>
      <c r="C79" s="10" t="str">
        <f>DATA!D86</f>
        <v>INFRASTRUKTUR</v>
      </c>
      <c r="D79" s="10">
        <f>DATA!E86</f>
        <v>1</v>
      </c>
      <c r="E79" s="10" t="str">
        <f>DATA!F86</f>
        <v>Kementerian Pekerjaan Umum dan Perumahan Rakyat</v>
      </c>
      <c r="F79" s="10" t="str">
        <f>DATA!H86</f>
        <v>Dam Development Program</v>
      </c>
      <c r="G79" s="10" t="str">
        <f>DATA!I86</f>
        <v>J</v>
      </c>
      <c r="H79" s="10" t="str">
        <f>DATA!J86</f>
        <v xml:space="preserve">Program Pembangunan Waduk </v>
      </c>
      <c r="I79" s="10">
        <f>DATA!K86</f>
        <v>3</v>
      </c>
      <c r="J79" s="57"/>
      <c r="K79" s="58"/>
      <c r="L79" s="58"/>
      <c r="M79" s="60">
        <f>DATA!K86</f>
        <v>3</v>
      </c>
      <c r="N79" s="61" t="str">
        <f>DATA!L86</f>
        <v>Pelosika Multipurpose Dam Construction Project</v>
      </c>
      <c r="O79" s="20">
        <f>DATA!Q86</f>
        <v>1</v>
      </c>
      <c r="P79" s="20">
        <f>DATA!R86</f>
        <v>1</v>
      </c>
      <c r="Q79" s="20">
        <f>DATA!S86</f>
        <v>59</v>
      </c>
      <c r="R79" s="89">
        <f>DATA!T86</f>
        <v>200000000</v>
      </c>
      <c r="S79" s="89"/>
      <c r="T79" s="89">
        <f>DATA!V86</f>
        <v>170000000</v>
      </c>
      <c r="U79" s="89">
        <f>DATA!W86</f>
        <v>0</v>
      </c>
      <c r="V79" s="89">
        <f>DATA!X86</f>
        <v>370000000</v>
      </c>
      <c r="W79" s="90" t="str">
        <f>DATA!Y86</f>
        <v>Rupiah Murni</v>
      </c>
      <c r="X79" s="20" t="str">
        <f>DATA!Z86</f>
        <v>Pendanaan Dengan Rupiah Murni</v>
      </c>
      <c r="Y79" s="89">
        <f>DATA!AA86</f>
        <v>200000000</v>
      </c>
      <c r="Z79" s="77">
        <f>DATA!AG86</f>
        <v>0</v>
      </c>
      <c r="AA79" s="103">
        <f>DATA!AH86</f>
        <v>2017</v>
      </c>
      <c r="AB79" s="61" t="str">
        <f>DATA!AI86</f>
        <v>-</v>
      </c>
      <c r="AC79" s="152" t="str">
        <f>DATA!AR86</f>
        <v>belum ada dokumen R/C</v>
      </c>
      <c r="AD79" s="152" t="str">
        <f>DATA!AN86</f>
        <v>dalam proses
(penyusunan FS)</v>
      </c>
      <c r="AE79" s="152" t="str">
        <f>DATA!AO86</f>
        <v>dalam proses
(perencanaan)</v>
      </c>
      <c r="AF79" s="61" t="str">
        <f>DATA!AJ86</f>
        <v>AMDAL, geologi detail 2015 dan Penyiapan Review DED</v>
      </c>
      <c r="AG79" s="61" t="str">
        <f>DATA!AK86</f>
        <v>LARAP</v>
      </c>
      <c r="AH79" s="61" t="str">
        <f>DATA!AL86</f>
        <v>-</v>
      </c>
      <c r="AI79" s="20" t="str">
        <f>DATA!AR86</f>
        <v>belum ada dokumen R/C</v>
      </c>
      <c r="AJ79" s="20" t="str">
        <f>DATA!AN86</f>
        <v>dalam proses
(penyusunan FS)</v>
      </c>
      <c r="AK79" s="20" t="str">
        <f>DATA!AO86</f>
        <v>dalam proses
(perencanaan)</v>
      </c>
      <c r="AL79" s="20" t="str">
        <f>DATA!AP86</f>
        <v>belum ada proses tender/lelang</v>
      </c>
      <c r="AM79" s="20" t="str">
        <f>DATA!AY86</f>
        <v>- Konfirmasi melalui surat Sekjen nomor KU.01.12-Sj/636 tgl 23 Oktober 2015
- Kegiatan akan dilaksanakan oleh pendanaan rupiah murni APBN</v>
      </c>
      <c r="AN79" s="20" t="e">
        <f>DATA!#REF!</f>
        <v>#REF!</v>
      </c>
      <c r="AO79" s="20">
        <f>DATA!AZ86</f>
        <v>0</v>
      </c>
      <c r="AP79" s="161" t="e">
        <f>DATA!#REF!</f>
        <v>#REF!</v>
      </c>
      <c r="AQ79" s="37"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c r="AR79" s="162">
        <v>1</v>
      </c>
      <c r="AX79" s="8">
        <v>1</v>
      </c>
    </row>
    <row r="80" spans="1:50" s="8" customFormat="1" ht="90.75" customHeight="1">
      <c r="A80" s="10">
        <f>DATA!A87</f>
        <v>69</v>
      </c>
      <c r="B80" s="10">
        <f>DATA!B87</f>
        <v>0</v>
      </c>
      <c r="C80" s="10" t="str">
        <f>DATA!D87</f>
        <v>INFRASTRUKTUR</v>
      </c>
      <c r="D80" s="10">
        <f>DATA!E87</f>
        <v>1</v>
      </c>
      <c r="E80" s="10" t="str">
        <f>DATA!F87</f>
        <v>Kementerian Pekerjaan Umum dan Perumahan Rakyat</v>
      </c>
      <c r="F80" s="10" t="str">
        <f>DATA!H87</f>
        <v>Dam Development Program</v>
      </c>
      <c r="G80" s="10" t="str">
        <f>DATA!I87</f>
        <v>J</v>
      </c>
      <c r="H80" s="10" t="str">
        <f>DATA!J87</f>
        <v xml:space="preserve">Program Pembangunan Waduk </v>
      </c>
      <c r="I80" s="10">
        <f>DATA!K87</f>
        <v>4</v>
      </c>
      <c r="J80" s="57"/>
      <c r="K80" s="58"/>
      <c r="L80" s="58"/>
      <c r="M80" s="60">
        <f>DATA!K87</f>
        <v>4</v>
      </c>
      <c r="N80" s="61" t="str">
        <f>DATA!L87</f>
        <v>Lambakan  Dam Project</v>
      </c>
      <c r="O80" s="20">
        <f>DATA!Q87</f>
        <v>1</v>
      </c>
      <c r="P80" s="20">
        <f>DATA!R87</f>
        <v>1</v>
      </c>
      <c r="Q80" s="20">
        <f>DATA!S87</f>
        <v>60</v>
      </c>
      <c r="R80" s="89">
        <f>DATA!T87</f>
        <v>258000000</v>
      </c>
      <c r="S80" s="89"/>
      <c r="T80" s="89">
        <f>DATA!V87</f>
        <v>227000000</v>
      </c>
      <c r="U80" s="89">
        <f>DATA!W87</f>
        <v>0</v>
      </c>
      <c r="V80" s="89">
        <f>DATA!X87</f>
        <v>485000000</v>
      </c>
      <c r="W80" s="90" t="str">
        <f>DATA!Y87</f>
        <v>IDB</v>
      </c>
      <c r="X80" s="20" t="str">
        <f>DATA!Z87</f>
        <v>Multilateral</v>
      </c>
      <c r="Y80" s="89">
        <f>DATA!AA87</f>
        <v>258000000</v>
      </c>
      <c r="Z80" s="77">
        <f>DATA!AG87</f>
        <v>0</v>
      </c>
      <c r="AA80" s="103" t="str">
        <f>DATA!AH87</f>
        <v>Tanpa keterangan</v>
      </c>
      <c r="AB80" s="61" t="str">
        <f>DATA!AI87</f>
        <v>-</v>
      </c>
      <c r="AC80" s="152" t="str">
        <f>DATA!AR87</f>
        <v>belum ada dokumen R/C</v>
      </c>
      <c r="AD80" s="152" t="str">
        <f>DATA!AN87</f>
        <v>dalam proses
(penyusunan FS)</v>
      </c>
      <c r="AE80" s="152" t="str">
        <f>DATA!AO87</f>
        <v>dalam proses
(perencanaan)</v>
      </c>
      <c r="AF80" s="61" t="str">
        <f>DATA!AJ87</f>
        <v>AMDAL (2017), geologi detail 2015 dan Penyiapan Review DED</v>
      </c>
      <c r="AG80" s="61" t="str">
        <f>DATA!AK87</f>
        <v>LARAP (2016)</v>
      </c>
      <c r="AH80" s="61" t="str">
        <f>DATA!AL87</f>
        <v>-</v>
      </c>
      <c r="AI80" s="20" t="str">
        <f>DATA!AR87</f>
        <v>belum ada dokumen R/C</v>
      </c>
      <c r="AJ80" s="20" t="str">
        <f>DATA!AN87</f>
        <v>dalam proses
(penyusunan FS)</v>
      </c>
      <c r="AK80" s="20" t="str">
        <f>DATA!AO87</f>
        <v>dalam proses
(perencanaan)</v>
      </c>
      <c r="AL80" s="20" t="str">
        <f>DATA!AP87</f>
        <v>belum ada proses tender/lelang</v>
      </c>
      <c r="AM80" s="20" t="str">
        <f>DATA!AY87</f>
        <v>Konfirmasi melalui surat Sekjen nomor KU.01.12-Sj/636 tgl 23 Oktober 2015</v>
      </c>
      <c r="AN80" s="20" t="e">
        <f>DATA!#REF!</f>
        <v>#REF!</v>
      </c>
      <c r="AO80" s="20">
        <f>DATA!AZ87</f>
        <v>0</v>
      </c>
      <c r="AP80" s="161" t="e">
        <f>DATA!#REF!</f>
        <v>#REF!</v>
      </c>
      <c r="AQ80" s="37" t="str">
        <f>DATA!BA87</f>
        <v>Pembangunan PLTA sebesar 15 MW, pembangunan sistem irigasi untuk mengairi 18.000 Ha, menyediakan air baku 12 m3/det untuk Kabupaten pasir, Kabupaten  Penajam Pasir Utara dan Kota Balikpapan, 4. Pembangunan tanggul penahan banjir di DAS Telake sampai 30%</v>
      </c>
      <c r="AR80" s="162">
        <v>1</v>
      </c>
      <c r="AX80" s="8">
        <v>1</v>
      </c>
    </row>
    <row r="81" spans="1:50" ht="60.75" customHeight="1">
      <c r="A81" s="10">
        <f>DATA!A88</f>
        <v>70</v>
      </c>
      <c r="B81" s="10">
        <f>DATA!B88</f>
        <v>0</v>
      </c>
      <c r="C81" s="10" t="str">
        <f>DATA!D88</f>
        <v>INFRASTRUKTUR</v>
      </c>
      <c r="D81" s="10">
        <f>DATA!E88</f>
        <v>1</v>
      </c>
      <c r="E81" s="10" t="str">
        <f>DATA!F88</f>
        <v>Kementerian Pekerjaan Umum dan Perumahan Rakyat</v>
      </c>
      <c r="F81" s="10" t="str">
        <f>DATA!H88</f>
        <v>Dam Development Program</v>
      </c>
      <c r="G81" s="10" t="str">
        <f>DATA!I88</f>
        <v>J</v>
      </c>
      <c r="H81" s="10" t="str">
        <f>DATA!J88</f>
        <v xml:space="preserve">Program Pembangunan Waduk </v>
      </c>
      <c r="I81" s="10">
        <f>DATA!K88</f>
        <v>5</v>
      </c>
      <c r="J81" s="33"/>
      <c r="K81" s="34"/>
      <c r="L81" s="34"/>
      <c r="M81" s="36">
        <f>DATA!K88</f>
        <v>5</v>
      </c>
      <c r="N81" s="37" t="str">
        <f>DATA!L88</f>
        <v>Jenelata Dam Construction Project</v>
      </c>
      <c r="O81" s="20">
        <f>DATA!Q88</f>
        <v>1</v>
      </c>
      <c r="P81" s="20">
        <f>DATA!R88</f>
        <v>1</v>
      </c>
      <c r="Q81" s="20">
        <f>DATA!S88</f>
        <v>61</v>
      </c>
      <c r="R81" s="77">
        <f>DATA!T88</f>
        <v>200000000</v>
      </c>
      <c r="S81" s="77"/>
      <c r="T81" s="77">
        <f>DATA!V88</f>
        <v>20000000</v>
      </c>
      <c r="U81" s="77">
        <f>DATA!W88</f>
        <v>0</v>
      </c>
      <c r="V81" s="77">
        <f>DATA!X88</f>
        <v>220000000</v>
      </c>
      <c r="W81" s="78" t="str">
        <f>DATA!Y88</f>
        <v>RRT</v>
      </c>
      <c r="X81" s="20" t="str">
        <f>DATA!Z88</f>
        <v>Bilateral</v>
      </c>
      <c r="Y81" s="77">
        <f>DATA!AA88</f>
        <v>200000000</v>
      </c>
      <c r="Z81" s="77">
        <f>DATA!AG88</f>
        <v>0</v>
      </c>
      <c r="AA81" s="20">
        <f>DATA!AH88</f>
        <v>2018</v>
      </c>
      <c r="AB81" s="37" t="str">
        <f>DATA!AI88</f>
        <v>-</v>
      </c>
      <c r="AC81" s="152" t="str">
        <f>DATA!AR88</f>
        <v>belum ada dokumen R/C</v>
      </c>
      <c r="AD81" s="152" t="str">
        <f>DATA!AN88</f>
        <v>siap</v>
      </c>
      <c r="AE81" s="152" t="str">
        <f>DATA!AO88</f>
        <v>dalam proses
(perencanaan)</v>
      </c>
      <c r="AF81" s="37" t="str">
        <f>DATA!AJ88</f>
        <v>model test, penyelidikan geologi 2015, AMDAL (2015)</v>
      </c>
      <c r="AG81" s="37" t="str">
        <f>DATA!AK88</f>
        <v>LARAP (2016)</v>
      </c>
      <c r="AH81" s="37" t="str">
        <f>DATA!AL88</f>
        <v>-</v>
      </c>
      <c r="AI81" s="20" t="str">
        <f>DATA!AR88</f>
        <v>belum ada dokumen R/C</v>
      </c>
      <c r="AJ81" s="20" t="str">
        <f>DATA!AN88</f>
        <v>siap</v>
      </c>
      <c r="AK81" s="20" t="str">
        <f>DATA!AO88</f>
        <v>dalam proses
(perencanaan)</v>
      </c>
      <c r="AL81" s="20" t="str">
        <f>DATA!AP88</f>
        <v>belum ada proses tender/lelang</v>
      </c>
      <c r="AM81" s="20" t="str">
        <f>DATA!AY88</f>
        <v>Konfirmasi melalui surat Sekjen nomor KU.01.12-Sj/636 tgl 23 Oktober 2015</v>
      </c>
      <c r="AN81" s="20" t="e">
        <f>DATA!#REF!</f>
        <v>#REF!</v>
      </c>
      <c r="AO81" s="20">
        <f>DATA!AZ88</f>
        <v>0</v>
      </c>
      <c r="AP81" s="152" t="e">
        <f>DATA!#REF!</f>
        <v>#REF!</v>
      </c>
      <c r="AQ81" s="37" t="str">
        <f>DATA!BA88</f>
        <v>Membangun bendungan 223 juta m3, melakukan rehabilitasi jalan, membangun fasilitas PLTA ± 10,9 MW untuk kebutuhan energi listrik Kab.Gowa, perbaikan dan peningkatan jaringan irigasi 24.400 ha</v>
      </c>
      <c r="AR81" s="166"/>
    </row>
    <row r="82" spans="1:50" ht="48" customHeight="1">
      <c r="A82" s="10">
        <f>DATA!A89</f>
        <v>71</v>
      </c>
      <c r="B82" s="10">
        <f>DATA!B89</f>
        <v>0</v>
      </c>
      <c r="C82" s="10" t="str">
        <f>DATA!D89</f>
        <v>INFRASTRUKTUR</v>
      </c>
      <c r="D82" s="10">
        <f>DATA!E89</f>
        <v>1</v>
      </c>
      <c r="E82" s="10" t="str">
        <f>DATA!F89</f>
        <v>Kementerian Pekerjaan Umum dan Perumahan Rakyat</v>
      </c>
      <c r="F82" s="10" t="str">
        <f>DATA!H89</f>
        <v>Dam Development Program</v>
      </c>
      <c r="G82" s="10" t="str">
        <f>DATA!I89</f>
        <v>J</v>
      </c>
      <c r="H82" s="10" t="str">
        <f>DATA!J89</f>
        <v xml:space="preserve">Program Pembangunan Waduk </v>
      </c>
      <c r="I82" s="10">
        <f>DATA!K89</f>
        <v>6</v>
      </c>
      <c r="J82" s="33"/>
      <c r="K82" s="34"/>
      <c r="L82" s="34"/>
      <c r="M82" s="36">
        <f>DATA!K89</f>
        <v>6</v>
      </c>
      <c r="N82" s="37" t="str">
        <f>DATA!L89</f>
        <v>Bonehulu Dam Construction Project</v>
      </c>
      <c r="O82" s="20">
        <f>DATA!Q89</f>
        <v>1</v>
      </c>
      <c r="P82" s="20">
        <f>DATA!R89</f>
        <v>1</v>
      </c>
      <c r="Q82" s="20">
        <f>DATA!S89</f>
        <v>62</v>
      </c>
      <c r="R82" s="77">
        <f>DATA!T89</f>
        <v>128250000</v>
      </c>
      <c r="S82" s="77"/>
      <c r="T82" s="77">
        <f>DATA!V89</f>
        <v>21000000</v>
      </c>
      <c r="U82" s="77">
        <f>DATA!W89</f>
        <v>0</v>
      </c>
      <c r="V82" s="77">
        <f>DATA!X89</f>
        <v>149250000</v>
      </c>
      <c r="W82" s="78" t="str">
        <f>DATA!Y89</f>
        <v>RRT</v>
      </c>
      <c r="X82" s="20" t="str">
        <f>DATA!Z89</f>
        <v>Bilateral</v>
      </c>
      <c r="Y82" s="77">
        <f>DATA!AA89</f>
        <v>128250000</v>
      </c>
      <c r="Z82" s="77">
        <f>DATA!AG89</f>
        <v>0</v>
      </c>
      <c r="AA82" s="20">
        <f>DATA!AH89</f>
        <v>2019</v>
      </c>
      <c r="AB82" s="37" t="str">
        <f>DATA!AI89</f>
        <v>-</v>
      </c>
      <c r="AC82" s="152" t="str">
        <f>DATA!AR89</f>
        <v>belum ada dokumen R/C</v>
      </c>
      <c r="AD82" s="152" t="str">
        <f>DATA!AN89</f>
        <v>dalam proses
(penyusunan FS)</v>
      </c>
      <c r="AE82" s="152" t="str">
        <f>DATA!AO89</f>
        <v>dalam proses
(perencanaan)</v>
      </c>
      <c r="AF82" s="37" t="str">
        <f>DATA!AJ89</f>
        <v>DD, model test, penyelidikan geologi 2015, AMDAL (2017)</v>
      </c>
      <c r="AG82" s="37" t="str">
        <f>DATA!AK89</f>
        <v>LARAP (2015)</v>
      </c>
      <c r="AH82" s="37" t="str">
        <f>DATA!AL89</f>
        <v>-</v>
      </c>
      <c r="AI82" s="20" t="str">
        <f>DATA!AR89</f>
        <v>belum ada dokumen R/C</v>
      </c>
      <c r="AJ82" s="20" t="str">
        <f>DATA!AN89</f>
        <v>dalam proses
(penyusunan FS)</v>
      </c>
      <c r="AK82" s="20" t="str">
        <f>DATA!AO89</f>
        <v>dalam proses
(perencanaan)</v>
      </c>
      <c r="AL82" s="20" t="str">
        <f>DATA!AP89</f>
        <v>belum ada proses tender/lelang</v>
      </c>
      <c r="AM82" s="20" t="str">
        <f>DATA!AY89</f>
        <v>Konfirmasi melalui surat Sekjen nomor KU.01.12-Sj/636 tgl 23 Oktober 2015</v>
      </c>
      <c r="AN82" s="20" t="e">
        <f>DATA!#REF!</f>
        <v>#REF!</v>
      </c>
      <c r="AO82" s="20">
        <f>DATA!AZ89</f>
        <v>0</v>
      </c>
      <c r="AP82" s="152" t="e">
        <f>DATA!#REF!</f>
        <v>#REF!</v>
      </c>
      <c r="AQ82" s="37" t="str">
        <f>DATA!BA89</f>
        <v>Pembangunan PLTA sebesar 9,99 MW, Pembangunan sistem irigasi mengairi 6.800 Ha</v>
      </c>
      <c r="AR82" s="166"/>
    </row>
    <row r="83" spans="1:50" ht="59.25" customHeight="1">
      <c r="A83" s="10">
        <f>DATA!A90</f>
        <v>72</v>
      </c>
      <c r="B83" s="10">
        <f>DATA!B90</f>
        <v>0</v>
      </c>
      <c r="C83" s="10" t="str">
        <f>DATA!D90</f>
        <v>INFRASTRUKTUR</v>
      </c>
      <c r="D83" s="10">
        <f>DATA!E90</f>
        <v>1</v>
      </c>
      <c r="E83" s="10" t="str">
        <f>DATA!F90</f>
        <v>Kementerian Pekerjaan Umum dan Perumahan Rakyat</v>
      </c>
      <c r="F83" s="10" t="str">
        <f>DATA!H90</f>
        <v>Dam Development Program</v>
      </c>
      <c r="G83" s="10" t="str">
        <f>DATA!I90</f>
        <v>J</v>
      </c>
      <c r="H83" s="10" t="str">
        <f>DATA!J90</f>
        <v xml:space="preserve">Program Pembangunan Waduk </v>
      </c>
      <c r="I83" s="10">
        <f>DATA!K90</f>
        <v>7</v>
      </c>
      <c r="J83" s="33"/>
      <c r="K83" s="34"/>
      <c r="L83" s="34"/>
      <c r="M83" s="36">
        <f>DATA!K90</f>
        <v>7</v>
      </c>
      <c r="N83" s="37" t="str">
        <f>DATA!L90</f>
        <v>Ladongi Dam Construction Project</v>
      </c>
      <c r="O83" s="20">
        <f>DATA!Q90</f>
        <v>1</v>
      </c>
      <c r="P83" s="20">
        <f>DATA!R90</f>
        <v>1</v>
      </c>
      <c r="Q83" s="20">
        <f>DATA!S90</f>
        <v>63</v>
      </c>
      <c r="R83" s="77">
        <f>DATA!T90</f>
        <v>70000000</v>
      </c>
      <c r="S83" s="77"/>
      <c r="T83" s="77">
        <f>DATA!V90</f>
        <v>7000000</v>
      </c>
      <c r="U83" s="77">
        <f>DATA!W90</f>
        <v>0</v>
      </c>
      <c r="V83" s="77">
        <f>DATA!X90</f>
        <v>77000000</v>
      </c>
      <c r="W83" s="78" t="str">
        <f>DATA!Y90</f>
        <v>RRT</v>
      </c>
      <c r="X83" s="20" t="str">
        <f>DATA!Z90</f>
        <v>Bilateral</v>
      </c>
      <c r="Y83" s="77">
        <f>DATA!AA90</f>
        <v>70000000</v>
      </c>
      <c r="Z83" s="77">
        <f>DATA!AG90</f>
        <v>0</v>
      </c>
      <c r="AA83" s="20">
        <f>DATA!AH90</f>
        <v>2017</v>
      </c>
      <c r="AB83" s="37" t="str">
        <f>DATA!AI90</f>
        <v>-</v>
      </c>
      <c r="AC83" s="152" t="str">
        <f>DATA!AR90</f>
        <v>belum ada dokumen R/C</v>
      </c>
      <c r="AD83" s="152" t="str">
        <f>DATA!AN90</f>
        <v>siap</v>
      </c>
      <c r="AE83" s="152" t="str">
        <f>DATA!AO90</f>
        <v>dalam proses
(perencanaan)</v>
      </c>
      <c r="AF83" s="37" t="str">
        <f>DATA!AJ90</f>
        <v>SID, AMDAL (2015), penyelidikan geologi, DD, model test 2015</v>
      </c>
      <c r="AG83" s="37" t="str">
        <f>DATA!AK90</f>
        <v>LARAP (2015)</v>
      </c>
      <c r="AH83" s="37" t="str">
        <f>DATA!AL90</f>
        <v>-</v>
      </c>
      <c r="AI83" s="20" t="str">
        <f>DATA!AR90</f>
        <v>belum ada dokumen R/C</v>
      </c>
      <c r="AJ83" s="20" t="str">
        <f>DATA!AN90</f>
        <v>siap</v>
      </c>
      <c r="AK83" s="20" t="str">
        <f>DATA!AO90</f>
        <v>dalam proses
(perencanaan)</v>
      </c>
      <c r="AL83" s="20" t="str">
        <f>DATA!AP90</f>
        <v>belum ada proses tender/lelang</v>
      </c>
      <c r="AM83" s="20" t="str">
        <f>DATA!AY90</f>
        <v>Konfirmasi melalui surat Sekjen nomor KU.01.12-Sj/636 tgl 23 Oktober 2015</v>
      </c>
      <c r="AN83" s="20" t="e">
        <f>DATA!#REF!</f>
        <v>#REF!</v>
      </c>
      <c r="AO83" s="20">
        <f>DATA!AZ90</f>
        <v>0</v>
      </c>
      <c r="AP83" s="152" t="e">
        <f>DATA!#REF!</f>
        <v>#REF!</v>
      </c>
      <c r="AQ83" s="37" t="str">
        <f>DATA!BA90</f>
        <v>Membangun bendungan 25,57 juta m3  dan fasilitas pendukungnya, Melakukan rehabilitasi jalan akses, Membangun PLTA 1,15 MW untuk  Kab.Kolaka Timur dan Perbaikan jaringan irigasi</v>
      </c>
      <c r="AR83" s="166"/>
    </row>
    <row r="84" spans="1:50" s="8" customFormat="1" ht="80.25" customHeight="1">
      <c r="A84" s="10">
        <f>DATA!A91</f>
        <v>73</v>
      </c>
      <c r="B84" s="10">
        <f>DATA!B91</f>
        <v>0</v>
      </c>
      <c r="C84" s="10" t="str">
        <f>DATA!D91</f>
        <v>INFRASTRUKTUR</v>
      </c>
      <c r="D84" s="10">
        <f>DATA!E91</f>
        <v>1</v>
      </c>
      <c r="E84" s="10" t="str">
        <f>DATA!F91</f>
        <v>Kementerian Pekerjaan Umum dan Perumahan Rakyat</v>
      </c>
      <c r="F84" s="10" t="str">
        <f>DATA!H91</f>
        <v>Dam Development Program</v>
      </c>
      <c r="G84" s="10" t="str">
        <f>DATA!I91</f>
        <v>J</v>
      </c>
      <c r="H84" s="10" t="str">
        <f>DATA!J91</f>
        <v xml:space="preserve">Program Pembangunan Waduk </v>
      </c>
      <c r="I84" s="10">
        <f>DATA!K91</f>
        <v>8</v>
      </c>
      <c r="J84" s="57"/>
      <c r="K84" s="58"/>
      <c r="L84" s="58"/>
      <c r="M84" s="60">
        <f>DATA!K91</f>
        <v>8</v>
      </c>
      <c r="N84" s="61" t="str">
        <f>DATA!L91</f>
        <v>Kuwil Kawangkoan Dam Construction Project</v>
      </c>
      <c r="O84" s="20">
        <f>DATA!Q91</f>
        <v>1</v>
      </c>
      <c r="P84" s="20">
        <f>DATA!R91</f>
        <v>1</v>
      </c>
      <c r="Q84" s="20">
        <f>DATA!S91</f>
        <v>64</v>
      </c>
      <c r="R84" s="89">
        <f>DATA!T91</f>
        <v>110000000</v>
      </c>
      <c r="S84" s="89"/>
      <c r="T84" s="89">
        <f>DATA!V91</f>
        <v>11000000</v>
      </c>
      <c r="U84" s="89">
        <f>DATA!W91</f>
        <v>0</v>
      </c>
      <c r="V84" s="89">
        <f>DATA!X91</f>
        <v>121000000</v>
      </c>
      <c r="W84" s="90" t="str">
        <f>DATA!Y91</f>
        <v>Rupiah Murni</v>
      </c>
      <c r="X84" s="20" t="str">
        <f>DATA!Z91</f>
        <v>Pendanaan Dengan Rupiah Murni</v>
      </c>
      <c r="Y84" s="89">
        <f>DATA!AA91</f>
        <v>110000000</v>
      </c>
      <c r="Z84" s="77">
        <f>DATA!AG91</f>
        <v>0</v>
      </c>
      <c r="AA84" s="103">
        <f>DATA!AH91</f>
        <v>2016</v>
      </c>
      <c r="AB84" s="61" t="str">
        <f>DATA!AI91</f>
        <v>-</v>
      </c>
      <c r="AC84" s="152" t="str">
        <f>DATA!AR91</f>
        <v>belum ada dokumen R/C</v>
      </c>
      <c r="AD84" s="152" t="str">
        <f>DATA!AN91</f>
        <v>dalam proses
(penyusunan FS)</v>
      </c>
      <c r="AE84" s="152" t="str">
        <f>DATA!AO91</f>
        <v>dalam proses
(perencanaan)</v>
      </c>
      <c r="AF84" s="61" t="str">
        <f>DATA!AJ91</f>
        <v>Sertifikasi desain, penyelidikan geologi, AMDAL</v>
      </c>
      <c r="AG84" s="61" t="str">
        <f>DATA!AK91</f>
        <v>LARAP</v>
      </c>
      <c r="AH84" s="61" t="str">
        <f>DATA!AL91</f>
        <v>Dalam proses tender</v>
      </c>
      <c r="AI84" s="20" t="str">
        <f>DATA!AR91</f>
        <v>belum ada dokumen R/C</v>
      </c>
      <c r="AJ84" s="20" t="str">
        <f>DATA!AN91</f>
        <v>dalam proses
(penyusunan FS)</v>
      </c>
      <c r="AK84" s="20" t="str">
        <f>DATA!AO91</f>
        <v>dalam proses
(perencanaan)</v>
      </c>
      <c r="AL84" s="20" t="str">
        <f>DATA!AP91</f>
        <v>belum ada proses tender/lelang</v>
      </c>
      <c r="AM84" s="20" t="str">
        <f>DATA!AY91</f>
        <v>- Konfirmasi melalui surat Sekjen nomor KU.01.12-Sj/636 tgl 23 Oktober 2015
- Kegiatan akan dilaksanakan oleh pendanaan rupiah murni APBN</v>
      </c>
      <c r="AN84" s="20" t="e">
        <f>DATA!#REF!</f>
        <v>#REF!</v>
      </c>
      <c r="AO84" s="20">
        <f>DATA!AZ91</f>
        <v>0</v>
      </c>
      <c r="AP84" s="161" t="e">
        <f>DATA!#REF!</f>
        <v>#REF!</v>
      </c>
      <c r="AQ84" s="37" t="str">
        <f>DATA!BA91</f>
        <v>Melakukan konservasi sumber daya air, pelestarian lingkungan, dan pengendalian banjir, Membangun bendungan dan fasilitas pendukungnya, Melakukan rehabilitasi jalan akses , Membangun fasilitas PLTA ± 1.3 MW untuk provinsi Sulawesi Utara</v>
      </c>
      <c r="AR84" s="162">
        <v>1</v>
      </c>
      <c r="AX84" s="8">
        <v>1</v>
      </c>
    </row>
    <row r="85" spans="1:50" s="8" customFormat="1" ht="74.25" customHeight="1">
      <c r="A85" s="10">
        <f>DATA!A92</f>
        <v>74</v>
      </c>
      <c r="B85" s="10">
        <f>DATA!B92</f>
        <v>0</v>
      </c>
      <c r="C85" s="10" t="str">
        <f>DATA!D92</f>
        <v>INFRASTRUKTUR</v>
      </c>
      <c r="D85" s="10">
        <f>DATA!E92</f>
        <v>1</v>
      </c>
      <c r="E85" s="10" t="str">
        <f>DATA!F92</f>
        <v>Kementerian Pekerjaan Umum dan Perumahan Rakyat</v>
      </c>
      <c r="F85" s="10" t="str">
        <f>DATA!H92</f>
        <v>Dam Development Program</v>
      </c>
      <c r="G85" s="10" t="str">
        <f>DATA!I92</f>
        <v>J</v>
      </c>
      <c r="H85" s="10" t="str">
        <f>DATA!J92</f>
        <v xml:space="preserve">Program Pembangunan Waduk </v>
      </c>
      <c r="I85" s="10">
        <f>DATA!K92</f>
        <v>9</v>
      </c>
      <c r="J85" s="57"/>
      <c r="K85" s="58"/>
      <c r="L85" s="58"/>
      <c r="M85" s="60">
        <f>DATA!K92</f>
        <v>9</v>
      </c>
      <c r="N85" s="61" t="str">
        <f>DATA!L92</f>
        <v>Lompatan Harimau Dam Construction Project (Rokan Kiri Dam Construction Project)</v>
      </c>
      <c r="O85" s="20">
        <f>DATA!Q92</f>
        <v>1</v>
      </c>
      <c r="P85" s="20">
        <f>DATA!R92</f>
        <v>1</v>
      </c>
      <c r="Q85" s="20">
        <f>DATA!S92</f>
        <v>65</v>
      </c>
      <c r="R85" s="89">
        <f>DATA!T92</f>
        <v>152100000</v>
      </c>
      <c r="S85" s="89"/>
      <c r="T85" s="89">
        <f>DATA!V92</f>
        <v>26500000</v>
      </c>
      <c r="U85" s="89">
        <f>DATA!W92</f>
        <v>0</v>
      </c>
      <c r="V85" s="89">
        <f>DATA!X92</f>
        <v>178600000</v>
      </c>
      <c r="W85" s="90" t="str">
        <f>DATA!Y92</f>
        <v>RRT</v>
      </c>
      <c r="X85" s="20" t="str">
        <f>DATA!Z92</f>
        <v>Bilateral</v>
      </c>
      <c r="Y85" s="89">
        <f>DATA!AA92</f>
        <v>152100000</v>
      </c>
      <c r="Z85" s="77">
        <f>DATA!AG92</f>
        <v>0</v>
      </c>
      <c r="AA85" s="103">
        <f>DATA!AH92</f>
        <v>2018</v>
      </c>
      <c r="AB85" s="61" t="str">
        <f>DATA!AI92</f>
        <v>-</v>
      </c>
      <c r="AC85" s="152" t="str">
        <f>DATA!AR92</f>
        <v>belum ada dokumen R/C</v>
      </c>
      <c r="AD85" s="152" t="str">
        <f>DATA!AN92</f>
        <v>dalam proses
(memiliki FS)</v>
      </c>
      <c r="AE85" s="152" t="str">
        <f>DATA!AO92</f>
        <v>dalam proses
(perencanaan)</v>
      </c>
      <c r="AF85" s="61" t="str">
        <f>DATA!AJ92</f>
        <v>FS (2015), DED (2016), AMDAL (2016)</v>
      </c>
      <c r="AG85" s="61" t="str">
        <f>DATA!AK92</f>
        <v>LARAP (2015)</v>
      </c>
      <c r="AH85" s="61" t="str">
        <f>DATA!AL92</f>
        <v>-</v>
      </c>
      <c r="AI85" s="20" t="str">
        <f>DATA!AR92</f>
        <v>belum ada dokumen R/C</v>
      </c>
      <c r="AJ85" s="20" t="str">
        <f>DATA!AN92</f>
        <v>dalam proses
(memiliki FS)</v>
      </c>
      <c r="AK85" s="20" t="str">
        <f>DATA!AO92</f>
        <v>dalam proses
(perencanaan)</v>
      </c>
      <c r="AL85" s="20" t="str">
        <f>DATA!AP92</f>
        <v>belum ada proses tender/lelang</v>
      </c>
      <c r="AM85" s="20" t="str">
        <f>DATA!AY92</f>
        <v>- Konfirmasi melalui surat Sekjen nomor KU.01.12-Sj/636 tgl 23 Oktober 2015
- Nama kegiatan diusulkan untuk diubah menjadi Rokan Kiri Dam Construction Project</v>
      </c>
      <c r="AN85" s="20" t="e">
        <f>DATA!#REF!</f>
        <v>#REF!</v>
      </c>
      <c r="AO85" s="20">
        <f>DATA!AZ92</f>
        <v>0</v>
      </c>
      <c r="AP85" s="161" t="e">
        <f>DATA!#REF!</f>
        <v>#REF!</v>
      </c>
      <c r="AQ85" s="37" t="str">
        <f>DATA!BA92</f>
        <v>Membangun bendungan dan fasilitas pendukungnya untuk kebutuhan irigasi seluas 4000 Ha, Melakukan konservasi SDA, pelestarian lingkungan, dan pengendalian banjir dan Membangun fasilitas PLTA ± 74,40 MW untuk Kab.Rokan</v>
      </c>
      <c r="AR85" s="162">
        <v>1</v>
      </c>
    </row>
    <row r="86" spans="1:50" s="8" customFormat="1" ht="106.5" customHeight="1">
      <c r="A86" s="10">
        <f>DATA!A93</f>
        <v>75</v>
      </c>
      <c r="B86" s="10">
        <f>DATA!B93</f>
        <v>0</v>
      </c>
      <c r="C86" s="10" t="str">
        <f>DATA!D93</f>
        <v>INFRASTRUKTUR</v>
      </c>
      <c r="D86" s="10">
        <f>DATA!E93</f>
        <v>1</v>
      </c>
      <c r="E86" s="10" t="str">
        <f>DATA!F93</f>
        <v>Kementerian Pekerjaan Umum dan Perumahan Rakyat</v>
      </c>
      <c r="F86" s="10" t="str">
        <f>DATA!H93</f>
        <v>Dam Development Program</v>
      </c>
      <c r="G86" s="10" t="str">
        <f>DATA!I93</f>
        <v>J</v>
      </c>
      <c r="H86" s="10" t="str">
        <f>DATA!J93</f>
        <v xml:space="preserve">Program Pembangunan Waduk </v>
      </c>
      <c r="I86" s="10">
        <f>DATA!K93</f>
        <v>10</v>
      </c>
      <c r="J86" s="57"/>
      <c r="K86" s="58"/>
      <c r="L86" s="58"/>
      <c r="M86" s="60">
        <f>DATA!K93</f>
        <v>10</v>
      </c>
      <c r="N86" s="61" t="str">
        <f>DATA!L93</f>
        <v>Engineering Service for Dam Multipurpose Development Project</v>
      </c>
      <c r="O86" s="20">
        <f>DATA!Q93</f>
        <v>0</v>
      </c>
      <c r="P86" s="20">
        <f>DATA!R93</f>
        <v>1</v>
      </c>
      <c r="Q86" s="20">
        <f>DATA!S93</f>
        <v>66</v>
      </c>
      <c r="R86" s="89">
        <f>DATA!T93</f>
        <v>100000000</v>
      </c>
      <c r="S86" s="89"/>
      <c r="T86" s="89">
        <f>DATA!V93</f>
        <v>0</v>
      </c>
      <c r="U86" s="89">
        <f>DATA!W93</f>
        <v>0</v>
      </c>
      <c r="V86" s="89">
        <f>DATA!X93</f>
        <v>100000000</v>
      </c>
      <c r="W86" s="139">
        <f>DATA!Y93</f>
        <v>0</v>
      </c>
      <c r="X86" s="77">
        <f>DATA!Z93</f>
        <v>0</v>
      </c>
      <c r="Y86" s="89">
        <f>DATA!AA93</f>
        <v>100000000</v>
      </c>
      <c r="Z86" s="77">
        <f>DATA!AG93</f>
        <v>-76391404</v>
      </c>
      <c r="AA86" s="89" t="str">
        <f>DATA!AH93</f>
        <v>-</v>
      </c>
      <c r="AB86" s="89">
        <f>DATA!AI93</f>
        <v>0</v>
      </c>
      <c r="AC86" s="152" t="str">
        <f>DATA!AM93</f>
        <v>-</v>
      </c>
      <c r="AD86" s="152" t="str">
        <f>DATA!AN93</f>
        <v>-</v>
      </c>
      <c r="AE86" s="152" t="str">
        <f>DATA!AO93</f>
        <v>-</v>
      </c>
      <c r="AF86" s="89">
        <f>DATA!AJ93</f>
        <v>0</v>
      </c>
      <c r="AG86" s="89">
        <f>DATA!AK93</f>
        <v>0</v>
      </c>
      <c r="AH86" s="89">
        <f>DATA!AL93</f>
        <v>0</v>
      </c>
      <c r="AI86" s="77" t="str">
        <f>DATA!AM93</f>
        <v>-</v>
      </c>
      <c r="AJ86" s="104" t="str">
        <f>DATA!AN93</f>
        <v>-</v>
      </c>
      <c r="AK86" s="104" t="str">
        <f>DATA!AO93</f>
        <v>-</v>
      </c>
      <c r="AL86" s="104">
        <f>DATA!AP93</f>
        <v>0</v>
      </c>
      <c r="AM86" s="20" t="str">
        <f>DATA!AY93</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86" s="20" t="e">
        <f>DATA!#REF!</f>
        <v>#REF!</v>
      </c>
      <c r="AO86" s="20">
        <f>DATA!AZ93</f>
        <v>0</v>
      </c>
      <c r="AP86" s="161" t="e">
        <f>DATA!#REF!</f>
        <v>#REF!</v>
      </c>
      <c r="AQ86" s="37" t="str">
        <f>DATA!BA93</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c r="AR86" s="162"/>
    </row>
    <row r="87" spans="1:50" s="7" customFormat="1" ht="106.5" customHeight="1">
      <c r="A87" s="6"/>
      <c r="B87" s="6"/>
      <c r="C87" s="6"/>
      <c r="D87" s="6"/>
      <c r="E87" s="6"/>
      <c r="F87" s="6"/>
      <c r="G87" s="6"/>
      <c r="H87" s="6"/>
      <c r="I87" s="6"/>
      <c r="J87" s="44"/>
      <c r="K87" s="45"/>
      <c r="L87" s="45"/>
      <c r="M87" s="46"/>
      <c r="N87" s="68" t="str">
        <f>DATA!L94</f>
        <v>Engineering Service for Dam Multipurpose Development Project</v>
      </c>
      <c r="O87" s="42">
        <f>DATA!Q94</f>
        <v>0.33333333333333298</v>
      </c>
      <c r="P87" s="42">
        <f>DATA!R94</f>
        <v>0</v>
      </c>
      <c r="Q87" s="42">
        <f>DATA!S94</f>
        <v>66</v>
      </c>
      <c r="R87" s="85">
        <f>DATA!T94</f>
        <v>0</v>
      </c>
      <c r="S87" s="85"/>
      <c r="T87" s="85">
        <f>DATA!V94</f>
        <v>0</v>
      </c>
      <c r="U87" s="85">
        <f>DATA!W94</f>
        <v>0</v>
      </c>
      <c r="V87" s="85">
        <f>DATA!X94</f>
        <v>0</v>
      </c>
      <c r="W87" s="86" t="str">
        <f>DATA!Y94</f>
        <v>ADB</v>
      </c>
      <c r="X87" s="42" t="str">
        <f>DATA!Z94</f>
        <v>Multilateral</v>
      </c>
      <c r="Y87" s="85">
        <f>DATA!AA94</f>
        <v>1930000</v>
      </c>
      <c r="Z87" s="83">
        <f>DATA!AG94</f>
        <v>0</v>
      </c>
      <c r="AA87" s="98">
        <f>DATA!AH94</f>
        <v>2016</v>
      </c>
      <c r="AB87" s="68" t="str">
        <f>DATA!AI94</f>
        <v>- Sudah ada RC
- Green Book 2015</v>
      </c>
      <c r="AC87" s="152" t="str">
        <f>DATA!AM94</f>
        <v>2016; 2015</v>
      </c>
      <c r="AD87" s="152" t="str">
        <f>DATA!AN94</f>
        <v>siap</v>
      </c>
      <c r="AE87" s="152" t="str">
        <f>DATA!AO94</f>
        <v>tidak butuh lahan</v>
      </c>
      <c r="AF87" s="68" t="str">
        <f>DATA!AJ94</f>
        <v>FS, DED</v>
      </c>
      <c r="AG87" s="68" t="str">
        <f>DATA!AK94</f>
        <v>Tidak membutuhkan lahan</v>
      </c>
      <c r="AH87" s="68" t="str">
        <f>DATA!AL94</f>
        <v>Belum ada tender/lelang</v>
      </c>
      <c r="AI87" s="42" t="str">
        <f>DATA!AM94</f>
        <v>2016; 2015</v>
      </c>
      <c r="AJ87" s="42" t="str">
        <f>DATA!AN94</f>
        <v>siap</v>
      </c>
      <c r="AK87" s="42" t="str">
        <f>DATA!AO94</f>
        <v>tidak butuh lahan</v>
      </c>
      <c r="AL87" s="42" t="str">
        <f>DATA!AP94</f>
        <v>belum ada proses tender/lelang</v>
      </c>
      <c r="AM87" s="42"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87" s="42" t="e">
        <f>DATA!#REF!</f>
        <v>#REF!</v>
      </c>
      <c r="AO87" s="42">
        <f>DATA!AZ94</f>
        <v>0</v>
      </c>
      <c r="AP87" s="161" t="e">
        <f>DATA!#REF!</f>
        <v>#REF!</v>
      </c>
      <c r="AQ87" s="67"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c r="AR87" s="164">
        <v>1</v>
      </c>
      <c r="AV87" s="7">
        <v>1</v>
      </c>
    </row>
    <row r="88" spans="1:50" s="7" customFormat="1" ht="106.5" customHeight="1">
      <c r="A88" s="6"/>
      <c r="B88" s="6"/>
      <c r="C88" s="6"/>
      <c r="D88" s="6"/>
      <c r="E88" s="6"/>
      <c r="F88" s="6"/>
      <c r="G88" s="6"/>
      <c r="H88" s="6"/>
      <c r="I88" s="6"/>
      <c r="J88" s="44"/>
      <c r="K88" s="45"/>
      <c r="L88" s="45"/>
      <c r="M88" s="46"/>
      <c r="N88" s="68" t="str">
        <f>DATA!L95</f>
        <v>Engineering Service for Dam Multipurpose Development Project</v>
      </c>
      <c r="O88" s="42">
        <f>DATA!Q95</f>
        <v>0.33333333333333298</v>
      </c>
      <c r="P88" s="42">
        <f>DATA!R95</f>
        <v>0</v>
      </c>
      <c r="Q88" s="42">
        <f>DATA!S95</f>
        <v>66</v>
      </c>
      <c r="R88" s="85">
        <f>DATA!T95</f>
        <v>0</v>
      </c>
      <c r="S88" s="85"/>
      <c r="T88" s="85">
        <f>DATA!V95</f>
        <v>0</v>
      </c>
      <c r="U88" s="85">
        <f>DATA!W95</f>
        <v>0</v>
      </c>
      <c r="V88" s="85">
        <f>DATA!X95</f>
        <v>0</v>
      </c>
      <c r="W88" s="86" t="str">
        <f>DATA!Y95</f>
        <v>Korea</v>
      </c>
      <c r="X88" s="42" t="str">
        <f>DATA!Z95</f>
        <v>Bilateral</v>
      </c>
      <c r="Y88" s="85">
        <f>DATA!AA95</f>
        <v>21678596</v>
      </c>
      <c r="Z88" s="83">
        <f>DATA!AG95</f>
        <v>0</v>
      </c>
      <c r="AA88" s="98">
        <f>DATA!AH95</f>
        <v>2016</v>
      </c>
      <c r="AB88" s="68" t="str">
        <f>DATA!AI95</f>
        <v>- Sudah ada RC
- Diusulkan GB 2016</v>
      </c>
      <c r="AC88" s="152">
        <f>DATA!AM95</f>
        <v>2016</v>
      </c>
      <c r="AD88" s="152" t="str">
        <f>DATA!AN95</f>
        <v>siap</v>
      </c>
      <c r="AE88" s="152" t="str">
        <f>DATA!AO95</f>
        <v>tidak butuh lahan</v>
      </c>
      <c r="AF88" s="68" t="str">
        <f>DATA!AJ95</f>
        <v>FS, DED</v>
      </c>
      <c r="AG88" s="68" t="str">
        <f>DATA!AK95</f>
        <v>Tidak membutuhkan lahan</v>
      </c>
      <c r="AH88" s="68" t="str">
        <f>DATA!AL95</f>
        <v>Belum ada tender/lelang</v>
      </c>
      <c r="AI88" s="42">
        <f>DATA!AM95</f>
        <v>2016</v>
      </c>
      <c r="AJ88" s="42" t="str">
        <f>DATA!AN95</f>
        <v>siap</v>
      </c>
      <c r="AK88" s="42" t="str">
        <f>DATA!AO95</f>
        <v>tidak butuh lahan</v>
      </c>
      <c r="AL88" s="42" t="str">
        <f>DATA!AP95</f>
        <v>belum ada proses tender/lelang</v>
      </c>
      <c r="AM88" s="42"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88" s="42" t="e">
        <f>DATA!#REF!</f>
        <v>#REF!</v>
      </c>
      <c r="AO88" s="42">
        <f>DATA!AZ95</f>
        <v>0</v>
      </c>
      <c r="AP88" s="161" t="e">
        <f>DATA!#REF!</f>
        <v>#REF!</v>
      </c>
      <c r="AQ88" s="67"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c r="AR88" s="164"/>
    </row>
    <row r="89" spans="1:50" s="7" customFormat="1" ht="106.5" customHeight="1">
      <c r="A89" s="6"/>
      <c r="B89" s="6"/>
      <c r="C89" s="6"/>
      <c r="D89" s="6"/>
      <c r="E89" s="6"/>
      <c r="F89" s="6"/>
      <c r="G89" s="6"/>
      <c r="H89" s="6"/>
      <c r="I89" s="6"/>
      <c r="J89" s="44"/>
      <c r="K89" s="45"/>
      <c r="L89" s="45"/>
      <c r="M89" s="46"/>
      <c r="N89" s="68" t="str">
        <f>DATA!L96</f>
        <v>Engineering Service for Dam Multipurpose Development Project</v>
      </c>
      <c r="O89" s="42">
        <f>DATA!Q96</f>
        <v>0.33333333333333298</v>
      </c>
      <c r="P89" s="42">
        <f>DATA!R96</f>
        <v>0</v>
      </c>
      <c r="Q89" s="42">
        <f>DATA!S96</f>
        <v>66</v>
      </c>
      <c r="R89" s="85">
        <f>DATA!T96</f>
        <v>0</v>
      </c>
      <c r="S89" s="85"/>
      <c r="T89" s="85">
        <f>DATA!V96</f>
        <v>0</v>
      </c>
      <c r="U89" s="85">
        <f>DATA!W96</f>
        <v>0</v>
      </c>
      <c r="V89" s="85">
        <f>DATA!X96</f>
        <v>0</v>
      </c>
      <c r="W89" s="86" t="str">
        <f>DATA!Y96</f>
        <v>Belum Ada Indikasi</v>
      </c>
      <c r="X89" s="42" t="str">
        <f>DATA!Z96</f>
        <v>Belum Ada Indikasi</v>
      </c>
      <c r="Y89" s="85">
        <f>DATA!AA96</f>
        <v>76391404</v>
      </c>
      <c r="Z89" s="83">
        <f>DATA!AG96</f>
        <v>-76391404</v>
      </c>
      <c r="AA89" s="98" t="str">
        <f>DATA!AH96</f>
        <v>Tanpa keterangan</v>
      </c>
      <c r="AB89" s="68" t="str">
        <f>DATA!AI96</f>
        <v>-</v>
      </c>
      <c r="AC89" s="152">
        <f>DATA!AM96</f>
        <v>0</v>
      </c>
      <c r="AD89" s="152" t="str">
        <f>DATA!AN96</f>
        <v>belum ada keterangan</v>
      </c>
      <c r="AE89" s="152" t="str">
        <f>DATA!AO96</f>
        <v>belum ada keterangan</v>
      </c>
      <c r="AF89" s="68" t="str">
        <f>DATA!AJ96</f>
        <v>-</v>
      </c>
      <c r="AG89" s="68" t="str">
        <f>DATA!AK96</f>
        <v>-</v>
      </c>
      <c r="AH89" s="68" t="str">
        <f>DATA!AL96</f>
        <v>-</v>
      </c>
      <c r="AI89" s="42"/>
      <c r="AJ89" s="42"/>
      <c r="AK89" s="42"/>
      <c r="AL89" s="42"/>
      <c r="AM89" s="42"/>
      <c r="AN89" s="42"/>
      <c r="AO89" s="42"/>
      <c r="AP89" s="161" t="e">
        <f>DATA!#REF!</f>
        <v>#REF!</v>
      </c>
      <c r="AQ89" s="67"/>
      <c r="AR89" s="164"/>
    </row>
    <row r="90" spans="1:50" ht="63.75">
      <c r="A90" s="10">
        <f>DATA!A97</f>
        <v>76</v>
      </c>
      <c r="B90" s="10">
        <f>DATA!B97</f>
        <v>0</v>
      </c>
      <c r="C90" s="10" t="str">
        <f>DATA!D97</f>
        <v>INFRASTRUKTUR</v>
      </c>
      <c r="D90" s="10">
        <f>DATA!E97</f>
        <v>1</v>
      </c>
      <c r="E90" s="10" t="str">
        <f>DATA!F97</f>
        <v>Kementerian Pekerjaan Umum dan Perumahan Rakyat</v>
      </c>
      <c r="F90" s="10" t="str">
        <f>DATA!H97</f>
        <v>Dam Development Program</v>
      </c>
      <c r="G90" s="10" t="str">
        <f>DATA!I97</f>
        <v>J</v>
      </c>
      <c r="H90" s="10" t="str">
        <f>DATA!J97</f>
        <v xml:space="preserve">Program Pembangunan Waduk </v>
      </c>
      <c r="I90" s="10">
        <f>DATA!K97</f>
        <v>11</v>
      </c>
      <c r="J90" s="33"/>
      <c r="K90" s="34"/>
      <c r="L90" s="54"/>
      <c r="M90" s="36">
        <f>DATA!K97</f>
        <v>11</v>
      </c>
      <c r="N90" s="37" t="str">
        <f>DATA!L97</f>
        <v>Additional Loan for Jatigede Dam Project 2</v>
      </c>
      <c r="O90" s="20">
        <f>DATA!Q97</f>
        <v>1</v>
      </c>
      <c r="P90" s="20">
        <f>DATA!R97</f>
        <v>1</v>
      </c>
      <c r="Q90" s="20">
        <f>DATA!S97</f>
        <v>67</v>
      </c>
      <c r="R90" s="77">
        <f>DATA!T97</f>
        <v>53200000</v>
      </c>
      <c r="S90" s="77"/>
      <c r="T90" s="77">
        <f>DATA!V97</f>
        <v>0</v>
      </c>
      <c r="U90" s="77">
        <f>DATA!W97</f>
        <v>0</v>
      </c>
      <c r="V90" s="77">
        <f>DATA!X97</f>
        <v>53200000</v>
      </c>
      <c r="W90" s="78" t="str">
        <f>DATA!Y97</f>
        <v>RRT</v>
      </c>
      <c r="X90" s="20" t="str">
        <f>DATA!Z97</f>
        <v>Bilateral</v>
      </c>
      <c r="Y90" s="77">
        <f>DATA!AA97</f>
        <v>53200000</v>
      </c>
      <c r="Z90" s="77">
        <f>DATA!AG97</f>
        <v>0</v>
      </c>
      <c r="AA90" s="20">
        <f>DATA!AH97</f>
        <v>2016</v>
      </c>
      <c r="AB90" s="37" t="str">
        <f>DATA!AI97</f>
        <v>- Sudah ada RC
- Green Book 2015</v>
      </c>
      <c r="AC90" s="152" t="str">
        <f>DATA!AR97</f>
        <v>-</v>
      </c>
      <c r="AD90" s="152" t="str">
        <f>DATA!AN97</f>
        <v>dalam proses
(memiliki FS dan DED)</v>
      </c>
      <c r="AE90" s="152" t="str">
        <f>DATA!AO97</f>
        <v>dalam proses
(persiapan)</v>
      </c>
      <c r="AF90" s="37" t="str">
        <f>DATA!AJ97</f>
        <v>FS, DED, persiapan impounding 2015</v>
      </c>
      <c r="AG90" s="37" t="str">
        <f>DATA!AK97</f>
        <v>- Proses perijinan penggunaan lahan dari Bupati dan Kemenhut
- Proses administrasi kependudukan</v>
      </c>
      <c r="AH90" s="37" t="str">
        <f>DATA!AL97</f>
        <v>Belum ada tender/lelang</v>
      </c>
      <c r="AI90" s="20" t="str">
        <f>DATA!AR97</f>
        <v>-</v>
      </c>
      <c r="AJ90" s="20" t="str">
        <f>DATA!AN97</f>
        <v>dalam proses
(memiliki FS dan DED)</v>
      </c>
      <c r="AK90" s="20" t="str">
        <f>DATA!AO97</f>
        <v>dalam proses
(persiapan)</v>
      </c>
      <c r="AL90" s="20" t="str">
        <f>DATA!AP97</f>
        <v>belum ada proses tender/lelang</v>
      </c>
      <c r="AM90" s="20" t="str">
        <f>DATA!AY97</f>
        <v>Konfirmasi melalui surat Sekjen nomor KU.01.12-Sj/636 tgl 23 Oktober 2015</v>
      </c>
      <c r="AN90" s="20" t="e">
        <f>DATA!#REF!</f>
        <v>#REF!</v>
      </c>
      <c r="AO90" s="20">
        <f>DATA!AZ97</f>
        <v>0</v>
      </c>
      <c r="AP90" s="152" t="e">
        <f>DATA!#REF!</f>
        <v>#REF!</v>
      </c>
      <c r="AQ90" s="37" t="str">
        <f>DATA!BA97</f>
        <v>Menyediakan air untuk keperluan irigasi sebesar 59,63 m3/dt dan membangun infrastruktur untuk PLTA 110 MW.</v>
      </c>
      <c r="AR90" s="166"/>
    </row>
    <row r="91" spans="1:50" s="5" customFormat="1" ht="33.75" customHeight="1">
      <c r="J91" s="28"/>
      <c r="K91" s="50"/>
      <c r="L91" s="30" t="str">
        <f>DATA!I98</f>
        <v>K</v>
      </c>
      <c r="M91" s="31" t="str">
        <f>DATA!J98</f>
        <v>Program Mitigasi Terhadap Daya Rusak Air</v>
      </c>
      <c r="N91" s="51"/>
      <c r="O91" s="31"/>
      <c r="P91" s="31"/>
      <c r="Q91" s="31"/>
      <c r="R91" s="81">
        <f>+R92+R93+R94+R95+R96+R97+R98</f>
        <v>1152636000</v>
      </c>
      <c r="S91" s="81"/>
      <c r="T91" s="81">
        <f t="shared" ref="T91:Z91" si="5">+T92+T93+T94+T95+T96+T97+T98</f>
        <v>149840000</v>
      </c>
      <c r="U91" s="81">
        <f t="shared" si="5"/>
        <v>0</v>
      </c>
      <c r="V91" s="81">
        <f t="shared" si="5"/>
        <v>1302476000</v>
      </c>
      <c r="W91" s="149"/>
      <c r="X91" s="81" t="e">
        <f t="shared" si="5"/>
        <v>#VALUE!</v>
      </c>
      <c r="Y91" s="81">
        <f t="shared" si="5"/>
        <v>1112256000</v>
      </c>
      <c r="Z91" s="81">
        <f t="shared" si="5"/>
        <v>0</v>
      </c>
      <c r="AA91" s="31"/>
      <c r="AB91" s="32"/>
      <c r="AC91" s="32"/>
      <c r="AD91" s="32"/>
      <c r="AE91" s="32"/>
      <c r="AF91" s="32"/>
      <c r="AG91" s="32"/>
      <c r="AH91" s="32"/>
      <c r="AI91" s="31"/>
      <c r="AJ91" s="31"/>
      <c r="AK91" s="31"/>
      <c r="AL91" s="31"/>
      <c r="AM91" s="31"/>
      <c r="AN91" s="31"/>
      <c r="AO91" s="31"/>
      <c r="AP91" s="32"/>
      <c r="AQ91" s="32"/>
      <c r="AR91" s="160"/>
    </row>
    <row r="92" spans="1:50" ht="51" customHeight="1">
      <c r="A92" s="10">
        <f>DATA!A98</f>
        <v>77</v>
      </c>
      <c r="B92" s="10">
        <f>DATA!B98</f>
        <v>0</v>
      </c>
      <c r="C92" s="10" t="str">
        <f>DATA!D98</f>
        <v>INFRASTRUKTUR</v>
      </c>
      <c r="D92" s="10">
        <f>DATA!E98</f>
        <v>1</v>
      </c>
      <c r="E92" s="10" t="str">
        <f>DATA!F98</f>
        <v>Kementerian Pekerjaan Umum dan Perumahan Rakyat</v>
      </c>
      <c r="F92" s="10" t="str">
        <f>DATA!H98</f>
        <v>Mitigation of Water Hazards Program</v>
      </c>
      <c r="G92" s="10" t="str">
        <f>DATA!I98</f>
        <v>K</v>
      </c>
      <c r="H92" s="10" t="str">
        <f>DATA!J98</f>
        <v>Program Mitigasi Terhadap Daya Rusak Air</v>
      </c>
      <c r="I92" s="10">
        <f>DATA!K98</f>
        <v>1</v>
      </c>
      <c r="J92" s="33"/>
      <c r="K92" s="34"/>
      <c r="L92" s="35"/>
      <c r="M92" s="36">
        <f>DATA!K98</f>
        <v>1</v>
      </c>
      <c r="N92" s="37" t="str">
        <f>DATA!L98</f>
        <v>Lower Solo River Improvement Project - Phase II</v>
      </c>
      <c r="O92" s="20">
        <f>DATA!Q98</f>
        <v>1</v>
      </c>
      <c r="P92" s="20">
        <f>DATA!R98</f>
        <v>1</v>
      </c>
      <c r="Q92" s="20">
        <f>DATA!S98</f>
        <v>68</v>
      </c>
      <c r="R92" s="77">
        <f>DATA!T98</f>
        <v>155836000</v>
      </c>
      <c r="S92" s="77"/>
      <c r="T92" s="77">
        <f>DATA!V98</f>
        <v>22500000</v>
      </c>
      <c r="U92" s="77">
        <f>DATA!W98</f>
        <v>0</v>
      </c>
      <c r="V92" s="77">
        <f>DATA!X98</f>
        <v>178336000</v>
      </c>
      <c r="W92" s="78" t="str">
        <f>DATA!Y98</f>
        <v>JICA</v>
      </c>
      <c r="X92" s="20" t="str">
        <f>DATA!Z98</f>
        <v>Bilateral</v>
      </c>
      <c r="Y92" s="77">
        <f>DATA!AA98</f>
        <v>155836000</v>
      </c>
      <c r="Z92" s="77">
        <f>DATA!AG98</f>
        <v>0</v>
      </c>
      <c r="AA92" s="20">
        <f>DATA!AH98</f>
        <v>2018</v>
      </c>
      <c r="AB92" s="37" t="str">
        <f>DATA!AI98</f>
        <v>-</v>
      </c>
      <c r="AC92" s="152" t="str">
        <f>DATA!AR98</f>
        <v>belum ada dokumen R/C</v>
      </c>
      <c r="AD92" s="152" t="str">
        <f>DATA!AN98</f>
        <v>siap</v>
      </c>
      <c r="AE92" s="152" t="str">
        <f>DATA!AO98</f>
        <v>dalam proses
(perencanaan)</v>
      </c>
      <c r="AF92" s="37" t="str">
        <f>DATA!AJ98</f>
        <v>FS, DED, AMDAL</v>
      </c>
      <c r="AG92" s="37" t="str">
        <f>DATA!AK98</f>
        <v>LARAP</v>
      </c>
      <c r="AH92" s="37" t="str">
        <f>DATA!AL98</f>
        <v>-</v>
      </c>
      <c r="AI92" s="20" t="str">
        <f>DATA!AR98</f>
        <v>belum ada dokumen R/C</v>
      </c>
      <c r="AJ92" s="20" t="str">
        <f>DATA!AN98</f>
        <v>siap</v>
      </c>
      <c r="AK92" s="20" t="str">
        <f>DATA!AO98</f>
        <v>dalam proses
(perencanaan)</v>
      </c>
      <c r="AL92" s="20" t="str">
        <f>DATA!AP98</f>
        <v>belum ada proses tender/lelang</v>
      </c>
      <c r="AM92" s="20" t="str">
        <f>DATA!AY98</f>
        <v>Konfirmasi melalui surat Sekjen nomor KU.01.12-Sj/636 tgl 23 Oktober 2015</v>
      </c>
      <c r="AN92" s="20" t="e">
        <f>DATA!#REF!</f>
        <v>#REF!</v>
      </c>
      <c r="AO92" s="20">
        <f>DATA!AZ98</f>
        <v>0</v>
      </c>
      <c r="AP92" s="152" t="e">
        <f>DATA!#REF!</f>
        <v>#REF!</v>
      </c>
      <c r="AQ92" s="37" t="str">
        <f>DATA!BA98</f>
        <v>Pekerjaan konstruksi dan supervisi pelaksanaan tanggul, parapet wall, pelindung tebing, sluiceway, jembatan, alur sudetan dan bangunan sungai lainnya</v>
      </c>
      <c r="AR92" s="166"/>
    </row>
    <row r="93" spans="1:50" ht="72.75" customHeight="1">
      <c r="A93" s="10">
        <f>DATA!A99</f>
        <v>78</v>
      </c>
      <c r="B93" s="10">
        <f>DATA!B99</f>
        <v>0</v>
      </c>
      <c r="C93" s="10" t="str">
        <f>DATA!D99</f>
        <v>INFRASTRUKTUR</v>
      </c>
      <c r="D93" s="10">
        <f>DATA!E99</f>
        <v>1</v>
      </c>
      <c r="E93" s="10" t="str">
        <f>DATA!F99</f>
        <v>Kementerian Pekerjaan Umum dan Perumahan Rakyat</v>
      </c>
      <c r="F93" s="10" t="str">
        <f>DATA!H99</f>
        <v>Mitigation of Water Hazards Program</v>
      </c>
      <c r="G93" s="10" t="str">
        <f>DATA!I99</f>
        <v>K</v>
      </c>
      <c r="H93" s="10" t="str">
        <f>DATA!J99</f>
        <v>Program Mitigasi Terhadap Daya Rusak Air</v>
      </c>
      <c r="I93" s="10">
        <f>DATA!K99</f>
        <v>2</v>
      </c>
      <c r="J93" s="33"/>
      <c r="K93" s="34"/>
      <c r="L93" s="34"/>
      <c r="M93" s="36">
        <f>DATA!K99</f>
        <v>2</v>
      </c>
      <c r="N93" s="37" t="str">
        <f>DATA!L99</f>
        <v>Comprehensive Countermeasure for Sediment &amp; Flood Problems in South Sulawesi Province</v>
      </c>
      <c r="O93" s="20">
        <f>DATA!Q99</f>
        <v>1</v>
      </c>
      <c r="P93" s="20">
        <f>DATA!R99</f>
        <v>1</v>
      </c>
      <c r="Q93" s="20">
        <f>DATA!S99</f>
        <v>69</v>
      </c>
      <c r="R93" s="77">
        <f>DATA!T99</f>
        <v>108100000</v>
      </c>
      <c r="S93" s="77"/>
      <c r="T93" s="77">
        <f>DATA!V99</f>
        <v>3900000</v>
      </c>
      <c r="U93" s="77">
        <f>DATA!W99</f>
        <v>0</v>
      </c>
      <c r="V93" s="77">
        <f>DATA!X99</f>
        <v>112000000</v>
      </c>
      <c r="W93" s="78" t="str">
        <f>DATA!Y99</f>
        <v>JICA</v>
      </c>
      <c r="X93" s="20" t="str">
        <f>DATA!Z99</f>
        <v>Bilateral</v>
      </c>
      <c r="Y93" s="77">
        <f>DATA!AA99</f>
        <v>108100000</v>
      </c>
      <c r="Z93" s="77">
        <f>DATA!AG99</f>
        <v>0</v>
      </c>
      <c r="AA93" s="20">
        <f>DATA!AH99</f>
        <v>2018</v>
      </c>
      <c r="AB93" s="37" t="str">
        <f>DATA!AI99</f>
        <v>-</v>
      </c>
      <c r="AC93" s="152" t="str">
        <f>DATA!AR99</f>
        <v>belum ada dokumen R/C</v>
      </c>
      <c r="AD93" s="152" t="str">
        <f>DATA!AN99</f>
        <v>dalam proses
(memiliki FS dan DED)</v>
      </c>
      <c r="AE93" s="152" t="str">
        <f>DATA!AO99</f>
        <v>belum ada keterangan</v>
      </c>
      <c r="AF93" s="37" t="str">
        <f>DATA!AJ99</f>
        <v>FS, DED</v>
      </c>
      <c r="AG93" s="37" t="str">
        <f>DATA!AK99</f>
        <v>-</v>
      </c>
      <c r="AH93" s="37" t="str">
        <f>DATA!AL99</f>
        <v>-</v>
      </c>
      <c r="AI93" s="20" t="str">
        <f>DATA!AR99</f>
        <v>belum ada dokumen R/C</v>
      </c>
      <c r="AJ93" s="20" t="str">
        <f>DATA!AN99</f>
        <v>dalam proses
(memiliki FS dan DED)</v>
      </c>
      <c r="AK93" s="20" t="str">
        <f>DATA!AO99</f>
        <v>belum ada keterangan</v>
      </c>
      <c r="AL93" s="20" t="str">
        <f>DATA!AP99</f>
        <v>belum ada proses tender/lelang</v>
      </c>
      <c r="AM93" s="20" t="str">
        <f>DATA!AY99</f>
        <v>Konfirmasi melalui surat Sekjen nomor KU.01.12-Sj/636 tgl 23 Oktober 2015</v>
      </c>
      <c r="AN93" s="20" t="e">
        <f>DATA!#REF!</f>
        <v>#REF!</v>
      </c>
      <c r="AO93" s="20">
        <f>DATA!AZ99</f>
        <v>0</v>
      </c>
      <c r="AP93" s="152" t="e">
        <f>DATA!#REF!</f>
        <v>#REF!</v>
      </c>
      <c r="AQ93" s="37" t="str">
        <f>DATA!BA99</f>
        <v>Rehabilitasi intake waduk bili-bili (1 buah), konstruksi giant sand trap facility (1 buah) di ujung waduk bili-bili dan konstruksi bangunan pengendali sedimen di luar kaldera untuk antisipasi potensi runtuhan lanjutan Bawakaraeng</v>
      </c>
      <c r="AR93" s="166"/>
    </row>
    <row r="94" spans="1:50" ht="38.25">
      <c r="A94" s="10">
        <f>DATA!A100</f>
        <v>79</v>
      </c>
      <c r="B94" s="10">
        <f>DATA!B100</f>
        <v>0</v>
      </c>
      <c r="C94" s="10" t="str">
        <f>DATA!D100</f>
        <v>INFRASTRUKTUR</v>
      </c>
      <c r="D94" s="10">
        <f>DATA!E100</f>
        <v>1</v>
      </c>
      <c r="E94" s="10" t="str">
        <f>DATA!F100</f>
        <v>Kementerian Pekerjaan Umum dan Perumahan Rakyat</v>
      </c>
      <c r="F94" s="10" t="str">
        <f>DATA!H100</f>
        <v>Mitigation of Water Hazards Program</v>
      </c>
      <c r="G94" s="10" t="str">
        <f>DATA!I100</f>
        <v>K</v>
      </c>
      <c r="H94" s="10" t="str">
        <f>DATA!J100</f>
        <v>Program Mitigasi Terhadap Daya Rusak Air</v>
      </c>
      <c r="I94" s="10">
        <f>DATA!K100</f>
        <v>3</v>
      </c>
      <c r="J94" s="33"/>
      <c r="K94" s="34"/>
      <c r="L94" s="34"/>
      <c r="M94" s="36">
        <f>DATA!K100</f>
        <v>3</v>
      </c>
      <c r="N94" s="37" t="str">
        <f>DATA!L100</f>
        <v>Bali Beach Conservation Project - Phase II</v>
      </c>
      <c r="O94" s="20">
        <f>DATA!Q100</f>
        <v>1</v>
      </c>
      <c r="P94" s="20">
        <f>DATA!R100</f>
        <v>1</v>
      </c>
      <c r="Q94" s="20">
        <f>DATA!S100</f>
        <v>70</v>
      </c>
      <c r="R94" s="77">
        <f>DATA!T100</f>
        <v>150000000</v>
      </c>
      <c r="S94" s="77"/>
      <c r="T94" s="77">
        <f>DATA!V100</f>
        <v>15000000</v>
      </c>
      <c r="U94" s="77">
        <f>DATA!W100</f>
        <v>0</v>
      </c>
      <c r="V94" s="77">
        <f>DATA!X100</f>
        <v>165000000</v>
      </c>
      <c r="W94" s="78" t="str">
        <f>DATA!Y100</f>
        <v>JICA</v>
      </c>
      <c r="X94" s="20" t="str">
        <f>DATA!Z100</f>
        <v>Bilateral</v>
      </c>
      <c r="Y94" s="77">
        <f>DATA!AA100</f>
        <v>150000000</v>
      </c>
      <c r="Z94" s="77">
        <f>DATA!AG100</f>
        <v>0</v>
      </c>
      <c r="AA94" s="20">
        <f>DATA!AH100</f>
        <v>2017</v>
      </c>
      <c r="AB94" s="37" t="str">
        <f>DATA!AI100</f>
        <v>-</v>
      </c>
      <c r="AC94" s="152" t="str">
        <f>DATA!AR100</f>
        <v>Nilai pinjaman di GB USD 90.247 ribu</v>
      </c>
      <c r="AD94" s="152" t="str">
        <f>DATA!AN100</f>
        <v>dalam proses
(memiliki FS)</v>
      </c>
      <c r="AE94" s="152" t="str">
        <f>DATA!AO100</f>
        <v>belum ada keterangan</v>
      </c>
      <c r="AF94" s="37" t="str">
        <f>DATA!AJ100</f>
        <v>FS</v>
      </c>
      <c r="AG94" s="37" t="str">
        <f>DATA!AK100</f>
        <v>-</v>
      </c>
      <c r="AH94" s="37" t="str">
        <f>DATA!AL100</f>
        <v>-</v>
      </c>
      <c r="AI94" s="20" t="str">
        <f>DATA!AR100</f>
        <v>Nilai pinjaman di GB USD 90.247 ribu</v>
      </c>
      <c r="AJ94" s="20" t="str">
        <f>DATA!AN100</f>
        <v>dalam proses
(memiliki FS)</v>
      </c>
      <c r="AK94" s="20" t="str">
        <f>DATA!AO100</f>
        <v>belum ada keterangan</v>
      </c>
      <c r="AL94" s="20" t="str">
        <f>DATA!AP100</f>
        <v>belum ada proses tender/lelang</v>
      </c>
      <c r="AM94" s="20" t="str">
        <f>DATA!AY100</f>
        <v>- Konfirmasi melalui surat Sekjen nomor KU.01.12-Sj/636 tgl 23 Oktober 2015
- MoD Fact Finding belum dapat ditandatangani dan ditentukan kemudian</v>
      </c>
      <c r="AN94" s="20" t="e">
        <f>DATA!#REF!</f>
        <v>#REF!</v>
      </c>
      <c r="AO94" s="20">
        <f>DATA!AZ100</f>
        <v>0</v>
      </c>
      <c r="AP94" s="152" t="e">
        <f>DATA!#REF!</f>
        <v>#REF!</v>
      </c>
      <c r="AQ94" s="37" t="str">
        <f>DATA!BA100</f>
        <v>Pengamanan dan konservasi pantai timur bali (sanur utara ~ candidasa) dan Pantai Kuta Utara – Legian – Seminyak dan Canggu</v>
      </c>
      <c r="AR94" s="166"/>
    </row>
    <row r="95" spans="1:50" ht="33" customHeight="1">
      <c r="A95" s="10">
        <f>DATA!A101</f>
        <v>80</v>
      </c>
      <c r="B95" s="10">
        <f>DATA!B101</f>
        <v>0</v>
      </c>
      <c r="C95" s="10" t="str">
        <f>DATA!D101</f>
        <v>INFRASTRUKTUR</v>
      </c>
      <c r="D95" s="10">
        <f>DATA!E101</f>
        <v>1</v>
      </c>
      <c r="E95" s="10" t="str">
        <f>DATA!F101</f>
        <v>Kementerian Pekerjaan Umum dan Perumahan Rakyat</v>
      </c>
      <c r="F95" s="10" t="str">
        <f>DATA!H101</f>
        <v>Mitigation of Water Hazards Program</v>
      </c>
      <c r="G95" s="10" t="str">
        <f>DATA!I101</f>
        <v>K</v>
      </c>
      <c r="H95" s="10" t="str">
        <f>DATA!J101</f>
        <v>Program Mitigasi Terhadap Daya Rusak Air</v>
      </c>
      <c r="I95" s="10">
        <f>DATA!K101</f>
        <v>4</v>
      </c>
      <c r="J95" s="33"/>
      <c r="K95" s="34"/>
      <c r="L95" s="34"/>
      <c r="M95" s="36">
        <f>DATA!K101</f>
        <v>4</v>
      </c>
      <c r="N95" s="37" t="str">
        <f>DATA!L101</f>
        <v xml:space="preserve">Urgent Disaster Reduction of Mt. Sinabung, Mt. Semeru, Mt. Kelud Mt. Lokon, and Mt. Gamalama </v>
      </c>
      <c r="O95" s="20">
        <f>DATA!Q101</f>
        <v>1</v>
      </c>
      <c r="P95" s="20">
        <f>DATA!R101</f>
        <v>1</v>
      </c>
      <c r="Q95" s="20">
        <f>DATA!S101</f>
        <v>71</v>
      </c>
      <c r="R95" s="77">
        <f>DATA!T101</f>
        <v>260000000</v>
      </c>
      <c r="S95" s="77"/>
      <c r="T95" s="77">
        <f>DATA!V101</f>
        <v>26000000</v>
      </c>
      <c r="U95" s="77">
        <f>DATA!W101</f>
        <v>0</v>
      </c>
      <c r="V95" s="77">
        <f>DATA!X101</f>
        <v>286000000</v>
      </c>
      <c r="W95" s="78" t="str">
        <f>DATA!Y101</f>
        <v>JICA</v>
      </c>
      <c r="X95" s="20" t="str">
        <f>DATA!Z101</f>
        <v>Bilateral</v>
      </c>
      <c r="Y95" s="77">
        <f>DATA!AA101</f>
        <v>260000000</v>
      </c>
      <c r="Z95" s="77">
        <f>DATA!AG101</f>
        <v>0</v>
      </c>
      <c r="AA95" s="20">
        <f>DATA!AH101</f>
        <v>2017</v>
      </c>
      <c r="AB95" s="37" t="str">
        <f>DATA!AI101</f>
        <v>-</v>
      </c>
      <c r="AC95" s="152" t="str">
        <f>DATA!AR101</f>
        <v>belum ada dokumen R/C</v>
      </c>
      <c r="AD95" s="152" t="str">
        <f>DATA!AN101</f>
        <v>siap</v>
      </c>
      <c r="AE95" s="152" t="str">
        <f>DATA!AO101</f>
        <v>dalam proses
(persiapan)</v>
      </c>
      <c r="AF95" s="37" t="str">
        <f>DATA!AJ101</f>
        <v>FS, DED, AMDAL</v>
      </c>
      <c r="AG95" s="37" t="str">
        <f>DATA!AK101</f>
        <v>LARAP</v>
      </c>
      <c r="AH95" s="37" t="str">
        <f>DATA!AL101</f>
        <v>-</v>
      </c>
      <c r="AI95" s="20" t="str">
        <f>DATA!AR101</f>
        <v>belum ada dokumen R/C</v>
      </c>
      <c r="AJ95" s="20" t="str">
        <f>DATA!AN101</f>
        <v>siap</v>
      </c>
      <c r="AK95" s="20" t="str">
        <f>DATA!AO101</f>
        <v>dalam proses
(persiapan)</v>
      </c>
      <c r="AL95" s="20" t="str">
        <f>DATA!AP101</f>
        <v>belum ada proses tender/lelang</v>
      </c>
      <c r="AM95" s="20" t="str">
        <f>DATA!AY101</f>
        <v>Konfirmasi melalui surat Sekjen nomor KU.01.12-Sj/636 tgl 23 Oktober 2015</v>
      </c>
      <c r="AN95" s="20" t="e">
        <f>DATA!#REF!</f>
        <v>#REF!</v>
      </c>
      <c r="AO95" s="20">
        <f>DATA!AZ101</f>
        <v>0</v>
      </c>
      <c r="AP95" s="152" t="e">
        <f>DATA!#REF!</f>
        <v>#REF!</v>
      </c>
      <c r="AQ95" s="37" t="str">
        <f>DATA!BA101</f>
        <v>Tersedianya fasilitas Sabo dan bangunan pengontrol sedimen lainnya.</v>
      </c>
      <c r="AR95" s="166"/>
    </row>
    <row r="96" spans="1:50" ht="53.25" customHeight="1">
      <c r="A96" s="10">
        <f>DATA!A102</f>
        <v>81</v>
      </c>
      <c r="B96" s="10">
        <f>DATA!B102</f>
        <v>0</v>
      </c>
      <c r="C96" s="10" t="str">
        <f>DATA!D102</f>
        <v>INFRASTRUKTUR</v>
      </c>
      <c r="D96" s="10">
        <f>DATA!E102</f>
        <v>1</v>
      </c>
      <c r="E96" s="10" t="str">
        <f>DATA!F102</f>
        <v>Kementerian Pekerjaan Umum dan Perumahan Rakyat</v>
      </c>
      <c r="F96" s="10" t="str">
        <f>DATA!H102</f>
        <v>Mitigation of Water Hazards Program</v>
      </c>
      <c r="G96" s="10" t="str">
        <f>DATA!I102</f>
        <v>K</v>
      </c>
      <c r="H96" s="10" t="str">
        <f>DATA!J102</f>
        <v>Program Mitigasi Terhadap Daya Rusak Air</v>
      </c>
      <c r="I96" s="10">
        <f>DATA!K102</f>
        <v>5</v>
      </c>
      <c r="J96" s="33"/>
      <c r="K96" s="34"/>
      <c r="L96" s="34"/>
      <c r="M96" s="36">
        <f>DATA!K102</f>
        <v>5</v>
      </c>
      <c r="N96" s="37" t="str">
        <f>DATA!L102</f>
        <v xml:space="preserve">Urban Flood Control System Improvement in Selected Cities -Phase II  </v>
      </c>
      <c r="O96" s="20">
        <f>DATA!Q102</f>
        <v>1</v>
      </c>
      <c r="P96" s="20">
        <f>DATA!R102</f>
        <v>1</v>
      </c>
      <c r="Q96" s="20">
        <f>DATA!S102</f>
        <v>72</v>
      </c>
      <c r="R96" s="77">
        <f>DATA!T102</f>
        <v>120000000</v>
      </c>
      <c r="S96" s="77"/>
      <c r="T96" s="77">
        <f>DATA!V102</f>
        <v>12000000</v>
      </c>
      <c r="U96" s="77">
        <f>DATA!W102</f>
        <v>0</v>
      </c>
      <c r="V96" s="77">
        <f>DATA!X102</f>
        <v>132000000</v>
      </c>
      <c r="W96" s="78" t="str">
        <f>DATA!Y102</f>
        <v>JICA</v>
      </c>
      <c r="X96" s="20" t="str">
        <f>DATA!Z102</f>
        <v>Bilateral</v>
      </c>
      <c r="Y96" s="77">
        <f>DATA!AA102</f>
        <v>120000000</v>
      </c>
      <c r="Z96" s="77">
        <f>DATA!AG102</f>
        <v>0</v>
      </c>
      <c r="AA96" s="20">
        <f>DATA!AH102</f>
        <v>2018</v>
      </c>
      <c r="AB96" s="37" t="str">
        <f>DATA!AI102</f>
        <v>-</v>
      </c>
      <c r="AC96" s="152" t="str">
        <f>DATA!AR102</f>
        <v>belum ada dokumen R/C</v>
      </c>
      <c r="AD96" s="152" t="str">
        <f>DATA!AN102</f>
        <v>siap</v>
      </c>
      <c r="AE96" s="152" t="str">
        <f>DATA!AO102</f>
        <v>dalam proses
(perencanaan)</v>
      </c>
      <c r="AF96" s="37" t="str">
        <f>DATA!AJ102</f>
        <v>FS, DED, AMDAL</v>
      </c>
      <c r="AG96" s="37" t="str">
        <f>DATA!AK102</f>
        <v>LARAP</v>
      </c>
      <c r="AH96" s="37" t="str">
        <f>DATA!AL102</f>
        <v>-</v>
      </c>
      <c r="AI96" s="20" t="str">
        <f>DATA!AR102</f>
        <v>belum ada dokumen R/C</v>
      </c>
      <c r="AJ96" s="20" t="str">
        <f>DATA!AN102</f>
        <v>siap</v>
      </c>
      <c r="AK96" s="20" t="str">
        <f>DATA!AO102</f>
        <v>dalam proses
(perencanaan)</v>
      </c>
      <c r="AL96" s="20" t="str">
        <f>DATA!AP102</f>
        <v>belum ada proses tender/lelang</v>
      </c>
      <c r="AM96" s="20" t="str">
        <f>DATA!AY102</f>
        <v>Konfirmasi melalui surat Sekjen nomor KU.01.12-Sj/636 tgl 23 Oktober 2015</v>
      </c>
      <c r="AN96" s="20" t="e">
        <f>DATA!#REF!</f>
        <v>#REF!</v>
      </c>
      <c r="AO96" s="20">
        <f>DATA!AZ102</f>
        <v>0</v>
      </c>
      <c r="AP96" s="152" t="e">
        <f>DATA!#REF!</f>
        <v>#REF!</v>
      </c>
      <c r="AQ96" s="37" t="str">
        <f>DATA!BA102</f>
        <v>Meningkatkan kapasitas sistem sungai dengan total panjang 4.35 km dan drainase di kota-kota untuk mengalirkan air hujan dengan pembangunan tanggul 6,5 Km</v>
      </c>
      <c r="AR96" s="166"/>
    </row>
    <row r="97" spans="1:48" ht="46.5" customHeight="1">
      <c r="A97" s="10">
        <f>DATA!A104</f>
        <v>0</v>
      </c>
      <c r="B97" s="10">
        <f>DATA!B104</f>
        <v>0</v>
      </c>
      <c r="C97" s="10" t="str">
        <f>DATA!D104</f>
        <v>INFRASTRUKTUR</v>
      </c>
      <c r="D97" s="10">
        <f>DATA!E104</f>
        <v>1</v>
      </c>
      <c r="E97" s="10" t="str">
        <f>DATA!F104</f>
        <v>Kementerian Pekerjaan Umum dan Perumahan Rakyat</v>
      </c>
      <c r="F97" s="10" t="str">
        <f>DATA!H104</f>
        <v>Mitigation of Water Hazards Program</v>
      </c>
      <c r="G97" s="10" t="str">
        <f>DATA!I104</f>
        <v>K</v>
      </c>
      <c r="H97" s="10" t="str">
        <f>DATA!J104</f>
        <v>Program Mitigasi Terhadap Daya Rusak Air</v>
      </c>
      <c r="I97" s="10">
        <f>DATA!K104</f>
        <v>6</v>
      </c>
      <c r="J97" s="33"/>
      <c r="K97" s="34"/>
      <c r="L97" s="34"/>
      <c r="M97" s="36">
        <f>DATA!K104</f>
        <v>6</v>
      </c>
      <c r="N97" s="37" t="str">
        <f>DATA!L104</f>
        <v>Engineering Service for Coastal and River Development Project</v>
      </c>
      <c r="O97" s="20">
        <f>DATA!Q104</f>
        <v>1</v>
      </c>
      <c r="P97" s="20">
        <f>DATA!R104</f>
        <v>1</v>
      </c>
      <c r="Q97" s="20">
        <f>DATA!S104</f>
        <v>73</v>
      </c>
      <c r="R97" s="77">
        <f>DATA!T104</f>
        <v>50000000</v>
      </c>
      <c r="S97" s="77"/>
      <c r="T97" s="77">
        <f>DATA!V104</f>
        <v>0</v>
      </c>
      <c r="U97" s="77">
        <f>DATA!W104</f>
        <v>0</v>
      </c>
      <c r="V97" s="77">
        <f>DATA!X104</f>
        <v>50000000</v>
      </c>
      <c r="W97" s="78" t="str">
        <f>DATA!Y104</f>
        <v>ADB</v>
      </c>
      <c r="X97" s="20" t="str">
        <f>DATA!Z104</f>
        <v>Multilateral</v>
      </c>
      <c r="Y97" s="77">
        <f>DATA!AA104</f>
        <v>9620000</v>
      </c>
      <c r="Z97" s="77">
        <f>DATA!AG104</f>
        <v>0</v>
      </c>
      <c r="AA97" s="20">
        <f>DATA!AH104</f>
        <v>2016</v>
      </c>
      <c r="AB97" s="37" t="str">
        <f>DATA!AI104</f>
        <v>- Sudah ada RC
- Green Book 2016</v>
      </c>
      <c r="AC97" s="152" t="str">
        <f>DATA!AM104</f>
        <v>2016; 2015</v>
      </c>
      <c r="AD97" s="152" t="str">
        <f>DATA!AN104</f>
        <v>siap</v>
      </c>
      <c r="AE97" s="152" t="str">
        <f>DATA!AO104</f>
        <v>tidak butuh lahan</v>
      </c>
      <c r="AF97" s="37" t="str">
        <f>DATA!AJ104</f>
        <v>FS, DED</v>
      </c>
      <c r="AG97" s="37" t="str">
        <f>DATA!AK104</f>
        <v>Tidak membutuhkan lahan</v>
      </c>
      <c r="AH97" s="37" t="str">
        <f>DATA!AL104</f>
        <v>Belum ada tender/lelang</v>
      </c>
      <c r="AI97" s="20" t="str">
        <f>DATA!AM104</f>
        <v>2016; 2015</v>
      </c>
      <c r="AJ97" s="20" t="str">
        <f>DATA!AN104</f>
        <v>siap</v>
      </c>
      <c r="AK97" s="20" t="str">
        <f>DATA!AO104</f>
        <v>tidak butuh lahan</v>
      </c>
      <c r="AL97" s="20" t="str">
        <f>DATA!AP104</f>
        <v>belum ada proses tender/lelang</v>
      </c>
      <c r="AM97"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N97" s="20" t="e">
        <f>DATA!#REF!</f>
        <v>#REF!</v>
      </c>
      <c r="AO97" s="20">
        <f>DATA!AZ104</f>
        <v>0</v>
      </c>
      <c r="AP97" s="152" t="e">
        <f>DATA!#REF!</f>
        <v>#REF!</v>
      </c>
      <c r="AQ97" s="37" t="str">
        <f>DATA!BA104</f>
        <v>Analisis rencana teknis pembangunan infrastruktur sungai di 33 balai wilayah sungai  dan pantai beserta fasilitasnya, O&amp;P dan pengadaan barang dan jasa</v>
      </c>
      <c r="AR97" s="166"/>
    </row>
    <row r="98" spans="1:48" ht="49.5" customHeight="1">
      <c r="A98" s="10">
        <f>DATA!A107</f>
        <v>80</v>
      </c>
      <c r="B98" s="10">
        <f>DATA!B107</f>
        <v>0</v>
      </c>
      <c r="C98" s="10" t="str">
        <f>DATA!D107</f>
        <v>INFRASTRUKTUR</v>
      </c>
      <c r="D98" s="10">
        <f>DATA!E107</f>
        <v>1</v>
      </c>
      <c r="E98" s="10" t="str">
        <f>DATA!F107</f>
        <v>Kementerian Pekerjaan Umum dan Perumahan Rakyat</v>
      </c>
      <c r="F98" s="10" t="str">
        <f>DATA!H107</f>
        <v>Mitigation of Water Hazards Program</v>
      </c>
      <c r="G98" s="10" t="str">
        <f>DATA!I107</f>
        <v>K</v>
      </c>
      <c r="H98" s="10" t="str">
        <f>DATA!J107</f>
        <v>Program Mitigasi Terhadap Daya Rusak Air</v>
      </c>
      <c r="I98" s="10">
        <f>DATA!K107</f>
        <v>7</v>
      </c>
      <c r="J98" s="33"/>
      <c r="K98" s="34"/>
      <c r="L98" s="34"/>
      <c r="M98" s="36">
        <f>DATA!K107</f>
        <v>7</v>
      </c>
      <c r="N98" s="37" t="str">
        <f>DATA!L107</f>
        <v>Flood Management in Selected River Basins:</v>
      </c>
      <c r="O98" s="20">
        <f>DATA!Q107</f>
        <v>0</v>
      </c>
      <c r="P98" s="20">
        <f>DATA!R107</f>
        <v>0</v>
      </c>
      <c r="Q98" s="20">
        <f>DATA!S107</f>
        <v>0</v>
      </c>
      <c r="R98" s="77">
        <f>DATA!T107</f>
        <v>308700000</v>
      </c>
      <c r="S98" s="77"/>
      <c r="T98" s="77">
        <f>DATA!V107</f>
        <v>70440000</v>
      </c>
      <c r="U98" s="77">
        <f>DATA!W107</f>
        <v>0</v>
      </c>
      <c r="V98" s="77">
        <f>DATA!X107</f>
        <v>379140000</v>
      </c>
      <c r="W98" s="78" t="str">
        <f>DATA!Y107</f>
        <v>-</v>
      </c>
      <c r="X98" s="20">
        <f>DATA!Z107</f>
        <v>0</v>
      </c>
      <c r="Y98" s="77">
        <f>DATA!AA107</f>
        <v>308700000</v>
      </c>
      <c r="Z98" s="77">
        <f>DATA!AG107</f>
        <v>0</v>
      </c>
      <c r="AA98" s="20" t="str">
        <f>DATA!AH107</f>
        <v>-</v>
      </c>
      <c r="AB98" s="37" t="str">
        <f>DATA!AI107</f>
        <v>-</v>
      </c>
      <c r="AC98" s="152" t="str">
        <f>DATA!AM107</f>
        <v>-</v>
      </c>
      <c r="AD98" s="152">
        <f>DATA!AN107</f>
        <v>0</v>
      </c>
      <c r="AE98" s="152" t="str">
        <f>DATA!AO107</f>
        <v>-</v>
      </c>
      <c r="AF98" s="37" t="str">
        <f>DATA!AJ107</f>
        <v>-</v>
      </c>
      <c r="AG98" s="37" t="str">
        <f>DATA!AK107</f>
        <v>-</v>
      </c>
      <c r="AH98" s="37" t="str">
        <f>DATA!AL107</f>
        <v>-</v>
      </c>
      <c r="AI98" s="20" t="str">
        <f>DATA!AM107</f>
        <v>-</v>
      </c>
      <c r="AJ98" s="20">
        <f>DATA!AN107</f>
        <v>0</v>
      </c>
      <c r="AK98" s="20" t="str">
        <f>DATA!AO107</f>
        <v>-</v>
      </c>
      <c r="AL98" s="20">
        <f>DATA!AP107</f>
        <v>0</v>
      </c>
      <c r="AM98" s="20" t="str">
        <f>DATA!AY107</f>
        <v>Konfirmasi melalui surat Sekjen nomor KU.01.12-Sj/636 tgl 23 Oktober 2015</v>
      </c>
      <c r="AN98" s="20" t="e">
        <f>DATA!#REF!</f>
        <v>#REF!</v>
      </c>
      <c r="AO98" s="20">
        <f>DATA!AZ107</f>
        <v>0</v>
      </c>
      <c r="AP98" s="152" t="e">
        <f>DATA!#REF!</f>
        <v>#REF!</v>
      </c>
      <c r="AQ98" s="37" t="str">
        <f>DATA!BA107</f>
        <v>Meningkatkan kesiapan untuk mengelola dan memitigasi banjir melalui pendekatan pengelolaan banjir terpadu di DAS terpilih yang tersebar di seluruh Indonesia</v>
      </c>
      <c r="AR98" s="166"/>
    </row>
    <row r="99" spans="1:48" s="7" customFormat="1" ht="38.25">
      <c r="A99" s="6">
        <f>DATA!A108</f>
        <v>83</v>
      </c>
      <c r="B99" s="6">
        <f>DATA!B108</f>
        <v>0</v>
      </c>
      <c r="C99" s="6" t="str">
        <f>DATA!D108</f>
        <v>INFRASTRUKTUR</v>
      </c>
      <c r="D99" s="6">
        <f>DATA!E108</f>
        <v>1</v>
      </c>
      <c r="E99" s="6" t="str">
        <f>DATA!F108</f>
        <v>Kementerian Pekerjaan Umum dan Perumahan Rakyat</v>
      </c>
      <c r="F99" s="6" t="str">
        <f>DATA!H108</f>
        <v>Mitigation of Water Hazards Program</v>
      </c>
      <c r="G99" s="6" t="str">
        <f>DATA!I108</f>
        <v>K</v>
      </c>
      <c r="H99" s="6" t="str">
        <f>DATA!J108</f>
        <v>Program Mitigasi Terhadap Daya Rusak Air</v>
      </c>
      <c r="I99" s="6">
        <f>DATA!K108</f>
        <v>7</v>
      </c>
      <c r="J99" s="44"/>
      <c r="K99" s="45"/>
      <c r="L99" s="45"/>
      <c r="M99" s="46"/>
      <c r="N99" s="68" t="str">
        <f>DATA!L108</f>
        <v>Flood Management in Selected River Basins Sector Project (Additional Financing)</v>
      </c>
      <c r="O99" s="42">
        <f>DATA!Q108</f>
        <v>1</v>
      </c>
      <c r="P99" s="42">
        <f>DATA!R108</f>
        <v>1</v>
      </c>
      <c r="Q99" s="42">
        <f>DATA!S108</f>
        <v>74</v>
      </c>
      <c r="R99" s="85">
        <f>DATA!T108</f>
        <v>200000000</v>
      </c>
      <c r="S99" s="85"/>
      <c r="T99" s="85">
        <f>DATA!V108</f>
        <v>20000000</v>
      </c>
      <c r="U99" s="85">
        <f>DATA!W108</f>
        <v>0</v>
      </c>
      <c r="V99" s="85">
        <f>DATA!X108</f>
        <v>220000000</v>
      </c>
      <c r="W99" s="86" t="str">
        <f>DATA!Y108</f>
        <v>Belum Ada Indikasi</v>
      </c>
      <c r="X99" s="42" t="str">
        <f>DATA!Z108</f>
        <v>Multilateral</v>
      </c>
      <c r="Y99" s="85">
        <f>DATA!AA108</f>
        <v>200000000</v>
      </c>
      <c r="Z99" s="83">
        <f>DATA!AG108</f>
        <v>0</v>
      </c>
      <c r="AA99" s="98" t="str">
        <f>DATA!AH108</f>
        <v>Tanpa keterangan</v>
      </c>
      <c r="AB99" s="68" t="str">
        <f>DATA!AI108</f>
        <v>-</v>
      </c>
      <c r="AC99" s="152" t="str">
        <f>DATA!AR108</f>
        <v>belum ada dokumen R/C</v>
      </c>
      <c r="AD99" s="152" t="str">
        <f>DATA!AN108</f>
        <v>belum ada keterangan</v>
      </c>
      <c r="AE99" s="152" t="str">
        <f>DATA!AO108</f>
        <v>belum ada keterangan</v>
      </c>
      <c r="AF99" s="68" t="str">
        <f>DATA!AJ108</f>
        <v>-</v>
      </c>
      <c r="AG99" s="68" t="str">
        <f>DATA!AK108</f>
        <v>-</v>
      </c>
      <c r="AH99" s="68" t="str">
        <f>DATA!AL108</f>
        <v>-</v>
      </c>
      <c r="AI99" s="42" t="str">
        <f>DATA!AR108</f>
        <v>belum ada dokumen R/C</v>
      </c>
      <c r="AJ99" s="42" t="str">
        <f>DATA!AN108</f>
        <v>belum ada keterangan</v>
      </c>
      <c r="AK99" s="42" t="str">
        <f>DATA!AO108</f>
        <v>belum ada keterangan</v>
      </c>
      <c r="AL99" s="42" t="str">
        <f>DATA!AP108</f>
        <v>belum ada proses tender/lelang</v>
      </c>
      <c r="AM99" s="42" t="str">
        <f>DATA!AY108</f>
        <v>Konfirmasi melalui surat Sekjen nomor KU.01.12-Sj/636 tgl 23 Oktober 2015</v>
      </c>
      <c r="AN99" s="42" t="e">
        <f>DATA!#REF!</f>
        <v>#REF!</v>
      </c>
      <c r="AO99" s="42" t="str">
        <f>DATA!AZ108</f>
        <v>untuk wilayah Banten</v>
      </c>
      <c r="AP99" s="161" t="e">
        <f>DATA!#REF!</f>
        <v>#REF!</v>
      </c>
      <c r="AQ99" s="67" t="str">
        <f>DATA!BA108</f>
        <v>Meningkatkan kesiapan untuk mengelola dan memitigasi banjir melalui pendekatan pengelolaan banjir terpadu di DAS terpilih</v>
      </c>
      <c r="AR99" s="164">
        <v>1</v>
      </c>
      <c r="AV99" s="7">
        <v>1</v>
      </c>
    </row>
    <row r="100" spans="1:48" s="6" customFormat="1" ht="87" customHeight="1">
      <c r="A100" s="6">
        <f>DATA!A109</f>
        <v>84</v>
      </c>
      <c r="B100" s="6">
        <f>DATA!B109</f>
        <v>0</v>
      </c>
      <c r="C100" s="6" t="str">
        <f>DATA!D109</f>
        <v>INFRASTRUKTUR</v>
      </c>
      <c r="D100" s="6">
        <f>DATA!E109</f>
        <v>1</v>
      </c>
      <c r="E100" s="6" t="str">
        <f>DATA!F109</f>
        <v>Kementerian Pekerjaan Umum dan Perumahan Rakyat</v>
      </c>
      <c r="F100" s="6" t="str">
        <f>DATA!H109</f>
        <v>Mitigation of Water Hazards Program</v>
      </c>
      <c r="G100" s="6" t="str">
        <f>DATA!I109</f>
        <v>K</v>
      </c>
      <c r="H100" s="6" t="str">
        <f>DATA!J109</f>
        <v>Program Mitigasi Terhadap Daya Rusak Air</v>
      </c>
      <c r="I100" s="6">
        <f>DATA!K109</f>
        <v>7</v>
      </c>
      <c r="J100" s="38"/>
      <c r="K100" s="39"/>
      <c r="L100" s="71"/>
      <c r="M100" s="72"/>
      <c r="N100" s="67" t="str">
        <f>DATA!L109</f>
        <v>Flood Management in Selected River Basins</v>
      </c>
      <c r="O100" s="42">
        <f>DATA!Q109</f>
        <v>1</v>
      </c>
      <c r="P100" s="42">
        <f>DATA!R109</f>
        <v>1</v>
      </c>
      <c r="Q100" s="42">
        <f>DATA!S109</f>
        <v>75</v>
      </c>
      <c r="R100" s="83">
        <f>DATA!T109</f>
        <v>108700000</v>
      </c>
      <c r="S100" s="83"/>
      <c r="T100" s="83">
        <f>DATA!V109</f>
        <v>50440000</v>
      </c>
      <c r="U100" s="83">
        <f>DATA!W109</f>
        <v>0</v>
      </c>
      <c r="V100" s="83">
        <f>DATA!X109</f>
        <v>159140000</v>
      </c>
      <c r="W100" s="84" t="str">
        <f>DATA!Y109</f>
        <v>ADB</v>
      </c>
      <c r="X100" s="42" t="str">
        <f>DATA!Z109</f>
        <v>Multilateral</v>
      </c>
      <c r="Y100" s="83">
        <f>DATA!AA109</f>
        <v>108700000</v>
      </c>
      <c r="Z100" s="83">
        <f>DATA!AG109</f>
        <v>0</v>
      </c>
      <c r="AA100" s="42" t="str">
        <f>DATA!AH109</f>
        <v>Tanpa keterangan</v>
      </c>
      <c r="AB100" s="67" t="str">
        <f>DATA!AI109</f>
        <v>- Sudah ada RC
- Green Book 2015</v>
      </c>
      <c r="AC100" s="152" t="str">
        <f>DATA!AR109</f>
        <v>-</v>
      </c>
      <c r="AD100" s="152" t="str">
        <f>DATA!AN109</f>
        <v>dalam proses
(memiliki FS dan DED)</v>
      </c>
      <c r="AE100" s="152" t="str">
        <f>DATA!AO109</f>
        <v>dalam proses
(persiapan)</v>
      </c>
      <c r="AF100" s="67" t="str">
        <f>DATA!AJ109</f>
        <v>FS, DED</v>
      </c>
      <c r="AG100" s="67" t="str">
        <f>DATA!AK109</f>
        <v>- Penetapan lokasi dengan SK Gubernur Banten dan Gubernur Maluku
- Izin AMDAL dengan SK Walikota Ambon</v>
      </c>
      <c r="AH100" s="67" t="str">
        <f>DATA!AL109</f>
        <v>Belum ada tender/lelang</v>
      </c>
      <c r="AI100" s="42" t="str">
        <f>DATA!AR109</f>
        <v>-</v>
      </c>
      <c r="AJ100" s="42" t="str">
        <f>DATA!AN109</f>
        <v>dalam proses
(memiliki FS dan DED)</v>
      </c>
      <c r="AK100" s="42" t="str">
        <f>DATA!AO109</f>
        <v>dalam proses
(persiapan)</v>
      </c>
      <c r="AL100" s="42" t="str">
        <f>DATA!AP109</f>
        <v>belum ada proses tender/lelang</v>
      </c>
      <c r="AM100" s="42" t="str">
        <f>DATA!AY109</f>
        <v>Konfirmasi melalui surat Sekjen nomor KU.01.12-Sj/636 tgl 23 Oktober 2015</v>
      </c>
      <c r="AN100" s="42" t="e">
        <f>DATA!#REF!</f>
        <v>#REF!</v>
      </c>
      <c r="AO100" s="42" t="str">
        <f>DATA!AZ109</f>
        <v>Ambon appraisal MoU 2015</v>
      </c>
      <c r="AP100" s="152" t="e">
        <f>DATA!#REF!</f>
        <v>#REF!</v>
      </c>
      <c r="AQ100" s="67" t="str">
        <f>DATA!BA109</f>
        <v>Meningkatkan kesiapan untuk mengelola dan memitigasi banjir melalui pendekatan pengelolaan banjir terpadu di DAS Ciujung, DAS Batu Merah, dan DAS Way Ruhu</v>
      </c>
      <c r="AR100" s="165"/>
    </row>
    <row r="101" spans="1:48" s="5" customFormat="1" ht="33.75" customHeight="1">
      <c r="J101" s="28"/>
      <c r="K101" s="50"/>
      <c r="L101" s="30" t="str">
        <f>DATA!I110</f>
        <v>L</v>
      </c>
      <c r="M101" s="31" t="str">
        <f>DATA!J110</f>
        <v xml:space="preserve">Program Pengelolaan Infrastruktur Sumber Daya Air </v>
      </c>
      <c r="N101" s="51"/>
      <c r="O101" s="31"/>
      <c r="P101" s="31"/>
      <c r="Q101" s="31"/>
      <c r="R101" s="81">
        <f>+R102+R103+R104</f>
        <v>650000000</v>
      </c>
      <c r="S101" s="81"/>
      <c r="T101" s="81">
        <f t="shared" ref="T101:Z101" si="6">+T102+T103+T104</f>
        <v>130000000</v>
      </c>
      <c r="U101" s="81">
        <f t="shared" si="6"/>
        <v>0</v>
      </c>
      <c r="V101" s="81">
        <f t="shared" si="6"/>
        <v>780000000</v>
      </c>
      <c r="W101" s="149"/>
      <c r="X101" s="81" t="e">
        <f t="shared" si="6"/>
        <v>#VALUE!</v>
      </c>
      <c r="Y101" s="81">
        <f t="shared" si="6"/>
        <v>650000000</v>
      </c>
      <c r="Z101" s="81">
        <f t="shared" si="6"/>
        <v>-50000000</v>
      </c>
      <c r="AA101" s="31"/>
      <c r="AB101" s="32"/>
      <c r="AC101" s="32"/>
      <c r="AD101" s="32"/>
      <c r="AE101" s="32"/>
      <c r="AF101" s="32"/>
      <c r="AG101" s="32"/>
      <c r="AH101" s="32"/>
      <c r="AI101" s="31"/>
      <c r="AJ101" s="31"/>
      <c r="AK101" s="31"/>
      <c r="AL101" s="31"/>
      <c r="AM101" s="31"/>
      <c r="AN101" s="31"/>
      <c r="AO101" s="31"/>
      <c r="AP101" s="32"/>
      <c r="AQ101" s="32"/>
      <c r="AR101" s="160"/>
    </row>
    <row r="102" spans="1:48" ht="58.5" customHeight="1">
      <c r="A102" s="10">
        <f>DATA!A110</f>
        <v>85</v>
      </c>
      <c r="B102" s="10">
        <f>DATA!B110</f>
        <v>0</v>
      </c>
      <c r="C102" s="10" t="str">
        <f>DATA!D110</f>
        <v>INFRASTRUKTUR</v>
      </c>
      <c r="D102" s="10">
        <f>DATA!E110</f>
        <v>1</v>
      </c>
      <c r="E102" s="10" t="str">
        <f>DATA!F110</f>
        <v>Kementerian Pekerjaan Umum dan Perumahan Rakyat</v>
      </c>
      <c r="F102" s="10" t="str">
        <f>DATA!H110</f>
        <v>Management of Water Resources Infrastructure Program</v>
      </c>
      <c r="G102" s="10" t="str">
        <f>DATA!I110</f>
        <v>L</v>
      </c>
      <c r="H102" s="10" t="str">
        <f>DATA!J110</f>
        <v xml:space="preserve">Program Pengelolaan Infrastruktur Sumber Daya Air </v>
      </c>
      <c r="I102" s="10">
        <f>DATA!K110</f>
        <v>1</v>
      </c>
      <c r="J102" s="33"/>
      <c r="K102" s="34"/>
      <c r="L102" s="35"/>
      <c r="M102" s="36">
        <f>DATA!K110</f>
        <v>1</v>
      </c>
      <c r="N102" s="37" t="str">
        <f>DATA!L110</f>
        <v xml:space="preserve">Dam Operational Improvement and Safety Project (DOISP) - Phase II </v>
      </c>
      <c r="O102" s="20">
        <f>DATA!Q110</f>
        <v>1</v>
      </c>
      <c r="P102" s="20">
        <f>DATA!R110</f>
        <v>1</v>
      </c>
      <c r="Q102" s="20">
        <f>DATA!S110</f>
        <v>76</v>
      </c>
      <c r="R102" s="77">
        <f>DATA!T110</f>
        <v>250000000</v>
      </c>
      <c r="S102" s="77"/>
      <c r="T102" s="77">
        <f>DATA!V110</f>
        <v>50000000</v>
      </c>
      <c r="U102" s="77">
        <f>DATA!W110</f>
        <v>0</v>
      </c>
      <c r="V102" s="77">
        <f>DATA!X110</f>
        <v>300000000</v>
      </c>
      <c r="W102" s="78" t="str">
        <f>DATA!Y110</f>
        <v>Bank Dunia</v>
      </c>
      <c r="X102" s="20" t="str">
        <f>DATA!Z110</f>
        <v>Multilateral</v>
      </c>
      <c r="Y102" s="77">
        <f>DATA!AA110</f>
        <v>250000000</v>
      </c>
      <c r="Z102" s="77">
        <f>DATA!AG110</f>
        <v>0</v>
      </c>
      <c r="AA102" s="20" t="str">
        <f>DATA!AH110</f>
        <v>Tanpa keterangan</v>
      </c>
      <c r="AB102" s="37" t="str">
        <f>DATA!AI110</f>
        <v>-</v>
      </c>
      <c r="AC102" s="152" t="str">
        <f>DATA!AR110</f>
        <v>-</v>
      </c>
      <c r="AD102" s="152" t="str">
        <f>DATA!AN110</f>
        <v>dalam proses
(memiliki FS)</v>
      </c>
      <c r="AE102" s="152" t="str">
        <f>DATA!AO110</f>
        <v>belum ada keterangan</v>
      </c>
      <c r="AF102" s="37" t="str">
        <f>DATA!AJ110</f>
        <v>FS</v>
      </c>
      <c r="AG102" s="37" t="str">
        <f>DATA!AK110</f>
        <v>-</v>
      </c>
      <c r="AH102" s="37" t="str">
        <f>DATA!AL110</f>
        <v>-</v>
      </c>
      <c r="AI102" s="20" t="str">
        <f>DATA!AR110</f>
        <v>-</v>
      </c>
      <c r="AJ102" s="20" t="str">
        <f>DATA!AN110</f>
        <v>dalam proses
(memiliki FS)</v>
      </c>
      <c r="AK102" s="20" t="str">
        <f>DATA!AO110</f>
        <v>belum ada keterangan</v>
      </c>
      <c r="AL102" s="20" t="str">
        <f>DATA!AP110</f>
        <v>belum ada proses tender/lelang</v>
      </c>
      <c r="AM102" s="20" t="str">
        <f>DATA!AY110</f>
        <v>Konfirmasi melalui surat Sekjen nomor KU.01.12-Sj/636 tgl 23 Oktober 2015</v>
      </c>
      <c r="AN102" s="20" t="e">
        <f>DATA!#REF!</f>
        <v>#REF!</v>
      </c>
      <c r="AO102" s="20">
        <f>DATA!AZ110</f>
        <v>0</v>
      </c>
      <c r="AP102" s="152" t="e">
        <f>DATA!#REF!</f>
        <v>#REF!</v>
      </c>
      <c r="AQ102" s="37" t="str">
        <f>DATA!BA110</f>
        <v>Peningkatan operasi dan keamanan 63 bendungan, peningkatan OP dan kapasitas SDM, mitigasi sedimentasi waduk, peningkatan institusi keamanan bendungan dan manajemen proyek</v>
      </c>
      <c r="AR102" s="166"/>
    </row>
    <row r="103" spans="1:48" ht="50.25" customHeight="1">
      <c r="A103" s="10">
        <f>DATA!A113</f>
        <v>86</v>
      </c>
      <c r="B103" s="10">
        <f>DATA!B113</f>
        <v>0</v>
      </c>
      <c r="C103" s="10" t="str">
        <f>DATA!D113</f>
        <v>INFRASTRUKTUR</v>
      </c>
      <c r="D103" s="10">
        <f>DATA!E113</f>
        <v>1</v>
      </c>
      <c r="E103" s="10" t="str">
        <f>DATA!F113</f>
        <v>Kementerian Pekerjaan Umum dan Perumahan Rakyat</v>
      </c>
      <c r="F103" s="10" t="str">
        <f>DATA!H113</f>
        <v>Management of Water Resources Infrastructure Program</v>
      </c>
      <c r="G103" s="10" t="str">
        <f>DATA!I113</f>
        <v>L</v>
      </c>
      <c r="H103" s="10" t="str">
        <f>DATA!J113</f>
        <v xml:space="preserve">Program Pengelolaan Infrastruktur Sumber Daya Air </v>
      </c>
      <c r="I103" s="10">
        <f>DATA!K113</f>
        <v>2</v>
      </c>
      <c r="J103" s="33"/>
      <c r="K103" s="34"/>
      <c r="L103" s="34"/>
      <c r="M103" s="36">
        <f>DATA!K113</f>
        <v>2</v>
      </c>
      <c r="N103" s="37" t="str">
        <f>DATA!L113</f>
        <v xml:space="preserve">Enhanced Water Security Investment Program    </v>
      </c>
      <c r="O103" s="20">
        <f>DATA!Q113</f>
        <v>1</v>
      </c>
      <c r="P103" s="20">
        <f>DATA!R113</f>
        <v>1</v>
      </c>
      <c r="Q103" s="20">
        <f>DATA!S113</f>
        <v>77</v>
      </c>
      <c r="R103" s="77">
        <f>DATA!T113</f>
        <v>350000000</v>
      </c>
      <c r="S103" s="77"/>
      <c r="T103" s="77">
        <f>DATA!V113</f>
        <v>70000000</v>
      </c>
      <c r="U103" s="77">
        <f>DATA!W113</f>
        <v>0</v>
      </c>
      <c r="V103" s="77">
        <f>DATA!X113</f>
        <v>420000000</v>
      </c>
      <c r="W103" s="78" t="str">
        <f>DATA!Y113</f>
        <v>ADB</v>
      </c>
      <c r="X103" s="20" t="str">
        <f>DATA!Z113</f>
        <v>Multilateral</v>
      </c>
      <c r="Y103" s="77">
        <f>DATA!AA113</f>
        <v>350000000</v>
      </c>
      <c r="Z103" s="77">
        <f>DATA!AG113</f>
        <v>0</v>
      </c>
      <c r="AA103" s="20" t="str">
        <f>DATA!AH113</f>
        <v>Tanpa keterangan</v>
      </c>
      <c r="AB103" s="37" t="str">
        <f>DATA!AI113</f>
        <v>-</v>
      </c>
      <c r="AC103" s="152" t="str">
        <f>DATA!AR113</f>
        <v>belum ada dokumen R/C</v>
      </c>
      <c r="AD103" s="152" t="str">
        <f>DATA!AN113</f>
        <v>belum ada keterangan</v>
      </c>
      <c r="AE103" s="152" t="str">
        <f>DATA!AO113</f>
        <v>belum ada keterangan</v>
      </c>
      <c r="AF103" s="37" t="str">
        <f>DATA!AJ113</f>
        <v>-</v>
      </c>
      <c r="AG103" s="37" t="str">
        <f>DATA!AK113</f>
        <v>-</v>
      </c>
      <c r="AH103" s="37" t="str">
        <f>DATA!AL113</f>
        <v>-</v>
      </c>
      <c r="AI103" s="20" t="str">
        <f>DATA!AR113</f>
        <v>belum ada dokumen R/C</v>
      </c>
      <c r="AJ103" s="20" t="str">
        <f>DATA!AN113</f>
        <v>belum ada keterangan</v>
      </c>
      <c r="AK103" s="20" t="str">
        <f>DATA!AO113</f>
        <v>belum ada keterangan</v>
      </c>
      <c r="AL103" s="20" t="str">
        <f>DATA!AP113</f>
        <v>belum ada proses tender/lelang</v>
      </c>
      <c r="AM103" s="20" t="str">
        <f>DATA!AY113</f>
        <v>Konfirmasi melalui surat Sekjen nomor KU.01.12-Sj/636 tgl 23 Oktober 2015</v>
      </c>
      <c r="AN103" s="20" t="e">
        <f>DATA!#REF!</f>
        <v>#REF!</v>
      </c>
      <c r="AO103" s="20" t="str">
        <f>DATA!AZ113</f>
        <v>Belum ada pembicaraan dgn ADB</v>
      </c>
      <c r="AP103" s="152" t="e">
        <f>DATA!#REF!</f>
        <v>#REF!</v>
      </c>
      <c r="AQ103" s="37" t="str">
        <f>DATA!BA113</f>
        <v>Peningkatan kapasitas waduk, pemanfaatan potensi bendungan untuk pembangkit listrik dan manajemen proyek</v>
      </c>
      <c r="AR103" s="166"/>
    </row>
    <row r="104" spans="1:48" s="8" customFormat="1" ht="32.25" customHeight="1">
      <c r="A104" s="10">
        <f>DATA!A114</f>
        <v>87</v>
      </c>
      <c r="B104" s="10">
        <f>DATA!B114</f>
        <v>0</v>
      </c>
      <c r="C104" s="10" t="str">
        <f>DATA!D114</f>
        <v>INFRASTRUKTUR</v>
      </c>
      <c r="D104" s="10">
        <f>DATA!E114</f>
        <v>1</v>
      </c>
      <c r="E104" s="10" t="str">
        <f>DATA!F114</f>
        <v>Kementerian Pekerjaan Umum dan Perumahan Rakyat</v>
      </c>
      <c r="F104" s="10" t="str">
        <f>DATA!H114</f>
        <v>Management of Water Resources Infrastructure Program</v>
      </c>
      <c r="G104" s="10" t="str">
        <f>DATA!I114</f>
        <v>L</v>
      </c>
      <c r="H104" s="10" t="str">
        <f>DATA!J114</f>
        <v xml:space="preserve">Program Pengelolaan Infrastruktur Sumber Daya Air </v>
      </c>
      <c r="I104" s="10">
        <f>DATA!K114</f>
        <v>3</v>
      </c>
      <c r="J104" s="57"/>
      <c r="K104" s="58"/>
      <c r="L104" s="111"/>
      <c r="M104" s="60">
        <f>DATA!K114</f>
        <v>3</v>
      </c>
      <c r="N104" s="61" t="str">
        <f>DATA!L114</f>
        <v>Engineering Service for Water Resources Infrastructure Management</v>
      </c>
      <c r="O104" s="20">
        <f>DATA!Q114</f>
        <v>1</v>
      </c>
      <c r="P104" s="20">
        <f>DATA!R114</f>
        <v>1</v>
      </c>
      <c r="Q104" s="20">
        <f>DATA!S114</f>
        <v>78</v>
      </c>
      <c r="R104" s="89">
        <f>DATA!T114</f>
        <v>50000000</v>
      </c>
      <c r="S104" s="89"/>
      <c r="T104" s="89">
        <f>DATA!V114</f>
        <v>10000000</v>
      </c>
      <c r="U104" s="89">
        <f>DATA!W114</f>
        <v>0</v>
      </c>
      <c r="V104" s="89">
        <f>DATA!X114</f>
        <v>60000000</v>
      </c>
      <c r="W104" s="90" t="str">
        <f>DATA!Y114</f>
        <v>Belum Ada Indikasi</v>
      </c>
      <c r="X104" s="20" t="str">
        <f>DATA!Z114</f>
        <v>Multilateral</v>
      </c>
      <c r="Y104" s="89">
        <f>DATA!AA114</f>
        <v>50000000</v>
      </c>
      <c r="Z104" s="77">
        <f>DATA!AG114</f>
        <v>-50000000</v>
      </c>
      <c r="AA104" s="103" t="str">
        <f>DATA!AH114</f>
        <v>Tanpa keterangan</v>
      </c>
      <c r="AB104" s="61" t="str">
        <f>DATA!AI114</f>
        <v>-</v>
      </c>
      <c r="AC104" s="152" t="str">
        <f>DATA!AR114</f>
        <v>belum ada dokumen R/C</v>
      </c>
      <c r="AD104" s="152" t="str">
        <f>DATA!AN114</f>
        <v>siap</v>
      </c>
      <c r="AE104" s="152" t="str">
        <f>DATA!AO114</f>
        <v>tidak butuh lahan</v>
      </c>
      <c r="AF104" s="61" t="str">
        <f>DATA!AJ114</f>
        <v>-</v>
      </c>
      <c r="AG104" s="61" t="str">
        <f>DATA!AK114</f>
        <v>-</v>
      </c>
      <c r="AH104" s="61" t="str">
        <f>DATA!AL114</f>
        <v>-</v>
      </c>
      <c r="AI104" s="20" t="str">
        <f>DATA!AR114</f>
        <v>belum ada dokumen R/C</v>
      </c>
      <c r="AJ104" s="20" t="str">
        <f>DATA!AN114</f>
        <v>siap</v>
      </c>
      <c r="AK104" s="20" t="str">
        <f>DATA!AO114</f>
        <v>tidak butuh lahan</v>
      </c>
      <c r="AL104" s="20" t="str">
        <f>DATA!AP114</f>
        <v>belum ada proses tender/lelang</v>
      </c>
      <c r="AM104" s="20" t="str">
        <f>DATA!AY114</f>
        <v>Konfirmasi melalui surat Sekjen nomor KU.01.12-Sj/636 tgl 23 Oktober 2015</v>
      </c>
      <c r="AN104" s="20" t="e">
        <f>DATA!#REF!</f>
        <v>#REF!</v>
      </c>
      <c r="AO104" s="20" t="str">
        <f>DATA!AZ114</f>
        <v>Belum ada pembicaraan dgn ADB</v>
      </c>
      <c r="AP104" s="161" t="e">
        <f>DATA!#REF!</f>
        <v>#REF!</v>
      </c>
      <c r="AQ104" s="37" t="str">
        <f>DATA!BA114</f>
        <v>Engineering services dan management project untuk pengelolaan infrastruktur sumber daya air</v>
      </c>
      <c r="AR104" s="162">
        <v>1</v>
      </c>
      <c r="AV104" s="8">
        <v>1</v>
      </c>
    </row>
    <row r="105" spans="1:48" s="5" customFormat="1" ht="33.75" customHeight="1">
      <c r="J105" s="28"/>
      <c r="K105" s="50"/>
      <c r="L105" s="30" t="str">
        <f>DATA!I117</f>
        <v>M</v>
      </c>
      <c r="M105" s="31" t="str">
        <f>DATA!J117</f>
        <v>Program Penyediaaan Perumahan Bagi MBR</v>
      </c>
      <c r="N105" s="51"/>
      <c r="O105" s="31"/>
      <c r="P105" s="31"/>
      <c r="Q105" s="31"/>
      <c r="R105" s="81">
        <f>+R106</f>
        <v>300000000</v>
      </c>
      <c r="S105" s="81"/>
      <c r="T105" s="81">
        <f t="shared" ref="T105:Z105" si="7">+T106</f>
        <v>15000000</v>
      </c>
      <c r="U105" s="81">
        <f t="shared" si="7"/>
        <v>7000000</v>
      </c>
      <c r="V105" s="81">
        <f t="shared" si="7"/>
        <v>322000000</v>
      </c>
      <c r="W105" s="149"/>
      <c r="X105" s="81" t="str">
        <f t="shared" si="7"/>
        <v>Multilateral</v>
      </c>
      <c r="Y105" s="81">
        <f t="shared" si="7"/>
        <v>300000000</v>
      </c>
      <c r="Z105" s="81">
        <f t="shared" si="7"/>
        <v>0</v>
      </c>
      <c r="AA105" s="31"/>
      <c r="AB105" s="32"/>
      <c r="AC105" s="32"/>
      <c r="AD105" s="32"/>
      <c r="AE105" s="32"/>
      <c r="AF105" s="32"/>
      <c r="AG105" s="32"/>
      <c r="AH105" s="32"/>
      <c r="AI105" s="31"/>
      <c r="AJ105" s="31"/>
      <c r="AK105" s="31"/>
      <c r="AL105" s="31"/>
      <c r="AM105" s="31"/>
      <c r="AN105" s="31"/>
      <c r="AO105" s="31"/>
      <c r="AP105" s="32"/>
      <c r="AQ105" s="32"/>
      <c r="AR105" s="160"/>
    </row>
    <row r="106" spans="1:48" ht="45.75" customHeight="1">
      <c r="A106" s="10">
        <f>DATA!A117</f>
        <v>88</v>
      </c>
      <c r="B106" s="10">
        <f>DATA!B117</f>
        <v>0</v>
      </c>
      <c r="C106" s="10" t="str">
        <f>DATA!D117</f>
        <v>INFRASTRUKTUR</v>
      </c>
      <c r="D106" s="10">
        <f>DATA!E117</f>
        <v>1</v>
      </c>
      <c r="E106" s="10" t="str">
        <f>DATA!F117</f>
        <v>Kementerian Pekerjaan Umum dan Perumahan Rakyat</v>
      </c>
      <c r="F106" s="10" t="str">
        <f>DATA!H117</f>
        <v>Program for Provision of Housing For Low-Income Households</v>
      </c>
      <c r="G106" s="10" t="str">
        <f>DATA!I117</f>
        <v>M</v>
      </c>
      <c r="H106" s="10" t="str">
        <f>DATA!J117</f>
        <v>Program Penyediaaan Perumahan Bagi MBR</v>
      </c>
      <c r="I106" s="10">
        <f>DATA!K117</f>
        <v>1</v>
      </c>
      <c r="J106" s="33"/>
      <c r="K106" s="54"/>
      <c r="L106" s="20"/>
      <c r="M106" s="36">
        <f>DATA!K117</f>
        <v>1</v>
      </c>
      <c r="N106" s="37" t="str">
        <f>DATA!L117</f>
        <v xml:space="preserve">Financial Support for Low Income Households </v>
      </c>
      <c r="O106" s="20">
        <f>DATA!Q117</f>
        <v>0</v>
      </c>
      <c r="P106" s="20">
        <f>DATA!R117</f>
        <v>0</v>
      </c>
      <c r="Q106" s="20">
        <f>DATA!S117</f>
        <v>79</v>
      </c>
      <c r="R106" s="77">
        <f>DATA!T117</f>
        <v>300000000</v>
      </c>
      <c r="S106" s="77"/>
      <c r="T106" s="77">
        <f>DATA!V117</f>
        <v>15000000</v>
      </c>
      <c r="U106" s="77">
        <f>DATA!W117</f>
        <v>7000000</v>
      </c>
      <c r="V106" s="77">
        <f>DATA!X117</f>
        <v>322000000</v>
      </c>
      <c r="W106" s="78" t="str">
        <f>DATA!Y117</f>
        <v>Bank Dunia</v>
      </c>
      <c r="X106" s="20" t="str">
        <f>DATA!Z117</f>
        <v>Multilateral</v>
      </c>
      <c r="Y106" s="77">
        <f>DATA!AA117</f>
        <v>300000000</v>
      </c>
      <c r="Z106" s="77">
        <f>DATA!AG117</f>
        <v>0</v>
      </c>
      <c r="AA106" s="20">
        <f>DATA!AH117</f>
        <v>2017</v>
      </c>
      <c r="AB106" s="37" t="str">
        <f>DATA!AI117</f>
        <v>Penyusunan R/C</v>
      </c>
      <c r="AC106" s="152" t="str">
        <f>DATA!AR117</f>
        <v>belum ada dokumen R/C</v>
      </c>
      <c r="AD106" s="152" t="str">
        <f>DATA!AN117</f>
        <v>belum ada keterangan</v>
      </c>
      <c r="AE106" s="152" t="str">
        <f>DATA!AO117</f>
        <v>belum ada keterangan</v>
      </c>
      <c r="AF106" s="37" t="str">
        <f>DATA!AJ117</f>
        <v>-</v>
      </c>
      <c r="AG106" s="37" t="str">
        <f>DATA!AK117</f>
        <v>-</v>
      </c>
      <c r="AH106" s="37" t="str">
        <f>DATA!AL117</f>
        <v>-</v>
      </c>
      <c r="AI106" s="20" t="str">
        <f>DATA!AR117</f>
        <v>belum ada dokumen R/C</v>
      </c>
      <c r="AJ106" s="20" t="str">
        <f>DATA!AN117</f>
        <v>belum ada keterangan</v>
      </c>
      <c r="AK106" s="20" t="str">
        <f>DATA!AO117</f>
        <v>belum ada keterangan</v>
      </c>
      <c r="AL106" s="20" t="str">
        <f>DATA!AP117</f>
        <v>belum ada proses tender/lelang</v>
      </c>
      <c r="AM106" s="20" t="str">
        <f>DATA!AY117</f>
        <v>Konfirmasi melalui surat Sekjen nomor KU.01.12-Sj/636 tgl 23 Oktober 2015</v>
      </c>
      <c r="AN106" s="20" t="e">
        <f>DATA!#REF!</f>
        <v>#REF!</v>
      </c>
      <c r="AO106" s="20" t="str">
        <f>DATA!AZ117</f>
        <v>Tujuan kegiatan ini adalah untuk membantu uang muka pembangunan rumah</v>
      </c>
      <c r="AP106" s="152" t="e">
        <f>DATA!#REF!</f>
        <v>#REF!</v>
      </c>
      <c r="AQ106" s="37" t="str">
        <f>DATA!BA117</f>
        <v>Peningkatan kapasitas lembaga pembiayaan, pengembangan sistem pembiayaan perumahan mikro, dan pengembangan  sistem pembiayaan perumahan</v>
      </c>
      <c r="AR106" s="166"/>
    </row>
    <row r="107" spans="1:48" s="4" customFormat="1" ht="24.95" customHeight="1">
      <c r="J107" s="107"/>
      <c r="K107" s="25">
        <f>DATA!E118</f>
        <v>2</v>
      </c>
      <c r="L107" s="108" t="str">
        <f>DATA!F118</f>
        <v>PERUMNAS</v>
      </c>
      <c r="M107" s="26"/>
      <c r="N107" s="27"/>
      <c r="O107" s="26"/>
      <c r="P107" s="26"/>
      <c r="Q107" s="26"/>
      <c r="R107" s="80">
        <f>+R108</f>
        <v>200000000</v>
      </c>
      <c r="S107" s="80"/>
      <c r="T107" s="80">
        <f t="shared" ref="T107:Z108" si="8">+T108</f>
        <v>20000000</v>
      </c>
      <c r="U107" s="80">
        <f t="shared" si="8"/>
        <v>0</v>
      </c>
      <c r="V107" s="80">
        <f t="shared" si="8"/>
        <v>220000000</v>
      </c>
      <c r="W107" s="148"/>
      <c r="X107" s="80" t="str">
        <f t="shared" si="8"/>
        <v>Bilateral</v>
      </c>
      <c r="Y107" s="80">
        <f t="shared" si="8"/>
        <v>200000000</v>
      </c>
      <c r="Z107" s="80">
        <f t="shared" si="8"/>
        <v>0</v>
      </c>
      <c r="AA107" s="26"/>
      <c r="AB107" s="27"/>
      <c r="AC107" s="27"/>
      <c r="AD107" s="27"/>
      <c r="AE107" s="27"/>
      <c r="AF107" s="27"/>
      <c r="AG107" s="27"/>
      <c r="AH107" s="27"/>
      <c r="AI107" s="26"/>
      <c r="AJ107" s="26"/>
      <c r="AK107" s="26"/>
      <c r="AL107" s="26"/>
      <c r="AM107" s="26"/>
      <c r="AN107" s="26"/>
      <c r="AO107" s="26"/>
      <c r="AP107" s="27"/>
      <c r="AQ107" s="27"/>
      <c r="AR107" s="159"/>
    </row>
    <row r="108" spans="1:48" s="5" customFormat="1" ht="33.75" customHeight="1">
      <c r="J108" s="28"/>
      <c r="K108" s="29"/>
      <c r="L108" s="30" t="str">
        <f>DATA!I118</f>
        <v>A</v>
      </c>
      <c r="M108" s="31" t="str">
        <f>DATA!J118</f>
        <v>Program Penyediaaan Perumahan Bagi MBR</v>
      </c>
      <c r="N108" s="51"/>
      <c r="O108" s="31"/>
      <c r="P108" s="31"/>
      <c r="Q108" s="31"/>
      <c r="R108" s="81">
        <f>+R109</f>
        <v>200000000</v>
      </c>
      <c r="S108" s="81"/>
      <c r="T108" s="81">
        <f t="shared" si="8"/>
        <v>20000000</v>
      </c>
      <c r="U108" s="81">
        <f t="shared" si="8"/>
        <v>0</v>
      </c>
      <c r="V108" s="81">
        <f t="shared" si="8"/>
        <v>220000000</v>
      </c>
      <c r="W108" s="149"/>
      <c r="X108" s="81" t="str">
        <f t="shared" si="8"/>
        <v>Bilateral</v>
      </c>
      <c r="Y108" s="81">
        <f t="shared" si="8"/>
        <v>200000000</v>
      </c>
      <c r="Z108" s="81">
        <f t="shared" si="8"/>
        <v>0</v>
      </c>
      <c r="AA108" s="31"/>
      <c r="AB108" s="32"/>
      <c r="AC108" s="32"/>
      <c r="AD108" s="32"/>
      <c r="AE108" s="32"/>
      <c r="AF108" s="32"/>
      <c r="AG108" s="32"/>
      <c r="AH108" s="32"/>
      <c r="AI108" s="31"/>
      <c r="AJ108" s="31"/>
      <c r="AK108" s="31"/>
      <c r="AL108" s="31"/>
      <c r="AM108" s="31"/>
      <c r="AN108" s="31"/>
      <c r="AO108" s="31"/>
      <c r="AP108" s="32"/>
      <c r="AQ108" s="32"/>
      <c r="AR108" s="160"/>
    </row>
    <row r="109" spans="1:48" ht="63.75">
      <c r="A109" s="10">
        <f>DATA!A118</f>
        <v>89</v>
      </c>
      <c r="B109" s="10">
        <f>DATA!B118</f>
        <v>0</v>
      </c>
      <c r="C109" s="10" t="str">
        <f>DATA!D118</f>
        <v>INFRASTRUKTUR</v>
      </c>
      <c r="D109" s="10">
        <f>DATA!E118</f>
        <v>2</v>
      </c>
      <c r="E109" s="10" t="str">
        <f>DATA!F118</f>
        <v>PERUMNAS</v>
      </c>
      <c r="F109" s="10" t="str">
        <f>DATA!H118</f>
        <v>Program for Provision of Housing For Low-Income Households</v>
      </c>
      <c r="G109" s="10" t="str">
        <f>DATA!I118</f>
        <v>A</v>
      </c>
      <c r="H109" s="10" t="str">
        <f>DATA!J118</f>
        <v>Program Penyediaaan Perumahan Bagi MBR</v>
      </c>
      <c r="I109" s="10">
        <f>DATA!K118</f>
        <v>1</v>
      </c>
      <c r="J109" s="33"/>
      <c r="K109" s="54"/>
      <c r="L109" s="20"/>
      <c r="M109" s="36">
        <f>DATA!K118</f>
        <v>1</v>
      </c>
      <c r="N109" s="37" t="str">
        <f>DATA!L118</f>
        <v>Support for National Housing and Urban Development Cooperation</v>
      </c>
      <c r="O109" s="20">
        <f>DATA!Q118</f>
        <v>1</v>
      </c>
      <c r="P109" s="20">
        <f>DATA!R118</f>
        <v>1</v>
      </c>
      <c r="Q109" s="20">
        <f>DATA!S118</f>
        <v>80</v>
      </c>
      <c r="R109" s="77">
        <f>DATA!T118</f>
        <v>200000000</v>
      </c>
      <c r="S109" s="77"/>
      <c r="T109" s="77">
        <f>DATA!V118</f>
        <v>20000000</v>
      </c>
      <c r="U109" s="77">
        <f>DATA!W118</f>
        <v>0</v>
      </c>
      <c r="V109" s="77">
        <f>DATA!X118</f>
        <v>220000000</v>
      </c>
      <c r="W109" s="78" t="str">
        <f>DATA!Y118</f>
        <v>JICA</v>
      </c>
      <c r="X109" s="20" t="str">
        <f>DATA!Z118</f>
        <v>Bilateral</v>
      </c>
      <c r="Y109" s="77">
        <f>DATA!AA118</f>
        <v>200000000</v>
      </c>
      <c r="Z109" s="77">
        <f>DATA!AG118</f>
        <v>0</v>
      </c>
      <c r="AA109" s="20">
        <f>DATA!AH118</f>
        <v>2017</v>
      </c>
      <c r="AB109" s="37" t="str">
        <f>DATA!AI118</f>
        <v>Penyusunan R/C</v>
      </c>
      <c r="AC109" s="152" t="str">
        <f>DATA!AR118</f>
        <v>belum ada dokumen R/C</v>
      </c>
      <c r="AD109" s="152" t="str">
        <f>DATA!AN118</f>
        <v>dalam proses
(memiliki FS dan DED)</v>
      </c>
      <c r="AE109" s="152" t="str">
        <f>DATA!AO118</f>
        <v>siap</v>
      </c>
      <c r="AF109" s="37" t="str">
        <f>DATA!AJ118</f>
        <v>FS, DED</v>
      </c>
      <c r="AG109" s="37" t="str">
        <f>DATA!AK118</f>
        <v>100% (lahan milik PERUMNAS)</v>
      </c>
      <c r="AH109" s="37" t="str">
        <f>DATA!AL118</f>
        <v>Mengikuti tahapan setiap project sesuai Standart Operational Procedure (SOP) Perumnas</v>
      </c>
      <c r="AI109" s="20" t="str">
        <f>DATA!AR118</f>
        <v>belum ada dokumen R/C</v>
      </c>
      <c r="AJ109" s="20" t="str">
        <f>DATA!AN118</f>
        <v>dalam proses
(memiliki FS dan DED)</v>
      </c>
      <c r="AK109" s="20" t="str">
        <f>DATA!AO118</f>
        <v>siap</v>
      </c>
      <c r="AL109" s="20" t="str">
        <f>DATA!AP118</f>
        <v>belum ada proses tender/lelang</v>
      </c>
      <c r="AM109"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N109" s="20" t="e">
        <f>DATA!#REF!</f>
        <v>#REF!</v>
      </c>
      <c r="AO109" s="20">
        <f>DATA!AZ118</f>
        <v>0</v>
      </c>
      <c r="AP109" s="152" t="e">
        <f>DATA!#REF!</f>
        <v>#REF!</v>
      </c>
      <c r="AQ109" s="37" t="str">
        <f>DATA!BA118</f>
        <v>Membangun 69.784 unit rumah (35.438 unit rumah sederhana tapak dan 34.346 unit rumah susun), meremajakan 3.816 unit rumah susun, dan mengelola perumahan umum (property management)</v>
      </c>
      <c r="AR109" s="166"/>
    </row>
    <row r="110" spans="1:48" s="4" customFormat="1" ht="24.95" customHeight="1">
      <c r="J110" s="107"/>
      <c r="K110" s="25">
        <f>DATA!E119</f>
        <v>3</v>
      </c>
      <c r="L110" s="108" t="str">
        <f>DATA!F119</f>
        <v>Kementerian Perhubungan</v>
      </c>
      <c r="M110" s="25"/>
      <c r="N110" s="27"/>
      <c r="O110" s="26"/>
      <c r="P110" s="26"/>
      <c r="Q110" s="26"/>
      <c r="R110" s="80">
        <f>+R111</f>
        <v>5765336700</v>
      </c>
      <c r="S110" s="80"/>
      <c r="T110" s="80">
        <f t="shared" ref="T110:Z110" si="9">+T111</f>
        <v>647453200</v>
      </c>
      <c r="U110" s="80">
        <f t="shared" si="9"/>
        <v>0</v>
      </c>
      <c r="V110" s="80">
        <f t="shared" si="9"/>
        <v>6412789900</v>
      </c>
      <c r="W110" s="148"/>
      <c r="X110" s="80" t="e">
        <f t="shared" si="9"/>
        <v>#VALUE!</v>
      </c>
      <c r="Y110" s="80">
        <f t="shared" si="9"/>
        <v>5765336700</v>
      </c>
      <c r="Z110" s="80">
        <f t="shared" si="9"/>
        <v>0</v>
      </c>
      <c r="AA110" s="26"/>
      <c r="AB110" s="27"/>
      <c r="AC110" s="27"/>
      <c r="AD110" s="27"/>
      <c r="AE110" s="27"/>
      <c r="AF110" s="27"/>
      <c r="AG110" s="27"/>
      <c r="AH110" s="27"/>
      <c r="AI110" s="26"/>
      <c r="AJ110" s="26"/>
      <c r="AK110" s="26"/>
      <c r="AL110" s="26"/>
      <c r="AM110" s="26"/>
      <c r="AN110" s="26"/>
      <c r="AO110" s="26"/>
      <c r="AP110" s="27"/>
      <c r="AQ110" s="27"/>
      <c r="AR110" s="159"/>
    </row>
    <row r="111" spans="1:48" s="5" customFormat="1" ht="33.75" customHeight="1">
      <c r="J111" s="28"/>
      <c r="K111" s="29"/>
      <c r="L111" s="30" t="str">
        <f>DATA!I119</f>
        <v>A</v>
      </c>
      <c r="M111" s="31" t="str">
        <f>DATA!J119</f>
        <v>Program Pengembangan Perkeretaapian</v>
      </c>
      <c r="N111" s="51"/>
      <c r="O111" s="31"/>
      <c r="P111" s="31"/>
      <c r="Q111" s="31"/>
      <c r="R111" s="81">
        <f>+R112+R115+R116+R117</f>
        <v>5765336700</v>
      </c>
      <c r="S111" s="81"/>
      <c r="T111" s="81">
        <f t="shared" ref="T111:Z111" si="10">+T112+T115+T116+T117</f>
        <v>647453200</v>
      </c>
      <c r="U111" s="81">
        <f t="shared" si="10"/>
        <v>0</v>
      </c>
      <c r="V111" s="81">
        <f t="shared" si="10"/>
        <v>6412789900</v>
      </c>
      <c r="W111" s="149"/>
      <c r="X111" s="81" t="e">
        <f t="shared" si="10"/>
        <v>#VALUE!</v>
      </c>
      <c r="Y111" s="81">
        <f t="shared" si="10"/>
        <v>5765336700</v>
      </c>
      <c r="Z111" s="81">
        <f t="shared" si="10"/>
        <v>0</v>
      </c>
      <c r="AA111" s="31"/>
      <c r="AB111" s="32"/>
      <c r="AC111" s="32"/>
      <c r="AD111" s="32"/>
      <c r="AE111" s="32"/>
      <c r="AF111" s="32"/>
      <c r="AG111" s="32"/>
      <c r="AH111" s="32"/>
      <c r="AI111" s="31"/>
      <c r="AJ111" s="31"/>
      <c r="AK111" s="31"/>
      <c r="AL111" s="31"/>
      <c r="AM111" s="31"/>
      <c r="AN111" s="31"/>
      <c r="AO111" s="31"/>
      <c r="AP111" s="32"/>
      <c r="AQ111" s="32"/>
      <c r="AR111" s="160"/>
    </row>
    <row r="112" spans="1:48" ht="27.75" customHeight="1">
      <c r="A112" s="10">
        <f>DATA!A119</f>
        <v>90</v>
      </c>
      <c r="B112" s="10">
        <f>DATA!B119</f>
        <v>0</v>
      </c>
      <c r="C112" s="10" t="str">
        <f>DATA!D119</f>
        <v>INFRASTRUKTUR</v>
      </c>
      <c r="D112" s="10">
        <f>DATA!E119</f>
        <v>3</v>
      </c>
      <c r="E112" s="10" t="str">
        <f>DATA!F119</f>
        <v>Kementerian Perhubungan</v>
      </c>
      <c r="F112" s="10" t="str">
        <f>DATA!H119</f>
        <v>Railway Development Program</v>
      </c>
      <c r="G112" s="10" t="str">
        <f>DATA!I119</f>
        <v>A</v>
      </c>
      <c r="H112" s="10" t="str">
        <f>DATA!J119</f>
        <v>Program Pengembangan Perkeretaapian</v>
      </c>
      <c r="I112" s="10">
        <f>DATA!K119</f>
        <v>1</v>
      </c>
      <c r="J112" s="33"/>
      <c r="K112" s="34"/>
      <c r="L112" s="35"/>
      <c r="M112" s="36">
        <f>DATA!K119</f>
        <v>1</v>
      </c>
      <c r="N112" s="37" t="str">
        <f>DATA!L119</f>
        <v>Procurement of Track Material and Turn Out:</v>
      </c>
      <c r="O112" s="20">
        <f>DATA!Q119</f>
        <v>0</v>
      </c>
      <c r="P112" s="20">
        <f>DATA!R119</f>
        <v>0</v>
      </c>
      <c r="Q112" s="20">
        <f>DATA!S119</f>
        <v>0</v>
      </c>
      <c r="R112" s="77">
        <f>DATA!T119</f>
        <v>492336700</v>
      </c>
      <c r="S112" s="77"/>
      <c r="T112" s="77">
        <f>DATA!V119</f>
        <v>119453200</v>
      </c>
      <c r="U112" s="77">
        <f>DATA!W119</f>
        <v>0</v>
      </c>
      <c r="V112" s="77">
        <f>DATA!X119</f>
        <v>611789900</v>
      </c>
      <c r="W112" s="78" t="str">
        <f>DATA!Y119</f>
        <v>-</v>
      </c>
      <c r="X112" s="20">
        <f>DATA!Z119</f>
        <v>0</v>
      </c>
      <c r="Y112" s="77">
        <f>DATA!AA119</f>
        <v>492336700</v>
      </c>
      <c r="Z112" s="77">
        <f>DATA!AG119</f>
        <v>0</v>
      </c>
      <c r="AA112" s="20" t="str">
        <f>DATA!AH119</f>
        <v>-</v>
      </c>
      <c r="AB112" s="37" t="str">
        <f>DATA!AI119</f>
        <v>-</v>
      </c>
      <c r="AC112" s="152" t="str">
        <f>DATA!AM119</f>
        <v>-</v>
      </c>
      <c r="AD112" s="152">
        <f>DATA!AN119</f>
        <v>0</v>
      </c>
      <c r="AE112" s="152" t="str">
        <f>DATA!AO119</f>
        <v>-</v>
      </c>
      <c r="AF112" s="37" t="str">
        <f>DATA!AJ119</f>
        <v>-</v>
      </c>
      <c r="AG112" s="37" t="str">
        <f>DATA!AK119</f>
        <v>-</v>
      </c>
      <c r="AH112" s="37" t="str">
        <f>DATA!AL119</f>
        <v>-</v>
      </c>
      <c r="AI112" s="20" t="str">
        <f>DATA!AM119</f>
        <v>-</v>
      </c>
      <c r="AJ112" s="20">
        <f>DATA!AN119</f>
        <v>0</v>
      </c>
      <c r="AK112" s="20" t="str">
        <f>DATA!AO119</f>
        <v>-</v>
      </c>
      <c r="AL112" s="20">
        <f>DATA!AP119</f>
        <v>0</v>
      </c>
      <c r="AM112" s="20" t="str">
        <f>DATA!AY119</f>
        <v>Surat Kepala Biro Perencanaan nomor 548/BI/SRT/IX/2015 tgl 10 September 2015</v>
      </c>
      <c r="AN112" s="20" t="e">
        <f>DATA!#REF!</f>
        <v>#REF!</v>
      </c>
      <c r="AO112" s="20">
        <f>DATA!AZ119</f>
        <v>0</v>
      </c>
      <c r="AP112" s="152" t="e">
        <f>DATA!#REF!</f>
        <v>#REF!</v>
      </c>
      <c r="AQ112" s="37" t="str">
        <f>DATA!BA119</f>
        <v>Pengadaan 4.500 km track material dan pengadaan 650 unit wesel</v>
      </c>
      <c r="AR112" s="166"/>
    </row>
    <row r="113" spans="1:44" s="6" customFormat="1" ht="89.25">
      <c r="A113" s="6">
        <f>DATA!A120</f>
        <v>91</v>
      </c>
      <c r="B113" s="6">
        <f>DATA!B120</f>
        <v>0</v>
      </c>
      <c r="C113" s="6" t="str">
        <f>DATA!D120</f>
        <v>INFRASTRUKTUR</v>
      </c>
      <c r="D113" s="6">
        <f>DATA!E120</f>
        <v>3</v>
      </c>
      <c r="E113" s="6" t="str">
        <f>DATA!F120</f>
        <v>Kementerian Perhubungan</v>
      </c>
      <c r="F113" s="6" t="str">
        <f>DATA!H120</f>
        <v>Railway Development Program</v>
      </c>
      <c r="G113" s="6" t="str">
        <f>DATA!I120</f>
        <v>A</v>
      </c>
      <c r="H113" s="6" t="str">
        <f>DATA!J120</f>
        <v>Program Pengembangan Perkeretaapian</v>
      </c>
      <c r="I113" s="6">
        <f>DATA!K120</f>
        <v>1</v>
      </c>
      <c r="J113" s="38"/>
      <c r="K113" s="39"/>
      <c r="L113" s="39"/>
      <c r="M113" s="40"/>
      <c r="N113" s="67" t="str">
        <f>DATA!L120</f>
        <v>Procurement of Track Material and Turn Out - Phase II</v>
      </c>
      <c r="O113" s="42">
        <f>DATA!Q120</f>
        <v>1</v>
      </c>
      <c r="P113" s="42">
        <f>DATA!R120</f>
        <v>1</v>
      </c>
      <c r="Q113" s="42">
        <f>DATA!S120</f>
        <v>81</v>
      </c>
      <c r="R113" s="83">
        <f>DATA!T120</f>
        <v>200000000</v>
      </c>
      <c r="S113" s="83"/>
      <c r="T113" s="83">
        <f>DATA!V120</f>
        <v>46369000</v>
      </c>
      <c r="U113" s="83">
        <f>DATA!W120</f>
        <v>0</v>
      </c>
      <c r="V113" s="83">
        <f>DATA!X120</f>
        <v>246369000</v>
      </c>
      <c r="W113" s="84" t="str">
        <f>DATA!Y120</f>
        <v>RRT</v>
      </c>
      <c r="X113" s="42" t="str">
        <f>DATA!Z120</f>
        <v>Bilateral</v>
      </c>
      <c r="Y113" s="83">
        <f>DATA!AA120</f>
        <v>200000000</v>
      </c>
      <c r="Z113" s="83">
        <f>DATA!AG120</f>
        <v>0</v>
      </c>
      <c r="AA113" s="42">
        <f>DATA!AH120</f>
        <v>2016</v>
      </c>
      <c r="AB113" s="67" t="str">
        <f>DATA!AI120</f>
        <v>- Sudah ada R/C
- Green Book 2015
- Proses E/N dan LA
- Dalam proses persiapan penandatanganan Loan Agreement</v>
      </c>
      <c r="AC113" s="152" t="str">
        <f>DATA!AR120</f>
        <v>Nilai pinjaman di:
- GB 16 USD 175.056 ribu
- GB 15 USD 185.470 ribu</v>
      </c>
      <c r="AD113" s="152" t="str">
        <f>DATA!AN120</f>
        <v>dalam proses</v>
      </c>
      <c r="AE113" s="152" t="str">
        <f>DATA!AO120</f>
        <v>tidak butuh lahan</v>
      </c>
      <c r="AF113" s="67" t="str">
        <f>DATA!AJ120</f>
        <v>- TOR
- RAB</v>
      </c>
      <c r="AG113" s="67" t="str">
        <f>DATA!AK120</f>
        <v xml:space="preserve">Tidak butuh pengadaan lahan </v>
      </c>
      <c r="AH113" s="67" t="str">
        <f>DATA!AL120</f>
        <v>Proses persetujuan draft kontrak oleh Menteri Perhubungan</v>
      </c>
      <c r="AI113" s="42" t="str">
        <f>DATA!AR120</f>
        <v>Nilai pinjaman di:
- GB 16 USD 175.056 ribu
- GB 15 USD 185.470 ribu</v>
      </c>
      <c r="AJ113" s="42" t="str">
        <f>DATA!AN120</f>
        <v>dalam proses</v>
      </c>
      <c r="AK113" s="42" t="str">
        <f>DATA!AO120</f>
        <v>tidak butuh lahan</v>
      </c>
      <c r="AL113" s="42" t="str">
        <f>DATA!AP120</f>
        <v>belum ada proses tender/lelang</v>
      </c>
      <c r="AM113" s="42" t="str">
        <f>DATA!AY120</f>
        <v>Surat Kepala Biro Perencanaan nomor 548/BI/SRT/IX/2015 tgl 10 September 2015</v>
      </c>
      <c r="AN113" s="42" t="e">
        <f>DATA!#REF!</f>
        <v>#REF!</v>
      </c>
      <c r="AO113" s="42">
        <f>DATA!AZ120</f>
        <v>0</v>
      </c>
      <c r="AP113" s="152" t="e">
        <f>DATA!#REF!</f>
        <v>#REF!</v>
      </c>
      <c r="AQ113" s="67" t="str">
        <f>DATA!BA120</f>
        <v>Pengadaan 1.500 km track material tipe UIC-54 dan pengadaan 300 unit wesel</v>
      </c>
      <c r="AR113" s="165"/>
    </row>
    <row r="114" spans="1:44" s="6" customFormat="1" ht="35.25" customHeight="1">
      <c r="A114" s="6">
        <f>DATA!A121</f>
        <v>92</v>
      </c>
      <c r="B114" s="6">
        <f>DATA!B121</f>
        <v>0</v>
      </c>
      <c r="C114" s="6" t="str">
        <f>DATA!D121</f>
        <v>INFRASTRUKTUR</v>
      </c>
      <c r="D114" s="6">
        <f>DATA!E121</f>
        <v>3</v>
      </c>
      <c r="E114" s="6" t="str">
        <f>DATA!F121</f>
        <v>Kementerian Perhubungan</v>
      </c>
      <c r="F114" s="6" t="str">
        <f>DATA!H121</f>
        <v>Railway Development Program</v>
      </c>
      <c r="G114" s="6" t="str">
        <f>DATA!I121</f>
        <v>A</v>
      </c>
      <c r="H114" s="6" t="str">
        <f>DATA!J121</f>
        <v>Program Pengembangan Perkeretaapian</v>
      </c>
      <c r="I114" s="6">
        <f>DATA!K121</f>
        <v>1</v>
      </c>
      <c r="J114" s="38"/>
      <c r="K114" s="39"/>
      <c r="L114" s="39"/>
      <c r="M114" s="43"/>
      <c r="N114" s="67" t="str">
        <f>DATA!L121</f>
        <v>Procurement of Track Material and Turn Out - Phase III</v>
      </c>
      <c r="O114" s="42">
        <f>DATA!Q121</f>
        <v>1</v>
      </c>
      <c r="P114" s="42">
        <f>DATA!R121</f>
        <v>1</v>
      </c>
      <c r="Q114" s="42">
        <f>DATA!S121</f>
        <v>82</v>
      </c>
      <c r="R114" s="83">
        <f>DATA!T121</f>
        <v>292336700</v>
      </c>
      <c r="S114" s="83"/>
      <c r="T114" s="83">
        <f>DATA!V121</f>
        <v>73084200</v>
      </c>
      <c r="U114" s="83">
        <f>DATA!W121</f>
        <v>0</v>
      </c>
      <c r="V114" s="83">
        <f>DATA!X121</f>
        <v>365420900</v>
      </c>
      <c r="W114" s="84" t="str">
        <f>DATA!Y121</f>
        <v>Belum Ada Indikasi</v>
      </c>
      <c r="X114" s="42" t="str">
        <f>DATA!Z121</f>
        <v>Belum Ada Indikasi</v>
      </c>
      <c r="Y114" s="83">
        <f>DATA!AA121</f>
        <v>292336700</v>
      </c>
      <c r="Z114" s="83">
        <f>DATA!AG121</f>
        <v>0</v>
      </c>
      <c r="AA114" s="42">
        <f>DATA!AH121</f>
        <v>2016</v>
      </c>
      <c r="AB114" s="67" t="str">
        <f>DATA!AI121</f>
        <v>-</v>
      </c>
      <c r="AC114" s="152" t="str">
        <f>DATA!AR121</f>
        <v>belum ada dokumen R/C</v>
      </c>
      <c r="AD114" s="152" t="str">
        <f>DATA!AN121</f>
        <v>belum ada keterangan</v>
      </c>
      <c r="AE114" s="152" t="str">
        <f>DATA!AO121</f>
        <v>tidak butuh lahan</v>
      </c>
      <c r="AF114" s="67" t="str">
        <f>DATA!AJ121</f>
        <v>-</v>
      </c>
      <c r="AG114" s="67" t="str">
        <f>DATA!AK121</f>
        <v xml:space="preserve">Tidak butuh pengadaan lahan </v>
      </c>
      <c r="AH114" s="67" t="str">
        <f>DATA!AL121</f>
        <v>-</v>
      </c>
      <c r="AI114" s="42" t="str">
        <f>DATA!AR121</f>
        <v>belum ada dokumen R/C</v>
      </c>
      <c r="AJ114" s="42" t="str">
        <f>DATA!AN121</f>
        <v>belum ada keterangan</v>
      </c>
      <c r="AK114" s="42" t="str">
        <f>DATA!AO121</f>
        <v>tidak butuh lahan</v>
      </c>
      <c r="AL114" s="42" t="str">
        <f>DATA!AP121</f>
        <v>belum ada proses tender/lelang</v>
      </c>
      <c r="AM114" s="42" t="str">
        <f>DATA!AY121</f>
        <v xml:space="preserve">- Menunggu kepastian Lender
- Surat Kepala Biro Perencanaan nomor 548/BI/SRT/IX/2015 tgl 10 September 2015
</v>
      </c>
      <c r="AN114" s="42" t="e">
        <f>DATA!#REF!</f>
        <v>#REF!</v>
      </c>
      <c r="AO114" s="42">
        <f>DATA!AZ121</f>
        <v>0</v>
      </c>
      <c r="AP114" s="152" t="e">
        <f>DATA!#REF!</f>
        <v>#REF!</v>
      </c>
      <c r="AQ114" s="67" t="str">
        <f>DATA!BA121</f>
        <v>Pengadaan 3.000 km track material tipe R 60 dan pengadaan 350 unit wesel</v>
      </c>
      <c r="AR114" s="165"/>
    </row>
    <row r="115" spans="1:44" ht="75.75" customHeight="1">
      <c r="A115" s="10">
        <f>DATA!A123</f>
        <v>93</v>
      </c>
      <c r="B115" s="10">
        <f>DATA!B123</f>
        <v>0</v>
      </c>
      <c r="C115" s="10" t="str">
        <f>DATA!D123</f>
        <v>INFRASTRUKTUR</v>
      </c>
      <c r="D115" s="10">
        <f>DATA!E123</f>
        <v>3</v>
      </c>
      <c r="E115" s="10" t="str">
        <f>DATA!F123</f>
        <v>Kementerian Perhubungan</v>
      </c>
      <c r="F115" s="10" t="str">
        <f>DATA!H123</f>
        <v>Railway Development Program</v>
      </c>
      <c r="G115" s="10" t="str">
        <f>DATA!I123</f>
        <v>A</v>
      </c>
      <c r="H115" s="10" t="str">
        <f>DATA!J123</f>
        <v>Program Pengembangan Perkeretaapian</v>
      </c>
      <c r="I115" s="10">
        <f>DATA!K123</f>
        <v>2</v>
      </c>
      <c r="J115" s="33"/>
      <c r="K115" s="34"/>
      <c r="L115" s="34"/>
      <c r="M115" s="36">
        <f>DATA!K123</f>
        <v>2</v>
      </c>
      <c r="N115" s="37" t="str">
        <f>DATA!L123</f>
        <v xml:space="preserve">Construction of Jakarta Mass Rapid Transit Project - Phase II </v>
      </c>
      <c r="O115" s="20">
        <f>DATA!Q123</f>
        <v>1</v>
      </c>
      <c r="P115" s="20">
        <f>DATA!R123</f>
        <v>1</v>
      </c>
      <c r="Q115" s="20">
        <f>DATA!S123</f>
        <v>83</v>
      </c>
      <c r="R115" s="77">
        <f>DATA!T123</f>
        <v>1678000000</v>
      </c>
      <c r="S115" s="77"/>
      <c r="T115" s="77">
        <f>DATA!V123</f>
        <v>167800000</v>
      </c>
      <c r="U115" s="77">
        <f>DATA!W123</f>
        <v>0</v>
      </c>
      <c r="V115" s="77">
        <f>DATA!X123</f>
        <v>1845800000</v>
      </c>
      <c r="W115" s="78" t="str">
        <f>DATA!Y123</f>
        <v>JICA</v>
      </c>
      <c r="X115" s="20" t="str">
        <f>DATA!Z123</f>
        <v>Bilateral</v>
      </c>
      <c r="Y115" s="77">
        <f>DATA!AA123</f>
        <v>1678000000</v>
      </c>
      <c r="Z115" s="77">
        <f>DATA!AG123</f>
        <v>0</v>
      </c>
      <c r="AA115" s="20">
        <f>DATA!AH123</f>
        <v>2016</v>
      </c>
      <c r="AB115" s="37" t="str">
        <f>DATA!AI123</f>
        <v>-</v>
      </c>
      <c r="AC115" s="152" t="str">
        <f>DATA!AR123</f>
        <v>belum ada dokumen R/C</v>
      </c>
      <c r="AD115" s="152" t="str">
        <f>DATA!AN123</f>
        <v>dalam proses
(memiliki FS)</v>
      </c>
      <c r="AE115" s="152" t="str">
        <f>DATA!AO123</f>
        <v>dalam proses
(perencanaan)</v>
      </c>
      <c r="AF115" s="37" t="str">
        <f>DATA!AJ123</f>
        <v>- FS
- TOR (Disusun oleh Pemda DKI Jakarta)
-  RAB (Disusun oleh Pemda DKI Jakarta)</v>
      </c>
      <c r="AG115" s="37" t="str">
        <f>DATA!AK123</f>
        <v>Indikasi kebutuhan lahan menunggu hasil desain</v>
      </c>
      <c r="AH115" s="37" t="str">
        <f>DATA!AL123</f>
        <v>- Dilaksanakan oleh Pemda DKI Jakarta (Implementing Agency)</v>
      </c>
      <c r="AI115" s="20" t="str">
        <f>DATA!AR123</f>
        <v>belum ada dokumen R/C</v>
      </c>
      <c r="AJ115" s="20" t="str">
        <f>DATA!AN123</f>
        <v>dalam proses
(memiliki FS)</v>
      </c>
      <c r="AK115" s="20" t="str">
        <f>DATA!AO123</f>
        <v>dalam proses
(perencanaan)</v>
      </c>
      <c r="AL115" s="20" t="str">
        <f>DATA!AP123</f>
        <v>belum ada proses tender/lelang</v>
      </c>
      <c r="AM115" s="20" t="str">
        <f>DATA!AY123</f>
        <v>Surat Kepala Biro Perencanaan nomor 548/BI/SRT/IX/2015 tgl 10 September 2015</v>
      </c>
      <c r="AN115" s="20" t="e">
        <f>DATA!#REF!</f>
        <v>#REF!</v>
      </c>
      <c r="AO115" s="20">
        <f>DATA!AZ123</f>
        <v>0</v>
      </c>
      <c r="AP115" s="152" t="e">
        <f>DATA!#REF!</f>
        <v>#REF!</v>
      </c>
      <c r="AQ115" s="37" t="str">
        <f>DATA!BA123</f>
        <v>Terbangunnya jaringan MRT dari bundaran HI ke Kampung Bandan</v>
      </c>
      <c r="AR115" s="166"/>
    </row>
    <row r="116" spans="1:44" ht="74.25" customHeight="1">
      <c r="A116" s="10">
        <f>DATA!A124</f>
        <v>94</v>
      </c>
      <c r="B116" s="10">
        <f>DATA!B124</f>
        <v>0</v>
      </c>
      <c r="C116" s="10" t="str">
        <f>DATA!D124</f>
        <v>INFRASTRUKTUR</v>
      </c>
      <c r="D116" s="10">
        <f>DATA!E124</f>
        <v>3</v>
      </c>
      <c r="E116" s="10" t="str">
        <f>DATA!F124</f>
        <v>Kementerian Perhubungan</v>
      </c>
      <c r="F116" s="10" t="str">
        <f>DATA!H124</f>
        <v>Railway Development Program</v>
      </c>
      <c r="G116" s="10" t="str">
        <f>DATA!I124</f>
        <v>A</v>
      </c>
      <c r="H116" s="10" t="str">
        <f>DATA!J124</f>
        <v>Program Pengembangan Perkeretaapian</v>
      </c>
      <c r="I116" s="10">
        <f>DATA!K124</f>
        <v>3</v>
      </c>
      <c r="J116" s="33"/>
      <c r="K116" s="34"/>
      <c r="L116" s="34"/>
      <c r="M116" s="36">
        <f>DATA!K124</f>
        <v>3</v>
      </c>
      <c r="N116" s="37" t="str">
        <f>DATA!L124</f>
        <v>Construction of Jakarta Mass Rapid Transit East-West Line Project - Phase I</v>
      </c>
      <c r="O116" s="20">
        <f>DATA!Q124</f>
        <v>1</v>
      </c>
      <c r="P116" s="20">
        <f>DATA!R124</f>
        <v>1</v>
      </c>
      <c r="Q116" s="20">
        <f>DATA!S124</f>
        <v>84</v>
      </c>
      <c r="R116" s="77">
        <f>DATA!T124</f>
        <v>3572000000</v>
      </c>
      <c r="S116" s="77"/>
      <c r="T116" s="77">
        <f>DATA!V124</f>
        <v>357200000</v>
      </c>
      <c r="U116" s="77">
        <f>DATA!W124</f>
        <v>0</v>
      </c>
      <c r="V116" s="77">
        <f>DATA!X124</f>
        <v>3929200000</v>
      </c>
      <c r="W116" s="78" t="str">
        <f>DATA!Y124</f>
        <v>JICA</v>
      </c>
      <c r="X116" s="20" t="str">
        <f>DATA!Z124</f>
        <v>Bilateral</v>
      </c>
      <c r="Y116" s="77">
        <f>DATA!AA124</f>
        <v>3572000000</v>
      </c>
      <c r="Z116" s="77">
        <f>DATA!AG124</f>
        <v>0</v>
      </c>
      <c r="AA116" s="20">
        <f>DATA!AH124</f>
        <v>2018</v>
      </c>
      <c r="AB116" s="37" t="str">
        <f>DATA!AI124</f>
        <v>-</v>
      </c>
      <c r="AC116" s="152" t="str">
        <f>DATA!AR124</f>
        <v>belum ada dokumen R/C</v>
      </c>
      <c r="AD116" s="152" t="str">
        <f>DATA!AN124</f>
        <v>dalam proses
(memiliki FS)</v>
      </c>
      <c r="AE116" s="152" t="str">
        <f>DATA!AO124</f>
        <v>dalam proses
(perencanaan)</v>
      </c>
      <c r="AF116" s="37" t="str">
        <f>DATA!AJ124</f>
        <v>- FS
- TOR (Disusun oleh Pemda DKI Jakarta)
-  RAB (Disusun oleh Pemda DKI Jakarta)</v>
      </c>
      <c r="AG116" s="37" t="str">
        <f>DATA!AK124</f>
        <v>Indikasi kebutuhan lahan menunggu hasil desain</v>
      </c>
      <c r="AH116" s="37" t="str">
        <f>DATA!AL124</f>
        <v>- Dilaksanakan oleh Pemda DKI Jakarta (Implementing Agency)</v>
      </c>
      <c r="AI116" s="20" t="str">
        <f>DATA!AR124</f>
        <v>belum ada dokumen R/C</v>
      </c>
      <c r="AJ116" s="20" t="str">
        <f>DATA!AN124</f>
        <v>dalam proses
(memiliki FS)</v>
      </c>
      <c r="AK116" s="20" t="str">
        <f>DATA!AO124</f>
        <v>dalam proses
(perencanaan)</v>
      </c>
      <c r="AL116" s="20" t="str">
        <f>DATA!AP124</f>
        <v>belum ada proses tender/lelang</v>
      </c>
      <c r="AM116" s="20" t="str">
        <f>DATA!AY124</f>
        <v>Surat Kepala Biro Perencanaan nomor 548/BI/SRT/IX/2015 tgl 10 September 2015</v>
      </c>
      <c r="AN116" s="20" t="e">
        <f>DATA!#REF!</f>
        <v>#REF!</v>
      </c>
      <c r="AO116" s="20">
        <f>DATA!AZ124</f>
        <v>0</v>
      </c>
      <c r="AP116" s="152" t="e">
        <f>DATA!#REF!</f>
        <v>#REF!</v>
      </c>
      <c r="AQ116" s="37" t="str">
        <f>DATA!BA124</f>
        <v>Terbangunnya jaringan MRT dari Jakarta Timur ke Jakarta Barat</v>
      </c>
      <c r="AR116" s="166"/>
    </row>
    <row r="117" spans="1:44" ht="51">
      <c r="A117" s="10">
        <f>DATA!A125</f>
        <v>95</v>
      </c>
      <c r="B117" s="10">
        <f>DATA!B125</f>
        <v>0</v>
      </c>
      <c r="C117" s="10" t="str">
        <f>DATA!D125</f>
        <v>INFRASTRUKTUR</v>
      </c>
      <c r="D117" s="10">
        <f>DATA!E125</f>
        <v>3</v>
      </c>
      <c r="E117" s="10" t="str">
        <f>DATA!F125</f>
        <v>Kementerian Perhubungan</v>
      </c>
      <c r="F117" s="10" t="str">
        <f>DATA!H125</f>
        <v>Railway Development Program</v>
      </c>
      <c r="G117" s="10" t="str">
        <f>DATA!I125</f>
        <v>A</v>
      </c>
      <c r="H117" s="10" t="str">
        <f>DATA!J125</f>
        <v>Program Pengembangan Perkeretaapian</v>
      </c>
      <c r="I117" s="10">
        <f>DATA!K125</f>
        <v>4</v>
      </c>
      <c r="J117" s="33"/>
      <c r="K117" s="54"/>
      <c r="L117" s="54"/>
      <c r="M117" s="36">
        <f>DATA!K125</f>
        <v>4</v>
      </c>
      <c r="N117" s="37" t="str">
        <f>DATA!L125</f>
        <v xml:space="preserve">Engineering Services Jakarta Mass Rapid Transit (MRT) East West Line Project - Phase I </v>
      </c>
      <c r="O117" s="20">
        <f>DATA!Q125</f>
        <v>1</v>
      </c>
      <c r="P117" s="20">
        <f>DATA!R125</f>
        <v>1</v>
      </c>
      <c r="Q117" s="20">
        <f>DATA!S125</f>
        <v>86</v>
      </c>
      <c r="R117" s="77">
        <f>DATA!T125</f>
        <v>23000000</v>
      </c>
      <c r="S117" s="77"/>
      <c r="T117" s="77">
        <f>DATA!V125</f>
        <v>3000000</v>
      </c>
      <c r="U117" s="77">
        <f>DATA!W125</f>
        <v>0</v>
      </c>
      <c r="V117" s="77">
        <f>DATA!X125</f>
        <v>26000000</v>
      </c>
      <c r="W117" s="78" t="str">
        <f>DATA!Y125</f>
        <v>JICA</v>
      </c>
      <c r="X117" s="20" t="str">
        <f>DATA!Z125</f>
        <v>Bilateral</v>
      </c>
      <c r="Y117" s="77">
        <f>DATA!AA125</f>
        <v>23000000</v>
      </c>
      <c r="Z117" s="77">
        <f>DATA!AG125</f>
        <v>0</v>
      </c>
      <c r="AA117" s="20">
        <f>DATA!AH125</f>
        <v>2015</v>
      </c>
      <c r="AB117" s="37" t="str">
        <f>DATA!AI125</f>
        <v>- Sudah ada R/C
- Green Book 2015
- Loan Agreement tgl 4 Des'15</v>
      </c>
      <c r="AC117" s="152" t="str">
        <f>DATA!AR125</f>
        <v>Nilai pinjaman di GB 19.200 ribu</v>
      </c>
      <c r="AD117" s="152" t="str">
        <f>DATA!AN125</f>
        <v>siap</v>
      </c>
      <c r="AE117" s="152" t="str">
        <f>DATA!AO125</f>
        <v>tidak butuh lahan</v>
      </c>
      <c r="AF117" s="37" t="str">
        <f>DATA!AJ125</f>
        <v>- TOR
- RAB</v>
      </c>
      <c r="AG117" s="37" t="str">
        <f>DATA!AK125</f>
        <v>Tidak membutuhkan pengadaan lahan</v>
      </c>
      <c r="AH117" s="37" t="str">
        <f>DATA!AL125</f>
        <v xml:space="preserve">- </v>
      </c>
      <c r="AI117" s="20" t="str">
        <f>DATA!AR125</f>
        <v>Nilai pinjaman di GB 19.200 ribu</v>
      </c>
      <c r="AJ117" s="20" t="str">
        <f>DATA!AN125</f>
        <v>siap</v>
      </c>
      <c r="AK117" s="20" t="str">
        <f>DATA!AO125</f>
        <v>tidak butuh lahan</v>
      </c>
      <c r="AL117" s="20" t="str">
        <f>DATA!AP125</f>
        <v>belum ada proses tender/lelang</v>
      </c>
      <c r="AM117" s="20" t="str">
        <f>DATA!AY125</f>
        <v>Surat Kepala Biro Perencanaan nomor 548/BI/SRT/IX/2015 tgl 10 September 2015</v>
      </c>
      <c r="AN117" s="20" t="e">
        <f>DATA!#REF!</f>
        <v>#REF!</v>
      </c>
      <c r="AO117" s="20">
        <f>DATA!AZ125</f>
        <v>0</v>
      </c>
      <c r="AP117" s="152" t="e">
        <f>DATA!#REF!</f>
        <v>#REF!</v>
      </c>
      <c r="AQ117" s="37" t="str">
        <f>DATA!BA125</f>
        <v xml:space="preserve">Tersedianya DED dan dokumen tender </v>
      </c>
      <c r="AR117" s="166"/>
    </row>
    <row r="118" spans="1:44" s="4" customFormat="1" ht="24.95" customHeight="1">
      <c r="J118" s="107"/>
      <c r="K118" s="25">
        <f>DATA!E130</f>
        <v>4</v>
      </c>
      <c r="L118" s="108" t="str">
        <f>DATA!F130</f>
        <v>Pemprov. DKI Jakarta</v>
      </c>
      <c r="M118" s="25"/>
      <c r="N118" s="27"/>
      <c r="O118" s="26"/>
      <c r="P118" s="26"/>
      <c r="Q118" s="26"/>
      <c r="R118" s="80">
        <f>+R119</f>
        <v>1050000000</v>
      </c>
      <c r="S118" s="80"/>
      <c r="T118" s="80">
        <f t="shared" ref="T118:Z119" si="11">+T119</f>
        <v>150000000</v>
      </c>
      <c r="U118" s="80">
        <f t="shared" si="11"/>
        <v>0</v>
      </c>
      <c r="V118" s="80">
        <f t="shared" si="11"/>
        <v>1200000000</v>
      </c>
      <c r="W118" s="148"/>
      <c r="X118" s="80" t="str">
        <f t="shared" si="11"/>
        <v>Bilateral</v>
      </c>
      <c r="Y118" s="80">
        <f t="shared" si="11"/>
        <v>1050000000</v>
      </c>
      <c r="Z118" s="80">
        <f t="shared" si="11"/>
        <v>0</v>
      </c>
      <c r="AA118" s="26"/>
      <c r="AB118" s="27"/>
      <c r="AC118" s="27"/>
      <c r="AD118" s="27"/>
      <c r="AE118" s="27"/>
      <c r="AF118" s="27"/>
      <c r="AG118" s="27"/>
      <c r="AH118" s="27"/>
      <c r="AI118" s="26"/>
      <c r="AJ118" s="26"/>
      <c r="AK118" s="26"/>
      <c r="AL118" s="26"/>
      <c r="AM118" s="26"/>
      <c r="AN118" s="26"/>
      <c r="AO118" s="26"/>
      <c r="AP118" s="27"/>
      <c r="AQ118" s="27"/>
      <c r="AR118" s="159"/>
    </row>
    <row r="119" spans="1:44" s="5" customFormat="1" ht="33.75" customHeight="1">
      <c r="J119" s="28"/>
      <c r="K119" s="29"/>
      <c r="L119" s="30" t="str">
        <f>DATA!I130</f>
        <v>A</v>
      </c>
      <c r="M119" s="31" t="str">
        <f>DATA!J130</f>
        <v>Program Pengembangan Perkeretaapian</v>
      </c>
      <c r="N119" s="51"/>
      <c r="O119" s="31"/>
      <c r="P119" s="31"/>
      <c r="Q119" s="31"/>
      <c r="R119" s="81">
        <f>+R120</f>
        <v>1050000000</v>
      </c>
      <c r="S119" s="81"/>
      <c r="T119" s="81">
        <f t="shared" si="11"/>
        <v>150000000</v>
      </c>
      <c r="U119" s="81">
        <f t="shared" si="11"/>
        <v>0</v>
      </c>
      <c r="V119" s="81">
        <f t="shared" si="11"/>
        <v>1200000000</v>
      </c>
      <c r="W119" s="149"/>
      <c r="X119" s="81" t="str">
        <f t="shared" si="11"/>
        <v>Bilateral</v>
      </c>
      <c r="Y119" s="81">
        <f t="shared" si="11"/>
        <v>1050000000</v>
      </c>
      <c r="Z119" s="81">
        <f t="shared" si="11"/>
        <v>0</v>
      </c>
      <c r="AA119" s="31"/>
      <c r="AB119" s="32"/>
      <c r="AC119" s="32"/>
      <c r="AD119" s="32"/>
      <c r="AE119" s="32"/>
      <c r="AF119" s="32"/>
      <c r="AG119" s="32"/>
      <c r="AH119" s="32"/>
      <c r="AI119" s="31"/>
      <c r="AJ119" s="31"/>
      <c r="AK119" s="31"/>
      <c r="AL119" s="31"/>
      <c r="AM119" s="31"/>
      <c r="AN119" s="31"/>
      <c r="AO119" s="31"/>
      <c r="AP119" s="32"/>
      <c r="AQ119" s="32"/>
      <c r="AR119" s="160"/>
    </row>
    <row r="120" spans="1:44" ht="45.75" customHeight="1">
      <c r="A120" s="10">
        <f>DATA!A130</f>
        <v>96</v>
      </c>
      <c r="B120" s="10">
        <f>DATA!B130</f>
        <v>0</v>
      </c>
      <c r="C120" s="10" t="str">
        <f>DATA!D130</f>
        <v>INFRASTRUKTUR</v>
      </c>
      <c r="D120" s="10">
        <f>DATA!E130</f>
        <v>4</v>
      </c>
      <c r="E120" s="10" t="str">
        <f>DATA!F130</f>
        <v>Pemprov. DKI Jakarta</v>
      </c>
      <c r="F120" s="10" t="str">
        <f>DATA!H130</f>
        <v>Railway Development Program</v>
      </c>
      <c r="G120" s="10" t="str">
        <f>DATA!I130</f>
        <v>A</v>
      </c>
      <c r="H120" s="10" t="str">
        <f>DATA!J130</f>
        <v>Program Pengembangan Perkeretaapian</v>
      </c>
      <c r="I120" s="10">
        <f>DATA!K130</f>
        <v>1</v>
      </c>
      <c r="J120" s="33"/>
      <c r="K120" s="54"/>
      <c r="L120" s="20"/>
      <c r="M120" s="20">
        <f>DATA!K130</f>
        <v>1</v>
      </c>
      <c r="N120" s="37" t="str">
        <f>DATA!L130</f>
        <v>Construction of Jakarta Mass Rapid Transit Project</v>
      </c>
      <c r="O120" s="20">
        <f>DATA!Q130</f>
        <v>1</v>
      </c>
      <c r="P120" s="20">
        <f>DATA!R130</f>
        <v>1</v>
      </c>
      <c r="Q120" s="20">
        <f>DATA!S130</f>
        <v>85</v>
      </c>
      <c r="R120" s="77">
        <f>DATA!T130</f>
        <v>1050000000</v>
      </c>
      <c r="S120" s="77"/>
      <c r="T120" s="77">
        <f>DATA!V130</f>
        <v>150000000</v>
      </c>
      <c r="U120" s="77">
        <f>DATA!W130</f>
        <v>0</v>
      </c>
      <c r="V120" s="77">
        <f>DATA!X130</f>
        <v>1200000000</v>
      </c>
      <c r="W120" s="78" t="str">
        <f>DATA!Y130</f>
        <v>JICA</v>
      </c>
      <c r="X120" s="20" t="str">
        <f>DATA!Z130</f>
        <v>Bilateral</v>
      </c>
      <c r="Y120" s="77">
        <f>DATA!AA130</f>
        <v>1050000000</v>
      </c>
      <c r="Z120" s="77">
        <f>DATA!AG130</f>
        <v>0</v>
      </c>
      <c r="AA120" s="20">
        <f>DATA!AH130</f>
        <v>2016</v>
      </c>
      <c r="AB120" s="37" t="str">
        <f>DATA!AI130</f>
        <v>- Sudah ada R/C
- Green Book 2015
- Loan Agreement tgl 4 Des'15</v>
      </c>
      <c r="AC120" s="152" t="str">
        <f>DATA!AR130</f>
        <v>Nilai pinjaman di GB USD 752.200 ribu</v>
      </c>
      <c r="AD120" s="152" t="str">
        <f>DATA!AN130</f>
        <v>siap</v>
      </c>
      <c r="AE120" s="152" t="str">
        <f>DATA!AO130</f>
        <v>siap</v>
      </c>
      <c r="AF120" s="37" t="str">
        <f>DATA!AJ130</f>
        <v>- TOR
- RAB</v>
      </c>
      <c r="AG120" s="114">
        <f>DATA!AK130</f>
        <v>1</v>
      </c>
      <c r="AH120" s="37" t="str">
        <f>DATA!AL130</f>
        <v>- Menunggu penandatanganan Loan Agreement</v>
      </c>
      <c r="AI120" s="20" t="str">
        <f>DATA!AR130</f>
        <v>Nilai pinjaman di GB USD 752.200 ribu</v>
      </c>
      <c r="AJ120" s="20" t="str">
        <f>DATA!AN130</f>
        <v>siap</v>
      </c>
      <c r="AK120" s="20" t="str">
        <f>DATA!AO130</f>
        <v>siap</v>
      </c>
      <c r="AL120" s="20" t="str">
        <f>DATA!AP130</f>
        <v>dalam proses tender/lelang</v>
      </c>
      <c r="AM120" s="20" t="str">
        <f>DATA!AY130</f>
        <v>Belum ada konfirmasi. Berdasarkan data dokumen kesiapan (RC)</v>
      </c>
      <c r="AN120" s="20" t="e">
        <f>DATA!#REF!</f>
        <v>#REF!</v>
      </c>
      <c r="AO120" s="20">
        <f>DATA!AZ130</f>
        <v>0</v>
      </c>
      <c r="AP120" s="152" t="e">
        <f>DATA!#REF!</f>
        <v>#REF!</v>
      </c>
      <c r="AQ120" s="37" t="str">
        <f>DATA!BA130</f>
        <v>Terbangunnya jaringan MRT dari Utara ke Selatan</v>
      </c>
      <c r="AR120" s="166"/>
    </row>
    <row r="121" spans="1:44" s="4" customFormat="1" ht="24.95" customHeight="1">
      <c r="J121" s="107"/>
      <c r="K121" s="25">
        <f>DATA!E135</f>
        <v>5</v>
      </c>
      <c r="L121" s="108" t="str">
        <f>DATA!F135</f>
        <v>Kementerian Komunikasi dan Informatika</v>
      </c>
      <c r="M121" s="25"/>
      <c r="N121" s="27"/>
      <c r="O121" s="26"/>
      <c r="P121" s="26"/>
      <c r="Q121" s="26"/>
      <c r="R121" s="80">
        <f>+R122</f>
        <v>1056000000</v>
      </c>
      <c r="S121" s="80"/>
      <c r="T121" s="80">
        <f t="shared" ref="T121:Z121" si="12">+T122</f>
        <v>86000000</v>
      </c>
      <c r="U121" s="80">
        <f t="shared" si="12"/>
        <v>10000000</v>
      </c>
      <c r="V121" s="80">
        <f t="shared" si="12"/>
        <v>1152000000</v>
      </c>
      <c r="W121" s="148"/>
      <c r="X121" s="80" t="e">
        <f t="shared" si="12"/>
        <v>#VALUE!</v>
      </c>
      <c r="Y121" s="80">
        <f t="shared" si="12"/>
        <v>1056000000</v>
      </c>
      <c r="Z121" s="80">
        <f t="shared" si="12"/>
        <v>-411000000</v>
      </c>
      <c r="AA121" s="26"/>
      <c r="AB121" s="27"/>
      <c r="AC121" s="27"/>
      <c r="AD121" s="27"/>
      <c r="AE121" s="27"/>
      <c r="AF121" s="27"/>
      <c r="AG121" s="27"/>
      <c r="AH121" s="27"/>
      <c r="AI121" s="26"/>
      <c r="AJ121" s="26"/>
      <c r="AK121" s="26"/>
      <c r="AL121" s="26"/>
      <c r="AM121" s="26"/>
      <c r="AN121" s="26"/>
      <c r="AO121" s="26"/>
      <c r="AP121" s="27"/>
      <c r="AQ121" s="27"/>
      <c r="AR121" s="159"/>
    </row>
    <row r="122" spans="1:44" s="5" customFormat="1" ht="33.75" customHeight="1">
      <c r="J122" s="28"/>
      <c r="K122" s="29"/>
      <c r="L122" s="30" t="str">
        <f>DATA!I135</f>
        <v>A</v>
      </c>
      <c r="M122" s="31" t="str">
        <f>DATA!J135</f>
        <v>Program Pengembangan Infrastruktur TIK dan Penyiaran</v>
      </c>
      <c r="N122" s="51"/>
      <c r="O122" s="31"/>
      <c r="P122" s="31"/>
      <c r="Q122" s="31"/>
      <c r="R122" s="81">
        <f>+R123+R124+R125</f>
        <v>1056000000</v>
      </c>
      <c r="S122" s="81"/>
      <c r="T122" s="81">
        <f t="shared" ref="T122:Z122" si="13">+T123+T124+T125</f>
        <v>86000000</v>
      </c>
      <c r="U122" s="81">
        <f t="shared" si="13"/>
        <v>10000000</v>
      </c>
      <c r="V122" s="81">
        <f t="shared" si="13"/>
        <v>1152000000</v>
      </c>
      <c r="W122" s="149"/>
      <c r="X122" s="81" t="e">
        <f t="shared" si="13"/>
        <v>#VALUE!</v>
      </c>
      <c r="Y122" s="81">
        <f t="shared" si="13"/>
        <v>1056000000</v>
      </c>
      <c r="Z122" s="81">
        <f t="shared" si="13"/>
        <v>-411000000</v>
      </c>
      <c r="AA122" s="31"/>
      <c r="AB122" s="32"/>
      <c r="AC122" s="32"/>
      <c r="AD122" s="32"/>
      <c r="AE122" s="32"/>
      <c r="AF122" s="32"/>
      <c r="AG122" s="32"/>
      <c r="AH122" s="32"/>
      <c r="AI122" s="31"/>
      <c r="AJ122" s="31"/>
      <c r="AK122" s="31"/>
      <c r="AL122" s="31"/>
      <c r="AM122" s="31"/>
      <c r="AN122" s="31"/>
      <c r="AO122" s="31"/>
      <c r="AP122" s="32"/>
      <c r="AQ122" s="32"/>
      <c r="AR122" s="160"/>
    </row>
    <row r="123" spans="1:44" ht="71.25" customHeight="1">
      <c r="A123" s="10">
        <f>DATA!A135</f>
        <v>97</v>
      </c>
      <c r="B123" s="10">
        <f>DATA!B135</f>
        <v>0</v>
      </c>
      <c r="C123" s="10" t="str">
        <f>DATA!D135</f>
        <v>INFRASTRUKTUR</v>
      </c>
      <c r="D123" s="10">
        <f>DATA!E135</f>
        <v>5</v>
      </c>
      <c r="E123" s="10" t="str">
        <f>DATA!F135</f>
        <v>Kementerian Komunikasi dan Informatika</v>
      </c>
      <c r="F123" s="10" t="str">
        <f>DATA!H135</f>
        <v>Information Communication And Technology (ICT) And Broadcasting Infrastructure Development Program</v>
      </c>
      <c r="G123" s="10" t="str">
        <f>DATA!I135</f>
        <v>A</v>
      </c>
      <c r="H123" s="10" t="str">
        <f>DATA!J135</f>
        <v>Program Pengembangan Infrastruktur TIK dan Penyiaran</v>
      </c>
      <c r="I123" s="10">
        <f>DATA!K135</f>
        <v>1</v>
      </c>
      <c r="J123" s="33"/>
      <c r="K123" s="34"/>
      <c r="L123" s="35"/>
      <c r="M123" s="36">
        <f>DATA!K135</f>
        <v>1</v>
      </c>
      <c r="N123" s="37" t="str">
        <f>DATA!L135</f>
        <v>Improvement on TV Transmitting Stations (Digitalization of TVRI) - Phase III</v>
      </c>
      <c r="O123" s="20">
        <f>DATA!Q135</f>
        <v>1</v>
      </c>
      <c r="P123" s="20">
        <f>DATA!R135</f>
        <v>1</v>
      </c>
      <c r="Q123" s="20">
        <f>DATA!S135</f>
        <v>87</v>
      </c>
      <c r="R123" s="77">
        <f>DATA!T135</f>
        <v>411000000</v>
      </c>
      <c r="S123" s="77"/>
      <c r="T123" s="77">
        <f>DATA!V135</f>
        <v>41000000</v>
      </c>
      <c r="U123" s="77">
        <f>DATA!W135</f>
        <v>0</v>
      </c>
      <c r="V123" s="77">
        <f>DATA!X135</f>
        <v>452000000</v>
      </c>
      <c r="W123" s="78" t="str">
        <f>DATA!Y135</f>
        <v>Belum Ada Indikasi</v>
      </c>
      <c r="X123" s="20" t="str">
        <f>DATA!Z135</f>
        <v>Belum Ada Indikasi</v>
      </c>
      <c r="Y123" s="77">
        <f>DATA!AA135</f>
        <v>411000000</v>
      </c>
      <c r="Z123" s="77">
        <f>DATA!AG135</f>
        <v>-411000000</v>
      </c>
      <c r="AA123" s="20" t="str">
        <f>DATA!AH135</f>
        <v>Tanpa keterangan</v>
      </c>
      <c r="AB123" s="37" t="str">
        <f>DATA!AI135</f>
        <v>(tidak ada data)</v>
      </c>
      <c r="AC123" s="152" t="str">
        <f>DATA!AR135</f>
        <v>belum ada dokumen R/C</v>
      </c>
      <c r="AD123" s="152" t="str">
        <f>DATA!AN135</f>
        <v>dalam proses
(penyusunan FS)</v>
      </c>
      <c r="AE123" s="152" t="str">
        <f>DATA!AO135</f>
        <v>siap</v>
      </c>
      <c r="AF123" s="37" t="str">
        <f>DATA!AJ135</f>
        <v>Persiapan penyusunan FS</v>
      </c>
      <c r="AG123" s="37" t="str">
        <f>DATA!AK135</f>
        <v>Menggunakan lahan milik TVRI</v>
      </c>
      <c r="AH123" s="37" t="str">
        <f>DATA!AL135</f>
        <v>Belum ada lelang/tender</v>
      </c>
      <c r="AI123" s="20" t="str">
        <f>DATA!AR135</f>
        <v>belum ada dokumen R/C</v>
      </c>
      <c r="AJ123" s="20" t="str">
        <f>DATA!AN135</f>
        <v>dalam proses
(penyusunan FS)</v>
      </c>
      <c r="AK123" s="20" t="str">
        <f>DATA!AO135</f>
        <v>siap</v>
      </c>
      <c r="AL123" s="20" t="str">
        <f>DATA!AP135</f>
        <v>belum ada proses tender/lelang</v>
      </c>
      <c r="AM123" s="20" t="str">
        <f>DATA!AY135</f>
        <v xml:space="preserve">- Belum ada indikasi Lender, Dit. Telsus sedang melakukan penjajakan, belum bisa diidentifikasikan sampai proses penjajakan selesai
- Surat Karoren Kem. Kominfo nomor S-1075/KOMINFO/SJ.1/PR.01.01/09/2015 tgl 9 September 2015
</v>
      </c>
      <c r="AN123" s="20" t="e">
        <f>DATA!#REF!</f>
        <v>#REF!</v>
      </c>
      <c r="AO123" s="20">
        <f>DATA!AZ135</f>
        <v>0</v>
      </c>
      <c r="AP123" s="152" t="e">
        <f>DATA!#REF!</f>
        <v>#REF!</v>
      </c>
      <c r="AQ123" s="37" t="str">
        <f>DATA!BA135</f>
        <v>Pengadaan peralatan dan mesin untuk rehabilitasi fasilitas produksi dan pemancar TVRI dari sistem analog ke digital untuk: 29 studio (7 di pusat dan 22 di daerah), 250 stasiun transmisi, 30 lokasi untuk ICT Broadcast</v>
      </c>
      <c r="AR123" s="166"/>
    </row>
    <row r="124" spans="1:44" ht="81" customHeight="1">
      <c r="A124" s="10">
        <f>DATA!A136</f>
        <v>98</v>
      </c>
      <c r="B124" s="10">
        <f>DATA!B136</f>
        <v>0</v>
      </c>
      <c r="C124" s="10" t="str">
        <f>DATA!D136</f>
        <v>INFRASTRUKTUR</v>
      </c>
      <c r="D124" s="10">
        <f>DATA!E136</f>
        <v>5</v>
      </c>
      <c r="E124" s="10" t="str">
        <f>DATA!F136</f>
        <v>Kementerian Komunikasi dan Informatika</v>
      </c>
      <c r="F124" s="10" t="str">
        <f>DATA!H136</f>
        <v>Information Communication And Technology (ICT) And Broadcasting Infrastructure Development Program</v>
      </c>
      <c r="G124" s="10" t="str">
        <f>DATA!I136</f>
        <v>A</v>
      </c>
      <c r="H124" s="10" t="str">
        <f>DATA!J136</f>
        <v>Program Pengembangan Infrastruktur TIK dan Penyiaran</v>
      </c>
      <c r="I124" s="10">
        <f>DATA!K136</f>
        <v>2</v>
      </c>
      <c r="J124" s="33"/>
      <c r="K124" s="34"/>
      <c r="L124" s="34"/>
      <c r="M124" s="36">
        <f>DATA!K136</f>
        <v>2</v>
      </c>
      <c r="N124" s="37" t="str">
        <f>DATA!L136</f>
        <v>Strengthening of e-Government Infrastructure</v>
      </c>
      <c r="O124" s="20">
        <f>DATA!Q136</f>
        <v>1</v>
      </c>
      <c r="P124" s="20">
        <f>DATA!R136</f>
        <v>1</v>
      </c>
      <c r="Q124" s="20">
        <f>DATA!S136</f>
        <v>88</v>
      </c>
      <c r="R124" s="77">
        <f>DATA!T136</f>
        <v>145000000</v>
      </c>
      <c r="S124" s="77"/>
      <c r="T124" s="77">
        <f>DATA!V136</f>
        <v>20000000</v>
      </c>
      <c r="U124" s="77">
        <f>DATA!W136</f>
        <v>10000000</v>
      </c>
      <c r="V124" s="77">
        <f>DATA!X136</f>
        <v>175000000</v>
      </c>
      <c r="W124" s="78" t="str">
        <f>DATA!Y136</f>
        <v>Korea</v>
      </c>
      <c r="X124" s="20" t="str">
        <f>DATA!Z136</f>
        <v>Bilateral</v>
      </c>
      <c r="Y124" s="77">
        <f>DATA!AA136</f>
        <v>145000000</v>
      </c>
      <c r="Z124" s="77">
        <f>DATA!AG136</f>
        <v>0</v>
      </c>
      <c r="AA124" s="20" t="str">
        <f>DATA!AH136</f>
        <v>Tanpa keterangan</v>
      </c>
      <c r="AB124" s="37" t="str">
        <f>DATA!AI136</f>
        <v>Persiapan penyusunan R/C</v>
      </c>
      <c r="AC124" s="152" t="str">
        <f>DATA!AR136</f>
        <v>penyiapan dokumen R/C</v>
      </c>
      <c r="AD124" s="152" t="str">
        <f>DATA!AN136</f>
        <v>dalam proses
(penyusunan FS)</v>
      </c>
      <c r="AE124" s="152" t="str">
        <f>DATA!AO136</f>
        <v>dalam proses
(persiapan)</v>
      </c>
      <c r="AF124" s="37" t="str">
        <f>DATA!AJ136</f>
        <v>Persiapan penyusunan FS dan DED</v>
      </c>
      <c r="AG124" s="37" t="str">
        <f>DATA!AK136</f>
        <v>Permohonan ijin lokasi kepada Gubernur Kaltim telah direspon persetujuan menunggu survey</v>
      </c>
      <c r="AH124" s="37" t="str">
        <f>DATA!AL136</f>
        <v>Belum ada lelang/tender</v>
      </c>
      <c r="AI124" s="20" t="str">
        <f>DATA!AR136</f>
        <v>penyiapan dokumen R/C</v>
      </c>
      <c r="AJ124" s="20" t="str">
        <f>DATA!AN136</f>
        <v>dalam proses
(penyusunan FS)</v>
      </c>
      <c r="AK124" s="20" t="str">
        <f>DATA!AO136</f>
        <v>dalam proses
(persiapan)</v>
      </c>
      <c r="AL124" s="20" t="str">
        <f>DATA!AP136</f>
        <v>belum ada proses tender/lelang</v>
      </c>
      <c r="AM124"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N124" s="20" t="e">
        <f>DATA!#REF!</f>
        <v>#REF!</v>
      </c>
      <c r="AO124" s="20">
        <f>DATA!AZ136</f>
        <v>0</v>
      </c>
      <c r="AP124" s="152" t="e">
        <f>DATA!#REF!</f>
        <v>#REF!</v>
      </c>
      <c r="AQ124" s="37" t="str">
        <f>DATA!BA136</f>
        <v>Pembangunan Data Center (DC) Nasional, pembangunan Disaster Recovery Center (DRC), pembangunan National Network Operation Center (NNOC),  sistem Government-Certification of Authority (Govt-CA),  dan penyediaan bandwidth selama 3 tahun.</v>
      </c>
      <c r="AR124" s="166"/>
    </row>
    <row r="125" spans="1:44" ht="38.25" customHeight="1">
      <c r="A125" s="10">
        <f>DATA!A137</f>
        <v>99</v>
      </c>
      <c r="B125" s="10">
        <f>DATA!B137</f>
        <v>0</v>
      </c>
      <c r="C125" s="10" t="str">
        <f>DATA!D137</f>
        <v>INFRASTRUKTUR</v>
      </c>
      <c r="D125" s="10">
        <f>DATA!E137</f>
        <v>5</v>
      </c>
      <c r="E125" s="10" t="str">
        <f>DATA!F137</f>
        <v>Kementerian Komunikasi dan Informatika</v>
      </c>
      <c r="F125" s="10" t="str">
        <f>DATA!H137</f>
        <v>Information Communication And Technology (ICT) And Broadcasting Infrastructure Development Program</v>
      </c>
      <c r="G125" s="10" t="str">
        <f>DATA!I137</f>
        <v>A</v>
      </c>
      <c r="H125" s="10" t="str">
        <f>DATA!J137</f>
        <v>Program Pengembangan Infrastruktur TIK dan Penyiaran</v>
      </c>
      <c r="I125" s="10">
        <f>DATA!K137</f>
        <v>3</v>
      </c>
      <c r="J125" s="33"/>
      <c r="K125" s="54"/>
      <c r="L125" s="54"/>
      <c r="M125" s="36">
        <f>DATA!K137</f>
        <v>3</v>
      </c>
      <c r="N125" s="37" t="str">
        <f>DATA!L137</f>
        <v>National Fiber Optic Backbone (Palapa Ring)</v>
      </c>
      <c r="O125" s="20">
        <f>DATA!Q137</f>
        <v>1</v>
      </c>
      <c r="P125" s="20">
        <f>DATA!R137</f>
        <v>1</v>
      </c>
      <c r="Q125" s="20">
        <f>DATA!S137</f>
        <v>89</v>
      </c>
      <c r="R125" s="77">
        <f>DATA!T137</f>
        <v>500000000</v>
      </c>
      <c r="S125" s="77"/>
      <c r="T125" s="77">
        <f>DATA!V137</f>
        <v>25000000</v>
      </c>
      <c r="U125" s="77">
        <f>DATA!W137</f>
        <v>0</v>
      </c>
      <c r="V125" s="77">
        <f>DATA!X137</f>
        <v>525000000</v>
      </c>
      <c r="W125" s="78" t="str">
        <f>DATA!Y137</f>
        <v>KPS</v>
      </c>
      <c r="X125" s="20" t="str">
        <f>DATA!Z137</f>
        <v>Dipindahkan ke KPS</v>
      </c>
      <c r="Y125" s="77">
        <f>DATA!AA137</f>
        <v>500000000</v>
      </c>
      <c r="Z125" s="77">
        <f>DATA!AG137</f>
        <v>0</v>
      </c>
      <c r="AA125" s="20" t="str">
        <f>DATA!AH137</f>
        <v>Tanpa keterangan</v>
      </c>
      <c r="AB125" s="37" t="str">
        <f>DATA!AI137</f>
        <v>-</v>
      </c>
      <c r="AC125" s="152">
        <f>DATA!AM137</f>
        <v>0</v>
      </c>
      <c r="AD125" s="152" t="str">
        <f>DATA!AN137</f>
        <v>belum ada keterangan</v>
      </c>
      <c r="AE125" s="152" t="str">
        <f>DATA!AO137</f>
        <v>belum ada keterangan</v>
      </c>
      <c r="AF125" s="37" t="str">
        <f>DATA!AJ137</f>
        <v>-</v>
      </c>
      <c r="AG125" s="37" t="str">
        <f>DATA!AK137</f>
        <v>-</v>
      </c>
      <c r="AH125" s="37" t="str">
        <f>DATA!AL137</f>
        <v>-</v>
      </c>
      <c r="AI125" s="20">
        <f>DATA!AM137</f>
        <v>0</v>
      </c>
      <c r="AJ125" s="20" t="str">
        <f>DATA!AN137</f>
        <v>belum ada keterangan</v>
      </c>
      <c r="AK125" s="20" t="str">
        <f>DATA!AO137</f>
        <v>belum ada keterangan</v>
      </c>
      <c r="AL125" s="20" t="str">
        <f>DATA!AP137</f>
        <v>belum ada proses tender/lelang</v>
      </c>
      <c r="AM125"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N125" s="20" t="e">
        <f>DATA!#REF!</f>
        <v>#REF!</v>
      </c>
      <c r="AO125" s="20">
        <f>DATA!AZ137</f>
        <v>0</v>
      </c>
      <c r="AP125" s="152" t="e">
        <f>DATA!#REF!</f>
        <v>#REF!</v>
      </c>
      <c r="AQ125" s="37" t="str">
        <f>DATA!BA137</f>
        <v>Pembangunan jaringan telekomunikasi pitalebar/broadband Palapa Ring di 51 kabupaten/kota.</v>
      </c>
      <c r="AR125" s="166"/>
    </row>
    <row r="126" spans="1:44" s="4" customFormat="1" ht="24.95" customHeight="1">
      <c r="J126" s="107"/>
      <c r="K126" s="25">
        <f>DATA!E138</f>
        <v>6</v>
      </c>
      <c r="L126" s="108" t="str">
        <f>DATA!F138</f>
        <v>Kepolisian RI</v>
      </c>
      <c r="M126" s="25"/>
      <c r="N126" s="27"/>
      <c r="O126" s="26"/>
      <c r="P126" s="26"/>
      <c r="Q126" s="26"/>
      <c r="R126" s="80">
        <f>+R127</f>
        <v>20000000</v>
      </c>
      <c r="S126" s="80"/>
      <c r="T126" s="80">
        <f t="shared" ref="T126:Z127" si="14">+T127</f>
        <v>3500000</v>
      </c>
      <c r="U126" s="80">
        <f t="shared" si="14"/>
        <v>0</v>
      </c>
      <c r="V126" s="80">
        <f t="shared" si="14"/>
        <v>23500000</v>
      </c>
      <c r="W126" s="148"/>
      <c r="X126" s="80" t="str">
        <f t="shared" si="14"/>
        <v>Bilateral</v>
      </c>
      <c r="Y126" s="80">
        <f t="shared" si="14"/>
        <v>20000000</v>
      </c>
      <c r="Z126" s="80">
        <f t="shared" si="14"/>
        <v>0</v>
      </c>
      <c r="AA126" s="26"/>
      <c r="AB126" s="27"/>
      <c r="AC126" s="27"/>
      <c r="AD126" s="27"/>
      <c r="AE126" s="27"/>
      <c r="AF126" s="27"/>
      <c r="AG126" s="27"/>
      <c r="AH126" s="27"/>
      <c r="AI126" s="26"/>
      <c r="AJ126" s="26"/>
      <c r="AK126" s="26"/>
      <c r="AL126" s="26"/>
      <c r="AM126" s="26"/>
      <c r="AN126" s="26"/>
      <c r="AO126" s="26"/>
      <c r="AP126" s="27"/>
      <c r="AQ126" s="27"/>
      <c r="AR126" s="159"/>
    </row>
    <row r="127" spans="1:44" s="5" customFormat="1" ht="33.75" customHeight="1">
      <c r="J127" s="28"/>
      <c r="K127" s="29"/>
      <c r="L127" s="30" t="str">
        <f>DATA!I138</f>
        <v>A</v>
      </c>
      <c r="M127" s="31" t="str">
        <f>DATA!J138</f>
        <v>Program Pengembangan Infrastruktur TIK dan Penyiaran</v>
      </c>
      <c r="N127" s="51"/>
      <c r="O127" s="31"/>
      <c r="P127" s="31"/>
      <c r="Q127" s="31"/>
      <c r="R127" s="81">
        <f>+R128</f>
        <v>20000000</v>
      </c>
      <c r="S127" s="81"/>
      <c r="T127" s="81">
        <f t="shared" si="14"/>
        <v>3500000</v>
      </c>
      <c r="U127" s="81">
        <f t="shared" si="14"/>
        <v>0</v>
      </c>
      <c r="V127" s="81">
        <f t="shared" si="14"/>
        <v>23500000</v>
      </c>
      <c r="W127" s="149"/>
      <c r="X127" s="81" t="str">
        <f t="shared" si="14"/>
        <v>Bilateral</v>
      </c>
      <c r="Y127" s="81">
        <f t="shared" si="14"/>
        <v>20000000</v>
      </c>
      <c r="Z127" s="81">
        <f t="shared" si="14"/>
        <v>0</v>
      </c>
      <c r="AA127" s="31"/>
      <c r="AB127" s="32"/>
      <c r="AC127" s="32"/>
      <c r="AD127" s="32"/>
      <c r="AE127" s="32"/>
      <c r="AF127" s="32"/>
      <c r="AG127" s="32"/>
      <c r="AH127" s="32"/>
      <c r="AI127" s="31"/>
      <c r="AJ127" s="31"/>
      <c r="AK127" s="31"/>
      <c r="AL127" s="31"/>
      <c r="AM127" s="31"/>
      <c r="AN127" s="31"/>
      <c r="AO127" s="31"/>
      <c r="AP127" s="32"/>
      <c r="AQ127" s="32"/>
      <c r="AR127" s="160"/>
    </row>
    <row r="128" spans="1:44" ht="47.25" customHeight="1">
      <c r="A128" s="10">
        <f>DATA!A138</f>
        <v>100</v>
      </c>
      <c r="B128" s="10">
        <f>DATA!B138</f>
        <v>0</v>
      </c>
      <c r="C128" s="10" t="str">
        <f>DATA!D138</f>
        <v>INFRASTRUKTUR</v>
      </c>
      <c r="D128" s="10">
        <f>DATA!E138</f>
        <v>6</v>
      </c>
      <c r="E128" s="10" t="str">
        <f>DATA!F138</f>
        <v>Kepolisian RI</v>
      </c>
      <c r="F128" s="10" t="str">
        <f>DATA!H138</f>
        <v>Information Communication And Technology (ICT) And Broadcasting Infrastructure Development Program</v>
      </c>
      <c r="G128" s="10" t="str">
        <f>DATA!I138</f>
        <v>A</v>
      </c>
      <c r="H128" s="10" t="str">
        <f>DATA!J138</f>
        <v>Program Pengembangan Infrastruktur TIK dan Penyiaran</v>
      </c>
      <c r="I128" s="10">
        <f>DATA!K138</f>
        <v>1</v>
      </c>
      <c r="J128" s="33"/>
      <c r="K128" s="54"/>
      <c r="L128" s="20"/>
      <c r="M128" s="36">
        <f>DATA!K138</f>
        <v>1</v>
      </c>
      <c r="N128" s="37" t="str">
        <f>DATA!L138</f>
        <v>National Criminal Information Center for Indonesian National Police - Phase II</v>
      </c>
      <c r="O128" s="20">
        <f>DATA!Q138</f>
        <v>1</v>
      </c>
      <c r="P128" s="20">
        <f>DATA!R138</f>
        <v>1</v>
      </c>
      <c r="Q128" s="20">
        <f>DATA!S138</f>
        <v>90</v>
      </c>
      <c r="R128" s="77">
        <f>DATA!T138</f>
        <v>20000000</v>
      </c>
      <c r="S128" s="77"/>
      <c r="T128" s="77">
        <f>DATA!V138</f>
        <v>3500000</v>
      </c>
      <c r="U128" s="77">
        <f>DATA!W138</f>
        <v>0</v>
      </c>
      <c r="V128" s="77">
        <f>DATA!X138</f>
        <v>23500000</v>
      </c>
      <c r="W128" s="78" t="str">
        <f>DATA!Y138</f>
        <v>Korea</v>
      </c>
      <c r="X128" s="20" t="str">
        <f>DATA!Z138</f>
        <v>Bilateral</v>
      </c>
      <c r="Y128" s="77">
        <f>DATA!AA138</f>
        <v>20000000</v>
      </c>
      <c r="Z128" s="77">
        <f>DATA!AG138</f>
        <v>0</v>
      </c>
      <c r="AA128" s="20" t="str">
        <f>DATA!AH138</f>
        <v>Tanpa keterangan</v>
      </c>
      <c r="AB128" s="37" t="str">
        <f>DATA!AI138</f>
        <v xml:space="preserve">- Sudah ada R/C
- Green Book 2015
</v>
      </c>
      <c r="AC128" s="152">
        <f>DATA!AM138</f>
        <v>2015</v>
      </c>
      <c r="AD128" s="152" t="str">
        <f>DATA!AN138</f>
        <v>siap</v>
      </c>
      <c r="AE128" s="152" t="str">
        <f>DATA!AO138</f>
        <v>tidak butuh lahan</v>
      </c>
      <c r="AF128" s="37" t="str">
        <f>DATA!AJ138</f>
        <v>FS, AMDAL</v>
      </c>
      <c r="AG128" s="37" t="str">
        <f>DATA!AK138</f>
        <v>Tidak butuh lahan</v>
      </c>
      <c r="AH128" s="37" t="str">
        <f>DATA!AL138</f>
        <v>- Dalam proses penandatanganan perjanjian pinjaman</v>
      </c>
      <c r="AI128" s="20">
        <f>DATA!AM138</f>
        <v>2015</v>
      </c>
      <c r="AJ128" s="20" t="str">
        <f>DATA!AN138</f>
        <v>siap</v>
      </c>
      <c r="AK128" s="20" t="str">
        <f>DATA!AO138</f>
        <v>tidak butuh lahan</v>
      </c>
      <c r="AL128" s="20" t="str">
        <f>DATA!AP138</f>
        <v>dalam proses tender/lelang</v>
      </c>
      <c r="AM128" s="20" t="str">
        <f>DATA!AY138</f>
        <v>Belum ada konfirmasi. Berdasarkan data dokumen kesiapan (RC)</v>
      </c>
      <c r="AN128" s="20" t="e">
        <f>DATA!#REF!</f>
        <v>#REF!</v>
      </c>
      <c r="AO128" s="20">
        <f>DATA!AZ138</f>
        <v>0</v>
      </c>
      <c r="AP128" s="152" t="e">
        <f>DATA!#REF!</f>
        <v>#REF!</v>
      </c>
      <c r="AQ128" s="37" t="str">
        <f>DATA!BA138</f>
        <v>Pengembangan proyek PIKNAS tahap I mulai dari perencanaan pengembangan sampai dengan implementasi proyek</v>
      </c>
      <c r="AR128" s="166"/>
    </row>
    <row r="129" spans="1:44" s="4" customFormat="1" ht="24.95" customHeight="1">
      <c r="J129" s="107"/>
      <c r="K129" s="25">
        <f>DATA!E139</f>
        <v>7</v>
      </c>
      <c r="L129" s="108" t="str">
        <f>DATA!F139</f>
        <v xml:space="preserve">PT. PLN    </v>
      </c>
      <c r="M129" s="25"/>
      <c r="N129" s="27"/>
      <c r="O129" s="26"/>
      <c r="P129" s="26"/>
      <c r="Q129" s="26"/>
      <c r="R129" s="80">
        <f>+R130</f>
        <v>4906600000</v>
      </c>
      <c r="S129" s="80"/>
      <c r="T129" s="80">
        <f t="shared" ref="T129:Z129" si="15">+T130</f>
        <v>931600000</v>
      </c>
      <c r="U129" s="80">
        <f t="shared" si="15"/>
        <v>0</v>
      </c>
      <c r="V129" s="80">
        <f t="shared" si="15"/>
        <v>5838200000</v>
      </c>
      <c r="W129" s="148"/>
      <c r="X129" s="80" t="e">
        <f t="shared" si="15"/>
        <v>#VALUE!</v>
      </c>
      <c r="Y129" s="80">
        <f t="shared" si="15"/>
        <v>4906600000</v>
      </c>
      <c r="Z129" s="80">
        <f t="shared" si="15"/>
        <v>0</v>
      </c>
      <c r="AA129" s="26"/>
      <c r="AB129" s="27"/>
      <c r="AC129" s="27"/>
      <c r="AD129" s="27"/>
      <c r="AE129" s="27"/>
      <c r="AF129" s="27"/>
      <c r="AG129" s="27"/>
      <c r="AH129" s="27"/>
      <c r="AI129" s="26"/>
      <c r="AJ129" s="26"/>
      <c r="AK129" s="26"/>
      <c r="AL129" s="26"/>
      <c r="AM129" s="26"/>
      <c r="AN129" s="26"/>
      <c r="AO129" s="26"/>
      <c r="AP129" s="27"/>
      <c r="AQ129" s="27"/>
      <c r="AR129" s="159"/>
    </row>
    <row r="130" spans="1:44" s="5" customFormat="1" ht="33.75" customHeight="1">
      <c r="J130" s="28"/>
      <c r="K130" s="29"/>
      <c r="L130" s="30" t="str">
        <f>DATA!I139</f>
        <v>A</v>
      </c>
      <c r="M130" s="31" t="str">
        <f>DATA!J139</f>
        <v>Program Pembangunan Infrastruktur Ketenagalistrikan</v>
      </c>
      <c r="N130" s="51"/>
      <c r="O130" s="31"/>
      <c r="P130" s="31"/>
      <c r="Q130" s="31"/>
      <c r="R130" s="81">
        <f>+R131+R134+R137+R138+R139+R140+R141+R142</f>
        <v>4906600000</v>
      </c>
      <c r="S130" s="81"/>
      <c r="T130" s="81">
        <f t="shared" ref="T130:Z130" si="16">+T131+T134+T137+T138+T139+T140+T141+T142</f>
        <v>931600000</v>
      </c>
      <c r="U130" s="81">
        <f t="shared" si="16"/>
        <v>0</v>
      </c>
      <c r="V130" s="81">
        <f t="shared" si="16"/>
        <v>5838200000</v>
      </c>
      <c r="W130" s="149"/>
      <c r="X130" s="81" t="e">
        <f t="shared" si="16"/>
        <v>#VALUE!</v>
      </c>
      <c r="Y130" s="81">
        <f t="shared" si="16"/>
        <v>4906600000</v>
      </c>
      <c r="Z130" s="81">
        <f t="shared" si="16"/>
        <v>0</v>
      </c>
      <c r="AA130" s="31"/>
      <c r="AB130" s="32"/>
      <c r="AC130" s="32"/>
      <c r="AD130" s="32"/>
      <c r="AE130" s="32"/>
      <c r="AF130" s="32"/>
      <c r="AG130" s="32"/>
      <c r="AH130" s="32"/>
      <c r="AI130" s="31"/>
      <c r="AJ130" s="31"/>
      <c r="AK130" s="31"/>
      <c r="AL130" s="31"/>
      <c r="AM130" s="31"/>
      <c r="AN130" s="31"/>
      <c r="AO130" s="31"/>
      <c r="AP130" s="32"/>
      <c r="AQ130" s="32"/>
      <c r="AR130" s="160"/>
    </row>
    <row r="131" spans="1:44" ht="35.25" customHeight="1">
      <c r="A131" s="10">
        <f>DATA!A139</f>
        <v>101</v>
      </c>
      <c r="B131" s="10">
        <f>DATA!B139</f>
        <v>0</v>
      </c>
      <c r="C131" s="10" t="str">
        <f>DATA!D139</f>
        <v>INFRASTRUKTUR</v>
      </c>
      <c r="D131" s="10">
        <f>DATA!E139</f>
        <v>7</v>
      </c>
      <c r="E131" s="10" t="str">
        <f>DATA!F139</f>
        <v xml:space="preserve">PT. PLN    </v>
      </c>
      <c r="F131" s="10" t="str">
        <f>DATA!H139</f>
        <v>Electricity Infrastructure Development Program</v>
      </c>
      <c r="G131" s="10" t="str">
        <f>DATA!I139</f>
        <v>A</v>
      </c>
      <c r="H131" s="10" t="str">
        <f>DATA!J139</f>
        <v>Program Pembangunan Infrastruktur Ketenagalistrikan</v>
      </c>
      <c r="I131" s="10">
        <f>DATA!K139</f>
        <v>1</v>
      </c>
      <c r="J131" s="33"/>
      <c r="K131" s="34"/>
      <c r="L131" s="35"/>
      <c r="M131" s="36">
        <f>DATA!K139</f>
        <v>1</v>
      </c>
      <c r="N131" s="37" t="str">
        <f>DATA!L139</f>
        <v>Construction of Java Sumatera Interconnection 500 kV (HVDC):</v>
      </c>
      <c r="O131" s="20">
        <f>DATA!Q139</f>
        <v>0</v>
      </c>
      <c r="P131" s="20">
        <f>DATA!R139</f>
        <v>0</v>
      </c>
      <c r="Q131" s="20">
        <f>DATA!S139</f>
        <v>0</v>
      </c>
      <c r="R131" s="77">
        <f>DATA!T139</f>
        <v>1562000000</v>
      </c>
      <c r="S131" s="77"/>
      <c r="T131" s="77">
        <f>DATA!V139</f>
        <v>253000000</v>
      </c>
      <c r="U131" s="77">
        <f>DATA!W139</f>
        <v>0</v>
      </c>
      <c r="V131" s="77">
        <f>DATA!X139</f>
        <v>1815000000</v>
      </c>
      <c r="W131" s="78" t="str">
        <f>DATA!Y139</f>
        <v>-</v>
      </c>
      <c r="X131" s="20">
        <f>DATA!Z139</f>
        <v>0</v>
      </c>
      <c r="Y131" s="77">
        <f>DATA!AA139</f>
        <v>1562000000</v>
      </c>
      <c r="Z131" s="77">
        <f>DATA!AG139</f>
        <v>0</v>
      </c>
      <c r="AA131" s="20" t="str">
        <f>DATA!AH139</f>
        <v>-</v>
      </c>
      <c r="AB131" s="37" t="str">
        <f>DATA!AI139</f>
        <v>-</v>
      </c>
      <c r="AC131" s="152" t="str">
        <f>DATA!AM139</f>
        <v>-</v>
      </c>
      <c r="AD131" s="152" t="str">
        <f>DATA!AN139</f>
        <v>-</v>
      </c>
      <c r="AE131" s="152" t="str">
        <f>DATA!AO139</f>
        <v>-</v>
      </c>
      <c r="AF131" s="37" t="str">
        <f>DATA!AJ139</f>
        <v>-</v>
      </c>
      <c r="AG131" s="37" t="str">
        <f>DATA!AK139</f>
        <v>-</v>
      </c>
      <c r="AH131" s="37" t="str">
        <f>DATA!AL139</f>
        <v>-</v>
      </c>
      <c r="AI131" s="20" t="str">
        <f>DATA!AM139</f>
        <v>-</v>
      </c>
      <c r="AJ131" s="20" t="str">
        <f>DATA!AN139</f>
        <v>-</v>
      </c>
      <c r="AK131" s="20" t="str">
        <f>DATA!AO139</f>
        <v>-</v>
      </c>
      <c r="AL131" s="20">
        <f>DATA!AP139</f>
        <v>0</v>
      </c>
      <c r="AM131" s="20" t="str">
        <f>DATA!AY139</f>
        <v>Surat Dirut PT. PLN nomor 716/REN.08.01/DIR/2015 tgl 9 September 2015</v>
      </c>
      <c r="AN131" s="20" t="e">
        <f>DATA!#REF!</f>
        <v>#REF!</v>
      </c>
      <c r="AO131" s="20">
        <f>DATA!AZ139</f>
        <v>0</v>
      </c>
      <c r="AP131" s="152" t="e">
        <f>DATA!#REF!</f>
        <v>#REF!</v>
      </c>
      <c r="AQ131" s="37" t="str">
        <f>DATA!BA139</f>
        <v>Pembangunan dan instalasi: 500 kV AC Overhead line</v>
      </c>
      <c r="AR131" s="166"/>
    </row>
    <row r="132" spans="1:44" s="6" customFormat="1" ht="142.5" customHeight="1">
      <c r="A132" s="6">
        <f>DATA!A140</f>
        <v>102</v>
      </c>
      <c r="B132" s="6">
        <f>DATA!B140</f>
        <v>0</v>
      </c>
      <c r="C132" s="6" t="str">
        <f>DATA!D140</f>
        <v>INFRASTRUKTUR</v>
      </c>
      <c r="D132" s="6">
        <f>DATA!E140</f>
        <v>7</v>
      </c>
      <c r="E132" s="6" t="str">
        <f>DATA!F140</f>
        <v xml:space="preserve">PT. PLN    </v>
      </c>
      <c r="F132" s="6" t="str">
        <f>DATA!H140</f>
        <v>Electricity Infrastructure Development Program</v>
      </c>
      <c r="G132" s="6" t="str">
        <f>DATA!I140</f>
        <v>A</v>
      </c>
      <c r="H132" s="6" t="str">
        <f>DATA!J140</f>
        <v>Program Pembangunan Infrastruktur Ketenagalistrikan</v>
      </c>
      <c r="I132" s="6">
        <f>DATA!K140</f>
        <v>1</v>
      </c>
      <c r="J132" s="38"/>
      <c r="K132" s="39"/>
      <c r="L132" s="39"/>
      <c r="M132" s="40"/>
      <c r="N132" s="67" t="str">
        <f>DATA!L140</f>
        <v>Java-Sumatera Interconnection Transmission Line (HVDC) 500 kV (Phase II)</v>
      </c>
      <c r="O132" s="42">
        <f>DATA!Q140</f>
        <v>1</v>
      </c>
      <c r="P132" s="42">
        <f>DATA!R140</f>
        <v>1</v>
      </c>
      <c r="Q132" s="42">
        <f>DATA!S140</f>
        <v>91</v>
      </c>
      <c r="R132" s="83">
        <f>DATA!T140</f>
        <v>629000000</v>
      </c>
      <c r="S132" s="83"/>
      <c r="T132" s="83">
        <f>DATA!V140</f>
        <v>88000000</v>
      </c>
      <c r="U132" s="83">
        <f>DATA!W140</f>
        <v>0</v>
      </c>
      <c r="V132" s="83">
        <f>DATA!X140</f>
        <v>717000000</v>
      </c>
      <c r="W132" s="84" t="str">
        <f>DATA!Y140</f>
        <v>JICA</v>
      </c>
      <c r="X132" s="42" t="str">
        <f>DATA!Z140</f>
        <v>Bilateral</v>
      </c>
      <c r="Y132" s="83">
        <f>DATA!AA140</f>
        <v>629000000</v>
      </c>
      <c r="Z132" s="83">
        <f>DATA!AG140</f>
        <v>0</v>
      </c>
      <c r="AA132" s="42">
        <f>DATA!AH140</f>
        <v>2015</v>
      </c>
      <c r="AB132" s="67" t="str">
        <f>DATA!AI140</f>
        <v>- Sudah ada R/C
- Green Book 2015
- Loan Agreement tgl 18 Des'15</v>
      </c>
      <c r="AC132" s="152" t="str">
        <f>DATA!AR140</f>
        <v>Nilai pinjaman di GB USD 629.140 ribu</v>
      </c>
      <c r="AD132" s="152" t="str">
        <f>DATA!AN140</f>
        <v>siap</v>
      </c>
      <c r="AE132" s="152" t="str">
        <f>DATA!AO140</f>
        <v>dalam proses
(pelaksanaan 30%)</v>
      </c>
      <c r="AF132" s="67" t="str">
        <f>DATA!AJ140</f>
        <v>FS, AMDAL</v>
      </c>
      <c r="AG132" s="115">
        <f>DATA!AK140</f>
        <v>0.3</v>
      </c>
      <c r="AH132" s="67" t="str">
        <f>DATA!AL140</f>
        <v>- Paket 1 = Proses lelang, evaluasi tahap I 
- Paket 2 = Proses lelang, akhir proses tahap I 
- Paket 3 = Kontrak 29 Okt 2014 
- Paket 4 = Proses lelang, RFP 2 Sept 2015 
- Paket 5 = Penyusunan Dokumen Tender</v>
      </c>
      <c r="AI132" s="42" t="str">
        <f>DATA!AR140</f>
        <v>Nilai pinjaman di GB USD 629.140 ribu</v>
      </c>
      <c r="AJ132" s="42" t="str">
        <f>DATA!AN140</f>
        <v>siap</v>
      </c>
      <c r="AK132" s="42" t="str">
        <f>DATA!AO140</f>
        <v>dalam proses
(pelaksanaan 30%)</v>
      </c>
      <c r="AL132" s="42" t="str">
        <f>DATA!AP140</f>
        <v>dalam proses tender/lelang</v>
      </c>
      <c r="AM132" s="42"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N132" s="42" t="e">
        <f>DATA!#REF!</f>
        <v>#REF!</v>
      </c>
      <c r="AO132" s="42">
        <f>DATA!AZ140</f>
        <v>0</v>
      </c>
      <c r="AP132" s="152" t="e">
        <f>DATA!#REF!</f>
        <v>#REF!</v>
      </c>
      <c r="AQ132" s="67" t="str">
        <f>DATA!BA140</f>
        <v>Pembangunan dan instalasi: 500 kV AC Overhead line; 500 IW DC Overhead line; kabel bawah laut HVDC; Stasiun converter HVDC; 275 kV Overhead line (OHL)</v>
      </c>
      <c r="AR132" s="165"/>
    </row>
    <row r="133" spans="1:44" s="6" customFormat="1" ht="48.75" customHeight="1">
      <c r="A133" s="6">
        <f>DATA!A141</f>
        <v>103</v>
      </c>
      <c r="B133" s="6">
        <f>DATA!B141</f>
        <v>0</v>
      </c>
      <c r="C133" s="6" t="str">
        <f>DATA!D141</f>
        <v>INFRASTRUKTUR</v>
      </c>
      <c r="D133" s="6">
        <f>DATA!E141</f>
        <v>7</v>
      </c>
      <c r="E133" s="6" t="str">
        <f>DATA!F141</f>
        <v xml:space="preserve">PT. PLN    </v>
      </c>
      <c r="F133" s="6" t="str">
        <f>DATA!H141</f>
        <v>Electricity Infrastructure Development Program</v>
      </c>
      <c r="G133" s="6" t="str">
        <f>DATA!I141</f>
        <v>A</v>
      </c>
      <c r="H133" s="6" t="str">
        <f>DATA!J141</f>
        <v>Program Pembangunan Infrastruktur Ketenagalistrikan</v>
      </c>
      <c r="I133" s="6">
        <f>DATA!K141</f>
        <v>1</v>
      </c>
      <c r="J133" s="38"/>
      <c r="K133" s="39"/>
      <c r="L133" s="39"/>
      <c r="M133" s="43"/>
      <c r="N133" s="67" t="str">
        <f>DATA!L141</f>
        <v>Construction of Java Sumatera Interconnection 500 kV (HVDC-Phase 3 &amp; 4)</v>
      </c>
      <c r="O133" s="42">
        <f>DATA!Q141</f>
        <v>1</v>
      </c>
      <c r="P133" s="42">
        <f>DATA!R141</f>
        <v>1</v>
      </c>
      <c r="Q133" s="42">
        <f>DATA!S141</f>
        <v>92</v>
      </c>
      <c r="R133" s="83">
        <f>DATA!T141</f>
        <v>933000000</v>
      </c>
      <c r="S133" s="83"/>
      <c r="T133" s="83">
        <f>DATA!V141</f>
        <v>165000000</v>
      </c>
      <c r="U133" s="83">
        <f>DATA!W141</f>
        <v>0</v>
      </c>
      <c r="V133" s="83">
        <f>DATA!X141</f>
        <v>1098000000</v>
      </c>
      <c r="W133" s="84" t="str">
        <f>DATA!Y141</f>
        <v>JICA</v>
      </c>
      <c r="X133" s="42" t="str">
        <f>DATA!Z141</f>
        <v>Bilateral</v>
      </c>
      <c r="Y133" s="83">
        <f>DATA!AA141</f>
        <v>933000000</v>
      </c>
      <c r="Z133" s="83">
        <f>DATA!AG141</f>
        <v>0</v>
      </c>
      <c r="AA133" s="42">
        <f>DATA!AH141</f>
        <v>2015</v>
      </c>
      <c r="AB133" s="67" t="str">
        <f>DATA!AI141</f>
        <v xml:space="preserve">Penyiapan R/C
</v>
      </c>
      <c r="AC133" s="152" t="str">
        <f>DATA!AR141</f>
        <v>penyiapan dokumen R/C</v>
      </c>
      <c r="AD133" s="152" t="str">
        <f>DATA!AN141</f>
        <v>belum ada keterangan</v>
      </c>
      <c r="AE133" s="152" t="str">
        <f>DATA!AO141</f>
        <v>belum ada keterangan</v>
      </c>
      <c r="AF133" s="67" t="str">
        <f>DATA!AJ141</f>
        <v>-</v>
      </c>
      <c r="AG133" s="67" t="str">
        <f>DATA!AK141</f>
        <v>-</v>
      </c>
      <c r="AH133" s="67" t="str">
        <f>DATA!AL141</f>
        <v>-</v>
      </c>
      <c r="AI133" s="42" t="str">
        <f>DATA!AR141</f>
        <v>penyiapan dokumen R/C</v>
      </c>
      <c r="AJ133" s="42" t="str">
        <f>DATA!AN141</f>
        <v>belum ada keterangan</v>
      </c>
      <c r="AK133" s="42" t="str">
        <f>DATA!AO141</f>
        <v>belum ada keterangan</v>
      </c>
      <c r="AL133" s="42" t="str">
        <f>DATA!AP141</f>
        <v>belum ada proses tender/lelang</v>
      </c>
      <c r="AM133" s="42" t="str">
        <f>DATA!AY141</f>
        <v>Surat Dirut PT. PLN nomor 716/REN.08.01/DIR/2015 tgl 9 September 2015</v>
      </c>
      <c r="AN133" s="42" t="e">
        <f>DATA!#REF!</f>
        <v>#REF!</v>
      </c>
      <c r="AO133" s="42">
        <f>DATA!AZ141</f>
        <v>0</v>
      </c>
      <c r="AP133" s="152" t="e">
        <f>DATA!#REF!</f>
        <v>#REF!</v>
      </c>
      <c r="AQ133" s="67" t="str">
        <f>DATA!BA141</f>
        <v>Pembangunan dan instalasi: 500 kV AC Overhead line; 500 IW DC Overhead line; kabel bawah laut HVDC; Stasiun converter HVDC; 275 kV Overhead line (OHL)</v>
      </c>
      <c r="AR133" s="165"/>
    </row>
    <row r="134" spans="1:44" ht="43.5" customHeight="1">
      <c r="A134" s="10">
        <f>DATA!A142</f>
        <v>104</v>
      </c>
      <c r="B134" s="10">
        <f>DATA!B142</f>
        <v>0</v>
      </c>
      <c r="C134" s="10" t="str">
        <f>DATA!D142</f>
        <v>INFRASTRUKTUR</v>
      </c>
      <c r="D134" s="10">
        <f>DATA!E142</f>
        <v>7</v>
      </c>
      <c r="E134" s="10" t="str">
        <f>DATA!F142</f>
        <v xml:space="preserve">PT. PLN    </v>
      </c>
      <c r="F134" s="10" t="str">
        <f>DATA!H142</f>
        <v>Electricity Infrastructure Development Program</v>
      </c>
      <c r="G134" s="10" t="str">
        <f>DATA!I142</f>
        <v>A</v>
      </c>
      <c r="H134" s="10" t="str">
        <f>DATA!J142</f>
        <v>Program Pembangunan Infrastruktur Ketenagalistrikan</v>
      </c>
      <c r="I134" s="10">
        <f>DATA!K142</f>
        <v>2</v>
      </c>
      <c r="J134" s="33"/>
      <c r="K134" s="34"/>
      <c r="L134" s="34"/>
      <c r="M134" s="36">
        <f>DATA!K142</f>
        <v>2</v>
      </c>
      <c r="N134" s="37" t="str">
        <f>DATA!L142</f>
        <v>Hululais Geothermal Power Plant 1&amp;2 (2x55MW):</v>
      </c>
      <c r="O134" s="20">
        <f>DATA!Q142</f>
        <v>0</v>
      </c>
      <c r="P134" s="20">
        <f>DATA!R142</f>
        <v>0</v>
      </c>
      <c r="Q134" s="20">
        <f>DATA!S142</f>
        <v>0</v>
      </c>
      <c r="R134" s="77">
        <f>DATA!T142</f>
        <v>210600000</v>
      </c>
      <c r="S134" s="77"/>
      <c r="T134" s="77">
        <f>DATA!V142</f>
        <v>42600000</v>
      </c>
      <c r="U134" s="77">
        <f>DATA!W142</f>
        <v>0</v>
      </c>
      <c r="V134" s="77">
        <f>DATA!X142</f>
        <v>253200000</v>
      </c>
      <c r="W134" s="78" t="str">
        <f>DATA!Y142</f>
        <v>-</v>
      </c>
      <c r="X134" s="20">
        <f>DATA!Z142</f>
        <v>0</v>
      </c>
      <c r="Y134" s="77">
        <f>DATA!AA142</f>
        <v>210600000</v>
      </c>
      <c r="Z134" s="77">
        <f>DATA!AG142</f>
        <v>0</v>
      </c>
      <c r="AA134" s="20" t="str">
        <f>DATA!AH142</f>
        <v>-</v>
      </c>
      <c r="AB134" s="37" t="str">
        <f>DATA!AI142</f>
        <v>-</v>
      </c>
      <c r="AC134" s="152" t="str">
        <f>DATA!AM142</f>
        <v>-</v>
      </c>
      <c r="AD134" s="152" t="str">
        <f>DATA!AN142</f>
        <v>-</v>
      </c>
      <c r="AE134" s="152" t="str">
        <f>DATA!AO142</f>
        <v>-</v>
      </c>
      <c r="AF134" s="37" t="str">
        <f>DATA!AJ142</f>
        <v>-</v>
      </c>
      <c r="AG134" s="37" t="str">
        <f>DATA!AK142</f>
        <v>-</v>
      </c>
      <c r="AH134" s="37" t="str">
        <f>DATA!AL142</f>
        <v>-</v>
      </c>
      <c r="AI134" s="20" t="str">
        <f>DATA!AM142</f>
        <v>-</v>
      </c>
      <c r="AJ134" s="20" t="str">
        <f>DATA!AN142</f>
        <v>-</v>
      </c>
      <c r="AK134" s="20" t="str">
        <f>DATA!AO142</f>
        <v>-</v>
      </c>
      <c r="AL134" s="20">
        <f>DATA!AP142</f>
        <v>0</v>
      </c>
      <c r="AM134" s="20" t="str">
        <f>DATA!AY142</f>
        <v>Surat Dirut PT. PLN nomor 716/REN.08.01/DIR/2015 tgl 9 September 2015</v>
      </c>
      <c r="AN134" s="20" t="e">
        <f>DATA!#REF!</f>
        <v>#REF!</v>
      </c>
      <c r="AO134" s="20">
        <f>DATA!AZ142</f>
        <v>0</v>
      </c>
      <c r="AP134" s="152" t="e">
        <f>DATA!#REF!</f>
        <v>#REF!</v>
      </c>
      <c r="AQ134" s="37" t="str">
        <f>DATA!BA142</f>
        <v>Pembangunan PLTP Hululais 2x55 MW, pembangunan jaringan transmisi 150 kV, termasuk engineering desainnya</v>
      </c>
      <c r="AR134" s="166"/>
    </row>
    <row r="135" spans="1:44" s="6" customFormat="1" ht="74.25" customHeight="1">
      <c r="A135" s="6">
        <f>DATA!A143</f>
        <v>105</v>
      </c>
      <c r="B135" s="6">
        <f>DATA!B143</f>
        <v>0</v>
      </c>
      <c r="C135" s="6" t="str">
        <f>DATA!D143</f>
        <v>INFRASTRUKTUR</v>
      </c>
      <c r="D135" s="6">
        <f>DATA!E143</f>
        <v>7</v>
      </c>
      <c r="E135" s="6" t="str">
        <f>DATA!F143</f>
        <v xml:space="preserve">PT. PLN    </v>
      </c>
      <c r="F135" s="6" t="str">
        <f>DATA!H143</f>
        <v>Electricity Infrastructure Development Program</v>
      </c>
      <c r="G135" s="6" t="str">
        <f>DATA!I143</f>
        <v>A</v>
      </c>
      <c r="H135" s="6" t="str">
        <f>DATA!J143</f>
        <v>Program Pembangunan Infrastruktur Ketenagalistrikan</v>
      </c>
      <c r="I135" s="6">
        <f>DATA!K143</f>
        <v>2</v>
      </c>
      <c r="J135" s="38"/>
      <c r="K135" s="39"/>
      <c r="L135" s="39"/>
      <c r="M135" s="40"/>
      <c r="N135" s="67" t="str">
        <f>DATA!L143</f>
        <v>Engineering Service for Hululais 1&amp;2 Geothermal Power Plant Project (2x55 MW)</v>
      </c>
      <c r="O135" s="42">
        <f>DATA!Q143</f>
        <v>1</v>
      </c>
      <c r="P135" s="42">
        <f>DATA!R143</f>
        <v>1</v>
      </c>
      <c r="Q135" s="42">
        <f>DATA!S143</f>
        <v>93</v>
      </c>
      <c r="R135" s="83">
        <f>DATA!T143</f>
        <v>6600000</v>
      </c>
      <c r="S135" s="83"/>
      <c r="T135" s="83">
        <f>DATA!V143</f>
        <v>600000</v>
      </c>
      <c r="U135" s="83">
        <f>DATA!W143</f>
        <v>0</v>
      </c>
      <c r="V135" s="83">
        <f>DATA!X143</f>
        <v>7200000</v>
      </c>
      <c r="W135" s="84" t="str">
        <f>DATA!Y143</f>
        <v>JICA</v>
      </c>
      <c r="X135" s="42" t="str">
        <f>DATA!Z143</f>
        <v>Bilateral</v>
      </c>
      <c r="Y135" s="83">
        <f>DATA!AA143</f>
        <v>6600000</v>
      </c>
      <c r="Z135" s="83">
        <f>DATA!AG143</f>
        <v>0</v>
      </c>
      <c r="AA135" s="42">
        <f>DATA!AH143</f>
        <v>2015</v>
      </c>
      <c r="AB135" s="67" t="str">
        <f>DATA!AI143</f>
        <v>- Sudah ada R/C0
- Green Book 2015
- Loan Agreement tgl 18 Des'15</v>
      </c>
      <c r="AC135" s="152" t="str">
        <f>DATA!AR143</f>
        <v>Nilai pinjaman di GB USD 6.570 ribu</v>
      </c>
      <c r="AD135" s="152" t="str">
        <f>DATA!AN143</f>
        <v>siap</v>
      </c>
      <c r="AE135" s="152" t="str">
        <f>DATA!AO143</f>
        <v>tidak butuh lahan</v>
      </c>
      <c r="AF135" s="67" t="str">
        <f>DATA!AJ143</f>
        <v>- AMDAL sedang di proses
- Pengeboran eksplorasi sedang di proses</v>
      </c>
      <c r="AG135" s="67" t="str">
        <f>DATA!AK143</f>
        <v>Belum</v>
      </c>
      <c r="AH135" s="67" t="str">
        <f>DATA!AL143</f>
        <v>Dalam proses persiapan pengadaan konsultan</v>
      </c>
      <c r="AI135" s="42" t="str">
        <f>DATA!AR143</f>
        <v>Nilai pinjaman di GB USD 6.570 ribu</v>
      </c>
      <c r="AJ135" s="42" t="str">
        <f>DATA!AN143</f>
        <v>siap</v>
      </c>
      <c r="AK135" s="42" t="str">
        <f>DATA!AO143</f>
        <v>tidak butuh lahan</v>
      </c>
      <c r="AL135" s="42" t="str">
        <f>DATA!AP143</f>
        <v>belum ada proses tender/lelang</v>
      </c>
      <c r="AM135" s="42" t="str">
        <f>DATA!AY143</f>
        <v>Surat Dirut PT. PLN nomor 716/REN.08.01/DIR/2015 tgl 9 September 2015</v>
      </c>
      <c r="AN135" s="42" t="e">
        <f>DATA!#REF!</f>
        <v>#REF!</v>
      </c>
      <c r="AO135" s="42">
        <f>DATA!AZ143</f>
        <v>0</v>
      </c>
      <c r="AP135" s="152" t="e">
        <f>DATA!#REF!</f>
        <v>#REF!</v>
      </c>
      <c r="AQ135" s="67" t="str">
        <f>DATA!BA143</f>
        <v>Memfasilitasi penyusunan DED, tender dokumen, dan pengawasan konstruksi untuk PLTP Hululais 1 dan 2 (2x55 MW)</v>
      </c>
      <c r="AR135" s="165"/>
    </row>
    <row r="136" spans="1:44" s="6" customFormat="1" ht="31.5" customHeight="1">
      <c r="A136" s="6">
        <f>DATA!A144</f>
        <v>106</v>
      </c>
      <c r="B136" s="6">
        <f>DATA!B144</f>
        <v>0</v>
      </c>
      <c r="C136" s="6" t="str">
        <f>DATA!D144</f>
        <v>INFRASTRUKTUR</v>
      </c>
      <c r="D136" s="6">
        <f>DATA!E144</f>
        <v>7</v>
      </c>
      <c r="E136" s="6" t="str">
        <f>DATA!F144</f>
        <v xml:space="preserve">PT. PLN    </v>
      </c>
      <c r="F136" s="6" t="str">
        <f>DATA!H144</f>
        <v>Electricity Infrastructure Development Program</v>
      </c>
      <c r="G136" s="6" t="str">
        <f>DATA!I144</f>
        <v>A</v>
      </c>
      <c r="H136" s="6" t="str">
        <f>DATA!J144</f>
        <v>Program Pembangunan Infrastruktur Ketenagalistrikan</v>
      </c>
      <c r="I136" s="6">
        <f>DATA!K144</f>
        <v>2</v>
      </c>
      <c r="J136" s="38"/>
      <c r="K136" s="39"/>
      <c r="L136" s="39"/>
      <c r="M136" s="43"/>
      <c r="N136" s="67" t="str">
        <f>DATA!L144</f>
        <v>Hululais Geothermal Power Plant  1&amp;2 (2x55MW)</v>
      </c>
      <c r="O136" s="42">
        <f>DATA!Q144</f>
        <v>1</v>
      </c>
      <c r="P136" s="42">
        <f>DATA!R144</f>
        <v>1</v>
      </c>
      <c r="Q136" s="42">
        <f>DATA!S144</f>
        <v>94</v>
      </c>
      <c r="R136" s="83">
        <f>DATA!T144</f>
        <v>204000000</v>
      </c>
      <c r="S136" s="83"/>
      <c r="T136" s="83">
        <f>DATA!V144</f>
        <v>42000000</v>
      </c>
      <c r="U136" s="83">
        <f>DATA!W144</f>
        <v>0</v>
      </c>
      <c r="V136" s="83">
        <f>DATA!X144</f>
        <v>246000000</v>
      </c>
      <c r="W136" s="84" t="str">
        <f>DATA!Y144</f>
        <v>JICA</v>
      </c>
      <c r="X136" s="42" t="str">
        <f>DATA!Z144</f>
        <v>Bilateral</v>
      </c>
      <c r="Y136" s="83">
        <f>DATA!AA144</f>
        <v>204000000</v>
      </c>
      <c r="Z136" s="83">
        <f>DATA!AG144</f>
        <v>0</v>
      </c>
      <c r="AA136" s="42">
        <f>DATA!AH144</f>
        <v>2015</v>
      </c>
      <c r="AB136" s="67" t="str">
        <f>DATA!AI144</f>
        <v>-</v>
      </c>
      <c r="AC136" s="152" t="str">
        <f>DATA!AR144</f>
        <v>belum ada dokumen R/C</v>
      </c>
      <c r="AD136" s="152" t="str">
        <f>DATA!AN144</f>
        <v>belum ada keterangan</v>
      </c>
      <c r="AE136" s="152" t="str">
        <f>DATA!AO144</f>
        <v>belum ada keterangan</v>
      </c>
      <c r="AF136" s="67" t="str">
        <f>DATA!AJ144</f>
        <v>-</v>
      </c>
      <c r="AG136" s="67" t="str">
        <f>DATA!AK144</f>
        <v>-</v>
      </c>
      <c r="AH136" s="67" t="str">
        <f>DATA!AL144</f>
        <v>-</v>
      </c>
      <c r="AI136" s="42" t="str">
        <f>DATA!AR144</f>
        <v>belum ada dokumen R/C</v>
      </c>
      <c r="AJ136" s="42" t="str">
        <f>DATA!AN144</f>
        <v>belum ada keterangan</v>
      </c>
      <c r="AK136" s="42" t="str">
        <f>DATA!AO144</f>
        <v>belum ada keterangan</v>
      </c>
      <c r="AL136" s="42" t="str">
        <f>DATA!AP144</f>
        <v>belum ada proses tender/lelang</v>
      </c>
      <c r="AM136" s="42" t="str">
        <f>DATA!AY144</f>
        <v>Surat Dirut PT. PLN nomor 716/REN.08.01/DIR/2015 tgl 9 September 2015</v>
      </c>
      <c r="AN136" s="42" t="e">
        <f>DATA!#REF!</f>
        <v>#REF!</v>
      </c>
      <c r="AO136" s="42">
        <f>DATA!AZ144</f>
        <v>0</v>
      </c>
      <c r="AP136" s="152" t="e">
        <f>DATA!#REF!</f>
        <v>#REF!</v>
      </c>
      <c r="AQ136" s="67" t="str">
        <f>DATA!BA144</f>
        <v>Pembangunan PLTP Hululais 2x55 MW dan pembangunan jaringan transmisi 150 kV</v>
      </c>
      <c r="AR136" s="165"/>
    </row>
    <row r="137" spans="1:44" ht="51">
      <c r="A137" s="10">
        <f>DATA!A145</f>
        <v>107</v>
      </c>
      <c r="B137" s="10">
        <f>DATA!B145</f>
        <v>0</v>
      </c>
      <c r="C137" s="10" t="str">
        <f>DATA!D145</f>
        <v>INFRASTRUKTUR</v>
      </c>
      <c r="D137" s="10">
        <f>DATA!E145</f>
        <v>7</v>
      </c>
      <c r="E137" s="10" t="str">
        <f>DATA!F145</f>
        <v xml:space="preserve">PT. PLN    </v>
      </c>
      <c r="F137" s="10" t="str">
        <f>DATA!H145</f>
        <v>Electricity Infrastructure Development Program</v>
      </c>
      <c r="G137" s="10" t="str">
        <f>DATA!I145</f>
        <v>A</v>
      </c>
      <c r="H137" s="10" t="str">
        <f>DATA!J145</f>
        <v>Program Pembangunan Infrastruktur Ketenagalistrikan</v>
      </c>
      <c r="I137" s="10">
        <f>DATA!K145</f>
        <v>3</v>
      </c>
      <c r="J137" s="33"/>
      <c r="K137" s="34"/>
      <c r="L137" s="34"/>
      <c r="M137" s="36">
        <f>DATA!K145</f>
        <v>3</v>
      </c>
      <c r="N137" s="37" t="str">
        <f>DATA!L145</f>
        <v>Bakaru II Hydro Electrical Power Plant (2x63MW)</v>
      </c>
      <c r="O137" s="20">
        <f>DATA!Q145</f>
        <v>1</v>
      </c>
      <c r="P137" s="20">
        <f>DATA!R145</f>
        <v>1</v>
      </c>
      <c r="Q137" s="20">
        <f>DATA!S145</f>
        <v>95</v>
      </c>
      <c r="R137" s="77">
        <f>DATA!T145</f>
        <v>280000000</v>
      </c>
      <c r="S137" s="77"/>
      <c r="T137" s="77">
        <f>DATA!V145</f>
        <v>20000000</v>
      </c>
      <c r="U137" s="77">
        <f>DATA!W145</f>
        <v>0</v>
      </c>
      <c r="V137" s="77">
        <f>DATA!X145</f>
        <v>300000000</v>
      </c>
      <c r="W137" s="78" t="str">
        <f>DATA!Y145</f>
        <v>Jerman (KfW)</v>
      </c>
      <c r="X137" s="20" t="str">
        <f>DATA!Z145</f>
        <v>Bilateral</v>
      </c>
      <c r="Y137" s="77">
        <f>DATA!AA145</f>
        <v>280000000</v>
      </c>
      <c r="Z137" s="77">
        <f>DATA!AG145</f>
        <v>0</v>
      </c>
      <c r="AA137" s="20">
        <f>DATA!AH145</f>
        <v>2016</v>
      </c>
      <c r="AB137" s="37" t="str">
        <f>DATA!AI145</f>
        <v>-</v>
      </c>
      <c r="AC137" s="152">
        <f>DATA!AM145</f>
        <v>0</v>
      </c>
      <c r="AD137" s="152" t="str">
        <f>DATA!AN145</f>
        <v>dalam proses</v>
      </c>
      <c r="AE137" s="152" t="str">
        <f>DATA!AO145</f>
        <v>dalam proses
(perencanaan)</v>
      </c>
      <c r="AF137" s="37" t="str">
        <f>DATA!AJ145</f>
        <v>Dalam tahap reviu FS, Penyusunan AMDAL</v>
      </c>
      <c r="AG137" s="37" t="str">
        <f>DATA!AK145</f>
        <v>Pembebasan lahan menunggu hasil reviu FS</v>
      </c>
      <c r="AH137" s="37" t="str">
        <f>DATA!AL145</f>
        <v>Belum ada lelang/tender</v>
      </c>
      <c r="AI137" s="20">
        <f>DATA!AM145</f>
        <v>0</v>
      </c>
      <c r="AJ137" s="20" t="str">
        <f>DATA!AN145</f>
        <v>dalam proses</v>
      </c>
      <c r="AK137" s="20" t="str">
        <f>DATA!AO145</f>
        <v>dalam proses
(perencanaan)</v>
      </c>
      <c r="AL137" s="20" t="str">
        <f>DATA!AP145</f>
        <v>belum ada proses tender/lelang</v>
      </c>
      <c r="AM137"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N137" s="20" t="e">
        <f>DATA!#REF!</f>
        <v>#REF!</v>
      </c>
      <c r="AO137" s="20">
        <f>DATA!AZ145</f>
        <v>0</v>
      </c>
      <c r="AP137" s="152" t="e">
        <f>DATA!#REF!</f>
        <v>#REF!</v>
      </c>
      <c r="AQ137" s="37" t="str">
        <f>DATA!BA145</f>
        <v xml:space="preserve"> Pembangunan PLTA Bakaru II (2x63 MW), rehabilitasi bendungan dan turbin PLTA Bakaru I, sedimentasi penanggulangan dan Engineering Services PLTA Bakaru II</v>
      </c>
      <c r="AR137" s="166"/>
    </row>
    <row r="138" spans="1:44" ht="76.5">
      <c r="A138" s="10">
        <f>DATA!A146</f>
        <v>108</v>
      </c>
      <c r="B138" s="10">
        <f>DATA!B146</f>
        <v>0</v>
      </c>
      <c r="C138" s="10" t="str">
        <f>DATA!D146</f>
        <v>INFRASTRUKTUR</v>
      </c>
      <c r="D138" s="10">
        <f>DATA!E146</f>
        <v>7</v>
      </c>
      <c r="E138" s="10" t="str">
        <f>DATA!F146</f>
        <v xml:space="preserve">PT. PLN    </v>
      </c>
      <c r="F138" s="10" t="str">
        <f>DATA!H146</f>
        <v>Electricity Infrastructure Development Program</v>
      </c>
      <c r="G138" s="10" t="str">
        <f>DATA!I146</f>
        <v>A</v>
      </c>
      <c r="H138" s="10" t="str">
        <f>DATA!J146</f>
        <v>Program Pembangunan Infrastruktur Ketenagalistrikan</v>
      </c>
      <c r="I138" s="10">
        <f>DATA!K146</f>
        <v>4</v>
      </c>
      <c r="J138" s="33"/>
      <c r="K138" s="34"/>
      <c r="L138" s="34"/>
      <c r="M138" s="36">
        <f>DATA!K146</f>
        <v>4</v>
      </c>
      <c r="N138" s="37" t="str">
        <f>DATA!L146</f>
        <v>Tulehu Geothermal Power Plant Project Unit 1&amp;2 (2x10MW)</v>
      </c>
      <c r="O138" s="20">
        <f>DATA!Q146</f>
        <v>1</v>
      </c>
      <c r="P138" s="20">
        <f>DATA!R146</f>
        <v>1</v>
      </c>
      <c r="Q138" s="20">
        <f>DATA!S146</f>
        <v>96</v>
      </c>
      <c r="R138" s="77">
        <f>DATA!T146</f>
        <v>104000000</v>
      </c>
      <c r="S138" s="77"/>
      <c r="T138" s="77">
        <f>DATA!V146</f>
        <v>18000000</v>
      </c>
      <c r="U138" s="77">
        <f>DATA!W146</f>
        <v>0</v>
      </c>
      <c r="V138" s="77">
        <f>DATA!X146</f>
        <v>122000000</v>
      </c>
      <c r="W138" s="78" t="str">
        <f>DATA!Y146</f>
        <v>JICA</v>
      </c>
      <c r="X138" s="20" t="str">
        <f>DATA!Z146</f>
        <v>Bilateral</v>
      </c>
      <c r="Y138" s="77">
        <f>DATA!AA146</f>
        <v>104000000</v>
      </c>
      <c r="Z138" s="77">
        <f>DATA!AG146</f>
        <v>0</v>
      </c>
      <c r="AA138" s="20">
        <f>DATA!AH146</f>
        <v>2018</v>
      </c>
      <c r="AB138" s="37" t="str">
        <f>DATA!AI146</f>
        <v>-</v>
      </c>
      <c r="AC138" s="152" t="str">
        <f>DATA!AR146</f>
        <v>belum ada dokumen R/C</v>
      </c>
      <c r="AD138" s="152" t="str">
        <f>DATA!AN146</f>
        <v>dalam proses
(penyusunan FS)</v>
      </c>
      <c r="AE138" s="152" t="str">
        <f>DATA!AO146</f>
        <v>dalam proses
(pelaksanaan 63%)</v>
      </c>
      <c r="AF138" s="37" t="str">
        <f>DATA!AJ146</f>
        <v>Dalam proses reviu oleh BLH</v>
      </c>
      <c r="AG138" s="114">
        <f>DATA!AK146</f>
        <v>0.63</v>
      </c>
      <c r="AH138" s="37" t="str">
        <f>DATA!AL146</f>
        <v>- Direncanakan PQ IPM Drilling Sumur Produksi/Injeksi dimulai akhir Sept 2015
- Proses finalisasi dokumen lelang</v>
      </c>
      <c r="AI138" s="20" t="str">
        <f>DATA!AR146</f>
        <v>belum ada dokumen R/C</v>
      </c>
      <c r="AJ138" s="20" t="str">
        <f>DATA!AN146</f>
        <v>dalam proses
(penyusunan FS)</v>
      </c>
      <c r="AK138" s="20" t="str">
        <f>DATA!AO146</f>
        <v>dalam proses
(pelaksanaan 63%)</v>
      </c>
      <c r="AL138" s="20" t="str">
        <f>DATA!AP146</f>
        <v>belum ada proses tender/lelang</v>
      </c>
      <c r="AM138" s="20" t="str">
        <f>DATA!AY146</f>
        <v>- Pembebasan lahan untuk lokasi power plant dan pad B masih terkendala batas wilayah antara dua desa
- Surat Dirut PT. PLN nomor 716/REN.08.01/DIR/2015 tgl 9 September 2015</v>
      </c>
      <c r="AN138" s="20" t="e">
        <f>DATA!#REF!</f>
        <v>#REF!</v>
      </c>
      <c r="AO138" s="20">
        <f>DATA!AZ146</f>
        <v>0</v>
      </c>
      <c r="AP138" s="152" t="e">
        <f>DATA!#REF!</f>
        <v>#REF!</v>
      </c>
      <c r="AQ138" s="37" t="str">
        <f>DATA!BA146</f>
        <v>Pembangunan PLTP Tulehu 2x10 MW dan tambahan pengeboran untuk 3 sumur produksi/injeksi</v>
      </c>
      <c r="AR138" s="166"/>
    </row>
    <row r="139" spans="1:44" ht="89.25">
      <c r="A139" s="10">
        <f>DATA!A147</f>
        <v>109</v>
      </c>
      <c r="B139" s="10">
        <f>DATA!B147</f>
        <v>0</v>
      </c>
      <c r="C139" s="10" t="str">
        <f>DATA!D147</f>
        <v>INFRASTRUKTUR</v>
      </c>
      <c r="D139" s="10">
        <f>DATA!E147</f>
        <v>7</v>
      </c>
      <c r="E139" s="10" t="str">
        <f>DATA!F147</f>
        <v xml:space="preserve">PT. PLN    </v>
      </c>
      <c r="F139" s="10" t="str">
        <f>DATA!H147</f>
        <v>Electricity Infrastructure Development Program</v>
      </c>
      <c r="G139" s="10" t="str">
        <f>DATA!I147</f>
        <v>A</v>
      </c>
      <c r="H139" s="10" t="str">
        <f>DATA!J147</f>
        <v>Program Pembangunan Infrastruktur Ketenagalistrikan</v>
      </c>
      <c r="I139" s="10">
        <f>DATA!K147</f>
        <v>5</v>
      </c>
      <c r="J139" s="33"/>
      <c r="K139" s="34"/>
      <c r="L139" s="34"/>
      <c r="M139" s="36">
        <f>DATA!K147</f>
        <v>5</v>
      </c>
      <c r="N139" s="37" t="str">
        <f>DATA!L147</f>
        <v>Indramayu Coal Fired Power Plant  #4 (1x1000MW)</v>
      </c>
      <c r="O139" s="20">
        <f>DATA!Q147</f>
        <v>1</v>
      </c>
      <c r="P139" s="20">
        <f>DATA!R147</f>
        <v>1</v>
      </c>
      <c r="Q139" s="20">
        <f>DATA!S147</f>
        <v>97</v>
      </c>
      <c r="R139" s="77">
        <f>DATA!T147</f>
        <v>1845000000</v>
      </c>
      <c r="S139" s="77"/>
      <c r="T139" s="77">
        <f>DATA!V147</f>
        <v>333000000</v>
      </c>
      <c r="U139" s="77">
        <f>DATA!W147</f>
        <v>0</v>
      </c>
      <c r="V139" s="77">
        <f>DATA!X147</f>
        <v>2178000000</v>
      </c>
      <c r="W139" s="78" t="str">
        <f>DATA!Y147</f>
        <v>JICA</v>
      </c>
      <c r="X139" s="20" t="str">
        <f>DATA!Z147</f>
        <v>Bilateral</v>
      </c>
      <c r="Y139" s="77">
        <f>DATA!AA147</f>
        <v>1845000000</v>
      </c>
      <c r="Z139" s="77">
        <f>DATA!AG147</f>
        <v>0</v>
      </c>
      <c r="AA139" s="20">
        <f>DATA!AH147</f>
        <v>2017</v>
      </c>
      <c r="AB139" s="37" t="str">
        <f>DATA!AI147</f>
        <v>-</v>
      </c>
      <c r="AC139" s="152" t="str">
        <f>DATA!AR147</f>
        <v>belum ada dokumen R/C</v>
      </c>
      <c r="AD139" s="152" t="str">
        <f>DATA!AN147</f>
        <v>siap</v>
      </c>
      <c r="AE139" s="152" t="str">
        <f>DATA!AO147</f>
        <v>dalam proses
(perencanaan)</v>
      </c>
      <c r="AF139" s="37" t="str">
        <f>DATA!AJ147</f>
        <v>FS, AMDAL</v>
      </c>
      <c r="AG139" s="37" t="str">
        <f>DATA!AK147</f>
        <v>Pembebasan lahan tahun 2016</v>
      </c>
      <c r="AH139" s="37" t="str">
        <f>DATA!AL147</f>
        <v>Rencana pengadaan konsultan ES selesai Nov 2015</v>
      </c>
      <c r="AI139" s="20" t="str">
        <f>DATA!AR147</f>
        <v>belum ada dokumen R/C</v>
      </c>
      <c r="AJ139" s="20" t="str">
        <f>DATA!AN147</f>
        <v>siap</v>
      </c>
      <c r="AK139" s="20" t="str">
        <f>DATA!AO147</f>
        <v>dalam proses
(perencanaan)</v>
      </c>
      <c r="AL139" s="20" t="str">
        <f>DATA!AP147</f>
        <v>belum ada proses tender/lelang</v>
      </c>
      <c r="AM139" s="20" t="str">
        <f>DATA!AY147</f>
        <v>Surat Dirut PT. PLN nomor 716/REN.08.01/DIR/2015 tgl 9 September 2015</v>
      </c>
      <c r="AN139" s="20" t="e">
        <f>DATA!#REF!</f>
        <v>#REF!</v>
      </c>
      <c r="AO139" s="20">
        <f>DATA!AZ147</f>
        <v>0</v>
      </c>
      <c r="AP139" s="152" t="e">
        <f>DATA!#REF!</f>
        <v>#REF!</v>
      </c>
      <c r="AQ139" s="37"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c r="AR139" s="166"/>
    </row>
    <row r="140" spans="1:44" ht="203.25" customHeight="1">
      <c r="A140" s="10">
        <f>DATA!A148</f>
        <v>110</v>
      </c>
      <c r="B140" s="10">
        <f>DATA!B148</f>
        <v>0</v>
      </c>
      <c r="C140" s="10" t="str">
        <f>DATA!D148</f>
        <v>INFRASTRUKTUR</v>
      </c>
      <c r="D140" s="10">
        <f>DATA!E148</f>
        <v>7</v>
      </c>
      <c r="E140" s="10" t="str">
        <f>DATA!F148</f>
        <v xml:space="preserve">PT. PLN    </v>
      </c>
      <c r="F140" s="10" t="str">
        <f>DATA!H148</f>
        <v>Electricity Infrastructure Development Program</v>
      </c>
      <c r="G140" s="10" t="str">
        <f>DATA!I148</f>
        <v>A</v>
      </c>
      <c r="H140" s="10" t="str">
        <f>DATA!J148</f>
        <v>Program Pembangunan Infrastruktur Ketenagalistrikan</v>
      </c>
      <c r="I140" s="10">
        <f>DATA!K148</f>
        <v>6</v>
      </c>
      <c r="J140" s="33"/>
      <c r="K140" s="34"/>
      <c r="L140" s="34"/>
      <c r="M140" s="36">
        <f>DATA!K148</f>
        <v>6</v>
      </c>
      <c r="N140" s="37" t="str">
        <f>DATA!L148</f>
        <v>Additional Loan for Upper Cisokan Pumped Storage Hydro Electrical Power Plant (4x260MW)</v>
      </c>
      <c r="O140" s="20">
        <f>DATA!Q148</f>
        <v>1</v>
      </c>
      <c r="P140" s="20">
        <f>DATA!R148</f>
        <v>1</v>
      </c>
      <c r="Q140" s="20">
        <f>DATA!S148</f>
        <v>98</v>
      </c>
      <c r="R140" s="77">
        <f>DATA!T148</f>
        <v>200000000</v>
      </c>
      <c r="S140" s="77"/>
      <c r="T140" s="77">
        <f>DATA!V148</f>
        <v>0</v>
      </c>
      <c r="U140" s="77">
        <f>DATA!W148</f>
        <v>0</v>
      </c>
      <c r="V140" s="77">
        <f>DATA!X148</f>
        <v>200000000</v>
      </c>
      <c r="W140" s="78" t="str">
        <f>DATA!Y148</f>
        <v>Bank Dunia</v>
      </c>
      <c r="X140" s="20" t="str">
        <f>DATA!Z148</f>
        <v>Multilateral</v>
      </c>
      <c r="Y140" s="77">
        <f>DATA!AA148</f>
        <v>200000000</v>
      </c>
      <c r="Z140" s="77">
        <f>DATA!AG148</f>
        <v>0</v>
      </c>
      <c r="AA140" s="20">
        <f>DATA!AH148</f>
        <v>2017</v>
      </c>
      <c r="AB140" s="37" t="str">
        <f>DATA!AI148</f>
        <v>-</v>
      </c>
      <c r="AC140" s="152" t="str">
        <f>DATA!AR148</f>
        <v>belum ada dokumen R/C</v>
      </c>
      <c r="AD140" s="152" t="str">
        <f>DATA!AN148</f>
        <v>siap</v>
      </c>
      <c r="AE140" s="152" t="str">
        <f>DATA!AO148</f>
        <v>dalam proses
(pelaksanaan 95%)</v>
      </c>
      <c r="AF140" s="37" t="str">
        <f>DATA!AJ148</f>
        <v>FS, AMDAL</v>
      </c>
      <c r="AG140" s="114">
        <f>DATA!AK148</f>
        <v>0.95</v>
      </c>
      <c r="AH140" s="37"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I140" s="20" t="str">
        <f>DATA!AR148</f>
        <v>belum ada dokumen R/C</v>
      </c>
      <c r="AJ140" s="20" t="str">
        <f>DATA!AN148</f>
        <v>siap</v>
      </c>
      <c r="AK140" s="20" t="str">
        <f>DATA!AO148</f>
        <v>dalam proses
(pelaksanaan 95%)</v>
      </c>
      <c r="AL140" s="20" t="str">
        <f>DATA!AP148</f>
        <v>belum ada proses tender/lelang</v>
      </c>
      <c r="AM140"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N140" s="20" t="e">
        <f>DATA!#REF!</f>
        <v>#REF!</v>
      </c>
      <c r="AO140" s="20">
        <f>DATA!AZ148</f>
        <v>0</v>
      </c>
      <c r="AP140" s="152" t="e">
        <f>DATA!#REF!</f>
        <v>#REF!</v>
      </c>
      <c r="AQ140" s="37"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c r="AR140" s="166"/>
    </row>
    <row r="141" spans="1:44" ht="35.25" customHeight="1">
      <c r="A141" s="10">
        <f>DATA!A149</f>
        <v>111</v>
      </c>
      <c r="B141" s="10">
        <f>DATA!B149</f>
        <v>0</v>
      </c>
      <c r="C141" s="10" t="str">
        <f>DATA!D149</f>
        <v>INFRASTRUKTUR</v>
      </c>
      <c r="D141" s="10">
        <f>DATA!E149</f>
        <v>7</v>
      </c>
      <c r="E141" s="10" t="str">
        <f>DATA!F149</f>
        <v xml:space="preserve">PT. PLN    </v>
      </c>
      <c r="F141" s="10" t="str">
        <f>DATA!H149</f>
        <v>Electricity Infrastructure Development Program</v>
      </c>
      <c r="G141" s="10" t="str">
        <f>DATA!I149</f>
        <v>A</v>
      </c>
      <c r="H141" s="10" t="str">
        <f>DATA!J149</f>
        <v>Program Pembangunan Infrastruktur Ketenagalistrikan</v>
      </c>
      <c r="I141" s="10">
        <f>DATA!K149</f>
        <v>7</v>
      </c>
      <c r="J141" s="33"/>
      <c r="K141" s="34"/>
      <c r="L141" s="34"/>
      <c r="M141" s="36">
        <f>DATA!K149</f>
        <v>7</v>
      </c>
      <c r="N141" s="37" t="str">
        <f>DATA!L149</f>
        <v>Sungai Penuh Geothermal Power Plant 1&amp;2 (2x55MW)</v>
      </c>
      <c r="O141" s="20">
        <f>DATA!Q149</f>
        <v>1</v>
      </c>
      <c r="P141" s="20">
        <f>DATA!R149</f>
        <v>1</v>
      </c>
      <c r="Q141" s="20">
        <f>DATA!S149</f>
        <v>99</v>
      </c>
      <c r="R141" s="77">
        <f>DATA!T149</f>
        <v>205000000</v>
      </c>
      <c r="S141" s="77"/>
      <c r="T141" s="77">
        <f>DATA!V149</f>
        <v>45000000</v>
      </c>
      <c r="U141" s="77">
        <f>DATA!W149</f>
        <v>0</v>
      </c>
      <c r="V141" s="77">
        <f>DATA!X149</f>
        <v>250000000</v>
      </c>
      <c r="W141" s="78" t="str">
        <f>DATA!Y149</f>
        <v>ADB</v>
      </c>
      <c r="X141" s="20" t="str">
        <f>DATA!Z149</f>
        <v>Multilateral</v>
      </c>
      <c r="Y141" s="77">
        <f>DATA!AA149</f>
        <v>205000000</v>
      </c>
      <c r="Z141" s="77">
        <f>DATA!AG149</f>
        <v>0</v>
      </c>
      <c r="AA141" s="20" t="str">
        <f>DATA!AH149</f>
        <v>Tanpa keterangan</v>
      </c>
      <c r="AB141" s="37" t="str">
        <f>DATA!AI149</f>
        <v>-</v>
      </c>
      <c r="AC141" s="152" t="str">
        <f>DATA!AR149</f>
        <v>belum ada dokumen R/C</v>
      </c>
      <c r="AD141" s="152" t="str">
        <f>DATA!AN149</f>
        <v>siap</v>
      </c>
      <c r="AE141" s="152" t="str">
        <f>DATA!AO149</f>
        <v>belum ada keterangan</v>
      </c>
      <c r="AF141" s="37" t="str">
        <f>DATA!AJ149</f>
        <v>AMDAL</v>
      </c>
      <c r="AG141" s="37" t="str">
        <f>DATA!AK149</f>
        <v>-</v>
      </c>
      <c r="AH141" s="37" t="str">
        <f>DATA!AL149</f>
        <v>-</v>
      </c>
      <c r="AI141" s="20" t="str">
        <f>DATA!AR149</f>
        <v>belum ada dokumen R/C</v>
      </c>
      <c r="AJ141" s="20" t="str">
        <f>DATA!AN149</f>
        <v>siap</v>
      </c>
      <c r="AK141" s="20" t="str">
        <f>DATA!AO149</f>
        <v>belum ada keterangan</v>
      </c>
      <c r="AL141" s="20" t="str">
        <f>DATA!AP149</f>
        <v>belum ada proses tender/lelang</v>
      </c>
      <c r="AM141" s="20" t="str">
        <f>DATA!AY149</f>
        <v xml:space="preserve">- FS report terkait resource confirmation dari PGE belum ada
- Surat Dirut PT. PLN nomor 716/REN.08.01/DIR/2015 tgl 9 September 2015
</v>
      </c>
      <c r="AN141" s="20" t="e">
        <f>DATA!#REF!</f>
        <v>#REF!</v>
      </c>
      <c r="AO141" s="20">
        <f>DATA!AZ149</f>
        <v>0</v>
      </c>
      <c r="AP141" s="152" t="e">
        <f>DATA!#REF!</f>
        <v>#REF!</v>
      </c>
      <c r="AQ141" s="37" t="str">
        <f>DATA!BA149</f>
        <v>Pengembangan PLTP Sungai Penuh dengan kapasitas 2x55 MW dan jaringan transmisi terkait</v>
      </c>
      <c r="AR141" s="166"/>
    </row>
    <row r="142" spans="1:44" ht="36" customHeight="1">
      <c r="A142" s="10">
        <f>DATA!A150</f>
        <v>112</v>
      </c>
      <c r="B142" s="10">
        <f>DATA!B150</f>
        <v>0</v>
      </c>
      <c r="C142" s="10" t="str">
        <f>DATA!D150</f>
        <v>INFRASTRUKTUR</v>
      </c>
      <c r="D142" s="10">
        <f>DATA!E150</f>
        <v>7</v>
      </c>
      <c r="E142" s="10" t="str">
        <f>DATA!F150</f>
        <v xml:space="preserve">PT. PLN    </v>
      </c>
      <c r="F142" s="10" t="str">
        <f>DATA!H150</f>
        <v>Electricity Infrastructure Development Program</v>
      </c>
      <c r="G142" s="10" t="str">
        <f>DATA!I150</f>
        <v>A</v>
      </c>
      <c r="H142" s="10" t="str">
        <f>DATA!J150</f>
        <v>Program Pembangunan Infrastruktur Ketenagalistrikan</v>
      </c>
      <c r="I142" s="10">
        <f>DATA!K150</f>
        <v>8</v>
      </c>
      <c r="J142" s="52"/>
      <c r="K142" s="54"/>
      <c r="L142" s="54"/>
      <c r="M142" s="36">
        <f>DATA!K150</f>
        <v>8</v>
      </c>
      <c r="N142" s="37" t="str">
        <f>DATA!L150</f>
        <v>Matenggeng Pumped Storage Hydro Electrical Power Plant (4x225MW)</v>
      </c>
      <c r="O142" s="20">
        <f>DATA!Q150</f>
        <v>1</v>
      </c>
      <c r="P142" s="20">
        <f>DATA!R150</f>
        <v>1</v>
      </c>
      <c r="Q142" s="20">
        <f>DATA!S150</f>
        <v>100</v>
      </c>
      <c r="R142" s="77">
        <f>DATA!T150</f>
        <v>500000000</v>
      </c>
      <c r="S142" s="77"/>
      <c r="T142" s="77">
        <f>DATA!V150</f>
        <v>220000000</v>
      </c>
      <c r="U142" s="77">
        <f>DATA!W150</f>
        <v>0</v>
      </c>
      <c r="V142" s="77">
        <f>DATA!X150</f>
        <v>720000000</v>
      </c>
      <c r="W142" s="78" t="str">
        <f>DATA!Y150</f>
        <v>Bank Dunia</v>
      </c>
      <c r="X142" s="20" t="str">
        <f>DATA!Z150</f>
        <v>Multilateral</v>
      </c>
      <c r="Y142" s="77">
        <f>DATA!AA150</f>
        <v>500000000</v>
      </c>
      <c r="Z142" s="77">
        <f>DATA!AG150</f>
        <v>0</v>
      </c>
      <c r="AA142" s="20">
        <f>DATA!AH150</f>
        <v>2017</v>
      </c>
      <c r="AB142" s="37" t="str">
        <f>DATA!AI150</f>
        <v>-</v>
      </c>
      <c r="AC142" s="152" t="str">
        <f>DATA!AR150</f>
        <v>belum ada dokumen R/C</v>
      </c>
      <c r="AD142" s="152" t="str">
        <f>DATA!AN150</f>
        <v>dalam proses
(penyusunan FS)</v>
      </c>
      <c r="AE142" s="152" t="str">
        <f>DATA!AO150</f>
        <v>belum ada keterangan</v>
      </c>
      <c r="AF142" s="37" t="str">
        <f>DATA!AJ150</f>
        <v>Penyusunan FS</v>
      </c>
      <c r="AG142" s="37" t="str">
        <f>DATA!AK150</f>
        <v>-</v>
      </c>
      <c r="AH142" s="37" t="str">
        <f>DATA!AL150</f>
        <v>-</v>
      </c>
      <c r="AI142" s="20" t="str">
        <f>DATA!AR150</f>
        <v>belum ada dokumen R/C</v>
      </c>
      <c r="AJ142" s="20" t="str">
        <f>DATA!AN150</f>
        <v>dalam proses
(penyusunan FS)</v>
      </c>
      <c r="AK142" s="20" t="str">
        <f>DATA!AO150</f>
        <v>belum ada keterangan</v>
      </c>
      <c r="AL142" s="20" t="str">
        <f>DATA!AP150</f>
        <v>belum ada proses tender/lelang</v>
      </c>
      <c r="AM142" s="20" t="str">
        <f>DATA!AY150</f>
        <v>- Direncanakan menggunakan skema direct lending
- AMDAL direncanakan mulai tahun 2016
- Layout terkini tidak terindikasi overlapping dengan bendungan Matenggeng milik PU
- Surat Dirut PT. PLN nomor 716/REN.08.01/DIR/2015 tgl 9 September 2015</v>
      </c>
      <c r="AN142" s="20" t="e">
        <f>DATA!#REF!</f>
        <v>#REF!</v>
      </c>
      <c r="AO142" s="20">
        <f>DATA!AZ150</f>
        <v>0</v>
      </c>
      <c r="AP142" s="152" t="e">
        <f>DATA!#REF!</f>
        <v>#REF!</v>
      </c>
      <c r="AQ142" s="37" t="str">
        <f>DATA!BA150</f>
        <v>Pengembangan PLTA Matenggeng dengan kapasitas 4x225 MW dan jaringan transmisi terkait</v>
      </c>
      <c r="AR142" s="166"/>
    </row>
    <row r="143" spans="1:44" s="3" customFormat="1" ht="30" customHeight="1">
      <c r="J143" s="21" t="str">
        <f>DATA!B160</f>
        <v>II</v>
      </c>
      <c r="K143" s="112" t="str">
        <f>DATA!D160</f>
        <v>NON-INFRASTRUKTUR</v>
      </c>
      <c r="L143" s="22"/>
      <c r="M143" s="22"/>
      <c r="N143" s="23"/>
      <c r="O143" s="22"/>
      <c r="P143" s="22"/>
      <c r="Q143" s="22"/>
      <c r="R143" s="79">
        <f>+R144+R154+R163+R166+R178+R181+R194+R197+R200+R203</f>
        <v>4590772100</v>
      </c>
      <c r="S143" s="79"/>
      <c r="T143" s="79">
        <f t="shared" ref="T143:Z143" si="17">+T144+T154+T163+T166+T178+T181+T194+T197+T200+T203</f>
        <v>488120200</v>
      </c>
      <c r="U143" s="79">
        <f t="shared" si="17"/>
        <v>2660000</v>
      </c>
      <c r="V143" s="79">
        <f t="shared" si="17"/>
        <v>5308007600</v>
      </c>
      <c r="W143" s="147"/>
      <c r="X143" s="79" t="e">
        <f t="shared" si="17"/>
        <v>#VALUE!</v>
      </c>
      <c r="Y143" s="79">
        <f t="shared" si="17"/>
        <v>4590772100</v>
      </c>
      <c r="Z143" s="79">
        <f t="shared" si="17"/>
        <v>-1609442600</v>
      </c>
      <c r="AA143" s="22"/>
      <c r="AB143" s="23"/>
      <c r="AC143" s="23"/>
      <c r="AD143" s="23"/>
      <c r="AE143" s="23"/>
      <c r="AF143" s="23"/>
      <c r="AG143" s="23"/>
      <c r="AH143" s="23"/>
      <c r="AI143" s="22"/>
      <c r="AJ143" s="22"/>
      <c r="AK143" s="22"/>
      <c r="AL143" s="22"/>
      <c r="AM143" s="22"/>
      <c r="AN143" s="22"/>
      <c r="AO143" s="22"/>
      <c r="AP143" s="23"/>
      <c r="AQ143" s="23"/>
      <c r="AR143" s="158"/>
    </row>
    <row r="144" spans="1:44" s="4" customFormat="1" ht="24.95" customHeight="1">
      <c r="J144" s="24"/>
      <c r="K144" s="25">
        <f>DATA!E160</f>
        <v>8</v>
      </c>
      <c r="L144" s="108" t="str">
        <f>DATA!F160</f>
        <v>Kementerian Riset, Teknologi, dan Pendidikan Tinggi</v>
      </c>
      <c r="M144" s="25"/>
      <c r="N144" s="27"/>
      <c r="O144" s="26"/>
      <c r="P144" s="26"/>
      <c r="Q144" s="26"/>
      <c r="R144" s="80">
        <f>+R145</f>
        <v>290311500</v>
      </c>
      <c r="S144" s="80"/>
      <c r="T144" s="80">
        <f t="shared" ref="T144:Z145" si="18">+T145</f>
        <v>54543500</v>
      </c>
      <c r="U144" s="80">
        <f t="shared" si="18"/>
        <v>0</v>
      </c>
      <c r="V144" s="80">
        <f t="shared" si="18"/>
        <v>581714600</v>
      </c>
      <c r="W144" s="148"/>
      <c r="X144" s="80">
        <f t="shared" si="18"/>
        <v>0</v>
      </c>
      <c r="Y144" s="80">
        <f t="shared" si="18"/>
        <v>290311500</v>
      </c>
      <c r="Z144" s="80">
        <f t="shared" si="18"/>
        <v>0</v>
      </c>
      <c r="AA144" s="26"/>
      <c r="AB144" s="27"/>
      <c r="AC144" s="27"/>
      <c r="AD144" s="27"/>
      <c r="AE144" s="27"/>
      <c r="AF144" s="27"/>
      <c r="AG144" s="27"/>
      <c r="AH144" s="27"/>
      <c r="AI144" s="26"/>
      <c r="AJ144" s="26"/>
      <c r="AK144" s="26"/>
      <c r="AL144" s="26"/>
      <c r="AM144" s="26"/>
      <c r="AN144" s="26"/>
      <c r="AO144" s="26"/>
      <c r="AP144" s="27"/>
      <c r="AQ144" s="27"/>
      <c r="AR144" s="159"/>
    </row>
    <row r="145" spans="1:44" s="5" customFormat="1" ht="33.75" customHeight="1">
      <c r="J145" s="28"/>
      <c r="K145" s="29"/>
      <c r="L145" s="30" t="str">
        <f>DATA!I160</f>
        <v>A</v>
      </c>
      <c r="M145" s="31" t="str">
        <f>DATA!J160</f>
        <v xml:space="preserve">Program Peningkatan Akses, Kualitas, Relevansi, dan Daya Saing Pendidikan Tinggi </v>
      </c>
      <c r="N145" s="51"/>
      <c r="O145" s="31"/>
      <c r="P145" s="31"/>
      <c r="Q145" s="31"/>
      <c r="R145" s="81">
        <f>+R146</f>
        <v>290311500</v>
      </c>
      <c r="S145" s="81"/>
      <c r="T145" s="81">
        <f t="shared" si="18"/>
        <v>54543500</v>
      </c>
      <c r="U145" s="81">
        <f t="shared" si="18"/>
        <v>0</v>
      </c>
      <c r="V145" s="81">
        <f t="shared" si="18"/>
        <v>581714600</v>
      </c>
      <c r="W145" s="149"/>
      <c r="X145" s="81">
        <f t="shared" si="18"/>
        <v>0</v>
      </c>
      <c r="Y145" s="81">
        <f t="shared" si="18"/>
        <v>290311500</v>
      </c>
      <c r="Z145" s="81">
        <f t="shared" si="18"/>
        <v>0</v>
      </c>
      <c r="AA145" s="31"/>
      <c r="AB145" s="32"/>
      <c r="AC145" s="32"/>
      <c r="AD145" s="32"/>
      <c r="AE145" s="32"/>
      <c r="AF145" s="32"/>
      <c r="AG145" s="32"/>
      <c r="AH145" s="32"/>
      <c r="AI145" s="31"/>
      <c r="AJ145" s="31"/>
      <c r="AK145" s="31"/>
      <c r="AL145" s="31"/>
      <c r="AM145" s="31"/>
      <c r="AN145" s="31"/>
      <c r="AO145" s="31"/>
      <c r="AP145" s="32"/>
      <c r="AQ145" s="32"/>
      <c r="AR145" s="160"/>
    </row>
    <row r="146" spans="1:44" ht="48.75" customHeight="1">
      <c r="A146" s="10">
        <f>DATA!A160</f>
        <v>113</v>
      </c>
      <c r="B146" s="10" t="str">
        <f>DATA!B160</f>
        <v>II</v>
      </c>
      <c r="C146" s="10" t="str">
        <f>DATA!D160</f>
        <v>NON-INFRASTRUKTUR</v>
      </c>
      <c r="D146" s="10">
        <f>DATA!E160</f>
        <v>8</v>
      </c>
      <c r="E146" s="10" t="str">
        <f>DATA!F160</f>
        <v>Kementerian Riset, Teknologi, dan Pendidikan Tinggi</v>
      </c>
      <c r="F146" s="10" t="str">
        <f>DATA!H160</f>
        <v>Improving Access, Quality, Relevance, and Competitiveness of Higher Education Program</v>
      </c>
      <c r="G146" s="10" t="str">
        <f>DATA!I160</f>
        <v>A</v>
      </c>
      <c r="H146" s="10" t="str">
        <f>DATA!J160</f>
        <v xml:space="preserve">Program Peningkatan Akses, Kualitas, Relevansi, dan Daya Saing Pendidikan Tinggi </v>
      </c>
      <c r="I146" s="10">
        <f>DATA!K160</f>
        <v>1</v>
      </c>
      <c r="J146" s="33"/>
      <c r="K146" s="34"/>
      <c r="L146" s="35"/>
      <c r="M146" s="36">
        <f>DATA!K160</f>
        <v>1</v>
      </c>
      <c r="N146" s="37" t="str">
        <f>DATA!L160</f>
        <v>Strengthening Capacity of State Higher Education:</v>
      </c>
      <c r="O146" s="20">
        <f>DATA!Q160</f>
        <v>0</v>
      </c>
      <c r="P146" s="20">
        <f>DATA!R160</f>
        <v>1</v>
      </c>
      <c r="Q146" s="20">
        <f>DATA!S160</f>
        <v>101</v>
      </c>
      <c r="R146" s="77">
        <f>DATA!T160</f>
        <v>290311500</v>
      </c>
      <c r="S146" s="77"/>
      <c r="T146" s="77">
        <f>DATA!V160</f>
        <v>54543500</v>
      </c>
      <c r="U146" s="77">
        <f>DATA!W160</f>
        <v>0</v>
      </c>
      <c r="V146" s="77">
        <f>DATA!X160</f>
        <v>581714600</v>
      </c>
      <c r="W146" s="78" t="str">
        <f>DATA!Y160</f>
        <v>-</v>
      </c>
      <c r="X146" s="20">
        <f>DATA!Z160</f>
        <v>0</v>
      </c>
      <c r="Y146" s="77">
        <f>DATA!AA160</f>
        <v>290311500</v>
      </c>
      <c r="Z146" s="77">
        <f>DATA!AG160</f>
        <v>0</v>
      </c>
      <c r="AA146" s="20" t="str">
        <f>DATA!AH160</f>
        <v>-</v>
      </c>
      <c r="AB146" s="37" t="str">
        <f>DATA!AI160</f>
        <v>-</v>
      </c>
      <c r="AC146" s="152" t="str">
        <f>DATA!AM160</f>
        <v>-</v>
      </c>
      <c r="AD146" s="152">
        <f>DATA!AN160</f>
        <v>0</v>
      </c>
      <c r="AE146" s="152" t="str">
        <f>DATA!AO160</f>
        <v>-</v>
      </c>
      <c r="AF146" s="37" t="str">
        <f>DATA!AJ160</f>
        <v>-</v>
      </c>
      <c r="AG146" s="37" t="str">
        <f>DATA!AK160</f>
        <v>-</v>
      </c>
      <c r="AH146" s="37" t="str">
        <f>DATA!AL160</f>
        <v>-</v>
      </c>
      <c r="AI146" s="20" t="str">
        <f>DATA!AM160</f>
        <v>-</v>
      </c>
      <c r="AJ146" s="20">
        <f>DATA!AN160</f>
        <v>0</v>
      </c>
      <c r="AK146" s="20" t="str">
        <f>DATA!AO160</f>
        <v>-</v>
      </c>
      <c r="AL146" s="20">
        <f>DATA!AP160</f>
        <v>0</v>
      </c>
      <c r="AM146" s="20" t="str">
        <f>DATA!AY160</f>
        <v>Surat Sekjen nomor 1532/A.A1/PR/2015 tgl 9 September 2015</v>
      </c>
      <c r="AN146" s="20" t="e">
        <f>DATA!#REF!</f>
        <v>#REF!</v>
      </c>
      <c r="AO146" s="20">
        <f>DATA!AZ160</f>
        <v>0</v>
      </c>
      <c r="AP146" s="152" t="e">
        <f>DATA!#REF!</f>
        <v>#REF!</v>
      </c>
      <c r="AQ146" s="37" t="str">
        <f>DATA!BA160</f>
        <v>Pembangunan sarana dan prasarana perkuliahan, pengadaan peralatan, pengembangan SDM, serta jasa konsultan</v>
      </c>
      <c r="AR146" s="166"/>
    </row>
    <row r="147" spans="1:44" s="6" customFormat="1" ht="59.25" customHeight="1">
      <c r="A147" s="6">
        <f>DATA!A161</f>
        <v>114</v>
      </c>
      <c r="B147" s="6">
        <f>DATA!B161</f>
        <v>0</v>
      </c>
      <c r="C147" s="6" t="str">
        <f>DATA!D161</f>
        <v>NON-INFRASTRUKTUR</v>
      </c>
      <c r="D147" s="6">
        <f>DATA!E161</f>
        <v>8</v>
      </c>
      <c r="E147" s="6" t="str">
        <f>DATA!F161</f>
        <v>Kementerian Riset, Teknologi, dan Pendidikan Tinggi</v>
      </c>
      <c r="F147" s="6" t="str">
        <f>DATA!H161</f>
        <v>Improving Access, Quality, Relevance, and Competitiveness of Higher Education Program</v>
      </c>
      <c r="G147" s="6" t="str">
        <f>DATA!I161</f>
        <v>A</v>
      </c>
      <c r="H147" s="6" t="str">
        <f>DATA!J161</f>
        <v xml:space="preserve">Program Peningkatan Akses, Kualitas, Relevansi, dan Daya Saing Pendidikan Tinggi </v>
      </c>
      <c r="I147" s="6">
        <f>DATA!K161</f>
        <v>1</v>
      </c>
      <c r="J147" s="38"/>
      <c r="K147" s="39"/>
      <c r="L147" s="39"/>
      <c r="M147" s="40"/>
      <c r="N147" s="67" t="str">
        <f>DATA!L161</f>
        <v>The Development of Sultan Ageng Tirtayasa University (UNTIRTA)</v>
      </c>
      <c r="O147" s="42">
        <f>DATA!Q161</f>
        <v>0.14285714285714285</v>
      </c>
      <c r="P147" s="42">
        <f>DATA!R161</f>
        <v>0</v>
      </c>
      <c r="Q147" s="42">
        <f>DATA!S161</f>
        <v>0</v>
      </c>
      <c r="R147" s="83">
        <f>DATA!T161</f>
        <v>49882300</v>
      </c>
      <c r="S147" s="83"/>
      <c r="T147" s="83">
        <f>DATA!V161</f>
        <v>3797300</v>
      </c>
      <c r="U147" s="83">
        <f>DATA!W161</f>
        <v>0</v>
      </c>
      <c r="V147" s="83">
        <f>DATA!X161</f>
        <v>53679600</v>
      </c>
      <c r="W147" s="84" t="str">
        <f>DATA!Y161</f>
        <v>IDB</v>
      </c>
      <c r="X147" s="42" t="str">
        <f>DATA!Z161</f>
        <v>Multilateral</v>
      </c>
      <c r="Y147" s="83">
        <f>DATA!AA161</f>
        <v>49882300</v>
      </c>
      <c r="Z147" s="83">
        <f>DATA!AG161</f>
        <v>0</v>
      </c>
      <c r="AA147" s="42" t="str">
        <f>DATA!AH161</f>
        <v>Tanpa keterangan</v>
      </c>
      <c r="AB147" s="67" t="str">
        <f>DATA!AI161</f>
        <v xml:space="preserve">Penyusunan R/C
</v>
      </c>
      <c r="AC147" s="152" t="str">
        <f>DATA!AR161</f>
        <v>-</v>
      </c>
      <c r="AD147" s="152" t="str">
        <f>DATA!AN161</f>
        <v>siap</v>
      </c>
      <c r="AE147" s="152" t="str">
        <f>DATA!AO161</f>
        <v>siap</v>
      </c>
      <c r="AF147" s="67" t="str">
        <f>DATA!AJ161</f>
        <v>- Pemrosesan FS
- AMDAL proses lelang</v>
      </c>
      <c r="AG147" s="115">
        <f>DATA!AK161</f>
        <v>1</v>
      </c>
      <c r="AH147" s="67" t="str">
        <f>DATA!AL161</f>
        <v>-</v>
      </c>
      <c r="AI147" s="42" t="str">
        <f>DATA!AR161</f>
        <v>-</v>
      </c>
      <c r="AJ147" s="42" t="str">
        <f>DATA!AN161</f>
        <v>siap</v>
      </c>
      <c r="AK147" s="42" t="str">
        <f>DATA!AO161</f>
        <v>siap</v>
      </c>
      <c r="AL147" s="42" t="str">
        <f>DATA!AP161</f>
        <v>belum ada proses tender/lelang</v>
      </c>
      <c r="AM147" s="42" t="str">
        <f>DATA!AY161</f>
        <v>Surat Sekjen nomor 1532/A.A1/PR/2015 tgl 9 September 2015</v>
      </c>
      <c r="AN147" s="42" t="e">
        <f>DATA!#REF!</f>
        <v>#REF!</v>
      </c>
      <c r="AO147" s="42">
        <f>DATA!AZ161</f>
        <v>0</v>
      </c>
      <c r="AP147" s="152" t="e">
        <f>DATA!#REF!</f>
        <v>#REF!</v>
      </c>
      <c r="AQ147" s="67" t="str">
        <f>DATA!BA161</f>
        <v>Pembangunan sarana dan prasarana pendidikan (gedung perkuliahan, laboratorium dan sarana pendukung lainnya)  dan pengembangan landscape dan infrastruktur</v>
      </c>
      <c r="AR147" s="165"/>
    </row>
    <row r="148" spans="1:44" s="6" customFormat="1" ht="71.25" customHeight="1">
      <c r="A148" s="6">
        <f>DATA!A162</f>
        <v>115</v>
      </c>
      <c r="B148" s="6">
        <f>DATA!B162</f>
        <v>0</v>
      </c>
      <c r="C148" s="6" t="str">
        <f>DATA!D162</f>
        <v>NON-INFRASTRUKTUR</v>
      </c>
      <c r="D148" s="6">
        <f>DATA!E162</f>
        <v>8</v>
      </c>
      <c r="E148" s="6" t="str">
        <f>DATA!F162</f>
        <v>Kementerian Riset, Teknologi, dan Pendidikan Tinggi</v>
      </c>
      <c r="F148" s="6" t="str">
        <f>DATA!H162</f>
        <v>Improving Access, Quality, Relevance, and Competitiveness of Higher Education Program</v>
      </c>
      <c r="G148" s="6" t="str">
        <f>DATA!I162</f>
        <v>A</v>
      </c>
      <c r="H148" s="6" t="str">
        <f>DATA!J162</f>
        <v xml:space="preserve">Program Peningkatan Akses, Kualitas, Relevansi, dan Daya Saing Pendidikan Tinggi </v>
      </c>
      <c r="I148" s="6">
        <f>DATA!K162</f>
        <v>1</v>
      </c>
      <c r="J148" s="38"/>
      <c r="K148" s="39"/>
      <c r="L148" s="39"/>
      <c r="M148" s="38"/>
      <c r="N148" s="67" t="str">
        <f>DATA!L162</f>
        <v>Development for State University of Malang as The Learning University</v>
      </c>
      <c r="O148" s="42">
        <f>DATA!Q162</f>
        <v>0.14285714285714285</v>
      </c>
      <c r="P148" s="42">
        <f>DATA!R162</f>
        <v>0</v>
      </c>
      <c r="Q148" s="42">
        <f>DATA!S162</f>
        <v>0</v>
      </c>
      <c r="R148" s="83">
        <f>DATA!T162</f>
        <v>38400000</v>
      </c>
      <c r="S148" s="83"/>
      <c r="T148" s="83">
        <f>DATA!V162</f>
        <v>9335300</v>
      </c>
      <c r="U148" s="83">
        <f>DATA!W162</f>
        <v>0</v>
      </c>
      <c r="V148" s="83">
        <f>DATA!X162</f>
        <v>47735300</v>
      </c>
      <c r="W148" s="84" t="str">
        <f>DATA!Y162</f>
        <v>IDB</v>
      </c>
      <c r="X148" s="42" t="str">
        <f>DATA!Z162</f>
        <v>Multilateral</v>
      </c>
      <c r="Y148" s="83">
        <f>DATA!AA162</f>
        <v>38400000</v>
      </c>
      <c r="Z148" s="83">
        <f>DATA!AG162</f>
        <v>0</v>
      </c>
      <c r="AA148" s="42" t="str">
        <f>DATA!AH162</f>
        <v>Tanpa keterangan</v>
      </c>
      <c r="AB148" s="67" t="str">
        <f>DATA!AI162</f>
        <v xml:space="preserve">Penyusunan R/C
</v>
      </c>
      <c r="AC148" s="152" t="str">
        <f>DATA!AR162</f>
        <v>-</v>
      </c>
      <c r="AD148" s="152" t="str">
        <f>DATA!AN162</f>
        <v>siap</v>
      </c>
      <c r="AE148" s="152" t="str">
        <f>DATA!AO162</f>
        <v>siap</v>
      </c>
      <c r="AF148" s="67" t="str">
        <f>DATA!AJ162</f>
        <v>- FS
- AMDAL dalam proses</v>
      </c>
      <c r="AG148" s="115">
        <f>DATA!AK162</f>
        <v>1</v>
      </c>
      <c r="AH148" s="67" t="str">
        <f>DATA!AL162</f>
        <v>-</v>
      </c>
      <c r="AI148" s="42" t="str">
        <f>DATA!AR162</f>
        <v>-</v>
      </c>
      <c r="AJ148" s="42" t="str">
        <f>DATA!AN162</f>
        <v>siap</v>
      </c>
      <c r="AK148" s="42" t="str">
        <f>DATA!AO162</f>
        <v>siap</v>
      </c>
      <c r="AL148" s="42" t="str">
        <f>DATA!AP162</f>
        <v>belum ada proses tender/lelang</v>
      </c>
      <c r="AM148" s="42" t="str">
        <f>DATA!AY162</f>
        <v>Surat Sekjen nomor 1532/A.A1/PR/2015 tgl 9 September 2015</v>
      </c>
      <c r="AN148" s="42" t="e">
        <f>DATA!#REF!</f>
        <v>#REF!</v>
      </c>
      <c r="AO148" s="42">
        <f>DATA!AZ162</f>
        <v>0</v>
      </c>
      <c r="AP148" s="152" t="e">
        <f>DATA!#REF!</f>
        <v>#REF!</v>
      </c>
      <c r="AQ148" s="67" t="str">
        <f>DATA!BA162</f>
        <v>Pembangunan sarana dan prasarana perkuliahan (ruang kuliah, ruang dosen, peralatan laboratorium, instalasi jaringan listrik dan telekomunikasi, instalasi air bersih, sanitasi dan mekanikal engineering) dan pengembangan SDM.</v>
      </c>
      <c r="AR148" s="165"/>
    </row>
    <row r="149" spans="1:44" s="6" customFormat="1" ht="101.25" customHeight="1">
      <c r="A149" s="6">
        <f>DATA!A163</f>
        <v>116</v>
      </c>
      <c r="B149" s="6">
        <f>DATA!B163</f>
        <v>0</v>
      </c>
      <c r="C149" s="6" t="str">
        <f>DATA!D163</f>
        <v>NON-INFRASTRUKTUR</v>
      </c>
      <c r="D149" s="6">
        <f>DATA!E163</f>
        <v>8</v>
      </c>
      <c r="E149" s="6" t="str">
        <f>DATA!F163</f>
        <v>Kementerian Riset, Teknologi, dan Pendidikan Tinggi</v>
      </c>
      <c r="F149" s="6" t="str">
        <f>DATA!H163</f>
        <v>Improving Access, Quality, Relevance, and Competitiveness of Higher Education Program</v>
      </c>
      <c r="G149" s="6" t="str">
        <f>DATA!I163</f>
        <v>A</v>
      </c>
      <c r="H149" s="6" t="str">
        <f>DATA!J163</f>
        <v xml:space="preserve">Program Peningkatan Akses, Kualitas, Relevansi, dan Daya Saing Pendidikan Tinggi </v>
      </c>
      <c r="I149" s="6">
        <f>DATA!K163</f>
        <v>1</v>
      </c>
      <c r="J149" s="38"/>
      <c r="K149" s="39"/>
      <c r="L149" s="39"/>
      <c r="M149" s="38"/>
      <c r="N149" s="67" t="str">
        <f>DATA!L163</f>
        <v>The Development and Upgrading Mulawarman University</v>
      </c>
      <c r="O149" s="42">
        <f>DATA!Q163</f>
        <v>0.14285714285714285</v>
      </c>
      <c r="P149" s="42">
        <f>DATA!R163</f>
        <v>0</v>
      </c>
      <c r="Q149" s="42">
        <f>DATA!S163</f>
        <v>0</v>
      </c>
      <c r="R149" s="83">
        <f>DATA!T163</f>
        <v>44400000</v>
      </c>
      <c r="S149" s="83"/>
      <c r="T149" s="83">
        <f>DATA!V163</f>
        <v>485800</v>
      </c>
      <c r="U149" s="83">
        <f>DATA!W163</f>
        <v>0</v>
      </c>
      <c r="V149" s="83">
        <f>DATA!X163</f>
        <v>44885800</v>
      </c>
      <c r="W149" s="84" t="str">
        <f>DATA!Y163</f>
        <v>IDB</v>
      </c>
      <c r="X149" s="42" t="str">
        <f>DATA!Z163</f>
        <v>Multilateral</v>
      </c>
      <c r="Y149" s="83">
        <f>DATA!AA163</f>
        <v>44400000</v>
      </c>
      <c r="Z149" s="83">
        <f>DATA!AG163</f>
        <v>0</v>
      </c>
      <c r="AA149" s="42" t="str">
        <f>DATA!AH163</f>
        <v>Tanpa keterangan</v>
      </c>
      <c r="AB149" s="67" t="str">
        <f>DATA!AI163</f>
        <v xml:space="preserve">Penyusunan R/C
</v>
      </c>
      <c r="AC149" s="152" t="str">
        <f>DATA!AR163</f>
        <v>-</v>
      </c>
      <c r="AD149" s="152" t="str">
        <f>DATA!AN163</f>
        <v>siap</v>
      </c>
      <c r="AE149" s="152" t="str">
        <f>DATA!AO163</f>
        <v>siap</v>
      </c>
      <c r="AF149" s="67" t="str">
        <f>DATA!AJ163</f>
        <v>FS dan AMDAL target Desember 2015</v>
      </c>
      <c r="AG149" s="115">
        <f>DATA!AK163</f>
        <v>1</v>
      </c>
      <c r="AH149" s="67" t="str">
        <f>DATA!AL163</f>
        <v>-</v>
      </c>
      <c r="AI149" s="42" t="str">
        <f>DATA!AR163</f>
        <v>-</v>
      </c>
      <c r="AJ149" s="42" t="str">
        <f>DATA!AN163</f>
        <v>siap</v>
      </c>
      <c r="AK149" s="42" t="str">
        <f>DATA!AO163</f>
        <v>siap</v>
      </c>
      <c r="AL149" s="42" t="str">
        <f>DATA!AP163</f>
        <v>belum ada proses tender/lelang</v>
      </c>
      <c r="AM149" s="42" t="str">
        <f>DATA!AY163</f>
        <v>Surat Sekjen nomor 1532/A.A1/PR/2015 tgl 9 September 2015</v>
      </c>
      <c r="AN149" s="42" t="e">
        <f>DATA!#REF!</f>
        <v>#REF!</v>
      </c>
      <c r="AO149" s="42">
        <f>DATA!AZ163</f>
        <v>0</v>
      </c>
      <c r="AP149" s="152" t="e">
        <f>DATA!#REF!</f>
        <v>#REF!</v>
      </c>
      <c r="AQ149" s="67"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c r="AR149" s="165"/>
    </row>
    <row r="150" spans="1:44" s="6" customFormat="1" ht="54" customHeight="1">
      <c r="A150" s="6">
        <f>DATA!A164</f>
        <v>117</v>
      </c>
      <c r="B150" s="6">
        <f>DATA!B164</f>
        <v>0</v>
      </c>
      <c r="C150" s="6" t="str">
        <f>DATA!D164</f>
        <v>NON-INFRASTRUKTUR</v>
      </c>
      <c r="D150" s="6">
        <f>DATA!E164</f>
        <v>8</v>
      </c>
      <c r="E150" s="6" t="str">
        <f>DATA!F164</f>
        <v>Kementerian Riset, Teknologi, dan Pendidikan Tinggi</v>
      </c>
      <c r="F150" s="6" t="str">
        <f>DATA!H164</f>
        <v>Improving Access, Quality, Relevance, and Competitiveness of Higher Education Program</v>
      </c>
      <c r="G150" s="6" t="str">
        <f>DATA!I164</f>
        <v>A</v>
      </c>
      <c r="H150" s="6" t="str">
        <f>DATA!J164</f>
        <v xml:space="preserve">Program Peningkatan Akses, Kualitas, Relevansi, dan Daya Saing Pendidikan Tinggi </v>
      </c>
      <c r="I150" s="6">
        <f>DATA!K164</f>
        <v>1</v>
      </c>
      <c r="J150" s="38"/>
      <c r="K150" s="39"/>
      <c r="L150" s="39"/>
      <c r="M150" s="38"/>
      <c r="N150" s="67" t="str">
        <f>DATA!L164</f>
        <v>Improvement of The Capacity and Contribution of The University of Jember on Standardized and Excellent Tridharma Implementation in South East Asia Region</v>
      </c>
      <c r="O150" s="42">
        <f>DATA!Q164</f>
        <v>0.14285714285714285</v>
      </c>
      <c r="P150" s="42">
        <f>DATA!R164</f>
        <v>0</v>
      </c>
      <c r="Q150" s="42">
        <f>DATA!S164</f>
        <v>0</v>
      </c>
      <c r="R150" s="83">
        <f>DATA!T164</f>
        <v>44091200</v>
      </c>
      <c r="S150" s="83"/>
      <c r="T150" s="83">
        <f>DATA!V164</f>
        <v>1992700</v>
      </c>
      <c r="U150" s="83">
        <f>DATA!W164</f>
        <v>0</v>
      </c>
      <c r="V150" s="83">
        <f>DATA!X164</f>
        <v>46083900</v>
      </c>
      <c r="W150" s="84" t="str">
        <f>DATA!Y164</f>
        <v>IDB</v>
      </c>
      <c r="X150" s="42" t="str">
        <f>DATA!Z164</f>
        <v>Multilateral</v>
      </c>
      <c r="Y150" s="83">
        <f>DATA!AA164</f>
        <v>44091200</v>
      </c>
      <c r="Z150" s="83">
        <f>DATA!AG164</f>
        <v>0</v>
      </c>
      <c r="AA150" s="42" t="str">
        <f>DATA!AH164</f>
        <v>Tanpa keterangan</v>
      </c>
      <c r="AB150" s="67" t="str">
        <f>DATA!AI164</f>
        <v xml:space="preserve">Penyusunan R/C
</v>
      </c>
      <c r="AC150" s="152" t="str">
        <f>DATA!AR164</f>
        <v>-</v>
      </c>
      <c r="AD150" s="152" t="str">
        <f>DATA!AN164</f>
        <v>siap</v>
      </c>
      <c r="AE150" s="152" t="str">
        <f>DATA!AO164</f>
        <v>siap</v>
      </c>
      <c r="AF150" s="67" t="str">
        <f>DATA!AJ164</f>
        <v>- Penyusunan AMDAL dan DED</v>
      </c>
      <c r="AG150" s="115">
        <f>DATA!AK164</f>
        <v>1</v>
      </c>
      <c r="AH150" s="67" t="str">
        <f>DATA!AL164</f>
        <v>-</v>
      </c>
      <c r="AI150" s="42" t="str">
        <f>DATA!AR164</f>
        <v>-</v>
      </c>
      <c r="AJ150" s="42" t="str">
        <f>DATA!AN164</f>
        <v>siap</v>
      </c>
      <c r="AK150" s="42" t="str">
        <f>DATA!AO164</f>
        <v>siap</v>
      </c>
      <c r="AL150" s="42" t="str">
        <f>DATA!AP164</f>
        <v>belum ada proses tender/lelang</v>
      </c>
      <c r="AM150" s="42" t="str">
        <f>DATA!AY164</f>
        <v>Surat Sekjen nomor 1532/A.A1/PR/2015 tgl 9 September 2015</v>
      </c>
      <c r="AN150" s="42" t="e">
        <f>DATA!#REF!</f>
        <v>#REF!</v>
      </c>
      <c r="AO150" s="42">
        <f>DATA!AZ164</f>
        <v>0</v>
      </c>
      <c r="AP150" s="152" t="e">
        <f>DATA!#REF!</f>
        <v>#REF!</v>
      </c>
      <c r="AQ150" s="67" t="str">
        <f>DATA!BA164</f>
        <v>Pembangunan sarana dan prasarana perkuliahan, pengadaan peralatan, pengembangan SDM, dan jasa konsultan</v>
      </c>
      <c r="AR150" s="165"/>
    </row>
    <row r="151" spans="1:44" s="6" customFormat="1" ht="43.5" customHeight="1">
      <c r="A151" s="6">
        <f>DATA!A165</f>
        <v>118</v>
      </c>
      <c r="B151" s="6">
        <f>DATA!B165</f>
        <v>0</v>
      </c>
      <c r="C151" s="6" t="str">
        <f>DATA!D165</f>
        <v>NON-INFRASTRUKTUR</v>
      </c>
      <c r="D151" s="6">
        <f>DATA!E165</f>
        <v>8</v>
      </c>
      <c r="E151" s="6" t="str">
        <f>DATA!F165</f>
        <v>Kementerian Riset, Teknologi, dan Pendidikan Tinggi</v>
      </c>
      <c r="F151" s="6" t="str">
        <f>DATA!H165</f>
        <v>Improving Access, Quality, Relevance, and Competitiveness of Higher Education Program</v>
      </c>
      <c r="G151" s="6" t="str">
        <f>DATA!I165</f>
        <v>A</v>
      </c>
      <c r="H151" s="6" t="str">
        <f>DATA!J165</f>
        <v xml:space="preserve">Program Peningkatan Akses, Kualitas, Relevansi, dan Daya Saing Pendidikan Tinggi </v>
      </c>
      <c r="I151" s="6">
        <f>DATA!K165</f>
        <v>1</v>
      </c>
      <c r="J151" s="38"/>
      <c r="K151" s="39"/>
      <c r="L151" s="39"/>
      <c r="M151" s="38"/>
      <c r="N151" s="67" t="str">
        <f>DATA!L165</f>
        <v>The Plan of Hasanuddin University Hospital Development</v>
      </c>
      <c r="O151" s="42">
        <f>DATA!Q165</f>
        <v>0.14285714285714285</v>
      </c>
      <c r="P151" s="42">
        <f>DATA!R165</f>
        <v>0</v>
      </c>
      <c r="Q151" s="42">
        <f>DATA!S165</f>
        <v>0</v>
      </c>
      <c r="R151" s="83">
        <f>DATA!T165</f>
        <v>31565800</v>
      </c>
      <c r="S151" s="83"/>
      <c r="T151" s="83">
        <f>DATA!V165</f>
        <v>2586200</v>
      </c>
      <c r="U151" s="83">
        <f>DATA!W165</f>
        <v>0</v>
      </c>
      <c r="V151" s="83">
        <f>DATA!X165</f>
        <v>34152000</v>
      </c>
      <c r="W151" s="84" t="str">
        <f>DATA!Y165</f>
        <v>Jerman (KfW)</v>
      </c>
      <c r="X151" s="42" t="str">
        <f>DATA!Z165</f>
        <v>Bilateral</v>
      </c>
      <c r="Y151" s="83">
        <f>DATA!AA165</f>
        <v>31565800</v>
      </c>
      <c r="Z151" s="83">
        <f>DATA!AG165</f>
        <v>0</v>
      </c>
      <c r="AA151" s="42" t="str">
        <f>DATA!AH165</f>
        <v>Tanpa keterangan</v>
      </c>
      <c r="AB151" s="67" t="str">
        <f>DATA!AI165</f>
        <v xml:space="preserve">Penyusunan R/C
</v>
      </c>
      <c r="AC151" s="152" t="str">
        <f>DATA!AR165</f>
        <v>-</v>
      </c>
      <c r="AD151" s="152" t="str">
        <f>DATA!AN165</f>
        <v>siap</v>
      </c>
      <c r="AE151" s="152" t="str">
        <f>DATA!AO165</f>
        <v>siap</v>
      </c>
      <c r="AF151" s="67" t="str">
        <f>DATA!AJ165</f>
        <v>AMDAL</v>
      </c>
      <c r="AG151" s="115">
        <f>DATA!AK165</f>
        <v>1</v>
      </c>
      <c r="AH151" s="67" t="str">
        <f>DATA!AL165</f>
        <v>-</v>
      </c>
      <c r="AI151" s="42" t="str">
        <f>DATA!AR165</f>
        <v>-</v>
      </c>
      <c r="AJ151" s="42" t="str">
        <f>DATA!AN165</f>
        <v>siap</v>
      </c>
      <c r="AK151" s="42" t="str">
        <f>DATA!AO165</f>
        <v>siap</v>
      </c>
      <c r="AL151" s="42" t="str">
        <f>DATA!AP165</f>
        <v>belum ada proses tender/lelang</v>
      </c>
      <c r="AM151" s="42" t="str">
        <f>DATA!AY165</f>
        <v>Surat Sekjen nomor 1532/A.A1/PR/2015 tgl 9 September 2015</v>
      </c>
      <c r="AN151" s="42" t="e">
        <f>DATA!#REF!</f>
        <v>#REF!</v>
      </c>
      <c r="AO151" s="42">
        <f>DATA!AZ165</f>
        <v>0</v>
      </c>
      <c r="AP151" s="152" t="e">
        <f>DATA!#REF!</f>
        <v>#REF!</v>
      </c>
      <c r="AQ151" s="67" t="str">
        <f>DATA!BA165</f>
        <v>Pengadaan peralatan, pengembangan SDM, pengembangan telemedicine dan sistem manajemen informasi, dan manajemen dan jasa konsultasi</v>
      </c>
      <c r="AR151" s="165"/>
    </row>
    <row r="152" spans="1:44" s="6" customFormat="1" ht="57.75" customHeight="1">
      <c r="A152" s="6">
        <f>DATA!A166</f>
        <v>119</v>
      </c>
      <c r="B152" s="6">
        <f>DATA!B166</f>
        <v>0</v>
      </c>
      <c r="C152" s="6" t="str">
        <f>DATA!D166</f>
        <v>NON-INFRASTRUKTUR</v>
      </c>
      <c r="D152" s="6">
        <f>DATA!E166</f>
        <v>8</v>
      </c>
      <c r="E152" s="6" t="str">
        <f>DATA!F166</f>
        <v>Kementerian Riset, Teknologi, dan Pendidikan Tinggi</v>
      </c>
      <c r="F152" s="6" t="str">
        <f>DATA!H166</f>
        <v>Improving Access, Quality, Relevance, and Competitiveness of Higher Education Program</v>
      </c>
      <c r="G152" s="6" t="str">
        <f>DATA!I166</f>
        <v>A</v>
      </c>
      <c r="H152" s="6" t="str">
        <f>DATA!J166</f>
        <v xml:space="preserve">Program Peningkatan Akses, Kualitas, Relevansi, dan Daya Saing Pendidikan Tinggi </v>
      </c>
      <c r="I152" s="6">
        <f>DATA!K166</f>
        <v>1</v>
      </c>
      <c r="J152" s="38"/>
      <c r="K152" s="39"/>
      <c r="L152" s="39"/>
      <c r="M152" s="38"/>
      <c r="N152" s="67" t="str">
        <f>DATA!L166</f>
        <v>Establishment of University of Bengkulu’s Hospital</v>
      </c>
      <c r="O152" s="42">
        <f>DATA!Q166</f>
        <v>18000000</v>
      </c>
      <c r="P152" s="42">
        <f>DATA!R166</f>
        <v>0</v>
      </c>
      <c r="Q152" s="42">
        <f>DATA!S166</f>
        <v>0</v>
      </c>
      <c r="R152" s="83">
        <f>DATA!T166</f>
        <v>10278200</v>
      </c>
      <c r="S152" s="83"/>
      <c r="T152" s="83">
        <f>DATA!V166</f>
        <v>182000</v>
      </c>
      <c r="U152" s="83">
        <f>DATA!W166</f>
        <v>0</v>
      </c>
      <c r="V152" s="83">
        <f>DATA!X166</f>
        <v>10460200</v>
      </c>
      <c r="W152" s="84" t="str">
        <f>DATA!Y166</f>
        <v>JICA</v>
      </c>
      <c r="X152" s="42" t="str">
        <f>DATA!Z166</f>
        <v>Bilateral</v>
      </c>
      <c r="Y152" s="83">
        <f>DATA!AA166</f>
        <v>10278200</v>
      </c>
      <c r="Z152" s="83">
        <f>DATA!AG166</f>
        <v>0</v>
      </c>
      <c r="AA152" s="42" t="str">
        <f>DATA!AH166</f>
        <v>Tanpa keterangan</v>
      </c>
      <c r="AB152" s="67" t="str">
        <f>DATA!AI166</f>
        <v xml:space="preserve">Penyusunan R/C
</v>
      </c>
      <c r="AC152" s="152" t="str">
        <f>DATA!AR166</f>
        <v>penyiapan dokumen R/C</v>
      </c>
      <c r="AD152" s="152" t="str">
        <f>DATA!AN166</f>
        <v>siap</v>
      </c>
      <c r="AE152" s="152" t="str">
        <f>DATA!AO166</f>
        <v>siap</v>
      </c>
      <c r="AF152" s="67" t="str">
        <f>DATA!AJ166</f>
        <v>- FS
- AMDAL</v>
      </c>
      <c r="AG152" s="115">
        <f>DATA!AK166</f>
        <v>1</v>
      </c>
      <c r="AH152" s="67" t="str">
        <f>DATA!AL166</f>
        <v>-</v>
      </c>
      <c r="AI152" s="42" t="str">
        <f>DATA!AR166</f>
        <v>penyiapan dokumen R/C</v>
      </c>
      <c r="AJ152" s="42" t="str">
        <f>DATA!AN166</f>
        <v>siap</v>
      </c>
      <c r="AK152" s="42" t="str">
        <f>DATA!AO166</f>
        <v>siap</v>
      </c>
      <c r="AL152" s="42" t="str">
        <f>DATA!AP166</f>
        <v>belum ada proses tender/lelang</v>
      </c>
      <c r="AM152" s="42" t="str">
        <f>DATA!AY166</f>
        <v>- Lender semula adalah IDB namun pihak Kemristekdikti mengkonfirmasikan  Lender untuk kegiatan ini adalah JICA
- Surat Sekjen nomor 1532/A.A1/PR/2015 tgl 9 September 2015</v>
      </c>
      <c r="AN152" s="42" t="e">
        <f>DATA!#REF!</f>
        <v>#REF!</v>
      </c>
      <c r="AO152" s="42">
        <f>DATA!AZ166</f>
        <v>0</v>
      </c>
      <c r="AP152" s="152" t="e">
        <f>DATA!#REF!</f>
        <v>#REF!</v>
      </c>
      <c r="AQ152" s="67" t="str">
        <f>DATA!BA166</f>
        <v>Pembangunan RS Pendidikan di Universitas Bengkulu, pengadaan peralatan medis dan furniture, pengembangan SDM, manajemen proyek, koordinasi, dan pembelajaran</v>
      </c>
      <c r="AR152" s="165"/>
    </row>
    <row r="153" spans="1:44" s="6" customFormat="1" ht="50.25" customHeight="1">
      <c r="A153" s="6">
        <f>DATA!A167</f>
        <v>120</v>
      </c>
      <c r="B153" s="6">
        <f>DATA!B167</f>
        <v>0</v>
      </c>
      <c r="C153" s="6" t="str">
        <f>DATA!D167</f>
        <v>NON-INFRASTRUKTUR</v>
      </c>
      <c r="D153" s="6">
        <f>DATA!E167</f>
        <v>8</v>
      </c>
      <c r="E153" s="6" t="str">
        <f>DATA!F167</f>
        <v>Kementerian Riset, Teknologi, dan Pendidikan Tinggi</v>
      </c>
      <c r="F153" s="6" t="str">
        <f>DATA!H167</f>
        <v>Improving Access, Quality, Relevance, and Competitiveness of Higher Education Program</v>
      </c>
      <c r="G153" s="6" t="str">
        <f>DATA!I167</f>
        <v>A</v>
      </c>
      <c r="H153" s="6" t="str">
        <f>DATA!J167</f>
        <v xml:space="preserve">Program Peningkatan Akses, Kualitas, Relevansi, dan Daya Saing Pendidikan Tinggi </v>
      </c>
      <c r="I153" s="6">
        <f>DATA!K167</f>
        <v>1</v>
      </c>
      <c r="J153" s="38"/>
      <c r="K153" s="71"/>
      <c r="L153" s="71"/>
      <c r="M153" s="43"/>
      <c r="N153" s="67" t="str">
        <f>DATA!L167</f>
        <v>University of Gadjah Mada Achieving World Class University with Socio-Entrepreneurial Spirit</v>
      </c>
      <c r="O153" s="42">
        <f>DATA!Q167</f>
        <v>0.14285714285714285</v>
      </c>
      <c r="P153" s="42">
        <f>DATA!R167</f>
        <v>0</v>
      </c>
      <c r="Q153" s="42">
        <f>DATA!S167</f>
        <v>0</v>
      </c>
      <c r="R153" s="83">
        <f>DATA!T167</f>
        <v>71694000</v>
      </c>
      <c r="S153" s="83"/>
      <c r="T153" s="83">
        <f>DATA!V167</f>
        <v>7041900</v>
      </c>
      <c r="U153" s="83">
        <f>DATA!W167</f>
        <v>0</v>
      </c>
      <c r="V153" s="83">
        <f>DATA!X167</f>
        <v>78735900</v>
      </c>
      <c r="W153" s="84" t="str">
        <f>DATA!Y167</f>
        <v>JICA</v>
      </c>
      <c r="X153" s="42" t="str">
        <f>DATA!Z167</f>
        <v>Bilateral</v>
      </c>
      <c r="Y153" s="83">
        <f>DATA!AA167</f>
        <v>71694000</v>
      </c>
      <c r="Z153" s="83">
        <f>DATA!AG167</f>
        <v>0</v>
      </c>
      <c r="AA153" s="42" t="str">
        <f>DATA!AH167</f>
        <v>Tanpa keterangan</v>
      </c>
      <c r="AB153" s="67" t="str">
        <f>DATA!AI167</f>
        <v xml:space="preserve">Penyusunan R/C
</v>
      </c>
      <c r="AC153" s="152" t="str">
        <f>DATA!AR167</f>
        <v>-</v>
      </c>
      <c r="AD153" s="152" t="str">
        <f>DATA!AN167</f>
        <v>siap</v>
      </c>
      <c r="AE153" s="152" t="str">
        <f>DATA!AO167</f>
        <v>siap</v>
      </c>
      <c r="AF153" s="67" t="str">
        <f>DATA!AJ167</f>
        <v>- FS
- AMDAL dan DED dalam proses</v>
      </c>
      <c r="AG153" s="115">
        <f>DATA!AK167</f>
        <v>0.95</v>
      </c>
      <c r="AH153" s="67" t="str">
        <f>DATA!AL167</f>
        <v>-</v>
      </c>
      <c r="AI153" s="42" t="str">
        <f>DATA!AR167</f>
        <v>-</v>
      </c>
      <c r="AJ153" s="42" t="str">
        <f>DATA!AN167</f>
        <v>siap</v>
      </c>
      <c r="AK153" s="42" t="str">
        <f>DATA!AO167</f>
        <v>siap</v>
      </c>
      <c r="AL153" s="42" t="str">
        <f>DATA!AP167</f>
        <v>belum ada proses tender/lelang</v>
      </c>
      <c r="AM153" s="42" t="str">
        <f>DATA!AY167</f>
        <v>- Lender semula adalah IDB namun pihak Kemristekdikti mengkonfirmasikan  Lender untuk kegiatan ini adalah JICA
- Target penyelesaian lahan akhir Desember 2015
- Surat Sekjen nomor 1532/A.A1/PR/2015 tgl 9 September 2015</v>
      </c>
      <c r="AN153" s="42" t="e">
        <f>DATA!#REF!</f>
        <v>#REF!</v>
      </c>
      <c r="AO153" s="42">
        <f>DATA!AZ167</f>
        <v>0</v>
      </c>
      <c r="AP153" s="152" t="e">
        <f>DATA!#REF!</f>
        <v>#REF!</v>
      </c>
      <c r="AQ153" s="67" t="str">
        <f>DATA!BA167</f>
        <v>Pembangunan gedung baru, pengadaan peralatan, pengembangan SDM dan desain kurikulum, jasa konsultan, dan manajemen proyek</v>
      </c>
      <c r="AR153" s="165"/>
    </row>
    <row r="154" spans="1:44" s="4" customFormat="1" ht="24.95" customHeight="1">
      <c r="J154" s="107"/>
      <c r="K154" s="25">
        <f>DATA!E173</f>
        <v>9</v>
      </c>
      <c r="L154" s="108" t="str">
        <f>DATA!F173</f>
        <v>Kementerian Agama</v>
      </c>
      <c r="M154" s="25"/>
      <c r="N154" s="27"/>
      <c r="O154" s="26"/>
      <c r="P154" s="26"/>
      <c r="Q154" s="26"/>
      <c r="R154" s="80">
        <f>+R155</f>
        <v>238210000</v>
      </c>
      <c r="S154" s="80"/>
      <c r="T154" s="80">
        <f t="shared" ref="T154:Z155" si="19">+T155</f>
        <v>60851400</v>
      </c>
      <c r="U154" s="80">
        <f t="shared" si="19"/>
        <v>0</v>
      </c>
      <c r="V154" s="80">
        <f t="shared" si="19"/>
        <v>288657100</v>
      </c>
      <c r="W154" s="148"/>
      <c r="X154" s="80">
        <f t="shared" si="19"/>
        <v>0</v>
      </c>
      <c r="Y154" s="80">
        <f t="shared" si="19"/>
        <v>238210000</v>
      </c>
      <c r="Z154" s="80">
        <f t="shared" si="19"/>
        <v>0</v>
      </c>
      <c r="AA154" s="26"/>
      <c r="AB154" s="27"/>
      <c r="AC154" s="27"/>
      <c r="AD154" s="27"/>
      <c r="AE154" s="27"/>
      <c r="AF154" s="27"/>
      <c r="AG154" s="27"/>
      <c r="AH154" s="27"/>
      <c r="AI154" s="26"/>
      <c r="AJ154" s="26"/>
      <c r="AK154" s="26"/>
      <c r="AL154" s="26"/>
      <c r="AM154" s="26"/>
      <c r="AN154" s="26"/>
      <c r="AO154" s="26"/>
      <c r="AP154" s="27"/>
      <c r="AQ154" s="27"/>
      <c r="AR154" s="159"/>
    </row>
    <row r="155" spans="1:44" s="5" customFormat="1" ht="33.75" customHeight="1">
      <c r="J155" s="28"/>
      <c r="K155" s="29"/>
      <c r="L155" s="30" t="str">
        <f>DATA!I173</f>
        <v>A</v>
      </c>
      <c r="M155" s="31" t="str">
        <f>DATA!J173</f>
        <v>Program Peningkatan Akses, Kualitas, Relevansi, dan Daya Saing Pendidikan Tinggi Islam</v>
      </c>
      <c r="N155" s="51"/>
      <c r="O155" s="31"/>
      <c r="P155" s="31"/>
      <c r="Q155" s="31"/>
      <c r="R155" s="81">
        <f>+R156</f>
        <v>238210000</v>
      </c>
      <c r="S155" s="81"/>
      <c r="T155" s="81">
        <f t="shared" si="19"/>
        <v>60851400</v>
      </c>
      <c r="U155" s="81">
        <f t="shared" si="19"/>
        <v>0</v>
      </c>
      <c r="V155" s="81">
        <f t="shared" si="19"/>
        <v>288657100</v>
      </c>
      <c r="W155" s="149"/>
      <c r="X155" s="81">
        <f t="shared" si="19"/>
        <v>0</v>
      </c>
      <c r="Y155" s="81">
        <f t="shared" si="19"/>
        <v>238210000</v>
      </c>
      <c r="Z155" s="81">
        <f t="shared" si="19"/>
        <v>0</v>
      </c>
      <c r="AA155" s="31"/>
      <c r="AB155" s="32"/>
      <c r="AC155" s="32"/>
      <c r="AD155" s="32"/>
      <c r="AE155" s="32"/>
      <c r="AF155" s="32"/>
      <c r="AG155" s="32"/>
      <c r="AH155" s="32"/>
      <c r="AI155" s="31"/>
      <c r="AJ155" s="31"/>
      <c r="AK155" s="31"/>
      <c r="AL155" s="31"/>
      <c r="AM155" s="31"/>
      <c r="AN155" s="31"/>
      <c r="AO155" s="31"/>
      <c r="AP155" s="32"/>
      <c r="AQ155" s="32"/>
      <c r="AR155" s="160"/>
    </row>
    <row r="156" spans="1:44" ht="38.25">
      <c r="A156" s="10">
        <f>DATA!A173</f>
        <v>121</v>
      </c>
      <c r="B156" s="10">
        <f>DATA!B173</f>
        <v>0</v>
      </c>
      <c r="C156" s="10" t="str">
        <f>DATA!D173</f>
        <v>NON-INFRASTRUKTUR</v>
      </c>
      <c r="D156" s="10">
        <f>DATA!E173</f>
        <v>9</v>
      </c>
      <c r="E156" s="10" t="str">
        <f>DATA!F173</f>
        <v>Kementerian Agama</v>
      </c>
      <c r="F156" s="10" t="str">
        <f>DATA!H173</f>
        <v>Improving Access, Quality, Relevance, and Competitiveness of Islamic Higher Education Program</v>
      </c>
      <c r="G156" s="10" t="str">
        <f>DATA!I173</f>
        <v>A</v>
      </c>
      <c r="H156" s="10" t="str">
        <f>DATA!J173</f>
        <v>Program Peningkatan Akses, Kualitas, Relevansi, dan Daya Saing Pendidikan Tinggi Islam</v>
      </c>
      <c r="I156" s="10">
        <f>DATA!K173</f>
        <v>1</v>
      </c>
      <c r="J156" s="33"/>
      <c r="K156" s="34"/>
      <c r="L156" s="35"/>
      <c r="M156" s="36">
        <f>DATA!K173</f>
        <v>1</v>
      </c>
      <c r="N156" s="37" t="str">
        <f>DATA!L173</f>
        <v>Strengthening Capacity of Islamic Higher Education (IAIN and UIN):</v>
      </c>
      <c r="O156" s="20">
        <f>DATA!Q173</f>
        <v>0</v>
      </c>
      <c r="P156" s="20">
        <f>DATA!R173</f>
        <v>1</v>
      </c>
      <c r="Q156" s="20">
        <f>DATA!S173</f>
        <v>102</v>
      </c>
      <c r="R156" s="77">
        <f>DATA!T173</f>
        <v>238210000</v>
      </c>
      <c r="S156" s="77"/>
      <c r="T156" s="77">
        <f>DATA!V173</f>
        <v>60851400</v>
      </c>
      <c r="U156" s="77">
        <f>DATA!W173</f>
        <v>0</v>
      </c>
      <c r="V156" s="77">
        <f>DATA!X173</f>
        <v>288657100</v>
      </c>
      <c r="W156" s="78" t="str">
        <f>DATA!Y173</f>
        <v>-</v>
      </c>
      <c r="X156" s="20">
        <f>DATA!Z173</f>
        <v>0</v>
      </c>
      <c r="Y156" s="77">
        <f>DATA!AA173</f>
        <v>238210000</v>
      </c>
      <c r="Z156" s="77">
        <f>DATA!AG173</f>
        <v>0</v>
      </c>
      <c r="AA156" s="20" t="str">
        <f>DATA!AH173</f>
        <v>-</v>
      </c>
      <c r="AB156" s="37" t="str">
        <f>DATA!AI173</f>
        <v>-</v>
      </c>
      <c r="AC156" s="152" t="str">
        <f>DATA!AM173</f>
        <v>-</v>
      </c>
      <c r="AD156" s="152" t="str">
        <f>DATA!AN173</f>
        <v>-</v>
      </c>
      <c r="AE156" s="152" t="str">
        <f>DATA!AO173</f>
        <v>-</v>
      </c>
      <c r="AF156" s="37" t="str">
        <f>DATA!AJ173</f>
        <v>-</v>
      </c>
      <c r="AG156" s="37" t="str">
        <f>DATA!AK173</f>
        <v>-</v>
      </c>
      <c r="AH156" s="37" t="str">
        <f>DATA!AL173</f>
        <v>-</v>
      </c>
      <c r="AI156" s="20" t="str">
        <f>DATA!AM173</f>
        <v>-</v>
      </c>
      <c r="AJ156" s="20" t="str">
        <f>DATA!AN173</f>
        <v>-</v>
      </c>
      <c r="AK156" s="20" t="str">
        <f>DATA!AO173</f>
        <v>-</v>
      </c>
      <c r="AL156" s="20">
        <f>DATA!AP173</f>
        <v>0</v>
      </c>
      <c r="AM156" s="20" t="str">
        <f>DATA!AY173</f>
        <v>Surat Sekjen a/n Menteri Agama nomor SJ/B.I/1/KU.00.2/6260/2015 tanggal 17 September 2015</v>
      </c>
      <c r="AN156" s="20" t="e">
        <f>DATA!#REF!</f>
        <v>#REF!</v>
      </c>
      <c r="AO156" s="20">
        <f>DATA!AZ173</f>
        <v>0</v>
      </c>
      <c r="AP156" s="152" t="e">
        <f>DATA!#REF!</f>
        <v>#REF!</v>
      </c>
      <c r="AQ156" s="37" t="str">
        <f>DATA!BA173</f>
        <v>Pembangunan sarana dan prasarana perkuliahan, pengadaan peralatan, pengembangan SDM, serta jasa konsultan</v>
      </c>
      <c r="AR156" s="166"/>
    </row>
    <row r="157" spans="1:44" s="6" customFormat="1" ht="61.5" customHeight="1">
      <c r="A157" s="6">
        <f>DATA!A174</f>
        <v>124</v>
      </c>
      <c r="B157" s="6">
        <f>DATA!B174</f>
        <v>0</v>
      </c>
      <c r="C157" s="6" t="str">
        <f>DATA!D174</f>
        <v>NON-INFRASTRUKTUR</v>
      </c>
      <c r="D157" s="6">
        <f>DATA!E174</f>
        <v>9</v>
      </c>
      <c r="E157" s="6" t="str">
        <f>DATA!F174</f>
        <v>Kementerian Agama</v>
      </c>
      <c r="F157" s="6" t="str">
        <f>DATA!H174</f>
        <v>Improving Access, Quality, Relevance, and Competitiveness of Islamic Higher Education Program</v>
      </c>
      <c r="G157" s="6" t="str">
        <f>DATA!I174</f>
        <v>A</v>
      </c>
      <c r="H157" s="6" t="str">
        <f>DATA!J174</f>
        <v>Program Peningkatan Akses, Kualitas, Relevansi, dan Daya Saing Pendidikan Tinggi Islam</v>
      </c>
      <c r="I157" s="6">
        <f>DATA!K174</f>
        <v>1</v>
      </c>
      <c r="J157" s="38"/>
      <c r="K157" s="39"/>
      <c r="L157" s="39"/>
      <c r="M157" s="40"/>
      <c r="N157" s="67" t="str">
        <f>DATA!L174</f>
        <v>Improvement and Optimalization of Sunan Ampel Surabaya State Islamic University</v>
      </c>
      <c r="O157" s="42">
        <f>DATA!Q174</f>
        <v>0.16666666666666666</v>
      </c>
      <c r="P157" s="42">
        <f>DATA!R174</f>
        <v>0</v>
      </c>
      <c r="Q157" s="42">
        <f>DATA!S174</f>
        <v>0</v>
      </c>
      <c r="R157" s="83">
        <f>DATA!T174</f>
        <v>40000000</v>
      </c>
      <c r="S157" s="83"/>
      <c r="T157" s="83">
        <f>DATA!V174</f>
        <v>10000000</v>
      </c>
      <c r="U157" s="83">
        <f>DATA!W174</f>
        <v>0</v>
      </c>
      <c r="V157" s="83">
        <f>DATA!X174</f>
        <v>50000000</v>
      </c>
      <c r="W157" s="84" t="str">
        <f>DATA!Y174</f>
        <v>IDB</v>
      </c>
      <c r="X157" s="42" t="str">
        <f>DATA!Z174</f>
        <v>Multilateral</v>
      </c>
      <c r="Y157" s="83">
        <f>DATA!AA174</f>
        <v>40000000</v>
      </c>
      <c r="Z157" s="83">
        <f>DATA!AG174</f>
        <v>0</v>
      </c>
      <c r="AA157" s="42" t="str">
        <f>DATA!AH174</f>
        <v>Tanpa keterangan</v>
      </c>
      <c r="AB157" s="67" t="str">
        <f>DATA!AI174</f>
        <v>Penyusunan R/C</v>
      </c>
      <c r="AC157" s="152" t="str">
        <f>DATA!AR174</f>
        <v>-</v>
      </c>
      <c r="AD157" s="152" t="str">
        <f>DATA!AN174</f>
        <v>siap</v>
      </c>
      <c r="AE157" s="152" t="str">
        <f>DATA!AO174</f>
        <v>siap</v>
      </c>
      <c r="AF157" s="67" t="str">
        <f>DATA!AJ174</f>
        <v>- FS dan Proposal
- Penyusunan R/C</v>
      </c>
      <c r="AG157" s="115">
        <f>DATA!AK174</f>
        <v>0.85</v>
      </c>
      <c r="AH157" s="67" t="str">
        <f>DATA!AL174</f>
        <v>-</v>
      </c>
      <c r="AI157" s="42" t="str">
        <f>DATA!AR174</f>
        <v>-</v>
      </c>
      <c r="AJ157" s="42" t="str">
        <f>DATA!AN174</f>
        <v>siap</v>
      </c>
      <c r="AK157" s="42" t="str">
        <f>DATA!AO174</f>
        <v>siap</v>
      </c>
      <c r="AL157" s="42" t="str">
        <f>DATA!AP174</f>
        <v>belum ada proses tender/lelang</v>
      </c>
      <c r="AM157" s="42" t="str">
        <f>DATA!AY174</f>
        <v xml:space="preserve">- Pembebasan kekurangan lahan dilakukan tahun 2016
- Surat Sekjen a/n Menteri Agama nomor SJ/B.I/1/KU.00.2/6260/2015 tanggal 17 September 2015
</v>
      </c>
      <c r="AN157" s="42" t="e">
        <f>DATA!#REF!</f>
        <v>#REF!</v>
      </c>
      <c r="AO157" s="42">
        <f>DATA!AZ174</f>
        <v>0</v>
      </c>
      <c r="AP157" s="152" t="e">
        <f>DATA!#REF!</f>
        <v>#REF!</v>
      </c>
      <c r="AQ157" s="67" t="str">
        <f>DATA!BA174</f>
        <v xml:space="preserve">Pengembangan sarana prasarana perkuliahan (fakultas Saintek, Psikologi dan Kesehatan, Humaniora dan Ilmu Sosial), pengembangan kurikulum dan manajemen akademik, dan pengembangan SDM 
</v>
      </c>
      <c r="AR157" s="165"/>
    </row>
    <row r="158" spans="1:44" s="6" customFormat="1" ht="52.5" customHeight="1">
      <c r="A158" s="6">
        <f>DATA!A175</f>
        <v>125</v>
      </c>
      <c r="B158" s="6">
        <f>DATA!B175</f>
        <v>0</v>
      </c>
      <c r="C158" s="6" t="str">
        <f>DATA!D175</f>
        <v>NON-INFRASTRUKTUR</v>
      </c>
      <c r="D158" s="6">
        <f>DATA!E175</f>
        <v>9</v>
      </c>
      <c r="E158" s="6" t="str">
        <f>DATA!F175</f>
        <v>Kementerian Agama</v>
      </c>
      <c r="F158" s="6" t="str">
        <f>DATA!H175</f>
        <v>Improving Access, Quality, Relevance, and Competitiveness of Islamic Higher Education Program</v>
      </c>
      <c r="G158" s="6" t="str">
        <f>DATA!I175</f>
        <v>A</v>
      </c>
      <c r="H158" s="6" t="str">
        <f>DATA!J175</f>
        <v>Program Peningkatan Akses, Kualitas, Relevansi, dan Daya Saing Pendidikan Tinggi Islam</v>
      </c>
      <c r="I158" s="6">
        <f>DATA!K175</f>
        <v>1</v>
      </c>
      <c r="J158" s="38"/>
      <c r="K158" s="39"/>
      <c r="L158" s="39"/>
      <c r="M158" s="38"/>
      <c r="N158" s="67" t="str">
        <f>DATA!L175</f>
        <v>Improvement Access and Quality of State Islamic Institute  Suthan Maulana Hasanuddin Banten</v>
      </c>
      <c r="O158" s="42">
        <f>DATA!Q175</f>
        <v>0.16666666666666666</v>
      </c>
      <c r="P158" s="42">
        <f>DATA!R175</f>
        <v>0</v>
      </c>
      <c r="Q158" s="42">
        <f>DATA!S175</f>
        <v>0</v>
      </c>
      <c r="R158" s="83">
        <f>DATA!T175</f>
        <v>40000000</v>
      </c>
      <c r="S158" s="83"/>
      <c r="T158" s="83">
        <f>DATA!V175</f>
        <v>5985000</v>
      </c>
      <c r="U158" s="83">
        <f>DATA!W175</f>
        <v>0</v>
      </c>
      <c r="V158" s="83">
        <f>DATA!X175</f>
        <v>45985000</v>
      </c>
      <c r="W158" s="84" t="str">
        <f>DATA!Y175</f>
        <v>IDB</v>
      </c>
      <c r="X158" s="42" t="str">
        <f>DATA!Z175</f>
        <v>Multilateral</v>
      </c>
      <c r="Y158" s="83">
        <f>DATA!AA175</f>
        <v>40000000</v>
      </c>
      <c r="Z158" s="83">
        <f>DATA!AG175</f>
        <v>0</v>
      </c>
      <c r="AA158" s="42" t="str">
        <f>DATA!AH175</f>
        <v>Tanpa keterangan</v>
      </c>
      <c r="AB158" s="67" t="str">
        <f>DATA!AI175</f>
        <v>Penyusunan R/C</v>
      </c>
      <c r="AC158" s="152" t="str">
        <f>DATA!AR175</f>
        <v>-</v>
      </c>
      <c r="AD158" s="152" t="str">
        <f>DATA!AN175</f>
        <v>siap</v>
      </c>
      <c r="AE158" s="152" t="str">
        <f>DATA!AO175</f>
        <v>siap</v>
      </c>
      <c r="AF158" s="67" t="str">
        <f>DATA!AJ175</f>
        <v>- Sudah ada Master Plan
- AMDAL</v>
      </c>
      <c r="AG158" s="115">
        <f>DATA!AK175</f>
        <v>1</v>
      </c>
      <c r="AH158" s="67" t="str">
        <f>DATA!AL175</f>
        <v>-</v>
      </c>
      <c r="AI158" s="42" t="str">
        <f>DATA!AR175</f>
        <v>-</v>
      </c>
      <c r="AJ158" s="42" t="str">
        <f>DATA!AN175</f>
        <v>siap</v>
      </c>
      <c r="AK158" s="42" t="str">
        <f>DATA!AO175</f>
        <v>siap</v>
      </c>
      <c r="AL158" s="42" t="str">
        <f>DATA!AP175</f>
        <v>belum ada proses tender/lelang</v>
      </c>
      <c r="AM158" s="42"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N158" s="42" t="e">
        <f>DATA!#REF!</f>
        <v>#REF!</v>
      </c>
      <c r="AO158" s="42">
        <f>DATA!AZ175</f>
        <v>0</v>
      </c>
      <c r="AP158" s="152" t="e">
        <f>DATA!#REF!</f>
        <v>#REF!</v>
      </c>
      <c r="AQ158" s="67" t="str">
        <f>DATA!BA175</f>
        <v>Pembangunan gedung dan infrastruktur, pengadaaan mebelair dan peralatan, peningkatan SDM, dan pengembangan kurikulum akademik</v>
      </c>
      <c r="AR158" s="165"/>
    </row>
    <row r="159" spans="1:44" s="6" customFormat="1" ht="66.75" customHeight="1">
      <c r="A159" s="6">
        <f>DATA!A176</f>
        <v>126</v>
      </c>
      <c r="B159" s="6">
        <f>DATA!B176</f>
        <v>0</v>
      </c>
      <c r="C159" s="6" t="str">
        <f>DATA!D176</f>
        <v>NON-INFRASTRUKTUR</v>
      </c>
      <c r="D159" s="6">
        <f>DATA!E176</f>
        <v>9</v>
      </c>
      <c r="E159" s="6" t="str">
        <f>DATA!F176</f>
        <v>Kementerian Agama</v>
      </c>
      <c r="F159" s="6" t="str">
        <f>DATA!H176</f>
        <v>Improving Access, Quality, Relevance, and Competitiveness of Islamic Higher Education Program</v>
      </c>
      <c r="G159" s="6" t="str">
        <f>DATA!I176</f>
        <v>A</v>
      </c>
      <c r="H159" s="6" t="str">
        <f>DATA!J176</f>
        <v>Program Peningkatan Akses, Kualitas, Relevansi, dan Daya Saing Pendidikan Tinggi Islam</v>
      </c>
      <c r="I159" s="6">
        <f>DATA!K176</f>
        <v>1</v>
      </c>
      <c r="J159" s="38"/>
      <c r="K159" s="39"/>
      <c r="L159" s="39"/>
      <c r="M159" s="38"/>
      <c r="N159" s="67" t="str">
        <f>DATA!L176</f>
        <v xml:space="preserve">Development and Quality Improvement  of Antasari State Islamic Institute </v>
      </c>
      <c r="O159" s="42">
        <f>DATA!Q176</f>
        <v>0.16666666666666666</v>
      </c>
      <c r="P159" s="42">
        <f>DATA!R176</f>
        <v>0</v>
      </c>
      <c r="Q159" s="42">
        <f>DATA!S176</f>
        <v>0</v>
      </c>
      <c r="R159" s="83">
        <f>DATA!T176</f>
        <v>39908600</v>
      </c>
      <c r="S159" s="83"/>
      <c r="T159" s="83">
        <f>DATA!V176</f>
        <v>10290700</v>
      </c>
      <c r="U159" s="83">
        <f>DATA!W176</f>
        <v>0</v>
      </c>
      <c r="V159" s="83">
        <f>DATA!X176</f>
        <v>50199300</v>
      </c>
      <c r="W159" s="84" t="str">
        <f>DATA!Y176</f>
        <v>IDB</v>
      </c>
      <c r="X159" s="42" t="str">
        <f>DATA!Z176</f>
        <v>Multilateral</v>
      </c>
      <c r="Y159" s="83">
        <f>DATA!AA176</f>
        <v>39900000</v>
      </c>
      <c r="Z159" s="83">
        <f>DATA!AG176</f>
        <v>0</v>
      </c>
      <c r="AA159" s="42" t="str">
        <f>DATA!AH176</f>
        <v>Tanpa keterangan</v>
      </c>
      <c r="AB159" s="67" t="str">
        <f>DATA!AI176</f>
        <v>Penyusunan R/C</v>
      </c>
      <c r="AC159" s="152" t="str">
        <f>DATA!AR176</f>
        <v>-</v>
      </c>
      <c r="AD159" s="152" t="str">
        <f>DATA!AN176</f>
        <v>siap</v>
      </c>
      <c r="AE159" s="152" t="str">
        <f>DATA!AO176</f>
        <v>siap</v>
      </c>
      <c r="AF159" s="67" t="str">
        <f>DATA!AJ176</f>
        <v>Sudah melakukan penyiapan perencanaan</v>
      </c>
      <c r="AG159" s="115">
        <f>DATA!AK176</f>
        <v>1</v>
      </c>
      <c r="AH159" s="67" t="str">
        <f>DATA!AL176</f>
        <v>-</v>
      </c>
      <c r="AI159" s="42" t="str">
        <f>DATA!AR176</f>
        <v>-</v>
      </c>
      <c r="AJ159" s="42" t="str">
        <f>DATA!AN176</f>
        <v>siap</v>
      </c>
      <c r="AK159" s="42" t="str">
        <f>DATA!AO176</f>
        <v>siap</v>
      </c>
      <c r="AL159" s="42" t="str">
        <f>DATA!AP176</f>
        <v>belum ada proses tender/lelang</v>
      </c>
      <c r="AM159" s="42" t="str">
        <f>DATA!AY176</f>
        <v>Surat Sekjen a/n Menteri Agama nomor SJ/B.I/1/KU.00.2/6260/2015 tanggal 17 September 2015</v>
      </c>
      <c r="AN159" s="42" t="e">
        <f>DATA!#REF!</f>
        <v>#REF!</v>
      </c>
      <c r="AO159" s="42">
        <f>DATA!AZ176</f>
        <v>0</v>
      </c>
      <c r="AP159" s="152" t="e">
        <f>DATA!#REF!</f>
        <v>#REF!</v>
      </c>
      <c r="AQ159" s="67" t="str">
        <f>DATA!BA176</f>
        <v>Pembangunan gedung dan infrastruktur, penguatan kelembagaan (pengembangan kurikulum, prodi, manajemen dan peningkatan jumlah dan kualitas riset), dan pengembangan SDM</v>
      </c>
      <c r="AR159" s="165"/>
    </row>
    <row r="160" spans="1:44" s="6" customFormat="1" ht="87" customHeight="1">
      <c r="A160" s="6">
        <f>DATA!A177</f>
        <v>127</v>
      </c>
      <c r="B160" s="6">
        <f>DATA!B177</f>
        <v>0</v>
      </c>
      <c r="C160" s="6" t="str">
        <f>DATA!D177</f>
        <v>NON-INFRASTRUKTUR</v>
      </c>
      <c r="D160" s="6" t="str">
        <f>DATA!E177</f>
        <v>z</v>
      </c>
      <c r="E160" s="6" t="str">
        <f>DATA!F177</f>
        <v>Kementerian Agama</v>
      </c>
      <c r="F160" s="6" t="str">
        <f>DATA!H177</f>
        <v>Improving Access, Quality, Relevance, and Competitiveness of Islamic Higher Education Program</v>
      </c>
      <c r="G160" s="6" t="str">
        <f>DATA!I177</f>
        <v>A</v>
      </c>
      <c r="H160" s="6" t="str">
        <f>DATA!J177</f>
        <v>Program Peningkatan Akses, Kualitas, Relevansi, dan Daya Saing Pendidikan Tinggi Islam</v>
      </c>
      <c r="I160" s="6">
        <f>DATA!K177</f>
        <v>1</v>
      </c>
      <c r="J160" s="38"/>
      <c r="K160" s="39"/>
      <c r="L160" s="39"/>
      <c r="M160" s="38"/>
      <c r="N160" s="67" t="str">
        <f>DATA!L177</f>
        <v xml:space="preserve">Tranformation of State Islamic Institute  Sulthan Thaha Saifuddin to State Islamic University </v>
      </c>
      <c r="O160" s="42">
        <f>DATA!Q177</f>
        <v>0.16666666666666666</v>
      </c>
      <c r="P160" s="42">
        <f>DATA!R177</f>
        <v>0</v>
      </c>
      <c r="Q160" s="42">
        <f>DATA!S177</f>
        <v>0</v>
      </c>
      <c r="R160" s="83">
        <f>DATA!T177</f>
        <v>40000000</v>
      </c>
      <c r="S160" s="83"/>
      <c r="T160" s="83">
        <f>DATA!V177</f>
        <v>10000000</v>
      </c>
      <c r="U160" s="83">
        <f>DATA!W177</f>
        <v>0</v>
      </c>
      <c r="V160" s="83">
        <f>DATA!X177</f>
        <v>50000000</v>
      </c>
      <c r="W160" s="84" t="str">
        <f>DATA!Y177</f>
        <v>IDB</v>
      </c>
      <c r="X160" s="42" t="str">
        <f>DATA!Z177</f>
        <v>Multilateral</v>
      </c>
      <c r="Y160" s="83">
        <f>DATA!AA177</f>
        <v>40000000</v>
      </c>
      <c r="Z160" s="83">
        <f>DATA!AG177</f>
        <v>0</v>
      </c>
      <c r="AA160" s="42" t="str">
        <f>DATA!AH177</f>
        <v>Tanpa keterangan</v>
      </c>
      <c r="AB160" s="67" t="str">
        <f>DATA!AI177</f>
        <v>Penyusunan R/C</v>
      </c>
      <c r="AC160" s="152" t="str">
        <f>DATA!AR177</f>
        <v>-</v>
      </c>
      <c r="AD160" s="152" t="str">
        <f>DATA!AN177</f>
        <v>siap</v>
      </c>
      <c r="AE160" s="152" t="str">
        <f>DATA!AO177</f>
        <v>siap</v>
      </c>
      <c r="AF160" s="67" t="str">
        <f>DATA!AJ177</f>
        <v>Sedang merinci kegiatan</v>
      </c>
      <c r="AG160" s="115">
        <f>DATA!AK177</f>
        <v>1</v>
      </c>
      <c r="AH160" s="67" t="str">
        <f>DATA!AL177</f>
        <v>-</v>
      </c>
      <c r="AI160" s="42" t="str">
        <f>DATA!AR177</f>
        <v>-</v>
      </c>
      <c r="AJ160" s="42" t="str">
        <f>DATA!AN177</f>
        <v>siap</v>
      </c>
      <c r="AK160" s="42" t="str">
        <f>DATA!AO177</f>
        <v>siap</v>
      </c>
      <c r="AL160" s="42" t="str">
        <f>DATA!AP177</f>
        <v>belum ada proses tender/lelang</v>
      </c>
      <c r="AM160" s="42" t="str">
        <f>DATA!AY177</f>
        <v>Surat Sekjen a/n Menteri Agama nomor SJ/B.I/1/KU.00.2/6260/2015 tanggal 17 September 2015</v>
      </c>
      <c r="AN160" s="42" t="e">
        <f>DATA!#REF!</f>
        <v>#REF!</v>
      </c>
      <c r="AO160" s="42">
        <f>DATA!AZ177</f>
        <v>0</v>
      </c>
      <c r="AP160" s="152" t="e">
        <f>DATA!#REF!</f>
        <v>#REF!</v>
      </c>
      <c r="AQ160" s="67"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c r="AR160" s="165"/>
    </row>
    <row r="161" spans="1:44" s="6" customFormat="1" ht="93.75" customHeight="1">
      <c r="A161" s="6">
        <f>DATA!A178</f>
        <v>128</v>
      </c>
      <c r="B161" s="6">
        <f>DATA!B178</f>
        <v>0</v>
      </c>
      <c r="C161" s="6" t="str">
        <f>DATA!D178</f>
        <v>NON-INFRASTRUKTUR</v>
      </c>
      <c r="D161" s="6">
        <f>DATA!E178</f>
        <v>9</v>
      </c>
      <c r="E161" s="6" t="str">
        <f>DATA!F178</f>
        <v>Kementerian Agama</v>
      </c>
      <c r="F161" s="6" t="str">
        <f>DATA!H178</f>
        <v>Improving Access, Quality, Relevance, and Competitiveness of Islamic Higher Education Program</v>
      </c>
      <c r="G161" s="6" t="str">
        <f>DATA!I178</f>
        <v>A</v>
      </c>
      <c r="H161" s="6" t="str">
        <f>DATA!J178</f>
        <v>Program Peningkatan Akses, Kualitas, Relevansi, dan Daya Saing Pendidikan Tinggi Islam</v>
      </c>
      <c r="I161" s="6">
        <f>DATA!K178</f>
        <v>1</v>
      </c>
      <c r="J161" s="38"/>
      <c r="K161" s="39"/>
      <c r="L161" s="39"/>
      <c r="M161" s="38"/>
      <c r="N161" s="67" t="str">
        <f>DATA!L178</f>
        <v>Development and Institutional Transformation of State Islamic Institute  Raden Intan Lampung</v>
      </c>
      <c r="O161" s="42">
        <f>DATA!Q178</f>
        <v>0.16666666666666666</v>
      </c>
      <c r="P161" s="42">
        <f>DATA!R178</f>
        <v>0</v>
      </c>
      <c r="Q161" s="42">
        <f>DATA!S178</f>
        <v>0</v>
      </c>
      <c r="R161" s="83">
        <f>DATA!T178</f>
        <v>40000000</v>
      </c>
      <c r="S161" s="83"/>
      <c r="T161" s="83">
        <f>DATA!V178</f>
        <v>10000000</v>
      </c>
      <c r="U161" s="83">
        <f>DATA!W178</f>
        <v>0</v>
      </c>
      <c r="V161" s="83">
        <f>DATA!X178</f>
        <v>50000000</v>
      </c>
      <c r="W161" s="84" t="str">
        <f>DATA!Y178</f>
        <v>IDB</v>
      </c>
      <c r="X161" s="42" t="str">
        <f>DATA!Z178</f>
        <v>Multilateral</v>
      </c>
      <c r="Y161" s="83">
        <f>DATA!AA178</f>
        <v>40000000</v>
      </c>
      <c r="Z161" s="83">
        <f>DATA!AG178</f>
        <v>0</v>
      </c>
      <c r="AA161" s="42" t="str">
        <f>DATA!AH178</f>
        <v>Tanpa keterangan</v>
      </c>
      <c r="AB161" s="67" t="str">
        <f>DATA!AI178</f>
        <v>Penyusunan R/C</v>
      </c>
      <c r="AC161" s="152" t="str">
        <f>DATA!AR178</f>
        <v>-</v>
      </c>
      <c r="AD161" s="152" t="str">
        <f>DATA!AN178</f>
        <v>siap</v>
      </c>
      <c r="AE161" s="152" t="str">
        <f>DATA!AO178</f>
        <v>siap</v>
      </c>
      <c r="AF161" s="67" t="str">
        <f>DATA!AJ178</f>
        <v>- Sudah ada Master Plan</v>
      </c>
      <c r="AG161" s="115">
        <f>DATA!AK178</f>
        <v>1</v>
      </c>
      <c r="AH161" s="67" t="str">
        <f>DATA!AL178</f>
        <v>-</v>
      </c>
      <c r="AI161" s="42" t="str">
        <f>DATA!AR178</f>
        <v>-</v>
      </c>
      <c r="AJ161" s="42" t="str">
        <f>DATA!AN178</f>
        <v>siap</v>
      </c>
      <c r="AK161" s="42" t="str">
        <f>DATA!AO178</f>
        <v>siap</v>
      </c>
      <c r="AL161" s="42" t="str">
        <f>DATA!AP178</f>
        <v>belum ada proses tender/lelang</v>
      </c>
      <c r="AM161" s="42"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N161" s="42" t="e">
        <f>DATA!#REF!</f>
        <v>#REF!</v>
      </c>
      <c r="AO161" s="42">
        <f>DATA!AZ178</f>
        <v>0</v>
      </c>
      <c r="AP161" s="152" t="e">
        <f>DATA!#REF!</f>
        <v>#REF!</v>
      </c>
      <c r="AQ161" s="67"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c r="AR161" s="165"/>
    </row>
    <row r="162" spans="1:44" s="6" customFormat="1" ht="30.75" customHeight="1">
      <c r="A162" s="6">
        <f>DATA!A179</f>
        <v>123</v>
      </c>
      <c r="B162" s="6">
        <f>DATA!B179</f>
        <v>0</v>
      </c>
      <c r="C162" s="6" t="str">
        <f>DATA!D179</f>
        <v>NON-INFRASTRUKTUR</v>
      </c>
      <c r="D162" s="6">
        <f>DATA!E179</f>
        <v>9</v>
      </c>
      <c r="E162" s="6" t="str">
        <f>DATA!F179</f>
        <v>Kementerian Agama</v>
      </c>
      <c r="F162" s="6" t="str">
        <f>DATA!H179</f>
        <v>Improving Access, Quality, Relevance, and Competitiveness of Islamic Higher Education Program</v>
      </c>
      <c r="G162" s="6" t="str">
        <f>DATA!I179</f>
        <v>A</v>
      </c>
      <c r="H162" s="6" t="str">
        <f>DATA!J179</f>
        <v>Program Peningkatan Akses, Kualitas, Relevansi, dan Daya Saing Pendidikan Tinggi Islam</v>
      </c>
      <c r="I162" s="6">
        <f>DATA!K179</f>
        <v>1</v>
      </c>
      <c r="J162" s="38"/>
      <c r="K162" s="71"/>
      <c r="L162" s="71"/>
      <c r="M162" s="43"/>
      <c r="N162" s="67" t="str">
        <f>DATA!L179</f>
        <v xml:space="preserve">Development of Imam Bonjol State Islamic Institute Project </v>
      </c>
      <c r="O162" s="42">
        <f>DATA!Q179</f>
        <v>0.16666666666666666</v>
      </c>
      <c r="P162" s="42">
        <f>DATA!R179</f>
        <v>0</v>
      </c>
      <c r="Q162" s="42">
        <f>DATA!S179</f>
        <v>0</v>
      </c>
      <c r="R162" s="83">
        <f>DATA!T179</f>
        <v>38301400</v>
      </c>
      <c r="S162" s="83"/>
      <c r="T162" s="83">
        <f>DATA!V179</f>
        <v>4171400</v>
      </c>
      <c r="U162" s="83">
        <f>DATA!W179</f>
        <v>0</v>
      </c>
      <c r="V162" s="83">
        <f>DATA!X179</f>
        <v>42472800</v>
      </c>
      <c r="W162" s="84" t="str">
        <f>DATA!Y179</f>
        <v>IDB</v>
      </c>
      <c r="X162" s="42" t="str">
        <f>DATA!Z179</f>
        <v>Multilateral</v>
      </c>
      <c r="Y162" s="83">
        <f>DATA!AA179</f>
        <v>38310000</v>
      </c>
      <c r="Z162" s="83">
        <f>DATA!AG179</f>
        <v>0</v>
      </c>
      <c r="AA162" s="42" t="str">
        <f>DATA!AH179</f>
        <v>Tanpa keterangan</v>
      </c>
      <c r="AB162" s="67" t="str">
        <f>DATA!AI179</f>
        <v>Penyusunan R/C</v>
      </c>
      <c r="AC162" s="152" t="str">
        <f>DATA!AR179</f>
        <v>-</v>
      </c>
      <c r="AD162" s="152" t="str">
        <f>DATA!AN179</f>
        <v>siap</v>
      </c>
      <c r="AE162" s="152" t="str">
        <f>DATA!AO179</f>
        <v>siap</v>
      </c>
      <c r="AF162" s="67" t="str">
        <f>DATA!AJ179</f>
        <v>Sedang merinci rencana kegiatan</v>
      </c>
      <c r="AG162" s="115">
        <f>DATA!AK179</f>
        <v>1</v>
      </c>
      <c r="AH162" s="67" t="str">
        <f>DATA!AL179</f>
        <v>-</v>
      </c>
      <c r="AI162" s="42" t="str">
        <f>DATA!AR179</f>
        <v>-</v>
      </c>
      <c r="AJ162" s="42" t="str">
        <f>DATA!AN179</f>
        <v>siap</v>
      </c>
      <c r="AK162" s="42" t="str">
        <f>DATA!AO179</f>
        <v>siap</v>
      </c>
      <c r="AL162" s="42" t="str">
        <f>DATA!AP179</f>
        <v>belum ada proses tender/lelang</v>
      </c>
      <c r="AM162" s="42" t="str">
        <f>DATA!AY179</f>
        <v>Surat Sekjen a/n Menteri Agama nomor SJ/B.I/1/KU.00.2/6260/2015 tanggal 17 September 2015</v>
      </c>
      <c r="AN162" s="42" t="e">
        <f>DATA!#REF!</f>
        <v>#REF!</v>
      </c>
      <c r="AO162" s="42">
        <f>DATA!AZ179</f>
        <v>0</v>
      </c>
      <c r="AP162" s="152" t="e">
        <f>DATA!#REF!</f>
        <v>#REF!</v>
      </c>
      <c r="AQ162" s="67" t="str">
        <f>DATA!BA179</f>
        <v>Pembangunan sarana dan prasarana perkuliahan,  Peningkatan kualitas SDM, pengembangan kurikulum</v>
      </c>
      <c r="AR162" s="165"/>
    </row>
    <row r="163" spans="1:44" s="4" customFormat="1" ht="24.95" customHeight="1">
      <c r="J163" s="107"/>
      <c r="K163" s="25">
        <f>DATA!E181</f>
        <v>10</v>
      </c>
      <c r="L163" s="108" t="str">
        <f>DATA!F181</f>
        <v>Kementerian PPN/Bappenas</v>
      </c>
      <c r="M163" s="25"/>
      <c r="N163" s="27"/>
      <c r="O163" s="26"/>
      <c r="P163" s="26"/>
      <c r="Q163" s="26"/>
      <c r="R163" s="80">
        <f>+R164</f>
        <v>300000000</v>
      </c>
      <c r="S163" s="80"/>
      <c r="T163" s="80">
        <f t="shared" ref="T163:Z164" si="20">+T164</f>
        <v>0</v>
      </c>
      <c r="U163" s="80">
        <f t="shared" si="20"/>
        <v>0</v>
      </c>
      <c r="V163" s="80">
        <f t="shared" si="20"/>
        <v>300000000</v>
      </c>
      <c r="W163" s="148"/>
      <c r="X163" s="80" t="str">
        <f t="shared" si="20"/>
        <v>Multilateral</v>
      </c>
      <c r="Y163" s="80">
        <f t="shared" si="20"/>
        <v>300000000</v>
      </c>
      <c r="Z163" s="80">
        <f t="shared" si="20"/>
        <v>0</v>
      </c>
      <c r="AA163" s="26"/>
      <c r="AB163" s="27"/>
      <c r="AC163" s="27"/>
      <c r="AD163" s="27"/>
      <c r="AE163" s="27"/>
      <c r="AF163" s="27"/>
      <c r="AG163" s="27"/>
      <c r="AH163" s="27"/>
      <c r="AI163" s="26"/>
      <c r="AJ163" s="26"/>
      <c r="AK163" s="26"/>
      <c r="AL163" s="26"/>
      <c r="AM163" s="26"/>
      <c r="AN163" s="26"/>
      <c r="AO163" s="26"/>
      <c r="AP163" s="27"/>
      <c r="AQ163" s="27"/>
      <c r="AR163" s="159"/>
    </row>
    <row r="164" spans="1:44" s="5" customFormat="1" ht="33.75" customHeight="1">
      <c r="J164" s="28"/>
      <c r="K164" s="29"/>
      <c r="L164" s="30" t="str">
        <f>DATA!I181</f>
        <v>A</v>
      </c>
      <c r="M164" s="113" t="str">
        <f>DATA!J181</f>
        <v>Program Pengembangan Sumber Daya Aparatur  dalam Rangka Reformasi Birokrasi</v>
      </c>
      <c r="N164" s="51"/>
      <c r="O164" s="31"/>
      <c r="P164" s="31"/>
      <c r="Q164" s="31"/>
      <c r="R164" s="81">
        <f>+R165</f>
        <v>300000000</v>
      </c>
      <c r="S164" s="81"/>
      <c r="T164" s="81">
        <f t="shared" si="20"/>
        <v>0</v>
      </c>
      <c r="U164" s="81">
        <f t="shared" si="20"/>
        <v>0</v>
      </c>
      <c r="V164" s="81">
        <f t="shared" si="20"/>
        <v>300000000</v>
      </c>
      <c r="W164" s="149"/>
      <c r="X164" s="81" t="str">
        <f t="shared" si="20"/>
        <v>Multilateral</v>
      </c>
      <c r="Y164" s="81">
        <f t="shared" si="20"/>
        <v>300000000</v>
      </c>
      <c r="Z164" s="81">
        <f t="shared" si="20"/>
        <v>0</v>
      </c>
      <c r="AA164" s="31"/>
      <c r="AB164" s="32"/>
      <c r="AC164" s="32"/>
      <c r="AD164" s="32"/>
      <c r="AE164" s="32"/>
      <c r="AF164" s="32"/>
      <c r="AG164" s="32"/>
      <c r="AH164" s="32"/>
      <c r="AI164" s="31"/>
      <c r="AJ164" s="31"/>
      <c r="AK164" s="31"/>
      <c r="AL164" s="31"/>
      <c r="AM164" s="31"/>
      <c r="AN164" s="31"/>
      <c r="AO164" s="31"/>
      <c r="AP164" s="32"/>
      <c r="AQ164" s="32"/>
      <c r="AR164" s="160"/>
    </row>
    <row r="165" spans="1:44" s="6" customFormat="1" ht="35.25" customHeight="1">
      <c r="A165" s="6">
        <f>DATA!A181</f>
        <v>129</v>
      </c>
      <c r="B165" s="6">
        <f>DATA!B181</f>
        <v>0</v>
      </c>
      <c r="C165" s="6" t="str">
        <f>DATA!D181</f>
        <v>NON-INFRASTRUKTUR</v>
      </c>
      <c r="D165" s="6">
        <f>DATA!E181</f>
        <v>10</v>
      </c>
      <c r="E165" s="6" t="str">
        <f>DATA!F181</f>
        <v>Kementerian PPN/Bappenas</v>
      </c>
      <c r="F165" s="6" t="str">
        <f>DATA!H181</f>
        <v>Human Resources Development for Bureaucracy Reform Program</v>
      </c>
      <c r="G165" s="6" t="str">
        <f>DATA!I181</f>
        <v>A</v>
      </c>
      <c r="H165" s="6" t="str">
        <f>DATA!J181</f>
        <v>Program Pengembangan Sumber Daya Aparatur  dalam Rangka Reformasi Birokrasi</v>
      </c>
      <c r="I165" s="6">
        <f>DATA!K181</f>
        <v>1</v>
      </c>
      <c r="J165" s="38"/>
      <c r="K165" s="71"/>
      <c r="L165" s="39"/>
      <c r="M165" s="38">
        <f>DATA!K181</f>
        <v>1</v>
      </c>
      <c r="N165" s="67" t="str">
        <f>DATA!L181</f>
        <v>Development of Capacity, Quality, and Competency of Human Resources for Government Officer</v>
      </c>
      <c r="O165" s="42">
        <f>DATA!Q181</f>
        <v>1</v>
      </c>
      <c r="P165" s="42">
        <f>DATA!R181</f>
        <v>1</v>
      </c>
      <c r="Q165" s="42">
        <f>DATA!S181</f>
        <v>103</v>
      </c>
      <c r="R165" s="83">
        <f>DATA!T181</f>
        <v>300000000</v>
      </c>
      <c r="S165" s="83"/>
      <c r="T165" s="83">
        <f>DATA!V181</f>
        <v>0</v>
      </c>
      <c r="U165" s="83">
        <f>DATA!W181</f>
        <v>0</v>
      </c>
      <c r="V165" s="83">
        <f>DATA!X181</f>
        <v>300000000</v>
      </c>
      <c r="W165" s="84" t="str">
        <f>DATA!Y181</f>
        <v>Bank Dunia</v>
      </c>
      <c r="X165" s="42" t="str">
        <f>DATA!Z181</f>
        <v>Multilateral</v>
      </c>
      <c r="Y165" s="83">
        <f>DATA!AA181</f>
        <v>300000000</v>
      </c>
      <c r="Z165" s="83">
        <f>DATA!AG181</f>
        <v>0</v>
      </c>
      <c r="AA165" s="42" t="str">
        <f>DATA!AH181</f>
        <v>Tanpa keterangan</v>
      </c>
      <c r="AB165" s="67" t="str">
        <f>DATA!AI181</f>
        <v>Penyusunan R/C</v>
      </c>
      <c r="AC165" s="152" t="str">
        <f>DATA!AR181</f>
        <v>belum ada dokumen R/C</v>
      </c>
      <c r="AD165" s="152" t="str">
        <f>DATA!AN181</f>
        <v>dalam proses
(penyusunan FS)</v>
      </c>
      <c r="AE165" s="152" t="str">
        <f>DATA!AO181</f>
        <v>tidak butuh lahan</v>
      </c>
      <c r="AF165" s="67" t="str">
        <f>DATA!AJ181</f>
        <v>Sedang evaluasi SPIRIT tahap sebelumnya</v>
      </c>
      <c r="AG165" s="67" t="str">
        <f>DATA!AK181</f>
        <v>Tidak membutuhkan lahan</v>
      </c>
      <c r="AH165" s="67" t="str">
        <f>DATA!AL181</f>
        <v>-</v>
      </c>
      <c r="AI165" s="42" t="str">
        <f>DATA!AR181</f>
        <v>belum ada dokumen R/C</v>
      </c>
      <c r="AJ165" s="42" t="str">
        <f>DATA!AN181</f>
        <v>dalam proses
(penyusunan FS)</v>
      </c>
      <c r="AK165" s="42" t="str">
        <f>DATA!AO181</f>
        <v>tidak butuh lahan</v>
      </c>
      <c r="AL165" s="42" t="str">
        <f>DATA!AP181</f>
        <v>belum ada proses tender/lelang</v>
      </c>
      <c r="AM165" s="42" t="str">
        <f>DATA!AY181</f>
        <v>Surat Sesmen PPN/Sestama Bappenas nomor 5877/SES/09/2015 tgl 14 September 2015</v>
      </c>
      <c r="AN165" s="42" t="e">
        <f>DATA!#REF!</f>
        <v>#REF!</v>
      </c>
      <c r="AO165" s="42" t="str">
        <f>DATA!AZ181</f>
        <v>Diusulkan untuk masuk GB 2016</v>
      </c>
      <c r="AP165" s="152" t="e">
        <f>DATA!#REF!</f>
        <v>#REF!</v>
      </c>
      <c r="AQ165" s="67" t="str">
        <f>DATA!BA181</f>
        <v>Menghasilkan sekitar 2.109 lulusan gelar dan non gelar</v>
      </c>
      <c r="AR165" s="165"/>
    </row>
    <row r="166" spans="1:44" s="4" customFormat="1" ht="24.95" customHeight="1">
      <c r="J166" s="107"/>
      <c r="K166" s="25">
        <f>DATA!E182</f>
        <v>11</v>
      </c>
      <c r="L166" s="108" t="str">
        <f>DATA!F182</f>
        <v>Kementerian Kesehatan</v>
      </c>
      <c r="M166" s="25"/>
      <c r="N166" s="27"/>
      <c r="O166" s="26"/>
      <c r="P166" s="26"/>
      <c r="Q166" s="26"/>
      <c r="R166" s="80">
        <f>+R167+R169+R171+R173</f>
        <v>1746000000</v>
      </c>
      <c r="S166" s="80"/>
      <c r="T166" s="80">
        <f t="shared" ref="T166:Z166" si="21">+T167+T169+T171+T173</f>
        <v>174600000</v>
      </c>
      <c r="U166" s="80">
        <f t="shared" si="21"/>
        <v>0</v>
      </c>
      <c r="V166" s="80">
        <f t="shared" si="21"/>
        <v>1920600000</v>
      </c>
      <c r="W166" s="148"/>
      <c r="X166" s="80" t="e">
        <f t="shared" si="21"/>
        <v>#VALUE!</v>
      </c>
      <c r="Y166" s="80">
        <f t="shared" si="21"/>
        <v>1746000000</v>
      </c>
      <c r="Z166" s="80">
        <f t="shared" si="21"/>
        <v>-755600000</v>
      </c>
      <c r="AA166" s="26"/>
      <c r="AB166" s="27"/>
      <c r="AC166" s="27"/>
      <c r="AD166" s="27"/>
      <c r="AE166" s="27"/>
      <c r="AF166" s="27"/>
      <c r="AG166" s="27"/>
      <c r="AH166" s="27"/>
      <c r="AI166" s="26"/>
      <c r="AJ166" s="26"/>
      <c r="AK166" s="26"/>
      <c r="AL166" s="26"/>
      <c r="AM166" s="26"/>
      <c r="AN166" s="26"/>
      <c r="AO166" s="26"/>
      <c r="AP166" s="27"/>
      <c r="AQ166" s="27"/>
      <c r="AR166" s="159"/>
    </row>
    <row r="167" spans="1:44" s="5" customFormat="1" ht="33.75" customHeight="1">
      <c r="J167" s="28"/>
      <c r="K167" s="29"/>
      <c r="L167" s="30" t="str">
        <f>DATA!I181</f>
        <v>A</v>
      </c>
      <c r="M167" s="31" t="str">
        <f>DATA!J182</f>
        <v>Program Pelayanan Kesehatan Dasar</v>
      </c>
      <c r="N167" s="51"/>
      <c r="O167" s="31"/>
      <c r="P167" s="31"/>
      <c r="Q167" s="31"/>
      <c r="R167" s="81">
        <f>+R168</f>
        <v>150000000</v>
      </c>
      <c r="S167" s="81"/>
      <c r="T167" s="81">
        <f>+T168</f>
        <v>15000000</v>
      </c>
      <c r="U167" s="81">
        <f>+U168</f>
        <v>0</v>
      </c>
      <c r="V167" s="81">
        <f>+V168</f>
        <v>165000000</v>
      </c>
      <c r="W167" s="149"/>
      <c r="X167" s="81" t="str">
        <f>+X168</f>
        <v>Multilateral</v>
      </c>
      <c r="Y167" s="81">
        <f>+Y168</f>
        <v>150000000</v>
      </c>
      <c r="Z167" s="81">
        <f>+Z168</f>
        <v>0</v>
      </c>
      <c r="AA167" s="31"/>
      <c r="AB167" s="32"/>
      <c r="AC167" s="32"/>
      <c r="AD167" s="32"/>
      <c r="AE167" s="32"/>
      <c r="AF167" s="32"/>
      <c r="AG167" s="32"/>
      <c r="AH167" s="32"/>
      <c r="AI167" s="31"/>
      <c r="AJ167" s="31"/>
      <c r="AK167" s="31"/>
      <c r="AL167" s="31"/>
      <c r="AM167" s="31"/>
      <c r="AN167" s="31"/>
      <c r="AO167" s="31"/>
      <c r="AP167" s="32"/>
      <c r="AQ167" s="32"/>
      <c r="AR167" s="160"/>
    </row>
    <row r="168" spans="1:44" ht="75.75" customHeight="1">
      <c r="A168" s="10">
        <f>DATA!A182</f>
        <v>130</v>
      </c>
      <c r="B168" s="10">
        <f>DATA!B182</f>
        <v>0</v>
      </c>
      <c r="C168" s="10" t="str">
        <f>DATA!D182</f>
        <v>NON-INFRASTRUKTUR</v>
      </c>
      <c r="D168" s="10">
        <f>DATA!E182</f>
        <v>11</v>
      </c>
      <c r="E168" s="10" t="str">
        <f>DATA!F182</f>
        <v>Kementerian Kesehatan</v>
      </c>
      <c r="F168" s="10" t="str">
        <f>DATA!H182</f>
        <v>Basic Health Care Program</v>
      </c>
      <c r="G168" s="10" t="str">
        <f>DATA!I182</f>
        <v>A</v>
      </c>
      <c r="H168" s="10" t="str">
        <f>DATA!J182</f>
        <v>Program Pelayanan Kesehatan Dasar</v>
      </c>
      <c r="I168" s="10">
        <f>DATA!K182</f>
        <v>1</v>
      </c>
      <c r="J168" s="33"/>
      <c r="K168" s="34"/>
      <c r="L168" s="54"/>
      <c r="M168" s="52">
        <f>DATA!K182</f>
        <v>1</v>
      </c>
      <c r="N168" s="37" t="str">
        <f>DATA!L182</f>
        <v>Improvement of Primary Health Care</v>
      </c>
      <c r="O168" s="20">
        <f>DATA!Q182</f>
        <v>1</v>
      </c>
      <c r="P168" s="20">
        <f>DATA!R182</f>
        <v>1</v>
      </c>
      <c r="Q168" s="20">
        <f>DATA!S182</f>
        <v>104</v>
      </c>
      <c r="R168" s="77">
        <f>DATA!T182</f>
        <v>150000000</v>
      </c>
      <c r="S168" s="77"/>
      <c r="T168" s="77">
        <f>DATA!V182</f>
        <v>15000000</v>
      </c>
      <c r="U168" s="77">
        <f>DATA!W182</f>
        <v>0</v>
      </c>
      <c r="V168" s="77">
        <f>DATA!X182</f>
        <v>165000000</v>
      </c>
      <c r="W168" s="78" t="str">
        <f>DATA!Y182</f>
        <v>Bank Dunia</v>
      </c>
      <c r="X168" s="20" t="str">
        <f>DATA!Z182</f>
        <v>Multilateral</v>
      </c>
      <c r="Y168" s="77">
        <f>DATA!AA182</f>
        <v>150000000</v>
      </c>
      <c r="Z168" s="77">
        <f>DATA!AG182</f>
        <v>0</v>
      </c>
      <c r="AA168" s="20" t="str">
        <f>DATA!AH182</f>
        <v>Tanpa keterangan</v>
      </c>
      <c r="AB168" s="37" t="str">
        <f>DATA!AI182</f>
        <v>-</v>
      </c>
      <c r="AC168" s="152" t="str">
        <f>DATA!AR182</f>
        <v>belum ada dokumen R/C</v>
      </c>
      <c r="AD168" s="152" t="str">
        <f>DATA!AN182</f>
        <v>belum ada keterangan</v>
      </c>
      <c r="AE168" s="152" t="str">
        <f>DATA!AO182</f>
        <v>tidak butuh lahan</v>
      </c>
      <c r="AF168" s="37" t="str">
        <f>DATA!AJ182</f>
        <v>-</v>
      </c>
      <c r="AG168" s="37" t="str">
        <f>DATA!AK182</f>
        <v>Tidak dibutuhkan lahan</v>
      </c>
      <c r="AH168" s="37" t="str">
        <f>DATA!AL182</f>
        <v>-</v>
      </c>
      <c r="AI168" s="20" t="str">
        <f>DATA!AR182</f>
        <v>belum ada dokumen R/C</v>
      </c>
      <c r="AJ168" s="20" t="str">
        <f>DATA!AN182</f>
        <v>belum ada keterangan</v>
      </c>
      <c r="AK168" s="20" t="str">
        <f>DATA!AO182</f>
        <v>tidak butuh lahan</v>
      </c>
      <c r="AL168" s="20" t="str">
        <f>DATA!AP182</f>
        <v>belum ada proses tender/lelang</v>
      </c>
      <c r="AM168" s="20" t="str">
        <f>DATA!AY182</f>
        <v>Surat Sekjen nomor PR.02.03/I/1814/2015 tanggal 9 September 2015</v>
      </c>
      <c r="AN168" s="20" t="e">
        <f>DATA!#REF!</f>
        <v>#REF!</v>
      </c>
      <c r="AO168" s="20">
        <f>DATA!AZ182</f>
        <v>0</v>
      </c>
      <c r="AP168" s="152" t="e">
        <f>DATA!#REF!</f>
        <v>#REF!</v>
      </c>
      <c r="AQ168" s="37" t="str">
        <f>DATA!BA182</f>
        <v>Kegiatan akreditasi pusat kesehatan, pengembangan sistem informasi kesehatan, pemenuhan kebutuhan pelayanan kesehatan pada daerah perbatasan, dan memfasilitasi hubungan pusat kesehatan dengan unit transfusi darah</v>
      </c>
      <c r="AR168" s="166"/>
    </row>
    <row r="169" spans="1:44" s="5" customFormat="1" ht="33.75" customHeight="1">
      <c r="J169" s="28"/>
      <c r="K169" s="50"/>
      <c r="L169" s="30" t="str">
        <f>DATA!I183</f>
        <v>B</v>
      </c>
      <c r="M169" s="31" t="str">
        <f>DATA!J183</f>
        <v>Program Pengembangan Sumber Daya Manusia Kesehatan</v>
      </c>
      <c r="N169" s="51"/>
      <c r="O169" s="31"/>
      <c r="P169" s="31"/>
      <c r="Q169" s="31"/>
      <c r="R169" s="81">
        <f>+R170</f>
        <v>240000000</v>
      </c>
      <c r="S169" s="81"/>
      <c r="T169" s="81">
        <f t="shared" ref="T169:Z169" si="22">+T170</f>
        <v>24000000</v>
      </c>
      <c r="U169" s="81">
        <f t="shared" si="22"/>
        <v>0</v>
      </c>
      <c r="V169" s="81">
        <f t="shared" si="22"/>
        <v>264000000</v>
      </c>
      <c r="W169" s="149"/>
      <c r="X169" s="81" t="str">
        <f t="shared" si="22"/>
        <v>Multilateral</v>
      </c>
      <c r="Y169" s="81">
        <f t="shared" si="22"/>
        <v>240000000</v>
      </c>
      <c r="Z169" s="81">
        <f t="shared" si="22"/>
        <v>0</v>
      </c>
      <c r="AA169" s="31"/>
      <c r="AB169" s="32"/>
      <c r="AC169" s="32"/>
      <c r="AD169" s="32"/>
      <c r="AE169" s="32"/>
      <c r="AF169" s="32"/>
      <c r="AG169" s="32"/>
      <c r="AH169" s="32"/>
      <c r="AI169" s="31"/>
      <c r="AJ169" s="31"/>
      <c r="AK169" s="31"/>
      <c r="AL169" s="31"/>
      <c r="AM169" s="31"/>
      <c r="AN169" s="31"/>
      <c r="AO169" s="31"/>
      <c r="AP169" s="32"/>
      <c r="AQ169" s="32"/>
      <c r="AR169" s="160"/>
    </row>
    <row r="170" spans="1:44" ht="46.5" customHeight="1">
      <c r="A170" s="10">
        <f>DATA!A183</f>
        <v>131</v>
      </c>
      <c r="B170" s="10">
        <f>DATA!B183</f>
        <v>0</v>
      </c>
      <c r="C170" s="10" t="str">
        <f>DATA!D183</f>
        <v>NON-INFRASTRUKTUR</v>
      </c>
      <c r="D170" s="10">
        <f>DATA!E183</f>
        <v>11</v>
      </c>
      <c r="E170" s="10" t="str">
        <f>DATA!F183</f>
        <v>Kementerian Kesehatan</v>
      </c>
      <c r="F170" s="10" t="str">
        <f>DATA!H183</f>
        <v>Program for Human Resources Development in Health Sector</v>
      </c>
      <c r="G170" s="10" t="str">
        <f>DATA!I183</f>
        <v>B</v>
      </c>
      <c r="H170" s="10" t="str">
        <f>DATA!J183</f>
        <v>Program Pengembangan Sumber Daya Manusia Kesehatan</v>
      </c>
      <c r="I170" s="10">
        <f>DATA!K183</f>
        <v>1</v>
      </c>
      <c r="J170" s="33"/>
      <c r="K170" s="34"/>
      <c r="L170" s="20"/>
      <c r="M170" s="36">
        <f>DATA!K183</f>
        <v>1</v>
      </c>
      <c r="N170" s="37" t="str">
        <f>DATA!L183</f>
        <v>Improvement of Facilities and Infrastructure for Teaching and Learning Activities in Health Sector</v>
      </c>
      <c r="O170" s="20">
        <f>DATA!Q183</f>
        <v>1</v>
      </c>
      <c r="P170" s="20">
        <f>DATA!R183</f>
        <v>1</v>
      </c>
      <c r="Q170" s="20">
        <f>DATA!S183</f>
        <v>105</v>
      </c>
      <c r="R170" s="77">
        <f>DATA!T183</f>
        <v>240000000</v>
      </c>
      <c r="S170" s="77"/>
      <c r="T170" s="77">
        <f>DATA!V183</f>
        <v>24000000</v>
      </c>
      <c r="U170" s="77">
        <f>DATA!W183</f>
        <v>0</v>
      </c>
      <c r="V170" s="77">
        <f>DATA!X183</f>
        <v>264000000</v>
      </c>
      <c r="W170" s="78" t="str">
        <f>DATA!Y183</f>
        <v>IDB</v>
      </c>
      <c r="X170" s="20" t="str">
        <f>DATA!Z183</f>
        <v>Multilateral</v>
      </c>
      <c r="Y170" s="77">
        <f>DATA!AA183</f>
        <v>240000000</v>
      </c>
      <c r="Z170" s="77">
        <f>DATA!AG183</f>
        <v>0</v>
      </c>
      <c r="AA170" s="20" t="str">
        <f>DATA!AH183</f>
        <v>Tanpa keterangan</v>
      </c>
      <c r="AB170" s="37" t="str">
        <f>DATA!AI183</f>
        <v>Penyusunan R/C</v>
      </c>
      <c r="AC170" s="152">
        <f>DATA!AM183</f>
        <v>0</v>
      </c>
      <c r="AD170" s="152" t="str">
        <f>DATA!AN183</f>
        <v>dalam proses
(memiliki FS dan DED)</v>
      </c>
      <c r="AE170" s="152" t="str">
        <f>DATA!AO183</f>
        <v>siap</v>
      </c>
      <c r="AF170" s="37" t="str">
        <f>DATA!AJ183</f>
        <v>FS. DED</v>
      </c>
      <c r="AG170" s="114">
        <f>DATA!AK183</f>
        <v>1</v>
      </c>
      <c r="AH170" s="37" t="str">
        <f>DATA!AL183</f>
        <v>Belum ada lelang/tender</v>
      </c>
      <c r="AI170" s="20">
        <f>DATA!AM183</f>
        <v>0</v>
      </c>
      <c r="AJ170" s="20" t="str">
        <f>DATA!AN183</f>
        <v>dalam proses
(memiliki FS dan DED)</v>
      </c>
      <c r="AK170" s="20" t="str">
        <f>DATA!AO183</f>
        <v>siap</v>
      </c>
      <c r="AL170" s="20" t="str">
        <f>DATA!AP183</f>
        <v>belum ada proses tender/lelang</v>
      </c>
      <c r="AM170" s="20" t="str">
        <f>DATA!AY183</f>
        <v>- Pelaksanaan tahun 2017
- Surat Sekjen nomor PR.02.03/I/1814/2015 tanggal 9 September 2015</v>
      </c>
      <c r="AN170" s="20" t="e">
        <f>DATA!#REF!</f>
        <v>#REF!</v>
      </c>
      <c r="AO170" s="20">
        <f>DATA!AZ183</f>
        <v>0</v>
      </c>
      <c r="AP170" s="152" t="e">
        <f>DATA!#REF!</f>
        <v>#REF!</v>
      </c>
      <c r="AQ170" s="37" t="str">
        <f>DATA!BA183</f>
        <v>'Peningkatan infrastruktur Poltekkes, BPPK, Bapelkes dan UPT</v>
      </c>
      <c r="AR170" s="166"/>
    </row>
    <row r="171" spans="1:44" s="5" customFormat="1" ht="33.75" customHeight="1">
      <c r="J171" s="28"/>
      <c r="K171" s="50"/>
      <c r="L171" s="30" t="str">
        <f>DATA!I184</f>
        <v>C</v>
      </c>
      <c r="M171" s="31" t="str">
        <f>DATA!J184</f>
        <v>Program Pengendalian Penyakit, Penyehatan Lingkungan, dan Penguatan Litbang Kesehatan</v>
      </c>
      <c r="N171" s="51"/>
      <c r="O171" s="31"/>
      <c r="P171" s="31"/>
      <c r="Q171" s="31"/>
      <c r="R171" s="81">
        <f>+R172</f>
        <v>100400000</v>
      </c>
      <c r="S171" s="81"/>
      <c r="T171" s="81">
        <f t="shared" ref="T171:Z171" si="23">+T172</f>
        <v>10040000</v>
      </c>
      <c r="U171" s="81">
        <f t="shared" si="23"/>
        <v>0</v>
      </c>
      <c r="V171" s="81">
        <f t="shared" si="23"/>
        <v>110440000</v>
      </c>
      <c r="W171" s="149"/>
      <c r="X171" s="81" t="str">
        <f t="shared" si="23"/>
        <v>Bilateral</v>
      </c>
      <c r="Y171" s="81">
        <f t="shared" si="23"/>
        <v>100400000</v>
      </c>
      <c r="Z171" s="81">
        <f t="shared" si="23"/>
        <v>0</v>
      </c>
      <c r="AA171" s="31"/>
      <c r="AB171" s="32"/>
      <c r="AC171" s="32"/>
      <c r="AD171" s="32"/>
      <c r="AE171" s="32"/>
      <c r="AF171" s="32"/>
      <c r="AG171" s="32"/>
      <c r="AH171" s="32"/>
      <c r="AI171" s="31"/>
      <c r="AJ171" s="31"/>
      <c r="AK171" s="31"/>
      <c r="AL171" s="31"/>
      <c r="AM171" s="31"/>
      <c r="AN171" s="31"/>
      <c r="AO171" s="31"/>
      <c r="AP171" s="32"/>
      <c r="AQ171" s="32"/>
      <c r="AR171" s="160"/>
    </row>
    <row r="172" spans="1:44" ht="74.25" customHeight="1">
      <c r="A172" s="10">
        <f>DATA!A184</f>
        <v>132</v>
      </c>
      <c r="B172" s="10">
        <f>DATA!B184</f>
        <v>0</v>
      </c>
      <c r="C172" s="10" t="str">
        <f>DATA!D184</f>
        <v>NON-INFRASTRUKTUR</v>
      </c>
      <c r="D172" s="10">
        <f>DATA!E184</f>
        <v>11</v>
      </c>
      <c r="E172" s="10" t="str">
        <f>DATA!F184</f>
        <v>Kementerian Kesehatan</v>
      </c>
      <c r="F172" s="10" t="str">
        <f>DATA!H184</f>
        <v>Program for Disease Control, Environmental Health, and Strengthening Health Research and Development</v>
      </c>
      <c r="G172" s="10" t="str">
        <f>DATA!I184</f>
        <v>C</v>
      </c>
      <c r="H172" s="10" t="str">
        <f>DATA!J184</f>
        <v>Program Pengendalian Penyakit, Penyehatan Lingkungan, dan Penguatan Litbang Kesehatan</v>
      </c>
      <c r="I172" s="10">
        <f>DATA!K184</f>
        <v>1</v>
      </c>
      <c r="J172" s="33"/>
      <c r="K172" s="34"/>
      <c r="L172" s="20"/>
      <c r="M172" s="36">
        <f>DATA!K184</f>
        <v>1</v>
      </c>
      <c r="N172" s="37" t="str">
        <f>DATA!L184</f>
        <v>Improvement of Capacity on Disease Control, Environmental Health, and Strengthening Health’s Research and Development</v>
      </c>
      <c r="O172" s="20">
        <f>DATA!Q184</f>
        <v>1</v>
      </c>
      <c r="P172" s="20">
        <f>DATA!R184</f>
        <v>1</v>
      </c>
      <c r="Q172" s="20">
        <f>DATA!S184</f>
        <v>106</v>
      </c>
      <c r="R172" s="77">
        <f>DATA!T184</f>
        <v>100400000</v>
      </c>
      <c r="S172" s="77"/>
      <c r="T172" s="77">
        <f>DATA!V184</f>
        <v>10040000</v>
      </c>
      <c r="U172" s="77">
        <f>DATA!W184</f>
        <v>0</v>
      </c>
      <c r="V172" s="77">
        <f>DATA!X184</f>
        <v>110440000</v>
      </c>
      <c r="W172" s="78" t="str">
        <f>DATA!Y184</f>
        <v>Jerman (KfW)</v>
      </c>
      <c r="X172" s="20" t="str">
        <f>DATA!Z184</f>
        <v>Bilateral</v>
      </c>
      <c r="Y172" s="77">
        <f>DATA!AA184</f>
        <v>100400000</v>
      </c>
      <c r="Z172" s="77">
        <f>DATA!AG184</f>
        <v>0</v>
      </c>
      <c r="AA172" s="20" t="str">
        <f>DATA!AH184</f>
        <v>Tanpa keterangan</v>
      </c>
      <c r="AB172" s="37" t="str">
        <f>DATA!AI184</f>
        <v>Penyusunan R/C</v>
      </c>
      <c r="AC172" s="152">
        <f>DATA!AM184</f>
        <v>0</v>
      </c>
      <c r="AD172" s="152" t="str">
        <f>DATA!AN184</f>
        <v>dalam proses
(memiliki)</v>
      </c>
      <c r="AE172" s="152" t="str">
        <f>DATA!AO184</f>
        <v>dalam proses
(pelaksanaan)</v>
      </c>
      <c r="AF172" s="37" t="str">
        <f>DATA!AJ184</f>
        <v>Belum ada DED &amp; AMDAL</v>
      </c>
      <c r="AG172" s="114">
        <f>DATA!AK184</f>
        <v>0.5</v>
      </c>
      <c r="AH172" s="37" t="str">
        <f>DATA!AL184</f>
        <v>Belum ada lelang/tender</v>
      </c>
      <c r="AI172" s="20">
        <f>DATA!AM184</f>
        <v>0</v>
      </c>
      <c r="AJ172" s="20" t="str">
        <f>DATA!AN184</f>
        <v>dalam proses
(memiliki)</v>
      </c>
      <c r="AK172" s="20" t="str">
        <f>DATA!AO184</f>
        <v>dalam proses
(pelaksanaan)</v>
      </c>
      <c r="AL172" s="20" t="str">
        <f>DATA!AP184</f>
        <v>belum ada proses tender/lelang</v>
      </c>
      <c r="AM172" s="20" t="str">
        <f>DATA!AY184</f>
        <v>- Tahap perencanaan selesai tahun 2016, tahap penyiapan dilakukan setelah tahap perencanaan selesai.Pelaksanaan diusulkan mulai tahun 2017.
- Surat Sekjen nomor PR.02.03/I/1814/2015 tanggal 9 September 2015</v>
      </c>
      <c r="AN172" s="20" t="e">
        <f>DATA!#REF!</f>
        <v>#REF!</v>
      </c>
      <c r="AO172" s="20">
        <f>DATA!AZ184</f>
        <v>0</v>
      </c>
      <c r="AP172" s="152" t="e">
        <f>DATA!#REF!</f>
        <v>#REF!</v>
      </c>
      <c r="AQ172" s="37" t="str">
        <f>DATA!BA184</f>
        <v>Penguatan lembaga penelitian dan pengembangan kesehatan, melengkapi fasilitas laboratorium untuk mendukung deteksi dan penelitian macam-macam virus dan bakteri, peningkatan kesadaran masyarakat terhadap kesehatan dan Peningkatan SDM kesehatan</v>
      </c>
      <c r="AR172" s="166"/>
    </row>
    <row r="173" spans="1:44" s="5" customFormat="1" ht="33.75" customHeight="1">
      <c r="J173" s="28"/>
      <c r="K173" s="50"/>
      <c r="L173" s="30" t="str">
        <f>DATA!I185</f>
        <v>D</v>
      </c>
      <c r="M173" s="31" t="str">
        <f>DATA!J185</f>
        <v>Program Pelayanan Kesehatan Rujukan</v>
      </c>
      <c r="N173" s="51"/>
      <c r="O173" s="31"/>
      <c r="P173" s="31"/>
      <c r="Q173" s="31"/>
      <c r="R173" s="81">
        <f>+R174</f>
        <v>1255600000</v>
      </c>
      <c r="S173" s="81"/>
      <c r="T173" s="81">
        <f t="shared" ref="T173:Z173" si="24">+T174</f>
        <v>125560000</v>
      </c>
      <c r="U173" s="81">
        <f t="shared" si="24"/>
        <v>0</v>
      </c>
      <c r="V173" s="81">
        <f t="shared" si="24"/>
        <v>1381160000</v>
      </c>
      <c r="W173" s="149"/>
      <c r="X173" s="81">
        <f t="shared" si="24"/>
        <v>0</v>
      </c>
      <c r="Y173" s="81">
        <f t="shared" si="24"/>
        <v>1255600000</v>
      </c>
      <c r="Z173" s="81">
        <f t="shared" si="24"/>
        <v>-755600000</v>
      </c>
      <c r="AA173" s="31"/>
      <c r="AB173" s="32"/>
      <c r="AC173" s="32"/>
      <c r="AD173" s="32"/>
      <c r="AE173" s="32"/>
      <c r="AF173" s="32"/>
      <c r="AG173" s="32"/>
      <c r="AH173" s="32"/>
      <c r="AI173" s="31"/>
      <c r="AJ173" s="31"/>
      <c r="AK173" s="31"/>
      <c r="AL173" s="31"/>
      <c r="AM173" s="31"/>
      <c r="AN173" s="31"/>
      <c r="AO173" s="31"/>
      <c r="AP173" s="32"/>
      <c r="AQ173" s="32"/>
      <c r="AR173" s="160"/>
    </row>
    <row r="174" spans="1:44" ht="38.25">
      <c r="A174" s="10">
        <f>DATA!A185</f>
        <v>133</v>
      </c>
      <c r="B174" s="10">
        <f>DATA!B185</f>
        <v>0</v>
      </c>
      <c r="C174" s="10" t="str">
        <f>DATA!D185</f>
        <v>NON-INFRASTRUKTUR</v>
      </c>
      <c r="D174" s="10">
        <f>DATA!E185</f>
        <v>11</v>
      </c>
      <c r="E174" s="10" t="str">
        <f>DATA!F185</f>
        <v>Kementerian Kesehatan</v>
      </c>
      <c r="F174" s="10" t="str">
        <f>DATA!H185</f>
        <v>Referral Health Services Program</v>
      </c>
      <c r="G174" s="10" t="str">
        <f>DATA!I185</f>
        <v>D</v>
      </c>
      <c r="H174" s="10" t="str">
        <f>DATA!J185</f>
        <v>Program Pelayanan Kesehatan Rujukan</v>
      </c>
      <c r="I174" s="10">
        <f>DATA!K185</f>
        <v>1</v>
      </c>
      <c r="J174" s="33"/>
      <c r="K174" s="34"/>
      <c r="L174" s="35"/>
      <c r="M174" s="36">
        <f>DATA!K185</f>
        <v>1</v>
      </c>
      <c r="N174" s="37" t="str">
        <f>DATA!L185</f>
        <v>Strengthening of National Referral Hospitals, Province Referral Hospital and Vertical Technical Units</v>
      </c>
      <c r="O174" s="20">
        <f>DATA!Q185</f>
        <v>0</v>
      </c>
      <c r="P174" s="20">
        <f>DATA!R185</f>
        <v>1</v>
      </c>
      <c r="Q174" s="20">
        <f>DATA!S185</f>
        <v>107</v>
      </c>
      <c r="R174" s="77">
        <f>DATA!T185</f>
        <v>1255600000</v>
      </c>
      <c r="S174" s="77"/>
      <c r="T174" s="77">
        <f>DATA!V185</f>
        <v>125560000</v>
      </c>
      <c r="U174" s="77">
        <f>DATA!W185</f>
        <v>0</v>
      </c>
      <c r="V174" s="77">
        <f>DATA!X185</f>
        <v>1381160000</v>
      </c>
      <c r="W174" s="78" t="str">
        <f>DATA!Y185</f>
        <v>-</v>
      </c>
      <c r="X174" s="20">
        <f>DATA!Z185</f>
        <v>0</v>
      </c>
      <c r="Y174" s="77">
        <f>DATA!AA185</f>
        <v>1255600000</v>
      </c>
      <c r="Z174" s="77">
        <f>DATA!AG185</f>
        <v>-755600000</v>
      </c>
      <c r="AA174" s="20" t="str">
        <f>DATA!AH185</f>
        <v>-</v>
      </c>
      <c r="AB174" s="37" t="str">
        <f>DATA!AI185</f>
        <v>-</v>
      </c>
      <c r="AC174" s="152" t="str">
        <f>DATA!AM185</f>
        <v>-</v>
      </c>
      <c r="AD174" s="152" t="str">
        <f>DATA!AN185</f>
        <v>-</v>
      </c>
      <c r="AE174" s="152" t="str">
        <f>DATA!AO185</f>
        <v>-</v>
      </c>
      <c r="AF174" s="37" t="str">
        <f>DATA!AJ185</f>
        <v>-</v>
      </c>
      <c r="AG174" s="37" t="str">
        <f>DATA!AK185</f>
        <v>-</v>
      </c>
      <c r="AH174" s="37" t="str">
        <f>DATA!AL185</f>
        <v>-</v>
      </c>
      <c r="AI174" s="20" t="str">
        <f>DATA!AM185</f>
        <v>-</v>
      </c>
      <c r="AJ174" s="20" t="str">
        <f>DATA!AN185</f>
        <v>-</v>
      </c>
      <c r="AK174" s="20" t="str">
        <f>DATA!AO185</f>
        <v>-</v>
      </c>
      <c r="AL174" s="20" t="str">
        <f>DATA!AP185</f>
        <v>-</v>
      </c>
      <c r="AM174" s="20" t="str">
        <f>DATA!AY185</f>
        <v>-</v>
      </c>
      <c r="AN174" s="20" t="e">
        <f>DATA!#REF!</f>
        <v>#REF!</v>
      </c>
      <c r="AO174" s="20" t="str">
        <f>DATA!AZ185</f>
        <v>-</v>
      </c>
      <c r="AP174" s="152" t="e">
        <f>DATA!#REF!</f>
        <v>#REF!</v>
      </c>
      <c r="AQ174" s="37" t="str">
        <f>DATA!BA185</f>
        <v>-</v>
      </c>
      <c r="AR174" s="166"/>
    </row>
    <row r="175" spans="1:44" s="6" customFormat="1" ht="63.75" customHeight="1">
      <c r="A175" s="6">
        <f>DATA!A186</f>
        <v>133</v>
      </c>
      <c r="B175" s="6">
        <f>DATA!B186</f>
        <v>0</v>
      </c>
      <c r="C175" s="6" t="str">
        <f>DATA!D186</f>
        <v>NON-INFRASTRUKTUR</v>
      </c>
      <c r="D175" s="6">
        <f>DATA!E186</f>
        <v>11</v>
      </c>
      <c r="E175" s="6" t="str">
        <f>DATA!F186</f>
        <v>Kementerian Kesehatan</v>
      </c>
      <c r="F175" s="6" t="str">
        <f>DATA!H186</f>
        <v>Referral Health Services Program</v>
      </c>
      <c r="G175" s="6" t="str">
        <f>DATA!I186</f>
        <v>D</v>
      </c>
      <c r="H175" s="6" t="str">
        <f>DATA!J186</f>
        <v>Program Pelayanan Kesehatan Rujukan</v>
      </c>
      <c r="I175" s="6">
        <f>DATA!K186</f>
        <v>1</v>
      </c>
      <c r="J175" s="38"/>
      <c r="K175" s="39"/>
      <c r="L175" s="39"/>
      <c r="M175" s="40"/>
      <c r="N175" s="67" t="str">
        <f>DATA!L186</f>
        <v>Strengthening of National Referral Hospitals, Province Referral Hospital and Vertical Technical Units</v>
      </c>
      <c r="O175" s="42">
        <f>DATA!Q186</f>
        <v>0.33333333333333331</v>
      </c>
      <c r="P175" s="42">
        <f>DATA!R186</f>
        <v>0</v>
      </c>
      <c r="Q175" s="42">
        <f>DATA!S186</f>
        <v>0</v>
      </c>
      <c r="R175" s="83">
        <f>DATA!T186</f>
        <v>0</v>
      </c>
      <c r="S175" s="83"/>
      <c r="T175" s="83">
        <f>DATA!V186</f>
        <v>0</v>
      </c>
      <c r="U175" s="83">
        <f>DATA!W186</f>
        <v>0</v>
      </c>
      <c r="V175" s="83">
        <f>DATA!X186</f>
        <v>0</v>
      </c>
      <c r="W175" s="84" t="str">
        <f>DATA!Y186</f>
        <v>IDB</v>
      </c>
      <c r="X175" s="42" t="str">
        <f>DATA!Z186</f>
        <v>Multilateral</v>
      </c>
      <c r="Y175" s="83">
        <f>DATA!AA186</f>
        <v>250000000</v>
      </c>
      <c r="Z175" s="83">
        <f>DATA!AG186</f>
        <v>0</v>
      </c>
      <c r="AA175" s="42" t="str">
        <f>DATA!AH186</f>
        <v>Tanpa keterangan</v>
      </c>
      <c r="AB175" s="67" t="str">
        <f>DATA!AI186</f>
        <v>-</v>
      </c>
      <c r="AC175" s="152">
        <f>DATA!AM186</f>
        <v>0</v>
      </c>
      <c r="AD175" s="152" t="str">
        <f>DATA!AN186</f>
        <v>belum ada keterangan</v>
      </c>
      <c r="AE175" s="152" t="str">
        <f>DATA!AO186</f>
        <v>belum ada keterangan</v>
      </c>
      <c r="AF175" s="67" t="str">
        <f>DATA!AJ186</f>
        <v>-</v>
      </c>
      <c r="AG175" s="124" t="str">
        <f>DATA!AK186</f>
        <v>-</v>
      </c>
      <c r="AH175" s="67" t="str">
        <f>DATA!AL186</f>
        <v>-</v>
      </c>
      <c r="AI175" s="42">
        <f>DATA!AM186</f>
        <v>0</v>
      </c>
      <c r="AJ175" s="42" t="str">
        <f>DATA!AN186</f>
        <v>belum ada keterangan</v>
      </c>
      <c r="AK175" s="42" t="str">
        <f>DATA!AO186</f>
        <v>belum ada keterangan</v>
      </c>
      <c r="AL175" s="42" t="str">
        <f>DATA!AP186</f>
        <v>belum ada proses tender/lelang</v>
      </c>
      <c r="AM175" s="42" t="str">
        <f>DATA!AY186</f>
        <v>- (tidak ada data)
- Surat Sekjen nomor PR.02.03/I/1814/2015 tanggal 9 September 2015</v>
      </c>
      <c r="AN175" s="42" t="e">
        <f>DATA!#REF!</f>
        <v>#REF!</v>
      </c>
      <c r="AO175" s="42">
        <f>DATA!AZ186</f>
        <v>0</v>
      </c>
      <c r="AP175" s="152" t="e">
        <f>DATA!#REF!</f>
        <v>#REF!</v>
      </c>
      <c r="AQ175" s="67" t="str">
        <f>DATA!BA186</f>
        <v>Meningkatkan sarana dan prasarana di 14 rumah sakit pusat rujukan nasional, 20 rumah sakit rujukan provinsi dan 39 UPT (unit pelaksana teknis) vertikal sebagai pusat rujukan tersier</v>
      </c>
      <c r="AR175" s="165"/>
    </row>
    <row r="176" spans="1:44" s="6" customFormat="1" ht="63.75" customHeight="1">
      <c r="A176" s="6">
        <f>DATA!A187</f>
        <v>134</v>
      </c>
      <c r="B176" s="6">
        <f>DATA!B187</f>
        <v>0</v>
      </c>
      <c r="C176" s="6" t="str">
        <f>DATA!D187</f>
        <v>NON-INFRASTRUKTUR</v>
      </c>
      <c r="D176" s="6">
        <f>DATA!E187</f>
        <v>11</v>
      </c>
      <c r="E176" s="6" t="str">
        <f>DATA!F187</f>
        <v>Kementerian Kesehatan</v>
      </c>
      <c r="F176" s="6" t="str">
        <f>DATA!H187</f>
        <v>Referral Health Services Program</v>
      </c>
      <c r="G176" s="6" t="str">
        <f>DATA!I187</f>
        <v>D</v>
      </c>
      <c r="H176" s="6" t="str">
        <f>DATA!J187</f>
        <v>Program Pelayanan Kesehatan Rujukan</v>
      </c>
      <c r="I176" s="6">
        <f>DATA!K187</f>
        <v>1</v>
      </c>
      <c r="J176" s="38"/>
      <c r="K176" s="39"/>
      <c r="L176" s="39"/>
      <c r="M176" s="38"/>
      <c r="N176" s="67" t="str">
        <f>DATA!L187</f>
        <v>Strengthening of National Referral Hospitals, Province Referral Hospital and Vertical Technical Units</v>
      </c>
      <c r="O176" s="42">
        <f>DATA!Q187</f>
        <v>0.33333333333333331</v>
      </c>
      <c r="P176" s="42">
        <f>DATA!R187</f>
        <v>0</v>
      </c>
      <c r="Q176" s="42">
        <f>DATA!S187</f>
        <v>0</v>
      </c>
      <c r="R176" s="83">
        <f>DATA!T187</f>
        <v>0</v>
      </c>
      <c r="S176" s="83"/>
      <c r="T176" s="83">
        <f>DATA!V187</f>
        <v>0</v>
      </c>
      <c r="U176" s="83">
        <f>DATA!W187</f>
        <v>0</v>
      </c>
      <c r="V176" s="83">
        <f>DATA!X187</f>
        <v>0</v>
      </c>
      <c r="W176" s="84" t="str">
        <f>DATA!Y187</f>
        <v>Jerman (KfW)</v>
      </c>
      <c r="X176" s="42" t="str">
        <f>DATA!Z187</f>
        <v>Bilateral</v>
      </c>
      <c r="Y176" s="83">
        <f>DATA!AA187</f>
        <v>250000000</v>
      </c>
      <c r="Z176" s="83">
        <f>DATA!AG187</f>
        <v>0</v>
      </c>
      <c r="AA176" s="42" t="str">
        <f>DATA!AH187</f>
        <v>Tanpa keterangan</v>
      </c>
      <c r="AB176" s="67" t="str">
        <f>DATA!AI187</f>
        <v>-</v>
      </c>
      <c r="AC176" s="152">
        <f>DATA!AM187</f>
        <v>0</v>
      </c>
      <c r="AD176" s="152" t="str">
        <f>DATA!AN187</f>
        <v>belum ada keterangan</v>
      </c>
      <c r="AE176" s="152" t="str">
        <f>DATA!AO187</f>
        <v>belum ada keterangan</v>
      </c>
      <c r="AF176" s="67" t="str">
        <f>DATA!AJ187</f>
        <v>-</v>
      </c>
      <c r="AG176" s="67" t="str">
        <f>DATA!AK187</f>
        <v>-</v>
      </c>
      <c r="AH176" s="67" t="str">
        <f>DATA!AL187</f>
        <v>-</v>
      </c>
      <c r="AI176" s="42">
        <f>DATA!AM187</f>
        <v>0</v>
      </c>
      <c r="AJ176" s="42" t="str">
        <f>DATA!AN187</f>
        <v>belum ada keterangan</v>
      </c>
      <c r="AK176" s="42" t="str">
        <f>DATA!AO187</f>
        <v>belum ada keterangan</v>
      </c>
      <c r="AL176" s="42" t="str">
        <f>DATA!AP187</f>
        <v>belum ada proses tender/lelang</v>
      </c>
      <c r="AM176" s="42" t="str">
        <f>DATA!AY187</f>
        <v>- Keg ini bukan area prioritas dari Pem. Jerman
- Surat Sekjen nomor PR.02.03/I/1814/2015 tanggal 9 September 2015</v>
      </c>
      <c r="AN176" s="42" t="e">
        <f>DATA!#REF!</f>
        <v>#REF!</v>
      </c>
      <c r="AO176" s="42">
        <f>DATA!AZ187</f>
        <v>0</v>
      </c>
      <c r="AP176" s="152" t="e">
        <f>DATA!#REF!</f>
        <v>#REF!</v>
      </c>
      <c r="AQ176" s="67" t="str">
        <f>DATA!BA187</f>
        <v>Meningkatkan sarana dan prasarana di 14 rumah sakit pusat rujukan nasional, 20 rumah sakit rujukan provinsi dan 39 UPT (unit pelaksana teknis) vertikal sebagai pusat rujukan tersier</v>
      </c>
      <c r="AR176" s="165"/>
    </row>
    <row r="177" spans="1:44" s="6" customFormat="1" ht="63.75" customHeight="1">
      <c r="A177" s="6">
        <f>DATA!A188</f>
        <v>135</v>
      </c>
      <c r="B177" s="6">
        <f>DATA!B188</f>
        <v>0</v>
      </c>
      <c r="C177" s="6" t="str">
        <f>DATA!D188</f>
        <v>NON-INFRASTRUKTUR</v>
      </c>
      <c r="D177" s="6">
        <f>DATA!E188</f>
        <v>11</v>
      </c>
      <c r="E177" s="6" t="str">
        <f>DATA!F188</f>
        <v>Kementerian Kesehatan</v>
      </c>
      <c r="F177" s="6" t="str">
        <f>DATA!H188</f>
        <v>Referral Health Services Program</v>
      </c>
      <c r="G177" s="6" t="str">
        <f>DATA!I188</f>
        <v>D</v>
      </c>
      <c r="H177" s="6" t="str">
        <f>DATA!J188</f>
        <v>Program Pelayanan Kesehatan Rujukan</v>
      </c>
      <c r="I177" s="6">
        <f>DATA!K188</f>
        <v>1</v>
      </c>
      <c r="J177" s="38"/>
      <c r="K177" s="71"/>
      <c r="L177" s="71"/>
      <c r="M177" s="43"/>
      <c r="N177" s="67" t="str">
        <f>DATA!L188</f>
        <v>Strengthening of National Referral Hospitals, Province Referral Hospital and Vertical Technical Units</v>
      </c>
      <c r="O177" s="42">
        <f>DATA!Q188</f>
        <v>0.33333333333333331</v>
      </c>
      <c r="P177" s="42">
        <f>DATA!R188</f>
        <v>0</v>
      </c>
      <c r="Q177" s="42">
        <f>DATA!S188</f>
        <v>0</v>
      </c>
      <c r="R177" s="83">
        <f>DATA!T188</f>
        <v>0</v>
      </c>
      <c r="S177" s="83"/>
      <c r="T177" s="83">
        <f>DATA!V188</f>
        <v>0</v>
      </c>
      <c r="U177" s="83">
        <f>DATA!W188</f>
        <v>0</v>
      </c>
      <c r="V177" s="83">
        <f>DATA!X188</f>
        <v>0</v>
      </c>
      <c r="W177" s="84" t="str">
        <f>DATA!Y188</f>
        <v>Belum Ada Indikasi</v>
      </c>
      <c r="X177" s="42" t="str">
        <f>DATA!Z188</f>
        <v>Belum Ada Indikasi</v>
      </c>
      <c r="Y177" s="83">
        <f>DATA!AA188</f>
        <v>755600000</v>
      </c>
      <c r="Z177" s="83">
        <f>DATA!AG188</f>
        <v>-755600000</v>
      </c>
      <c r="AA177" s="42" t="str">
        <f>DATA!AH188</f>
        <v>Tanpa keterangan</v>
      </c>
      <c r="AB177" s="67" t="str">
        <f>DATA!AI188</f>
        <v>-</v>
      </c>
      <c r="AC177" s="152">
        <f>DATA!AM188</f>
        <v>0</v>
      </c>
      <c r="AD177" s="152" t="str">
        <f>DATA!AN188</f>
        <v>belum ada keterangan</v>
      </c>
      <c r="AE177" s="152" t="str">
        <f>DATA!AO188</f>
        <v>belum ada keterangan</v>
      </c>
      <c r="AF177" s="67" t="str">
        <f>DATA!AJ188</f>
        <v>-</v>
      </c>
      <c r="AG177" s="67" t="str">
        <f>DATA!AK188</f>
        <v>-</v>
      </c>
      <c r="AH177" s="67" t="str">
        <f>DATA!AL188</f>
        <v>-</v>
      </c>
      <c r="AI177" s="42">
        <f>DATA!AM188</f>
        <v>0</v>
      </c>
      <c r="AJ177" s="42" t="str">
        <f>DATA!AN188</f>
        <v>belum ada keterangan</v>
      </c>
      <c r="AK177" s="42" t="str">
        <f>DATA!AO188</f>
        <v>belum ada keterangan</v>
      </c>
      <c r="AL177" s="42" t="str">
        <f>DATA!AP188</f>
        <v>belum ada proses tender/lelang</v>
      </c>
      <c r="AM177" s="42" t="str">
        <f>DATA!AY188</f>
        <v>Surat Sekjen nomor PR.02.03/I/1814/2015 tanggal 9 September 2015</v>
      </c>
      <c r="AN177" s="42" t="e">
        <f>DATA!#REF!</f>
        <v>#REF!</v>
      </c>
      <c r="AO177" s="42">
        <f>DATA!AZ188</f>
        <v>0</v>
      </c>
      <c r="AP177" s="152" t="e">
        <f>DATA!#REF!</f>
        <v>#REF!</v>
      </c>
      <c r="AQ177" s="67" t="str">
        <f>DATA!BA188</f>
        <v>Meningkatkan sarana dan prasarana di 14 rumah sakit pusat rujukan nasional, 20 rumah sakit rujukan provinsi dan 39 UPT (unit pelaksana teknis) vertikal sebagai pusat rujukan tersier</v>
      </c>
      <c r="AR177" s="165"/>
    </row>
    <row r="178" spans="1:44" s="4" customFormat="1" ht="24.95" customHeight="1">
      <c r="J178" s="107"/>
      <c r="K178" s="25">
        <f>DATA!E189</f>
        <v>12</v>
      </c>
      <c r="L178" s="108" t="str">
        <f>DATA!F189</f>
        <v>Pemprov. Aceh</v>
      </c>
      <c r="M178" s="25"/>
      <c r="N178" s="27"/>
      <c r="O178" s="26"/>
      <c r="P178" s="26"/>
      <c r="Q178" s="26"/>
      <c r="R178" s="80">
        <f>+R179</f>
        <v>106800000</v>
      </c>
      <c r="S178" s="80"/>
      <c r="T178" s="80">
        <f t="shared" ref="T178:Z179" si="25">+T179</f>
        <v>10700000</v>
      </c>
      <c r="U178" s="80">
        <f t="shared" si="25"/>
        <v>0</v>
      </c>
      <c r="V178" s="80">
        <f t="shared" si="25"/>
        <v>117500000</v>
      </c>
      <c r="W178" s="148"/>
      <c r="X178" s="80" t="str">
        <f t="shared" si="25"/>
        <v>Bilateral</v>
      </c>
      <c r="Y178" s="80">
        <f t="shared" si="25"/>
        <v>106800000</v>
      </c>
      <c r="Z178" s="80">
        <f t="shared" si="25"/>
        <v>0</v>
      </c>
      <c r="AA178" s="26"/>
      <c r="AB178" s="27"/>
      <c r="AC178" s="27"/>
      <c r="AD178" s="27"/>
      <c r="AE178" s="27"/>
      <c r="AF178" s="27"/>
      <c r="AG178" s="27"/>
      <c r="AH178" s="27"/>
      <c r="AI178" s="26"/>
      <c r="AJ178" s="26"/>
      <c r="AK178" s="26"/>
      <c r="AL178" s="26"/>
      <c r="AM178" s="26"/>
      <c r="AN178" s="26"/>
      <c r="AO178" s="26"/>
      <c r="AP178" s="27"/>
      <c r="AQ178" s="27"/>
      <c r="AR178" s="159"/>
    </row>
    <row r="179" spans="1:44" s="5" customFormat="1" ht="33.75" customHeight="1">
      <c r="J179" s="28"/>
      <c r="K179" s="29"/>
      <c r="L179" s="30" t="str">
        <f>DATA!I189</f>
        <v>A</v>
      </c>
      <c r="M179" s="31" t="str">
        <f>DATA!J189</f>
        <v>Program Pelayanan Kesehatan Rujukan</v>
      </c>
      <c r="N179" s="51"/>
      <c r="O179" s="31"/>
      <c r="P179" s="31"/>
      <c r="Q179" s="31"/>
      <c r="R179" s="81">
        <f>+R180</f>
        <v>106800000</v>
      </c>
      <c r="S179" s="81"/>
      <c r="T179" s="81">
        <f t="shared" si="25"/>
        <v>10700000</v>
      </c>
      <c r="U179" s="81">
        <f t="shared" si="25"/>
        <v>0</v>
      </c>
      <c r="V179" s="81">
        <f t="shared" si="25"/>
        <v>117500000</v>
      </c>
      <c r="W179" s="149"/>
      <c r="X179" s="81" t="str">
        <f t="shared" si="25"/>
        <v>Bilateral</v>
      </c>
      <c r="Y179" s="81">
        <f t="shared" si="25"/>
        <v>106800000</v>
      </c>
      <c r="Z179" s="81">
        <f t="shared" si="25"/>
        <v>0</v>
      </c>
      <c r="AA179" s="31"/>
      <c r="AB179" s="32"/>
      <c r="AC179" s="32"/>
      <c r="AD179" s="32"/>
      <c r="AE179" s="32"/>
      <c r="AF179" s="32"/>
      <c r="AG179" s="32"/>
      <c r="AH179" s="32"/>
      <c r="AI179" s="31"/>
      <c r="AJ179" s="31"/>
      <c r="AK179" s="31"/>
      <c r="AL179" s="31"/>
      <c r="AM179" s="31"/>
      <c r="AN179" s="31"/>
      <c r="AO179" s="31"/>
      <c r="AP179" s="32"/>
      <c r="AQ179" s="32"/>
      <c r="AR179" s="160"/>
    </row>
    <row r="180" spans="1:44" ht="63.75" customHeight="1">
      <c r="A180" s="10">
        <f>DATA!A189</f>
        <v>136</v>
      </c>
      <c r="B180" s="10">
        <f>DATA!B189</f>
        <v>0</v>
      </c>
      <c r="C180" s="10" t="str">
        <f>DATA!D189</f>
        <v>NON-INFRASTRUKTUR</v>
      </c>
      <c r="D180" s="10">
        <f>DATA!E189</f>
        <v>12</v>
      </c>
      <c r="E180" s="10" t="str">
        <f>DATA!F189</f>
        <v>Pemprov. Aceh</v>
      </c>
      <c r="F180" s="10" t="str">
        <f>DATA!H189</f>
        <v>Health Services Referral Program</v>
      </c>
      <c r="G180" s="10" t="str">
        <f>DATA!I189</f>
        <v>A</v>
      </c>
      <c r="H180" s="10" t="str">
        <f>DATA!J189</f>
        <v>Program Pelayanan Kesehatan Rujukan</v>
      </c>
      <c r="I180" s="10">
        <f>DATA!K189</f>
        <v>1</v>
      </c>
      <c r="J180" s="33"/>
      <c r="K180" s="54"/>
      <c r="L180" s="20"/>
      <c r="M180" s="36">
        <f>DATA!K189</f>
        <v>1</v>
      </c>
      <c r="N180" s="37" t="str">
        <f>DATA!L189</f>
        <v>Reengineering and Improving The Hospital and Referral System in Selected Aceh Districts</v>
      </c>
      <c r="O180" s="20">
        <f>DATA!Q189</f>
        <v>1</v>
      </c>
      <c r="P180" s="20">
        <f>DATA!R189</f>
        <v>1</v>
      </c>
      <c r="Q180" s="20">
        <f>DATA!S189</f>
        <v>108</v>
      </c>
      <c r="R180" s="77">
        <f>DATA!T189</f>
        <v>106800000</v>
      </c>
      <c r="S180" s="77"/>
      <c r="T180" s="77">
        <f>DATA!V189</f>
        <v>10700000</v>
      </c>
      <c r="U180" s="77">
        <f>DATA!W189</f>
        <v>0</v>
      </c>
      <c r="V180" s="77">
        <f>DATA!X189</f>
        <v>117500000</v>
      </c>
      <c r="W180" s="78" t="str">
        <f>DATA!Y189</f>
        <v>Jerman (KfW)</v>
      </c>
      <c r="X180" s="20" t="str">
        <f>DATA!Z189</f>
        <v>Bilateral</v>
      </c>
      <c r="Y180" s="77">
        <f>DATA!AA189</f>
        <v>106800000</v>
      </c>
      <c r="Z180" s="77">
        <f>DATA!AG189</f>
        <v>0</v>
      </c>
      <c r="AA180" s="20" t="str">
        <f>DATA!AH189</f>
        <v>Tanpa keterangan</v>
      </c>
      <c r="AB180" s="37" t="str">
        <f>DATA!AI189</f>
        <v xml:space="preserve">- Sudah ada R/C
- Green Book 2015
</v>
      </c>
      <c r="AC180" s="152" t="str">
        <f>DATA!AM189</f>
        <v>2016; 2015</v>
      </c>
      <c r="AD180" s="152" t="str">
        <f>DATA!AN189</f>
        <v>dalam proses
(memiliki FS dan DED)</v>
      </c>
      <c r="AE180" s="152" t="str">
        <f>DATA!AO189</f>
        <v>siap</v>
      </c>
      <c r="AF180" s="37" t="str">
        <f>DATA!AJ189</f>
        <v>FS, DED</v>
      </c>
      <c r="AG180" s="114">
        <f>DATA!AK189</f>
        <v>1</v>
      </c>
      <c r="AH180" s="37" t="str">
        <f>DATA!AL189</f>
        <v>-</v>
      </c>
      <c r="AI180" s="20" t="str">
        <f>DATA!AM189</f>
        <v>2016; 2015</v>
      </c>
      <c r="AJ180" s="20" t="str">
        <f>DATA!AN189</f>
        <v>dalam proses
(memiliki FS dan DED)</v>
      </c>
      <c r="AK180" s="20" t="str">
        <f>DATA!AO189</f>
        <v>siap</v>
      </c>
      <c r="AL180" s="20" t="str">
        <f>DATA!AP189</f>
        <v>belum ada proses tender/lelang</v>
      </c>
      <c r="AM180" s="20" t="str">
        <f>DATA!AY189</f>
        <v>Surat Kepala Dinas Kesehatan Prov. Aceh nomor 443.02/998/V/2015 tanggal 27 April 2015 tentang penyampaian dokumen kesiapan (RC)</v>
      </c>
      <c r="AN180" s="20" t="e">
        <f>DATA!#REF!</f>
        <v>#REF!</v>
      </c>
      <c r="AO180" s="20">
        <f>DATA!AZ189</f>
        <v>0</v>
      </c>
      <c r="AP180" s="152" t="e">
        <f>DATA!#REF!</f>
        <v>#REF!</v>
      </c>
      <c r="AQ180" s="37" t="str">
        <f>DATA!BA189</f>
        <v xml:space="preserve">Pengembangan infrastruktur (pembangunan rumah sakit baru, rehabilitasi rumah sakit lama, dan kantor dinas kesehatan, pengadaan peralatan dan operasional, dan peningkatan SDM rumah sakit </v>
      </c>
      <c r="AR180" s="166"/>
    </row>
    <row r="181" spans="1:44" s="4" customFormat="1" ht="24.95" customHeight="1">
      <c r="J181" s="107"/>
      <c r="K181" s="25">
        <f>DATA!E190</f>
        <v>13</v>
      </c>
      <c r="L181" s="108" t="str">
        <f>DATA!F190</f>
        <v>Kementerian Pertanian</v>
      </c>
      <c r="M181" s="25"/>
      <c r="N181" s="27"/>
      <c r="O181" s="26"/>
      <c r="P181" s="26"/>
      <c r="Q181" s="26"/>
      <c r="R181" s="80">
        <f>+R182+R191</f>
        <v>1445742600</v>
      </c>
      <c r="S181" s="80"/>
      <c r="T181" s="80">
        <f t="shared" ref="T181:Z181" si="26">+T182+T191</f>
        <v>154464300</v>
      </c>
      <c r="U181" s="80">
        <f t="shared" si="26"/>
        <v>500000</v>
      </c>
      <c r="V181" s="80">
        <f t="shared" si="26"/>
        <v>1600706900</v>
      </c>
      <c r="W181" s="148"/>
      <c r="X181" s="80" t="e">
        <f t="shared" si="26"/>
        <v>#VALUE!</v>
      </c>
      <c r="Y181" s="80">
        <f t="shared" si="26"/>
        <v>1445742600</v>
      </c>
      <c r="Z181" s="80">
        <f t="shared" si="26"/>
        <v>-746842600</v>
      </c>
      <c r="AA181" s="26"/>
      <c r="AB181" s="27"/>
      <c r="AC181" s="27"/>
      <c r="AD181" s="27"/>
      <c r="AE181" s="27"/>
      <c r="AF181" s="27"/>
      <c r="AG181" s="27"/>
      <c r="AH181" s="27"/>
      <c r="AI181" s="26"/>
      <c r="AJ181" s="26"/>
      <c r="AK181" s="26"/>
      <c r="AL181" s="26"/>
      <c r="AM181" s="26"/>
      <c r="AN181" s="26"/>
      <c r="AO181" s="26"/>
      <c r="AP181" s="27"/>
      <c r="AQ181" s="27"/>
      <c r="AR181" s="159"/>
    </row>
    <row r="182" spans="1:44" s="5" customFormat="1" ht="33.75" customHeight="1">
      <c r="J182" s="28"/>
      <c r="K182" s="29"/>
      <c r="L182" s="30" t="str">
        <f>DATA!I190</f>
        <v>A</v>
      </c>
      <c r="M182" s="31" t="str">
        <f>DATA!J190</f>
        <v>Program Penyediaan dan Pengembangan Prasarana dan Sarana Pertanian</v>
      </c>
      <c r="N182" s="51"/>
      <c r="O182" s="31"/>
      <c r="P182" s="31"/>
      <c r="Q182" s="31"/>
      <c r="R182" s="81">
        <f>+R183+R187</f>
        <v>1346842600</v>
      </c>
      <c r="S182" s="81"/>
      <c r="T182" s="81">
        <f t="shared" ref="T182:Z182" si="27">+T183+T187</f>
        <v>134684300</v>
      </c>
      <c r="U182" s="81">
        <f t="shared" si="27"/>
        <v>0</v>
      </c>
      <c r="V182" s="81">
        <f t="shared" si="27"/>
        <v>1481526900</v>
      </c>
      <c r="W182" s="149"/>
      <c r="X182" s="81">
        <f t="shared" si="27"/>
        <v>0</v>
      </c>
      <c r="Y182" s="81">
        <f t="shared" si="27"/>
        <v>1346842600</v>
      </c>
      <c r="Z182" s="81">
        <f t="shared" si="27"/>
        <v>-746842600</v>
      </c>
      <c r="AA182" s="31"/>
      <c r="AB182" s="32"/>
      <c r="AC182" s="32"/>
      <c r="AD182" s="32"/>
      <c r="AE182" s="32"/>
      <c r="AF182" s="32"/>
      <c r="AG182" s="32"/>
      <c r="AH182" s="32"/>
      <c r="AI182" s="31"/>
      <c r="AJ182" s="31"/>
      <c r="AK182" s="31"/>
      <c r="AL182" s="31"/>
      <c r="AM182" s="31"/>
      <c r="AN182" s="31"/>
      <c r="AO182" s="31"/>
      <c r="AP182" s="32"/>
      <c r="AQ182" s="32"/>
      <c r="AR182" s="160"/>
    </row>
    <row r="183" spans="1:44" ht="24.75" customHeight="1">
      <c r="A183" s="10">
        <f>DATA!A190</f>
        <v>137</v>
      </c>
      <c r="B183" s="10">
        <f>DATA!B190</f>
        <v>0</v>
      </c>
      <c r="C183" s="10" t="str">
        <f>DATA!D190</f>
        <v>NON-INFRASTRUKTUR</v>
      </c>
      <c r="D183" s="10">
        <f>DATA!E190</f>
        <v>13</v>
      </c>
      <c r="E183" s="10" t="str">
        <f>DATA!F190</f>
        <v>Kementerian Pertanian</v>
      </c>
      <c r="F183" s="10" t="str">
        <f>DATA!H190</f>
        <v>Provision and Development of Agriculture Infrastructure Program</v>
      </c>
      <c r="G183" s="10" t="str">
        <f>DATA!I190</f>
        <v>A</v>
      </c>
      <c r="H183" s="10" t="str">
        <f>DATA!J190</f>
        <v>Program Penyediaan dan Pengembangan Prasarana dan Sarana Pertanian</v>
      </c>
      <c r="I183" s="10">
        <f>DATA!K190</f>
        <v>1</v>
      </c>
      <c r="J183" s="33"/>
      <c r="K183" s="34"/>
      <c r="L183" s="35"/>
      <c r="M183" s="36">
        <f>DATA!K190</f>
        <v>1</v>
      </c>
      <c r="N183" s="37" t="str">
        <f>DATA!L190</f>
        <v>Extensification of New Paddy Field Area</v>
      </c>
      <c r="O183" s="20">
        <f>DATA!Q190</f>
        <v>0</v>
      </c>
      <c r="P183" s="20">
        <f>DATA!R190</f>
        <v>1</v>
      </c>
      <c r="Q183" s="20">
        <f>DATA!S190</f>
        <v>109</v>
      </c>
      <c r="R183" s="77">
        <f>DATA!T190</f>
        <v>811166600</v>
      </c>
      <c r="S183" s="77"/>
      <c r="T183" s="77">
        <f>DATA!V190</f>
        <v>81116700</v>
      </c>
      <c r="U183" s="77">
        <f>DATA!W190</f>
        <v>0</v>
      </c>
      <c r="V183" s="77">
        <f>DATA!X190</f>
        <v>892283300</v>
      </c>
      <c r="W183" s="78" t="str">
        <f>DATA!Y190</f>
        <v>-</v>
      </c>
      <c r="X183" s="20">
        <f>DATA!Z190</f>
        <v>0</v>
      </c>
      <c r="Y183" s="77">
        <f>DATA!AA190</f>
        <v>811166600</v>
      </c>
      <c r="Z183" s="77">
        <f>DATA!AG190</f>
        <v>-461166600</v>
      </c>
      <c r="AA183" s="20" t="str">
        <f>DATA!AH190</f>
        <v>-</v>
      </c>
      <c r="AB183" s="152" t="str">
        <f>DATA!AI190</f>
        <v>-</v>
      </c>
      <c r="AC183" s="152" t="str">
        <f>DATA!AM190</f>
        <v>-</v>
      </c>
      <c r="AD183" s="152" t="str">
        <f>DATA!AN190</f>
        <v>-</v>
      </c>
      <c r="AE183" s="152" t="str">
        <f>DATA!AO190</f>
        <v>-</v>
      </c>
      <c r="AF183" s="37" t="str">
        <f>DATA!AJ190</f>
        <v>-</v>
      </c>
      <c r="AG183" s="37" t="str">
        <f>DATA!AK190</f>
        <v>-</v>
      </c>
      <c r="AH183" s="37" t="str">
        <f>DATA!AL190</f>
        <v>-</v>
      </c>
      <c r="AI183" s="20" t="str">
        <f>DATA!AM190</f>
        <v>-</v>
      </c>
      <c r="AJ183" s="20" t="str">
        <f>DATA!AN190</f>
        <v>-</v>
      </c>
      <c r="AK183" s="20" t="str">
        <f>DATA!AO190</f>
        <v>-</v>
      </c>
      <c r="AL183" s="20" t="str">
        <f>DATA!AP190</f>
        <v>-</v>
      </c>
      <c r="AM183" s="20" t="str">
        <f>DATA!AY190</f>
        <v>-</v>
      </c>
      <c r="AN183" s="20" t="e">
        <f>DATA!#REF!</f>
        <v>#REF!</v>
      </c>
      <c r="AO183" s="20">
        <f>DATA!AZ190</f>
        <v>0</v>
      </c>
      <c r="AP183" s="152" t="e">
        <f>DATA!#REF!</f>
        <v>#REF!</v>
      </c>
      <c r="AQ183" s="37" t="str">
        <f>DATA!BA190</f>
        <v>-</v>
      </c>
      <c r="AR183" s="166"/>
    </row>
    <row r="184" spans="1:44" s="6" customFormat="1" ht="76.5">
      <c r="A184" s="6">
        <f>DATA!A191</f>
        <v>137</v>
      </c>
      <c r="B184" s="6">
        <f>DATA!B191</f>
        <v>0</v>
      </c>
      <c r="C184" s="6" t="str">
        <f>DATA!D191</f>
        <v>NON-INFRASTRUKTUR</v>
      </c>
      <c r="D184" s="6">
        <f>DATA!E191</f>
        <v>13</v>
      </c>
      <c r="E184" s="6" t="str">
        <f>DATA!F191</f>
        <v>Kementerian Pertanian</v>
      </c>
      <c r="F184" s="6" t="str">
        <f>DATA!H191</f>
        <v>Provision and Development of Agriculture Infrastructure Program</v>
      </c>
      <c r="G184" s="6" t="str">
        <f>DATA!I191</f>
        <v>A</v>
      </c>
      <c r="H184" s="6" t="str">
        <f>DATA!J191</f>
        <v>Program Penyediaan dan Pengembangan Prasarana dan Sarana Pertanian</v>
      </c>
      <c r="I184" s="6">
        <f>DATA!K191</f>
        <v>1</v>
      </c>
      <c r="J184" s="38"/>
      <c r="K184" s="39"/>
      <c r="L184" s="39"/>
      <c r="M184" s="40"/>
      <c r="N184" s="67" t="str">
        <f>DATA!L191</f>
        <v>Extensification of New Paddy Field Area</v>
      </c>
      <c r="O184" s="42">
        <f>DATA!Q191</f>
        <v>0.33333333333333331</v>
      </c>
      <c r="P184" s="42">
        <f>DATA!R191</f>
        <v>0</v>
      </c>
      <c r="Q184" s="42">
        <f>DATA!S191</f>
        <v>0</v>
      </c>
      <c r="R184" s="83">
        <f>DATA!T191</f>
        <v>0</v>
      </c>
      <c r="S184" s="83"/>
      <c r="T184" s="83">
        <f>DATA!V191</f>
        <v>0</v>
      </c>
      <c r="U184" s="83">
        <f>DATA!W191</f>
        <v>0</v>
      </c>
      <c r="V184" s="83">
        <f>DATA!X191</f>
        <v>0</v>
      </c>
      <c r="W184" s="84" t="str">
        <f>DATA!Y191</f>
        <v>Bank Dunia</v>
      </c>
      <c r="X184" s="42" t="str">
        <f>DATA!Z191</f>
        <v>Multilateral</v>
      </c>
      <c r="Y184" s="83">
        <f>DATA!AA191</f>
        <v>225000000</v>
      </c>
      <c r="Z184" s="83">
        <f>DATA!AG191</f>
        <v>0</v>
      </c>
      <c r="AA184" s="42" t="str">
        <f>DATA!AH191</f>
        <v>Tanpa keterangan</v>
      </c>
      <c r="AB184" s="67" t="str">
        <f>DATA!AI191</f>
        <v>-</v>
      </c>
      <c r="AC184" s="152">
        <f>DATA!AM191</f>
        <v>0</v>
      </c>
      <c r="AD184" s="152" t="str">
        <f>DATA!AN191</f>
        <v>dalam proses
(penyusunan FS)</v>
      </c>
      <c r="AE184" s="152" t="str">
        <f>DATA!AO191</f>
        <v>belum ada keterangan</v>
      </c>
      <c r="AF184" s="67" t="str">
        <f>DATA!AJ191</f>
        <v xml:space="preserve">TOR </v>
      </c>
      <c r="AG184" s="115">
        <f>DATA!AK191</f>
        <v>0</v>
      </c>
      <c r="AH184" s="67" t="str">
        <f>DATA!AL191</f>
        <v>-</v>
      </c>
      <c r="AI184" s="42">
        <f>DATA!AM191</f>
        <v>0</v>
      </c>
      <c r="AJ184" s="42" t="str">
        <f>DATA!AN191</f>
        <v>dalam proses
(penyusunan FS)</v>
      </c>
      <c r="AK184" s="42" t="str">
        <f>DATA!AO191</f>
        <v>belum ada keterangan</v>
      </c>
      <c r="AL184" s="42" t="str">
        <f>DATA!AP191</f>
        <v>belum ada proses tender/lelang</v>
      </c>
      <c r="AM184" s="42" t="str">
        <f>DATA!AY191</f>
        <v>Surat Plh. Kepala Pusat Kem.Pertanian nomor 246/KL.230/A.6.3/09/2015 tgl 9 September 2015</v>
      </c>
      <c r="AN184" s="42" t="e">
        <f>DATA!#REF!</f>
        <v>#REF!</v>
      </c>
      <c r="AO184" s="42">
        <f>DATA!AZ191</f>
        <v>0</v>
      </c>
      <c r="AP184" s="152" t="e">
        <f>DATA!#REF!</f>
        <v>#REF!</v>
      </c>
      <c r="AQ184" s="67" t="str">
        <f>DATA!BA191</f>
        <v>Pembentukan lahan pertanian padi baru di 34 provinsi, meliputi: identifikasi calon petani dan calon lokasi (CPCL), survey/investigasi, penetapan lokasi, penyiapan lahan (land clearing and land leveling), bantuan sarana produksi, dan pertanian untuk budidaya padi.</v>
      </c>
      <c r="AR184" s="165"/>
    </row>
    <row r="185" spans="1:44" s="6" customFormat="1" ht="76.5">
      <c r="A185" s="6">
        <f>DATA!A192</f>
        <v>138</v>
      </c>
      <c r="B185" s="6">
        <f>DATA!B192</f>
        <v>0</v>
      </c>
      <c r="C185" s="6" t="str">
        <f>DATA!D192</f>
        <v>NON-INFRASTRUKTUR</v>
      </c>
      <c r="D185" s="6">
        <f>DATA!E192</f>
        <v>13</v>
      </c>
      <c r="E185" s="6" t="str">
        <f>DATA!F192</f>
        <v>Kementerian Pertanian</v>
      </c>
      <c r="F185" s="6" t="str">
        <f>DATA!H192</f>
        <v>Provision and Development of Agriculture Infrastructure Program</v>
      </c>
      <c r="G185" s="6" t="str">
        <f>DATA!I192</f>
        <v>A</v>
      </c>
      <c r="H185" s="6" t="str">
        <f>DATA!J192</f>
        <v>Program Penyediaan dan Pengembangan Prasarana dan Sarana Pertanian</v>
      </c>
      <c r="I185" s="6">
        <f>DATA!K192</f>
        <v>1</v>
      </c>
      <c r="J185" s="38"/>
      <c r="K185" s="39"/>
      <c r="L185" s="39"/>
      <c r="M185" s="38"/>
      <c r="N185" s="67" t="str">
        <f>DATA!L192</f>
        <v>Extensification of New Paddy Field Area</v>
      </c>
      <c r="O185" s="42">
        <f>DATA!Q192</f>
        <v>0.33333333333333331</v>
      </c>
      <c r="P185" s="42">
        <f>DATA!R192</f>
        <v>0</v>
      </c>
      <c r="Q185" s="42">
        <f>DATA!S192</f>
        <v>0</v>
      </c>
      <c r="R185" s="83">
        <f>DATA!T192</f>
        <v>0</v>
      </c>
      <c r="S185" s="83"/>
      <c r="T185" s="83">
        <f>DATA!V192</f>
        <v>0</v>
      </c>
      <c r="U185" s="83">
        <f>DATA!W192</f>
        <v>0</v>
      </c>
      <c r="V185" s="83">
        <f>DATA!X192</f>
        <v>0</v>
      </c>
      <c r="W185" s="84" t="str">
        <f>DATA!Y192</f>
        <v>IDB</v>
      </c>
      <c r="X185" s="42" t="str">
        <f>DATA!Z192</f>
        <v>Multilateral</v>
      </c>
      <c r="Y185" s="83">
        <f>DATA!AA192</f>
        <v>125000000</v>
      </c>
      <c r="Z185" s="83">
        <f>DATA!AG192</f>
        <v>0</v>
      </c>
      <c r="AA185" s="42" t="str">
        <f>DATA!AH192</f>
        <v>Tanpa keterangan</v>
      </c>
      <c r="AB185" s="67" t="str">
        <f>DATA!AI192</f>
        <v>-</v>
      </c>
      <c r="AC185" s="152">
        <f>DATA!AM192</f>
        <v>0</v>
      </c>
      <c r="AD185" s="152" t="str">
        <f>DATA!AN192</f>
        <v>dalam proses
(penyusunan FS)</v>
      </c>
      <c r="AE185" s="152" t="str">
        <f>DATA!AO192</f>
        <v>belum ada keterangan</v>
      </c>
      <c r="AF185" s="67" t="str">
        <f>DATA!AJ192</f>
        <v>-</v>
      </c>
      <c r="AG185" s="115" t="str">
        <f>DATA!AK192</f>
        <v>-</v>
      </c>
      <c r="AH185" s="67" t="str">
        <f>DATA!AL192</f>
        <v>-</v>
      </c>
      <c r="AI185" s="42">
        <f>DATA!AM192</f>
        <v>0</v>
      </c>
      <c r="AJ185" s="42" t="str">
        <f>DATA!AN192</f>
        <v>dalam proses
(penyusunan FS)</v>
      </c>
      <c r="AK185" s="42" t="str">
        <f>DATA!AO192</f>
        <v>belum ada keterangan</v>
      </c>
      <c r="AL185" s="42" t="str">
        <f>DATA!AP192</f>
        <v>belum ada proses tender/lelang</v>
      </c>
      <c r="AM185" s="42" t="str">
        <f>DATA!AY192</f>
        <v>Surat Plh. Kepala Pusat Kem.Pertanian nomor 246/KL.230/A.6.3/09/2015 tgl 9 September 2015</v>
      </c>
      <c r="AN185" s="42" t="e">
        <f>DATA!#REF!</f>
        <v>#REF!</v>
      </c>
      <c r="AO185" s="42">
        <f>DATA!AZ192</f>
        <v>0</v>
      </c>
      <c r="AP185" s="152" t="e">
        <f>DATA!#REF!</f>
        <v>#REF!</v>
      </c>
      <c r="AQ185" s="67" t="str">
        <f>DATA!BA192</f>
        <v>Pembentukan lahan pertanian padi baru di 34 provinsi, meliputi: identifikasi calon petani dan calon lokasi (CPCL), survey/investigasi, penetapan lokasi, penyiapan lahan (land clearing and land leveling), bantuan sarana produksi, dan pertanian untuk budidaya padi.</v>
      </c>
      <c r="AR185" s="165"/>
    </row>
    <row r="186" spans="1:44" s="6" customFormat="1" ht="76.5">
      <c r="A186" s="6">
        <f>DATA!A193</f>
        <v>139</v>
      </c>
      <c r="B186" s="6">
        <f>DATA!B193</f>
        <v>0</v>
      </c>
      <c r="C186" s="6" t="str">
        <f>DATA!D193</f>
        <v>NON-INFRASTRUKTUR</v>
      </c>
      <c r="D186" s="6">
        <f>DATA!E193</f>
        <v>13</v>
      </c>
      <c r="E186" s="6" t="str">
        <f>DATA!F193</f>
        <v>Kementerian Pertanian</v>
      </c>
      <c r="F186" s="6" t="str">
        <f>DATA!H193</f>
        <v>Provision and Development of Agriculture Infrastructure Program</v>
      </c>
      <c r="G186" s="6" t="str">
        <f>DATA!I193</f>
        <v>A</v>
      </c>
      <c r="H186" s="6" t="str">
        <f>DATA!J193</f>
        <v>Program Penyediaan dan Pengembangan Prasarana dan Sarana Pertanian</v>
      </c>
      <c r="I186" s="6">
        <f>DATA!K193</f>
        <v>1</v>
      </c>
      <c r="J186" s="38"/>
      <c r="K186" s="39"/>
      <c r="L186" s="39"/>
      <c r="M186" s="43"/>
      <c r="N186" s="67" t="str">
        <f>DATA!L193</f>
        <v>Extensification of New Paddy Field Area</v>
      </c>
      <c r="O186" s="42">
        <f>DATA!Q193</f>
        <v>0.33333333333333331</v>
      </c>
      <c r="P186" s="42">
        <f>DATA!R193</f>
        <v>0</v>
      </c>
      <c r="Q186" s="42">
        <f>DATA!S193</f>
        <v>0</v>
      </c>
      <c r="R186" s="83">
        <f>DATA!T193</f>
        <v>0</v>
      </c>
      <c r="S186" s="83"/>
      <c r="T186" s="83">
        <f>DATA!V193</f>
        <v>0</v>
      </c>
      <c r="U186" s="83">
        <f>DATA!W193</f>
        <v>0</v>
      </c>
      <c r="V186" s="83">
        <f>DATA!X193</f>
        <v>0</v>
      </c>
      <c r="W186" s="84" t="str">
        <f>DATA!Y193</f>
        <v>Belum Ada Indikasi</v>
      </c>
      <c r="X186" s="42" t="str">
        <f>DATA!Z193</f>
        <v>Belum Ada Indikasi</v>
      </c>
      <c r="Y186" s="83">
        <f>DATA!AA193</f>
        <v>461166600</v>
      </c>
      <c r="Z186" s="83">
        <f>DATA!AG193</f>
        <v>-461166600</v>
      </c>
      <c r="AA186" s="42" t="str">
        <f>DATA!AH193</f>
        <v>Tanpa keterangan</v>
      </c>
      <c r="AB186" s="67" t="str">
        <f>DATA!AI193</f>
        <v>-</v>
      </c>
      <c r="AC186" s="152">
        <f>DATA!AM193</f>
        <v>0</v>
      </c>
      <c r="AD186" s="152" t="str">
        <f>DATA!AN193</f>
        <v>belum ada keterangan</v>
      </c>
      <c r="AE186" s="152" t="str">
        <f>DATA!AO193</f>
        <v>belum ada keterangan</v>
      </c>
      <c r="AF186" s="67" t="str">
        <f>DATA!AJ193</f>
        <v>-</v>
      </c>
      <c r="AG186" s="115" t="str">
        <f>DATA!AK193</f>
        <v>-</v>
      </c>
      <c r="AH186" s="67" t="str">
        <f>DATA!AL193</f>
        <v>-</v>
      </c>
      <c r="AI186" s="42">
        <f>DATA!AM193</f>
        <v>0</v>
      </c>
      <c r="AJ186" s="42" t="str">
        <f>DATA!AN193</f>
        <v>belum ada keterangan</v>
      </c>
      <c r="AK186" s="42" t="str">
        <f>DATA!AO193</f>
        <v>belum ada keterangan</v>
      </c>
      <c r="AL186" s="42" t="str">
        <f>DATA!AP193</f>
        <v>belum ada proses tender/lelang</v>
      </c>
      <c r="AM186" s="42" t="str">
        <f>DATA!AY193</f>
        <v>Surat Plh. Kepala Pusat Kem.Pertanian nomor 246/KL.230/A.6.3/09/2015 tgl 9 September 2015</v>
      </c>
      <c r="AN186" s="42" t="e">
        <f>DATA!#REF!</f>
        <v>#REF!</v>
      </c>
      <c r="AO186" s="42">
        <f>DATA!AZ193</f>
        <v>0</v>
      </c>
      <c r="AP186" s="152" t="e">
        <f>DATA!#REF!</f>
        <v>#REF!</v>
      </c>
      <c r="AQ186" s="67" t="str">
        <f>DATA!BA193</f>
        <v>Pembentukan lahan pertanian padi baru di 34 provinsi, meliputi: identifikasi calon petani dan calon lokasi (CPCL), survey/investigasi, penetapan lokasi, penyiapan lahan (land clearing and land leveling), bantuan sarana produksi, dan pertanian untuk budidaya padi.</v>
      </c>
      <c r="AR186" s="165"/>
    </row>
    <row r="187" spans="1:44" ht="60.75" customHeight="1">
      <c r="A187" s="10">
        <f>DATA!A194</f>
        <v>140</v>
      </c>
      <c r="B187" s="10">
        <f>DATA!B194</f>
        <v>0</v>
      </c>
      <c r="C187" s="10" t="str">
        <f>DATA!D194</f>
        <v>NON-INFRASTRUKTUR</v>
      </c>
      <c r="D187" s="10">
        <f>DATA!E194</f>
        <v>13</v>
      </c>
      <c r="E187" s="10" t="str">
        <f>DATA!F194</f>
        <v>Kementerian Pertanian</v>
      </c>
      <c r="F187" s="10" t="str">
        <f>DATA!H194</f>
        <v>Provision and Development of Agriculture Infrastructure Program</v>
      </c>
      <c r="G187" s="10" t="str">
        <f>DATA!I194</f>
        <v>A</v>
      </c>
      <c r="H187" s="10" t="str">
        <f>DATA!J194</f>
        <v>Program Penyediaan dan Pengembangan Prasarana dan Sarana Pertanian</v>
      </c>
      <c r="I187" s="10">
        <f>DATA!K194</f>
        <v>2</v>
      </c>
      <c r="J187" s="33"/>
      <c r="K187" s="34"/>
      <c r="L187" s="34"/>
      <c r="M187" s="36">
        <f>DATA!K194</f>
        <v>2</v>
      </c>
      <c r="N187" s="37" t="str">
        <f>DATA!L194</f>
        <v>Upland Development for National Food Security</v>
      </c>
      <c r="O187" s="20">
        <f>DATA!Q194</f>
        <v>0</v>
      </c>
      <c r="P187" s="20">
        <f>DATA!R194</f>
        <v>1</v>
      </c>
      <c r="Q187" s="20">
        <f>DATA!S194</f>
        <v>110</v>
      </c>
      <c r="R187" s="77">
        <f>DATA!T194</f>
        <v>535676000</v>
      </c>
      <c r="S187" s="77"/>
      <c r="T187" s="77">
        <f>DATA!V194</f>
        <v>53567600</v>
      </c>
      <c r="U187" s="77">
        <f>DATA!W194</f>
        <v>0</v>
      </c>
      <c r="V187" s="77">
        <f>DATA!X194</f>
        <v>589243600</v>
      </c>
      <c r="W187" s="78" t="str">
        <f>DATA!Y194</f>
        <v>-</v>
      </c>
      <c r="X187" s="20">
        <f>DATA!Z194</f>
        <v>0</v>
      </c>
      <c r="Y187" s="77">
        <f>DATA!AA194</f>
        <v>535676000</v>
      </c>
      <c r="Z187" s="77">
        <f>DATA!AG194</f>
        <v>-285676000</v>
      </c>
      <c r="AA187" s="20" t="str">
        <f>DATA!AH194</f>
        <v>-</v>
      </c>
      <c r="AB187" s="37" t="str">
        <f>DATA!AI194</f>
        <v>-</v>
      </c>
      <c r="AC187" s="152">
        <f>DATA!AM194</f>
        <v>0</v>
      </c>
      <c r="AD187" s="152" t="str">
        <f>DATA!AN194</f>
        <v>-</v>
      </c>
      <c r="AE187" s="152" t="str">
        <f>DATA!AO194</f>
        <v>tanpa keterangan</v>
      </c>
      <c r="AF187" s="37" t="str">
        <f>DATA!AJ194</f>
        <v xml:space="preserve">TOR </v>
      </c>
      <c r="AG187" s="115">
        <f>DATA!AK194</f>
        <v>0</v>
      </c>
      <c r="AH187" s="37" t="str">
        <f>DATA!AL194</f>
        <v>-</v>
      </c>
      <c r="AI187" s="20">
        <f>DATA!AM194</f>
        <v>0</v>
      </c>
      <c r="AJ187" s="20" t="str">
        <f>DATA!AN194</f>
        <v>-</v>
      </c>
      <c r="AK187" s="20" t="str">
        <f>DATA!AO194</f>
        <v>tanpa keterangan</v>
      </c>
      <c r="AL187" s="20" t="str">
        <f>DATA!AP194</f>
        <v>belum ada proses tender/lelang</v>
      </c>
      <c r="AM187" s="20" t="str">
        <f>DATA!AY194</f>
        <v>Surat Plh. Kepala Pusat Kem.Pertanian nomor 246/KL.230/A.6.3/09/2015 tgl 9 September 2015</v>
      </c>
      <c r="AN187" s="20" t="e">
        <f>DATA!#REF!</f>
        <v>#REF!</v>
      </c>
      <c r="AO187" s="20">
        <f>DATA!AZ194</f>
        <v>0</v>
      </c>
      <c r="AP187" s="152" t="e">
        <f>DATA!#REF!</f>
        <v>#REF!</v>
      </c>
      <c r="AQ187" s="37" t="str">
        <f>DATA!BA194</f>
        <v>Rencana penggunaan lahan di dataran tinggi berdasarkan kesesuaiannya, konservasi lahan dan air di dataran tinggi, dan budidaya pertanian ramah lingkungan untuk dataran tinggi</v>
      </c>
      <c r="AR187" s="166"/>
    </row>
    <row r="188" spans="1:44" s="6" customFormat="1" ht="61.5" customHeight="1">
      <c r="A188" s="6">
        <f>DATA!A195</f>
        <v>140</v>
      </c>
      <c r="B188" s="6">
        <f>DATA!B195</f>
        <v>0</v>
      </c>
      <c r="C188" s="6" t="str">
        <f>DATA!D195</f>
        <v>NON-INFRASTRUKTUR</v>
      </c>
      <c r="D188" s="6">
        <f>DATA!E195</f>
        <v>13</v>
      </c>
      <c r="E188" s="6" t="str">
        <f>DATA!F195</f>
        <v>Kementerian Pertanian</v>
      </c>
      <c r="F188" s="6" t="str">
        <f>DATA!H195</f>
        <v>Provision and Development of Agriculture Infrastructure Program</v>
      </c>
      <c r="G188" s="6" t="str">
        <f>DATA!I195</f>
        <v>A</v>
      </c>
      <c r="H188" s="6" t="str">
        <f>DATA!J195</f>
        <v>Program Penyediaan dan Pengembangan Prasarana dan Sarana Pertanian</v>
      </c>
      <c r="I188" s="6">
        <f>DATA!K195</f>
        <v>2</v>
      </c>
      <c r="J188" s="38"/>
      <c r="K188" s="39"/>
      <c r="L188" s="39"/>
      <c r="M188" s="40"/>
      <c r="N188" s="67" t="str">
        <f>DATA!L195</f>
        <v>Upland Development for National Food Security</v>
      </c>
      <c r="O188" s="42">
        <f>DATA!Q195</f>
        <v>0.33333333333333331</v>
      </c>
      <c r="P188" s="42">
        <f>DATA!R195</f>
        <v>0</v>
      </c>
      <c r="Q188" s="42">
        <f>DATA!S195</f>
        <v>0</v>
      </c>
      <c r="R188" s="83">
        <f>DATA!T195</f>
        <v>0</v>
      </c>
      <c r="S188" s="83"/>
      <c r="T188" s="83">
        <f>DATA!V195</f>
        <v>0</v>
      </c>
      <c r="U188" s="83">
        <f>DATA!W195</f>
        <v>0</v>
      </c>
      <c r="V188" s="83">
        <f>DATA!X195</f>
        <v>0</v>
      </c>
      <c r="W188" s="84" t="str">
        <f>DATA!Y195</f>
        <v>Bank Dunia</v>
      </c>
      <c r="X188" s="42" t="str">
        <f>DATA!Z195</f>
        <v>Multilateral</v>
      </c>
      <c r="Y188" s="83">
        <f>DATA!AA195</f>
        <v>125000000</v>
      </c>
      <c r="Z188" s="83">
        <f>DATA!AG195</f>
        <v>0</v>
      </c>
      <c r="AA188" s="42" t="str">
        <f>DATA!AH195</f>
        <v>Tanpa keterangan</v>
      </c>
      <c r="AB188" s="67" t="str">
        <f>DATA!AI195</f>
        <v>-</v>
      </c>
      <c r="AC188" s="152">
        <f>DATA!AM195</f>
        <v>0</v>
      </c>
      <c r="AD188" s="152" t="str">
        <f>DATA!AN195</f>
        <v>dalam proses
(penyusunan FS)</v>
      </c>
      <c r="AE188" s="152" t="str">
        <f>DATA!AO195</f>
        <v>belum ada keterangan</v>
      </c>
      <c r="AF188" s="67" t="str">
        <f>DATA!AJ195</f>
        <v xml:space="preserve">TOR </v>
      </c>
      <c r="AG188" s="115">
        <f>DATA!AK195</f>
        <v>0</v>
      </c>
      <c r="AH188" s="67" t="str">
        <f>DATA!AL195</f>
        <v>-</v>
      </c>
      <c r="AI188" s="42">
        <f>DATA!AM195</f>
        <v>0</v>
      </c>
      <c r="AJ188" s="42" t="str">
        <f>DATA!AN195</f>
        <v>dalam proses
(penyusunan FS)</v>
      </c>
      <c r="AK188" s="42" t="str">
        <f>DATA!AO195</f>
        <v>belum ada keterangan</v>
      </c>
      <c r="AL188" s="42" t="str">
        <f>DATA!AP195</f>
        <v>belum ada proses tender/lelang</v>
      </c>
      <c r="AM188" s="42" t="str">
        <f>DATA!AY195</f>
        <v>Surat Plh. Kepala Pusat Kem.Pertanian nomor 246/KL.230/A.6.3/09/2015 tgl 9 September 2015</v>
      </c>
      <c r="AN188" s="42" t="e">
        <f>DATA!#REF!</f>
        <v>#REF!</v>
      </c>
      <c r="AO188" s="42">
        <f>DATA!AZ195</f>
        <v>0</v>
      </c>
      <c r="AP188" s="152" t="e">
        <f>DATA!#REF!</f>
        <v>#REF!</v>
      </c>
      <c r="AQ188" s="67" t="str">
        <f>DATA!BA195</f>
        <v>Rencana penggunaan lahan di dataran tinggi berdasarkan kesesuaiannya, konservasi lahan dan air di dataran tinggi, dan budidaya pertanian ramah lingkungan untuk dataran tinggi</v>
      </c>
      <c r="AR188" s="165"/>
    </row>
    <row r="189" spans="1:44" s="6" customFormat="1" ht="51">
      <c r="A189" s="6">
        <f>DATA!A196</f>
        <v>141</v>
      </c>
      <c r="B189" s="6">
        <f>DATA!B196</f>
        <v>0</v>
      </c>
      <c r="C189" s="6" t="str">
        <f>DATA!D196</f>
        <v>NON-INFRASTRUKTUR</v>
      </c>
      <c r="D189" s="6">
        <f>DATA!E196</f>
        <v>13</v>
      </c>
      <c r="E189" s="6" t="str">
        <f>DATA!F196</f>
        <v>Kementerian Pertanian</v>
      </c>
      <c r="F189" s="6" t="str">
        <f>DATA!H196</f>
        <v>Provision and Development of Agriculture Infrastructure Program</v>
      </c>
      <c r="G189" s="6" t="str">
        <f>DATA!I196</f>
        <v>A</v>
      </c>
      <c r="H189" s="6" t="str">
        <f>DATA!J196</f>
        <v>Program Penyediaan dan Pengembangan Prasarana dan Sarana Pertanian</v>
      </c>
      <c r="I189" s="6">
        <f>DATA!K196</f>
        <v>2</v>
      </c>
      <c r="J189" s="38"/>
      <c r="K189" s="39"/>
      <c r="L189" s="39"/>
      <c r="M189" s="38"/>
      <c r="N189" s="67" t="str">
        <f>DATA!L196</f>
        <v>Upland Development for National Food Security</v>
      </c>
      <c r="O189" s="42">
        <f>DATA!Q196</f>
        <v>0.33333333333333331</v>
      </c>
      <c r="P189" s="42">
        <f>DATA!R196</f>
        <v>0</v>
      </c>
      <c r="Q189" s="42">
        <f>DATA!S196</f>
        <v>0</v>
      </c>
      <c r="R189" s="83">
        <f>DATA!T196</f>
        <v>0</v>
      </c>
      <c r="S189" s="83"/>
      <c r="T189" s="83">
        <f>DATA!V196</f>
        <v>0</v>
      </c>
      <c r="U189" s="83">
        <f>DATA!W196</f>
        <v>0</v>
      </c>
      <c r="V189" s="83">
        <f>DATA!X196</f>
        <v>0</v>
      </c>
      <c r="W189" s="84" t="str">
        <f>DATA!Y196</f>
        <v>IDB</v>
      </c>
      <c r="X189" s="42" t="str">
        <f>DATA!Z196</f>
        <v>Multilateral</v>
      </c>
      <c r="Y189" s="83">
        <f>DATA!AA196</f>
        <v>125000000</v>
      </c>
      <c r="Z189" s="83">
        <f>DATA!AG196</f>
        <v>0</v>
      </c>
      <c r="AA189" s="42" t="str">
        <f>DATA!AH196</f>
        <v>Tanpa keterangan</v>
      </c>
      <c r="AB189" s="67" t="str">
        <f>DATA!AI196</f>
        <v>-</v>
      </c>
      <c r="AC189" s="152">
        <f>DATA!AM196</f>
        <v>0</v>
      </c>
      <c r="AD189" s="152" t="str">
        <f>DATA!AN196</f>
        <v>dalam proses
(penyusunan FS)</v>
      </c>
      <c r="AE189" s="152" t="str">
        <f>DATA!AO196</f>
        <v>belum ada keterangan</v>
      </c>
      <c r="AF189" s="67" t="str">
        <f>DATA!AJ196</f>
        <v>-</v>
      </c>
      <c r="AG189" s="115" t="str">
        <f>DATA!AK196</f>
        <v>-</v>
      </c>
      <c r="AH189" s="67" t="str">
        <f>DATA!AL196</f>
        <v>-</v>
      </c>
      <c r="AI189" s="42">
        <f>DATA!AM196</f>
        <v>0</v>
      </c>
      <c r="AJ189" s="42" t="str">
        <f>DATA!AN196</f>
        <v>dalam proses
(penyusunan FS)</v>
      </c>
      <c r="AK189" s="42" t="str">
        <f>DATA!AO196</f>
        <v>belum ada keterangan</v>
      </c>
      <c r="AL189" s="42" t="str">
        <f>DATA!AP196</f>
        <v>belum ada proses tender/lelang</v>
      </c>
      <c r="AM189" s="42" t="str">
        <f>DATA!AY196</f>
        <v>Surat Plh. Kepala Pusat Kem.Pertanian nomor 246/KL.230/A.6.3/09/2015 tgl 9 September 2015</v>
      </c>
      <c r="AN189" s="42" t="e">
        <f>DATA!#REF!</f>
        <v>#REF!</v>
      </c>
      <c r="AO189" s="42">
        <f>DATA!AZ196</f>
        <v>0</v>
      </c>
      <c r="AP189" s="152" t="e">
        <f>DATA!#REF!</f>
        <v>#REF!</v>
      </c>
      <c r="AQ189" s="67" t="str">
        <f>DATA!BA196</f>
        <v>Rencana penggunaan lahan di dataran tinggi berdasarkan kesesuaiannya, konservasi lahan dan air di dataran tinggi, dan budidaya pertanian ramah lingkungan untuk dataran tinggi</v>
      </c>
      <c r="AR189" s="165"/>
    </row>
    <row r="190" spans="1:44" s="6" customFormat="1" ht="65.25" customHeight="1">
      <c r="A190" s="6">
        <f>DATA!A197</f>
        <v>142</v>
      </c>
      <c r="B190" s="6">
        <f>DATA!B197</f>
        <v>0</v>
      </c>
      <c r="C190" s="6" t="str">
        <f>DATA!D197</f>
        <v>NON-INFRASTRUKTUR</v>
      </c>
      <c r="D190" s="6">
        <f>DATA!E197</f>
        <v>13</v>
      </c>
      <c r="E190" s="6" t="str">
        <f>DATA!F197</f>
        <v>Kementerian Pertanian</v>
      </c>
      <c r="F190" s="6" t="str">
        <f>DATA!H197</f>
        <v>Provision and Development of Agriculture Infrastructure Program</v>
      </c>
      <c r="G190" s="6" t="str">
        <f>DATA!I197</f>
        <v>A</v>
      </c>
      <c r="H190" s="6" t="str">
        <f>DATA!J197</f>
        <v>Program Penyediaan dan Pengembangan Prasarana dan Sarana Pertanian</v>
      </c>
      <c r="I190" s="6">
        <f>DATA!K197</f>
        <v>2</v>
      </c>
      <c r="J190" s="38"/>
      <c r="K190" s="39"/>
      <c r="L190" s="71"/>
      <c r="M190" s="43"/>
      <c r="N190" s="67" t="str">
        <f>DATA!L197</f>
        <v>Upland Development for National Food Security</v>
      </c>
      <c r="O190" s="42">
        <f>DATA!Q197</f>
        <v>0.33333333333333331</v>
      </c>
      <c r="P190" s="42">
        <f>DATA!R197</f>
        <v>0</v>
      </c>
      <c r="Q190" s="42">
        <f>DATA!S197</f>
        <v>0</v>
      </c>
      <c r="R190" s="83">
        <f>DATA!T197</f>
        <v>0</v>
      </c>
      <c r="S190" s="83"/>
      <c r="T190" s="83">
        <f>DATA!V197</f>
        <v>0</v>
      </c>
      <c r="U190" s="83">
        <f>DATA!W197</f>
        <v>0</v>
      </c>
      <c r="V190" s="83">
        <f>DATA!X197</f>
        <v>0</v>
      </c>
      <c r="W190" s="84" t="str">
        <f>DATA!Y197</f>
        <v>Belum Ada Indikasi</v>
      </c>
      <c r="X190" s="42" t="str">
        <f>DATA!Z197</f>
        <v>Belum Ada Indikasi</v>
      </c>
      <c r="Y190" s="83">
        <f>DATA!AA197</f>
        <v>285676000</v>
      </c>
      <c r="Z190" s="83">
        <f>DATA!AG197</f>
        <v>-285676000</v>
      </c>
      <c r="AA190" s="42" t="str">
        <f>DATA!AH197</f>
        <v>Tanpa keterangan</v>
      </c>
      <c r="AB190" s="67" t="str">
        <f>DATA!AI197</f>
        <v>-</v>
      </c>
      <c r="AC190" s="152">
        <f>DATA!AM197</f>
        <v>0</v>
      </c>
      <c r="AD190" s="152" t="str">
        <f>DATA!AN197</f>
        <v>belum ada keterangan</v>
      </c>
      <c r="AE190" s="152" t="str">
        <f>DATA!AO197</f>
        <v>belum ada keterangan</v>
      </c>
      <c r="AF190" s="67" t="str">
        <f>DATA!AJ197</f>
        <v>-</v>
      </c>
      <c r="AG190" s="115" t="str">
        <f>DATA!AK197</f>
        <v>-</v>
      </c>
      <c r="AH190" s="67" t="str">
        <f>DATA!AL197</f>
        <v>-</v>
      </c>
      <c r="AI190" s="42">
        <f>DATA!AM197</f>
        <v>0</v>
      </c>
      <c r="AJ190" s="42" t="str">
        <f>DATA!AN197</f>
        <v>belum ada keterangan</v>
      </c>
      <c r="AK190" s="42" t="str">
        <f>DATA!AO197</f>
        <v>belum ada keterangan</v>
      </c>
      <c r="AL190" s="42" t="str">
        <f>DATA!AP197</f>
        <v>belum ada proses tender/lelang</v>
      </c>
      <c r="AM190" s="42" t="str">
        <f>DATA!AY197</f>
        <v>Surat Plh. Kepala Pusat Kem.Pertanian nomor 246/KL.230/A.6.3/09/2015 tgl 9 September 2015</v>
      </c>
      <c r="AN190" s="42" t="e">
        <f>DATA!#REF!</f>
        <v>#REF!</v>
      </c>
      <c r="AO190" s="42">
        <f>DATA!AZ197</f>
        <v>0</v>
      </c>
      <c r="AP190" s="152" t="e">
        <f>DATA!#REF!</f>
        <v>#REF!</v>
      </c>
      <c r="AQ190" s="67" t="str">
        <f>DATA!BA197</f>
        <v>Rencana penggunaan lahan di dataran tinggi berdasarkan kesesuaiannya, konservasi lahan dan air di dataran tinggi, dan budidaya pertanian ramah lingkungan untuk dataran tinggi</v>
      </c>
      <c r="AR190" s="165"/>
    </row>
    <row r="191" spans="1:44" s="5" customFormat="1" ht="33.75" customHeight="1">
      <c r="J191" s="28"/>
      <c r="K191" s="50"/>
      <c r="L191" s="30" t="str">
        <f>DATA!I198</f>
        <v>B</v>
      </c>
      <c r="M191" s="31" t="str">
        <f>DATA!J198</f>
        <v>Program Peningkatan Penyuluhan, Pendidikan, dan Pelatihan Pertanian</v>
      </c>
      <c r="N191" s="51"/>
      <c r="O191" s="31"/>
      <c r="P191" s="31"/>
      <c r="Q191" s="31"/>
      <c r="R191" s="81">
        <f>+R192+R193</f>
        <v>98900000</v>
      </c>
      <c r="S191" s="81"/>
      <c r="T191" s="81">
        <f t="shared" ref="T191:Z191" si="28">+T192+T193</f>
        <v>19780000</v>
      </c>
      <c r="U191" s="81">
        <f t="shared" si="28"/>
        <v>500000</v>
      </c>
      <c r="V191" s="81">
        <f t="shared" si="28"/>
        <v>119180000</v>
      </c>
      <c r="W191" s="149"/>
      <c r="X191" s="81" t="e">
        <f t="shared" si="28"/>
        <v>#VALUE!</v>
      </c>
      <c r="Y191" s="81">
        <f t="shared" si="28"/>
        <v>98900000</v>
      </c>
      <c r="Z191" s="81">
        <f t="shared" si="28"/>
        <v>0</v>
      </c>
      <c r="AA191" s="31"/>
      <c r="AB191" s="32"/>
      <c r="AC191" s="32"/>
      <c r="AD191" s="32"/>
      <c r="AE191" s="32"/>
      <c r="AF191" s="32"/>
      <c r="AG191" s="115" t="str">
        <f>DATA!AK198</f>
        <v>-</v>
      </c>
      <c r="AH191" s="32"/>
      <c r="AI191" s="31"/>
      <c r="AJ191" s="31"/>
      <c r="AK191" s="31"/>
      <c r="AL191" s="31"/>
      <c r="AM191" s="31"/>
      <c r="AN191" s="31"/>
      <c r="AO191" s="31"/>
      <c r="AP191" s="32"/>
      <c r="AQ191" s="32"/>
      <c r="AR191" s="160"/>
    </row>
    <row r="192" spans="1:44" ht="106.5" customHeight="1">
      <c r="A192" s="10">
        <f>DATA!A198</f>
        <v>143</v>
      </c>
      <c r="B192" s="10">
        <f>DATA!B198</f>
        <v>0</v>
      </c>
      <c r="C192" s="10" t="str">
        <f>DATA!D198</f>
        <v>NON-INFRASTRUKTUR</v>
      </c>
      <c r="D192" s="10">
        <f>DATA!E198</f>
        <v>13</v>
      </c>
      <c r="E192" s="10" t="str">
        <f>DATA!F198</f>
        <v>Kementerian Pertanian</v>
      </c>
      <c r="F192" s="10" t="str">
        <f>DATA!H198</f>
        <v>Agriculture Extention, Education, and Training Improvement Program</v>
      </c>
      <c r="G192" s="10" t="str">
        <f>DATA!I198</f>
        <v>B</v>
      </c>
      <c r="H192" s="10" t="str">
        <f>DATA!J198</f>
        <v>Program Peningkatan Penyuluhan, Pendidikan, dan Pelatihan Pertanian</v>
      </c>
      <c r="I192" s="10">
        <f>DATA!K198</f>
        <v>1</v>
      </c>
      <c r="J192" s="33"/>
      <c r="K192" s="34"/>
      <c r="L192" s="35"/>
      <c r="M192" s="36">
        <f>DATA!K198</f>
        <v>1</v>
      </c>
      <c r="N192" s="37" t="str">
        <f>DATA!L198</f>
        <v>Young Enterpreneur Growth and Development for Sustainable Agricultural Development</v>
      </c>
      <c r="O192" s="20">
        <f>DATA!Q198</f>
        <v>1</v>
      </c>
      <c r="P192" s="20">
        <f>DATA!R198</f>
        <v>1</v>
      </c>
      <c r="Q192" s="20">
        <f>DATA!S198</f>
        <v>111</v>
      </c>
      <c r="R192" s="77">
        <f>DATA!T198</f>
        <v>68900000</v>
      </c>
      <c r="S192" s="77"/>
      <c r="T192" s="77">
        <f>DATA!V198</f>
        <v>13780000</v>
      </c>
      <c r="U192" s="77">
        <f>DATA!W198</f>
        <v>0</v>
      </c>
      <c r="V192" s="77">
        <f>DATA!X198</f>
        <v>82680000</v>
      </c>
      <c r="W192" s="78" t="str">
        <f>DATA!Y198</f>
        <v>IFAD</v>
      </c>
      <c r="X192" s="20" t="str">
        <f>DATA!Z198</f>
        <v>Multilateral</v>
      </c>
      <c r="Y192" s="77">
        <f>DATA!AA198</f>
        <v>68900000</v>
      </c>
      <c r="Z192" s="77">
        <f>DATA!AG198</f>
        <v>0</v>
      </c>
      <c r="AA192" s="20" t="str">
        <f>DATA!AH198</f>
        <v>Tanpa keterangan</v>
      </c>
      <c r="AB192" s="37" t="str">
        <f>DATA!AI198</f>
        <v>Dalam tahap diskusi awal dengan pihak lender untuk penyempurnaan proposal</v>
      </c>
      <c r="AC192" s="152">
        <f>DATA!AM198</f>
        <v>0</v>
      </c>
      <c r="AD192" s="152" t="str">
        <f>DATA!AN198</f>
        <v>belum ada keterangan</v>
      </c>
      <c r="AE192" s="152" t="str">
        <f>DATA!AO198</f>
        <v>belum ada keterangan</v>
      </c>
      <c r="AF192" s="37" t="str">
        <f>DATA!AJ198</f>
        <v>-</v>
      </c>
      <c r="AG192" s="115" t="str">
        <f>DATA!AK199</f>
        <v>-</v>
      </c>
      <c r="AH192" s="37" t="str">
        <f>DATA!AL198</f>
        <v>-</v>
      </c>
      <c r="AI192" s="20">
        <f>DATA!AM198</f>
        <v>0</v>
      </c>
      <c r="AJ192" s="20" t="str">
        <f>DATA!AN198</f>
        <v>belum ada keterangan</v>
      </c>
      <c r="AK192" s="20" t="str">
        <f>DATA!AO198</f>
        <v>belum ada keterangan</v>
      </c>
      <c r="AL192" s="20" t="str">
        <f>DATA!AP198</f>
        <v>belum ada proses tender/lelang</v>
      </c>
      <c r="AM192" s="20" t="str">
        <f>DATA!AY198</f>
        <v>Surat Plh. Kepala Pusat Kem.Pertanian nomor 246/KL.230/A.6.3/09/2015 tgl 9 September 2015</v>
      </c>
      <c r="AN192" s="20" t="e">
        <f>DATA!#REF!</f>
        <v>#REF!</v>
      </c>
      <c r="AO192" s="20">
        <f>DATA!AZ198</f>
        <v>0</v>
      </c>
      <c r="AP192" s="152" t="e">
        <f>DATA!#REF!</f>
        <v>#REF!</v>
      </c>
      <c r="AQ192" s="37"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c r="AR192" s="166"/>
    </row>
    <row r="193" spans="1:53" ht="63.75">
      <c r="A193" s="10">
        <f>DATA!A199</f>
        <v>144</v>
      </c>
      <c r="B193" s="10">
        <f>DATA!B199</f>
        <v>0</v>
      </c>
      <c r="C193" s="10" t="str">
        <f>DATA!D199</f>
        <v>NON-INFRASTRUKTUR</v>
      </c>
      <c r="D193" s="10">
        <f>DATA!E199</f>
        <v>13</v>
      </c>
      <c r="E193" s="10" t="str">
        <f>DATA!F199</f>
        <v>Kementerian Pertanian</v>
      </c>
      <c r="F193" s="10" t="str">
        <f>DATA!H199</f>
        <v>Agriculture Extention, Education, and Training Improvement Program</v>
      </c>
      <c r="G193" s="10" t="str">
        <f>DATA!I199</f>
        <v>B</v>
      </c>
      <c r="H193" s="10" t="str">
        <f>DATA!J199</f>
        <v>Program Peningkatan Penyuluhan, Pendidikan, dan Pelatihan Pertanian</v>
      </c>
      <c r="I193" s="10">
        <f>DATA!K199</f>
        <v>2</v>
      </c>
      <c r="J193" s="33"/>
      <c r="K193" s="54"/>
      <c r="L193" s="54"/>
      <c r="M193" s="36">
        <f>DATA!K199</f>
        <v>2</v>
      </c>
      <c r="N193" s="37" t="str">
        <f>DATA!L199</f>
        <v>Rural Empowerment and Agricultural Development (READ) Programme in Sulawesi Island – Phase II</v>
      </c>
      <c r="O193" s="20">
        <f>DATA!Q199</f>
        <v>1</v>
      </c>
      <c r="P193" s="20">
        <f>DATA!R199</f>
        <v>1</v>
      </c>
      <c r="Q193" s="20">
        <f>DATA!S199</f>
        <v>112</v>
      </c>
      <c r="R193" s="77">
        <f>DATA!T199</f>
        <v>30000000</v>
      </c>
      <c r="S193" s="77"/>
      <c r="T193" s="77">
        <f>DATA!V199</f>
        <v>6000000</v>
      </c>
      <c r="U193" s="77">
        <f>DATA!W199</f>
        <v>500000</v>
      </c>
      <c r="V193" s="77">
        <f>DATA!X199</f>
        <v>36500000</v>
      </c>
      <c r="W193" s="78" t="str">
        <f>DATA!Y199</f>
        <v>IFAD</v>
      </c>
      <c r="X193" s="20" t="str">
        <f>DATA!Z199</f>
        <v>Multilateral</v>
      </c>
      <c r="Y193" s="77">
        <f>DATA!AA199</f>
        <v>30000000</v>
      </c>
      <c r="Z193" s="77">
        <f>DATA!AG199</f>
        <v>0</v>
      </c>
      <c r="AA193" s="20" t="str">
        <f>DATA!AH199</f>
        <v>Tanpa keterangan</v>
      </c>
      <c r="AB193" s="37" t="str">
        <f>DATA!AI199</f>
        <v>Dalam tahap diskusi awal dengan pihak lender untuk penyempurnaan proposal</v>
      </c>
      <c r="AC193" s="152">
        <f>DATA!AM199</f>
        <v>0</v>
      </c>
      <c r="AD193" s="152" t="str">
        <f>DATA!AN199</f>
        <v>belum ada keterangan</v>
      </c>
      <c r="AE193" s="152" t="str">
        <f>DATA!AO199</f>
        <v>belum ada keterangan</v>
      </c>
      <c r="AF193" s="37" t="str">
        <f>DATA!AJ199</f>
        <v>-</v>
      </c>
      <c r="AG193" s="115" t="str">
        <f>DATA!AK200</f>
        <v>-</v>
      </c>
      <c r="AH193" s="37" t="str">
        <f>DATA!AL199</f>
        <v>-</v>
      </c>
      <c r="AI193" s="20">
        <f>DATA!AM199</f>
        <v>0</v>
      </c>
      <c r="AJ193" s="20" t="str">
        <f>DATA!AN199</f>
        <v>belum ada keterangan</v>
      </c>
      <c r="AK193" s="20" t="str">
        <f>DATA!AO199</f>
        <v>belum ada keterangan</v>
      </c>
      <c r="AL193" s="20" t="str">
        <f>DATA!AP199</f>
        <v>belum ada proses tender/lelang</v>
      </c>
      <c r="AM193" s="20" t="str">
        <f>DATA!AY199</f>
        <v>Surat Plh. Kepala Pusat Kem.Pertanian nomor 246/KL.230/A.6.3/09/2015 tgl 9 September 2015</v>
      </c>
      <c r="AN193" s="20" t="e">
        <f>DATA!#REF!</f>
        <v>#REF!</v>
      </c>
      <c r="AO193" s="20">
        <f>DATA!AZ199</f>
        <v>0</v>
      </c>
      <c r="AP193" s="152" t="e">
        <f>DATA!#REF!</f>
        <v>#REF!</v>
      </c>
      <c r="AQ193" s="37" t="str">
        <f>DATA!BA199</f>
        <v>Pemberdayaan masyarakat petani, peningkatan mata pencaharian, dan pembangunan infrastruktur pertanian</v>
      </c>
      <c r="AR193" s="166"/>
    </row>
    <row r="194" spans="1:53" s="4" customFormat="1" ht="24.95" customHeight="1">
      <c r="J194" s="107"/>
      <c r="K194" s="25">
        <f>DATA!E200</f>
        <v>14</v>
      </c>
      <c r="L194" s="108" t="str">
        <f>DATA!F200</f>
        <v>Kementerian Ketenagakerjaan</v>
      </c>
      <c r="M194" s="25"/>
      <c r="N194" s="27"/>
      <c r="O194" s="26"/>
      <c r="P194" s="26"/>
      <c r="Q194" s="26"/>
      <c r="R194" s="80">
        <f>+R195</f>
        <v>92308000</v>
      </c>
      <c r="S194" s="80"/>
      <c r="T194" s="80">
        <f t="shared" ref="T194:Z195" si="29">+T195</f>
        <v>2500000</v>
      </c>
      <c r="U194" s="80">
        <f t="shared" si="29"/>
        <v>0</v>
      </c>
      <c r="V194" s="80">
        <f t="shared" si="29"/>
        <v>94808000</v>
      </c>
      <c r="W194" s="168" t="str">
        <f t="shared" si="29"/>
        <v>-</v>
      </c>
      <c r="X194" s="80" t="str">
        <f t="shared" si="29"/>
        <v>Multi Lender</v>
      </c>
      <c r="Y194" s="80">
        <f t="shared" si="29"/>
        <v>92308000</v>
      </c>
      <c r="Z194" s="80">
        <f t="shared" si="29"/>
        <v>0</v>
      </c>
      <c r="AA194" s="26"/>
      <c r="AB194" s="27"/>
      <c r="AC194" s="27"/>
      <c r="AD194" s="27"/>
      <c r="AE194" s="27"/>
      <c r="AF194" s="27"/>
      <c r="AG194" s="27"/>
      <c r="AH194" s="27"/>
      <c r="AI194" s="26"/>
      <c r="AJ194" s="26"/>
      <c r="AK194" s="26"/>
      <c r="AL194" s="26"/>
      <c r="AM194" s="26"/>
      <c r="AN194" s="26"/>
      <c r="AO194" s="26"/>
      <c r="AP194" s="27"/>
      <c r="AQ194" s="27"/>
      <c r="AR194" s="159"/>
    </row>
    <row r="195" spans="1:53" s="5" customFormat="1" ht="33.75" customHeight="1">
      <c r="J195" s="28"/>
      <c r="K195" s="29"/>
      <c r="L195" s="30" t="str">
        <f>DATA!I206</f>
        <v>A</v>
      </c>
      <c r="M195" s="31" t="str">
        <f>DATA!J206</f>
        <v>Program Pengembangan dan Pembinaan Meteorologi, Klimatologi, dan Geofisika</v>
      </c>
      <c r="N195" s="51"/>
      <c r="O195" s="31"/>
      <c r="P195" s="31"/>
      <c r="Q195" s="31"/>
      <c r="R195" s="81">
        <f>+R196</f>
        <v>92308000</v>
      </c>
      <c r="S195" s="81"/>
      <c r="T195" s="81">
        <f t="shared" si="29"/>
        <v>2500000</v>
      </c>
      <c r="U195" s="81">
        <f t="shared" si="29"/>
        <v>0</v>
      </c>
      <c r="V195" s="81">
        <f t="shared" si="29"/>
        <v>94808000</v>
      </c>
      <c r="W195" s="169" t="s">
        <v>21</v>
      </c>
      <c r="X195" s="81" t="str">
        <f t="shared" si="29"/>
        <v>Multi Lender</v>
      </c>
      <c r="Y195" s="81">
        <f t="shared" si="29"/>
        <v>92308000</v>
      </c>
      <c r="Z195" s="81">
        <f t="shared" si="29"/>
        <v>0</v>
      </c>
      <c r="AA195" s="31"/>
      <c r="AB195" s="32"/>
      <c r="AC195" s="32"/>
      <c r="AD195" s="32"/>
      <c r="AE195" s="32"/>
      <c r="AF195" s="32"/>
      <c r="AG195" s="32"/>
      <c r="AH195" s="32"/>
      <c r="AI195" s="31"/>
      <c r="AJ195" s="31"/>
      <c r="AK195" s="31"/>
      <c r="AL195" s="31"/>
      <c r="AM195" s="31"/>
      <c r="AN195" s="31"/>
      <c r="AO195" s="31"/>
      <c r="AP195" s="32"/>
      <c r="AQ195" s="32"/>
      <c r="AR195" s="160"/>
    </row>
    <row r="196" spans="1:53" s="8" customFormat="1" ht="38.25">
      <c r="A196" s="10">
        <f>DATA!A200</f>
        <v>145</v>
      </c>
      <c r="B196" s="10">
        <f>DATA!B200</f>
        <v>0</v>
      </c>
      <c r="C196" s="10" t="str">
        <f>DATA!D200</f>
        <v>NON-INFRASTRUKTUR</v>
      </c>
      <c r="D196" s="10">
        <f>DATA!E200</f>
        <v>14</v>
      </c>
      <c r="E196" s="10" t="str">
        <f>DATA!F200</f>
        <v>Kementerian Ketenagakerjaan</v>
      </c>
      <c r="F196" s="10" t="str">
        <f>DATA!H200</f>
        <v>Improving Labor Competitiveness Program</v>
      </c>
      <c r="G196" s="10" t="str">
        <f>DATA!I200</f>
        <v>A</v>
      </c>
      <c r="H196" s="10" t="str">
        <f>DATA!J200</f>
        <v>Program Peningkatan Daya Saing Tenaga Kerja</v>
      </c>
      <c r="I196" s="10">
        <f>DATA!K200</f>
        <v>1</v>
      </c>
      <c r="J196" s="57"/>
      <c r="K196" s="111"/>
      <c r="L196" s="103"/>
      <c r="M196" s="60">
        <f>DATA!K200</f>
        <v>1</v>
      </c>
      <c r="N196" s="61" t="str">
        <f>DATA!L200</f>
        <v>Development of Maritime Vocational Training Centers</v>
      </c>
      <c r="O196" s="20">
        <f>DATA!Q200</f>
        <v>1</v>
      </c>
      <c r="P196" s="20">
        <f>DATA!R200</f>
        <v>1</v>
      </c>
      <c r="Q196" s="20">
        <f>DATA!S200</f>
        <v>113</v>
      </c>
      <c r="R196" s="89">
        <f>DATA!T200</f>
        <v>92308000</v>
      </c>
      <c r="S196" s="89"/>
      <c r="T196" s="89">
        <f>DATA!V200</f>
        <v>2500000</v>
      </c>
      <c r="U196" s="89">
        <f>DATA!W200</f>
        <v>0</v>
      </c>
      <c r="V196" s="89">
        <f>DATA!X200</f>
        <v>94808000</v>
      </c>
      <c r="W196" s="90" t="str">
        <f>DATA!Y200</f>
        <v>Austria/ JICA/ Singapura</v>
      </c>
      <c r="X196" s="20" t="str">
        <f>DATA!Z200</f>
        <v>Multi Lender</v>
      </c>
      <c r="Y196" s="89">
        <f>DATA!AA200</f>
        <v>92308000</v>
      </c>
      <c r="Z196" s="77">
        <f>DATA!AG200</f>
        <v>0</v>
      </c>
      <c r="AA196" s="103" t="str">
        <f>DATA!AH200</f>
        <v>Tanpa keterangan</v>
      </c>
      <c r="AB196" s="61" t="str">
        <f>DATA!AI200</f>
        <v>-</v>
      </c>
      <c r="AC196" s="152">
        <f>DATA!AM200</f>
        <v>0</v>
      </c>
      <c r="AD196" s="152" t="str">
        <f>DATA!AN200</f>
        <v>belum ada keterangan</v>
      </c>
      <c r="AE196" s="152" t="str">
        <f>DATA!AO200</f>
        <v>belum ada keterangan</v>
      </c>
      <c r="AF196" s="61" t="str">
        <f>DATA!AJ200</f>
        <v>-</v>
      </c>
      <c r="AG196" s="61" t="str">
        <f>DATA!AK200</f>
        <v>-</v>
      </c>
      <c r="AH196" s="61" t="str">
        <f>DATA!AL200</f>
        <v>-</v>
      </c>
      <c r="AI196" s="20">
        <f>DATA!AM200</f>
        <v>0</v>
      </c>
      <c r="AJ196" s="20" t="str">
        <f>DATA!AN200</f>
        <v>belum ada keterangan</v>
      </c>
      <c r="AK196" s="20" t="str">
        <f>DATA!AO200</f>
        <v>belum ada keterangan</v>
      </c>
      <c r="AL196" s="20" t="str">
        <f>DATA!AP200</f>
        <v>belum ada proses tender/lelang</v>
      </c>
      <c r="AM196" s="20" t="str">
        <f>DATA!AY200</f>
        <v xml:space="preserve">- Semula indikasi pendanaan oleh IDB namun pihak Kem. Naker mengkonfirmasikan bahwa Lender keg ini belum ada indikasi lender
- Konfirmasi Lender Austria didapatkan dari rapat dgn Dit. Multilateral tgl 15 Okt' 2015 di R.SG-4
</v>
      </c>
      <c r="AN196" s="20" t="e">
        <f>DATA!#REF!</f>
        <v>#REF!</v>
      </c>
      <c r="AO196" s="20" t="str">
        <f>DATA!AZ200</f>
        <v>Konfirmasi Lender Austria didapatkan dari rapat dgn Dit. Multilateral tgl 15 Okt' 2015 di R.SG-4</v>
      </c>
      <c r="AP196" s="161" t="e">
        <f>DATA!#REF!</f>
        <v>#REF!</v>
      </c>
      <c r="AQ196" s="37" t="str">
        <f>DATA!BA200</f>
        <v>Penyediaan sarana dan peralatan BLK Maritim, rehabilitasi Workshop, pengembangan Software Pelatihan, dan Training of Trainers (ToT)</v>
      </c>
      <c r="AR196" s="162">
        <v>1</v>
      </c>
      <c r="AY196" s="8">
        <v>1</v>
      </c>
    </row>
    <row r="197" spans="1:53" s="4" customFormat="1" ht="24.95" customHeight="1">
      <c r="J197" s="107"/>
      <c r="K197" s="25">
        <f>DATA!E201</f>
        <v>15</v>
      </c>
      <c r="L197" s="108" t="str">
        <f>DATA!F201</f>
        <v>Kementerian Kelautan dan Perikanan</v>
      </c>
      <c r="M197" s="25"/>
      <c r="N197" s="27"/>
      <c r="O197" s="26"/>
      <c r="P197" s="26"/>
      <c r="Q197" s="26"/>
      <c r="R197" s="80">
        <f>+R198</f>
        <v>107000000</v>
      </c>
      <c r="S197" s="80"/>
      <c r="T197" s="80">
        <f t="shared" ref="T197:Z198" si="30">+T198</f>
        <v>4261000</v>
      </c>
      <c r="U197" s="80">
        <f t="shared" si="30"/>
        <v>2160000</v>
      </c>
      <c r="V197" s="80">
        <f t="shared" si="30"/>
        <v>113421000</v>
      </c>
      <c r="W197" s="148"/>
      <c r="X197" s="80" t="str">
        <f>+X198</f>
        <v>-</v>
      </c>
      <c r="Y197" s="80">
        <f>+Y198</f>
        <v>107000000</v>
      </c>
      <c r="Z197" s="80">
        <f>+Z198</f>
        <v>-107000000</v>
      </c>
      <c r="AA197" s="26"/>
      <c r="AB197" s="27"/>
      <c r="AC197" s="27"/>
      <c r="AD197" s="27"/>
      <c r="AE197" s="27"/>
      <c r="AF197" s="27"/>
      <c r="AG197" s="27"/>
      <c r="AH197" s="27"/>
      <c r="AI197" s="26"/>
      <c r="AJ197" s="26"/>
      <c r="AK197" s="26"/>
      <c r="AL197" s="26"/>
      <c r="AM197" s="26"/>
      <c r="AN197" s="26"/>
      <c r="AO197" s="26"/>
      <c r="AP197" s="27"/>
      <c r="AQ197" s="27"/>
      <c r="AR197" s="159"/>
    </row>
    <row r="198" spans="1:53" s="5" customFormat="1" ht="33.75" customHeight="1">
      <c r="J198" s="28"/>
      <c r="K198" s="116"/>
      <c r="L198" s="30" t="str">
        <f>DATA!I201</f>
        <v>A</v>
      </c>
      <c r="M198" s="31" t="str">
        <f>DATA!J201</f>
        <v>Program Peningkatan Fasilitas Perikanan</v>
      </c>
      <c r="N198" s="51"/>
      <c r="O198" s="31"/>
      <c r="P198" s="31"/>
      <c r="Q198" s="31"/>
      <c r="R198" s="81">
        <f>+R199</f>
        <v>107000000</v>
      </c>
      <c r="S198" s="81"/>
      <c r="T198" s="81">
        <f t="shared" si="30"/>
        <v>4261000</v>
      </c>
      <c r="U198" s="81">
        <f t="shared" si="30"/>
        <v>2160000</v>
      </c>
      <c r="V198" s="81">
        <f t="shared" si="30"/>
        <v>113421000</v>
      </c>
      <c r="W198" s="149"/>
      <c r="X198" s="81" t="str">
        <f t="shared" si="30"/>
        <v>-</v>
      </c>
      <c r="Y198" s="81">
        <f t="shared" si="30"/>
        <v>107000000</v>
      </c>
      <c r="Z198" s="81">
        <f t="shared" si="30"/>
        <v>-107000000</v>
      </c>
      <c r="AA198" s="31"/>
      <c r="AB198" s="32"/>
      <c r="AC198" s="32"/>
      <c r="AD198" s="32"/>
      <c r="AE198" s="32"/>
      <c r="AF198" s="32"/>
      <c r="AG198" s="32"/>
      <c r="AH198" s="32"/>
      <c r="AI198" s="31"/>
      <c r="AJ198" s="31"/>
      <c r="AK198" s="31"/>
      <c r="AL198" s="31"/>
      <c r="AM198" s="31"/>
      <c r="AN198" s="31"/>
      <c r="AO198" s="31"/>
      <c r="AP198" s="32"/>
      <c r="AQ198" s="32"/>
      <c r="AR198" s="160"/>
    </row>
    <row r="199" spans="1:53" ht="58.5" customHeight="1">
      <c r="A199" s="10">
        <f>DATA!A201</f>
        <v>146</v>
      </c>
      <c r="B199" s="10">
        <f>DATA!B201</f>
        <v>0</v>
      </c>
      <c r="C199" s="10" t="str">
        <f>DATA!D201</f>
        <v>NON-INFRASTRUKTUR</v>
      </c>
      <c r="D199" s="10">
        <f>DATA!E201</f>
        <v>15</v>
      </c>
      <c r="E199" s="10" t="str">
        <f>DATA!F201</f>
        <v>Kementerian Kelautan dan Perikanan</v>
      </c>
      <c r="F199" s="10" t="str">
        <f>DATA!H201</f>
        <v>Improvement of Fisheries Facilities Program</v>
      </c>
      <c r="G199" s="10" t="str">
        <f>DATA!I201</f>
        <v>A</v>
      </c>
      <c r="H199" s="10" t="str">
        <f>DATA!J201</f>
        <v>Program Peningkatan Fasilitas Perikanan</v>
      </c>
      <c r="I199" s="10">
        <f>DATA!K201</f>
        <v>1</v>
      </c>
      <c r="J199" s="33"/>
      <c r="K199" s="20"/>
      <c r="L199" s="20"/>
      <c r="M199" s="36">
        <f>DATA!K201</f>
        <v>1</v>
      </c>
      <c r="N199" s="37" t="str">
        <f>DATA!L201</f>
        <v xml:space="preserve">Outer Ring Fishing Ports Development - Phase I </v>
      </c>
      <c r="O199" s="20">
        <f>DATA!Q201</f>
        <v>1</v>
      </c>
      <c r="P199" s="20">
        <f>DATA!R201</f>
        <v>1</v>
      </c>
      <c r="Q199" s="20">
        <f>DATA!S201</f>
        <v>114</v>
      </c>
      <c r="R199" s="77">
        <f>DATA!T201</f>
        <v>107000000</v>
      </c>
      <c r="S199" s="77"/>
      <c r="T199" s="77">
        <f>DATA!V201</f>
        <v>4261000</v>
      </c>
      <c r="U199" s="77">
        <f>DATA!W201</f>
        <v>2160000</v>
      </c>
      <c r="V199" s="77">
        <f>DATA!X201</f>
        <v>113421000</v>
      </c>
      <c r="W199" s="78" t="str">
        <f>DATA!Y201</f>
        <v>-</v>
      </c>
      <c r="X199" s="20" t="str">
        <f>DATA!Z201</f>
        <v>-</v>
      </c>
      <c r="Y199" s="77">
        <f>DATA!AA201</f>
        <v>107000000</v>
      </c>
      <c r="Z199" s="77">
        <f>DATA!AG201</f>
        <v>-107000000</v>
      </c>
      <c r="AA199" s="20" t="str">
        <f>DATA!AH201</f>
        <v>Tanpa keterangan</v>
      </c>
      <c r="AB199" s="37" t="str">
        <f>DATA!AI201</f>
        <v>-</v>
      </c>
      <c r="AC199" s="152">
        <f>DATA!AM201</f>
        <v>0</v>
      </c>
      <c r="AD199" s="152" t="str">
        <f>DATA!AN201</f>
        <v>dalam proses
(memiliki FS)</v>
      </c>
      <c r="AE199" s="152" t="str">
        <f>DATA!AO201</f>
        <v>belum ada keterangan</v>
      </c>
      <c r="AF199" s="37" t="str">
        <f>DATA!AJ201</f>
        <v>sudah ada RC</v>
      </c>
      <c r="AG199" s="37" t="str">
        <f>DATA!AK201</f>
        <v>-</v>
      </c>
      <c r="AH199" s="37" t="str">
        <f>DATA!AL201</f>
        <v>-</v>
      </c>
      <c r="AI199" s="20">
        <f>DATA!AM201</f>
        <v>0</v>
      </c>
      <c r="AJ199" s="20" t="str">
        <f>DATA!AN201</f>
        <v>dalam proses
(memiliki FS)</v>
      </c>
      <c r="AK199" s="20" t="str">
        <f>DATA!AO201</f>
        <v>belum ada keterangan</v>
      </c>
      <c r="AL199" s="20" t="str">
        <f>DATA!AP201</f>
        <v>belum ada proses tender/lelang</v>
      </c>
      <c r="AM199" s="20" t="str">
        <f>DATA!AY201</f>
        <v>- berdasarkan data/dokumen pada Bluebook sebelumnya. Semula indikasi lender Prancis, kemudian Kem. KKP mengkonfirmasikan bahwa belum ada indikasi lender
- Belum ada konfirmasi</v>
      </c>
      <c r="AN199" s="20" t="e">
        <f>DATA!#REF!</f>
        <v>#REF!</v>
      </c>
      <c r="AO199" s="20">
        <f>DATA!AZ201</f>
        <v>0</v>
      </c>
      <c r="AP199" s="152" t="e">
        <f>DATA!#REF!</f>
        <v>#REF!</v>
      </c>
      <c r="AQ199" s="37" t="str">
        <f>DATA!BA201</f>
        <v>Pekerjaan pembangunan dan peningkatan fasilitas pelabuhan perikanan serta pelatihan dan pendidikan SDM di 8 lokasi prioritas yang memiliki standar pelayanan berskala internasional</v>
      </c>
      <c r="AR199" s="166"/>
    </row>
    <row r="200" spans="1:53" s="4" customFormat="1" ht="24.95" customHeight="1">
      <c r="J200" s="107"/>
      <c r="K200" s="25">
        <f>DATA!E206</f>
        <v>16</v>
      </c>
      <c r="L200" s="108" t="str">
        <f>DATA!F206</f>
        <v>Badan Meteorologi, Klimatologi dan Geofisika (BMKG)</v>
      </c>
      <c r="M200" s="25"/>
      <c r="N200" s="27"/>
      <c r="O200" s="26"/>
      <c r="P200" s="26"/>
      <c r="Q200" s="26"/>
      <c r="R200" s="80">
        <f>+R201</f>
        <v>150000000</v>
      </c>
      <c r="S200" s="80"/>
      <c r="T200" s="80">
        <f t="shared" ref="T200:Z201" si="31">+T201</f>
        <v>9000000</v>
      </c>
      <c r="U200" s="80">
        <f t="shared" si="31"/>
        <v>0</v>
      </c>
      <c r="V200" s="80">
        <f t="shared" si="31"/>
        <v>159000000</v>
      </c>
      <c r="W200" s="148">
        <f t="shared" si="31"/>
        <v>0</v>
      </c>
      <c r="X200" s="80">
        <f t="shared" si="31"/>
        <v>0</v>
      </c>
      <c r="Y200" s="80">
        <f t="shared" si="31"/>
        <v>150000000</v>
      </c>
      <c r="Z200" s="80">
        <f t="shared" si="31"/>
        <v>0</v>
      </c>
      <c r="AA200" s="26"/>
      <c r="AB200" s="27"/>
      <c r="AC200" s="27"/>
      <c r="AD200" s="27"/>
      <c r="AE200" s="27"/>
      <c r="AF200" s="27"/>
      <c r="AG200" s="27"/>
      <c r="AH200" s="27"/>
      <c r="AI200" s="26"/>
      <c r="AJ200" s="26"/>
      <c r="AK200" s="26"/>
      <c r="AL200" s="26"/>
      <c r="AM200" s="26"/>
      <c r="AN200" s="26"/>
      <c r="AO200" s="26"/>
      <c r="AP200" s="27"/>
      <c r="AQ200" s="27"/>
      <c r="AR200" s="159"/>
    </row>
    <row r="201" spans="1:53" s="5" customFormat="1" ht="33.75" customHeight="1">
      <c r="J201" s="28"/>
      <c r="K201" s="29"/>
      <c r="L201" s="30" t="str">
        <f>DATA!I206</f>
        <v>A</v>
      </c>
      <c r="M201" s="31" t="str">
        <f>DATA!J206</f>
        <v>Program Pengembangan dan Pembinaan Meteorologi, Klimatologi, dan Geofisika</v>
      </c>
      <c r="N201" s="51"/>
      <c r="O201" s="31"/>
      <c r="P201" s="31"/>
      <c r="Q201" s="31"/>
      <c r="R201" s="81">
        <f>+R202</f>
        <v>150000000</v>
      </c>
      <c r="S201" s="81"/>
      <c r="T201" s="81">
        <f t="shared" si="31"/>
        <v>9000000</v>
      </c>
      <c r="U201" s="81">
        <f t="shared" si="31"/>
        <v>0</v>
      </c>
      <c r="V201" s="81">
        <f t="shared" si="31"/>
        <v>159000000</v>
      </c>
      <c r="W201" s="82"/>
      <c r="X201" s="31"/>
      <c r="Y201" s="81">
        <f t="shared" si="31"/>
        <v>150000000</v>
      </c>
      <c r="Z201" s="81">
        <f t="shared" si="31"/>
        <v>0</v>
      </c>
      <c r="AA201" s="31"/>
      <c r="AB201" s="32"/>
      <c r="AC201" s="32"/>
      <c r="AD201" s="32"/>
      <c r="AE201" s="32"/>
      <c r="AF201" s="32"/>
      <c r="AG201" s="32"/>
      <c r="AH201" s="32"/>
      <c r="AI201" s="31"/>
      <c r="AJ201" s="31"/>
      <c r="AK201" s="31"/>
      <c r="AL201" s="31"/>
      <c r="AM201" s="31"/>
      <c r="AN201" s="31"/>
      <c r="AO201" s="31"/>
      <c r="AP201" s="32"/>
      <c r="AQ201" s="32"/>
      <c r="AR201" s="160"/>
    </row>
    <row r="202" spans="1:53" ht="102">
      <c r="A202" s="10">
        <f>DATA!A206</f>
        <v>147</v>
      </c>
      <c r="B202" s="10">
        <f>DATA!B206</f>
        <v>0</v>
      </c>
      <c r="C202" s="10" t="str">
        <f>DATA!D206</f>
        <v>NON-INFRASTRUKTUR</v>
      </c>
      <c r="D202" s="10">
        <f>DATA!E206</f>
        <v>16</v>
      </c>
      <c r="E202" s="10" t="str">
        <f>DATA!F206</f>
        <v>Badan Meteorologi, Klimatologi dan Geofisika (BMKG)</v>
      </c>
      <c r="F202" s="10" t="str">
        <f>DATA!H206</f>
        <v>Program for Capacity Development and Guidance of Meteorology, Climatology, and Geophysics</v>
      </c>
      <c r="G202" s="10" t="str">
        <f>DATA!I206</f>
        <v>A</v>
      </c>
      <c r="H202" s="10" t="str">
        <f>DATA!J206</f>
        <v>Program Pengembangan dan Pembinaan Meteorologi, Klimatologi, dan Geofisika</v>
      </c>
      <c r="I202" s="10">
        <f>DATA!K206</f>
        <v>1</v>
      </c>
      <c r="J202" s="33"/>
      <c r="K202" s="54"/>
      <c r="L202" s="36"/>
      <c r="M202" s="36">
        <f>DATA!K206</f>
        <v>1</v>
      </c>
      <c r="N202" s="37" t="str">
        <f>DATA!L206</f>
        <v xml:space="preserve">Strengthening Climate and Weather Service Capacity – Phase II:
a) Kegiatan lanjutan dari kegiatan Strengthening BMKG Climate and Weather Services Capacity Phase I
b) Kegiatan pengembangan sistem Layanan Informasi Meteorologi Maritim </v>
      </c>
      <c r="O202" s="20">
        <f>DATA!Q206</f>
        <v>1</v>
      </c>
      <c r="P202" s="20">
        <f>DATA!R206</f>
        <v>1</v>
      </c>
      <c r="Q202" s="20">
        <f>DATA!S206</f>
        <v>115</v>
      </c>
      <c r="R202" s="77">
        <f>DATA!T206</f>
        <v>150000000</v>
      </c>
      <c r="S202" s="77"/>
      <c r="T202" s="77">
        <f>DATA!V206</f>
        <v>9000000</v>
      </c>
      <c r="U202" s="77">
        <f>DATA!W206</f>
        <v>0</v>
      </c>
      <c r="V202" s="77">
        <f>DATA!X206</f>
        <v>159000000</v>
      </c>
      <c r="W202" s="78" t="str">
        <f>DATA!Y206</f>
        <v>US EXIM</v>
      </c>
      <c r="X202" s="20" t="str">
        <f>DATA!Z206</f>
        <v>Bilateral</v>
      </c>
      <c r="Y202" s="77">
        <f>DATA!AA206</f>
        <v>150000000</v>
      </c>
      <c r="Z202" s="77">
        <f>DATA!AG206</f>
        <v>0</v>
      </c>
      <c r="AA202" s="20" t="str">
        <f>DATA!AH206</f>
        <v>Tanpa keterangan</v>
      </c>
      <c r="AB202" s="37" t="str">
        <f>DATA!AI206</f>
        <v>a) Siap
b) -</v>
      </c>
      <c r="AC202" s="152">
        <f>DATA!AM206</f>
        <v>0</v>
      </c>
      <c r="AD202" s="152" t="str">
        <f>DATA!AN206</f>
        <v>dalam proses
(penyusunan FS)</v>
      </c>
      <c r="AE202" s="152" t="str">
        <f>DATA!AO206</f>
        <v>siap</v>
      </c>
      <c r="AF202" s="37" t="str">
        <f>DATA!AJ206</f>
        <v>a) Siap
b) -</v>
      </c>
      <c r="AG202" s="37" t="str">
        <f>DATA!AK206</f>
        <v>a) Siap
b) Siap</v>
      </c>
      <c r="AH202" s="37" t="str">
        <f>DATA!AL206</f>
        <v>a) -
b) -</v>
      </c>
      <c r="AI202" s="20">
        <f>DATA!AM206</f>
        <v>0</v>
      </c>
      <c r="AJ202" s="20" t="str">
        <f>DATA!AN206</f>
        <v>dalam proses
(penyusunan FS)</v>
      </c>
      <c r="AK202" s="20" t="str">
        <f>DATA!AO206</f>
        <v>siap</v>
      </c>
      <c r="AL202" s="20" t="str">
        <f>DATA!AP206</f>
        <v>belum ada proses tender/lelang</v>
      </c>
      <c r="AM202" s="20" t="str">
        <f>DATA!AY206</f>
        <v>- Terintegrasi dengan sarana dan sistem hasil kegiatan fase 1 yang sudah terbangun sebelumnya
- Surat Kepala BMKG nomor KU.205/003/KB/IX/2015 tanggal 8 September 2015</v>
      </c>
      <c r="AN202" s="20" t="e">
        <f>DATA!#REF!</f>
        <v>#REF!</v>
      </c>
      <c r="AO202" s="20">
        <f>DATA!AZ206</f>
        <v>0</v>
      </c>
      <c r="AP202" s="152" t="e">
        <f>DATA!#REF!</f>
        <v>#REF!</v>
      </c>
      <c r="AQ202" s="37"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c r="AR202" s="166"/>
    </row>
    <row r="203" spans="1:53" s="4" customFormat="1" ht="24.95" customHeight="1">
      <c r="J203" s="107"/>
      <c r="K203" s="25">
        <f>DATA!E207</f>
        <v>17</v>
      </c>
      <c r="L203" s="108" t="str">
        <f>DATA!F207</f>
        <v>Badan Pengkajian dan Penerapan Teknologi (BPPT)</v>
      </c>
      <c r="M203" s="25"/>
      <c r="N203" s="27"/>
      <c r="O203" s="26"/>
      <c r="P203" s="26"/>
      <c r="Q203" s="26"/>
      <c r="R203" s="80">
        <f>+R204</f>
        <v>114400000</v>
      </c>
      <c r="S203" s="80"/>
      <c r="T203" s="80">
        <f t="shared" ref="T203:Z204" si="32">+T204</f>
        <v>17200000</v>
      </c>
      <c r="U203" s="80">
        <f t="shared" si="32"/>
        <v>0</v>
      </c>
      <c r="V203" s="80">
        <f t="shared" si="32"/>
        <v>131600000</v>
      </c>
      <c r="W203" s="122"/>
      <c r="X203" s="26"/>
      <c r="Y203" s="80">
        <f>+Y204</f>
        <v>114400000</v>
      </c>
      <c r="Z203" s="80">
        <f>+Z204</f>
        <v>0</v>
      </c>
      <c r="AA203" s="26"/>
      <c r="AB203" s="27"/>
      <c r="AC203" s="27"/>
      <c r="AD203" s="27"/>
      <c r="AE203" s="27"/>
      <c r="AF203" s="27"/>
      <c r="AG203" s="27"/>
      <c r="AH203" s="27"/>
      <c r="AI203" s="26"/>
      <c r="AJ203" s="26"/>
      <c r="AK203" s="26"/>
      <c r="AL203" s="26"/>
      <c r="AM203" s="26"/>
      <c r="AN203" s="26"/>
      <c r="AO203" s="26"/>
      <c r="AP203" s="27"/>
      <c r="AQ203" s="27"/>
      <c r="AR203" s="159"/>
    </row>
    <row r="204" spans="1:53" s="5" customFormat="1" ht="33.75" customHeight="1">
      <c r="J204" s="28"/>
      <c r="K204" s="29"/>
      <c r="L204" s="30" t="str">
        <f>DATA!I207</f>
        <v>A</v>
      </c>
      <c r="M204" s="31" t="str">
        <f>DATA!J207</f>
        <v>Program Pembangunan Science Park dan Technopark</v>
      </c>
      <c r="N204" s="51"/>
      <c r="O204" s="31"/>
      <c r="P204" s="31"/>
      <c r="Q204" s="31"/>
      <c r="R204" s="81">
        <f>+R205</f>
        <v>114400000</v>
      </c>
      <c r="S204" s="81"/>
      <c r="T204" s="81">
        <f t="shared" si="32"/>
        <v>17200000</v>
      </c>
      <c r="U204" s="81">
        <f t="shared" si="32"/>
        <v>0</v>
      </c>
      <c r="V204" s="81">
        <f t="shared" si="32"/>
        <v>131600000</v>
      </c>
      <c r="W204" s="149"/>
      <c r="X204" s="81" t="str">
        <f t="shared" si="32"/>
        <v>Bilateral</v>
      </c>
      <c r="Y204" s="81">
        <f t="shared" si="32"/>
        <v>114400000</v>
      </c>
      <c r="Z204" s="81">
        <f t="shared" si="32"/>
        <v>0</v>
      </c>
      <c r="AA204" s="31"/>
      <c r="AB204" s="32"/>
      <c r="AC204" s="32"/>
      <c r="AD204" s="32"/>
      <c r="AE204" s="32"/>
      <c r="AF204" s="32"/>
      <c r="AG204" s="32"/>
      <c r="AH204" s="32"/>
      <c r="AI204" s="31"/>
      <c r="AJ204" s="31"/>
      <c r="AK204" s="31"/>
      <c r="AL204" s="31"/>
      <c r="AM204" s="31"/>
      <c r="AN204" s="31"/>
      <c r="AO204" s="31"/>
      <c r="AP204" s="32"/>
      <c r="AQ204" s="32"/>
      <c r="AR204" s="160"/>
    </row>
    <row r="205" spans="1:53" ht="91.5" customHeight="1">
      <c r="A205" s="10">
        <f>DATA!A207</f>
        <v>148</v>
      </c>
      <c r="B205" s="10">
        <f>DATA!B207</f>
        <v>0</v>
      </c>
      <c r="C205" s="10" t="str">
        <f>DATA!D207</f>
        <v>NON-INFRASTRUKTUR</v>
      </c>
      <c r="D205" s="10">
        <f>DATA!E207</f>
        <v>17</v>
      </c>
      <c r="E205" s="10" t="str">
        <f>DATA!F207</f>
        <v>Badan Pengkajian dan Penerapan Teknologi (BPPT)</v>
      </c>
      <c r="F205" s="10" t="str">
        <f>DATA!H207</f>
        <v>Science Park and Technopark Development Program</v>
      </c>
      <c r="G205" s="10" t="str">
        <f>DATA!I207</f>
        <v>A</v>
      </c>
      <c r="H205" s="10" t="str">
        <f>DATA!J207</f>
        <v>Program Pembangunan Science Park dan Technopark</v>
      </c>
      <c r="I205" s="10">
        <f>DATA!K207</f>
        <v>1</v>
      </c>
      <c r="J205" s="52"/>
      <c r="K205" s="54"/>
      <c r="L205" s="36"/>
      <c r="M205" s="36">
        <f>DATA!K207</f>
        <v>1</v>
      </c>
      <c r="N205" s="37" t="str">
        <f>DATA!L207</f>
        <v>Development of Maritime National Science and Technology Park (NTSP) in the Northern Penajam Paser and Revitalization Infrastructure Marine Survey</v>
      </c>
      <c r="O205" s="20">
        <f>DATA!Q207</f>
        <v>1</v>
      </c>
      <c r="P205" s="20">
        <f>DATA!R207</f>
        <v>1</v>
      </c>
      <c r="Q205" s="20">
        <f>DATA!S207</f>
        <v>116</v>
      </c>
      <c r="R205" s="77">
        <f>DATA!T207</f>
        <v>114400000</v>
      </c>
      <c r="S205" s="77"/>
      <c r="T205" s="77">
        <f>DATA!V207</f>
        <v>17200000</v>
      </c>
      <c r="U205" s="77">
        <f>DATA!W207</f>
        <v>0</v>
      </c>
      <c r="V205" s="77">
        <f>DATA!X207</f>
        <v>131600000</v>
      </c>
      <c r="W205" s="78" t="str">
        <f>DATA!Y207</f>
        <v xml:space="preserve">Perancis (AFD)  </v>
      </c>
      <c r="X205" s="20" t="str">
        <f>DATA!Z207</f>
        <v>Bilateral</v>
      </c>
      <c r="Y205" s="77">
        <f>DATA!AA207</f>
        <v>114400000</v>
      </c>
      <c r="Z205" s="77">
        <f>DATA!AG207</f>
        <v>0</v>
      </c>
      <c r="AA205" s="20" t="str">
        <f>DATA!AH207</f>
        <v>Tanpa keterangan</v>
      </c>
      <c r="AB205" s="37" t="str">
        <f>DATA!AI207</f>
        <v xml:space="preserve">  (1) Development of Maritime NTSP: (tidak ada data)
(2) Revitalization Infrastructure Marine Survey: (tidak ada data)  </v>
      </c>
      <c r="AC205" s="152">
        <f>DATA!AM207</f>
        <v>0</v>
      </c>
      <c r="AD205" s="152" t="str">
        <f>DATA!AN207</f>
        <v>dalam proses
(penyusunan FS)</v>
      </c>
      <c r="AE205" s="152" t="str">
        <f>DATA!AO207</f>
        <v>dalam proses
(pelaksanaan)</v>
      </c>
      <c r="AF205" s="37" t="str">
        <f>DATA!AJ207</f>
        <v xml:space="preserve">  (1) Development of Maritime NTSP: Pra-FS
(2) Revitalization Infrastructure Marine Survey: (tidak ada data)  </v>
      </c>
      <c r="AG205" s="37" t="str">
        <f>DATA!AK207</f>
        <v xml:space="preserve">  (1) Development of Maritime NTSP: 20%
(2) Revitalization Infrastructure Marine Survey: tidak memerlukan lahan  </v>
      </c>
      <c r="AH205" s="37" t="str">
        <f>DATA!AL207</f>
        <v xml:space="preserve">  (1) Development of Maritime NTSP: belum ada tender
(2) Revitalization Infrastructure Marine Survey:belum ada tender  </v>
      </c>
      <c r="AI205" s="20">
        <f>DATA!AM207</f>
        <v>0</v>
      </c>
      <c r="AJ205" s="20" t="str">
        <f>DATA!AN207</f>
        <v>dalam proses
(penyusunan FS)</v>
      </c>
      <c r="AK205" s="20" t="str">
        <f>DATA!AO207</f>
        <v>dalam proses
(pelaksanaan)</v>
      </c>
      <c r="AL205" s="20" t="str">
        <f>DATA!AP207</f>
        <v>belum ada proses tender/lelang</v>
      </c>
      <c r="AM205" s="20" t="str">
        <f>DATA!AY207</f>
        <v>- Selain Perancis , pihak BPPT mengkonfirmasikan bahwa Korea berminat untuk menjadi lender pada proyek NSTP Maritim Kab. PPU
- Pelaksanaannya direncanakan tahun 2016 dan tahun 2017
-  Konfirmasi melalui e-mail tanggal 10 Sept 2015</v>
      </c>
      <c r="AN205" s="20" t="e">
        <f>DATA!#REF!</f>
        <v>#REF!</v>
      </c>
      <c r="AO205" s="20">
        <f>DATA!AZ207</f>
        <v>0</v>
      </c>
      <c r="AP205" s="152" t="e">
        <f>DATA!#REF!</f>
        <v>#REF!</v>
      </c>
      <c r="AQ205" s="37" t="str">
        <f>DATA!BA207</f>
        <v>Pembangunan dermaga kapal riset, laboratorium kemaritiman, workshop, dan sarana prasarana penunjang darat lainnya serta Revitalisasi 4 buah kapal riset Baruna Jaya I, II, III, dan IV dan peralatan survei kelautan lainnya</v>
      </c>
      <c r="AR205" s="166"/>
    </row>
    <row r="206" spans="1:53" s="3" customFormat="1" ht="30" customHeight="1">
      <c r="J206" s="3363" t="s">
        <v>477</v>
      </c>
      <c r="K206" s="3364"/>
      <c r="L206" s="3364"/>
      <c r="M206" s="3364"/>
      <c r="N206" s="3365"/>
      <c r="O206" s="119"/>
      <c r="P206" s="119"/>
      <c r="Q206" s="119"/>
      <c r="R206" s="123" t="e">
        <f>+R9+R143</f>
        <v>#REF!</v>
      </c>
      <c r="S206" s="123"/>
      <c r="T206" s="123" t="e">
        <f>+T9+T143</f>
        <v>#REF!</v>
      </c>
      <c r="U206" s="123" t="e">
        <f>+U9+U143</f>
        <v>#REF!</v>
      </c>
      <c r="V206" s="123" t="e">
        <f>+V9+V143</f>
        <v>#REF!</v>
      </c>
      <c r="W206" s="170"/>
      <c r="X206" s="123" t="e">
        <f>+X9+X143</f>
        <v>#REF!</v>
      </c>
      <c r="Y206" s="123" t="e">
        <f>+Y9+Y143</f>
        <v>#REF!</v>
      </c>
      <c r="Z206" s="123" t="e">
        <f>+Z9+Z143</f>
        <v>#REF!</v>
      </c>
      <c r="AA206" s="119"/>
      <c r="AB206" s="125"/>
      <c r="AC206" s="125"/>
      <c r="AD206" s="125"/>
      <c r="AE206" s="125"/>
      <c r="AF206" s="125"/>
      <c r="AG206" s="125"/>
      <c r="AH206" s="125"/>
      <c r="AI206" s="119"/>
      <c r="AJ206" s="119"/>
      <c r="AK206" s="119"/>
      <c r="AL206" s="119"/>
      <c r="AM206" s="119"/>
      <c r="AN206" s="119"/>
      <c r="AO206" s="119"/>
      <c r="AP206" s="125"/>
      <c r="AQ206" s="125"/>
      <c r="AR206" s="171"/>
    </row>
    <row r="207" spans="1:53">
      <c r="AR207" s="143">
        <f>SUM(AR12:AR196)</f>
        <v>31</v>
      </c>
      <c r="AS207" s="10">
        <f>SUM(AS12:AS196)</f>
        <v>9</v>
      </c>
      <c r="AT207" s="10">
        <f>SUM(AT12:AT196)</f>
        <v>2</v>
      </c>
      <c r="AU207" s="10">
        <f t="shared" ref="AU207:AZ207" si="33">SUM(AU12:AU196)</f>
        <v>3</v>
      </c>
      <c r="AV207" s="10">
        <f t="shared" si="33"/>
        <v>7</v>
      </c>
      <c r="AW207" s="10">
        <f t="shared" si="33"/>
        <v>1</v>
      </c>
      <c r="AX207" s="10">
        <f t="shared" si="33"/>
        <v>5</v>
      </c>
      <c r="AY207" s="10">
        <f t="shared" si="33"/>
        <v>1</v>
      </c>
      <c r="AZ207" s="10">
        <f t="shared" si="33"/>
        <v>3</v>
      </c>
      <c r="BA207" s="10">
        <f>SUM(AS207:AZ207)</f>
        <v>31</v>
      </c>
    </row>
    <row r="211" spans="11:42" ht="267" customHeight="1">
      <c r="K211" s="4015" t="s">
        <v>1464</v>
      </c>
      <c r="L211" s="4016"/>
      <c r="M211" s="4016"/>
      <c r="N211" s="4016"/>
      <c r="O211" s="3357"/>
      <c r="P211" s="3357"/>
      <c r="Q211" s="3357"/>
      <c r="R211" s="4016"/>
      <c r="S211" s="4016"/>
      <c r="T211" s="4016"/>
      <c r="U211" s="4016"/>
      <c r="V211" s="4016"/>
      <c r="W211" s="4016"/>
      <c r="X211" s="3357"/>
      <c r="Y211" s="4016"/>
      <c r="Z211" s="3357"/>
      <c r="AA211" s="4016"/>
      <c r="AB211" s="4016"/>
      <c r="AC211" s="3357"/>
      <c r="AD211" s="3357"/>
      <c r="AE211" s="3357"/>
      <c r="AF211" s="4016"/>
      <c r="AG211" s="4016"/>
      <c r="AH211" s="4016"/>
      <c r="AI211" s="3357"/>
      <c r="AJ211" s="3357"/>
      <c r="AK211" s="3357"/>
      <c r="AL211" s="3357"/>
      <c r="AM211" s="3357"/>
      <c r="AN211" s="3357"/>
      <c r="AO211" s="3357"/>
      <c r="AP211" s="4016"/>
    </row>
  </sheetData>
  <autoFilter ref="A8:AQ207"/>
  <mergeCells count="17">
    <mergeCell ref="J206:N206"/>
    <mergeCell ref="K211:AP211"/>
    <mergeCell ref="R6:R7"/>
    <mergeCell ref="S6:S7"/>
    <mergeCell ref="T6:T7"/>
    <mergeCell ref="U6:U7"/>
    <mergeCell ref="V6:V7"/>
    <mergeCell ref="Z6:Z7"/>
    <mergeCell ref="AA6:AA7"/>
    <mergeCell ref="AP6:AP7"/>
    <mergeCell ref="J6:N7"/>
    <mergeCell ref="J1:AQ1"/>
    <mergeCell ref="J2:AP2"/>
    <mergeCell ref="J3:AH3"/>
    <mergeCell ref="W6:Y6"/>
    <mergeCell ref="AB6:AH6"/>
    <mergeCell ref="AQ6:AQ7"/>
  </mergeCells>
  <printOptions horizontalCentered="1"/>
  <pageMargins left="0.39305555555555599" right="0.39305555555555599" top="0.39305555555555599" bottom="0.39305555555555599" header="0.31458333333333299" footer="0.196527777777778"/>
  <pageSetup paperSize="9" scale="43" fitToHeight="0" orientation="landscape"/>
  <headerFooter>
    <oddFooter>&amp;R&amp;"Cambria,Italic"&amp;9&amp;P/&amp;N</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M225"/>
  <sheetViews>
    <sheetView topLeftCell="J1" zoomScale="70" zoomScaleNormal="70" workbookViewId="0">
      <pane ySplit="8" topLeftCell="A9" activePane="bottomLeft" state="frozen"/>
      <selection pane="bottomLeft" activeCell="S27" sqref="S27"/>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3.42578125" style="10" customWidth="1"/>
    <col min="14" max="14" width="43.7109375" style="12" customWidth="1"/>
    <col min="15" max="17" width="9.140625" style="10" hidden="1" customWidth="1"/>
    <col min="18" max="19" width="21" style="13" customWidth="1"/>
    <col min="20" max="20" width="20.140625" style="13" customWidth="1"/>
    <col min="21" max="21" width="15.85546875" style="13" hidden="1" customWidth="1"/>
    <col min="22" max="22" width="21" style="13" customWidth="1"/>
    <col min="23" max="23" width="20.85546875" style="14" customWidth="1"/>
    <col min="24" max="24" width="1.28515625" style="10" hidden="1" customWidth="1"/>
    <col min="25" max="25" width="21" style="13" customWidth="1"/>
    <col min="26" max="26" width="20.28515625" style="13" customWidth="1"/>
    <col min="27" max="27" width="16.42578125" style="10" customWidth="1"/>
    <col min="28" max="31" width="20.7109375" style="12" customWidth="1"/>
    <col min="32" max="32" width="31.28515625" style="10" hidden="1" customWidth="1"/>
    <col min="33" max="33" width="33.5703125" style="10" hidden="1" customWidth="1"/>
    <col min="34" max="34" width="26.7109375" style="10" hidden="1" customWidth="1"/>
    <col min="35" max="35" width="24" style="10" hidden="1" customWidth="1"/>
    <col min="36" max="36" width="29.28515625" style="10" hidden="1" customWidth="1"/>
    <col min="37" max="37" width="20.140625" style="10" hidden="1" customWidth="1"/>
    <col min="38" max="38" width="22.5703125" style="10" hidden="1" customWidth="1"/>
    <col min="39" max="39" width="45.7109375" style="12" hidden="1" customWidth="1"/>
    <col min="40" max="16384" width="9.140625" style="10"/>
  </cols>
  <sheetData>
    <row r="1" spans="1:39" s="1" customFormat="1" ht="18">
      <c r="J1" s="3356" t="s">
        <v>481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row>
    <row r="2" spans="1:39" s="1" customFormat="1" ht="18">
      <c r="J2" s="3356" t="s">
        <v>1465</v>
      </c>
      <c r="K2" s="3356"/>
      <c r="L2" s="3356"/>
      <c r="M2" s="3356"/>
      <c r="N2" s="3356"/>
      <c r="O2" s="3356"/>
      <c r="P2" s="3356"/>
      <c r="Q2" s="3356"/>
      <c r="R2" s="3356"/>
      <c r="S2" s="3356"/>
      <c r="T2" s="3356"/>
      <c r="U2" s="3356"/>
      <c r="V2" s="3356"/>
      <c r="W2" s="3356"/>
      <c r="X2" s="3356"/>
      <c r="Y2" s="3356"/>
      <c r="Z2" s="3356"/>
      <c r="AA2" s="3356"/>
      <c r="AB2" s="3356"/>
      <c r="AC2" s="3356"/>
      <c r="AD2" s="3356"/>
      <c r="AE2" s="3356"/>
      <c r="AF2" s="15"/>
      <c r="AG2" s="15"/>
      <c r="AH2" s="15"/>
      <c r="AI2" s="15"/>
      <c r="AJ2" s="15"/>
      <c r="AK2" s="15"/>
      <c r="AL2" s="15"/>
      <c r="AM2" s="15"/>
    </row>
    <row r="3" spans="1:39" s="1" customFormat="1" ht="18">
      <c r="J3" s="3357" t="s">
        <v>482</v>
      </c>
      <c r="K3" s="3358"/>
      <c r="L3" s="3358"/>
      <c r="M3" s="3358"/>
      <c r="N3" s="3358"/>
      <c r="O3" s="3358"/>
      <c r="P3" s="3358"/>
      <c r="Q3" s="3358"/>
      <c r="R3" s="3358"/>
      <c r="S3" s="3358"/>
      <c r="T3" s="3358"/>
      <c r="U3" s="3358"/>
      <c r="V3" s="3358"/>
      <c r="W3" s="3358"/>
      <c r="X3" s="3358"/>
      <c r="Y3" s="3358"/>
      <c r="Z3" s="3358"/>
      <c r="AA3" s="3358"/>
      <c r="AB3" s="3358"/>
      <c r="AC3" s="3358"/>
      <c r="AD3" s="3358"/>
      <c r="AE3" s="3358"/>
      <c r="AF3" s="15"/>
      <c r="AG3" s="15"/>
      <c r="AH3" s="15"/>
      <c r="AI3" s="15"/>
      <c r="AJ3" s="15"/>
      <c r="AK3" s="15"/>
      <c r="AL3" s="15"/>
      <c r="AM3" s="15"/>
    </row>
    <row r="4" spans="1:39" s="1" customFormat="1" ht="15.75" customHeight="1">
      <c r="J4" s="15"/>
      <c r="K4" s="15"/>
      <c r="L4" s="15"/>
      <c r="M4" s="15"/>
      <c r="N4" s="15"/>
      <c r="O4" s="15"/>
      <c r="P4" s="15"/>
      <c r="Q4" s="15"/>
      <c r="R4" s="73"/>
      <c r="S4" s="73"/>
      <c r="T4" s="73"/>
      <c r="U4" s="73"/>
      <c r="V4" s="73"/>
      <c r="W4" s="15"/>
      <c r="X4" s="15"/>
      <c r="Y4" s="15"/>
      <c r="Z4" s="73"/>
      <c r="AA4" s="15"/>
      <c r="AB4" s="15"/>
      <c r="AC4" s="15"/>
      <c r="AD4" s="15"/>
      <c r="AE4" s="94" t="s">
        <v>483</v>
      </c>
      <c r="AF4" s="15"/>
      <c r="AG4" s="15"/>
      <c r="AH4" s="15"/>
      <c r="AI4" s="15"/>
      <c r="AJ4" s="15"/>
      <c r="AK4" s="15"/>
      <c r="AL4" s="15"/>
      <c r="AM4" s="15"/>
    </row>
    <row r="5" spans="1:39">
      <c r="AM5" s="106" t="s">
        <v>483</v>
      </c>
    </row>
    <row r="6" spans="1:39" s="2" customFormat="1" ht="24.95" customHeight="1">
      <c r="J6" s="3359" t="s">
        <v>484</v>
      </c>
      <c r="K6" s="3359"/>
      <c r="L6" s="3359"/>
      <c r="M6" s="3359"/>
      <c r="N6" s="3359"/>
      <c r="O6" s="16"/>
      <c r="P6" s="16"/>
      <c r="Q6" s="16"/>
      <c r="R6" s="3366" t="s">
        <v>493</v>
      </c>
      <c r="S6" s="3368" t="s">
        <v>1455</v>
      </c>
      <c r="T6" s="3366" t="s">
        <v>487</v>
      </c>
      <c r="U6" s="3366" t="s">
        <v>488</v>
      </c>
      <c r="V6" s="3366" t="s">
        <v>477</v>
      </c>
      <c r="W6" s="3359" t="s">
        <v>7</v>
      </c>
      <c r="X6" s="3359"/>
      <c r="Y6" s="3359"/>
      <c r="Z6" s="3368" t="s">
        <v>489</v>
      </c>
      <c r="AA6" s="3370" t="s">
        <v>490</v>
      </c>
      <c r="AB6" s="3360" t="s">
        <v>9</v>
      </c>
      <c r="AC6" s="3361"/>
      <c r="AD6" s="3361"/>
      <c r="AE6" s="3362"/>
      <c r="AF6" s="16"/>
      <c r="AG6" s="16"/>
      <c r="AH6" s="16"/>
      <c r="AI6" s="16"/>
      <c r="AJ6" s="16"/>
      <c r="AK6" s="16"/>
      <c r="AL6" s="16"/>
      <c r="AM6" s="3370" t="s">
        <v>492</v>
      </c>
    </row>
    <row r="7" spans="1:39" s="2" customFormat="1" ht="24.95" customHeight="1">
      <c r="J7" s="3359"/>
      <c r="K7" s="3359"/>
      <c r="L7" s="3359"/>
      <c r="M7" s="3359"/>
      <c r="N7" s="3359"/>
      <c r="O7" s="16"/>
      <c r="P7" s="16"/>
      <c r="Q7" s="16"/>
      <c r="R7" s="3367"/>
      <c r="S7" s="3369"/>
      <c r="T7" s="3367"/>
      <c r="U7" s="3367"/>
      <c r="V7" s="3367"/>
      <c r="W7" s="76" t="s">
        <v>11</v>
      </c>
      <c r="X7" s="16"/>
      <c r="Y7" s="75" t="s">
        <v>493</v>
      </c>
      <c r="Z7" s="3369"/>
      <c r="AA7" s="3371"/>
      <c r="AB7" s="95" t="s">
        <v>13</v>
      </c>
      <c r="AC7" s="95" t="s">
        <v>14</v>
      </c>
      <c r="AD7" s="95" t="s">
        <v>15</v>
      </c>
      <c r="AE7" s="95" t="s">
        <v>16</v>
      </c>
      <c r="AF7" s="16"/>
      <c r="AG7" s="16"/>
      <c r="AH7" s="16"/>
      <c r="AI7" s="16"/>
      <c r="AJ7" s="16"/>
      <c r="AK7" s="16"/>
      <c r="AL7" s="16"/>
      <c r="AM7" s="3371"/>
    </row>
    <row r="8" spans="1:39">
      <c r="J8" s="17"/>
      <c r="K8" s="18"/>
      <c r="L8" s="18"/>
      <c r="M8" s="18"/>
      <c r="N8" s="19"/>
      <c r="O8" s="20"/>
      <c r="P8" s="20"/>
      <c r="Q8" s="20"/>
      <c r="R8" s="77"/>
      <c r="S8" s="77"/>
      <c r="T8" s="77"/>
      <c r="U8" s="77"/>
      <c r="V8" s="77"/>
      <c r="W8" s="78"/>
      <c r="X8" s="20" t="str">
        <f>BB[[#Headers],[BILA-MULTI]]</f>
        <v>BILA-MULTI</v>
      </c>
      <c r="Y8" s="77"/>
      <c r="Z8" s="77"/>
      <c r="AA8" s="20"/>
      <c r="AB8" s="37"/>
      <c r="AC8" s="37"/>
      <c r="AD8" s="37"/>
      <c r="AE8" s="37"/>
      <c r="AF8" s="20" t="s">
        <v>497</v>
      </c>
      <c r="AG8" s="20" t="s">
        <v>498</v>
      </c>
      <c r="AH8" s="20" t="s">
        <v>499</v>
      </c>
      <c r="AI8" s="20" t="s">
        <v>500</v>
      </c>
      <c r="AJ8" s="20" t="s">
        <v>10</v>
      </c>
      <c r="AK8" s="20" t="s">
        <v>501</v>
      </c>
      <c r="AL8" s="20" t="s">
        <v>502</v>
      </c>
      <c r="AM8" s="37"/>
    </row>
    <row r="9" spans="1:39" s="3" customFormat="1" ht="30" customHeight="1">
      <c r="A9" s="3" t="s">
        <v>21</v>
      </c>
      <c r="B9" s="3" t="s">
        <v>21</v>
      </c>
      <c r="C9" s="3" t="s">
        <v>21</v>
      </c>
      <c r="D9" s="3" t="s">
        <v>21</v>
      </c>
      <c r="E9" s="3" t="s">
        <v>21</v>
      </c>
      <c r="F9" s="3" t="s">
        <v>21</v>
      </c>
      <c r="G9" s="3" t="s">
        <v>21</v>
      </c>
      <c r="H9" s="3" t="s">
        <v>21</v>
      </c>
      <c r="I9" s="3" t="s">
        <v>21</v>
      </c>
      <c r="J9" s="21" t="str">
        <f>DATA!B2</f>
        <v>I</v>
      </c>
      <c r="K9" s="22" t="str">
        <f>DATA!D2</f>
        <v>INFRASTRUKTUR</v>
      </c>
      <c r="L9" s="22"/>
      <c r="M9" s="22"/>
      <c r="N9" s="23"/>
      <c r="O9" s="22"/>
      <c r="P9" s="22"/>
      <c r="Q9" s="22"/>
      <c r="R9" s="79">
        <f>+R10+R126+R129+R137+R140+R145+R148</f>
        <v>35286135700</v>
      </c>
      <c r="S9" s="79"/>
      <c r="T9" s="79">
        <f>+T10+T126+T129+T137+T140+T145+T148</f>
        <v>4724797700</v>
      </c>
      <c r="U9" s="79">
        <f>+U10+U126+U129+U137+U140+U145+U148</f>
        <v>17000000</v>
      </c>
      <c r="V9" s="79">
        <f>+V10+V126+V129+V137+V140+V145+V148</f>
        <v>39777933400</v>
      </c>
      <c r="W9" s="79"/>
      <c r="X9" s="79" t="e">
        <f>+X10+X126+X129+X137+X140+X145+X148</f>
        <v>#VALUE!</v>
      </c>
      <c r="Y9" s="79">
        <f>+Y10+Y126+Y129+Y137+Y140+Y145+Y148</f>
        <v>35095755700</v>
      </c>
      <c r="Z9" s="79">
        <f>+Z10+Z126+Z129+Z137+Z140+Z145+Z148</f>
        <v>-537391404</v>
      </c>
      <c r="AA9" s="22"/>
      <c r="AB9" s="23"/>
      <c r="AC9" s="23"/>
      <c r="AD9" s="23"/>
      <c r="AE9" s="23"/>
      <c r="AF9" s="22"/>
      <c r="AG9" s="22"/>
      <c r="AH9" s="22"/>
      <c r="AI9" s="22"/>
      <c r="AJ9" s="22"/>
      <c r="AK9" s="22"/>
      <c r="AL9" s="22"/>
      <c r="AM9" s="23"/>
    </row>
    <row r="10" spans="1:39" s="4" customFormat="1" ht="24.95" customHeight="1">
      <c r="J10" s="24"/>
      <c r="K10" s="25">
        <f>DATA!E2</f>
        <v>1</v>
      </c>
      <c r="L10" s="26" t="str">
        <f>DATA!F2</f>
        <v>Kementerian Pekerjaan Umum dan Perumahan Rakyat</v>
      </c>
      <c r="M10" s="26"/>
      <c r="N10" s="27"/>
      <c r="O10" s="26"/>
      <c r="P10" s="26"/>
      <c r="Q10" s="26"/>
      <c r="R10" s="80">
        <f>+R11+R20+R26+R36+R54+R67+R70+R77+R91+R95+R110+R120+R124</f>
        <v>22288199000</v>
      </c>
      <c r="S10" s="80"/>
      <c r="T10" s="80">
        <f>+T11+T20+T26+T36+T54+T67+T70+T77+T91+T95+T110+T120+T124</f>
        <v>2886244500</v>
      </c>
      <c r="U10" s="80">
        <f>+U11+U20+U26+U36+U54+U67+U70+U77+U91+U95+U110+U120+U124</f>
        <v>7000000</v>
      </c>
      <c r="V10" s="80">
        <f>+V11+V20+V26+V36+V54+V67+V70+V77+V91+V95+V110+V120+V124</f>
        <v>24931443500</v>
      </c>
      <c r="W10" s="80"/>
      <c r="X10" s="80" t="e">
        <f>+X11+X20+X26+X36+X54+X67+X70+X77+X91+X95+X110+X120+X124</f>
        <v>#VALUE!</v>
      </c>
      <c r="Y10" s="80">
        <f>+Y11+Y20+Y26+Y36+Y54+Y67+Y70+Y77+Y91+Y95+Y110+Y120+Y124</f>
        <v>22097819000</v>
      </c>
      <c r="Z10" s="80">
        <f>+Z11+Z20+Z26+Z36+Z54+Z67+Z70+Z77+Z91+Z95+Z110+Z120+Z124</f>
        <v>-126391404</v>
      </c>
      <c r="AA10" s="26"/>
      <c r="AB10" s="27"/>
      <c r="AC10" s="27"/>
      <c r="AD10" s="27"/>
      <c r="AE10" s="27"/>
      <c r="AF10" s="26"/>
      <c r="AG10" s="26"/>
      <c r="AH10" s="26"/>
      <c r="AI10" s="26"/>
      <c r="AJ10" s="26"/>
      <c r="AK10" s="26"/>
      <c r="AL10" s="26"/>
      <c r="AM10" s="27"/>
    </row>
    <row r="11" spans="1:39" s="5" customFormat="1" ht="24.95" customHeight="1">
      <c r="J11" s="28"/>
      <c r="K11" s="29"/>
      <c r="L11" s="30" t="str">
        <f>DATA!I2</f>
        <v>A</v>
      </c>
      <c r="M11" s="31" t="str">
        <f>DATA!J2</f>
        <v xml:space="preserve">Program Pembangunan Jalan Tol </v>
      </c>
      <c r="N11" s="32"/>
      <c r="O11" s="31"/>
      <c r="P11" s="31"/>
      <c r="Q11" s="31"/>
      <c r="R11" s="81">
        <f>+R12+R15</f>
        <v>2025000000</v>
      </c>
      <c r="S11" s="81"/>
      <c r="T11" s="81">
        <f>+T12+T15</f>
        <v>173650000</v>
      </c>
      <c r="U11" s="81">
        <f>+U12+U15</f>
        <v>0</v>
      </c>
      <c r="V11" s="81">
        <f>+V12+V15</f>
        <v>2198650000</v>
      </c>
      <c r="W11" s="82"/>
      <c r="X11" s="31"/>
      <c r="Y11" s="81">
        <f>+Y12+Y15</f>
        <v>2025000000</v>
      </c>
      <c r="Z11" s="81">
        <f>+Z12+Z15</f>
        <v>0</v>
      </c>
      <c r="AA11" s="31"/>
      <c r="AB11" s="32"/>
      <c r="AC11" s="32"/>
      <c r="AD11" s="32"/>
      <c r="AE11" s="32"/>
      <c r="AF11" s="31"/>
      <c r="AG11" s="31"/>
      <c r="AH11" s="31"/>
      <c r="AI11" s="31"/>
      <c r="AJ11" s="31"/>
      <c r="AK11" s="31"/>
      <c r="AL11" s="31"/>
      <c r="AM11" s="32"/>
    </row>
    <row r="12" spans="1:39" ht="30" customHeight="1">
      <c r="A12" s="10">
        <f>DATA!A2</f>
        <v>1</v>
      </c>
      <c r="B12" s="10" t="str">
        <f>DATA!B2</f>
        <v>I</v>
      </c>
      <c r="C12" s="10" t="str">
        <f>DATA!D2</f>
        <v>INFRASTRUKTUR</v>
      </c>
      <c r="D12" s="10">
        <f>DATA!E2</f>
        <v>1</v>
      </c>
      <c r="E12" s="10" t="str">
        <f>DATA!F2</f>
        <v>Kementerian Pekerjaan Umum dan Perumahan Rakyat</v>
      </c>
      <c r="F12" s="10" t="str">
        <f>DATA!H2</f>
        <v>Toll Road Development Program</v>
      </c>
      <c r="G12" s="10" t="str">
        <f>DATA!I2</f>
        <v>A</v>
      </c>
      <c r="H12" s="10" t="str">
        <f>DATA!J2</f>
        <v xml:space="preserve">Program Pembangunan Jalan Tol </v>
      </c>
      <c r="I12" s="10">
        <f>DATA!K2</f>
        <v>1</v>
      </c>
      <c r="J12" s="33"/>
      <c r="K12" s="34"/>
      <c r="L12" s="35"/>
      <c r="M12" s="36">
        <f>DATA!K2</f>
        <v>1</v>
      </c>
      <c r="N12" s="37" t="str">
        <f>DATA!L2</f>
        <v>Toll Road Development in Kalimantan, Sumatera, and Java Islands</v>
      </c>
      <c r="O12" s="20">
        <f>DATA!Q2</f>
        <v>0</v>
      </c>
      <c r="P12" s="20">
        <f>DATA!R2</f>
        <v>1</v>
      </c>
      <c r="Q12" s="20">
        <f>DATA!S2</f>
        <v>1</v>
      </c>
      <c r="R12" s="77">
        <f>DATA!T2</f>
        <v>1250000000</v>
      </c>
      <c r="S12" s="77"/>
      <c r="T12" s="77">
        <f>DATA!V2</f>
        <v>101250000</v>
      </c>
      <c r="U12" s="77">
        <f>DATA!W2</f>
        <v>0</v>
      </c>
      <c r="V12" s="77">
        <f>DATA!X2</f>
        <v>1351250000</v>
      </c>
      <c r="W12" s="78" t="str">
        <f>DATA!Y2</f>
        <v>-</v>
      </c>
      <c r="X12" s="20">
        <f>DATA!Z2</f>
        <v>0</v>
      </c>
      <c r="Y12" s="77">
        <f>DATA!AA2</f>
        <v>1250000000</v>
      </c>
      <c r="Z12" s="77">
        <f>DATA!AG2</f>
        <v>0</v>
      </c>
      <c r="AA12" s="20" t="str">
        <f>DATA!AH2</f>
        <v>-</v>
      </c>
      <c r="AB12" s="37" t="str">
        <f>DATA!AI2</f>
        <v>-</v>
      </c>
      <c r="AC12" s="37" t="str">
        <f>DATA!AJ2</f>
        <v>-</v>
      </c>
      <c r="AD12" s="37" t="str">
        <f>DATA!AK2</f>
        <v>-</v>
      </c>
      <c r="AE12" s="37" t="str">
        <f>DATA!AL2</f>
        <v>-</v>
      </c>
      <c r="AF12" s="20" t="str">
        <f>DATA!AM2</f>
        <v>-</v>
      </c>
      <c r="AG12" s="20" t="str">
        <f>DATA!AN2</f>
        <v>-</v>
      </c>
      <c r="AH12" s="20" t="str">
        <f>DATA!AO2</f>
        <v>-</v>
      </c>
      <c r="AI12" s="20" t="str">
        <f>DATA!AP2</f>
        <v>-</v>
      </c>
      <c r="AJ12" s="20" t="str">
        <f>DATA!AY2</f>
        <v>-</v>
      </c>
      <c r="AK12" s="20" t="e">
        <f>DATA!#REF!</f>
        <v>#REF!</v>
      </c>
      <c r="AL12" s="20" t="str">
        <f>DATA!AZ2</f>
        <v>-</v>
      </c>
      <c r="AM12" s="37" t="str">
        <f>DATA!BA2</f>
        <v>-</v>
      </c>
    </row>
    <row r="13" spans="1:39" s="7" customFormat="1" ht="43.5" customHeight="1">
      <c r="A13" s="6">
        <f>DATA!A3</f>
        <v>1</v>
      </c>
      <c r="B13" s="6">
        <f>DATA!B3</f>
        <v>0</v>
      </c>
      <c r="C13" s="6" t="str">
        <f>DATA!D3</f>
        <v>INFRASTRUKTUR</v>
      </c>
      <c r="D13" s="6">
        <f>DATA!E3</f>
        <v>1</v>
      </c>
      <c r="E13" s="6" t="str">
        <f>DATA!F3</f>
        <v>Kementerian Pekerjaan Umum dan Perumahan Rakyat</v>
      </c>
      <c r="F13" s="6" t="str">
        <f>DATA!H3</f>
        <v>Toll Road Development Program</v>
      </c>
      <c r="G13" s="6" t="str">
        <f>DATA!I3</f>
        <v>A</v>
      </c>
      <c r="H13" s="6" t="str">
        <f>DATA!J3</f>
        <v xml:space="preserve">Program Pembangunan Jalan Tol </v>
      </c>
      <c r="I13" s="6">
        <f>DATA!K3</f>
        <v>1</v>
      </c>
      <c r="J13" s="44"/>
      <c r="K13" s="45"/>
      <c r="L13" s="45"/>
      <c r="M13" s="48"/>
      <c r="N13" s="47" t="str">
        <f>DATA!L3</f>
        <v>Toll Road Development in Kalimantan, Sumatera, and Java Islands</v>
      </c>
      <c r="O13" s="42">
        <f>DATA!Q3</f>
        <v>0.5</v>
      </c>
      <c r="P13" s="42">
        <f>DATA!R3</f>
        <v>0</v>
      </c>
      <c r="Q13" s="42">
        <f>DATA!S3</f>
        <v>0</v>
      </c>
      <c r="R13" s="85">
        <f>DATA!T3</f>
        <v>0</v>
      </c>
      <c r="S13" s="85">
        <f>DATA!U3</f>
        <v>0</v>
      </c>
      <c r="T13" s="85">
        <f>DATA!V3</f>
        <v>0</v>
      </c>
      <c r="U13" s="83">
        <f>DATA!W3</f>
        <v>0</v>
      </c>
      <c r="V13" s="85">
        <f>DATA!X3</f>
        <v>0</v>
      </c>
      <c r="W13" s="86" t="str">
        <f>DATA!Y3</f>
        <v>RRT</v>
      </c>
      <c r="X13" s="42" t="str">
        <f>DATA!Z3</f>
        <v>Bilateral</v>
      </c>
      <c r="Y13" s="85">
        <f>DATA!AA3</f>
        <v>1000000000</v>
      </c>
      <c r="Z13" s="85">
        <f>DATA!AG3</f>
        <v>0</v>
      </c>
      <c r="AA13" s="98">
        <f>DATA!AH3</f>
        <v>2016</v>
      </c>
      <c r="AB13" s="68" t="str">
        <f>DATA!AI3</f>
        <v>-</v>
      </c>
      <c r="AC13" s="68" t="str">
        <f>DATA!AJ3</f>
        <v>FS, AMDAL, LARAP</v>
      </c>
      <c r="AD13" s="68" t="str">
        <f>DATA!AK3</f>
        <v>(1) Cisumdawu I: 80 %
(2) Serang-Panimbang: 25%</v>
      </c>
      <c r="AE13" s="68" t="str">
        <f>DATA!AL3</f>
        <v>-</v>
      </c>
      <c r="AF13" s="42" t="str">
        <f>DATA!AM3</f>
        <v>-</v>
      </c>
      <c r="AG13" s="42" t="str">
        <f>DATA!AN3</f>
        <v>siap</v>
      </c>
      <c r="AH13" s="42" t="str">
        <f>DATA!AO3</f>
        <v>dalam proses
(pelaksanaan &lt; 50%)</v>
      </c>
      <c r="AI13" s="42" t="str">
        <f>DATA!AP3</f>
        <v>belum ada proses tender/lelang</v>
      </c>
      <c r="AJ13" s="42" t="str">
        <f>DATA!AY3</f>
        <v>- Konfirmasi melalui surat Sekjen nomor KU.01.12-Sj/636 tgl 23 Oktober 2015
- Terdiri dari 3 kegiatan: (1) seksi 1 (Ruas Cisumdawu I); (2) Serang-Panimbang; (3) Belum ditentukan
- Prioritas ruas Cisumdawu I</v>
      </c>
      <c r="AK13" s="42" t="e">
        <f>DATA!#REF!</f>
        <v>#REF!</v>
      </c>
      <c r="AL13" s="42">
        <f>DATA!AZ3</f>
        <v>0</v>
      </c>
      <c r="AM13" s="67" t="str">
        <f>DATA!BA3</f>
        <v>Pembangunan jalan tol di provinsi Kalimantan Timur, Banten, dan Sumatera Utara dengan panjang sekitar 150 km</v>
      </c>
    </row>
    <row r="14" spans="1:39" s="7" customFormat="1" ht="45.75" customHeight="1">
      <c r="A14" s="6">
        <f>DATA!A4</f>
        <v>2</v>
      </c>
      <c r="B14" s="6">
        <f>DATA!B4</f>
        <v>0</v>
      </c>
      <c r="C14" s="6" t="str">
        <f>DATA!D4</f>
        <v>INFRASTRUKTUR</v>
      </c>
      <c r="D14" s="6">
        <f>DATA!E4</f>
        <v>1</v>
      </c>
      <c r="E14" s="6" t="str">
        <f>DATA!F4</f>
        <v>Kementerian Pekerjaan Umum dan Perumahan Rakyat</v>
      </c>
      <c r="F14" s="6" t="str">
        <f>DATA!H4</f>
        <v>Toll Road Development Program</v>
      </c>
      <c r="G14" s="6" t="str">
        <f>DATA!I4</f>
        <v>A</v>
      </c>
      <c r="H14" s="6" t="str">
        <f>DATA!J4</f>
        <v xml:space="preserve">Program Pembangunan Jalan Tol </v>
      </c>
      <c r="I14" s="6">
        <f>DATA!K4</f>
        <v>1</v>
      </c>
      <c r="J14" s="44"/>
      <c r="K14" s="45"/>
      <c r="L14" s="45"/>
      <c r="M14" s="70"/>
      <c r="N14" s="47" t="str">
        <f>DATA!L4</f>
        <v>Toll Road Development in Kalimantan, Sumatera, and Java Islands</v>
      </c>
      <c r="O14" s="42">
        <f>DATA!Q4</f>
        <v>0.5</v>
      </c>
      <c r="P14" s="42">
        <f>DATA!R4</f>
        <v>0</v>
      </c>
      <c r="Q14" s="42">
        <f>DATA!S4</f>
        <v>0</v>
      </c>
      <c r="R14" s="85">
        <f>DATA!T4</f>
        <v>0</v>
      </c>
      <c r="S14" s="85">
        <f>DATA!U4</f>
        <v>0</v>
      </c>
      <c r="T14" s="85">
        <f>DATA!V4</f>
        <v>0</v>
      </c>
      <c r="U14" s="83">
        <f>DATA!W4</f>
        <v>0</v>
      </c>
      <c r="V14" s="85">
        <f>DATA!X4</f>
        <v>0</v>
      </c>
      <c r="W14" s="86" t="str">
        <f>DATA!Y4</f>
        <v>Korea</v>
      </c>
      <c r="X14" s="42" t="str">
        <f>DATA!Z4</f>
        <v>Bilateral</v>
      </c>
      <c r="Y14" s="85">
        <f>DATA!AA4</f>
        <v>250000000</v>
      </c>
      <c r="Z14" s="85">
        <f>DATA!AG4</f>
        <v>0</v>
      </c>
      <c r="AA14" s="98">
        <f>DATA!AH4</f>
        <v>2016</v>
      </c>
      <c r="AB14" s="68" t="str">
        <f>DATA!AI4</f>
        <v>-</v>
      </c>
      <c r="AC14" s="68" t="str">
        <f>DATA!AJ4</f>
        <v>FS, AMDAL, LARAP</v>
      </c>
      <c r="AD14" s="68" t="str">
        <f>DATA!AK4</f>
        <v>(1) Cisumdawu I: 80 %
(2) Serang-Panimbang: 25%</v>
      </c>
      <c r="AE14" s="68" t="str">
        <f>DATA!AL4</f>
        <v>-</v>
      </c>
      <c r="AF14" s="42" t="str">
        <f>DATA!AM4</f>
        <v>-</v>
      </c>
      <c r="AG14" s="42" t="str">
        <f>DATA!AN4</f>
        <v>siap</v>
      </c>
      <c r="AH14" s="42" t="str">
        <f>DATA!AO4</f>
        <v>dalam proses
(pelaksanaan &lt; 50%)</v>
      </c>
      <c r="AI14" s="42" t="str">
        <f>DATA!AP4</f>
        <v>belum ada proses tender/lelang</v>
      </c>
      <c r="AJ14" s="42" t="str">
        <f>DATA!AY4</f>
        <v>- Konfirmasi melalui surat Sekjen nomor KU.01.12-Sj/636 tgl 23 Oktober 2015
- Terdiri dari 3 kegiatan: (1) seksi 1 (Ruas Cisumdawu I); (2) Serang-Panimbang; (3) Belum ditentukan
- Prioritas ruas Cisumdawu I</v>
      </c>
      <c r="AK14" s="42" t="e">
        <f>DATA!#REF!</f>
        <v>#REF!</v>
      </c>
      <c r="AL14" s="42">
        <f>DATA!AZ4</f>
        <v>0</v>
      </c>
      <c r="AM14" s="67" t="str">
        <f>DATA!BA4</f>
        <v>Pembangunan jalan tol di provinsi Kalimantan Timur, Banten, dan Sumatera Utara dengan panjang sekitar 150 km</v>
      </c>
    </row>
    <row r="15" spans="1:39" ht="29.25" customHeight="1">
      <c r="A15" s="10">
        <f>DATA!A5</f>
        <v>3</v>
      </c>
      <c r="B15" s="10">
        <f>DATA!B5</f>
        <v>0</v>
      </c>
      <c r="C15" s="10" t="str">
        <f>DATA!D5</f>
        <v>INFRASTRUKTUR</v>
      </c>
      <c r="D15" s="10">
        <f>DATA!E5</f>
        <v>1</v>
      </c>
      <c r="E15" s="10" t="str">
        <f>DATA!F5</f>
        <v>Kementerian Pekerjaan Umum dan Perumahan Rakyat</v>
      </c>
      <c r="F15" s="10" t="str">
        <f>DATA!H5</f>
        <v>Toll Road Development Program</v>
      </c>
      <c r="G15" s="10" t="str">
        <f>DATA!I5</f>
        <v>A</v>
      </c>
      <c r="H15" s="10" t="str">
        <f>DATA!J5</f>
        <v xml:space="preserve">Program Pembangunan Jalan Tol </v>
      </c>
      <c r="I15" s="10">
        <f>DATA!K5</f>
        <v>2</v>
      </c>
      <c r="J15" s="33"/>
      <c r="K15" s="34"/>
      <c r="L15" s="34"/>
      <c r="M15" s="36">
        <f>DATA!K5</f>
        <v>2</v>
      </c>
      <c r="N15" s="37" t="str">
        <f>DATA!L5</f>
        <v>Toll Road Development in Selected Area:</v>
      </c>
      <c r="O15" s="20">
        <f>DATA!Q5</f>
        <v>0</v>
      </c>
      <c r="P15" s="20">
        <f>DATA!R5</f>
        <v>0</v>
      </c>
      <c r="Q15" s="20">
        <f>DATA!S5</f>
        <v>0</v>
      </c>
      <c r="R15" s="77">
        <f>DATA!T5</f>
        <v>775000000</v>
      </c>
      <c r="S15" s="83">
        <f>DATA!U5</f>
        <v>775000000</v>
      </c>
      <c r="T15" s="77">
        <f>DATA!V5</f>
        <v>72400000</v>
      </c>
      <c r="U15" s="77">
        <f>DATA!W5</f>
        <v>0</v>
      </c>
      <c r="V15" s="77">
        <f>DATA!X5</f>
        <v>847400000</v>
      </c>
      <c r="W15" s="78" t="str">
        <f>DATA!Y5</f>
        <v>-</v>
      </c>
      <c r="X15" s="20">
        <f>DATA!Z5</f>
        <v>0</v>
      </c>
      <c r="Y15" s="77">
        <f>DATA!AA5</f>
        <v>775000000</v>
      </c>
      <c r="Z15" s="77">
        <f>DATA!AG5</f>
        <v>0</v>
      </c>
      <c r="AA15" s="20" t="str">
        <f>DATA!AH5</f>
        <v>-</v>
      </c>
      <c r="AB15" s="37" t="str">
        <f>DATA!AI5</f>
        <v>-</v>
      </c>
      <c r="AC15" s="37" t="str">
        <f>DATA!AJ5</f>
        <v>-</v>
      </c>
      <c r="AD15" s="37" t="str">
        <f>DATA!AK5</f>
        <v>-</v>
      </c>
      <c r="AE15" s="37" t="str">
        <f>DATA!AL5</f>
        <v>-</v>
      </c>
      <c r="AF15" s="20" t="str">
        <f>DATA!AM5</f>
        <v>-</v>
      </c>
      <c r="AG15" s="20">
        <f>DATA!AN5</f>
        <v>0</v>
      </c>
      <c r="AH15" s="20" t="str">
        <f>DATA!AO5</f>
        <v>-</v>
      </c>
      <c r="AI15" s="20">
        <f>DATA!AP5</f>
        <v>0</v>
      </c>
      <c r="AJ15" s="20" t="str">
        <f>DATA!AY5</f>
        <v>Konfirmasi melalui surat Sekjen nomor KU.01.12-Sj/636 tgl 23 Oktober 2015</v>
      </c>
      <c r="AK15" s="20" t="e">
        <f>DATA!#REF!</f>
        <v>#REF!</v>
      </c>
      <c r="AL15" s="20">
        <f>DATA!AZ5</f>
        <v>0</v>
      </c>
      <c r="AM15" s="37" t="str">
        <f>DATA!BA5</f>
        <v>Pembangunan jalan tol di berbagai wilayah dengan total sepanjang 55,94 km</v>
      </c>
    </row>
    <row r="16" spans="1:39" s="7" customFormat="1" ht="57" customHeight="1">
      <c r="A16" s="6">
        <f>DATA!A6</f>
        <v>4</v>
      </c>
      <c r="B16" s="6">
        <f>DATA!B6</f>
        <v>0</v>
      </c>
      <c r="C16" s="6" t="str">
        <f>DATA!D6</f>
        <v>INFRASTRUKTUR</v>
      </c>
      <c r="D16" s="6">
        <f>DATA!E6</f>
        <v>1</v>
      </c>
      <c r="E16" s="6" t="str">
        <f>DATA!F6</f>
        <v>Kementerian Pekerjaan Umum dan Perumahan Rakyat</v>
      </c>
      <c r="F16" s="6" t="str">
        <f>DATA!H6</f>
        <v>Toll Road Development Program</v>
      </c>
      <c r="G16" s="6" t="str">
        <f>DATA!I6</f>
        <v>A</v>
      </c>
      <c r="H16" s="6" t="str">
        <f>DATA!J6</f>
        <v xml:space="preserve">Program Pembangunan Jalan Tol </v>
      </c>
      <c r="I16" s="6">
        <f>DATA!K6</f>
        <v>2</v>
      </c>
      <c r="J16" s="44"/>
      <c r="K16" s="45"/>
      <c r="L16" s="45"/>
      <c r="M16" s="46"/>
      <c r="N16" s="47" t="str">
        <f>DATA!L6</f>
        <v>Development of Cileunyi - Sumedang - Dawuan Toll Road Phase II</v>
      </c>
      <c r="O16" s="42">
        <f>DATA!Q6</f>
        <v>1</v>
      </c>
      <c r="P16" s="42">
        <f>DATA!R6</f>
        <v>1</v>
      </c>
      <c r="Q16" s="42">
        <f>DATA!S6</f>
        <v>2</v>
      </c>
      <c r="R16" s="85">
        <f>DATA!T6</f>
        <v>330000000</v>
      </c>
      <c r="S16" s="85">
        <f>DATA!U6</f>
        <v>330000000</v>
      </c>
      <c r="T16" s="85">
        <f>DATA!V6</f>
        <v>26000000</v>
      </c>
      <c r="U16" s="83">
        <f>DATA!W6</f>
        <v>0</v>
      </c>
      <c r="V16" s="85">
        <f>DATA!X6</f>
        <v>356000000</v>
      </c>
      <c r="W16" s="86" t="str">
        <f>DATA!Y6</f>
        <v>RRT</v>
      </c>
      <c r="X16" s="42" t="str">
        <f>DATA!Z6</f>
        <v>Bilateral</v>
      </c>
      <c r="Y16" s="85">
        <f>DATA!AA6</f>
        <v>330000000</v>
      </c>
      <c r="Z16" s="85">
        <f>DATA!AG6</f>
        <v>0</v>
      </c>
      <c r="AA16" s="98">
        <f>DATA!AH6</f>
        <v>2015</v>
      </c>
      <c r="AB16" s="68" t="str">
        <f>DATA!AI6</f>
        <v>- Sudah ada R/C
- Green Book 2015
- Proses LA</v>
      </c>
      <c r="AC16" s="68" t="str">
        <f>DATA!AJ6</f>
        <v>FS, DED</v>
      </c>
      <c r="AD16" s="99">
        <f>DATA!AK6</f>
        <v>0.80200000000000005</v>
      </c>
      <c r="AE16" s="68" t="str">
        <f>DATA!AL6</f>
        <v>Kontrak sudah ditandatangani</v>
      </c>
      <c r="AF16" s="42" t="str">
        <f>DATA!AR6</f>
        <v>Nilai pinjaman di:
- GB 16 USD 219.399 ribu
- GB 15 USD 235.000 ribu</v>
      </c>
      <c r="AG16" s="42" t="str">
        <f>DATA!AN6</f>
        <v>(memiliki FS dan DED)</v>
      </c>
      <c r="AH16" s="42" t="str">
        <f>DATA!AO6</f>
        <v>dalam proses
(pelaksanaan 80%)</v>
      </c>
      <c r="AI16" s="42" t="str">
        <f>DATA!AP6</f>
        <v>dalam proses tender/lelang</v>
      </c>
      <c r="AJ16" s="42" t="str">
        <f>DATA!AY6</f>
        <v>Konfirmasi melalui surat Sekjen nomor KU.01.12-Sj/636 tgl 23 Oktober 2015</v>
      </c>
      <c r="AK16" s="42" t="e">
        <f>DATA!#REF!</f>
        <v>#REF!</v>
      </c>
      <c r="AL16" s="42">
        <f>DATA!AZ6</f>
        <v>0</v>
      </c>
      <c r="AM16" s="67" t="str">
        <f>DATA!BA6</f>
        <v>- Pembangunan jalan tol Cileunyi-Sumedang-Dawuan sepanjang 11,1 km 
- Pelayanan konsultasi untuk DED dan pengawasan konstruksi</v>
      </c>
    </row>
    <row r="17" spans="1:39" s="7" customFormat="1" ht="36.75" customHeight="1">
      <c r="A17" s="6">
        <f>DATA!A7</f>
        <v>5</v>
      </c>
      <c r="B17" s="6">
        <f>DATA!B7</f>
        <v>0</v>
      </c>
      <c r="C17" s="6" t="str">
        <f>DATA!D7</f>
        <v>INFRASTRUKTUR</v>
      </c>
      <c r="D17" s="6">
        <f>DATA!E7</f>
        <v>1</v>
      </c>
      <c r="E17" s="6" t="str">
        <f>DATA!F7</f>
        <v>Kementerian Pekerjaan Umum dan Perumahan Rakyat</v>
      </c>
      <c r="F17" s="6" t="str">
        <f>DATA!H7</f>
        <v>Toll Road Development Program</v>
      </c>
      <c r="G17" s="6" t="str">
        <f>DATA!I7</f>
        <v>A</v>
      </c>
      <c r="H17" s="6" t="str">
        <f>DATA!J7</f>
        <v xml:space="preserve">Program Pembangunan Jalan Tol </v>
      </c>
      <c r="I17" s="6">
        <f>DATA!K7</f>
        <v>2</v>
      </c>
      <c r="J17" s="44"/>
      <c r="K17" s="45"/>
      <c r="L17" s="45"/>
      <c r="M17" s="46"/>
      <c r="N17" s="47" t="str">
        <f>DATA!L7</f>
        <v xml:space="preserve">Toll Road Development of Balikpapan - Samarinda </v>
      </c>
      <c r="O17" s="42">
        <f>DATA!Q7</f>
        <v>1</v>
      </c>
      <c r="P17" s="42">
        <f>DATA!R7</f>
        <v>1</v>
      </c>
      <c r="Q17" s="42">
        <f>DATA!S7</f>
        <v>3</v>
      </c>
      <c r="R17" s="85">
        <f>DATA!T7</f>
        <v>65000000</v>
      </c>
      <c r="S17" s="85">
        <f>DATA!U7</f>
        <v>65000000</v>
      </c>
      <c r="T17" s="85">
        <f>DATA!V7</f>
        <v>6500000</v>
      </c>
      <c r="U17" s="83">
        <f>DATA!W7</f>
        <v>0</v>
      </c>
      <c r="V17" s="85">
        <f>DATA!X7</f>
        <v>71500000</v>
      </c>
      <c r="W17" s="86" t="str">
        <f>DATA!Y7</f>
        <v>RRT</v>
      </c>
      <c r="X17" s="42" t="str">
        <f>DATA!Z7</f>
        <v>Bilateral</v>
      </c>
      <c r="Y17" s="85">
        <f>DATA!AA7</f>
        <v>65000000</v>
      </c>
      <c r="Z17" s="85">
        <f>DATA!AG7</f>
        <v>0</v>
      </c>
      <c r="AA17" s="98">
        <f>DATA!AH7</f>
        <v>2015</v>
      </c>
      <c r="AB17" s="68" t="str">
        <f>DATA!AI7</f>
        <v>- Sudah ada R/C
- Green Book 2015
- Loan Agreement tgl 29 Des'15</v>
      </c>
      <c r="AC17" s="68" t="str">
        <f>DATA!AJ7</f>
        <v>FS, DED</v>
      </c>
      <c r="AD17" s="99">
        <f>DATA!AK7</f>
        <v>0.55200000000000005</v>
      </c>
      <c r="AE17" s="68" t="str">
        <f>DATA!AL7</f>
        <v>Kontrak sudah ditandatangani</v>
      </c>
      <c r="AF17" s="42" t="str">
        <f>DATA!AR7</f>
        <v>Nilai pinjaman di GB USD 65.000 ribu</v>
      </c>
      <c r="AG17" s="42" t="str">
        <f>DATA!AN7</f>
        <v>(memiliki FS dan DED)</v>
      </c>
      <c r="AH17" s="42" t="str">
        <f>DATA!AO7</f>
        <v>dalam proses
(pelaksanaan 55%)</v>
      </c>
      <c r="AI17" s="42" t="str">
        <f>DATA!AP7</f>
        <v>dalam proses tender/lelang</v>
      </c>
      <c r="AJ17" s="42" t="str">
        <f>DATA!AY7</f>
        <v>Konfirmasi melalui surat Sekjen nomor KU.01.12-Sj/636 tgl 23 Oktober 2015</v>
      </c>
      <c r="AK17" s="42" t="e">
        <f>DATA!#REF!</f>
        <v>#REF!</v>
      </c>
      <c r="AL17" s="42">
        <f>DATA!AZ7</f>
        <v>0</v>
      </c>
      <c r="AM17" s="67" t="str">
        <f>DATA!BA7</f>
        <v xml:space="preserve">Pembangunan jalan tol Balikpapan-Samarinda sepanjang 11,09 km </v>
      </c>
    </row>
    <row r="18" spans="1:39" s="7" customFormat="1" ht="33" customHeight="1">
      <c r="A18" s="6">
        <f>DATA!A8</f>
        <v>6</v>
      </c>
      <c r="B18" s="6">
        <f>DATA!B8</f>
        <v>0</v>
      </c>
      <c r="C18" s="6" t="str">
        <f>DATA!D8</f>
        <v>INFRASTRUKTUR</v>
      </c>
      <c r="D18" s="6">
        <f>DATA!E8</f>
        <v>1</v>
      </c>
      <c r="E18" s="6" t="str">
        <f>DATA!F8</f>
        <v>Kementerian Pekerjaan Umum dan Perumahan Rakyat</v>
      </c>
      <c r="F18" s="6" t="str">
        <f>DATA!H8</f>
        <v>Toll Road Development Program</v>
      </c>
      <c r="G18" s="6" t="str">
        <f>DATA!I8</f>
        <v>A</v>
      </c>
      <c r="H18" s="6" t="str">
        <f>DATA!J8</f>
        <v xml:space="preserve">Program Pembangunan Jalan Tol </v>
      </c>
      <c r="I18" s="6">
        <f>DATA!K8</f>
        <v>2</v>
      </c>
      <c r="J18" s="44"/>
      <c r="K18" s="45"/>
      <c r="L18" s="45"/>
      <c r="M18" s="46"/>
      <c r="N18" s="47" t="str">
        <f>DATA!L8</f>
        <v xml:space="preserve">Toll Road Development of Manado - Bitung </v>
      </c>
      <c r="O18" s="42">
        <f>DATA!Q8</f>
        <v>1</v>
      </c>
      <c r="P18" s="42">
        <f>DATA!R8</f>
        <v>1</v>
      </c>
      <c r="Q18" s="42">
        <f>DATA!S8</f>
        <v>4</v>
      </c>
      <c r="R18" s="85">
        <f>DATA!T8</f>
        <v>80000000</v>
      </c>
      <c r="S18" s="85">
        <f>DATA!U8</f>
        <v>80000000</v>
      </c>
      <c r="T18" s="85">
        <f>DATA!V8</f>
        <v>8000000</v>
      </c>
      <c r="U18" s="83">
        <f>DATA!W8</f>
        <v>0</v>
      </c>
      <c r="V18" s="85">
        <f>DATA!X8</f>
        <v>88000000</v>
      </c>
      <c r="W18" s="86" t="str">
        <f>DATA!Y8</f>
        <v>RRT</v>
      </c>
      <c r="X18" s="42" t="str">
        <f>DATA!Z8</f>
        <v>Bilateral</v>
      </c>
      <c r="Y18" s="85">
        <f>DATA!AA8</f>
        <v>80000000</v>
      </c>
      <c r="Z18" s="85">
        <f>DATA!AG8</f>
        <v>0</v>
      </c>
      <c r="AA18" s="98">
        <f>DATA!AH8</f>
        <v>2015</v>
      </c>
      <c r="AB18" s="68" t="str">
        <f>DATA!AI8</f>
        <v>- Sudah ada R/C
- Green Book 2015
- Proses LA</v>
      </c>
      <c r="AC18" s="68" t="str">
        <f>DATA!AJ8</f>
        <v>FS, DED</v>
      </c>
      <c r="AD18" s="99">
        <f>DATA!AK8</f>
        <v>0.93840000000000001</v>
      </c>
      <c r="AE18" s="68" t="str">
        <f>DATA!AL8</f>
        <v>Kontrak sudah ditandatangani</v>
      </c>
      <c r="AF18" s="42" t="str">
        <f>DATA!AR8</f>
        <v>Nilai pinjaman di: 
- GB 16 USD 78.100 ribu
- GB 15 USD 80.000 ribu</v>
      </c>
      <c r="AG18" s="42" t="str">
        <f>DATA!AN8</f>
        <v>(memiliki FS dan DED)</v>
      </c>
      <c r="AH18" s="42" t="str">
        <f>DATA!AO8</f>
        <v>dalam proses
(pelaksanaan 94%)</v>
      </c>
      <c r="AI18" s="42" t="str">
        <f>DATA!AP8</f>
        <v>dalam proses tender/lelang</v>
      </c>
      <c r="AJ18" s="42" t="str">
        <f>DATA!AY8</f>
        <v>Konfirmasi melalui surat Sekjen nomor KU.01.12-Sj/636 tgl 23 Oktober 2015</v>
      </c>
      <c r="AK18" s="42" t="e">
        <f>DATA!#REF!</f>
        <v>#REF!</v>
      </c>
      <c r="AL18" s="42">
        <f>DATA!AZ8</f>
        <v>0</v>
      </c>
      <c r="AM18" s="67" t="str">
        <f>DATA!BA8</f>
        <v xml:space="preserve">Pembangunan jalan tol Manado-Bitung sepanjang 7,3 km </v>
      </c>
    </row>
    <row r="19" spans="1:39" s="7" customFormat="1" ht="34.5" customHeight="1">
      <c r="A19" s="6">
        <f>DATA!A9</f>
        <v>7</v>
      </c>
      <c r="B19" s="6">
        <f>DATA!B9</f>
        <v>0</v>
      </c>
      <c r="C19" s="6" t="str">
        <f>DATA!D9</f>
        <v>INFRASTRUKTUR</v>
      </c>
      <c r="D19" s="6">
        <f>DATA!E9</f>
        <v>1</v>
      </c>
      <c r="E19" s="6" t="str">
        <f>DATA!F9</f>
        <v>Kementerian Pekerjaan Umum dan Perumahan Rakyat</v>
      </c>
      <c r="F19" s="6" t="str">
        <f>DATA!H9</f>
        <v>Toll Road Development Program</v>
      </c>
      <c r="G19" s="6" t="str">
        <f>DATA!I9</f>
        <v>A</v>
      </c>
      <c r="H19" s="6" t="str">
        <f>DATA!J9</f>
        <v xml:space="preserve">Program Pembangunan Jalan Tol </v>
      </c>
      <c r="I19" s="6">
        <f>DATA!K9</f>
        <v>2</v>
      </c>
      <c r="J19" s="44"/>
      <c r="K19" s="45"/>
      <c r="L19" s="45"/>
      <c r="M19" s="48"/>
      <c r="N19" s="49" t="str">
        <f>DATA!L9</f>
        <v xml:space="preserve">Toll Road Development of Solo - Kertosono </v>
      </c>
      <c r="O19" s="42">
        <f>DATA!Q9</f>
        <v>1</v>
      </c>
      <c r="P19" s="42">
        <f>DATA!R9</f>
        <v>1</v>
      </c>
      <c r="Q19" s="42">
        <f>DATA!S9</f>
        <v>5</v>
      </c>
      <c r="R19" s="85">
        <f>DATA!T9</f>
        <v>300000000</v>
      </c>
      <c r="S19" s="85">
        <f>DATA!U9</f>
        <v>300000000</v>
      </c>
      <c r="T19" s="85">
        <f>DATA!V9</f>
        <v>31900000</v>
      </c>
      <c r="U19" s="83">
        <f>DATA!W9</f>
        <v>0</v>
      </c>
      <c r="V19" s="85">
        <f>DATA!X9</f>
        <v>331900000</v>
      </c>
      <c r="W19" s="86" t="str">
        <f>DATA!Y9</f>
        <v>RRT</v>
      </c>
      <c r="X19" s="42" t="str">
        <f>DATA!Z9</f>
        <v>Bilateral</v>
      </c>
      <c r="Y19" s="85">
        <f>DATA!AA9</f>
        <v>300000000</v>
      </c>
      <c r="Z19" s="85">
        <f>DATA!AG9</f>
        <v>0</v>
      </c>
      <c r="AA19" s="98">
        <f>DATA!AH9</f>
        <v>2015</v>
      </c>
      <c r="AB19" s="68" t="str">
        <f>DATA!AI9</f>
        <v>- Sudah ada R/C
- Green Book 2015
- Loan Agreement tgl 29 Des'15</v>
      </c>
      <c r="AC19" s="68" t="str">
        <f>DATA!AJ9</f>
        <v>FS, DED</v>
      </c>
      <c r="AD19" s="99">
        <f>DATA!AK9</f>
        <v>0.62229999999999996</v>
      </c>
      <c r="AE19" s="68" t="str">
        <f>DATA!AL9</f>
        <v>Kontrak sudah ditandatangani</v>
      </c>
      <c r="AF19" s="42" t="str">
        <f>DATA!AR9</f>
        <v>Nilai pinjaman di GB USD 200.000 ribu</v>
      </c>
      <c r="AG19" s="42" t="str">
        <f>DATA!AN9</f>
        <v>(memiliki FS dan DED)</v>
      </c>
      <c r="AH19" s="42" t="str">
        <f>DATA!AO9</f>
        <v>dalam proses
(pelaksanaan 62%)</v>
      </c>
      <c r="AI19" s="42" t="str">
        <f>DATA!AP9</f>
        <v>dalam proses tender/lelang</v>
      </c>
      <c r="AJ19" s="42" t="str">
        <f>DATA!AY9</f>
        <v>Konfirmasi melalui surat Sekjen nomor KU.01.12-Sj/636 tgl 23 Oktober 2015</v>
      </c>
      <c r="AK19" s="42" t="e">
        <f>DATA!#REF!</f>
        <v>#REF!</v>
      </c>
      <c r="AL19" s="42">
        <f>DATA!AZ9</f>
        <v>0</v>
      </c>
      <c r="AM19" s="67" t="str">
        <f>DATA!BA9</f>
        <v xml:space="preserve">Pembangunan jalan tol Solo-Kertosono sepanjang 26,45 km </v>
      </c>
    </row>
    <row r="20" spans="1:39" s="5" customFormat="1" ht="33.75" customHeight="1">
      <c r="J20" s="28"/>
      <c r="K20" s="50"/>
      <c r="L20" s="30" t="str">
        <f>DATA!I10</f>
        <v>B</v>
      </c>
      <c r="M20" s="31" t="str">
        <f>DATA!J10</f>
        <v xml:space="preserve">Program Pembangunan / Peningkatan Jembatan </v>
      </c>
      <c r="N20" s="51"/>
      <c r="O20" s="31"/>
      <c r="P20" s="31"/>
      <c r="Q20" s="31"/>
      <c r="R20" s="81">
        <f>SUM(R21:R25)</f>
        <v>1500000000</v>
      </c>
      <c r="S20" s="81"/>
      <c r="T20" s="81">
        <f t="shared" ref="T20:Z20" si="0">SUM(T21:T25)</f>
        <v>126500000</v>
      </c>
      <c r="U20" s="81">
        <f t="shared" si="0"/>
        <v>0</v>
      </c>
      <c r="V20" s="81">
        <f t="shared" si="0"/>
        <v>1626500000</v>
      </c>
      <c r="W20" s="81"/>
      <c r="X20" s="81">
        <f t="shared" si="0"/>
        <v>0</v>
      </c>
      <c r="Y20" s="81">
        <f t="shared" si="0"/>
        <v>1500000000</v>
      </c>
      <c r="Z20" s="81">
        <f t="shared" si="0"/>
        <v>0</v>
      </c>
      <c r="AA20" s="31"/>
      <c r="AB20" s="32"/>
      <c r="AC20" s="32"/>
      <c r="AD20" s="32"/>
      <c r="AE20" s="32"/>
      <c r="AF20" s="31"/>
      <c r="AG20" s="31"/>
      <c r="AH20" s="31"/>
      <c r="AI20" s="31"/>
      <c r="AJ20" s="31"/>
      <c r="AK20" s="31"/>
      <c r="AL20" s="31"/>
      <c r="AM20" s="32"/>
    </row>
    <row r="21" spans="1:39" ht="45" customHeight="1">
      <c r="A21" s="10">
        <f>DATA!A10</f>
        <v>8</v>
      </c>
      <c r="B21" s="10">
        <f>DATA!B10</f>
        <v>0</v>
      </c>
      <c r="C21" s="10" t="str">
        <f>DATA!D10</f>
        <v>INFRASTRUKTUR</v>
      </c>
      <c r="D21" s="10">
        <f>DATA!E10</f>
        <v>1</v>
      </c>
      <c r="E21" s="10" t="str">
        <f>DATA!F10</f>
        <v>Kementerian Pekerjaan Umum dan Perumahan Rakyat</v>
      </c>
      <c r="F21" s="10" t="str">
        <f>DATA!H10</f>
        <v>Development and Improvement of National Bridges Program</v>
      </c>
      <c r="G21" s="10" t="str">
        <f>DATA!I10</f>
        <v>B</v>
      </c>
      <c r="H21" s="10" t="str">
        <f>DATA!J10</f>
        <v xml:space="preserve">Program Pembangunan / Peningkatan Jembatan </v>
      </c>
      <c r="I21" s="10">
        <f>DATA!K10</f>
        <v>1</v>
      </c>
      <c r="J21" s="33"/>
      <c r="K21" s="34"/>
      <c r="L21" s="35"/>
      <c r="M21" s="52">
        <f>DATA!K10</f>
        <v>1</v>
      </c>
      <c r="N21" s="53" t="str">
        <f>DATA!L10</f>
        <v>Material Procurement for Construction and Bridge Rehabilitation</v>
      </c>
      <c r="O21" s="20">
        <f>DATA!Q10</f>
        <v>1</v>
      </c>
      <c r="P21" s="20">
        <f>DATA!R10</f>
        <v>1</v>
      </c>
      <c r="Q21" s="20">
        <f>DATA!S10</f>
        <v>6</v>
      </c>
      <c r="R21" s="77">
        <f>DATA!T10</f>
        <v>450000000</v>
      </c>
      <c r="S21" s="83">
        <f>DATA!U10</f>
        <v>450000000</v>
      </c>
      <c r="T21" s="77">
        <f>DATA!V10</f>
        <v>0</v>
      </c>
      <c r="U21" s="77">
        <f>DATA!W10</f>
        <v>0</v>
      </c>
      <c r="V21" s="77">
        <f>DATA!X10</f>
        <v>450000000</v>
      </c>
      <c r="W21" s="78" t="str">
        <f>DATA!Y10</f>
        <v>Spanyol/RRT</v>
      </c>
      <c r="X21" s="20" t="str">
        <f>DATA!Z10</f>
        <v>Multi Lender</v>
      </c>
      <c r="Y21" s="77">
        <f>DATA!AA10</f>
        <v>450000000</v>
      </c>
      <c r="Z21" s="77">
        <f>DATA!AG10</f>
        <v>0</v>
      </c>
      <c r="AA21" s="20">
        <f>DATA!AH10</f>
        <v>2017</v>
      </c>
      <c r="AB21" s="37" t="str">
        <f>DATA!AI10</f>
        <v>-</v>
      </c>
      <c r="AC21" s="37" t="str">
        <f>DATA!AJ10</f>
        <v>-</v>
      </c>
      <c r="AD21" s="37" t="str">
        <f>DATA!AK10</f>
        <v>-</v>
      </c>
      <c r="AE21" s="37" t="str">
        <f>DATA!AL10</f>
        <v>-</v>
      </c>
      <c r="AF21" s="20" t="str">
        <f>DATA!AR10</f>
        <v>belum ada dokumen R/C</v>
      </c>
      <c r="AG21" s="20" t="str">
        <f>DATA!AN10</f>
        <v>belum ada keterangan</v>
      </c>
      <c r="AH21" s="20" t="str">
        <f>DATA!AO10</f>
        <v>belum ada keterangan</v>
      </c>
      <c r="AI21" s="20" t="str">
        <f>DATA!AP10</f>
        <v>belum ada proses tender/lelang</v>
      </c>
      <c r="AJ21" s="20" t="str">
        <f>DATA!AY10</f>
        <v>- Konfirmasi melalui surat Sekjen nomor KU.01.12-Sj/636 tgl 23 Oktober 2015
- Telah ada pengalaman sebelumnya dengan Loan Spanyol</v>
      </c>
      <c r="AK21" s="20" t="e">
        <f>DATA!#REF!</f>
        <v>#REF!</v>
      </c>
      <c r="AL21" s="20">
        <f>DATA!AZ10</f>
        <v>0</v>
      </c>
      <c r="AM21" s="37" t="str">
        <f>DATA!BA10</f>
        <v>Pengadaan material rangka jembatan untuk pekerjaan konstruksi dan rehabilitasi sekitar 55.000 m jembatan yang ada di Indonesia</v>
      </c>
    </row>
    <row r="22" spans="1:39" ht="45" customHeight="1">
      <c r="A22" s="10">
        <f>DATA!A11</f>
        <v>9</v>
      </c>
      <c r="B22" s="10">
        <f>DATA!B11</f>
        <v>0</v>
      </c>
      <c r="C22" s="10" t="str">
        <f>DATA!D11</f>
        <v>INFRASTRUKTUR</v>
      </c>
      <c r="D22" s="10">
        <f>DATA!E11</f>
        <v>1</v>
      </c>
      <c r="E22" s="10" t="str">
        <f>DATA!F11</f>
        <v>Kementerian Pekerjaan Umum dan Perumahan Rakyat</v>
      </c>
      <c r="F22" s="10" t="str">
        <f>DATA!H11</f>
        <v>Development and Improvement of National Bridges Program</v>
      </c>
      <c r="G22" s="10" t="str">
        <f>DATA!I11</f>
        <v>B</v>
      </c>
      <c r="H22" s="10" t="str">
        <f>DATA!J11</f>
        <v xml:space="preserve">Program Pembangunan / Peningkatan Jembatan </v>
      </c>
      <c r="I22" s="10">
        <f>DATA!K11</f>
        <v>2</v>
      </c>
      <c r="J22" s="33"/>
      <c r="K22" s="34"/>
      <c r="L22" s="34"/>
      <c r="M22" s="36">
        <f>DATA!K11</f>
        <v>2</v>
      </c>
      <c r="N22" s="37" t="str">
        <f>DATA!L11</f>
        <v>Development of Fly Over/ Under Pass for Railways Crossing</v>
      </c>
      <c r="O22" s="20">
        <f>DATA!Q11</f>
        <v>1</v>
      </c>
      <c r="P22" s="20">
        <f>DATA!R11</f>
        <v>1</v>
      </c>
      <c r="Q22" s="20">
        <f>DATA!S11</f>
        <v>7</v>
      </c>
      <c r="R22" s="77">
        <f>DATA!T11</f>
        <v>250000000</v>
      </c>
      <c r="S22" s="83">
        <f>DATA!U11</f>
        <v>250000000</v>
      </c>
      <c r="T22" s="77">
        <f>DATA!V11</f>
        <v>50000000</v>
      </c>
      <c r="U22" s="77">
        <f>DATA!W11</f>
        <v>0</v>
      </c>
      <c r="V22" s="77">
        <f>DATA!X11</f>
        <v>300000000</v>
      </c>
      <c r="W22" s="78" t="str">
        <f>DATA!Y11</f>
        <v>JICA</v>
      </c>
      <c r="X22" s="20" t="str">
        <f>DATA!Z11</f>
        <v>Bilateral</v>
      </c>
      <c r="Y22" s="77">
        <f>DATA!AA11</f>
        <v>250000000</v>
      </c>
      <c r="Z22" s="77">
        <f>DATA!AG11</f>
        <v>0</v>
      </c>
      <c r="AA22" s="20">
        <f>DATA!AH11</f>
        <v>2017</v>
      </c>
      <c r="AB22" s="37" t="str">
        <f>DATA!AI11</f>
        <v>-</v>
      </c>
      <c r="AC22" s="37" t="str">
        <f>DATA!AJ11</f>
        <v>Penyusunan FS dan BD</v>
      </c>
      <c r="AD22" s="37" t="str">
        <f>DATA!AK11</f>
        <v>-</v>
      </c>
      <c r="AE22" s="37" t="str">
        <f>DATA!AL11</f>
        <v>-</v>
      </c>
      <c r="AF22" s="20" t="str">
        <f>DATA!AR11</f>
        <v>belum ada dokumen R/C</v>
      </c>
      <c r="AG22" s="20" t="str">
        <f>DATA!AN11</f>
        <v>dalam proses
(penyusunan FS)</v>
      </c>
      <c r="AH22" s="20" t="str">
        <f>DATA!AO11</f>
        <v>belum ada keterangan</v>
      </c>
      <c r="AI22" s="20" t="str">
        <f>DATA!AP11</f>
        <v>belum ada proses tender/lelang</v>
      </c>
      <c r="AJ22" s="20" t="str">
        <f>DATA!AY11</f>
        <v>- Konfirmasi melalui surat Sekjen nomor KU.01.12-Sj/636 tgl 23 Oktober 2015</v>
      </c>
      <c r="AK22" s="20" t="e">
        <f>DATA!#REF!</f>
        <v>#REF!</v>
      </c>
      <c r="AL22" s="20">
        <f>DATA!AZ11</f>
        <v>0</v>
      </c>
      <c r="AM22" s="37" t="str">
        <f>DATA!BA11</f>
        <v>Pembangunan fly over/ under pass untuk persimpangan jalan dengan jalan kereta sepanjang 7 km di Jawa dan Sumatera</v>
      </c>
    </row>
    <row r="23" spans="1:39" ht="43.5" customHeight="1">
      <c r="A23" s="10">
        <f>DATA!A12</f>
        <v>10</v>
      </c>
      <c r="B23" s="10">
        <f>DATA!B12</f>
        <v>0</v>
      </c>
      <c r="C23" s="10" t="str">
        <f>DATA!D12</f>
        <v>INFRASTRUKTUR</v>
      </c>
      <c r="D23" s="10">
        <f>DATA!E12</f>
        <v>1</v>
      </c>
      <c r="E23" s="10" t="str">
        <f>DATA!F12</f>
        <v>Kementerian Pekerjaan Umum dan Perumahan Rakyat</v>
      </c>
      <c r="F23" s="10" t="str">
        <f>DATA!H12</f>
        <v>Development and Improvement of National Bridges Program</v>
      </c>
      <c r="G23" s="10" t="str">
        <f>DATA!I12</f>
        <v>B</v>
      </c>
      <c r="H23" s="10" t="str">
        <f>DATA!J12</f>
        <v xml:space="preserve">Program Pembangunan / Peningkatan Jembatan </v>
      </c>
      <c r="I23" s="10">
        <f>DATA!K12</f>
        <v>3</v>
      </c>
      <c r="J23" s="33"/>
      <c r="K23" s="34"/>
      <c r="L23" s="34"/>
      <c r="M23" s="36">
        <f>DATA!K12</f>
        <v>3</v>
      </c>
      <c r="N23" s="37" t="str">
        <f>DATA!L12</f>
        <v>Development of Fly Over/ Under Pass in Major Cities</v>
      </c>
      <c r="O23" s="20">
        <f>DATA!Q12</f>
        <v>1</v>
      </c>
      <c r="P23" s="20">
        <f>DATA!R12</f>
        <v>1</v>
      </c>
      <c r="Q23" s="20">
        <f>DATA!S12</f>
        <v>8</v>
      </c>
      <c r="R23" s="77">
        <f>DATA!T12</f>
        <v>270000000</v>
      </c>
      <c r="S23" s="83">
        <f>DATA!U12</f>
        <v>270000000</v>
      </c>
      <c r="T23" s="77">
        <f>DATA!V12</f>
        <v>50000000</v>
      </c>
      <c r="U23" s="77">
        <f>DATA!W12</f>
        <v>0</v>
      </c>
      <c r="V23" s="77">
        <f>DATA!X12</f>
        <v>320000000</v>
      </c>
      <c r="W23" s="78" t="str">
        <f>DATA!Y12</f>
        <v>JICA</v>
      </c>
      <c r="X23" s="20" t="str">
        <f>DATA!Z12</f>
        <v>Bilateral</v>
      </c>
      <c r="Y23" s="77">
        <f>DATA!AA12</f>
        <v>270000000</v>
      </c>
      <c r="Z23" s="77">
        <f>DATA!AG12</f>
        <v>0</v>
      </c>
      <c r="AA23" s="20">
        <f>DATA!AH12</f>
        <v>2017</v>
      </c>
      <c r="AB23" s="37" t="str">
        <f>DATA!AI12</f>
        <v>-</v>
      </c>
      <c r="AC23" s="37" t="str">
        <f>DATA!AJ12</f>
        <v>Penyusunan FS dan BD</v>
      </c>
      <c r="AD23" s="37" t="str">
        <f>DATA!AK12</f>
        <v>-</v>
      </c>
      <c r="AE23" s="37" t="str">
        <f>DATA!AL12</f>
        <v>-</v>
      </c>
      <c r="AF23" s="20" t="str">
        <f>DATA!AR12</f>
        <v>belum ada dokumen R/C</v>
      </c>
      <c r="AG23" s="20" t="str">
        <f>DATA!AN12</f>
        <v>dalam proses
 (penyusunan FS)</v>
      </c>
      <c r="AH23" s="20" t="str">
        <f>DATA!AO12</f>
        <v>belum ada keterangan</v>
      </c>
      <c r="AI23" s="20" t="str">
        <f>DATA!AP12</f>
        <v>belum ada proses tender/lelang</v>
      </c>
      <c r="AJ23" s="20" t="str">
        <f>DATA!AY12</f>
        <v>Konfirmasi melalui surat Sekjen nomor KU.01.12-Sj/636 tgl 23 Oktober 2015</v>
      </c>
      <c r="AK23" s="20" t="e">
        <f>DATA!#REF!</f>
        <v>#REF!</v>
      </c>
      <c r="AL23" s="20">
        <f>DATA!AZ12</f>
        <v>0</v>
      </c>
      <c r="AM23" s="37" t="str">
        <f>DATA!BA12</f>
        <v>Pembangunan fly over/ under pass sepanjang kurang lebih 8 km untuk 9 kota besar yang ada di Jawa dan Sumatera</v>
      </c>
    </row>
    <row r="24" spans="1:39" ht="35.25" customHeight="1">
      <c r="A24" s="10">
        <f>DATA!A13</f>
        <v>11</v>
      </c>
      <c r="B24" s="10">
        <f>DATA!B13</f>
        <v>0</v>
      </c>
      <c r="C24" s="10" t="str">
        <f>DATA!D13</f>
        <v>INFRASTRUKTUR</v>
      </c>
      <c r="D24" s="10">
        <f>DATA!E13</f>
        <v>1</v>
      </c>
      <c r="E24" s="10" t="str">
        <f>DATA!F13</f>
        <v>Kementerian Pekerjaan Umum dan Perumahan Rakyat</v>
      </c>
      <c r="F24" s="10" t="str">
        <f>DATA!H13</f>
        <v>Development and Improvement of National Bridges Program</v>
      </c>
      <c r="G24" s="10" t="str">
        <f>DATA!I13</f>
        <v>B</v>
      </c>
      <c r="H24" s="10" t="str">
        <f>DATA!J13</f>
        <v xml:space="preserve">Program Pembangunan / Peningkatan Jembatan </v>
      </c>
      <c r="I24" s="10">
        <f>DATA!K13</f>
        <v>4</v>
      </c>
      <c r="J24" s="33"/>
      <c r="K24" s="34"/>
      <c r="L24" s="34"/>
      <c r="M24" s="36">
        <f>DATA!K13</f>
        <v>4</v>
      </c>
      <c r="N24" s="37" t="str">
        <f>DATA!L13</f>
        <v>Balinka - Matur - Ngarai Sianok Tunnel Construction</v>
      </c>
      <c r="O24" s="20">
        <f>DATA!Q13</f>
        <v>1</v>
      </c>
      <c r="P24" s="20">
        <f>DATA!R13</f>
        <v>1</v>
      </c>
      <c r="Q24" s="20">
        <f>DATA!S13</f>
        <v>9</v>
      </c>
      <c r="R24" s="77">
        <f>DATA!T13</f>
        <v>175000000</v>
      </c>
      <c r="S24" s="83">
        <f>DATA!U13</f>
        <v>175000000</v>
      </c>
      <c r="T24" s="77">
        <f>DATA!V13</f>
        <v>8750000</v>
      </c>
      <c r="U24" s="77">
        <f>DATA!W13</f>
        <v>0</v>
      </c>
      <c r="V24" s="77">
        <f>DATA!X13</f>
        <v>183750000</v>
      </c>
      <c r="W24" s="78" t="str">
        <f>DATA!Y13</f>
        <v>Korea/RRT</v>
      </c>
      <c r="X24" s="20" t="str">
        <f>DATA!Z13</f>
        <v>Multi Lender</v>
      </c>
      <c r="Y24" s="77">
        <f>DATA!AA13</f>
        <v>175000000</v>
      </c>
      <c r="Z24" s="77">
        <f>DATA!AG13</f>
        <v>0</v>
      </c>
      <c r="AA24" s="20">
        <f>DATA!AH13</f>
        <v>2017</v>
      </c>
      <c r="AB24" s="37" t="str">
        <f>DATA!AI13</f>
        <v>-</v>
      </c>
      <c r="AC24" s="37" t="str">
        <f>DATA!AJ13</f>
        <v>FS, DED, SP2LP</v>
      </c>
      <c r="AD24" s="37" t="str">
        <f>DATA!AK13</f>
        <v>-</v>
      </c>
      <c r="AE24" s="37" t="str">
        <f>DATA!AL13</f>
        <v>-</v>
      </c>
      <c r="AF24" s="20" t="str">
        <f>DATA!AR13</f>
        <v>belum ada dokumen R/C</v>
      </c>
      <c r="AG24" s="20" t="str">
        <f>DATA!AN13</f>
        <v>dalam proses
(memiliki FS dan DED)</v>
      </c>
      <c r="AH24" s="20" t="str">
        <f>DATA!AO13</f>
        <v>belum ada keterangan</v>
      </c>
      <c r="AI24" s="20" t="str">
        <f>DATA!AP13</f>
        <v>belum ada proses tender/lelang</v>
      </c>
      <c r="AJ24" s="20" t="str">
        <f>DATA!AY13</f>
        <v>Konfirmasi melalui surat Sekjen nomor KU.01.12-Sj/636 tgl 23 Oktober 2015</v>
      </c>
      <c r="AK24" s="20" t="e">
        <f>DATA!#REF!</f>
        <v>#REF!</v>
      </c>
      <c r="AL24" s="20">
        <f>DATA!AZ13</f>
        <v>0</v>
      </c>
      <c r="AM24" s="37" t="str">
        <f>DATA!BA13</f>
        <v xml:space="preserve">Pembangunan terowongan, jembatan dan jalan sepanjang 5 km di daerah Balinka-Ngarai Sianok, Sumatera Barat </v>
      </c>
    </row>
    <row r="25" spans="1:39" ht="58.5" customHeight="1">
      <c r="A25" s="10">
        <f>DATA!A14</f>
        <v>12</v>
      </c>
      <c r="B25" s="10">
        <f>DATA!B14</f>
        <v>0</v>
      </c>
      <c r="C25" s="10" t="str">
        <f>DATA!D14</f>
        <v>INFRASTRUKTUR</v>
      </c>
      <c r="D25" s="10">
        <f>DATA!E14</f>
        <v>1</v>
      </c>
      <c r="E25" s="10" t="str">
        <f>DATA!F14</f>
        <v>Kementerian Pekerjaan Umum dan Perumahan Rakyat</v>
      </c>
      <c r="F25" s="10" t="str">
        <f>DATA!H14</f>
        <v>Development and Improvement of National Bridges Program</v>
      </c>
      <c r="G25" s="10" t="str">
        <f>DATA!I14</f>
        <v>B</v>
      </c>
      <c r="H25" s="10" t="str">
        <f>DATA!J14</f>
        <v xml:space="preserve">Program Pembangunan / Peningkatan Jembatan </v>
      </c>
      <c r="I25" s="10">
        <f>DATA!K14</f>
        <v>5</v>
      </c>
      <c r="J25" s="33"/>
      <c r="K25" s="34"/>
      <c r="L25" s="54"/>
      <c r="M25" s="36">
        <f>DATA!K14</f>
        <v>5</v>
      </c>
      <c r="N25" s="37" t="str">
        <f>DATA!L14</f>
        <v>Long Span Bridge Development for Selected Area</v>
      </c>
      <c r="O25" s="20">
        <f>DATA!Q14</f>
        <v>1</v>
      </c>
      <c r="P25" s="20">
        <f>DATA!R14</f>
        <v>1</v>
      </c>
      <c r="Q25" s="20">
        <f>DATA!S14</f>
        <v>10</v>
      </c>
      <c r="R25" s="77">
        <f>DATA!T14</f>
        <v>355000000</v>
      </c>
      <c r="S25" s="83">
        <f>DATA!U14</f>
        <v>355000000</v>
      </c>
      <c r="T25" s="77">
        <f>DATA!V14</f>
        <v>17750000</v>
      </c>
      <c r="U25" s="77">
        <f>DATA!W14</f>
        <v>0</v>
      </c>
      <c r="V25" s="77">
        <f>DATA!X14</f>
        <v>372750000</v>
      </c>
      <c r="W25" s="78" t="str">
        <f>DATA!Y14</f>
        <v>Korea/RRT</v>
      </c>
      <c r="X25" s="20" t="str">
        <f>DATA!Z14</f>
        <v>Multi Lender</v>
      </c>
      <c r="Y25" s="77">
        <f>DATA!AA14</f>
        <v>355000000</v>
      </c>
      <c r="Z25" s="77">
        <f>DATA!AG14</f>
        <v>0</v>
      </c>
      <c r="AA25" s="20" t="str">
        <f>DATA!AH14</f>
        <v>Tanpa keterangan</v>
      </c>
      <c r="AB25" s="37" t="str">
        <f>DATA!AI14</f>
        <v>-</v>
      </c>
      <c r="AC25" s="37" t="str">
        <f>DATA!AJ14</f>
        <v>-</v>
      </c>
      <c r="AD25" s="37" t="str">
        <f>DATA!AK14</f>
        <v>-</v>
      </c>
      <c r="AE25" s="37" t="str">
        <f>DATA!AL14</f>
        <v>-</v>
      </c>
      <c r="AF25" s="20" t="str">
        <f>DATA!AR14</f>
        <v>belum ada dokumen R/C</v>
      </c>
      <c r="AG25" s="20" t="str">
        <f>DATA!AN14</f>
        <v>belum ada keterangan</v>
      </c>
      <c r="AH25" s="20" t="str">
        <f>DATA!AO14</f>
        <v>belum ada keterangan</v>
      </c>
      <c r="AI25" s="20" t="str">
        <f>DATA!AP14</f>
        <v>belum ada proses tender/lelang</v>
      </c>
      <c r="AJ25" s="20" t="str">
        <f>DATA!AY14</f>
        <v>Konfirmasi melalui surat Sekjen nomor KU.01.12-Sj/636 tgl 23 Oktober 2015</v>
      </c>
      <c r="AK25" s="20" t="e">
        <f>DATA!#REF!</f>
        <v>#REF!</v>
      </c>
      <c r="AL25" s="20">
        <f>DATA!AZ14</f>
        <v>0</v>
      </c>
      <c r="AM25" s="37" t="str">
        <f>DATA!BA14</f>
        <v>Pembangunan jembatan bentang panjang 5.000 m (pada area tertentu) di wilayah Pulau Jawa dan Sumatera yang dipisahkan oleh oleh sungai, rawa, danau, selat, saluran besar.</v>
      </c>
    </row>
    <row r="26" spans="1:39" s="5" customFormat="1" ht="33.75" customHeight="1">
      <c r="J26" s="28"/>
      <c r="K26" s="50"/>
      <c r="L26" s="30" t="str">
        <f>DATA!I15</f>
        <v>C</v>
      </c>
      <c r="M26" s="31" t="str">
        <f>DATA!J16</f>
        <v>Program Pembangunan / Peningkatan Jalan</v>
      </c>
      <c r="N26" s="51"/>
      <c r="O26" s="31"/>
      <c r="P26" s="31"/>
      <c r="Q26" s="31"/>
      <c r="R26" s="81">
        <f>SUM(R27:R34)</f>
        <v>2000000000</v>
      </c>
      <c r="S26" s="81"/>
      <c r="T26" s="81">
        <f>SUM(T28:T34)</f>
        <v>350000000</v>
      </c>
      <c r="U26" s="81">
        <f>SUM(U28:U34)</f>
        <v>0</v>
      </c>
      <c r="V26" s="81">
        <f>SUM(V28:V34)</f>
        <v>2100000000</v>
      </c>
      <c r="W26" s="81"/>
      <c r="X26" s="81">
        <f>SUM(X28:X34)</f>
        <v>0</v>
      </c>
      <c r="Y26" s="81">
        <f>SUM(Y28:Y34)</f>
        <v>1750000000</v>
      </c>
      <c r="Z26" s="81">
        <f>SUM(Z28:Z34)</f>
        <v>0</v>
      </c>
      <c r="AA26" s="31"/>
      <c r="AB26" s="32"/>
      <c r="AC26" s="32"/>
      <c r="AD26" s="32"/>
      <c r="AE26" s="32"/>
      <c r="AF26" s="31"/>
      <c r="AG26" s="31"/>
      <c r="AH26" s="31"/>
      <c r="AI26" s="31"/>
      <c r="AJ26" s="31"/>
      <c r="AK26" s="31"/>
      <c r="AL26" s="31"/>
      <c r="AM26" s="32"/>
    </row>
    <row r="27" spans="1:39" s="135" customFormat="1" ht="33.75" customHeight="1">
      <c r="A27" s="5"/>
      <c r="B27" s="5"/>
      <c r="C27" s="5"/>
      <c r="D27" s="5"/>
      <c r="E27" s="5"/>
      <c r="F27" s="5"/>
      <c r="G27" s="5"/>
      <c r="H27" s="5"/>
      <c r="I27" s="5"/>
      <c r="J27" s="136"/>
      <c r="K27" s="137"/>
      <c r="L27" s="138"/>
      <c r="M27" s="60">
        <f>DATA!K15</f>
        <v>1</v>
      </c>
      <c r="N27" s="61" t="str">
        <f>DATA!L15</f>
        <v>Urban Arterial Road Improvement Project</v>
      </c>
      <c r="O27" s="37">
        <f>DATA!Q15</f>
        <v>1</v>
      </c>
      <c r="P27" s="37">
        <f>DATA!R15</f>
        <v>1</v>
      </c>
      <c r="Q27" s="37">
        <f>DATA!S15</f>
        <v>0</v>
      </c>
      <c r="R27" s="139">
        <f>DATA!T15</f>
        <v>250000000</v>
      </c>
      <c r="S27" s="139">
        <f>DATA!U15</f>
        <v>205000000</v>
      </c>
      <c r="T27" s="139">
        <f>DATA!V15</f>
        <v>50000000</v>
      </c>
      <c r="U27" s="87">
        <f>DATA!W15</f>
        <v>0</v>
      </c>
      <c r="V27" s="139">
        <f>DATA!X15</f>
        <v>300000000</v>
      </c>
      <c r="W27" s="90" t="str">
        <f>DATA!Y15</f>
        <v>JICA</v>
      </c>
      <c r="X27" s="37" t="str">
        <f>DATA!Z15</f>
        <v>Multilateral</v>
      </c>
      <c r="Y27" s="139">
        <f>DATA!AA15</f>
        <v>205000000</v>
      </c>
      <c r="Z27" s="139">
        <f>DATA!AG15</f>
        <v>0</v>
      </c>
      <c r="AA27" s="61">
        <f>DATA!AH15</f>
        <v>2016</v>
      </c>
      <c r="AB27" s="127" t="str">
        <f>DATA!AI15</f>
        <v>-</v>
      </c>
      <c r="AC27" s="127" t="str">
        <f>DATA!AJ15</f>
        <v>Sebagian telah ada FS, DED dan AMDAL</v>
      </c>
      <c r="AD27" s="127" t="str">
        <f>DATA!AK15</f>
        <v>-</v>
      </c>
      <c r="AE27" s="127" t="str">
        <f>DATA!AL15</f>
        <v>-</v>
      </c>
      <c r="AF27" s="31"/>
      <c r="AG27" s="31"/>
      <c r="AH27" s="31"/>
      <c r="AI27" s="31"/>
      <c r="AJ27" s="31"/>
      <c r="AK27" s="31"/>
      <c r="AL27" s="31"/>
      <c r="AM27" s="32"/>
    </row>
    <row r="28" spans="1:39" s="8" customFormat="1" ht="37.5" customHeight="1">
      <c r="A28" s="10">
        <f>DATA!A16</f>
        <v>14</v>
      </c>
      <c r="B28" s="10">
        <f>DATA!B16</f>
        <v>0</v>
      </c>
      <c r="C28" s="10" t="str">
        <f>DATA!D16</f>
        <v>INFRASTRUKTUR</v>
      </c>
      <c r="D28" s="10">
        <f>DATA!E16</f>
        <v>1</v>
      </c>
      <c r="E28" s="10" t="str">
        <f>DATA!F16</f>
        <v>Kementerian Pekerjaan Umum dan Perumahan Rakyat</v>
      </c>
      <c r="F28" s="10" t="str">
        <f>DATA!H16</f>
        <v>Development and Improvement of National Roads Program</v>
      </c>
      <c r="G28" s="10" t="str">
        <f>DATA!I16</f>
        <v>C</v>
      </c>
      <c r="H28" s="10" t="str">
        <f>DATA!J16</f>
        <v>Program Pembangunan / Peningkatan Jalan</v>
      </c>
      <c r="I28" s="10">
        <f>DATA!K16</f>
        <v>2</v>
      </c>
      <c r="J28" s="57"/>
      <c r="K28" s="58"/>
      <c r="L28" s="58"/>
      <c r="M28" s="60">
        <f>DATA!K16</f>
        <v>2</v>
      </c>
      <c r="N28" s="61" t="str">
        <f>DATA!L16</f>
        <v>Construction of Development of Trans South-South, Eastern Java</v>
      </c>
      <c r="O28" s="20">
        <f>DATA!Q16</f>
        <v>1</v>
      </c>
      <c r="P28" s="20">
        <f>DATA!R16</f>
        <v>1</v>
      </c>
      <c r="Q28" s="20">
        <f>DATA!S16</f>
        <v>12</v>
      </c>
      <c r="R28" s="89">
        <f>DATA!T16</f>
        <v>250000000</v>
      </c>
      <c r="S28" s="89">
        <f>DATA!U16</f>
        <v>250000000</v>
      </c>
      <c r="T28" s="89">
        <f>DATA!V16</f>
        <v>50000000</v>
      </c>
      <c r="U28" s="77">
        <f>DATA!W16</f>
        <v>0</v>
      </c>
      <c r="V28" s="89">
        <f>DATA!X16</f>
        <v>300000000</v>
      </c>
      <c r="W28" s="128" t="str">
        <f>DATA!Y16</f>
        <v>IDB</v>
      </c>
      <c r="X28" s="77" t="str">
        <f>DATA!Z16</f>
        <v>Multilateral</v>
      </c>
      <c r="Y28" s="89">
        <f>DATA!AA16</f>
        <v>250000000</v>
      </c>
      <c r="Z28" s="89">
        <f>DATA!AG16</f>
        <v>0</v>
      </c>
      <c r="AA28" s="141">
        <f>DATA!AH16</f>
        <v>2016</v>
      </c>
      <c r="AB28" s="142" t="str">
        <f>DATA!AI16</f>
        <v>-</v>
      </c>
      <c r="AC28" s="142" t="str">
        <f>DATA!AJ16</f>
        <v>FS ada, DED dan AMDAL sebagian</v>
      </c>
      <c r="AD28" s="142" t="str">
        <f>DATA!AK16</f>
        <v>-</v>
      </c>
      <c r="AE28" s="127" t="str">
        <f>DATA!AL16</f>
        <v>-</v>
      </c>
      <c r="AF28" s="20" t="str">
        <f>DATA!AM16</f>
        <v>Rev. 2016</v>
      </c>
      <c r="AG28" s="20" t="str">
        <f>DATA!AN16</f>
        <v>siap</v>
      </c>
      <c r="AH28" s="20" t="str">
        <f>DATA!AO16</f>
        <v>belum ada keterangan</v>
      </c>
      <c r="AI28" s="20" t="str">
        <f>DATA!AP16</f>
        <v>belum ada proses tender/lelang</v>
      </c>
      <c r="AJ28" s="20" t="str">
        <f>DATA!AY16</f>
        <v>Konfirmasi melalui surat Sekjen nomor KU.01.12-Sj/636 tgl 23 Oktober 2015</v>
      </c>
      <c r="AK28" s="20" t="e">
        <f>DATA!#REF!</f>
        <v>#REF!</v>
      </c>
      <c r="AL28" s="20">
        <f>DATA!AZ16</f>
        <v>0</v>
      </c>
      <c r="AM28" s="37" t="str">
        <f>DATA!BA16</f>
        <v>Pembangunan dan peningkatan 200 km jalan Trans Selatan Selatan Pulau Jawa</v>
      </c>
    </row>
    <row r="29" spans="1:39" ht="45.75" customHeight="1">
      <c r="A29" s="10">
        <f>DATA!A17</f>
        <v>15</v>
      </c>
      <c r="B29" s="10">
        <f>DATA!B17</f>
        <v>0</v>
      </c>
      <c r="C29" s="10" t="str">
        <f>DATA!D17</f>
        <v>INFRASTRUKTUR</v>
      </c>
      <c r="D29" s="10">
        <f>DATA!E17</f>
        <v>1</v>
      </c>
      <c r="E29" s="10" t="str">
        <f>DATA!F17</f>
        <v>Kementerian Pekerjaan Umum dan Perumahan Rakyat</v>
      </c>
      <c r="F29" s="10" t="str">
        <f>DATA!H17</f>
        <v>Development and Improvement of National Roads Program</v>
      </c>
      <c r="G29" s="10" t="str">
        <f>DATA!I17</f>
        <v>C</v>
      </c>
      <c r="H29" s="10" t="str">
        <f>DATA!J17</f>
        <v>Program Pembangunan / Peningkatan Jalan</v>
      </c>
      <c r="I29" s="10">
        <f>DATA!K17</f>
        <v>3</v>
      </c>
      <c r="J29" s="33"/>
      <c r="K29" s="34"/>
      <c r="L29" s="34"/>
      <c r="M29" s="36">
        <f>DATA!K17</f>
        <v>3</v>
      </c>
      <c r="N29" s="37" t="str">
        <f>DATA!L17</f>
        <v>Road Improvement Project to Support Integrated Land and Sea Toll Way - Northern Area</v>
      </c>
      <c r="O29" s="20">
        <f>DATA!Q17</f>
        <v>1</v>
      </c>
      <c r="P29" s="20">
        <f>DATA!R17</f>
        <v>1</v>
      </c>
      <c r="Q29" s="20">
        <f>DATA!S17</f>
        <v>13</v>
      </c>
      <c r="R29" s="77">
        <f>DATA!T17</f>
        <v>250000000</v>
      </c>
      <c r="S29" s="83">
        <f>DATA!U16</f>
        <v>250000000</v>
      </c>
      <c r="T29" s="77">
        <f>DATA!V17</f>
        <v>50000000</v>
      </c>
      <c r="U29" s="77">
        <f>DATA!W17</f>
        <v>0</v>
      </c>
      <c r="V29" s="77">
        <f>DATA!X17</f>
        <v>300000000</v>
      </c>
      <c r="W29" s="78" t="str">
        <f>DATA!Y17</f>
        <v>Bank Dunia</v>
      </c>
      <c r="X29" s="20" t="str">
        <f>DATA!Z17</f>
        <v>Multilateral</v>
      </c>
      <c r="Y29" s="77">
        <f>DATA!AA17</f>
        <v>250000000</v>
      </c>
      <c r="Z29" s="77">
        <f>DATA!AG17</f>
        <v>0</v>
      </c>
      <c r="AA29" s="20" t="str">
        <f>DATA!AH17</f>
        <v>Tanpa keterangan</v>
      </c>
      <c r="AB29" s="56" t="str">
        <f>DATA!AI17</f>
        <v>-</v>
      </c>
      <c r="AC29" s="56" t="str">
        <f>DATA!AJ17</f>
        <v>-</v>
      </c>
      <c r="AD29" s="56" t="str">
        <f>DATA!AK17</f>
        <v>-</v>
      </c>
      <c r="AE29" s="56" t="str">
        <f>DATA!AL17</f>
        <v>-</v>
      </c>
      <c r="AF29" s="20">
        <f>DATA!AM17</f>
        <v>0</v>
      </c>
      <c r="AG29" s="20" t="str">
        <f>DATA!AN17</f>
        <v>belum ada keterangan</v>
      </c>
      <c r="AH29" s="20" t="str">
        <f>DATA!AO17</f>
        <v>belum ada keterangan</v>
      </c>
      <c r="AI29" s="20" t="str">
        <f>DATA!AP17</f>
        <v>belum ada proses tender/lelang</v>
      </c>
      <c r="AJ29" s="20" t="str">
        <f>DATA!AY17</f>
        <v>Konfirmasi melalui surat Sekjen nomor KU.01.12-Sj/636 tgl 23 Oktober 2015</v>
      </c>
      <c r="AK29" s="20" t="e">
        <f>DATA!#REF!</f>
        <v>#REF!</v>
      </c>
      <c r="AL29" s="20" t="str">
        <f>DATA!AZ17</f>
        <v>termasuk ES (akan dipecah?) -&gt; konfirmasi tgl 15 Okt' 15</v>
      </c>
      <c r="AM29" s="37" t="str">
        <f>DATA!BA17</f>
        <v>Pembangunan/peningkatan 200 km jalan untuk mendukung tol laut bagian utara termasuk (i) koridor Aceh - Medan - Riau dan (ii) Medan - Sibolga</v>
      </c>
    </row>
    <row r="30" spans="1:39" ht="84" customHeight="1">
      <c r="A30" s="10">
        <f>DATA!A18</f>
        <v>16</v>
      </c>
      <c r="B30" s="10">
        <f>DATA!B18</f>
        <v>0</v>
      </c>
      <c r="C30" s="10" t="str">
        <f>DATA!D18</f>
        <v>INFRASTRUKTUR</v>
      </c>
      <c r="D30" s="10">
        <f>DATA!E18</f>
        <v>1</v>
      </c>
      <c r="E30" s="10" t="str">
        <f>DATA!F18</f>
        <v>Kementerian Pekerjaan Umum dan Perumahan Rakyat</v>
      </c>
      <c r="F30" s="10" t="str">
        <f>DATA!H18</f>
        <v>Development and Improvement of National Roads Program</v>
      </c>
      <c r="G30" s="10" t="str">
        <f>DATA!I18</f>
        <v>C</v>
      </c>
      <c r="H30" s="10" t="str">
        <f>DATA!J18</f>
        <v>Program Pembangunan / Peningkatan Jalan</v>
      </c>
      <c r="I30" s="10">
        <f>DATA!K18</f>
        <v>4</v>
      </c>
      <c r="J30" s="33"/>
      <c r="K30" s="34"/>
      <c r="L30" s="34"/>
      <c r="M30" s="36">
        <f>DATA!K18</f>
        <v>4</v>
      </c>
      <c r="N30" s="37" t="str">
        <f>DATA!L18</f>
        <v>Road Improvement Project to Support Integrated Land and Sea Toll Way - Southern Area</v>
      </c>
      <c r="O30" s="20">
        <f>DATA!Q18</f>
        <v>1</v>
      </c>
      <c r="P30" s="20">
        <f>DATA!R18</f>
        <v>1</v>
      </c>
      <c r="Q30" s="20">
        <f>DATA!S18</f>
        <v>14</v>
      </c>
      <c r="R30" s="77">
        <f>DATA!T18</f>
        <v>250000000</v>
      </c>
      <c r="S30" s="83">
        <f>DATA!U17</f>
        <v>250000000</v>
      </c>
      <c r="T30" s="77">
        <f>DATA!V18</f>
        <v>50000000</v>
      </c>
      <c r="U30" s="77">
        <f>DATA!W18</f>
        <v>0</v>
      </c>
      <c r="V30" s="77">
        <f>DATA!X18</f>
        <v>300000000</v>
      </c>
      <c r="W30" s="78" t="str">
        <f>DATA!Y18</f>
        <v>Bank Dunia/ADB</v>
      </c>
      <c r="X30" s="20" t="str">
        <f>DATA!Z18</f>
        <v>Multi Lender</v>
      </c>
      <c r="Y30" s="77">
        <f>DATA!AA18</f>
        <v>250000000</v>
      </c>
      <c r="Z30" s="77">
        <f>DATA!AG18</f>
        <v>0</v>
      </c>
      <c r="AA30" s="20" t="str">
        <f>DATA!AH18</f>
        <v>Tanpa keterangan</v>
      </c>
      <c r="AB30" s="56" t="str">
        <f>DATA!AI18</f>
        <v>-</v>
      </c>
      <c r="AC30" s="56" t="str">
        <f>DATA!AJ18</f>
        <v>-</v>
      </c>
      <c r="AD30" s="56" t="str">
        <f>DATA!AK18</f>
        <v>-</v>
      </c>
      <c r="AE30" s="56" t="str">
        <f>DATA!AL18</f>
        <v>-</v>
      </c>
      <c r="AF30" s="20" t="str">
        <f>DATA!AR18</f>
        <v>belum ada dokumen R/C</v>
      </c>
      <c r="AG30" s="20" t="str">
        <f>DATA!AN18</f>
        <v>belum ada keterangan</v>
      </c>
      <c r="AH30" s="20" t="str">
        <f>DATA!AO18</f>
        <v>belum ada keterangan</v>
      </c>
      <c r="AI30" s="20" t="str">
        <f>DATA!AP18</f>
        <v>belum ada proses tender/lelang</v>
      </c>
      <c r="AJ30" s="20" t="str">
        <f>DATA!AY18</f>
        <v>Konfirmasi melalui surat Sekjen nomor KU.01.12-Sj/636 tgl 23 Oktober 2015</v>
      </c>
      <c r="AK30" s="20" t="e">
        <f>DATA!#REF!</f>
        <v>#REF!</v>
      </c>
      <c r="AL30" s="20">
        <f>DATA!AZ18</f>
        <v>0</v>
      </c>
      <c r="AM30" s="37"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row>
    <row r="31" spans="1:39" ht="46.5" customHeight="1">
      <c r="A31" s="10">
        <f>DATA!A19</f>
        <v>17</v>
      </c>
      <c r="B31" s="10">
        <f>DATA!B19</f>
        <v>0</v>
      </c>
      <c r="C31" s="10" t="str">
        <f>DATA!D19</f>
        <v>INFRASTRUKTUR</v>
      </c>
      <c r="D31" s="10">
        <f>DATA!E19</f>
        <v>1</v>
      </c>
      <c r="E31" s="10" t="str">
        <f>DATA!F19</f>
        <v>Kementerian Pekerjaan Umum dan Perumahan Rakyat</v>
      </c>
      <c r="F31" s="10" t="str">
        <f>DATA!H19</f>
        <v>Development and Improvement of National Roads Program</v>
      </c>
      <c r="G31" s="10" t="str">
        <f>DATA!I19</f>
        <v>C</v>
      </c>
      <c r="H31" s="10" t="str">
        <f>DATA!J19</f>
        <v>Program Pembangunan / Peningkatan Jalan</v>
      </c>
      <c r="I31" s="10">
        <f>DATA!K19</f>
        <v>5</v>
      </c>
      <c r="J31" s="33"/>
      <c r="K31" s="34"/>
      <c r="L31" s="34"/>
      <c r="M31" s="36">
        <f>DATA!K19</f>
        <v>5</v>
      </c>
      <c r="N31" s="37" t="str">
        <f>DATA!L19</f>
        <v>National Road Improvement in West and South Kalimantan</v>
      </c>
      <c r="O31" s="20">
        <f>DATA!Q19</f>
        <v>1</v>
      </c>
      <c r="P31" s="20">
        <f>DATA!R19</f>
        <v>1</v>
      </c>
      <c r="Q31" s="20">
        <f>DATA!S19</f>
        <v>15</v>
      </c>
      <c r="R31" s="77">
        <f>DATA!T19</f>
        <v>250000000</v>
      </c>
      <c r="S31" s="83">
        <f>DATA!U18</f>
        <v>250000000</v>
      </c>
      <c r="T31" s="77">
        <f>DATA!V19</f>
        <v>50000000</v>
      </c>
      <c r="U31" s="77">
        <f>DATA!W19</f>
        <v>0</v>
      </c>
      <c r="V31" s="77">
        <f>DATA!X19</f>
        <v>300000000</v>
      </c>
      <c r="W31" s="78" t="str">
        <f>DATA!Y19</f>
        <v>IDB</v>
      </c>
      <c r="X31" s="20" t="str">
        <f>DATA!Z19</f>
        <v>Multilateral</v>
      </c>
      <c r="Y31" s="77">
        <f>DATA!AA19</f>
        <v>250000000</v>
      </c>
      <c r="Z31" s="77">
        <f>DATA!AG19</f>
        <v>0</v>
      </c>
      <c r="AA31" s="20">
        <f>DATA!AH19</f>
        <v>2017</v>
      </c>
      <c r="AB31" s="56" t="str">
        <f>DATA!AI19</f>
        <v>-</v>
      </c>
      <c r="AC31" s="56" t="str">
        <f>DATA!AJ19</f>
        <v>-</v>
      </c>
      <c r="AD31" s="56" t="str">
        <f>DATA!AK19</f>
        <v>-</v>
      </c>
      <c r="AE31" s="56" t="str">
        <f>DATA!AL19</f>
        <v>-</v>
      </c>
      <c r="AF31" s="20" t="str">
        <f>DATA!AR19</f>
        <v>belum ada dokumen R/C</v>
      </c>
      <c r="AG31" s="20" t="str">
        <f>DATA!AN19</f>
        <v>belum ada keterangan</v>
      </c>
      <c r="AH31" s="20" t="str">
        <f>DATA!AO19</f>
        <v>belum ada keterangan</v>
      </c>
      <c r="AI31" s="20" t="str">
        <f>DATA!AP19</f>
        <v>belum ada proses tender/lelang</v>
      </c>
      <c r="AJ31" s="20" t="str">
        <f>DATA!AY19</f>
        <v>Konfirmasi melalui surat Sekjen nomor KU.01.12-Sj/636 tgl 23 Oktober 2015</v>
      </c>
      <c r="AK31" s="20" t="e">
        <f>DATA!#REF!</f>
        <v>#REF!</v>
      </c>
      <c r="AL31" s="20">
        <f>DATA!AZ19</f>
        <v>0</v>
      </c>
      <c r="AM31" s="37" t="str">
        <f>DATA!BA19</f>
        <v>Pembangunan/peningkatan 200 km jalan di daerah koridor perbatasan di Kalimantan Barat dan jalan internasional di Kalimantan Selatan</v>
      </c>
    </row>
    <row r="32" spans="1:39" ht="36.75" customHeight="1">
      <c r="A32" s="10">
        <f>DATA!A20</f>
        <v>18</v>
      </c>
      <c r="B32" s="10">
        <f>DATA!B20</f>
        <v>0</v>
      </c>
      <c r="C32" s="10" t="str">
        <f>DATA!D20</f>
        <v>INFRASTRUKTUR</v>
      </c>
      <c r="D32" s="10">
        <f>DATA!E20</f>
        <v>1</v>
      </c>
      <c r="E32" s="10" t="str">
        <f>DATA!F20</f>
        <v>Kementerian Pekerjaan Umum dan Perumahan Rakyat</v>
      </c>
      <c r="F32" s="10" t="str">
        <f>DATA!H20</f>
        <v>Development and Improvement of National Roads Program</v>
      </c>
      <c r="G32" s="10" t="str">
        <f>DATA!I20</f>
        <v>C</v>
      </c>
      <c r="H32" s="10" t="str">
        <f>DATA!J20</f>
        <v>Program Pembangunan / Peningkatan Jalan</v>
      </c>
      <c r="I32" s="10">
        <f>DATA!K20</f>
        <v>6</v>
      </c>
      <c r="J32" s="33"/>
      <c r="K32" s="34"/>
      <c r="L32" s="34"/>
      <c r="M32" s="36">
        <f>DATA!K20</f>
        <v>6</v>
      </c>
      <c r="N32" s="37" t="str">
        <f>DATA!L20</f>
        <v>National Road Improvement in Central Kalimantan</v>
      </c>
      <c r="O32" s="20">
        <f>DATA!Q20</f>
        <v>1</v>
      </c>
      <c r="P32" s="20">
        <f>DATA!R20</f>
        <v>1</v>
      </c>
      <c r="Q32" s="20">
        <f>DATA!S20</f>
        <v>16</v>
      </c>
      <c r="R32" s="77">
        <f>DATA!T20</f>
        <v>250000000</v>
      </c>
      <c r="S32" s="83">
        <f>DATA!U19</f>
        <v>250000000</v>
      </c>
      <c r="T32" s="77">
        <f>DATA!V20</f>
        <v>50000000</v>
      </c>
      <c r="U32" s="77">
        <f>DATA!W20</f>
        <v>0</v>
      </c>
      <c r="V32" s="77">
        <f>DATA!X20</f>
        <v>300000000</v>
      </c>
      <c r="W32" s="78" t="str">
        <f>DATA!Y20</f>
        <v>Bank Dunia/ADB</v>
      </c>
      <c r="X32" s="20" t="str">
        <f>DATA!Z20</f>
        <v>Multi Lender</v>
      </c>
      <c r="Y32" s="77">
        <f>DATA!AA20</f>
        <v>250000000</v>
      </c>
      <c r="Z32" s="77">
        <f>DATA!AG20</f>
        <v>0</v>
      </c>
      <c r="AA32" s="20" t="str">
        <f>DATA!AH20</f>
        <v>Tanpa keterangan</v>
      </c>
      <c r="AB32" s="56" t="str">
        <f>DATA!AI20</f>
        <v>-</v>
      </c>
      <c r="AC32" s="56" t="str">
        <f>DATA!AJ20</f>
        <v xml:space="preserve">FS, BD, AMDAL, Penyusunan DED, SP2LP </v>
      </c>
      <c r="AD32" s="56" t="str">
        <f>DATA!AK20</f>
        <v>-</v>
      </c>
      <c r="AE32" s="56" t="str">
        <f>DATA!AL20</f>
        <v>-</v>
      </c>
      <c r="AF32" s="20" t="str">
        <f>DATA!AR20</f>
        <v>belum ada dokumen R/C</v>
      </c>
      <c r="AG32" s="20" t="str">
        <f>DATA!AN20</f>
        <v>siap</v>
      </c>
      <c r="AH32" s="20" t="str">
        <f>DATA!AO20</f>
        <v>belum ada keterangan</v>
      </c>
      <c r="AI32" s="20" t="str">
        <f>DATA!AP20</f>
        <v>belum ada proses tender/lelang</v>
      </c>
      <c r="AJ32" s="20" t="str">
        <f>DATA!AY20</f>
        <v>Konfirmasi melalui surat Sekjen nomor KU.01.12-Sj/636 tgl 23 Oktober 2015</v>
      </c>
      <c r="AK32" s="20" t="e">
        <f>DATA!#REF!</f>
        <v>#REF!</v>
      </c>
      <c r="AL32" s="20">
        <f>DATA!AZ20</f>
        <v>0</v>
      </c>
      <c r="AM32" s="37" t="str">
        <f>DATA!BA20</f>
        <v>Pembangunan 200 km jalan di wilayah Kalimantan Tengah</v>
      </c>
    </row>
    <row r="33" spans="1:39" s="8" customFormat="1" ht="31.5" customHeight="1">
      <c r="A33" s="10">
        <f>DATA!A21</f>
        <v>19</v>
      </c>
      <c r="B33" s="10">
        <f>DATA!B21</f>
        <v>0</v>
      </c>
      <c r="C33" s="10" t="str">
        <f>DATA!D21</f>
        <v>INFRASTRUKTUR</v>
      </c>
      <c r="D33" s="10">
        <f>DATA!E21</f>
        <v>1</v>
      </c>
      <c r="E33" s="10" t="str">
        <f>DATA!F21</f>
        <v>Kementerian Pekerjaan Umum dan Perumahan Rakyat</v>
      </c>
      <c r="F33" s="10" t="str">
        <f>DATA!H21</f>
        <v>Development and Improvement of National Roads Program</v>
      </c>
      <c r="G33" s="10" t="str">
        <f>DATA!I21</f>
        <v>C</v>
      </c>
      <c r="H33" s="10" t="str">
        <f>DATA!J21</f>
        <v>Program Pembangunan / Peningkatan Jalan</v>
      </c>
      <c r="I33" s="10">
        <f>DATA!K21</f>
        <v>7</v>
      </c>
      <c r="J33" s="57"/>
      <c r="K33" s="58"/>
      <c r="L33" s="58"/>
      <c r="M33" s="60">
        <f>DATA!K21</f>
        <v>7</v>
      </c>
      <c r="N33" s="61" t="str">
        <f>DATA!L21</f>
        <v>National Road Improvement in North and East Kalimantan</v>
      </c>
      <c r="O33" s="20">
        <f>DATA!Q21</f>
        <v>1</v>
      </c>
      <c r="P33" s="20">
        <f>DATA!R21</f>
        <v>1</v>
      </c>
      <c r="Q33" s="20">
        <f>DATA!S21</f>
        <v>17</v>
      </c>
      <c r="R33" s="89">
        <f>DATA!T21</f>
        <v>250000000</v>
      </c>
      <c r="S33" s="85">
        <f>DATA!U20</f>
        <v>250000000</v>
      </c>
      <c r="T33" s="89">
        <f>DATA!V21</f>
        <v>50000000</v>
      </c>
      <c r="U33" s="77">
        <f>DATA!W21</f>
        <v>0</v>
      </c>
      <c r="V33" s="89">
        <f>DATA!X21</f>
        <v>300000000</v>
      </c>
      <c r="W33" s="90" t="str">
        <f>DATA!Y21</f>
        <v>IDB</v>
      </c>
      <c r="X33" s="20" t="str">
        <f>DATA!Z21</f>
        <v>Multilateral</v>
      </c>
      <c r="Y33" s="89">
        <f>DATA!AA21</f>
        <v>250000000</v>
      </c>
      <c r="Z33" s="89">
        <f>DATA!AG21</f>
        <v>0</v>
      </c>
      <c r="AA33" s="103">
        <f>DATA!AH21</f>
        <v>2016</v>
      </c>
      <c r="AB33" s="127" t="str">
        <f>DATA!AI21</f>
        <v>-</v>
      </c>
      <c r="AC33" s="127" t="str">
        <f>DATA!AJ21</f>
        <v>FS dan BD ada, DED dan AMDAL sebagian</v>
      </c>
      <c r="AD33" s="127" t="str">
        <f>DATA!AK21</f>
        <v>-</v>
      </c>
      <c r="AE33" s="127" t="str">
        <f>DATA!AL21</f>
        <v>-</v>
      </c>
      <c r="AF33" s="20" t="str">
        <f>DATA!AR21</f>
        <v>belum ada dokumen R/C</v>
      </c>
      <c r="AG33" s="20" t="str">
        <f>DATA!AN21</f>
        <v>siap</v>
      </c>
      <c r="AH33" s="20" t="str">
        <f>DATA!AO21</f>
        <v>belum ada keterangan</v>
      </c>
      <c r="AI33" s="20" t="str">
        <f>DATA!AP21</f>
        <v>belum ada proses tender/lelang</v>
      </c>
      <c r="AJ33" s="20" t="str">
        <f>DATA!AY21</f>
        <v>Konfirmasi melalui surat Sekjen nomor KU.01.12-Sj/636 tgl 23 Oktober 201515</v>
      </c>
      <c r="AK33" s="20" t="e">
        <f>DATA!#REF!</f>
        <v>#REF!</v>
      </c>
      <c r="AL33" s="20">
        <f>DATA!AZ21</f>
        <v>0</v>
      </c>
      <c r="AM33" s="37" t="str">
        <f>DATA!BA21</f>
        <v>Pembangunan 200 km jalan di wilayah Kalimantan Utara dan Kalimantan Timur</v>
      </c>
    </row>
    <row r="34" spans="1:39" s="8" customFormat="1" ht="48" customHeight="1">
      <c r="A34" s="10">
        <f>DATA!A22</f>
        <v>20</v>
      </c>
      <c r="B34" s="10">
        <f>DATA!B22</f>
        <v>0</v>
      </c>
      <c r="C34" s="10" t="str">
        <f>DATA!D22</f>
        <v>INFRASTRUKTUR</v>
      </c>
      <c r="D34" s="10">
        <f>DATA!E22</f>
        <v>1</v>
      </c>
      <c r="E34" s="10" t="str">
        <f>DATA!F22</f>
        <v>Kementerian Pekerjaan Umum dan Perumahan Rakyat</v>
      </c>
      <c r="F34" s="10" t="str">
        <f>DATA!H22</f>
        <v>Development and Improvement of National Roads Program</v>
      </c>
      <c r="G34" s="10" t="str">
        <f>DATA!I22</f>
        <v>C</v>
      </c>
      <c r="H34" s="10" t="str">
        <f>DATA!J22</f>
        <v>Program Pembangunan / Peningkatan Jalan</v>
      </c>
      <c r="I34" s="10">
        <f>DATA!K22</f>
        <v>8</v>
      </c>
      <c r="J34" s="57"/>
      <c r="K34" s="58"/>
      <c r="L34" s="111"/>
      <c r="M34" s="60">
        <f>DATA!K22</f>
        <v>8</v>
      </c>
      <c r="N34" s="61" t="str">
        <f>DATA!L22</f>
        <v>Road Improvement Project in Sulawesi Island and Major Cities</v>
      </c>
      <c r="O34" s="20">
        <f>DATA!Q22</f>
        <v>1</v>
      </c>
      <c r="P34" s="20">
        <f>DATA!R22</f>
        <v>1</v>
      </c>
      <c r="Q34" s="20">
        <f>DATA!S22</f>
        <v>18</v>
      </c>
      <c r="R34" s="89">
        <f>DATA!T22</f>
        <v>250000000</v>
      </c>
      <c r="S34" s="85">
        <f>DATA!U21</f>
        <v>250000000</v>
      </c>
      <c r="T34" s="89">
        <f>DATA!V22</f>
        <v>50000000</v>
      </c>
      <c r="U34" s="77">
        <f>DATA!W22</f>
        <v>0</v>
      </c>
      <c r="V34" s="89">
        <f>DATA!X22</f>
        <v>300000000</v>
      </c>
      <c r="W34" s="90" t="str">
        <f>DATA!Y22</f>
        <v>IDB</v>
      </c>
      <c r="X34" s="20" t="str">
        <f>DATA!Z22</f>
        <v>Multilateral</v>
      </c>
      <c r="Y34" s="89">
        <f>DATA!AA22</f>
        <v>250000000</v>
      </c>
      <c r="Z34" s="89">
        <f>DATA!AG22</f>
        <v>0</v>
      </c>
      <c r="AA34" s="103">
        <f>DATA!AH22</f>
        <v>2016</v>
      </c>
      <c r="AB34" s="127" t="str">
        <f>DATA!AI22</f>
        <v>-</v>
      </c>
      <c r="AC34" s="127" t="str">
        <f>DATA!AJ22</f>
        <v>FS, AMDAL</v>
      </c>
      <c r="AD34" s="127" t="str">
        <f>DATA!AK22</f>
        <v>-</v>
      </c>
      <c r="AE34" s="127" t="str">
        <f>DATA!AL22</f>
        <v>-</v>
      </c>
      <c r="AF34" s="20" t="str">
        <f>DATA!AR22</f>
        <v>belum ada dokumen R/C</v>
      </c>
      <c r="AG34" s="20" t="str">
        <f>DATA!AN22</f>
        <v>siap</v>
      </c>
      <c r="AH34" s="20" t="str">
        <f>DATA!AO22</f>
        <v>belum ada keterangan</v>
      </c>
      <c r="AI34" s="20" t="str">
        <f>DATA!AP22</f>
        <v>belum ada proses tender/lelang</v>
      </c>
      <c r="AJ34" s="20" t="str">
        <f>DATA!AY22</f>
        <v xml:space="preserve">Konfirmasi melalui surat Sekjen nomor KU.01.12-Sj/636 tgl 23 Oktober 2015
</v>
      </c>
      <c r="AK34" s="20" t="e">
        <f>DATA!#REF!</f>
        <v>#REF!</v>
      </c>
      <c r="AL34" s="20" t="str">
        <f>DATA!AZ22</f>
        <v xml:space="preserve">Lender kembali IDB berdasarkan hasil konfirmasi rapat dgn Dit,Multilateral tgl 15 Okt'15 </v>
      </c>
      <c r="AM34" s="37" t="str">
        <f>DATA!BA22</f>
        <v xml:space="preserve">Pembangunan jalan (ringroad dan bypass) sepanjang sekitar 200 km di wilayah metropolitan Mamminasata dan Gorontalo Outer Ring Road </v>
      </c>
    </row>
    <row r="35" spans="1:39" s="8" customFormat="1" ht="48" customHeight="1">
      <c r="A35" s="10"/>
      <c r="B35" s="10"/>
      <c r="C35" s="10"/>
      <c r="D35" s="10"/>
      <c r="E35" s="10"/>
      <c r="F35" s="10"/>
      <c r="G35" s="10"/>
      <c r="H35" s="10"/>
      <c r="I35" s="10"/>
      <c r="J35" s="57"/>
      <c r="K35" s="58"/>
      <c r="L35" s="111"/>
      <c r="M35" s="60">
        <f>DATA!K23</f>
        <v>9</v>
      </c>
      <c r="N35" s="127" t="str">
        <f>DATA!L23</f>
        <v>Engineering Service for National Roads Development Project</v>
      </c>
      <c r="O35" s="36">
        <f>DATA!Q23</f>
        <v>0</v>
      </c>
      <c r="P35" s="36">
        <f>DATA!R23</f>
        <v>1</v>
      </c>
      <c r="Q35" s="36">
        <f>DATA!S23</f>
        <v>0</v>
      </c>
      <c r="R35" s="128">
        <f>DATA!T23</f>
        <v>0</v>
      </c>
      <c r="S35" s="128">
        <f>DATA!U23</f>
        <v>45000000</v>
      </c>
      <c r="T35" s="128">
        <f>DATA!V23</f>
        <v>0</v>
      </c>
      <c r="U35" s="88">
        <f>DATA!W23</f>
        <v>0</v>
      </c>
      <c r="V35" s="128">
        <f>DATA!X23</f>
        <v>0</v>
      </c>
      <c r="W35" s="128" t="str">
        <f>DATA!Y23</f>
        <v>ADB</v>
      </c>
      <c r="X35" s="88" t="str">
        <f>DATA!Z23</f>
        <v>Multilateral</v>
      </c>
      <c r="Y35" s="128">
        <f>DATA!AA23</f>
        <v>45000000</v>
      </c>
      <c r="Z35" s="128">
        <f>DATA!AG23</f>
        <v>0</v>
      </c>
      <c r="AA35" s="129">
        <f>DATA!AH23</f>
        <v>2016</v>
      </c>
      <c r="AB35" s="127" t="str">
        <f>DATA!AI23</f>
        <v>- Sudah ada R/C
- Green Book 2015</v>
      </c>
      <c r="AC35" s="127" t="str">
        <f>DATA!AJ23</f>
        <v>-</v>
      </c>
      <c r="AD35" s="127" t="str">
        <f>DATA!AK23</f>
        <v>-</v>
      </c>
      <c r="AE35" s="127" t="str">
        <f>DATA!AL23</f>
        <v>-</v>
      </c>
      <c r="AF35" s="20"/>
      <c r="AG35" s="20"/>
      <c r="AH35" s="20"/>
      <c r="AI35" s="20"/>
      <c r="AJ35" s="20"/>
      <c r="AK35" s="20"/>
      <c r="AL35" s="20"/>
      <c r="AM35" s="37"/>
    </row>
    <row r="36" spans="1:39" s="5" customFormat="1" ht="33.75" customHeight="1">
      <c r="J36" s="28"/>
      <c r="K36" s="50"/>
      <c r="L36" s="30" t="str">
        <f>DATA!I24</f>
        <v>D</v>
      </c>
      <c r="M36" s="31" t="str">
        <f>DATA!J24</f>
        <v>Program Pembangunan Air Minum</v>
      </c>
      <c r="N36" s="51"/>
      <c r="O36" s="31"/>
      <c r="P36" s="31"/>
      <c r="Q36" s="31"/>
      <c r="R36" s="81">
        <f>+R37+R38+R39+R48</f>
        <v>1197680000</v>
      </c>
      <c r="S36" s="81"/>
      <c r="T36" s="81">
        <f>+T37+T38+T39+T48</f>
        <v>59434000</v>
      </c>
      <c r="U36" s="81">
        <f>+U37+U38+U39+U48</f>
        <v>0</v>
      </c>
      <c r="V36" s="81">
        <f>+V37+V38+V39+V48</f>
        <v>1257114000</v>
      </c>
      <c r="W36" s="81"/>
      <c r="X36" s="81" t="e">
        <f>+X37+X38+X39+X48</f>
        <v>#VALUE!</v>
      </c>
      <c r="Y36" s="81">
        <f>+Y37+Y38+Y39+Y48</f>
        <v>1197680000</v>
      </c>
      <c r="Z36" s="81">
        <f>+Z37+Z38+Z39+Z48</f>
        <v>0</v>
      </c>
      <c r="AA36" s="31"/>
      <c r="AB36" s="32"/>
      <c r="AC36" s="32"/>
      <c r="AD36" s="32"/>
      <c r="AE36" s="32"/>
      <c r="AF36" s="31"/>
      <c r="AG36" s="31"/>
      <c r="AH36" s="31"/>
      <c r="AI36" s="31"/>
      <c r="AJ36" s="31"/>
      <c r="AK36" s="31"/>
      <c r="AL36" s="31"/>
      <c r="AM36" s="32"/>
    </row>
    <row r="37" spans="1:39" s="8" customFormat="1" ht="42" customHeight="1">
      <c r="A37" s="10">
        <f>DATA!A24</f>
        <v>21</v>
      </c>
      <c r="B37" s="10">
        <f>DATA!B24</f>
        <v>0</v>
      </c>
      <c r="C37" s="10" t="str">
        <f>DATA!D24</f>
        <v>INFRASTRUKTUR</v>
      </c>
      <c r="D37" s="10">
        <f>DATA!E24</f>
        <v>1</v>
      </c>
      <c r="E37" s="10" t="str">
        <f>DATA!F24</f>
        <v>Kementerian Pekerjaan Umum dan Perumahan Rakyat</v>
      </c>
      <c r="F37" s="10" t="str">
        <f>DATA!H24</f>
        <v>Drinking Water Development Program</v>
      </c>
      <c r="G37" s="10" t="str">
        <f>DATA!I24</f>
        <v>D</v>
      </c>
      <c r="H37" s="10" t="str">
        <f>DATA!J24</f>
        <v>Program Pembangunan Air Minum</v>
      </c>
      <c r="I37" s="10">
        <f>DATA!K24</f>
        <v>1</v>
      </c>
      <c r="J37" s="57"/>
      <c r="K37" s="58"/>
      <c r="L37" s="59"/>
      <c r="M37" s="60">
        <f>DATA!K24</f>
        <v>1</v>
      </c>
      <c r="N37" s="61" t="str">
        <f>DATA!L24</f>
        <v>Community Based Water and Sanitation Program  (PAMSIMAS)</v>
      </c>
      <c r="O37" s="20">
        <f>DATA!Q24</f>
        <v>1</v>
      </c>
      <c r="P37" s="20">
        <f>DATA!R24</f>
        <v>1</v>
      </c>
      <c r="Q37" s="20">
        <f>DATA!S24</f>
        <v>19</v>
      </c>
      <c r="R37" s="89">
        <f>DATA!T24</f>
        <v>300000000</v>
      </c>
      <c r="S37" s="89"/>
      <c r="T37" s="89">
        <f>DATA!V24</f>
        <v>15000000</v>
      </c>
      <c r="U37" s="77">
        <f>DATA!W24</f>
        <v>0</v>
      </c>
      <c r="V37" s="89">
        <f>DATA!X24</f>
        <v>315000000</v>
      </c>
      <c r="W37" s="90" t="str">
        <f>DATA!Y24</f>
        <v>Bank Dunia</v>
      </c>
      <c r="X37" s="20" t="str">
        <f>DATA!Z24</f>
        <v>Multilateral</v>
      </c>
      <c r="Y37" s="89">
        <f>DATA!AA24</f>
        <v>300000000</v>
      </c>
      <c r="Z37" s="89">
        <f>DATA!AG24</f>
        <v>0</v>
      </c>
      <c r="AA37" s="103">
        <f>DATA!AH24</f>
        <v>2016</v>
      </c>
      <c r="AB37" s="61" t="str">
        <f>DATA!AI24</f>
        <v xml:space="preserve">- Green Book 2015
- Sudah negosiasi
- Tender konsultan </v>
      </c>
      <c r="AC37" s="61" t="str">
        <f>DATA!AJ24</f>
        <v xml:space="preserve">FS, DED
</v>
      </c>
      <c r="AD37" s="61" t="str">
        <f>DATA!AK24</f>
        <v>-</v>
      </c>
      <c r="AE37" s="61" t="str">
        <f>DATA!AL24</f>
        <v>-</v>
      </c>
      <c r="AF37" s="20" t="str">
        <f>DATA!AR24</f>
        <v>-</v>
      </c>
      <c r="AG37" s="20" t="str">
        <f>DATA!AN24</f>
        <v>dalam proses
(memiliki FS dan DED)</v>
      </c>
      <c r="AH37" s="20" t="str">
        <f>DATA!AO24</f>
        <v>belum ada keterangan</v>
      </c>
      <c r="AI37" s="20" t="str">
        <f>DATA!AP24</f>
        <v>belum ada proses tender/lelang</v>
      </c>
      <c r="AJ37"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K37" s="20" t="e">
        <f>DATA!#REF!</f>
        <v>#REF!</v>
      </c>
      <c r="AL37" s="20">
        <f>DATA!AZ24</f>
        <v>0</v>
      </c>
      <c r="AM37" s="37" t="str">
        <f>DATA!BA24</f>
        <v>Peningkatan kualitas pemukiman dan penyediaan air bersih berkelanjutan yang melayani 719.500 Sambungan Rumah (SR).</v>
      </c>
    </row>
    <row r="38" spans="1:39" ht="75" customHeight="1">
      <c r="A38" s="10">
        <f>DATA!A25</f>
        <v>22</v>
      </c>
      <c r="B38" s="10">
        <f>DATA!B25</f>
        <v>0</v>
      </c>
      <c r="C38" s="10" t="str">
        <f>DATA!D25</f>
        <v>INFRASTRUKTUR</v>
      </c>
      <c r="D38" s="10">
        <f>DATA!E25</f>
        <v>1</v>
      </c>
      <c r="E38" s="10" t="str">
        <f>DATA!F25</f>
        <v>Kementerian Pekerjaan Umum dan Perumahan Rakyat</v>
      </c>
      <c r="F38" s="10" t="str">
        <f>DATA!H25</f>
        <v>Drinking Water Development Program</v>
      </c>
      <c r="G38" s="10" t="str">
        <f>DATA!I25</f>
        <v>D</v>
      </c>
      <c r="H38" s="10" t="str">
        <f>DATA!J25</f>
        <v>Program Pembangunan Air Minum</v>
      </c>
      <c r="I38" s="10">
        <f>DATA!K25</f>
        <v>2</v>
      </c>
      <c r="J38" s="33"/>
      <c r="K38" s="34"/>
      <c r="L38" s="34"/>
      <c r="M38" s="36">
        <f>DATA!K25</f>
        <v>2</v>
      </c>
      <c r="N38" s="37" t="str">
        <f>DATA!L25</f>
        <v>National Urban Water Supply</v>
      </c>
      <c r="O38" s="20">
        <f>DATA!Q25</f>
        <v>1</v>
      </c>
      <c r="P38" s="20">
        <f>DATA!R25</f>
        <v>1</v>
      </c>
      <c r="Q38" s="20">
        <f>DATA!S25</f>
        <v>20</v>
      </c>
      <c r="R38" s="77">
        <f>DATA!T25</f>
        <v>100000000</v>
      </c>
      <c r="S38" s="77"/>
      <c r="T38" s="77">
        <f>DATA!V25</f>
        <v>5000000</v>
      </c>
      <c r="U38" s="77">
        <f>DATA!W25</f>
        <v>0</v>
      </c>
      <c r="V38" s="77">
        <f>DATA!X25</f>
        <v>105000000</v>
      </c>
      <c r="W38" s="78" t="str">
        <f>DATA!Y25</f>
        <v>Bank Dunia</v>
      </c>
      <c r="X38" s="20" t="str">
        <f>DATA!Z25</f>
        <v>Multilateral</v>
      </c>
      <c r="Y38" s="77">
        <f>DATA!AA25</f>
        <v>100000000</v>
      </c>
      <c r="Z38" s="77">
        <f>DATA!AG25</f>
        <v>0</v>
      </c>
      <c r="AA38" s="20">
        <f>DATA!AH25</f>
        <v>2017</v>
      </c>
      <c r="AB38" s="37">
        <f>DATA!AI25</f>
        <v>0</v>
      </c>
      <c r="AC38" s="37" t="str">
        <f>DATA!AJ25</f>
        <v>-</v>
      </c>
      <c r="AD38" s="37" t="str">
        <f>DATA!AK25</f>
        <v>-</v>
      </c>
      <c r="AE38" s="37" t="str">
        <f>DATA!AL25</f>
        <v>-</v>
      </c>
      <c r="AF38" s="20" t="str">
        <f>DATA!AR25</f>
        <v>belum ada dokumen R/C</v>
      </c>
      <c r="AG38" s="20" t="str">
        <f>DATA!AN25</f>
        <v>belum ada keterangan</v>
      </c>
      <c r="AH38" s="20" t="str">
        <f>DATA!AO25</f>
        <v>belum ada keterangan</v>
      </c>
      <c r="AI38" s="20" t="str">
        <f>DATA!AP25</f>
        <v>belum ada proses tender/lelang</v>
      </c>
      <c r="AJ38" s="20" t="str">
        <f>DATA!AY25</f>
        <v>Konfirmasi melalui surat Sekjen nomor KU.01.12-Sj/636 tgl 23 Oktober 2015</v>
      </c>
      <c r="AK38" s="20" t="e">
        <f>DATA!#REF!</f>
        <v>#REF!</v>
      </c>
      <c r="AL38" s="20">
        <f>DATA!AZ25</f>
        <v>0</v>
      </c>
      <c r="AM38" s="37" t="str">
        <f>DATA!BA25</f>
        <v>Pembangunan Sistem Pengelolaan Air Mimum (SPAM) perkotaan sebesar 239,808 Sambungan Rumah (SR) untuk perluasan akses pelayanan air minum, termasuk kegiatan penguatan kapasitas pendanaan dan kelembagaan.</v>
      </c>
    </row>
    <row r="39" spans="1:39" s="9" customFormat="1" ht="60.75" customHeight="1">
      <c r="A39" s="9">
        <f>DATA!A26</f>
        <v>23</v>
      </c>
      <c r="B39" s="9">
        <f>DATA!B26</f>
        <v>0</v>
      </c>
      <c r="C39" s="9" t="str">
        <f>DATA!D26</f>
        <v>INFRASTRUKTUR</v>
      </c>
      <c r="D39" s="9">
        <f>DATA!E26</f>
        <v>1</v>
      </c>
      <c r="E39" s="9" t="str">
        <f>DATA!F26</f>
        <v>Kementerian Pekerjaan Umum dan Perumahan Rakyat</v>
      </c>
      <c r="F39" s="9" t="str">
        <f>DATA!H26</f>
        <v>Drinking Water Development Program</v>
      </c>
      <c r="G39" s="9" t="str">
        <f>DATA!I26</f>
        <v>D</v>
      </c>
      <c r="H39" s="9" t="str">
        <f>DATA!J26</f>
        <v>Program Pembangunan Air Minum</v>
      </c>
      <c r="I39" s="9">
        <f>DATA!K26</f>
        <v>3</v>
      </c>
      <c r="J39" s="62"/>
      <c r="K39" s="63"/>
      <c r="L39" s="63"/>
      <c r="M39" s="64">
        <f>DATA!K26</f>
        <v>3</v>
      </c>
      <c r="N39" s="65" t="str">
        <f>DATA!L26</f>
        <v>The Development of Regional Water Supply System in Selected Area:</v>
      </c>
      <c r="O39" s="66">
        <f>DATA!Q26</f>
        <v>0</v>
      </c>
      <c r="P39" s="66">
        <f>DATA!R26</f>
        <v>0</v>
      </c>
      <c r="Q39" s="66">
        <f>DATA!S26</f>
        <v>0</v>
      </c>
      <c r="R39" s="91">
        <f>DATA!T26</f>
        <v>672680000</v>
      </c>
      <c r="S39" s="91"/>
      <c r="T39" s="91">
        <f>DATA!V26</f>
        <v>33634000</v>
      </c>
      <c r="U39" s="91">
        <f>DATA!W26</f>
        <v>0</v>
      </c>
      <c r="V39" s="91">
        <f>DATA!X26</f>
        <v>706314000</v>
      </c>
      <c r="W39" s="92" t="str">
        <f>DATA!Y26</f>
        <v>-</v>
      </c>
      <c r="X39" s="66">
        <f>DATA!Z26</f>
        <v>0</v>
      </c>
      <c r="Y39" s="91">
        <f>DATA!AA26</f>
        <v>672680000</v>
      </c>
      <c r="Z39" s="91">
        <f>DATA!AG26</f>
        <v>0</v>
      </c>
      <c r="AA39" s="66" t="str">
        <f>DATA!AH26</f>
        <v>-</v>
      </c>
      <c r="AB39" s="65" t="str">
        <f>DATA!AI26</f>
        <v>-</v>
      </c>
      <c r="AC39" s="65" t="str">
        <f>DATA!AJ26</f>
        <v>-</v>
      </c>
      <c r="AD39" s="65" t="str">
        <f>DATA!AK26</f>
        <v>-</v>
      </c>
      <c r="AE39" s="65" t="str">
        <f>DATA!AL26</f>
        <v>-</v>
      </c>
      <c r="AF39" s="66">
        <f>DATA!AM26</f>
        <v>0</v>
      </c>
      <c r="AG39" s="66" t="str">
        <f>DATA!AN26</f>
        <v>-</v>
      </c>
      <c r="AH39" s="66" t="str">
        <f>DATA!AO26</f>
        <v>-</v>
      </c>
      <c r="AI39" s="66">
        <f>DATA!AP26</f>
        <v>0</v>
      </c>
      <c r="AJ39" s="66" t="str">
        <f>DATA!AY26</f>
        <v>Konfirmasi melalui surat Sekjen nomor KU.01.12-Sj/636 tgl 23 Oktober 2015</v>
      </c>
      <c r="AK39" s="66" t="e">
        <f>DATA!#REF!</f>
        <v>#REF!</v>
      </c>
      <c r="AL39" s="66">
        <f>DATA!AZ26</f>
        <v>0</v>
      </c>
      <c r="AM39" s="65" t="str">
        <f>DATA!BA26</f>
        <v>Pembangunan Instalasi Pengolahan Air (IPA) di 8 wilayah dengan total kapasitas 20.450 lt/dt dan pembangunan jaringan transmisi air minum untuk 882.441 Sambungan Rumah (SR)</v>
      </c>
    </row>
    <row r="40" spans="1:39" s="6" customFormat="1" ht="60.75" customHeight="1">
      <c r="A40" s="6">
        <f>DATA!A27</f>
        <v>24</v>
      </c>
      <c r="B40" s="6">
        <f>DATA!B27</f>
        <v>0</v>
      </c>
      <c r="C40" s="6" t="str">
        <f>DATA!D27</f>
        <v>INFRASTRUKTUR</v>
      </c>
      <c r="D40" s="6">
        <f>DATA!E27</f>
        <v>1</v>
      </c>
      <c r="E40" s="6" t="str">
        <f>DATA!F27</f>
        <v>Kementerian Pekerjaan Umum dan Perumahan Rakyat</v>
      </c>
      <c r="F40" s="6" t="str">
        <f>DATA!H27</f>
        <v>Drinking Water Development Program</v>
      </c>
      <c r="G40" s="6" t="str">
        <f>DATA!I27</f>
        <v>D</v>
      </c>
      <c r="H40" s="6" t="str">
        <f>DATA!J27</f>
        <v>Program Pembangunan Air Minum</v>
      </c>
      <c r="I40" s="6">
        <f>DATA!K27</f>
        <v>3</v>
      </c>
      <c r="J40" s="38"/>
      <c r="K40" s="39"/>
      <c r="L40" s="39"/>
      <c r="M40" s="40"/>
      <c r="N40" s="67" t="str">
        <f>DATA!L27</f>
        <v xml:space="preserve">Mamminasata Water Supply Development Project </v>
      </c>
      <c r="O40" s="42">
        <f>DATA!Q27</f>
        <v>1</v>
      </c>
      <c r="P40" s="42">
        <f>DATA!R27</f>
        <v>1</v>
      </c>
      <c r="Q40" s="42">
        <f>DATA!S27</f>
        <v>21</v>
      </c>
      <c r="R40" s="83">
        <f>DATA!T27</f>
        <v>100000000</v>
      </c>
      <c r="S40" s="83"/>
      <c r="T40" s="83">
        <f>DATA!V27</f>
        <v>5000000</v>
      </c>
      <c r="U40" s="83">
        <f>DATA!W27</f>
        <v>0</v>
      </c>
      <c r="V40" s="83">
        <f>DATA!X27</f>
        <v>105000000</v>
      </c>
      <c r="W40" s="84" t="str">
        <f>DATA!Y27</f>
        <v>JICA</v>
      </c>
      <c r="X40" s="42" t="str">
        <f>DATA!Z27</f>
        <v>Bilateral</v>
      </c>
      <c r="Y40" s="83">
        <f>DATA!AA27</f>
        <v>100000000</v>
      </c>
      <c r="Z40" s="83">
        <f>DATA!AG27</f>
        <v>0</v>
      </c>
      <c r="AA40" s="42">
        <f>DATA!AH27</f>
        <v>2016</v>
      </c>
      <c r="AB40" s="67" t="str">
        <f>DATA!AI27</f>
        <v>-</v>
      </c>
      <c r="AC40" s="67" t="str">
        <f>DATA!AJ27</f>
        <v>FS , AMDAL, DED</v>
      </c>
      <c r="AD40" s="67" t="str">
        <f>DATA!AK27</f>
        <v>Proses pembebasan lahan oleh Pemda</v>
      </c>
      <c r="AE40" s="67" t="str">
        <f>DATA!AL27</f>
        <v>-</v>
      </c>
      <c r="AF40" s="42">
        <f>DATA!AM27</f>
        <v>0</v>
      </c>
      <c r="AG40" s="42" t="str">
        <f>DATA!AN27</f>
        <v>siap</v>
      </c>
      <c r="AH40" s="42" t="str">
        <f>DATA!AO27</f>
        <v>dalam proses
(persiapan)</v>
      </c>
      <c r="AI40" s="42" t="str">
        <f>DATA!AP27</f>
        <v>belum ada proses tender/lelang</v>
      </c>
      <c r="AJ40" s="42" t="str">
        <f>DATA!AY27</f>
        <v>Konfirmasi melalui surat Sekjen nomor KU.01.12-Sj/636 tgl 23 Oktober 2015</v>
      </c>
      <c r="AK40" s="42" t="e">
        <f>DATA!#REF!</f>
        <v>#REF!</v>
      </c>
      <c r="AL40" s="42">
        <f>DATA!AZ27</f>
        <v>0</v>
      </c>
      <c r="AM40" s="67" t="str">
        <f>DATA!BA27</f>
        <v>Pembangunan IPA Somba Opu Tahap II, kap. 1.000 lt/dt dan pembangunan jaringan pipa transmisi air minum untuk melayani 149.925 SR di wilayah Makassar, Maros, Gowa dan Takalar.</v>
      </c>
    </row>
    <row r="41" spans="1:39" s="6" customFormat="1" ht="88.5" customHeight="1">
      <c r="A41" s="6">
        <f>DATA!A28</f>
        <v>25</v>
      </c>
      <c r="B41" s="6">
        <f>DATA!B28</f>
        <v>0</v>
      </c>
      <c r="C41" s="6" t="str">
        <f>DATA!D28</f>
        <v>INFRASTRUKTUR</v>
      </c>
      <c r="D41" s="6">
        <f>DATA!E28</f>
        <v>1</v>
      </c>
      <c r="E41" s="6" t="str">
        <f>DATA!F28</f>
        <v>Kementerian Pekerjaan Umum dan Perumahan Rakyat</v>
      </c>
      <c r="F41" s="6" t="str">
        <f>DATA!H28</f>
        <v>Drinking Water Development Program</v>
      </c>
      <c r="G41" s="6" t="str">
        <f>DATA!I28</f>
        <v>D</v>
      </c>
      <c r="H41" s="6" t="str">
        <f>DATA!J28</f>
        <v>Program Pembangunan Air Minum</v>
      </c>
      <c r="I41" s="6">
        <f>DATA!K28</f>
        <v>3</v>
      </c>
      <c r="J41" s="38"/>
      <c r="K41" s="39"/>
      <c r="L41" s="39"/>
      <c r="M41" s="38"/>
      <c r="N41" s="67" t="str">
        <f>DATA!L28</f>
        <v xml:space="preserve">The Development of Regional Water Supply System in Benteng Kobema </v>
      </c>
      <c r="O41" s="42">
        <f>DATA!Q28</f>
        <v>1</v>
      </c>
      <c r="P41" s="42">
        <f>DATA!R28</f>
        <v>1</v>
      </c>
      <c r="Q41" s="42">
        <f>DATA!S28</f>
        <v>22</v>
      </c>
      <c r="R41" s="83">
        <f>DATA!T28</f>
        <v>74300000</v>
      </c>
      <c r="S41" s="83"/>
      <c r="T41" s="83">
        <f>DATA!V28</f>
        <v>3715000</v>
      </c>
      <c r="U41" s="83">
        <f>DATA!W28</f>
        <v>0</v>
      </c>
      <c r="V41" s="83">
        <f>DATA!X28</f>
        <v>78015000</v>
      </c>
      <c r="W41" s="84" t="str">
        <f>DATA!Y28</f>
        <v>Bank Dunia/JICA/ADB</v>
      </c>
      <c r="X41" s="42" t="str">
        <f>DATA!Z28</f>
        <v>Multi Lender</v>
      </c>
      <c r="Y41" s="83">
        <f>DATA!AA28</f>
        <v>74300000</v>
      </c>
      <c r="Z41" s="83">
        <f>DATA!AG28</f>
        <v>0</v>
      </c>
      <c r="AA41" s="42">
        <f>DATA!AH28</f>
        <v>2017</v>
      </c>
      <c r="AB41" s="67" t="str">
        <f>DATA!AI28</f>
        <v>-</v>
      </c>
      <c r="AC41" s="67" t="str">
        <f>DATA!AJ28</f>
        <v>RISPAM, DED, SIPA, Organisasi Pelaksana, DDUB</v>
      </c>
      <c r="AD41" s="67" t="str">
        <f>DATA!AK28</f>
        <v>Proses pembebasan lahan oleh Pemda</v>
      </c>
      <c r="AE41" s="67" t="str">
        <f>DATA!AL28</f>
        <v>-</v>
      </c>
      <c r="AF41" s="42">
        <f>DATA!AM28</f>
        <v>0</v>
      </c>
      <c r="AG41" s="42" t="str">
        <f>DATA!AN28</f>
        <v>dalam proses
(penyusunan FS)</v>
      </c>
      <c r="AH41" s="42" t="str">
        <f>DATA!AO28</f>
        <v>dalam proses
(persiapan)</v>
      </c>
      <c r="AI41" s="42" t="str">
        <f>DATA!AP28</f>
        <v>belum ada proses tender/lelang</v>
      </c>
      <c r="AJ41" s="42" t="str">
        <f>DATA!AY28</f>
        <v>Konfirmasi melalui surat Sekjen nomor KU.01.12-Sj/636 tgl 23 Oktober 2015</v>
      </c>
      <c r="AK41" s="42" t="e">
        <f>DATA!#REF!</f>
        <v>#REF!</v>
      </c>
      <c r="AL41" s="42" t="str">
        <f>DATA!AZ28</f>
        <v>JICA &amp; ADB juga diindikasikan akan mendanai kegiatan ini meskipun belum ada pembicaraan</v>
      </c>
      <c r="AM41" s="67"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row>
    <row r="42" spans="1:39" s="6" customFormat="1" ht="87" customHeight="1">
      <c r="A42" s="6">
        <f>DATA!A29</f>
        <v>26</v>
      </c>
      <c r="B42" s="6">
        <f>DATA!B29</f>
        <v>0</v>
      </c>
      <c r="C42" s="6" t="str">
        <f>DATA!D29</f>
        <v>INFRASTRUKTUR</v>
      </c>
      <c r="D42" s="6">
        <f>DATA!E29</f>
        <v>1</v>
      </c>
      <c r="E42" s="6" t="str">
        <f>DATA!F29</f>
        <v>Kementerian Pekerjaan Umum dan Perumahan Rakyat</v>
      </c>
      <c r="F42" s="6" t="str">
        <f>DATA!H29</f>
        <v>Drinking Water Development Program</v>
      </c>
      <c r="G42" s="6" t="str">
        <f>DATA!I29</f>
        <v>D</v>
      </c>
      <c r="H42" s="6" t="str">
        <f>DATA!J29</f>
        <v>Program Pembangunan Air Minum</v>
      </c>
      <c r="I42" s="6">
        <f>DATA!K29</f>
        <v>3</v>
      </c>
      <c r="J42" s="38"/>
      <c r="K42" s="39"/>
      <c r="L42" s="39"/>
      <c r="M42" s="38"/>
      <c r="N42" s="67" t="str">
        <f>DATA!L29</f>
        <v xml:space="preserve">The Development of Regional Water Supply System in Wosusokas </v>
      </c>
      <c r="O42" s="42">
        <f>DATA!Q29</f>
        <v>1</v>
      </c>
      <c r="P42" s="42">
        <f>DATA!R29</f>
        <v>1</v>
      </c>
      <c r="Q42" s="42">
        <f>DATA!S29</f>
        <v>23</v>
      </c>
      <c r="R42" s="83">
        <f>DATA!T29</f>
        <v>106200000</v>
      </c>
      <c r="S42" s="83"/>
      <c r="T42" s="83">
        <f>DATA!V29</f>
        <v>5310000</v>
      </c>
      <c r="U42" s="83">
        <f>DATA!W29</f>
        <v>0</v>
      </c>
      <c r="V42" s="83">
        <f>DATA!X29</f>
        <v>111510000</v>
      </c>
      <c r="W42" s="84" t="str">
        <f>DATA!Y29</f>
        <v>Jerman (KfW)</v>
      </c>
      <c r="X42" s="42" t="str">
        <f>DATA!Z29</f>
        <v>Bilateral</v>
      </c>
      <c r="Y42" s="83">
        <f>DATA!AA29</f>
        <v>106200000</v>
      </c>
      <c r="Z42" s="83">
        <f>DATA!AG29</f>
        <v>0</v>
      </c>
      <c r="AA42" s="42">
        <f>DATA!AH29</f>
        <v>2017</v>
      </c>
      <c r="AB42" s="67" t="str">
        <f>DATA!AI29</f>
        <v>-</v>
      </c>
      <c r="AC42" s="67" t="str">
        <f>DATA!AJ29</f>
        <v>RISPAM, DED, SIPA, Organisasi Pelaksana, DDUB</v>
      </c>
      <c r="AD42" s="67" t="str">
        <f>DATA!AK29</f>
        <v>Proses pembebasan lahan oleh Pemda</v>
      </c>
      <c r="AE42" s="67" t="str">
        <f>DATA!AL29</f>
        <v>-</v>
      </c>
      <c r="AF42" s="42">
        <f>DATA!AM29</f>
        <v>0</v>
      </c>
      <c r="AG42" s="42" t="str">
        <f>DATA!AN29</f>
        <v>dalam proses
(penyusunan FS)</v>
      </c>
      <c r="AH42" s="42" t="str">
        <f>DATA!AO29</f>
        <v>dalam proses
(persiapan)</v>
      </c>
      <c r="AI42" s="42" t="str">
        <f>DATA!AP29</f>
        <v>belum ada proses tender/lelang</v>
      </c>
      <c r="AJ42" s="42" t="str">
        <f>DATA!AY29</f>
        <v>Konfirmasi melalui surat Sekjen nomor KU.01.12-Sj/636 tgl 23 Oktober 2015</v>
      </c>
      <c r="AK42" s="42" t="e">
        <f>DATA!#REF!</f>
        <v>#REF!</v>
      </c>
      <c r="AL42" s="42">
        <f>DATA!AZ29</f>
        <v>0</v>
      </c>
      <c r="AM42" s="67"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row>
    <row r="43" spans="1:39" s="6" customFormat="1" ht="89.25">
      <c r="A43" s="6">
        <f>DATA!A30</f>
        <v>27</v>
      </c>
      <c r="B43" s="6">
        <f>DATA!B30</f>
        <v>0</v>
      </c>
      <c r="C43" s="6" t="str">
        <f>DATA!D30</f>
        <v>INFRASTRUKTUR</v>
      </c>
      <c r="D43" s="6">
        <f>DATA!E30</f>
        <v>1</v>
      </c>
      <c r="E43" s="6" t="str">
        <f>DATA!F30</f>
        <v>Kementerian Pekerjaan Umum dan Perumahan Rakyat</v>
      </c>
      <c r="F43" s="6" t="str">
        <f>DATA!H30</f>
        <v>Drinking Water Development Program</v>
      </c>
      <c r="G43" s="6" t="str">
        <f>DATA!I30</f>
        <v>D</v>
      </c>
      <c r="H43" s="6" t="str">
        <f>DATA!J30</f>
        <v>Program Pembangunan Air Minum</v>
      </c>
      <c r="I43" s="6">
        <f>DATA!K30</f>
        <v>3</v>
      </c>
      <c r="J43" s="38"/>
      <c r="K43" s="39"/>
      <c r="L43" s="39"/>
      <c r="M43" s="38"/>
      <c r="N43" s="67" t="str">
        <f>DATA!L30</f>
        <v xml:space="preserve">The Development of Regional Water Supply System of Jatigede </v>
      </c>
      <c r="O43" s="42">
        <f>DATA!Q30</f>
        <v>1</v>
      </c>
      <c r="P43" s="42">
        <f>DATA!R30</f>
        <v>1</v>
      </c>
      <c r="Q43" s="42">
        <f>DATA!S30</f>
        <v>24</v>
      </c>
      <c r="R43" s="83">
        <f>DATA!T30</f>
        <v>167000000</v>
      </c>
      <c r="S43" s="83"/>
      <c r="T43" s="83">
        <f>DATA!V30</f>
        <v>8350000</v>
      </c>
      <c r="U43" s="83">
        <f>DATA!W30</f>
        <v>0</v>
      </c>
      <c r="V43" s="83">
        <f>DATA!X30</f>
        <v>175350000</v>
      </c>
      <c r="W43" s="84" t="str">
        <f>DATA!Y30</f>
        <v>Bank Dunia/JICA/ADB</v>
      </c>
      <c r="X43" s="42" t="str">
        <f>DATA!Z30</f>
        <v>Multi Lender</v>
      </c>
      <c r="Y43" s="83">
        <f>DATA!AA30</f>
        <v>140620000</v>
      </c>
      <c r="Z43" s="83">
        <f>DATA!AG30</f>
        <v>0</v>
      </c>
      <c r="AA43" s="42">
        <f>DATA!AH30</f>
        <v>2017</v>
      </c>
      <c r="AB43" s="67" t="str">
        <f>DATA!AI30</f>
        <v>-</v>
      </c>
      <c r="AC43" s="67" t="str">
        <f>DATA!AJ30</f>
        <v>-</v>
      </c>
      <c r="AD43" s="67" t="str">
        <f>DATA!AK30</f>
        <v>-</v>
      </c>
      <c r="AE43" s="67" t="str">
        <f>DATA!AL30</f>
        <v>-</v>
      </c>
      <c r="AF43" s="42">
        <f>DATA!AM30</f>
        <v>0</v>
      </c>
      <c r="AG43" s="42" t="str">
        <f>DATA!AN30</f>
        <v>belum ada keterangan</v>
      </c>
      <c r="AH43" s="42" t="str">
        <f>DATA!AO30</f>
        <v>belum ada keterangan</v>
      </c>
      <c r="AI43" s="42" t="str">
        <f>DATA!AP30</f>
        <v>belum ada proses tender/lelang</v>
      </c>
      <c r="AJ43" s="42" t="str">
        <f>DATA!AY30</f>
        <v>Konfirmasi melalui surat Sekjen nomor KU.01.12-Sj/636 tgl 23 Oktober 2015</v>
      </c>
      <c r="AK43" s="42" t="e">
        <f>DATA!#REF!</f>
        <v>#REF!</v>
      </c>
      <c r="AL43" s="42">
        <f>DATA!AZ30</f>
        <v>0</v>
      </c>
      <c r="AM43" s="67"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row>
    <row r="44" spans="1:39" s="6" customFormat="1" ht="88.5" customHeight="1">
      <c r="A44" s="6">
        <f>DATA!A31</f>
        <v>28</v>
      </c>
      <c r="B44" s="6">
        <f>DATA!B31</f>
        <v>0</v>
      </c>
      <c r="C44" s="6" t="str">
        <f>DATA!D31</f>
        <v>INFRASTRUKTUR</v>
      </c>
      <c r="D44" s="6">
        <f>DATA!E31</f>
        <v>1</v>
      </c>
      <c r="E44" s="6" t="str">
        <f>DATA!F31</f>
        <v>Kementerian Pekerjaan Umum dan Perumahan Rakyat</v>
      </c>
      <c r="F44" s="6" t="str">
        <f>DATA!H31</f>
        <v>Drinking Water Development Program</v>
      </c>
      <c r="G44" s="6" t="str">
        <f>DATA!I31</f>
        <v>D</v>
      </c>
      <c r="H44" s="6" t="str">
        <f>DATA!J31</f>
        <v>Program Pembangunan Air Minum</v>
      </c>
      <c r="I44" s="6">
        <f>DATA!K31</f>
        <v>3</v>
      </c>
      <c r="J44" s="38"/>
      <c r="K44" s="39"/>
      <c r="L44" s="39"/>
      <c r="M44" s="38"/>
      <c r="N44" s="67" t="str">
        <f>DATA!L31</f>
        <v>The Development of Regional Water Supply System of Petanglong</v>
      </c>
      <c r="O44" s="42">
        <f>DATA!Q31</f>
        <v>1</v>
      </c>
      <c r="P44" s="42">
        <f>DATA!R31</f>
        <v>1</v>
      </c>
      <c r="Q44" s="42">
        <f>DATA!S31</f>
        <v>25</v>
      </c>
      <c r="R44" s="83">
        <f>DATA!T31</f>
        <v>95380000</v>
      </c>
      <c r="S44" s="83"/>
      <c r="T44" s="83">
        <f>DATA!V31</f>
        <v>4769000</v>
      </c>
      <c r="U44" s="83">
        <f>DATA!W31</f>
        <v>0</v>
      </c>
      <c r="V44" s="83">
        <f>DATA!X31</f>
        <v>100149000</v>
      </c>
      <c r="W44" s="84" t="str">
        <f>DATA!Y31</f>
        <v>Bank Dunia/JICA/ADB</v>
      </c>
      <c r="X44" s="42" t="str">
        <f>DATA!Z31</f>
        <v>Multi Lender</v>
      </c>
      <c r="Y44" s="83">
        <f>DATA!AA31</f>
        <v>95380000</v>
      </c>
      <c r="Z44" s="83">
        <f>DATA!AG31</f>
        <v>0</v>
      </c>
      <c r="AA44" s="42">
        <f>DATA!AH31</f>
        <v>2017</v>
      </c>
      <c r="AB44" s="67" t="str">
        <f>DATA!AI31</f>
        <v>Tahap persiapan project</v>
      </c>
      <c r="AC44" s="67" t="str">
        <f>DATA!AJ31</f>
        <v>-</v>
      </c>
      <c r="AD44" s="67" t="str">
        <f>DATA!AK31</f>
        <v>-</v>
      </c>
      <c r="AE44" s="67" t="str">
        <f>DATA!AL31</f>
        <v>-</v>
      </c>
      <c r="AF44" s="42">
        <f>DATA!AM31</f>
        <v>0</v>
      </c>
      <c r="AG44" s="42" t="str">
        <f>DATA!AN31</f>
        <v>belum ada keterangan</v>
      </c>
      <c r="AH44" s="42" t="str">
        <f>DATA!AO31</f>
        <v>belum ada keterangan</v>
      </c>
      <c r="AI44" s="42" t="str">
        <f>DATA!AP31</f>
        <v>belum ada proses tender/lelang</v>
      </c>
      <c r="AJ44" s="42" t="str">
        <f>DATA!AY31</f>
        <v>Konfirmasi melalui surat Sekjen nomor KU.01.12-Sj/636 tgl 23 Oktober 2015</v>
      </c>
      <c r="AK44" s="42" t="e">
        <f>DATA!#REF!</f>
        <v>#REF!</v>
      </c>
      <c r="AL44" s="42">
        <f>DATA!AZ31</f>
        <v>0</v>
      </c>
      <c r="AM44" s="67" t="str">
        <f>DATA!BA31</f>
        <v>Pembangunan intake dan transmisi air baku, pembangunan IPA dengan kapasitas 1.100 lt/dt untuk sistem pengelolaan air minum yang berkapasitas 1.100 lt/dt, dan untuk penyediaan SPAM yang melayani 142.999 SR  di wilayah Kab. Batang, Kota Pekalongan, Kab. Pekalongan</v>
      </c>
    </row>
    <row r="45" spans="1:39" s="6" customFormat="1" ht="63.75">
      <c r="A45" s="6">
        <f>DATA!A32</f>
        <v>29</v>
      </c>
      <c r="B45" s="6">
        <f>DATA!B32</f>
        <v>0</v>
      </c>
      <c r="C45" s="6" t="str">
        <f>DATA!D32</f>
        <v>INFRASTRUKTUR</v>
      </c>
      <c r="D45" s="6">
        <f>DATA!E32</f>
        <v>1</v>
      </c>
      <c r="E45" s="6" t="str">
        <f>DATA!F32</f>
        <v>Kementerian Pekerjaan Umum dan Perumahan Rakyat</v>
      </c>
      <c r="F45" s="6" t="str">
        <f>DATA!H32</f>
        <v>Drinking Water Development Program</v>
      </c>
      <c r="G45" s="6" t="str">
        <f>DATA!I32</f>
        <v>D</v>
      </c>
      <c r="H45" s="6" t="str">
        <f>DATA!J32</f>
        <v>Program Pembangunan Air Minum</v>
      </c>
      <c r="I45" s="6">
        <f>DATA!K32</f>
        <v>3</v>
      </c>
      <c r="J45" s="38"/>
      <c r="K45" s="39"/>
      <c r="L45" s="39"/>
      <c r="M45" s="38"/>
      <c r="N45" s="67" t="str">
        <f>DATA!L32</f>
        <v xml:space="preserve">The Development of Regional Water Supply System of Durolis </v>
      </c>
      <c r="O45" s="42">
        <f>DATA!Q32</f>
        <v>1</v>
      </c>
      <c r="P45" s="42">
        <f>DATA!R32</f>
        <v>1</v>
      </c>
      <c r="Q45" s="42">
        <f>DATA!S32</f>
        <v>26</v>
      </c>
      <c r="R45" s="83">
        <f>DATA!T32</f>
        <v>33400000</v>
      </c>
      <c r="S45" s="83"/>
      <c r="T45" s="83">
        <f>DATA!V32</f>
        <v>1670000</v>
      </c>
      <c r="U45" s="83">
        <f>DATA!W32</f>
        <v>0</v>
      </c>
      <c r="V45" s="83">
        <f>DATA!X32</f>
        <v>35070000</v>
      </c>
      <c r="W45" s="84" t="str">
        <f>DATA!Y32</f>
        <v>Bank Dunia/JICA/ADB</v>
      </c>
      <c r="X45" s="42" t="str">
        <f>DATA!Z32</f>
        <v>Multi Lender</v>
      </c>
      <c r="Y45" s="83">
        <f>DATA!AA32</f>
        <v>33400000</v>
      </c>
      <c r="Z45" s="83">
        <f>DATA!AG32</f>
        <v>0</v>
      </c>
      <c r="AA45" s="42">
        <f>DATA!AH32</f>
        <v>2017</v>
      </c>
      <c r="AB45" s="67" t="str">
        <f>DATA!AI32</f>
        <v>-</v>
      </c>
      <c r="AC45" s="67" t="str">
        <f>DATA!AJ32</f>
        <v>FS, DED, AMDAL</v>
      </c>
      <c r="AD45" s="67" t="str">
        <f>DATA!AK32</f>
        <v xml:space="preserve"> Lahan sudah tersedia </v>
      </c>
      <c r="AE45" s="67" t="str">
        <f>DATA!AL32</f>
        <v>-</v>
      </c>
      <c r="AF45" s="42">
        <f>DATA!AM32</f>
        <v>0</v>
      </c>
      <c r="AG45" s="42" t="str">
        <f>DATA!AN32</f>
        <v>siap</v>
      </c>
      <c r="AH45" s="42" t="str">
        <f>DATA!AO32</f>
        <v>siap</v>
      </c>
      <c r="AI45" s="42" t="str">
        <f>DATA!AP32</f>
        <v>belum ada proses tender/lelang</v>
      </c>
      <c r="AJ45" s="42" t="str">
        <f>DATA!AY32</f>
        <v>Konfirmasi melalui surat Sekjen nomor KU.01.12-Sj/636 tgl 23 Oktober 2015</v>
      </c>
      <c r="AK45" s="42" t="e">
        <f>DATA!#REF!</f>
        <v>#REF!</v>
      </c>
      <c r="AL45" s="42" t="str">
        <f>DATA!AZ32</f>
        <v>ADB juga diindikasikan akan mendanai kegiatan ini</v>
      </c>
      <c r="AM45" s="67" t="str">
        <f>DATA!BA32</f>
        <v>Pembangunan unit air baku, unit produksi dan distribusi utama, unit pelayanan dan unit pengelolaan untuk sistem pengelolaan air minum yang berkapasitas 500 lt/dt dan untuk melayani masyarakat sebesar 24.000 SR di wilayah Dumai, Rokan Hilir dan Bengkalis</v>
      </c>
    </row>
    <row r="46" spans="1:39" s="6" customFormat="1" ht="86.25" customHeight="1">
      <c r="A46" s="6">
        <f>DATA!A33</f>
        <v>30</v>
      </c>
      <c r="B46" s="6">
        <f>DATA!B33</f>
        <v>0</v>
      </c>
      <c r="C46" s="6" t="str">
        <f>DATA!D33</f>
        <v>INFRASTRUKTUR</v>
      </c>
      <c r="D46" s="6">
        <f>DATA!E33</f>
        <v>1</v>
      </c>
      <c r="E46" s="6" t="str">
        <f>DATA!F33</f>
        <v>Kementerian Pekerjaan Umum dan Perumahan Rakyat</v>
      </c>
      <c r="F46" s="6" t="str">
        <f>DATA!H33</f>
        <v>Drinking Water Development Program</v>
      </c>
      <c r="G46" s="6" t="str">
        <f>DATA!I33</f>
        <v>D</v>
      </c>
      <c r="H46" s="6" t="str">
        <f>DATA!J33</f>
        <v>Program Pembangunan Air Minum</v>
      </c>
      <c r="I46" s="6">
        <f>DATA!K33</f>
        <v>3</v>
      </c>
      <c r="J46" s="38"/>
      <c r="K46" s="39"/>
      <c r="L46" s="39"/>
      <c r="M46" s="38"/>
      <c r="N46" s="67" t="str">
        <f>DATA!L33</f>
        <v xml:space="preserve">The Development of Regional Water Supply System of  Banten - Jakarta from Karian Dam </v>
      </c>
      <c r="O46" s="42">
        <f>DATA!Q33</f>
        <v>1</v>
      </c>
      <c r="P46" s="42">
        <f>DATA!R33</f>
        <v>1</v>
      </c>
      <c r="Q46" s="42">
        <f>DATA!S33</f>
        <v>27</v>
      </c>
      <c r="R46" s="83">
        <f>DATA!T33</f>
        <v>40000000</v>
      </c>
      <c r="S46" s="83"/>
      <c r="T46" s="83">
        <f>DATA!V33</f>
        <v>2000000</v>
      </c>
      <c r="U46" s="83">
        <f>DATA!W33</f>
        <v>0</v>
      </c>
      <c r="V46" s="83">
        <f>DATA!X33</f>
        <v>42000000</v>
      </c>
      <c r="W46" s="84" t="str">
        <f>DATA!Y33</f>
        <v>Korea</v>
      </c>
      <c r="X46" s="42" t="str">
        <f>DATA!Z33</f>
        <v>Bilateral</v>
      </c>
      <c r="Y46" s="83">
        <f>DATA!AA33</f>
        <v>40000000</v>
      </c>
      <c r="Z46" s="83">
        <f>DATA!AG33</f>
        <v>0</v>
      </c>
      <c r="AA46" s="42">
        <f>DATA!AH33</f>
        <v>2017</v>
      </c>
      <c r="AB46" s="67" t="str">
        <f>DATA!AI33</f>
        <v>-</v>
      </c>
      <c r="AC46" s="67" t="str">
        <f>DATA!AJ33</f>
        <v>FS</v>
      </c>
      <c r="AD46" s="67" t="str">
        <f>DATA!AK33</f>
        <v>Proses pembebasan lahan oleh Pemda</v>
      </c>
      <c r="AE46" s="67" t="str">
        <f>DATA!AL33</f>
        <v>-</v>
      </c>
      <c r="AF46" s="42">
        <f>DATA!AM33</f>
        <v>0</v>
      </c>
      <c r="AG46" s="42" t="str">
        <f>DATA!AN33</f>
        <v>dalam proses
(memiliki FS)</v>
      </c>
      <c r="AH46" s="42" t="str">
        <f>DATA!AO33</f>
        <v>dalam proses
(persiapan)</v>
      </c>
      <c r="AI46" s="42" t="str">
        <f>DATA!AP33</f>
        <v>belum ada proses tender/lelang</v>
      </c>
      <c r="AJ46" s="42" t="str">
        <f>DATA!AY33</f>
        <v>Konfirmasi melalui surat Sekjen nomor KU.01.12-Sj/636 tgl 23 Oktober 2015</v>
      </c>
      <c r="AK46" s="42" t="e">
        <f>DATA!#REF!</f>
        <v>#REF!</v>
      </c>
      <c r="AL46" s="42">
        <f>DATA!AZ33</f>
        <v>0</v>
      </c>
      <c r="AM46" s="67"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row>
    <row r="47" spans="1:39" s="6" customFormat="1" ht="56.25" customHeight="1">
      <c r="A47" s="6">
        <f>DATA!A34</f>
        <v>31</v>
      </c>
      <c r="B47" s="6">
        <f>DATA!B34</f>
        <v>0</v>
      </c>
      <c r="C47" s="6" t="str">
        <f>DATA!D34</f>
        <v>INFRASTRUKTUR</v>
      </c>
      <c r="D47" s="6">
        <f>DATA!E34</f>
        <v>1</v>
      </c>
      <c r="E47" s="6" t="str">
        <f>DATA!F34</f>
        <v>Kementerian Pekerjaan Umum dan Perumahan Rakyat</v>
      </c>
      <c r="F47" s="6" t="str">
        <f>DATA!H34</f>
        <v>Drinking Water Development Program</v>
      </c>
      <c r="G47" s="6" t="str">
        <f>DATA!I34</f>
        <v>D</v>
      </c>
      <c r="H47" s="6" t="str">
        <f>DATA!J34</f>
        <v>Program Pembangunan Air Minum</v>
      </c>
      <c r="I47" s="6">
        <f>DATA!K34</f>
        <v>3</v>
      </c>
      <c r="J47" s="38"/>
      <c r="K47" s="39"/>
      <c r="L47" s="39"/>
      <c r="M47" s="43"/>
      <c r="N47" s="67" t="str">
        <f>DATA!L34</f>
        <v xml:space="preserve">The Development of Regional Water Supply System of Mebidang </v>
      </c>
      <c r="O47" s="42">
        <f>DATA!Q34</f>
        <v>1</v>
      </c>
      <c r="P47" s="42">
        <f>DATA!R34</f>
        <v>1</v>
      </c>
      <c r="Q47" s="42">
        <f>DATA!S34</f>
        <v>28</v>
      </c>
      <c r="R47" s="83">
        <f>DATA!T34</f>
        <v>56400000</v>
      </c>
      <c r="S47" s="83"/>
      <c r="T47" s="83">
        <f>DATA!V34</f>
        <v>2820000</v>
      </c>
      <c r="U47" s="83">
        <f>DATA!W34</f>
        <v>0</v>
      </c>
      <c r="V47" s="83">
        <f>DATA!X34</f>
        <v>59220000</v>
      </c>
      <c r="W47" s="84" t="str">
        <f>DATA!Y34</f>
        <v>Jerman (KfW)</v>
      </c>
      <c r="X47" s="42" t="str">
        <f>DATA!Z34</f>
        <v>Bilateral</v>
      </c>
      <c r="Y47" s="83">
        <f>DATA!AA34</f>
        <v>56400000</v>
      </c>
      <c r="Z47" s="83">
        <f>DATA!AG34</f>
        <v>0</v>
      </c>
      <c r="AA47" s="42">
        <f>DATA!AH34</f>
        <v>2017</v>
      </c>
      <c r="AB47" s="67" t="str">
        <f>DATA!AI34</f>
        <v>-</v>
      </c>
      <c r="AC47" s="67" t="str">
        <f>DATA!AJ34</f>
        <v>FS, DED</v>
      </c>
      <c r="AD47" s="67" t="str">
        <f>DATA!AK34</f>
        <v>Proses pembebasan lahan oleh Pemda</v>
      </c>
      <c r="AE47" s="67" t="str">
        <f>DATA!AL34</f>
        <v>-</v>
      </c>
      <c r="AF47" s="42">
        <f>DATA!AM34</f>
        <v>0</v>
      </c>
      <c r="AG47" s="42" t="str">
        <f>DATA!AN34</f>
        <v>dalam proses
(memiliki FS dan DED)</v>
      </c>
      <c r="AH47" s="42" t="str">
        <f>DATA!AO34</f>
        <v>dalam proses
(persiapan)</v>
      </c>
      <c r="AI47" s="42" t="str">
        <f>DATA!AP34</f>
        <v>belum ada proses tender/lelang</v>
      </c>
      <c r="AJ47" s="42" t="str">
        <f>DATA!AY34</f>
        <v>Konfirmasi melalui surat Sekjen nomor KU.01.12-Sj/636 tgl 23 Oktober 2015</v>
      </c>
      <c r="AK47" s="42" t="e">
        <f>DATA!#REF!</f>
        <v>#REF!</v>
      </c>
      <c r="AL47" s="42">
        <f>DATA!AZ34</f>
        <v>0</v>
      </c>
      <c r="AM47" s="67" t="str">
        <f>DATA!BA34</f>
        <v>Pembangunan IPA dengan kapasitas 1.250 lt/dt, pembangunan jaringan pipa transmisi untuk penyediaan air minum yang melayani 84.558 SR di wilayah Medan, Binjai, dan Deli Serdang.</v>
      </c>
    </row>
    <row r="48" spans="1:39" ht="48.75" customHeight="1">
      <c r="A48" s="10">
        <f>DATA!A35</f>
        <v>32</v>
      </c>
      <c r="B48" s="10">
        <f>DATA!B35</f>
        <v>0</v>
      </c>
      <c r="C48" s="10" t="str">
        <f>DATA!D35</f>
        <v>INFRASTRUKTUR</v>
      </c>
      <c r="D48" s="10">
        <f>DATA!E35</f>
        <v>1</v>
      </c>
      <c r="E48" s="10" t="str">
        <f>DATA!F35</f>
        <v>Kementerian Pekerjaan Umum dan Perumahan Rakyat</v>
      </c>
      <c r="F48" s="10" t="str">
        <f>DATA!H35</f>
        <v>Drinking Water Development Program</v>
      </c>
      <c r="G48" s="10" t="str">
        <f>DATA!I35</f>
        <v>D</v>
      </c>
      <c r="H48" s="10" t="str">
        <f>DATA!J35</f>
        <v>Program Pembangunan Air Minum</v>
      </c>
      <c r="I48" s="10">
        <f>DATA!K35</f>
        <v>4</v>
      </c>
      <c r="J48" s="33"/>
      <c r="K48" s="34"/>
      <c r="L48" s="34"/>
      <c r="M48" s="36">
        <f>DATA!K35</f>
        <v>4</v>
      </c>
      <c r="N48" s="37" t="str">
        <f>DATA!L35</f>
        <v>Water Supply System and Small Scale Water Treatment:</v>
      </c>
      <c r="O48" s="20">
        <f>DATA!Q35</f>
        <v>0</v>
      </c>
      <c r="P48" s="20">
        <f>DATA!R35</f>
        <v>0</v>
      </c>
      <c r="Q48" s="20">
        <f>DATA!S35</f>
        <v>0</v>
      </c>
      <c r="R48" s="77">
        <f>DATA!T35</f>
        <v>125000000</v>
      </c>
      <c r="S48" s="77"/>
      <c r="T48" s="77">
        <f>DATA!V35</f>
        <v>5800000</v>
      </c>
      <c r="U48" s="77">
        <f>DATA!W35</f>
        <v>0</v>
      </c>
      <c r="V48" s="77">
        <f>DATA!X35</f>
        <v>130800000</v>
      </c>
      <c r="W48" s="78" t="str">
        <f>DATA!Y35</f>
        <v>-</v>
      </c>
      <c r="X48" s="20">
        <f>DATA!Z35</f>
        <v>0</v>
      </c>
      <c r="Y48" s="77">
        <f>DATA!AA35</f>
        <v>125000000</v>
      </c>
      <c r="Z48" s="77">
        <f>DATA!AG35</f>
        <v>0</v>
      </c>
      <c r="AA48" s="20" t="str">
        <f>DATA!AH35</f>
        <v>-</v>
      </c>
      <c r="AB48" s="37" t="str">
        <f>DATA!AI35</f>
        <v>-</v>
      </c>
      <c r="AC48" s="37" t="str">
        <f>DATA!AJ35</f>
        <v>-</v>
      </c>
      <c r="AD48" s="37" t="str">
        <f>DATA!AK35</f>
        <v>-</v>
      </c>
      <c r="AE48" s="37" t="str">
        <f>DATA!AL35</f>
        <v>-</v>
      </c>
      <c r="AF48" s="20">
        <f>DATA!AM35</f>
        <v>0</v>
      </c>
      <c r="AG48" s="20" t="str">
        <f>DATA!AN35</f>
        <v>-</v>
      </c>
      <c r="AH48" s="20" t="str">
        <f>DATA!AO35</f>
        <v>-</v>
      </c>
      <c r="AI48" s="20">
        <f>DATA!AP35</f>
        <v>0</v>
      </c>
      <c r="AJ48" s="20" t="str">
        <f>DATA!AY35</f>
        <v>Konfirmasi melalui surat Sekjen nomor KU.01.12-Sj/636 tgl 23 Oktober 2015</v>
      </c>
      <c r="AK48" s="20" t="e">
        <f>DATA!#REF!</f>
        <v>#REF!</v>
      </c>
      <c r="AL48" s="20">
        <f>DATA!AZ35</f>
        <v>0</v>
      </c>
      <c r="AM48" s="37" t="str">
        <f>DATA!BA35</f>
        <v>Pengadaan dan pembangunan Instalasi Pengolahan Air Minum skala kecil untuk penanganan keadaan darurat dan Ibu Kota Kecamatan (IKK) terpilih</v>
      </c>
    </row>
    <row r="49" spans="1:39" s="7" customFormat="1" ht="66.75" customHeight="1">
      <c r="A49" s="6">
        <f>DATA!A36</f>
        <v>33</v>
      </c>
      <c r="B49" s="6">
        <f>DATA!B36</f>
        <v>0</v>
      </c>
      <c r="C49" s="6" t="str">
        <f>DATA!D36</f>
        <v>INFRASTRUKTUR</v>
      </c>
      <c r="D49" s="6">
        <f>DATA!E36</f>
        <v>1</v>
      </c>
      <c r="E49" s="6" t="str">
        <f>DATA!F36</f>
        <v>Kementerian Pekerjaan Umum dan Perumahan Rakyat</v>
      </c>
      <c r="F49" s="6" t="str">
        <f>DATA!H36</f>
        <v>Drinking Water Development Program</v>
      </c>
      <c r="G49" s="6" t="str">
        <f>DATA!I36</f>
        <v>D</v>
      </c>
      <c r="H49" s="6" t="str">
        <f>DATA!J36</f>
        <v>Program Pembangunan Air Minum</v>
      </c>
      <c r="I49" s="6">
        <f>DATA!K36</f>
        <v>4</v>
      </c>
      <c r="J49" s="44"/>
      <c r="K49" s="45"/>
      <c r="L49" s="45"/>
      <c r="M49" s="48"/>
      <c r="N49" s="68" t="str">
        <f>DATA!L36</f>
        <v xml:space="preserve">Small Scale Water Treatment Plants for Emergency Relief </v>
      </c>
      <c r="O49" s="42">
        <f>DATA!Q36</f>
        <v>1</v>
      </c>
      <c r="P49" s="42">
        <f>DATA!R36</f>
        <v>1</v>
      </c>
      <c r="Q49" s="42">
        <f>DATA!S36</f>
        <v>29</v>
      </c>
      <c r="R49" s="85">
        <f>DATA!T36</f>
        <v>25000000</v>
      </c>
      <c r="S49" s="85"/>
      <c r="T49" s="85">
        <f>DATA!V36</f>
        <v>800000</v>
      </c>
      <c r="U49" s="83">
        <f>DATA!W36</f>
        <v>0</v>
      </c>
      <c r="V49" s="85">
        <f>DATA!X36</f>
        <v>25800000</v>
      </c>
      <c r="W49" s="86" t="str">
        <f>DATA!Y36</f>
        <v>Spanyol</v>
      </c>
      <c r="X49" s="42" t="str">
        <f>DATA!Z36</f>
        <v>Bilateral</v>
      </c>
      <c r="Y49" s="85">
        <f>DATA!AA36</f>
        <v>25000000</v>
      </c>
      <c r="Z49" s="85">
        <f>DATA!AG36</f>
        <v>0</v>
      </c>
      <c r="AA49" s="98">
        <f>DATA!AH36</f>
        <v>2016</v>
      </c>
      <c r="AB49" s="68" t="str">
        <f>DATA!AI36</f>
        <v>- Sudah ada R/C
- Green Book 2015
 - Proses Loan Agreement</v>
      </c>
      <c r="AC49" s="68" t="str">
        <f>DATA!AJ36</f>
        <v>FS</v>
      </c>
      <c r="AD49" s="68" t="str">
        <f>DATA!AK36</f>
        <v>-</v>
      </c>
      <c r="AE49" s="68" t="str">
        <f>DATA!AL36</f>
        <v>-</v>
      </c>
      <c r="AF49" s="42" t="str">
        <f>DATA!AM36</f>
        <v>2016; 2015</v>
      </c>
      <c r="AG49" s="42" t="str">
        <f>DATA!AN36</f>
        <v>siap</v>
      </c>
      <c r="AH49" s="42" t="str">
        <f>DATA!AO36</f>
        <v>dalam proses
(persiapan)</v>
      </c>
      <c r="AI49" s="42" t="str">
        <f>DATA!AP36</f>
        <v>belum ada proses tender/lelang</v>
      </c>
      <c r="AJ49" s="42" t="str">
        <f>DATA!AY36</f>
        <v>Konfirmasi melalui surat Sekjen nomor KU.01.12-Sj/636 tgl 23 Oktober 2015</v>
      </c>
      <c r="AK49" s="42" t="e">
        <f>DATA!#REF!</f>
        <v>#REF!</v>
      </c>
      <c r="AL49" s="42">
        <f>DATA!AZ36</f>
        <v>0</v>
      </c>
      <c r="AM49" s="67" t="str">
        <f>DATA!BA36</f>
        <v>Pengadaan Instalasi Pengolahan Air (IPA) yang dapat dipindahkan (mobile) untuk penanganan keadaan darurat,  yang dilengkapi dengan alat pendukung, truk, dan sistem komunikasi di 4 lokasi (kota Medan, Bekasi, Makassar, dan Surabaya)</v>
      </c>
    </row>
    <row r="50" spans="1:39" ht="35.25" customHeight="1">
      <c r="J50" s="33"/>
      <c r="K50" s="34"/>
      <c r="L50" s="34"/>
      <c r="M50" s="33"/>
      <c r="N50" s="37" t="str">
        <f>DATA!L37</f>
        <v>IKK Water Supply Program and Small Water Treatment Plant for Water Scarcity Area</v>
      </c>
      <c r="O50" s="20">
        <f>DATA!Q37</f>
        <v>0</v>
      </c>
      <c r="P50" s="20">
        <f>DATA!R37</f>
        <v>1</v>
      </c>
      <c r="Q50" s="20">
        <f>DATA!S37</f>
        <v>30</v>
      </c>
      <c r="R50" s="77">
        <f>DATA!T37</f>
        <v>100000000</v>
      </c>
      <c r="S50" s="77"/>
      <c r="T50" s="77">
        <f>DATA!V37</f>
        <v>5000000</v>
      </c>
      <c r="U50" s="77">
        <f>DATA!W37</f>
        <v>0</v>
      </c>
      <c r="V50" s="77">
        <f>DATA!X37</f>
        <v>105000000</v>
      </c>
      <c r="W50" s="78" t="str">
        <f>DATA!Y37</f>
        <v>-</v>
      </c>
      <c r="X50" s="20">
        <f>DATA!Z37</f>
        <v>0</v>
      </c>
      <c r="Y50" s="77">
        <f>DATA!AA37</f>
        <v>100000000</v>
      </c>
      <c r="Z50" s="77">
        <f>DATA!AG37</f>
        <v>0</v>
      </c>
      <c r="AA50" s="104" t="str">
        <f>DATA!AH37</f>
        <v>-</v>
      </c>
      <c r="AB50" s="105" t="str">
        <f>DATA!AI37</f>
        <v>-</v>
      </c>
      <c r="AC50" s="105" t="str">
        <f>DATA!AJ37</f>
        <v>-</v>
      </c>
      <c r="AD50" s="105" t="str">
        <f>DATA!AK37</f>
        <v>-</v>
      </c>
      <c r="AE50" s="105" t="str">
        <f>DATA!AL37</f>
        <v>-</v>
      </c>
      <c r="AF50" s="104" t="str">
        <f>DATA!AM37</f>
        <v>-</v>
      </c>
      <c r="AG50" s="104" t="str">
        <f>DATA!AN37</f>
        <v>-</v>
      </c>
      <c r="AH50" s="104" t="str">
        <f>DATA!AO37</f>
        <v>-</v>
      </c>
      <c r="AI50" s="104" t="str">
        <f>DATA!AP37</f>
        <v>-</v>
      </c>
      <c r="AJ50" s="104" t="str">
        <f>DATA!AY37</f>
        <v>Konfirmasi melalui surat Sekjen nomor KU.01.12-Sj/636 tgl 23 Oktober 2015</v>
      </c>
      <c r="AK50" s="104" t="e">
        <f>DATA!#REF!</f>
        <v>#REF!</v>
      </c>
      <c r="AL50" s="104" t="str">
        <f>DATA!AZ37</f>
        <v>-</v>
      </c>
      <c r="AM50" s="105" t="str">
        <f>DATA!BA37</f>
        <v>-</v>
      </c>
    </row>
    <row r="51" spans="1:39" s="7" customFormat="1" ht="89.25">
      <c r="A51" s="6">
        <f>DATA!A38</f>
        <v>34</v>
      </c>
      <c r="B51" s="6">
        <f>DATA!B38</f>
        <v>0</v>
      </c>
      <c r="C51" s="6" t="str">
        <f>DATA!D38</f>
        <v>INFRASTRUKTUR</v>
      </c>
      <c r="D51" s="6">
        <f>DATA!E38</f>
        <v>1</v>
      </c>
      <c r="E51" s="6" t="str">
        <f>DATA!F38</f>
        <v>Kementerian Pekerjaan Umum dan Perumahan Rakyat</v>
      </c>
      <c r="F51" s="6" t="str">
        <f>DATA!H38</f>
        <v>Drinking Water Development Program</v>
      </c>
      <c r="G51" s="6" t="str">
        <f>DATA!I38</f>
        <v>D</v>
      </c>
      <c r="H51" s="6" t="str">
        <f>DATA!J38</f>
        <v>Program Pembangunan Air Minum</v>
      </c>
      <c r="I51" s="6">
        <f>DATA!K38</f>
        <v>4</v>
      </c>
      <c r="J51" s="44"/>
      <c r="K51" s="45"/>
      <c r="L51" s="69"/>
      <c r="M51" s="70"/>
      <c r="N51" s="68" t="str">
        <f>DATA!L38</f>
        <v>IKK Water Supply Program and Small Water Treatment Plant for Water Scarcity Area</v>
      </c>
      <c r="O51" s="42">
        <f>DATA!Q38</f>
        <v>0.5</v>
      </c>
      <c r="P51" s="42">
        <f>DATA!R38</f>
        <v>0</v>
      </c>
      <c r="Q51" s="42">
        <f>DATA!S38</f>
        <v>0</v>
      </c>
      <c r="R51" s="85">
        <f>DATA!T38</f>
        <v>0</v>
      </c>
      <c r="S51" s="85"/>
      <c r="T51" s="85">
        <f>DATA!V38</f>
        <v>0</v>
      </c>
      <c r="U51" s="83">
        <f>DATA!W38</f>
        <v>0</v>
      </c>
      <c r="V51" s="85">
        <f>DATA!X38</f>
        <v>0</v>
      </c>
      <c r="W51" s="86" t="str">
        <f>DATA!Y38</f>
        <v>Hungaria</v>
      </c>
      <c r="X51" s="42" t="str">
        <f>DATA!Z38</f>
        <v>Bilateral</v>
      </c>
      <c r="Y51" s="85">
        <f>DATA!AA38</f>
        <v>50000000</v>
      </c>
      <c r="Z51" s="85">
        <f>DATA!AG38</f>
        <v>0</v>
      </c>
      <c r="AA51" s="98">
        <f>DATA!AH38</f>
        <v>2016</v>
      </c>
      <c r="AB51" s="68" t="str">
        <f>DATA!AI38</f>
        <v>- Sudah ada R/C
- Green Book 2015
- Proses LA</v>
      </c>
      <c r="AC51" s="68" t="str">
        <f>DATA!AJ38</f>
        <v>Surat minat, RISPAM, DED, SIPA, Organisasi Pelaksana, DDUB</v>
      </c>
      <c r="AD51" s="68" t="str">
        <f>DATA!AK38</f>
        <v>Sebagian lokasi dalam proses pembebasan lahan oleh Pemda</v>
      </c>
      <c r="AE51" s="68" t="str">
        <f>DATA!AL38</f>
        <v>Dalam proses pengadaan</v>
      </c>
      <c r="AF51" s="42" t="str">
        <f>DATA!AM38</f>
        <v>2016; 2015</v>
      </c>
      <c r="AG51" s="42" t="str">
        <f>DATA!AN38</f>
        <v>siap</v>
      </c>
      <c r="AH51" s="42" t="str">
        <f>DATA!AO38</f>
        <v>dalam proses
(pelaksanaan &lt;50%)</v>
      </c>
      <c r="AI51" s="42" t="str">
        <f>DATA!AP38</f>
        <v>dalam proses tender/lelang</v>
      </c>
      <c r="AJ51" s="42" t="str">
        <f>DATA!AY38</f>
        <v>Konfirmasi melalui surat Sekjen nomor KU.01.12-Sj/636 tgl 23 Oktober 2015</v>
      </c>
      <c r="AK51" s="42" t="e">
        <f>DATA!#REF!</f>
        <v>#REF!</v>
      </c>
      <c r="AL51" s="42"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M51" s="67"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row>
    <row r="52" spans="1:39" s="6" customFormat="1" ht="30" customHeight="1">
      <c r="J52" s="38"/>
      <c r="K52" s="39"/>
      <c r="L52" s="71"/>
      <c r="M52" s="43"/>
      <c r="N52" s="67" t="str">
        <f>DATA!L39</f>
        <v>IKK Water Supply Program and Small Water Treatment Plant for Water Scarcity Area</v>
      </c>
      <c r="O52" s="42">
        <f>DATA!Q39</f>
        <v>0.5</v>
      </c>
      <c r="P52" s="42">
        <f>DATA!R39</f>
        <v>0</v>
      </c>
      <c r="Q52" s="42">
        <f>DATA!S39</f>
        <v>0</v>
      </c>
      <c r="R52" s="83">
        <f>DATA!T39</f>
        <v>0</v>
      </c>
      <c r="S52" s="83"/>
      <c r="T52" s="83">
        <f>DATA!V39</f>
        <v>0</v>
      </c>
      <c r="U52" s="83">
        <f>DATA!W39</f>
        <v>0</v>
      </c>
      <c r="V52" s="83">
        <f>DATA!X39</f>
        <v>0</v>
      </c>
      <c r="W52" s="84" t="str">
        <f>DATA!Y39</f>
        <v>IDB</v>
      </c>
      <c r="X52" s="42" t="str">
        <f>DATA!Z39</f>
        <v>Multilateral</v>
      </c>
      <c r="Y52" s="83">
        <f>DATA!AA39</f>
        <v>50000000</v>
      </c>
      <c r="Z52" s="83">
        <f>DATA!AG39</f>
        <v>0</v>
      </c>
      <c r="AA52" s="42">
        <f>DATA!AH39</f>
        <v>2017</v>
      </c>
      <c r="AB52" s="67" t="str">
        <f>DATA!AI39</f>
        <v>-</v>
      </c>
      <c r="AC52" s="67" t="str">
        <f>DATA!AJ39</f>
        <v>-</v>
      </c>
      <c r="AD52" s="67" t="str">
        <f>DATA!AK39</f>
        <v>-</v>
      </c>
      <c r="AE52" s="67" t="str">
        <f>DATA!AL39</f>
        <v>-</v>
      </c>
      <c r="AF52" s="42">
        <f>DATA!AM39</f>
        <v>0</v>
      </c>
      <c r="AG52" s="42" t="str">
        <f>DATA!AN39</f>
        <v>siap</v>
      </c>
      <c r="AH52" s="42" t="str">
        <f>DATA!AO39</f>
        <v>dalam proses
(pelaksanaan &lt;50%)</v>
      </c>
      <c r="AI52" s="42" t="str">
        <f>DATA!AP39</f>
        <v>belum ada proses tender/lelang</v>
      </c>
      <c r="AJ52" s="42" t="str">
        <f>DATA!AY39</f>
        <v>Konfirmasi melalui surat Sekjen nomor KU.01.12-Sj/636 tgl 23 Oktober 2015</v>
      </c>
      <c r="AK52" s="42" t="e">
        <f>DATA!#REF!</f>
        <v>#REF!</v>
      </c>
      <c r="AL52" s="42">
        <f>DATA!AZ39</f>
        <v>0</v>
      </c>
      <c r="AM52" s="67">
        <f>DATA!BA39</f>
        <v>0</v>
      </c>
    </row>
    <row r="53" spans="1:39" s="7" customFormat="1" ht="37.5" customHeight="1">
      <c r="A53" s="6"/>
      <c r="B53" s="6"/>
      <c r="C53" s="6"/>
      <c r="D53" s="6"/>
      <c r="E53" s="6"/>
      <c r="F53" s="6"/>
      <c r="G53" s="6"/>
      <c r="H53" s="6"/>
      <c r="I53" s="6"/>
      <c r="J53" s="44"/>
      <c r="K53" s="45"/>
      <c r="L53" s="69"/>
      <c r="M53" s="60">
        <f>DATA!K40</f>
        <v>5</v>
      </c>
      <c r="N53" s="61" t="str">
        <f>DATA!L40</f>
        <v>Engineering Service for Water Supply Development Project</v>
      </c>
      <c r="O53" s="20">
        <f>DATA!Q40</f>
        <v>0</v>
      </c>
      <c r="P53" s="20">
        <f>DATA!R40</f>
        <v>1</v>
      </c>
      <c r="Q53" s="20">
        <f>DATA!S40</f>
        <v>0</v>
      </c>
      <c r="R53" s="89">
        <f>DATA!T40</f>
        <v>0</v>
      </c>
      <c r="S53" s="89"/>
      <c r="T53" s="89">
        <f>DATA!V40</f>
        <v>0</v>
      </c>
      <c r="U53" s="77">
        <f>DATA!W40</f>
        <v>0</v>
      </c>
      <c r="V53" s="89">
        <f>DATA!X40</f>
        <v>0</v>
      </c>
      <c r="W53" s="90" t="str">
        <f>DATA!Y40</f>
        <v>ADB</v>
      </c>
      <c r="X53" s="20" t="str">
        <f>DATA!Z40</f>
        <v>Multilateral</v>
      </c>
      <c r="Y53" s="89">
        <f>DATA!AA40</f>
        <v>26380000</v>
      </c>
      <c r="Z53" s="89">
        <f>DATA!AG40</f>
        <v>0</v>
      </c>
      <c r="AA53" s="103">
        <f>DATA!AH40</f>
        <v>2016</v>
      </c>
      <c r="AB53" s="61" t="str">
        <f>DATA!AI40</f>
        <v>- Green Book 2015</v>
      </c>
      <c r="AC53" s="61" t="str">
        <f>DATA!AJ40</f>
        <v>-</v>
      </c>
      <c r="AD53" s="61" t="str">
        <f>DATA!AK40</f>
        <v>-</v>
      </c>
      <c r="AE53" s="61" t="str">
        <f>DATA!AL40</f>
        <v>-</v>
      </c>
      <c r="AF53" s="42"/>
      <c r="AG53" s="42"/>
      <c r="AH53" s="42"/>
      <c r="AI53" s="42"/>
      <c r="AJ53" s="42"/>
      <c r="AK53" s="42"/>
      <c r="AL53" s="42"/>
      <c r="AM53" s="67"/>
    </row>
    <row r="54" spans="1:39" s="5" customFormat="1" ht="33.75" customHeight="1">
      <c r="J54" s="28"/>
      <c r="K54" s="50"/>
      <c r="L54" s="30" t="str">
        <f>DATA!I41</f>
        <v>E</v>
      </c>
      <c r="M54" s="31" t="str">
        <f>DATA!J41</f>
        <v xml:space="preserve">Program Pembangunan Sistem Pengelolaan Air Limbah </v>
      </c>
      <c r="N54" s="51"/>
      <c r="O54" s="31"/>
      <c r="P54" s="31"/>
      <c r="Q54" s="31"/>
      <c r="R54" s="81">
        <f>+R55+R58+R59+R60+R64+R65</f>
        <v>3583000000</v>
      </c>
      <c r="S54" s="81"/>
      <c r="T54" s="81">
        <f t="shared" ref="T54:Z54" si="1">+T55+T58+T59+T60+T64+T65</f>
        <v>179150000</v>
      </c>
      <c r="U54" s="81">
        <f t="shared" si="1"/>
        <v>0</v>
      </c>
      <c r="V54" s="81">
        <f t="shared" si="1"/>
        <v>3762150000</v>
      </c>
      <c r="W54" s="81"/>
      <c r="X54" s="81" t="e">
        <f t="shared" si="1"/>
        <v>#VALUE!</v>
      </c>
      <c r="Y54" s="81">
        <f t="shared" si="1"/>
        <v>3583000000</v>
      </c>
      <c r="Z54" s="81">
        <f t="shared" si="1"/>
        <v>0</v>
      </c>
      <c r="AA54" s="31"/>
      <c r="AB54" s="32"/>
      <c r="AC54" s="32"/>
      <c r="AD54" s="32"/>
      <c r="AE54" s="32"/>
      <c r="AF54" s="31"/>
      <c r="AG54" s="31"/>
      <c r="AH54" s="31"/>
      <c r="AI54" s="31"/>
      <c r="AJ54" s="31"/>
      <c r="AK54" s="31"/>
      <c r="AL54" s="31"/>
      <c r="AM54" s="32"/>
    </row>
    <row r="55" spans="1:39" ht="57.75" customHeight="1">
      <c r="A55" s="10">
        <f>DATA!A41</f>
        <v>35</v>
      </c>
      <c r="B55" s="10">
        <f>DATA!B41</f>
        <v>0</v>
      </c>
      <c r="C55" s="10" t="str">
        <f>DATA!D41</f>
        <v>INFRASTRUKTUR</v>
      </c>
      <c r="D55" s="10">
        <f>DATA!E41</f>
        <v>1</v>
      </c>
      <c r="E55" s="10" t="str">
        <f>DATA!F41</f>
        <v>Kementerian Pekerjaan Umum dan Perumahan Rakyat</v>
      </c>
      <c r="F55" s="10" t="str">
        <f>DATA!H41</f>
        <v>Development of Waste Water Management Program</v>
      </c>
      <c r="G55" s="10" t="str">
        <f>DATA!I41</f>
        <v>E</v>
      </c>
      <c r="H55" s="10" t="str">
        <f>DATA!J41</f>
        <v xml:space="preserve">Program Pembangunan Sistem Pengelolaan Air Limbah </v>
      </c>
      <c r="I55" s="10">
        <f>DATA!K41</f>
        <v>1</v>
      </c>
      <c r="J55" s="33"/>
      <c r="K55" s="34"/>
      <c r="L55" s="35"/>
      <c r="M55" s="36">
        <f>DATA!K41</f>
        <v>1</v>
      </c>
      <c r="N55" s="37" t="str">
        <f>DATA!L41</f>
        <v>Community Based Sanitation Program (SANIMAS)</v>
      </c>
      <c r="O55" s="37">
        <f>DATA!Q41</f>
        <v>0</v>
      </c>
      <c r="P55" s="37">
        <f>DATA!R41</f>
        <v>1</v>
      </c>
      <c r="Q55" s="37">
        <f>DATA!S41</f>
        <v>31</v>
      </c>
      <c r="R55" s="87">
        <f>DATA!T41</f>
        <v>250000000</v>
      </c>
      <c r="S55" s="87"/>
      <c r="T55" s="87">
        <f>DATA!V41</f>
        <v>12500000</v>
      </c>
      <c r="U55" s="87">
        <f>DATA!W41</f>
        <v>0</v>
      </c>
      <c r="V55" s="87">
        <f>DATA!X41</f>
        <v>262500000</v>
      </c>
      <c r="W55" s="37" t="str">
        <f>DATA!Y41</f>
        <v>-</v>
      </c>
      <c r="X55" s="37">
        <f>DATA!Z41</f>
        <v>0</v>
      </c>
      <c r="Y55" s="37">
        <f>DATA!AA41</f>
        <v>250000000</v>
      </c>
      <c r="Z55" s="87">
        <f>DATA!AG41</f>
        <v>0</v>
      </c>
      <c r="AA55" s="37" t="str">
        <f>DATA!AH41</f>
        <v>-</v>
      </c>
      <c r="AB55" s="37" t="str">
        <f>DATA!AI41</f>
        <v>-</v>
      </c>
      <c r="AC55" s="37" t="str">
        <f>DATA!AJ41</f>
        <v>-</v>
      </c>
      <c r="AD55" s="37" t="str">
        <f>DATA!AK41</f>
        <v>-</v>
      </c>
      <c r="AE55" s="37" t="str">
        <f>DATA!AL41</f>
        <v>-</v>
      </c>
      <c r="AF55" s="37" t="str">
        <f>DATA!AM41</f>
        <v>-</v>
      </c>
      <c r="AG55" s="37" t="str">
        <f>DATA!AN41</f>
        <v>-</v>
      </c>
      <c r="AH55" s="37" t="str">
        <f>DATA!AO41</f>
        <v>-</v>
      </c>
      <c r="AI55" s="37" t="str">
        <f>DATA!AP41</f>
        <v>belum ada proses tender/lelang</v>
      </c>
      <c r="AJ55" s="37" t="str">
        <f>DATA!AY41</f>
        <v>- Merupakan kelanjutan dari kegiatan Urban Sanitation and Rural Infrastructure Support to PNPM Mandiri Projrct (USRI) yang telah berakhir pada tanggal 30 Juni 2015
- Konfirmasi melalui surat Sekjen nomor KU.01.12-Sj/636 tgl 23 Oktober 2015</v>
      </c>
      <c r="AK55" s="37" t="e">
        <f>DATA!#REF!</f>
        <v>#REF!</v>
      </c>
      <c r="AL55" s="37" t="str">
        <f>DATA!AZ41</f>
        <v>- ADB akan co-financing dengan IDB dan diindikasikan akan mendanai kegiatan ini sebesar USD 125 juta untuk wilayah Indonesia Timur
'- IDB akan co-financing dengan ADB dan diindikasikan akan mendanai kegiatan ini sebesar USD 25 juta untuk wilayah Indonesia Barat</v>
      </c>
      <c r="AM55" s="37" t="str">
        <f>DATA!BA41</f>
        <v>Bantuan langsung masyarakat, penguatan institusi pengelola, dan jasa konsultasi.</v>
      </c>
    </row>
    <row r="56" spans="1:39" s="7" customFormat="1" ht="55.5" customHeight="1">
      <c r="A56" s="6"/>
      <c r="B56" s="6"/>
      <c r="C56" s="6"/>
      <c r="D56" s="6"/>
      <c r="E56" s="6"/>
      <c r="F56" s="6"/>
      <c r="G56" s="6"/>
      <c r="H56" s="6"/>
      <c r="I56" s="6"/>
      <c r="J56" s="44"/>
      <c r="K56" s="45"/>
      <c r="L56" s="45"/>
      <c r="M56" s="46"/>
      <c r="N56" s="68" t="str">
        <f>DATA!L42</f>
        <v>Community Based Sanitation Program (SANIMAS)</v>
      </c>
      <c r="O56" s="67">
        <f>DATA!Q42</f>
        <v>0.5</v>
      </c>
      <c r="P56" s="67">
        <f>DATA!R42</f>
        <v>1</v>
      </c>
      <c r="Q56" s="67">
        <f>DATA!S42</f>
        <v>31</v>
      </c>
      <c r="R56" s="140">
        <f>DATA!T42</f>
        <v>0</v>
      </c>
      <c r="S56" s="140"/>
      <c r="T56" s="140">
        <f>DATA!V42</f>
        <v>0</v>
      </c>
      <c r="U56" s="93">
        <f>DATA!W42</f>
        <v>0</v>
      </c>
      <c r="V56" s="140">
        <f>DATA!X42</f>
        <v>0</v>
      </c>
      <c r="W56" s="86" t="str">
        <f>DATA!Y42</f>
        <v>ADB</v>
      </c>
      <c r="X56" s="67" t="str">
        <f>DATA!Z42</f>
        <v>Multilateral</v>
      </c>
      <c r="Y56" s="68">
        <f>DATA!AA42</f>
        <v>125000000</v>
      </c>
      <c r="Z56" s="140">
        <f>DATA!AG42</f>
        <v>0</v>
      </c>
      <c r="AA56" s="68">
        <f>DATA!AH42</f>
        <v>2016</v>
      </c>
      <c r="AB56" s="68" t="str">
        <f>DATA!AI42</f>
        <v>-</v>
      </c>
      <c r="AC56" s="68" t="str">
        <f>DATA!AJ42</f>
        <v>-</v>
      </c>
      <c r="AD56" s="68" t="str">
        <f>DATA!AK42</f>
        <v>Tidak ada kegiatan pengadaan lahan, lahan akan diperoleh dari masyarakat</v>
      </c>
      <c r="AE56" s="68" t="str">
        <f>DATA!AL42</f>
        <v>-</v>
      </c>
      <c r="AF56" s="67">
        <f>DATA!AM42</f>
        <v>0</v>
      </c>
      <c r="AG56" s="67" t="str">
        <f>DATA!AN42</f>
        <v>belum ada keterangan</v>
      </c>
      <c r="AH56" s="67" t="str">
        <f>DATA!AO42</f>
        <v>tidak butuh lahan</v>
      </c>
      <c r="AI56" s="67" t="str">
        <f>DATA!AP42</f>
        <v>belum ada proses tender/lelang</v>
      </c>
      <c r="AJ56" s="67" t="str">
        <f>DATA!AY42</f>
        <v>- Merupakan kelanjutan dari kegiatan Urban Sanitation and Rural Infrastructure Support to PNPM Mandiri Projrct (USRI) yang telah berakhir pada tanggal 30 Juni 2015
- Konfirmasi melalui e-mail tanggal 17, 18, dan 21 Sept 2015</v>
      </c>
      <c r="AK56" s="67" t="e">
        <f>DATA!#REF!</f>
        <v>#REF!</v>
      </c>
      <c r="AL56" s="6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M56" s="67" t="str">
        <f>DATA!BA42</f>
        <v>Bantuan langsung masyarakat, penguatan institusi pengelola, dan jasa konsultasi.</v>
      </c>
    </row>
    <row r="57" spans="1:39" s="6" customFormat="1" ht="46.5" customHeight="1">
      <c r="J57" s="38"/>
      <c r="K57" s="39"/>
      <c r="L57" s="39"/>
      <c r="M57" s="72"/>
      <c r="N57" s="67" t="str">
        <f>DATA!L43</f>
        <v>Community Based Sanitation Program (SANIMAS)</v>
      </c>
      <c r="O57" s="67">
        <f>DATA!Q43</f>
        <v>0.5</v>
      </c>
      <c r="P57" s="67">
        <f>DATA!R43</f>
        <v>1</v>
      </c>
      <c r="Q57" s="67">
        <f>DATA!S43</f>
        <v>31</v>
      </c>
      <c r="R57" s="93">
        <f>DATA!T43</f>
        <v>0</v>
      </c>
      <c r="S57" s="93"/>
      <c r="T57" s="93">
        <f>DATA!V43</f>
        <v>0</v>
      </c>
      <c r="U57" s="93">
        <f>DATA!W43</f>
        <v>0</v>
      </c>
      <c r="V57" s="93">
        <f>DATA!X43</f>
        <v>0</v>
      </c>
      <c r="W57" s="84" t="str">
        <f>DATA!Y43</f>
        <v>IDB</v>
      </c>
      <c r="X57" s="67" t="str">
        <f>DATA!Z43</f>
        <v>Multilateral</v>
      </c>
      <c r="Y57" s="67">
        <f>DATA!AA43</f>
        <v>125000000</v>
      </c>
      <c r="Z57" s="93">
        <f>DATA!AG43</f>
        <v>0</v>
      </c>
      <c r="AA57" s="67">
        <f>DATA!AH43</f>
        <v>2017</v>
      </c>
      <c r="AB57" s="67" t="str">
        <f>DATA!AI43</f>
        <v>-</v>
      </c>
      <c r="AC57" s="67" t="str">
        <f>DATA!AJ43</f>
        <v>-</v>
      </c>
      <c r="AD57" s="67" t="str">
        <f>DATA!AK43</f>
        <v>Tidak ada kegiatan pengadaan lahan, lahan akan diperoleh dari masyarakat</v>
      </c>
      <c r="AE57" s="67" t="str">
        <f>DATA!AL43</f>
        <v>-</v>
      </c>
      <c r="AF57" s="67">
        <f>DATA!AM43</f>
        <v>0</v>
      </c>
      <c r="AG57" s="67" t="str">
        <f>DATA!AN43</f>
        <v>belum ada keterangan</v>
      </c>
      <c r="AH57" s="67" t="str">
        <f>DATA!AO43</f>
        <v>tidak butuh lahan</v>
      </c>
      <c r="AI57" s="67" t="str">
        <f>DATA!AP43</f>
        <v>belum ada proses tender/lelang</v>
      </c>
      <c r="AJ57" s="67" t="str">
        <f>DATA!AY43</f>
        <v>- Merupakan kelanjutan dari kegiatan Urban Sanitation and Rural Infrastructure Support to PNPM Mandiri Projrct (USRI) yang telah berakhir pada tanggal 30 Juni 2015
- Konfirmasi melalui surat Sekjen nomor KU.01.12-Sj/636 tgl 23 Oktober 2015</v>
      </c>
      <c r="AK57" s="67" t="e">
        <f>DATA!#REF!</f>
        <v>#REF!</v>
      </c>
      <c r="AL57" s="6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M57" s="67" t="str">
        <f>DATA!BA43</f>
        <v>Bantuan langsung masyarakat, penguatan institusi pengelola, dan jasa konsultasi.</v>
      </c>
    </row>
    <row r="58" spans="1:39" ht="80.25" customHeight="1">
      <c r="A58" s="10">
        <f>DATA!A44</f>
        <v>36</v>
      </c>
      <c r="B58" s="10">
        <f>DATA!B44</f>
        <v>0</v>
      </c>
      <c r="C58" s="10" t="str">
        <f>DATA!D44</f>
        <v>INFRASTRUKTUR</v>
      </c>
      <c r="D58" s="10">
        <f>DATA!E44</f>
        <v>1</v>
      </c>
      <c r="E58" s="10" t="str">
        <f>DATA!F44</f>
        <v>Kementerian Pekerjaan Umum dan Perumahan Rakyat</v>
      </c>
      <c r="F58" s="10" t="str">
        <f>DATA!H44</f>
        <v>Development of Waste Water Management Program</v>
      </c>
      <c r="G58" s="10" t="str">
        <f>DATA!I44</f>
        <v>E</v>
      </c>
      <c r="H58" s="10" t="str">
        <f>DATA!J44</f>
        <v xml:space="preserve">Program Pembangunan Sistem Pengelolaan Air Limbah </v>
      </c>
      <c r="I58" s="10">
        <f>DATA!K44</f>
        <v>2</v>
      </c>
      <c r="J58" s="33"/>
      <c r="K58" s="34"/>
      <c r="L58" s="34"/>
      <c r="M58" s="36">
        <f>DATA!K44</f>
        <v>2</v>
      </c>
      <c r="N58" s="37" t="str">
        <f>DATA!L44</f>
        <v>Jakarta Sewerage Development Project - Zone 1 and Zone 6</v>
      </c>
      <c r="O58" s="20">
        <f>DATA!Q44</f>
        <v>1</v>
      </c>
      <c r="P58" s="20">
        <f>DATA!R44</f>
        <v>1</v>
      </c>
      <c r="Q58" s="20">
        <f>DATA!S44</f>
        <v>32</v>
      </c>
      <c r="R58" s="77">
        <f>DATA!T44</f>
        <v>1950000000</v>
      </c>
      <c r="S58" s="77"/>
      <c r="T58" s="77">
        <f>DATA!V44</f>
        <v>97500000</v>
      </c>
      <c r="U58" s="77">
        <f>DATA!W44</f>
        <v>0</v>
      </c>
      <c r="V58" s="77">
        <f>DATA!X44</f>
        <v>2047500000</v>
      </c>
      <c r="W58" s="78" t="str">
        <f>DATA!Y44</f>
        <v>JICA</v>
      </c>
      <c r="X58" s="20" t="str">
        <f>DATA!Z44</f>
        <v>Bilateral</v>
      </c>
      <c r="Y58" s="77">
        <f>DATA!AA44</f>
        <v>1950000000</v>
      </c>
      <c r="Z58" s="77">
        <f>DATA!AG44</f>
        <v>0</v>
      </c>
      <c r="AA58" s="20">
        <f>DATA!AH44</f>
        <v>2017</v>
      </c>
      <c r="AB58" s="37" t="str">
        <f>DATA!AI44</f>
        <v>-</v>
      </c>
      <c r="AC58" s="37" t="str">
        <f>DATA!AJ44</f>
        <v>- FS
- Penyusunan DED</v>
      </c>
      <c r="AD58" s="37" t="str">
        <f>DATA!AK44</f>
        <v>Lahan untuk IPAL sudah dibebaskan</v>
      </c>
      <c r="AE58" s="37" t="str">
        <f>DATA!AL44</f>
        <v>-</v>
      </c>
      <c r="AF58" s="20">
        <f>DATA!AM44</f>
        <v>0</v>
      </c>
      <c r="AG58" s="20" t="str">
        <f>DATA!AN44</f>
        <v>dalam proses
(memiliki FS)</v>
      </c>
      <c r="AH58" s="20" t="str">
        <f>DATA!AO44</f>
        <v>dalam proses</v>
      </c>
      <c r="AI58" s="20" t="str">
        <f>DATA!AP44</f>
        <v>belum ada proses tender/lelang</v>
      </c>
      <c r="AJ58" s="20" t="str">
        <f>DATA!AY44</f>
        <v>Konfirmasi melalui surat Sekjen nomor KU.01.12-Sj/636 tgl 23 Oktober 2015</v>
      </c>
      <c r="AK58" s="20" t="e">
        <f>DATA!#REF!</f>
        <v>#REF!</v>
      </c>
      <c r="AL58" s="20">
        <f>DATA!AZ44</f>
        <v>0</v>
      </c>
      <c r="AM58" s="37" t="str">
        <f>DATA!BA44</f>
        <v>Pembangunan jaringan perpipaan dan Instalasi Pengolahan Air Limbah (IPAL) terpusat di Zona-1 dan Zona-6, pembangunan unit stasiun pompa, serta penyusunan Detail Engineering Design (DED) untuk IPAL Terpusat Zona 6</v>
      </c>
    </row>
    <row r="59" spans="1:39" ht="51" customHeight="1">
      <c r="A59" s="10">
        <f>DATA!A45</f>
        <v>37</v>
      </c>
      <c r="B59" s="10">
        <f>DATA!B45</f>
        <v>0</v>
      </c>
      <c r="C59" s="10" t="str">
        <f>DATA!D45</f>
        <v>INFRASTRUKTUR</v>
      </c>
      <c r="D59" s="10">
        <f>DATA!E45</f>
        <v>1</v>
      </c>
      <c r="E59" s="10" t="str">
        <f>DATA!F45</f>
        <v>Kementerian Pekerjaan Umum dan Perumahan Rakyat</v>
      </c>
      <c r="F59" s="10" t="str">
        <f>DATA!H45</f>
        <v>Development of Waste Water Management Program</v>
      </c>
      <c r="G59" s="10" t="str">
        <f>DATA!I45</f>
        <v>E</v>
      </c>
      <c r="H59" s="10" t="str">
        <f>DATA!J45</f>
        <v xml:space="preserve">Program Pembangunan Sistem Pengelolaan Air Limbah </v>
      </c>
      <c r="I59" s="10">
        <f>DATA!K45</f>
        <v>3</v>
      </c>
      <c r="J59" s="33"/>
      <c r="K59" s="34"/>
      <c r="L59" s="34"/>
      <c r="M59" s="36">
        <f>DATA!K45</f>
        <v>3</v>
      </c>
      <c r="N59" s="37" t="str">
        <f>DATA!L45</f>
        <v>The Development of Sewage Treatment Plant Facility in Priority Area</v>
      </c>
      <c r="O59" s="20">
        <f>DATA!Q45</f>
        <v>1</v>
      </c>
      <c r="P59" s="20">
        <f>DATA!R45</f>
        <v>1</v>
      </c>
      <c r="Q59" s="20">
        <f>DATA!S45</f>
        <v>33</v>
      </c>
      <c r="R59" s="77">
        <f>DATA!T45</f>
        <v>75000000</v>
      </c>
      <c r="S59" s="77"/>
      <c r="T59" s="77">
        <f>DATA!V45</f>
        <v>3750000</v>
      </c>
      <c r="U59" s="77">
        <f>DATA!W45</f>
        <v>0</v>
      </c>
      <c r="V59" s="77">
        <f>DATA!X45</f>
        <v>78750000</v>
      </c>
      <c r="W59" s="78" t="str">
        <f>DATA!Y45</f>
        <v>Bank Dunia/JICA</v>
      </c>
      <c r="X59" s="20" t="str">
        <f>DATA!Z45</f>
        <v>Multi Lender</v>
      </c>
      <c r="Y59" s="77">
        <f>DATA!AA45</f>
        <v>75000000</v>
      </c>
      <c r="Z59" s="77">
        <f>DATA!AG45</f>
        <v>0</v>
      </c>
      <c r="AA59" s="20">
        <f>DATA!AH45</f>
        <v>2018</v>
      </c>
      <c r="AB59" s="37" t="str">
        <f>DATA!AI45</f>
        <v>-</v>
      </c>
      <c r="AC59" s="37" t="str">
        <f>DATA!AJ45</f>
        <v>FS disiapkan melalui APBN TA 2015</v>
      </c>
      <c r="AD59" s="37" t="str">
        <f>DATA!AK45</f>
        <v>-</v>
      </c>
      <c r="AE59" s="37" t="str">
        <f>DATA!AL45</f>
        <v>-</v>
      </c>
      <c r="AF59" s="20">
        <f>DATA!AM45</f>
        <v>0</v>
      </c>
      <c r="AG59" s="20" t="str">
        <f>DATA!AN45</f>
        <v>dalam proses
(memiliki FS)</v>
      </c>
      <c r="AH59" s="20" t="str">
        <f>DATA!AO45</f>
        <v>belum ada keterangan</v>
      </c>
      <c r="AI59" s="20" t="str">
        <f>DATA!AP45</f>
        <v>belum ada proses tender/lelang</v>
      </c>
      <c r="AJ59" s="20" t="str">
        <f>DATA!AY45</f>
        <v>- Sedang dalam konsep desain bentuk kegiatan
- 'Konfirmasi melalui surat Sekjen nomor KU.01.12-Sj/636 tgl 23 Oktober 2015</v>
      </c>
      <c r="AK59" s="20" t="e">
        <f>DATA!#REF!</f>
        <v>#REF!</v>
      </c>
      <c r="AL59" s="20" t="str">
        <f>DATA!AZ45</f>
        <v>JICA diindikasikan juga akan mendanai kegaiatan ini</v>
      </c>
      <c r="AM59" s="37" t="str">
        <f>DATA!BA45</f>
        <v>Penyediaan sarana prasarana Instalasi Pengolahan Lumpur Tinja (IPLT), seperti mobil tinja, pompa penyedot dan unit IPLT.</v>
      </c>
    </row>
    <row r="60" spans="1:39" ht="22.5" customHeight="1">
      <c r="A60" s="10">
        <f>DATA!A46</f>
        <v>38</v>
      </c>
      <c r="B60" s="10">
        <f>DATA!B46</f>
        <v>0</v>
      </c>
      <c r="C60" s="10" t="str">
        <f>DATA!D46</f>
        <v>INFRASTRUKTUR</v>
      </c>
      <c r="D60" s="10">
        <f>DATA!E46</f>
        <v>1</v>
      </c>
      <c r="E60" s="10" t="str">
        <f>DATA!F46</f>
        <v>Kementerian Pekerjaan Umum dan Perumahan Rakyat</v>
      </c>
      <c r="F60" s="10" t="str">
        <f>DATA!H46</f>
        <v>Development of Waste Water Management Program</v>
      </c>
      <c r="G60" s="10" t="str">
        <f>DATA!I46</f>
        <v>E</v>
      </c>
      <c r="H60" s="10" t="str">
        <f>DATA!J46</f>
        <v xml:space="preserve">Program Pembangunan Sistem Pengelolaan Air Limbah </v>
      </c>
      <c r="I60" s="10">
        <f>DATA!K46</f>
        <v>4</v>
      </c>
      <c r="J60" s="33"/>
      <c r="K60" s="34"/>
      <c r="L60" s="34"/>
      <c r="M60" s="36">
        <f>DATA!K46</f>
        <v>4</v>
      </c>
      <c r="N60" s="37" t="str">
        <f>DATA!L46</f>
        <v>Sewerage System Development in Indonesia</v>
      </c>
      <c r="O60" s="20">
        <f>DATA!Q46</f>
        <v>0</v>
      </c>
      <c r="P60" s="20">
        <f>DATA!R46</f>
        <v>1</v>
      </c>
      <c r="Q60" s="20">
        <f>DATA!S46</f>
        <v>34</v>
      </c>
      <c r="R60" s="77">
        <f>DATA!T46</f>
        <v>975000000</v>
      </c>
      <c r="S60" s="77"/>
      <c r="T60" s="77">
        <f>DATA!V46</f>
        <v>48750000</v>
      </c>
      <c r="U60" s="77">
        <f>DATA!W46</f>
        <v>0</v>
      </c>
      <c r="V60" s="77">
        <f>DATA!X46</f>
        <v>1023750000</v>
      </c>
      <c r="W60" s="78" t="str">
        <f>DATA!Y46</f>
        <v>-</v>
      </c>
      <c r="X60" s="20">
        <f>DATA!Z46</f>
        <v>0</v>
      </c>
      <c r="Y60" s="77">
        <f>DATA!AA46</f>
        <v>975000000</v>
      </c>
      <c r="Z60" s="77">
        <f>DATA!AG46</f>
        <v>0</v>
      </c>
      <c r="AA60" s="20"/>
      <c r="AB60" s="37" t="str">
        <f>DATA!AI46</f>
        <v>-</v>
      </c>
      <c r="AC60" s="37" t="str">
        <f>DATA!AJ46</f>
        <v>-</v>
      </c>
      <c r="AD60" s="37" t="str">
        <f>DATA!AK46</f>
        <v>-</v>
      </c>
      <c r="AE60" s="37" t="str">
        <f>DATA!AL46</f>
        <v>-</v>
      </c>
      <c r="AF60" s="20" t="str">
        <f>DATA!AM46</f>
        <v>-</v>
      </c>
      <c r="AG60" s="20" t="str">
        <f>DATA!AN46</f>
        <v>-</v>
      </c>
      <c r="AH60" s="20" t="str">
        <f>DATA!AO46</f>
        <v>-</v>
      </c>
      <c r="AI60" s="20" t="str">
        <f>DATA!AP46</f>
        <v>-</v>
      </c>
      <c r="AJ60" s="20" t="str">
        <f>DATA!AY46</f>
        <v>Konfirmasi melalui surat Sekjen nomor KU.01.12-Sj/636 tgl 23 Oktober 2015</v>
      </c>
      <c r="AK60" s="20" t="e">
        <f>DATA!#REF!</f>
        <v>#REF!</v>
      </c>
      <c r="AL60" s="20" t="str">
        <f>DATA!AZ46</f>
        <v>-</v>
      </c>
      <c r="AM60" s="37" t="str">
        <f>DATA!BA46</f>
        <v>-</v>
      </c>
    </row>
    <row r="61" spans="1:39" s="6" customFormat="1" ht="48.75" customHeight="1">
      <c r="A61" s="6">
        <f>DATA!A47</f>
        <v>38</v>
      </c>
      <c r="B61" s="6">
        <f>DATA!B47</f>
        <v>0</v>
      </c>
      <c r="C61" s="6" t="str">
        <f>DATA!D47</f>
        <v>INFRASTRUKTUR</v>
      </c>
      <c r="D61" s="6">
        <f>DATA!E47</f>
        <v>1</v>
      </c>
      <c r="E61" s="6" t="str">
        <f>DATA!F47</f>
        <v>Kementerian Pekerjaan Umum dan Perumahan Rakyat</v>
      </c>
      <c r="F61" s="6" t="str">
        <f>DATA!H47</f>
        <v>Development of Waste Water Management Program</v>
      </c>
      <c r="G61" s="6" t="str">
        <f>DATA!I47</f>
        <v>E</v>
      </c>
      <c r="H61" s="6" t="str">
        <f>DATA!J47</f>
        <v xml:space="preserve">Program Pembangunan Sistem Pengelolaan Air Limbah </v>
      </c>
      <c r="I61" s="6">
        <f>DATA!K47</f>
        <v>4</v>
      </c>
      <c r="J61" s="38"/>
      <c r="K61" s="39"/>
      <c r="L61" s="39"/>
      <c r="M61" s="40"/>
      <c r="N61" s="67" t="str">
        <f>DATA!L47</f>
        <v>Sewerage System Development in Indonesia</v>
      </c>
      <c r="O61" s="42">
        <f>DATA!Q47</f>
        <v>0.25</v>
      </c>
      <c r="P61" s="42">
        <f>DATA!R47</f>
        <v>0</v>
      </c>
      <c r="Q61" s="42">
        <f>DATA!S47</f>
        <v>0</v>
      </c>
      <c r="R61" s="83">
        <f>DATA!T47</f>
        <v>0</v>
      </c>
      <c r="S61" s="83"/>
      <c r="T61" s="83">
        <f>DATA!V47</f>
        <v>0</v>
      </c>
      <c r="U61" s="83">
        <f>DATA!W47</f>
        <v>0</v>
      </c>
      <c r="V61" s="83">
        <f>DATA!X47</f>
        <v>0</v>
      </c>
      <c r="W61" s="84" t="str">
        <f>DATA!Y47</f>
        <v>ADB</v>
      </c>
      <c r="X61" s="42" t="str">
        <f>DATA!Z47</f>
        <v>Multilateral</v>
      </c>
      <c r="Y61" s="83">
        <f>DATA!AA47</f>
        <v>424800000</v>
      </c>
      <c r="Z61" s="83">
        <f>DATA!AG47</f>
        <v>0</v>
      </c>
      <c r="AA61" s="42">
        <f>DATA!AH47</f>
        <v>2017</v>
      </c>
      <c r="AB61" s="67" t="str">
        <f>DATA!AI47</f>
        <v>-</v>
      </c>
      <c r="AC61" s="67" t="str">
        <f>DATA!AJ47</f>
        <v>-</v>
      </c>
      <c r="AD61" s="67" t="str">
        <f>DATA!AK47</f>
        <v>-</v>
      </c>
      <c r="AE61" s="67" t="str">
        <f>DATA!AL47</f>
        <v>-</v>
      </c>
      <c r="AF61" s="42">
        <f>DATA!AM47</f>
        <v>0</v>
      </c>
      <c r="AG61" s="42" t="str">
        <f>DATA!AN47</f>
        <v>belum ada keterangan</v>
      </c>
      <c r="AH61" s="42" t="str">
        <f>DATA!AO47</f>
        <v>belum ada keterangan</v>
      </c>
      <c r="AI61" s="42" t="str">
        <f>DATA!AP47</f>
        <v>belum ada proses tender/lelang</v>
      </c>
      <c r="AJ61" s="42" t="str">
        <f>DATA!AY47</f>
        <v>- termasuk ESP senilai USD 26,38 juta, indikasi Lender ADB
- belum ada proses penyiapan
- Konfirmasi melalui surat Sekjen nomor KU.01.12-Sj/636 tgl 23 Oktober 2015</v>
      </c>
      <c r="AK61" s="42" t="e">
        <f>DATA!#REF!</f>
        <v>#REF!</v>
      </c>
      <c r="AL61" s="42" t="str">
        <f>DATA!AZ47</f>
        <v>Sudah ada pembicaraan awal</v>
      </c>
      <c r="AM61" s="67" t="str">
        <f>DATA!BA47</f>
        <v>Pembangunan fisik sarana dan prasarana sanitasi serta Instalasi Pengolahan Air Limbah (IPAL) dan penguatan kapasitas lembaga pengelola</v>
      </c>
    </row>
    <row r="62" spans="1:39" s="6" customFormat="1" ht="43.5" customHeight="1">
      <c r="A62" s="6">
        <f>DATA!A48</f>
        <v>39</v>
      </c>
      <c r="B62" s="6">
        <f>DATA!B48</f>
        <v>0</v>
      </c>
      <c r="C62" s="6" t="str">
        <f>DATA!D48</f>
        <v>INFRASTRUKTUR</v>
      </c>
      <c r="D62" s="6">
        <f>DATA!E48</f>
        <v>1</v>
      </c>
      <c r="E62" s="6" t="str">
        <f>DATA!F48</f>
        <v>Kementerian Pekerjaan Umum dan Perumahan Rakyat</v>
      </c>
      <c r="F62" s="6" t="str">
        <f>DATA!H48</f>
        <v>Development of Waste Water Management Program</v>
      </c>
      <c r="G62" s="6" t="str">
        <f>DATA!I48</f>
        <v>E</v>
      </c>
      <c r="H62" s="6" t="str">
        <f>DATA!J48</f>
        <v xml:space="preserve">Program Pembangunan Sistem Pengelolaan Air Limbah </v>
      </c>
      <c r="I62" s="6">
        <f>DATA!K48</f>
        <v>4</v>
      </c>
      <c r="J62" s="38"/>
      <c r="K62" s="39"/>
      <c r="L62" s="39"/>
      <c r="M62" s="38"/>
      <c r="N62" s="67" t="str">
        <f>DATA!L48</f>
        <v>Sewerage System Development in Indonesia</v>
      </c>
      <c r="O62" s="42">
        <f>DATA!Q48</f>
        <v>0.25</v>
      </c>
      <c r="P62" s="42">
        <f>DATA!R48</f>
        <v>0</v>
      </c>
      <c r="Q62" s="42">
        <f>DATA!S48</f>
        <v>0</v>
      </c>
      <c r="R62" s="83">
        <f>DATA!T48</f>
        <v>0</v>
      </c>
      <c r="S62" s="83"/>
      <c r="T62" s="83">
        <f>DATA!V48</f>
        <v>0</v>
      </c>
      <c r="U62" s="83">
        <f>DATA!W48</f>
        <v>0</v>
      </c>
      <c r="V62" s="83">
        <f>DATA!X48</f>
        <v>0</v>
      </c>
      <c r="W62" s="84" t="str">
        <f>DATA!Y48</f>
        <v>IDB</v>
      </c>
      <c r="X62" s="42" t="str">
        <f>DATA!Z48</f>
        <v>Multilateral</v>
      </c>
      <c r="Y62" s="83">
        <f>DATA!AA48</f>
        <v>325000000</v>
      </c>
      <c r="Z62" s="83">
        <f>DATA!AG48</f>
        <v>0</v>
      </c>
      <c r="AA62" s="42">
        <f>DATA!AH48</f>
        <v>2017</v>
      </c>
      <c r="AB62" s="67" t="str">
        <f>DATA!AI48</f>
        <v>-</v>
      </c>
      <c r="AC62" s="67" t="str">
        <f>DATA!AJ48</f>
        <v>-</v>
      </c>
      <c r="AD62" s="67" t="str">
        <f>DATA!AK48</f>
        <v>-</v>
      </c>
      <c r="AE62" s="67" t="str">
        <f>DATA!AL48</f>
        <v>-</v>
      </c>
      <c r="AF62" s="42">
        <f>DATA!AM48</f>
        <v>0</v>
      </c>
      <c r="AG62" s="42" t="str">
        <f>DATA!AN48</f>
        <v>belum ada keterangan</v>
      </c>
      <c r="AH62" s="42" t="str">
        <f>DATA!AO48</f>
        <v>belum ada keterangan</v>
      </c>
      <c r="AI62" s="42" t="str">
        <f>DATA!AP48</f>
        <v>belum ada proses tender/lelang</v>
      </c>
      <c r="AJ62" s="42" t="str">
        <f>DATA!AY48</f>
        <v>- belum ada proses penyiapan
- Konfirmasi melalui surat Sekjen nomor KU.01.12-Sj/636 tgl 23 Oktober 2015</v>
      </c>
      <c r="AK62" s="42" t="e">
        <f>DATA!#REF!</f>
        <v>#REF!</v>
      </c>
      <c r="AL62" s="42" t="str">
        <f>DATA!AZ48</f>
        <v>Sudah ada pembicaraan awal</v>
      </c>
      <c r="AM62" s="67" t="str">
        <f>DATA!BA48</f>
        <v>Pembangunan fisik sarana dan prasarana sanitasi serta Instalasi Pengolahan Air Limbah (IPAL) dan penguatan kapasitas lembaga pengelola</v>
      </c>
    </row>
    <row r="63" spans="1:39" s="6" customFormat="1" ht="45.75" customHeight="1">
      <c r="A63" s="6">
        <f>DATA!A49</f>
        <v>40</v>
      </c>
      <c r="B63" s="6">
        <f>DATA!B49</f>
        <v>0</v>
      </c>
      <c r="C63" s="6" t="str">
        <f>DATA!D49</f>
        <v>INFRASTRUKTUR</v>
      </c>
      <c r="D63" s="6">
        <f>DATA!E49</f>
        <v>1</v>
      </c>
      <c r="E63" s="6" t="str">
        <f>DATA!F49</f>
        <v>Kementerian Pekerjaan Umum dan Perumahan Rakyat</v>
      </c>
      <c r="F63" s="6" t="str">
        <f>DATA!H49</f>
        <v>Development of Waste Water Management Program</v>
      </c>
      <c r="G63" s="6" t="str">
        <f>DATA!I49</f>
        <v>E</v>
      </c>
      <c r="H63" s="6" t="str">
        <f>DATA!J49</f>
        <v xml:space="preserve">Program Pembangunan Sistem Pengelolaan Air Limbah </v>
      </c>
      <c r="I63" s="6">
        <f>DATA!K49</f>
        <v>4</v>
      </c>
      <c r="J63" s="38"/>
      <c r="K63" s="39"/>
      <c r="L63" s="39"/>
      <c r="M63" s="43"/>
      <c r="N63" s="67" t="str">
        <f>DATA!L49</f>
        <v>Sewerage System Development in Indonesia</v>
      </c>
      <c r="O63" s="42">
        <f>DATA!Q49</f>
        <v>0.25</v>
      </c>
      <c r="P63" s="42">
        <f>DATA!R49</f>
        <v>0</v>
      </c>
      <c r="Q63" s="42">
        <f>DATA!S49</f>
        <v>0</v>
      </c>
      <c r="R63" s="83">
        <f>DATA!T49</f>
        <v>0</v>
      </c>
      <c r="S63" s="83"/>
      <c r="T63" s="83">
        <f>DATA!V49</f>
        <v>0</v>
      </c>
      <c r="U63" s="83">
        <f>DATA!W49</f>
        <v>0</v>
      </c>
      <c r="V63" s="83">
        <f>DATA!X49</f>
        <v>0</v>
      </c>
      <c r="W63" s="84" t="str">
        <f>DATA!Y49</f>
        <v>Bank Dunia</v>
      </c>
      <c r="X63" s="42" t="str">
        <f>DATA!Z49</f>
        <v>Multilateral</v>
      </c>
      <c r="Y63" s="83">
        <f>DATA!AA49</f>
        <v>200000000</v>
      </c>
      <c r="Z63" s="83">
        <f>DATA!AG49</f>
        <v>0</v>
      </c>
      <c r="AA63" s="42">
        <f>DATA!AH49</f>
        <v>2017</v>
      </c>
      <c r="AB63" s="67" t="str">
        <f>DATA!AI49</f>
        <v>-</v>
      </c>
      <c r="AC63" s="67" t="str">
        <f>DATA!AJ49</f>
        <v>-</v>
      </c>
      <c r="AD63" s="67" t="str">
        <f>DATA!AK49</f>
        <v>-</v>
      </c>
      <c r="AE63" s="67" t="str">
        <f>DATA!AL49</f>
        <v>-</v>
      </c>
      <c r="AF63" s="42">
        <f>DATA!AM49</f>
        <v>0</v>
      </c>
      <c r="AG63" s="42" t="str">
        <f>DATA!AN49</f>
        <v>belum ada keterangan</v>
      </c>
      <c r="AH63" s="42" t="str">
        <f>DATA!AO49</f>
        <v>belum ada keterangan</v>
      </c>
      <c r="AI63" s="42" t="str">
        <f>DATA!AP49</f>
        <v>belum ada proses tender/lelang</v>
      </c>
      <c r="AJ63" s="42" t="str">
        <f>DATA!AY49</f>
        <v>- belum ada proses penyiapan
- Konfirmasi melalui surat Sekjen nomor KU.01.12-Sj/636 tgl 23 Oktober 2015</v>
      </c>
      <c r="AK63" s="42" t="e">
        <f>DATA!#REF!</f>
        <v>#REF!</v>
      </c>
      <c r="AL63" s="42" t="str">
        <f>DATA!AZ49</f>
        <v>Sudah ada pembicaraan awal</v>
      </c>
      <c r="AM63" s="67" t="str">
        <f>DATA!BA49</f>
        <v>Pembangunan fisik sarana dan prasarana sanitasi serta Instalasi Pengolahan Air Limbah (IPAL) dan penguatan kapasitas lembaga pengelola</v>
      </c>
    </row>
    <row r="64" spans="1:39" ht="43.5" customHeight="1">
      <c r="A64" s="10">
        <f>DATA!A51</f>
        <v>41</v>
      </c>
      <c r="B64" s="10">
        <f>DATA!B51</f>
        <v>0</v>
      </c>
      <c r="C64" s="10" t="str">
        <f>DATA!D51</f>
        <v>INFRASTRUKTUR</v>
      </c>
      <c r="D64" s="10">
        <f>DATA!E51</f>
        <v>1</v>
      </c>
      <c r="E64" s="10" t="str">
        <f>DATA!F51</f>
        <v>Kementerian Pekerjaan Umum dan Perumahan Rakyat</v>
      </c>
      <c r="F64" s="10" t="str">
        <f>DATA!H51</f>
        <v>Development of Waste Water Management Program</v>
      </c>
      <c r="G64" s="10" t="str">
        <f>DATA!I51</f>
        <v>E</v>
      </c>
      <c r="H64" s="10" t="str">
        <f>DATA!J51</f>
        <v xml:space="preserve">Program Pembangunan Sistem Pengelolaan Air Limbah </v>
      </c>
      <c r="I64" s="10">
        <f>DATA!K51</f>
        <v>5</v>
      </c>
      <c r="J64" s="33"/>
      <c r="K64" s="34"/>
      <c r="L64" s="34"/>
      <c r="M64" s="36">
        <f>DATA!K51</f>
        <v>5</v>
      </c>
      <c r="N64" s="37" t="str">
        <f>DATA!L51</f>
        <v>Denpasar Sewerage Development Project - Phase III</v>
      </c>
      <c r="O64" s="20">
        <f>DATA!Q51</f>
        <v>1</v>
      </c>
      <c r="P64" s="20">
        <f>DATA!R51</f>
        <v>1</v>
      </c>
      <c r="Q64" s="20">
        <f>DATA!S51</f>
        <v>35</v>
      </c>
      <c r="R64" s="77">
        <f>DATA!T51</f>
        <v>233000000</v>
      </c>
      <c r="S64" s="77"/>
      <c r="T64" s="77">
        <f>DATA!V51</f>
        <v>11650000</v>
      </c>
      <c r="U64" s="77">
        <f>DATA!W51</f>
        <v>0</v>
      </c>
      <c r="V64" s="77">
        <f>DATA!X51</f>
        <v>244650000</v>
      </c>
      <c r="W64" s="78" t="str">
        <f>DATA!Y51</f>
        <v>JICA</v>
      </c>
      <c r="X64" s="20" t="str">
        <f>DATA!Z51</f>
        <v>Bilateral</v>
      </c>
      <c r="Y64" s="77">
        <f>DATA!AA51</f>
        <v>233000000</v>
      </c>
      <c r="Z64" s="77">
        <f>DATA!AG51</f>
        <v>0</v>
      </c>
      <c r="AA64" s="20">
        <f>DATA!AH51</f>
        <v>2018</v>
      </c>
      <c r="AB64" s="37" t="str">
        <f>DATA!AI51</f>
        <v>-</v>
      </c>
      <c r="AC64" s="37" t="str">
        <f>DATA!AJ51</f>
        <v>Penyusunan DED</v>
      </c>
      <c r="AD64" s="37" t="str">
        <f>DATA!AK51</f>
        <v>-</v>
      </c>
      <c r="AE64" s="37" t="str">
        <f>DATA!AL51</f>
        <v>-</v>
      </c>
      <c r="AF64" s="20">
        <f>DATA!AM51</f>
        <v>0</v>
      </c>
      <c r="AG64" s="20" t="str">
        <f>DATA!AN51</f>
        <v>dalam proses
(memiliki FS)</v>
      </c>
      <c r="AH64" s="20" t="str">
        <f>DATA!AO51</f>
        <v>belum ada keterangan</v>
      </c>
      <c r="AI64" s="20" t="str">
        <f>DATA!AP51</f>
        <v>belum ada proses tender/lelang</v>
      </c>
      <c r="AJ64" s="20" t="str">
        <f>DATA!AY51</f>
        <v>Konfirmasi melalui surat Sekjen nomor KU.01.12-Sj/636 tgl 23 Oktober 2015</v>
      </c>
      <c r="AK64" s="20" t="e">
        <f>DATA!#REF!</f>
        <v>#REF!</v>
      </c>
      <c r="AL64" s="20">
        <f>DATA!AZ51</f>
        <v>0</v>
      </c>
      <c r="AM64" s="37" t="str">
        <f>DATA!BA51</f>
        <v>Pembangunan jaringan perpipaan dengan area pelayanan 2.200 Ha, stasiun pompa sejumlah 2 unit, dan instalasi pengolahan air limbah.</v>
      </c>
    </row>
    <row r="65" spans="1:39" ht="36.75" customHeight="1">
      <c r="A65" s="10">
        <f>DATA!A52</f>
        <v>42</v>
      </c>
      <c r="B65" s="10">
        <f>DATA!B52</f>
        <v>0</v>
      </c>
      <c r="C65" s="10" t="str">
        <f>DATA!D52</f>
        <v>INFRASTRUKTUR</v>
      </c>
      <c r="D65" s="10">
        <f>DATA!E52</f>
        <v>1</v>
      </c>
      <c r="E65" s="10" t="str">
        <f>DATA!F52</f>
        <v>Kementerian Pekerjaan Umum dan Perumahan Rakyat</v>
      </c>
      <c r="F65" s="10" t="str">
        <f>DATA!H52</f>
        <v>Development of Waste Water Management Program</v>
      </c>
      <c r="G65" s="10" t="str">
        <f>DATA!I52</f>
        <v>E</v>
      </c>
      <c r="H65" s="10" t="str">
        <f>DATA!J52</f>
        <v xml:space="preserve">Program Pembangunan Sistem Pengelolaan Air Limbah </v>
      </c>
      <c r="I65" s="10">
        <f>DATA!K52</f>
        <v>6</v>
      </c>
      <c r="J65" s="33"/>
      <c r="K65" s="34"/>
      <c r="L65" s="54"/>
      <c r="M65" s="36">
        <f>DATA!K52</f>
        <v>6</v>
      </c>
      <c r="N65" s="37" t="str">
        <f>DATA!L52</f>
        <v>The Development and Optimization of Wastewater Treatment in Greater Bandung</v>
      </c>
      <c r="O65" s="20">
        <f>DATA!Q52</f>
        <v>1</v>
      </c>
      <c r="P65" s="20">
        <f>DATA!R52</f>
        <v>1</v>
      </c>
      <c r="Q65" s="20">
        <f>DATA!S52</f>
        <v>36</v>
      </c>
      <c r="R65" s="77">
        <f>DATA!T52</f>
        <v>100000000</v>
      </c>
      <c r="S65" s="77"/>
      <c r="T65" s="77">
        <f>DATA!V52</f>
        <v>5000000</v>
      </c>
      <c r="U65" s="77">
        <f>DATA!W52</f>
        <v>0</v>
      </c>
      <c r="V65" s="77">
        <f>DATA!X52</f>
        <v>105000000</v>
      </c>
      <c r="W65" s="78" t="str">
        <f>DATA!Y52</f>
        <v>Jerman (KfW)</v>
      </c>
      <c r="X65" s="20" t="str">
        <f>DATA!Z52</f>
        <v>Bilateral</v>
      </c>
      <c r="Y65" s="77">
        <f>DATA!AA52</f>
        <v>100000000</v>
      </c>
      <c r="Z65" s="77">
        <f>DATA!AG52</f>
        <v>0</v>
      </c>
      <c r="AA65" s="20">
        <f>DATA!AH52</f>
        <v>2017</v>
      </c>
      <c r="AB65" s="37" t="str">
        <f>DATA!AI52</f>
        <v>Master Plan</v>
      </c>
      <c r="AC65" s="37" t="str">
        <f>DATA!AJ52</f>
        <v>Pra FS</v>
      </c>
      <c r="AD65" s="37" t="str">
        <f>DATA!AK52</f>
        <v>-</v>
      </c>
      <c r="AE65" s="37" t="str">
        <f>DATA!AL52</f>
        <v>-</v>
      </c>
      <c r="AF65" s="20">
        <f>DATA!AM52</f>
        <v>0</v>
      </c>
      <c r="AG65" s="20" t="str">
        <f>DATA!AN52</f>
        <v>dalam proses
(penyusunan FS)</v>
      </c>
      <c r="AH65" s="20" t="str">
        <f>DATA!AO52</f>
        <v>belum ada keterangan</v>
      </c>
      <c r="AI65" s="20" t="str">
        <f>DATA!AP52</f>
        <v>belum ada proses tender/lelang</v>
      </c>
      <c r="AJ65" s="20" t="str">
        <f>DATA!AY52</f>
        <v>Konfirmasi melalui surat Sekjen nomor KU.01.12-Sj/636 tgl 23 Oktober 2015</v>
      </c>
      <c r="AK65" s="20" t="e">
        <f>DATA!#REF!</f>
        <v>#REF!</v>
      </c>
      <c r="AL65" s="20">
        <f>DATA!AZ52</f>
        <v>0</v>
      </c>
      <c r="AM65" s="37" t="str">
        <f>DATA!BA52</f>
        <v>Review master plan air limbah dan optimalisasi Instalasi Pengolahan Air Limbah (IPAL) Bojongsoang.</v>
      </c>
    </row>
    <row r="66" spans="1:39" s="8" customFormat="1" ht="36.75" customHeight="1">
      <c r="A66" s="10"/>
      <c r="B66" s="10"/>
      <c r="C66" s="10"/>
      <c r="D66" s="10"/>
      <c r="E66" s="10"/>
      <c r="F66" s="10"/>
      <c r="G66" s="10"/>
      <c r="H66" s="10"/>
      <c r="I66" s="10"/>
      <c r="J66" s="57"/>
      <c r="K66" s="58"/>
      <c r="L66" s="111"/>
      <c r="M66" s="60">
        <f>DATA!K53</f>
        <v>7</v>
      </c>
      <c r="N66" s="127" t="str">
        <f>DATA!L53</f>
        <v>Engineering Service for Sanitation Improvement Project</v>
      </c>
      <c r="O66" s="36">
        <f>DATA!Q53</f>
        <v>0</v>
      </c>
      <c r="P66" s="36">
        <f>DATA!R53</f>
        <v>0</v>
      </c>
      <c r="Q66" s="36">
        <f>DATA!S53</f>
        <v>0</v>
      </c>
      <c r="R66" s="128">
        <f>DATA!T53</f>
        <v>0</v>
      </c>
      <c r="S66" s="128">
        <f>DATA!U53</f>
        <v>25200000</v>
      </c>
      <c r="T66" s="128">
        <f>DATA!V53</f>
        <v>0</v>
      </c>
      <c r="U66" s="88">
        <f>DATA!W53</f>
        <v>0</v>
      </c>
      <c r="V66" s="128">
        <f>DATA!X53</f>
        <v>25200000</v>
      </c>
      <c r="W66" s="128" t="str">
        <f>DATA!Y53</f>
        <v>ADB</v>
      </c>
      <c r="X66" s="88" t="str">
        <f>DATA!Z53</f>
        <v>Multilateral</v>
      </c>
      <c r="Y66" s="128">
        <f>DATA!AA53</f>
        <v>25200000</v>
      </c>
      <c r="Z66" s="128">
        <f>DATA!AG53</f>
        <v>0</v>
      </c>
      <c r="AA66" s="129">
        <f>DATA!AH53</f>
        <v>2016</v>
      </c>
      <c r="AB66" s="130" t="str">
        <f>DATA!AI53</f>
        <v>- Green Book 2015</v>
      </c>
      <c r="AC66" s="130" t="str">
        <f>DATA!AJ53</f>
        <v>-</v>
      </c>
      <c r="AD66" s="130" t="str">
        <f>DATA!AK53</f>
        <v>-</v>
      </c>
      <c r="AE66" s="130" t="str">
        <f>DATA!AL53</f>
        <v>-</v>
      </c>
      <c r="AF66" s="20"/>
      <c r="AG66" s="20"/>
      <c r="AH66" s="20"/>
      <c r="AI66" s="20"/>
      <c r="AJ66" s="20"/>
      <c r="AK66" s="20"/>
      <c r="AL66" s="20"/>
      <c r="AM66" s="37"/>
    </row>
    <row r="67" spans="1:39" s="5" customFormat="1" ht="33.75" customHeight="1">
      <c r="J67" s="28"/>
      <c r="K67" s="50"/>
      <c r="L67" s="30" t="str">
        <f>DATA!I54</f>
        <v>F</v>
      </c>
      <c r="M67" s="31" t="str">
        <f>DATA!J54</f>
        <v xml:space="preserve">Program Pembangunan Sistem Pengelolaan Persampahan </v>
      </c>
      <c r="N67" s="51"/>
      <c r="O67" s="31"/>
      <c r="P67" s="31"/>
      <c r="Q67" s="31"/>
      <c r="R67" s="81">
        <f>+R68+R69</f>
        <v>250000000</v>
      </c>
      <c r="S67" s="81"/>
      <c r="T67" s="81">
        <f>+T68+T69</f>
        <v>12500000</v>
      </c>
      <c r="U67" s="81">
        <f>+U68+U69</f>
        <v>0</v>
      </c>
      <c r="V67" s="81">
        <f>+V68+V69</f>
        <v>262500000</v>
      </c>
      <c r="W67" s="81"/>
      <c r="X67" s="81" t="e">
        <f>+X68+X69</f>
        <v>#VALUE!</v>
      </c>
      <c r="Y67" s="81">
        <f>+Y68+Y69</f>
        <v>250000000</v>
      </c>
      <c r="Z67" s="81">
        <f>+Z68+Z69</f>
        <v>0</v>
      </c>
      <c r="AA67" s="31"/>
      <c r="AB67" s="32"/>
      <c r="AC67" s="32"/>
      <c r="AD67" s="32"/>
      <c r="AE67" s="32"/>
      <c r="AF67" s="31"/>
      <c r="AG67" s="31"/>
      <c r="AH67" s="31"/>
      <c r="AI67" s="31"/>
      <c r="AJ67" s="31"/>
      <c r="AK67" s="31"/>
      <c r="AL67" s="31"/>
      <c r="AM67" s="32"/>
    </row>
    <row r="68" spans="1:39" ht="69.75" customHeight="1">
      <c r="A68" s="10">
        <f>DATA!A54</f>
        <v>43</v>
      </c>
      <c r="B68" s="10">
        <f>DATA!B54</f>
        <v>0</v>
      </c>
      <c r="C68" s="10" t="str">
        <f>DATA!D54</f>
        <v>INFRASTRUKTUR</v>
      </c>
      <c r="D68" s="10">
        <f>DATA!E54</f>
        <v>1</v>
      </c>
      <c r="E68" s="10" t="str">
        <f>DATA!F54</f>
        <v>Kementerian Pekerjaan Umum dan Perumahan Rakyat</v>
      </c>
      <c r="F68" s="10" t="str">
        <f>DATA!H54</f>
        <v>Development of Solid Waste Management Program</v>
      </c>
      <c r="G68" s="10" t="str">
        <f>DATA!I54</f>
        <v>F</v>
      </c>
      <c r="H68" s="10" t="str">
        <f>DATA!J54</f>
        <v xml:space="preserve">Program Pembangunan Sistem Pengelolaan Persampahan </v>
      </c>
      <c r="I68" s="10">
        <f>DATA!K54</f>
        <v>1</v>
      </c>
      <c r="J68" s="33"/>
      <c r="K68" s="34"/>
      <c r="L68" s="35"/>
      <c r="M68" s="36">
        <f>DATA!K54</f>
        <v>1</v>
      </c>
      <c r="N68" s="37" t="str">
        <f>DATA!L54</f>
        <v xml:space="preserve">Advanced Solid Waste Management for Sustainable Urban Development (Advance SWM-SUD) </v>
      </c>
      <c r="O68" s="20">
        <f>DATA!Q54</f>
        <v>1</v>
      </c>
      <c r="P68" s="20">
        <f>DATA!R54</f>
        <v>1</v>
      </c>
      <c r="Q68" s="20">
        <f>DATA!S54</f>
        <v>37</v>
      </c>
      <c r="R68" s="77">
        <f>DATA!T54</f>
        <v>150000000</v>
      </c>
      <c r="S68" s="77"/>
      <c r="T68" s="77">
        <f>DATA!V54</f>
        <v>7500000</v>
      </c>
      <c r="U68" s="77">
        <f>DATA!W54</f>
        <v>0</v>
      </c>
      <c r="V68" s="77">
        <f>DATA!X54</f>
        <v>157500000</v>
      </c>
      <c r="W68" s="78" t="str">
        <f>DATA!Y54</f>
        <v>Jerman (KfW)</v>
      </c>
      <c r="X68" s="20" t="str">
        <f>DATA!Z54</f>
        <v>Bilateral</v>
      </c>
      <c r="Y68" s="77">
        <f>DATA!AA54</f>
        <v>150000000</v>
      </c>
      <c r="Z68" s="77">
        <f>DATA!AG54</f>
        <v>0</v>
      </c>
      <c r="AA68" s="20">
        <f>DATA!AH54</f>
        <v>2017</v>
      </c>
      <c r="AB68" s="37" t="str">
        <f>DATA!AI54</f>
        <v>-</v>
      </c>
      <c r="AC68" s="37" t="str">
        <f>DATA!AJ54</f>
        <v>Telah dilakukan kajian awal oleh tim FFM KfW</v>
      </c>
      <c r="AD68" s="37" t="str">
        <f>DATA!AK54</f>
        <v>-</v>
      </c>
      <c r="AE68" s="37" t="str">
        <f>DATA!AL54</f>
        <v>-</v>
      </c>
      <c r="AF68" s="20">
        <f>DATA!AM54</f>
        <v>0</v>
      </c>
      <c r="AG68" s="20" t="str">
        <f>DATA!AN54</f>
        <v>dalam proses
(penyusunan FS)</v>
      </c>
      <c r="AH68" s="20" t="str">
        <f>DATA!AO54</f>
        <v>belum ada keterangan</v>
      </c>
      <c r="AI68" s="20" t="str">
        <f>DATA!AP54</f>
        <v>belum ada proses tender/lelang</v>
      </c>
      <c r="AJ68" s="20" t="str">
        <f>DATA!AY54</f>
        <v>- belum ada proses penyiapan
- Konfirmasi melalui surat Sekjen nomor KU.01.12-Sj/636 tgl 23 Oktober 2015</v>
      </c>
      <c r="AK68" s="20" t="e">
        <f>DATA!#REF!</f>
        <v>#REF!</v>
      </c>
      <c r="AL68" s="20">
        <f>DATA!AZ54</f>
        <v>0</v>
      </c>
      <c r="AM68" s="37" t="str">
        <f>DATA!BA54</f>
        <v>Pembangunan TPA baru, pembangunan unit sistem teknologi pengolahan sampah, pembangunan Intermediete Treatment Facility (ITF), infrastruktur penunjang, buffer zone, dan supervisi kegiatan konstruksi.</v>
      </c>
    </row>
    <row r="69" spans="1:39" s="8" customFormat="1" ht="51">
      <c r="A69" s="10">
        <f>DATA!A55</f>
        <v>44</v>
      </c>
      <c r="B69" s="10">
        <f>DATA!B55</f>
        <v>0</v>
      </c>
      <c r="C69" s="10" t="str">
        <f>DATA!D55</f>
        <v>INFRASTRUKTUR</v>
      </c>
      <c r="D69" s="10">
        <f>DATA!E55</f>
        <v>1</v>
      </c>
      <c r="E69" s="10" t="str">
        <f>DATA!F55</f>
        <v>Kementerian Pekerjaan Umum dan Perumahan Rakyat</v>
      </c>
      <c r="F69" s="10" t="str">
        <f>DATA!H55</f>
        <v>Development of Solid Waste Management Program</v>
      </c>
      <c r="G69" s="10" t="str">
        <f>DATA!I55</f>
        <v>F</v>
      </c>
      <c r="H69" s="10" t="str">
        <f>DATA!J55</f>
        <v xml:space="preserve">Program Pembangunan Sistem Pengelolaan Persampahan </v>
      </c>
      <c r="I69" s="10">
        <f>DATA!K55</f>
        <v>2</v>
      </c>
      <c r="J69" s="57"/>
      <c r="K69" s="58"/>
      <c r="L69" s="111"/>
      <c r="M69" s="60">
        <f>DATA!K55</f>
        <v>2</v>
      </c>
      <c r="N69" s="61" t="str">
        <f>DATA!L55</f>
        <v>The Improvement of Solid Waste Management to Support Regional Area and Metropolitan Cities</v>
      </c>
      <c r="O69" s="20">
        <f>DATA!Q55</f>
        <v>1</v>
      </c>
      <c r="P69" s="20">
        <f>DATA!R55</f>
        <v>1</v>
      </c>
      <c r="Q69" s="20">
        <f>DATA!S55</f>
        <v>38</v>
      </c>
      <c r="R69" s="89">
        <f>DATA!T55</f>
        <v>100000000</v>
      </c>
      <c r="S69" s="89"/>
      <c r="T69" s="89">
        <f>DATA!V55</f>
        <v>5000000</v>
      </c>
      <c r="U69" s="77">
        <f>DATA!W55</f>
        <v>0</v>
      </c>
      <c r="V69" s="89">
        <f>DATA!X55</f>
        <v>105000000</v>
      </c>
      <c r="W69" s="90" t="str">
        <f>DATA!Y55</f>
        <v>Bank Dunia</v>
      </c>
      <c r="X69" s="20" t="str">
        <f>DATA!Z55</f>
        <v>Multilateral</v>
      </c>
      <c r="Y69" s="89">
        <f>DATA!AA55</f>
        <v>100000000</v>
      </c>
      <c r="Z69" s="89">
        <f>DATA!AG55</f>
        <v>0</v>
      </c>
      <c r="AA69" s="103">
        <f>DATA!AH55</f>
        <v>2016</v>
      </c>
      <c r="AB69" s="61" t="str">
        <f>DATA!AI55</f>
        <v>-</v>
      </c>
      <c r="AC69" s="61" t="str">
        <f>DATA!AJ55</f>
        <v>DED dalam proses finalisasi</v>
      </c>
      <c r="AD69" s="61" t="str">
        <f>DATA!AK55</f>
        <v>Dalam proses kepemilikan lahan</v>
      </c>
      <c r="AE69" s="61" t="str">
        <f>DATA!AL55</f>
        <v>Belum ada tindak lanjut</v>
      </c>
      <c r="AF69" s="20">
        <f>DATA!AM55</f>
        <v>0</v>
      </c>
      <c r="AG69" s="20" t="str">
        <f>DATA!AN55</f>
        <v>dalam proses
(memiliki FS)</v>
      </c>
      <c r="AH69" s="20" t="str">
        <f>DATA!AO55</f>
        <v>dalam proses
(persiapan)</v>
      </c>
      <c r="AI69" s="20" t="str">
        <f>DATA!AP55</f>
        <v>belum ada proses tender/lelang</v>
      </c>
      <c r="AJ69" s="20" t="str">
        <f>DATA!AY55</f>
        <v xml:space="preserve">- Konfirmasi melalui surat Sekjen nomor KU.01.12-Sj/636 tgl 23 Oktober 2015
- Bank Dunia membantu proses studi, DED, FS (CDIA, INDII Facility) </v>
      </c>
      <c r="AK69" s="20" t="e">
        <f>DATA!#REF!</f>
        <v>#REF!</v>
      </c>
      <c r="AL69" s="20" t="str">
        <f>DATA!AZ55</f>
        <v>- FS
- Diusulkan untuk masuk Green Book 2016</v>
      </c>
      <c r="AM69" s="37" t="str">
        <f>DATA!BA55</f>
        <v>Pembangunan TPA Sanitary Landfill  baru, pembangunan Intermediete Treatment Facility (ITF), dan pengembangan konsep Reuse, Reduce, and Recycle (3R).</v>
      </c>
    </row>
    <row r="70" spans="1:39" s="5" customFormat="1" ht="33.75" customHeight="1">
      <c r="J70" s="28"/>
      <c r="K70" s="50"/>
      <c r="L70" s="30" t="str">
        <f>DATA!I56</f>
        <v>G</v>
      </c>
      <c r="M70" s="31" t="str">
        <f>DATA!J56</f>
        <v>Program Penanganan Kumuh</v>
      </c>
      <c r="N70" s="51"/>
      <c r="O70" s="31"/>
      <c r="P70" s="31"/>
      <c r="Q70" s="31"/>
      <c r="R70" s="81">
        <f>+R71+R72+R75+R76</f>
        <v>3614740000</v>
      </c>
      <c r="S70" s="81"/>
      <c r="T70" s="81">
        <f t="shared" ref="T70:Z70" si="2">+T71+T72+T75+T76</f>
        <v>180737000</v>
      </c>
      <c r="U70" s="81">
        <f t="shared" si="2"/>
        <v>0</v>
      </c>
      <c r="V70" s="81">
        <f t="shared" si="2"/>
        <v>3795477000</v>
      </c>
      <c r="W70" s="81"/>
      <c r="X70" s="81" t="e">
        <f t="shared" si="2"/>
        <v>#VALUE!</v>
      </c>
      <c r="Y70" s="81">
        <f t="shared" si="2"/>
        <v>3614740000</v>
      </c>
      <c r="Z70" s="81">
        <f t="shared" si="2"/>
        <v>0</v>
      </c>
      <c r="AA70" s="31"/>
      <c r="AB70" s="32"/>
      <c r="AC70" s="32"/>
      <c r="AD70" s="32"/>
      <c r="AE70" s="32"/>
      <c r="AF70" s="31"/>
      <c r="AG70" s="31"/>
      <c r="AH70" s="31"/>
      <c r="AI70" s="31"/>
      <c r="AJ70" s="31"/>
      <c r="AK70" s="31"/>
      <c r="AL70" s="31"/>
      <c r="AM70" s="32"/>
    </row>
    <row r="71" spans="1:39" ht="180.75" customHeight="1">
      <c r="A71" s="10">
        <f>DATA!A56</f>
        <v>45</v>
      </c>
      <c r="B71" s="10">
        <f>DATA!B56</f>
        <v>0</v>
      </c>
      <c r="C71" s="10" t="str">
        <f>DATA!D56</f>
        <v>INFRASTRUKTUR</v>
      </c>
      <c r="D71" s="10">
        <f>DATA!E56</f>
        <v>1</v>
      </c>
      <c r="E71" s="10" t="str">
        <f>DATA!F56</f>
        <v>Kementerian Pekerjaan Umum dan Perumahan Rakyat</v>
      </c>
      <c r="F71" s="10" t="str">
        <f>DATA!H56</f>
        <v>Slum Alleviation Program</v>
      </c>
      <c r="G71" s="10" t="str">
        <f>DATA!I56</f>
        <v>G</v>
      </c>
      <c r="H71" s="10" t="str">
        <f>DATA!J56</f>
        <v>Program Penanganan Kumuh</v>
      </c>
      <c r="I71" s="10">
        <f>DATA!K56</f>
        <v>1</v>
      </c>
      <c r="J71" s="33"/>
      <c r="K71" s="34"/>
      <c r="L71" s="35"/>
      <c r="M71" s="36">
        <f>DATA!K56</f>
        <v>1</v>
      </c>
      <c r="N71" s="37" t="str">
        <f>DATA!L56</f>
        <v>Slum Improvement in Strategic Human Settlements Area (SISHA)</v>
      </c>
      <c r="O71" s="20">
        <f>DATA!Q56</f>
        <v>1</v>
      </c>
      <c r="P71" s="20">
        <f>DATA!R56</f>
        <v>1</v>
      </c>
      <c r="Q71" s="20">
        <f>DATA!S56</f>
        <v>39</v>
      </c>
      <c r="R71" s="77">
        <f>DATA!T56</f>
        <v>2100000000</v>
      </c>
      <c r="S71" s="77"/>
      <c r="T71" s="77">
        <f>DATA!V56</f>
        <v>105000000</v>
      </c>
      <c r="U71" s="77">
        <f>DATA!W56</f>
        <v>0</v>
      </c>
      <c r="V71" s="77">
        <f>DATA!X56</f>
        <v>2205000000</v>
      </c>
      <c r="W71" s="109" t="str">
        <f>DATA!Y56</f>
        <v>Bank Dunia/JICA/ADB</v>
      </c>
      <c r="X71" s="20" t="str">
        <f>DATA!Z56</f>
        <v>Multi Lender</v>
      </c>
      <c r="Y71" s="77">
        <f>DATA!AA56</f>
        <v>2100000000</v>
      </c>
      <c r="Z71" s="77">
        <f>DATA!AG56</f>
        <v>0</v>
      </c>
      <c r="AA71" s="20">
        <f>DATA!AH56</f>
        <v>2017</v>
      </c>
      <c r="AB71" s="37" t="str">
        <f>DATA!AI56</f>
        <v>-</v>
      </c>
      <c r="AC71" s="37" t="str">
        <f>DATA!AJ56</f>
        <v>117 kab/kota telah terfasilitasi pendampingan penyusunan rencana kawasan permukiman kumuh perkotaan (RKPKP) tahun 2015 sebagai rencana pencegahan dan peningkatan kualitas permukiman dan perumahan kumuh perkotaan.</v>
      </c>
      <c r="AD71" s="37" t="str">
        <f>DATA!AK56</f>
        <v xml:space="preserve">Pemerintah Daerah sudah menetapkan SK Bupati / Walikota untuk Penetapan Lokasi Perumahan Kumuh dan Permukiman Kumuh. </v>
      </c>
      <c r="AE71" s="37" t="str">
        <f>DATA!AL56</f>
        <v>-</v>
      </c>
      <c r="AF71" s="20">
        <f>DATA!AM56</f>
        <v>0</v>
      </c>
      <c r="AG71" s="20" t="str">
        <f>DATA!AN56</f>
        <v>dalam proses
(penyusunan FS)</v>
      </c>
      <c r="AH71" s="20" t="str">
        <f>DATA!AO56</f>
        <v>dalam proses
(perencanaan)</v>
      </c>
      <c r="AI71" s="20" t="str">
        <f>DATA!AP56</f>
        <v>belum ada proses tender/lelang</v>
      </c>
      <c r="AJ71" s="20" t="str">
        <f>DATA!AY56</f>
        <v>- Konsep kegiatan belum siap
- Konfirmasi melalui surat Sekjen nomor KU.01.12-Sj/636 tgl 23 Oktober 2015</v>
      </c>
      <c r="AK71" s="20" t="e">
        <f>DATA!#REF!</f>
        <v>#REF!</v>
      </c>
      <c r="AL71" s="20">
        <f>DATA!AZ56</f>
        <v>0</v>
      </c>
      <c r="AM71" s="37" t="str">
        <f>DATA!BA56</f>
        <v>Penanganan kawasan kumuh sebesar 4.400 ha</v>
      </c>
    </row>
    <row r="72" spans="1:39" ht="30" customHeight="1">
      <c r="A72" s="10">
        <f>DATA!A57</f>
        <v>46</v>
      </c>
      <c r="B72" s="10">
        <f>DATA!B57</f>
        <v>0</v>
      </c>
      <c r="C72" s="10" t="str">
        <f>DATA!D57</f>
        <v>INFRASTRUKTUR</v>
      </c>
      <c r="D72" s="10">
        <f>DATA!E57</f>
        <v>1</v>
      </c>
      <c r="E72" s="10" t="str">
        <f>DATA!F57</f>
        <v>Kementerian Pekerjaan Umum dan Perumahan Rakyat</v>
      </c>
      <c r="F72" s="10" t="str">
        <f>DATA!H57</f>
        <v>Slum Alleviation Program</v>
      </c>
      <c r="G72" s="10" t="str">
        <f>DATA!I57</f>
        <v>G</v>
      </c>
      <c r="H72" s="10" t="str">
        <f>DATA!J57</f>
        <v>Program Penanganan Kumuh</v>
      </c>
      <c r="I72" s="10">
        <f>DATA!K57</f>
        <v>2</v>
      </c>
      <c r="J72" s="33"/>
      <c r="K72" s="34"/>
      <c r="L72" s="34"/>
      <c r="M72" s="36">
        <f>DATA!K57</f>
        <v>2</v>
      </c>
      <c r="N72" s="37" t="str">
        <f>DATA!L57</f>
        <v>National Slum Upgrading</v>
      </c>
      <c r="O72" s="20">
        <f>DATA!Q57</f>
        <v>0</v>
      </c>
      <c r="P72" s="20">
        <f>DATA!R57</f>
        <v>1</v>
      </c>
      <c r="Q72" s="20">
        <f>DATA!S57</f>
        <v>40</v>
      </c>
      <c r="R72" s="77">
        <f>DATA!T57</f>
        <v>1052640000</v>
      </c>
      <c r="S72" s="77"/>
      <c r="T72" s="77">
        <f>DATA!V57</f>
        <v>52632000</v>
      </c>
      <c r="U72" s="77">
        <f>DATA!W57</f>
        <v>0</v>
      </c>
      <c r="V72" s="77">
        <f>DATA!X57</f>
        <v>1105272000</v>
      </c>
      <c r="W72" s="78" t="str">
        <f>DATA!Y57</f>
        <v>-</v>
      </c>
      <c r="X72" s="20">
        <f>DATA!Z57</f>
        <v>0</v>
      </c>
      <c r="Y72" s="77">
        <f>DATA!AA57</f>
        <v>1052640000</v>
      </c>
      <c r="Z72" s="77">
        <f>DATA!AG57</f>
        <v>0</v>
      </c>
      <c r="AA72" s="20" t="str">
        <f>DATA!AH57</f>
        <v>-</v>
      </c>
      <c r="AB72" s="37" t="str">
        <f>DATA!AI57</f>
        <v>-</v>
      </c>
      <c r="AC72" s="37" t="str">
        <f>DATA!AJ57</f>
        <v>-</v>
      </c>
      <c r="AD72" s="37" t="str">
        <f>DATA!AK57</f>
        <v>-</v>
      </c>
      <c r="AE72" s="37" t="str">
        <f>DATA!AL57</f>
        <v>-</v>
      </c>
      <c r="AF72" s="20" t="str">
        <f>DATA!AM57</f>
        <v>-</v>
      </c>
      <c r="AG72" s="20" t="str">
        <f>DATA!AN57</f>
        <v>-</v>
      </c>
      <c r="AH72" s="20" t="str">
        <f>DATA!AO57</f>
        <v>-</v>
      </c>
      <c r="AI72" s="20" t="str">
        <f>DATA!AP57</f>
        <v>-</v>
      </c>
      <c r="AJ72" s="20" t="str">
        <f>DATA!AY57</f>
        <v>Konfirmasi melalui surat Sekjen nomor KU.01.12-Sj/636 tgl 23 Oktober 2015</v>
      </c>
      <c r="AK72" s="20" t="e">
        <f>DATA!#REF!</f>
        <v>#REF!</v>
      </c>
      <c r="AL72" s="20" t="str">
        <f>DATA!AZ57</f>
        <v>-</v>
      </c>
      <c r="AM72" s="37" t="str">
        <f>DATA!BA57</f>
        <v>-</v>
      </c>
    </row>
    <row r="73" spans="1:39" s="7" customFormat="1" ht="209.25" customHeight="1">
      <c r="A73" s="6">
        <f>DATA!A58</f>
        <v>46</v>
      </c>
      <c r="B73" s="6">
        <f>DATA!B58</f>
        <v>0</v>
      </c>
      <c r="C73" s="6" t="str">
        <f>DATA!D58</f>
        <v>INFRASTRUKTUR</v>
      </c>
      <c r="D73" s="6">
        <f>DATA!E58</f>
        <v>1</v>
      </c>
      <c r="E73" s="6" t="str">
        <f>DATA!F58</f>
        <v>Kementerian Pekerjaan Umum dan Perumahan Rakyat</v>
      </c>
      <c r="F73" s="6" t="str">
        <f>DATA!H58</f>
        <v>Slum Alleviation Program</v>
      </c>
      <c r="G73" s="6" t="str">
        <f>DATA!I58</f>
        <v>G</v>
      </c>
      <c r="H73" s="6" t="str">
        <f>DATA!J58</f>
        <v>Program Penanganan Kumuh</v>
      </c>
      <c r="I73" s="6">
        <f>DATA!K58</f>
        <v>2</v>
      </c>
      <c r="J73" s="44"/>
      <c r="K73" s="45"/>
      <c r="L73" s="45"/>
      <c r="M73" s="48"/>
      <c r="N73" s="68" t="str">
        <f>DATA!L58</f>
        <v>National Slum Upgrading</v>
      </c>
      <c r="O73" s="42">
        <f>DATA!Q58</f>
        <v>0.25</v>
      </c>
      <c r="P73" s="42">
        <f>DATA!R58</f>
        <v>0</v>
      </c>
      <c r="Q73" s="42">
        <f>DATA!S58</f>
        <v>0</v>
      </c>
      <c r="R73" s="85">
        <f>DATA!T58</f>
        <v>0</v>
      </c>
      <c r="S73" s="85"/>
      <c r="T73" s="85">
        <f>DATA!V58</f>
        <v>0</v>
      </c>
      <c r="U73" s="83">
        <f>DATA!W58</f>
        <v>0</v>
      </c>
      <c r="V73" s="85">
        <f>DATA!X58</f>
        <v>0</v>
      </c>
      <c r="W73" s="86" t="str">
        <f>DATA!Y58</f>
        <v>IDB</v>
      </c>
      <c r="X73" s="42" t="str">
        <f>DATA!Z58</f>
        <v>Multilateral</v>
      </c>
      <c r="Y73" s="85">
        <f>DATA!AA58</f>
        <v>329760000</v>
      </c>
      <c r="Z73" s="85">
        <f>DATA!AG58</f>
        <v>0</v>
      </c>
      <c r="AA73" s="98">
        <f>DATA!AH58</f>
        <v>2016</v>
      </c>
      <c r="AB73" s="68" t="str">
        <f>DATA!AI58</f>
        <v>Green Book 2016</v>
      </c>
      <c r="AC73" s="68" t="str">
        <f>DATA!AJ58</f>
        <v>- Concept Paper, Baseline Survey, Draft Guidelines.
- Surat Komitmen Pemda untuk penanganan kumuh.</v>
      </c>
      <c r="AD73" s="68"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E73" s="68" t="str">
        <f>DATA!AL58</f>
        <v>-</v>
      </c>
      <c r="AF73" s="42">
        <f>DATA!AM58</f>
        <v>2016</v>
      </c>
      <c r="AG73" s="42" t="str">
        <f>DATA!AN58</f>
        <v>dalam proses
(penyusunan FS)</v>
      </c>
      <c r="AH73" s="42" t="str">
        <f>DATA!AO58</f>
        <v>tidak butuh lahan</v>
      </c>
      <c r="AI73" s="42" t="str">
        <f>DATA!AP58</f>
        <v>belum ada proses tender/lelang</v>
      </c>
      <c r="AJ73" s="42"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K73" s="42" t="e">
        <f>DATA!#REF!</f>
        <v>#REF!</v>
      </c>
      <c r="AL73" s="42" t="str">
        <f>DATA!AZ58</f>
        <v>Sudah ada R/C</v>
      </c>
      <c r="AM73" s="67" t="str">
        <f>DATA!BA58</f>
        <v>Peningkatan kualitas permukiman di 21 provinsi, 257 kabupaten/kota,  6.626 kelurahan</v>
      </c>
    </row>
    <row r="74" spans="1:39" s="7" customFormat="1" ht="201" customHeight="1">
      <c r="A74" s="6">
        <f>DATA!A59</f>
        <v>47</v>
      </c>
      <c r="B74" s="6">
        <f>DATA!B59</f>
        <v>0</v>
      </c>
      <c r="C74" s="6" t="str">
        <f>DATA!D59</f>
        <v>INFRASTRUKTUR</v>
      </c>
      <c r="D74" s="6">
        <f>DATA!E59</f>
        <v>1</v>
      </c>
      <c r="E74" s="6" t="str">
        <f>DATA!F59</f>
        <v>Kementerian Pekerjaan Umum dan Perumahan Rakyat</v>
      </c>
      <c r="F74" s="6" t="str">
        <f>DATA!H59</f>
        <v>Slum Alleviation Program</v>
      </c>
      <c r="G74" s="6" t="str">
        <f>DATA!I59</f>
        <v>G</v>
      </c>
      <c r="H74" s="6" t="str">
        <f>DATA!J59</f>
        <v>Program Penanganan Kumuh</v>
      </c>
      <c r="I74" s="6">
        <f>DATA!K59</f>
        <v>2</v>
      </c>
      <c r="J74" s="44"/>
      <c r="K74" s="45"/>
      <c r="L74" s="45"/>
      <c r="M74" s="70"/>
      <c r="N74" s="68" t="str">
        <f>DATA!L59</f>
        <v>National Slum Upgrading</v>
      </c>
      <c r="O74" s="42">
        <f>DATA!Q59</f>
        <v>0.25</v>
      </c>
      <c r="P74" s="42">
        <f>DATA!R59</f>
        <v>0</v>
      </c>
      <c r="Q74" s="42">
        <f>DATA!S59</f>
        <v>0</v>
      </c>
      <c r="R74" s="85">
        <f>DATA!T59</f>
        <v>0</v>
      </c>
      <c r="S74" s="85"/>
      <c r="T74" s="85">
        <f>DATA!V59</f>
        <v>0</v>
      </c>
      <c r="U74" s="83">
        <f>DATA!W59</f>
        <v>0</v>
      </c>
      <c r="V74" s="85">
        <f>DATA!X59</f>
        <v>0</v>
      </c>
      <c r="W74" s="86" t="str">
        <f>DATA!Y59</f>
        <v>Bank Dunia</v>
      </c>
      <c r="X74" s="42" t="str">
        <f>DATA!Z59</f>
        <v>Multilateral</v>
      </c>
      <c r="Y74" s="85">
        <f>DATA!AA59</f>
        <v>216500000</v>
      </c>
      <c r="Z74" s="85">
        <f>DATA!AG59</f>
        <v>0</v>
      </c>
      <c r="AA74" s="98">
        <f>DATA!AH59</f>
        <v>2016</v>
      </c>
      <c r="AB74" s="68" t="str">
        <f>DATA!AI59</f>
        <v>Green Book 2016</v>
      </c>
      <c r="AC74" s="68" t="str">
        <f>DATA!AJ59</f>
        <v>- Concept Paper, Baseline Survey, Draft Guidelines.
- Surat Komitmen Pemda untuk penanganan kumuh.</v>
      </c>
      <c r="AD74" s="68"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E74" s="68" t="str">
        <f>DATA!AL59</f>
        <v>-</v>
      </c>
      <c r="AF74" s="42">
        <f>DATA!AM59</f>
        <v>2016</v>
      </c>
      <c r="AG74" s="42" t="str">
        <f>DATA!AN59</f>
        <v>dalam proses
(penyusunan FS)</v>
      </c>
      <c r="AH74" s="42" t="str">
        <f>DATA!AO59</f>
        <v>tidak butuh lahan</v>
      </c>
      <c r="AI74" s="42" t="str">
        <f>DATA!AP59</f>
        <v>belum ada proses tender/lelang</v>
      </c>
      <c r="AJ74" s="42"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K74" s="42" t="e">
        <f>DATA!#REF!</f>
        <v>#REF!</v>
      </c>
      <c r="AL74" s="42" t="str">
        <f>DATA!AZ59</f>
        <v>Sudah ada R/C</v>
      </c>
      <c r="AM74" s="67" t="str">
        <f>DATA!BA59</f>
        <v>Peningkatan kualitas permukiman di 21 provinsi, 257 kabupaten/kota,  6.626 kelurahan</v>
      </c>
    </row>
    <row r="75" spans="1:39" s="8" customFormat="1" ht="89.25" customHeight="1">
      <c r="A75" s="10">
        <f>DATA!A62</f>
        <v>48</v>
      </c>
      <c r="B75" s="10">
        <f>DATA!B62</f>
        <v>0</v>
      </c>
      <c r="C75" s="10" t="str">
        <f>DATA!D62</f>
        <v>INFRASTRUKTUR</v>
      </c>
      <c r="D75" s="10">
        <f>DATA!E62</f>
        <v>1</v>
      </c>
      <c r="E75" s="10" t="str">
        <f>DATA!F62</f>
        <v>Kementerian Pekerjaan Umum dan Perumahan Rakyat</v>
      </c>
      <c r="F75" s="10" t="str">
        <f>DATA!H62</f>
        <v>Slum Alleviation Program</v>
      </c>
      <c r="G75" s="10" t="str">
        <f>DATA!I62</f>
        <v>G</v>
      </c>
      <c r="H75" s="10" t="str">
        <f>DATA!J62</f>
        <v>Program Penanganan Kumuh</v>
      </c>
      <c r="I75" s="10">
        <f>DATA!K62</f>
        <v>3</v>
      </c>
      <c r="J75" s="57"/>
      <c r="K75" s="58"/>
      <c r="L75" s="58"/>
      <c r="M75" s="60">
        <f>DATA!K62</f>
        <v>3</v>
      </c>
      <c r="N75" s="61" t="str">
        <f>DATA!L62</f>
        <v>Rural Settlement Infrastructure Development (RSID)</v>
      </c>
      <c r="O75" s="20">
        <f>DATA!Q62</f>
        <v>1</v>
      </c>
      <c r="P75" s="20">
        <f>DATA!R62</f>
        <v>1</v>
      </c>
      <c r="Q75" s="20">
        <f>DATA!S62</f>
        <v>41</v>
      </c>
      <c r="R75" s="89">
        <f>DATA!T62</f>
        <v>201000000</v>
      </c>
      <c r="S75" s="89"/>
      <c r="T75" s="89">
        <f>DATA!V62</f>
        <v>10050000</v>
      </c>
      <c r="U75" s="77">
        <f>DATA!W62</f>
        <v>0</v>
      </c>
      <c r="V75" s="89">
        <f>DATA!X62</f>
        <v>211050000</v>
      </c>
      <c r="W75" s="90" t="str">
        <f>DATA!Y62</f>
        <v>JICA</v>
      </c>
      <c r="X75" s="20" t="str">
        <f>DATA!Z62</f>
        <v>Bilateral</v>
      </c>
      <c r="Y75" s="89">
        <f>DATA!AA62</f>
        <v>201000000</v>
      </c>
      <c r="Z75" s="89">
        <f>DATA!AG62</f>
        <v>0</v>
      </c>
      <c r="AA75" s="103">
        <f>DATA!AH62</f>
        <v>2016</v>
      </c>
      <c r="AB75" s="61" t="str">
        <f>DATA!AI62</f>
        <v>-</v>
      </c>
      <c r="AC75" s="61" t="str">
        <f>DATA!AJ62</f>
        <v>30 (tiga puluh) kabupaten yang sudah mempunyai Perda RTRW dan mempunyai Perda Kawasan Strategis Kabupaten (KSK)</v>
      </c>
      <c r="AD75" s="61" t="str">
        <f>DATA!AK62</f>
        <v>belum ada pedoman teknis untuk pemenuhan lahan.</v>
      </c>
      <c r="AE75" s="61" t="str">
        <f>DATA!AL62</f>
        <v>belum ada</v>
      </c>
      <c r="AF75" s="20">
        <f>DATA!AM62</f>
        <v>0</v>
      </c>
      <c r="AG75" s="20" t="str">
        <f>DATA!AN62</f>
        <v>dalam proses
(penyusunan FS)</v>
      </c>
      <c r="AH75" s="20" t="str">
        <f>DATA!AO62</f>
        <v>dalam proses
(perencanaan)</v>
      </c>
      <c r="AI75" s="20" t="str">
        <f>DATA!AP62</f>
        <v>belum ada proses tender/lelang</v>
      </c>
      <c r="AJ75" s="20" t="str">
        <f>DATA!AY62</f>
        <v>- semula Lender adalah IDB, namun berdasarkan hasil konfirmasi Kem. PUPR, Lender keg ini adalah JICA
- konsep kegiatan belum siap
- Konfirmasi melalui surat Sekjen nomor KU.01.12-Sj/636 tgl 23 Oktober 2015</v>
      </c>
      <c r="AK75" s="20" t="e">
        <f>DATA!#REF!</f>
        <v>#REF!</v>
      </c>
      <c r="AL75" s="20">
        <f>DATA!AZ62</f>
        <v>0</v>
      </c>
      <c r="AM75" s="37" t="str">
        <f>DATA!BA62</f>
        <v xml:space="preserve">Pembangunan infrastruktur perdesaan seluas 18.589 ha </v>
      </c>
    </row>
    <row r="76" spans="1:39" s="8" customFormat="1" ht="80.25" customHeight="1">
      <c r="A76" s="10">
        <f>DATA!A63</f>
        <v>49</v>
      </c>
      <c r="B76" s="10">
        <f>DATA!B63</f>
        <v>0</v>
      </c>
      <c r="C76" s="10" t="str">
        <f>DATA!D63</f>
        <v>INFRASTRUKTUR</v>
      </c>
      <c r="D76" s="10">
        <f>DATA!E63</f>
        <v>1</v>
      </c>
      <c r="E76" s="10" t="str">
        <f>DATA!F63</f>
        <v>Kementerian Pekerjaan Umum dan Perumahan Rakyat</v>
      </c>
      <c r="F76" s="10" t="str">
        <f>DATA!H63</f>
        <v>Slum Alleviation Program</v>
      </c>
      <c r="G76" s="10" t="str">
        <f>DATA!I63</f>
        <v>G</v>
      </c>
      <c r="H76" s="10" t="str">
        <f>DATA!J63</f>
        <v>Program Penanganan Kumuh</v>
      </c>
      <c r="I76" s="10">
        <f>DATA!K63</f>
        <v>4</v>
      </c>
      <c r="J76" s="57"/>
      <c r="K76" s="58"/>
      <c r="L76" s="111"/>
      <c r="M76" s="60">
        <f>DATA!K63</f>
        <v>4</v>
      </c>
      <c r="N76" s="61" t="str">
        <f>DATA!L63</f>
        <v>Building Administration and Capacity Enforcement Development for Seismic Resilience</v>
      </c>
      <c r="O76" s="20">
        <f>DATA!Q63</f>
        <v>1</v>
      </c>
      <c r="P76" s="20">
        <f>DATA!R63</f>
        <v>1</v>
      </c>
      <c r="Q76" s="20">
        <f>DATA!S63</f>
        <v>42</v>
      </c>
      <c r="R76" s="89">
        <f>DATA!T63</f>
        <v>261100000</v>
      </c>
      <c r="S76" s="89"/>
      <c r="T76" s="89">
        <f>DATA!V63</f>
        <v>13055000</v>
      </c>
      <c r="U76" s="77">
        <f>DATA!W63</f>
        <v>0</v>
      </c>
      <c r="V76" s="89">
        <f>DATA!X63</f>
        <v>274155000</v>
      </c>
      <c r="W76" s="90" t="str">
        <f>DATA!Y63</f>
        <v>JICA</v>
      </c>
      <c r="X76" s="20" t="str">
        <f>DATA!Z63</f>
        <v>Bilateral</v>
      </c>
      <c r="Y76" s="89">
        <f>DATA!AA63</f>
        <v>261100000</v>
      </c>
      <c r="Z76" s="89">
        <f>DATA!AG63</f>
        <v>0</v>
      </c>
      <c r="AA76" s="103">
        <f>DATA!AH63</f>
        <v>2016</v>
      </c>
      <c r="AB76" s="61" t="str">
        <f>DATA!AI63</f>
        <v>-</v>
      </c>
      <c r="AC76" s="61" t="str">
        <f>DATA!AJ63</f>
        <v>246 dari total 514 kota / kabupaten telah mengeluarkan Peraturan Daerah Bangunan Gedung).</v>
      </c>
      <c r="AD76" s="61" t="str">
        <f>DATA!AK63</f>
        <v>tidak ada kegiatan pengadaan lahan.</v>
      </c>
      <c r="AE76" s="61" t="str">
        <f>DATA!AL63</f>
        <v>belum ada</v>
      </c>
      <c r="AF76" s="20">
        <f>DATA!AM63</f>
        <v>0</v>
      </c>
      <c r="AG76" s="20" t="str">
        <f>DATA!AN63</f>
        <v>dalam proses
(penyusunan FS)</v>
      </c>
      <c r="AH76" s="20" t="str">
        <f>DATA!AO63</f>
        <v>tidak butuh lahan</v>
      </c>
      <c r="AI76" s="20" t="str">
        <f>DATA!AP63</f>
        <v>belum ada proses tender/lelang</v>
      </c>
      <c r="AJ76" s="20" t="str">
        <f>DATA!AY63</f>
        <v>- konsep kegiatan belum siap
- Konfirmasi melalui surat Sekjen nomor KU.01.12-Sj/636 tgl 23 Oktober 2015</v>
      </c>
      <c r="AK76" s="20" t="e">
        <f>DATA!#REF!</f>
        <v>#REF!</v>
      </c>
      <c r="AL76" s="20" t="str">
        <f>DATA!AZ63</f>
        <v>- JICA diindikasikan akan mendanai kegiatan ini dan sudah ada kajian dengan pihak JICA</v>
      </c>
      <c r="AM76" s="37" t="str">
        <f>DATA!BA63</f>
        <v>Pengembangan panduan/guidelines untuk 455 kota/kabupaten mengenai bangunan tahan gempa dan sosialisasi metode perkuatan/retrofitting untuk bangunan tahan gempa.</v>
      </c>
    </row>
    <row r="77" spans="1:39" s="5" customFormat="1" ht="33.75" customHeight="1">
      <c r="J77" s="28"/>
      <c r="K77" s="50"/>
      <c r="L77" s="30" t="str">
        <f>DATA!I67</f>
        <v>I</v>
      </c>
      <c r="M77" s="31" t="str">
        <f>DATA!J67</f>
        <v>Program Pengembangan dan Pengelolaan Irigasi</v>
      </c>
      <c r="N77" s="51"/>
      <c r="O77" s="31"/>
      <c r="P77" s="31"/>
      <c r="Q77" s="31"/>
      <c r="R77" s="81">
        <f>SUM(R78,R82:R90)</f>
        <v>3257531000</v>
      </c>
      <c r="S77" s="81"/>
      <c r="T77" s="81">
        <f t="shared" ref="T77:Z77" si="3">SUM(T78,T82:T90)</f>
        <v>345159500</v>
      </c>
      <c r="U77" s="81">
        <f t="shared" si="3"/>
        <v>0</v>
      </c>
      <c r="V77" s="81">
        <f t="shared" si="3"/>
        <v>3602690500</v>
      </c>
      <c r="W77" s="81"/>
      <c r="X77" s="81">
        <f t="shared" si="3"/>
        <v>0</v>
      </c>
      <c r="Y77" s="81">
        <f t="shared" si="3"/>
        <v>3257531000</v>
      </c>
      <c r="Z77" s="81">
        <f t="shared" si="3"/>
        <v>0</v>
      </c>
      <c r="AA77" s="31"/>
      <c r="AB77" s="32"/>
      <c r="AC77" s="32"/>
      <c r="AD77" s="32"/>
      <c r="AE77" s="32"/>
      <c r="AF77" s="31"/>
      <c r="AG77" s="31"/>
      <c r="AH77" s="31"/>
      <c r="AI77" s="31"/>
      <c r="AJ77" s="31"/>
      <c r="AK77" s="31"/>
      <c r="AL77" s="31"/>
      <c r="AM77" s="32"/>
    </row>
    <row r="78" spans="1:39" ht="51">
      <c r="A78" s="10">
        <f>DATA!A65</f>
        <v>50</v>
      </c>
      <c r="B78" s="10">
        <f>DATA!B65</f>
        <v>0</v>
      </c>
      <c r="C78" s="10" t="str">
        <f>DATA!D65</f>
        <v>INFRASTRUKTUR</v>
      </c>
      <c r="D78" s="10">
        <f>DATA!E65</f>
        <v>1</v>
      </c>
      <c r="E78" s="10" t="str">
        <f>DATA!F65</f>
        <v>Kementerian Pekerjaan Umum dan Perumahan Rakyat</v>
      </c>
      <c r="F78" s="10" t="str">
        <f>DATA!H65</f>
        <v>Slum Alleviation Program</v>
      </c>
      <c r="G78" s="10" t="str">
        <f>DATA!I65</f>
        <v>I</v>
      </c>
      <c r="H78" s="10" t="str">
        <f>DATA!J65</f>
        <v>Program Pengembangan dan Pengelolaan Irigasi</v>
      </c>
      <c r="I78" s="10">
        <f>DATA!K65</f>
        <v>1</v>
      </c>
      <c r="J78" s="33"/>
      <c r="K78" s="34"/>
      <c r="L78" s="35"/>
      <c r="M78" s="36">
        <f>DATA!K65</f>
        <v>1</v>
      </c>
      <c r="N78" s="37" t="str">
        <f>DATA!L65</f>
        <v>Integrated Participatory Development and Management of Irrigation Project:</v>
      </c>
      <c r="O78" s="20">
        <f>DATA!Q65</f>
        <v>0</v>
      </c>
      <c r="P78" s="20">
        <f>DATA!R65</f>
        <v>0</v>
      </c>
      <c r="Q78" s="20">
        <f>DATA!S65</f>
        <v>0</v>
      </c>
      <c r="R78" s="77">
        <f>DATA!T65</f>
        <v>1200000000</v>
      </c>
      <c r="S78" s="77"/>
      <c r="T78" s="77">
        <f>DATA!V65</f>
        <v>120000000</v>
      </c>
      <c r="U78" s="77">
        <f>DATA!W65</f>
        <v>0</v>
      </c>
      <c r="V78" s="77">
        <f>DATA!X65</f>
        <v>1320000000</v>
      </c>
      <c r="W78" s="78" t="str">
        <f>DATA!Y65</f>
        <v>-</v>
      </c>
      <c r="X78" s="20">
        <f>DATA!Z65</f>
        <v>0</v>
      </c>
      <c r="Y78" s="77">
        <f>DATA!AA65</f>
        <v>1200000000</v>
      </c>
      <c r="Z78" s="77">
        <f>DATA!AG65</f>
        <v>0</v>
      </c>
      <c r="AA78" s="20" t="str">
        <f>DATA!AH65</f>
        <v>-</v>
      </c>
      <c r="AB78" s="37" t="str">
        <f>DATA!AI65</f>
        <v>-</v>
      </c>
      <c r="AC78" s="37" t="str">
        <f>DATA!AJ65</f>
        <v>-</v>
      </c>
      <c r="AD78" s="37" t="str">
        <f>DATA!AK65</f>
        <v>-</v>
      </c>
      <c r="AE78" s="37" t="str">
        <f>DATA!AL65</f>
        <v>-</v>
      </c>
      <c r="AF78" s="20" t="str">
        <f>DATA!AM65</f>
        <v>-</v>
      </c>
      <c r="AG78" s="20" t="str">
        <f>DATA!AN65</f>
        <v>-</v>
      </c>
      <c r="AH78" s="20" t="str">
        <f>DATA!AO65</f>
        <v>-</v>
      </c>
      <c r="AI78" s="20" t="str">
        <f>DATA!AP65</f>
        <v>-</v>
      </c>
      <c r="AJ78" s="20" t="str">
        <f>DATA!AY65</f>
        <v>Konfirmasi melalui surat Sekjen nomor KU.01.12-Sj/636 tgl 23 Oktober 2015</v>
      </c>
      <c r="AK78" s="20" t="e">
        <f>DATA!#REF!</f>
        <v>#REF!</v>
      </c>
      <c r="AL78" s="20">
        <f>DATA!AZ65</f>
        <v>0</v>
      </c>
      <c r="AM78" s="37" t="str">
        <f>DATA!BA65</f>
        <v>Pembangunan lanjutan proyek irigasi dengan total seluas 193.858 Ha dan pembangunan irigasi baru seluas 10.000 Ha yang tersebar di berbagai wilayah di Indonesia</v>
      </c>
    </row>
    <row r="79" spans="1:39" s="7" customFormat="1" ht="88.5" customHeight="1">
      <c r="A79" s="6">
        <f>DATA!A67</f>
        <v>51</v>
      </c>
      <c r="B79" s="6">
        <f>DATA!B67</f>
        <v>0</v>
      </c>
      <c r="C79" s="6" t="str">
        <f>DATA!D67</f>
        <v>INFRASTRUKTUR</v>
      </c>
      <c r="D79" s="6">
        <f>DATA!E67</f>
        <v>1</v>
      </c>
      <c r="E79" s="6" t="str">
        <f>DATA!F67</f>
        <v>Kementerian Pekerjaan Umum dan Perumahan Rakyat</v>
      </c>
      <c r="F79" s="6" t="str">
        <f>DATA!H67</f>
        <v xml:space="preserve">Development and Management of Irrigation Program </v>
      </c>
      <c r="G79" s="6" t="str">
        <f>DATA!I67</f>
        <v>I</v>
      </c>
      <c r="H79" s="6" t="str">
        <f>DATA!J67</f>
        <v>Program Pengembangan dan Pengelolaan Irigasi</v>
      </c>
      <c r="I79" s="6">
        <f>DATA!K67</f>
        <v>1</v>
      </c>
      <c r="J79" s="44"/>
      <c r="K79" s="45"/>
      <c r="L79" s="45"/>
      <c r="M79" s="48"/>
      <c r="N79" s="68" t="str">
        <f>DATA!L67</f>
        <v>Integrated Participatory Development and Management of Irrigation Project - Phase I</v>
      </c>
      <c r="O79" s="42">
        <f>DATA!Q67</f>
        <v>0.5</v>
      </c>
      <c r="P79" s="42">
        <f>DATA!R67</f>
        <v>0</v>
      </c>
      <c r="Q79" s="42">
        <f>DATA!S67</f>
        <v>43</v>
      </c>
      <c r="R79" s="85">
        <f>DATA!T67</f>
        <v>0</v>
      </c>
      <c r="S79" s="85"/>
      <c r="T79" s="85">
        <f>DATA!V67</f>
        <v>0</v>
      </c>
      <c r="U79" s="83">
        <f>DATA!W67</f>
        <v>0</v>
      </c>
      <c r="V79" s="85">
        <f>DATA!X67</f>
        <v>0</v>
      </c>
      <c r="W79" s="86" t="str">
        <f>DATA!Y67</f>
        <v>ADB</v>
      </c>
      <c r="X79" s="42" t="str">
        <f>DATA!Z67</f>
        <v>Multilateral</v>
      </c>
      <c r="Y79" s="85">
        <f>DATA!AA67</f>
        <v>600000000</v>
      </c>
      <c r="Z79" s="85">
        <f>DATA!AG67</f>
        <v>0</v>
      </c>
      <c r="AA79" s="98">
        <f>DATA!AH67</f>
        <v>2016</v>
      </c>
      <c r="AB79" s="68" t="str">
        <f>DATA!AI67</f>
        <v>- Sudah ada RC
- Green Book 2015
- Dalam proses pembahasan skema pinjaman</v>
      </c>
      <c r="AC79" s="68" t="str">
        <f>DATA!AJ67</f>
        <v>FS, DED, AMDAL, LARAP</v>
      </c>
      <c r="AD79" s="68" t="str">
        <f>DATA!AK67</f>
        <v>-</v>
      </c>
      <c r="AE79" s="68" t="str">
        <f>DATA!AL67</f>
        <v>Belum ada tender/lelang</v>
      </c>
      <c r="AF79" s="42" t="str">
        <f>DATA!AM67</f>
        <v>2016; 2015</v>
      </c>
      <c r="AG79" s="42" t="str">
        <f>DATA!AN67</f>
        <v>siap</v>
      </c>
      <c r="AH79" s="42" t="str">
        <f>DATA!AO67</f>
        <v>belum ada keterangan</v>
      </c>
      <c r="AI79" s="42" t="str">
        <f>DATA!AP67</f>
        <v>belum ada proses tender/lelang</v>
      </c>
      <c r="AJ79" s="42" t="str">
        <f>DATA!AY67</f>
        <v>- Cofinancing ADB USD 600 juta dan IFAD USD 100 juta
- Konfirmasi melalui surat Sekjen nomor KU.01.12-Sj/636 tgl 23 Oktober 2015</v>
      </c>
      <c r="AK79" s="42" t="e">
        <f>DATA!#REF!</f>
        <v>#REF!</v>
      </c>
      <c r="AL79" s="42" t="str">
        <f>DATA!AZ67</f>
        <v>termasuk RBL</v>
      </c>
      <c r="AM79" s="67"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0" spans="1:39" s="7" customFormat="1" ht="86.25" customHeight="1">
      <c r="A80" s="6">
        <f>DATA!A68</f>
        <v>52</v>
      </c>
      <c r="B80" s="6">
        <f>DATA!B68</f>
        <v>0</v>
      </c>
      <c r="C80" s="6" t="str">
        <f>DATA!D68</f>
        <v>INFRASTRUKTUR</v>
      </c>
      <c r="D80" s="6">
        <f>DATA!E68</f>
        <v>1</v>
      </c>
      <c r="E80" s="6" t="str">
        <f>DATA!F68</f>
        <v>Kementerian Pekerjaan Umum dan Perumahan Rakyat</v>
      </c>
      <c r="F80" s="6" t="str">
        <f>DATA!H68</f>
        <v xml:space="preserve">Development and Management of Irrigation Program </v>
      </c>
      <c r="G80" s="6" t="str">
        <f>DATA!I68</f>
        <v>I</v>
      </c>
      <c r="H80" s="6" t="str">
        <f>DATA!J68</f>
        <v>Program Pengembangan dan Pengelolaan Irigasi</v>
      </c>
      <c r="I80" s="6">
        <f>DATA!K68</f>
        <v>1</v>
      </c>
      <c r="J80" s="44"/>
      <c r="K80" s="45"/>
      <c r="L80" s="45"/>
      <c r="M80" s="44"/>
      <c r="N80" s="68" t="str">
        <f>DATA!L68</f>
        <v>Integrated Participatory Development and Management of Irrigation Project - Phase I</v>
      </c>
      <c r="O80" s="42">
        <f>DATA!Q68</f>
        <v>0.5</v>
      </c>
      <c r="P80" s="42">
        <f>DATA!R68</f>
        <v>0</v>
      </c>
      <c r="Q80" s="42">
        <f>DATA!S68</f>
        <v>0</v>
      </c>
      <c r="R80" s="85">
        <f>DATA!T68</f>
        <v>0</v>
      </c>
      <c r="S80" s="85"/>
      <c r="T80" s="85">
        <f>DATA!V68</f>
        <v>0</v>
      </c>
      <c r="U80" s="83">
        <f>DATA!W68</f>
        <v>0</v>
      </c>
      <c r="V80" s="85">
        <f>DATA!X68</f>
        <v>0</v>
      </c>
      <c r="W80" s="86" t="str">
        <f>DATA!Y68</f>
        <v>IFAD</v>
      </c>
      <c r="X80" s="42" t="str">
        <f>DATA!Z68</f>
        <v>Multilateral</v>
      </c>
      <c r="Y80" s="85">
        <f>DATA!AA68</f>
        <v>100000000</v>
      </c>
      <c r="Z80" s="85">
        <f>DATA!AG68</f>
        <v>0</v>
      </c>
      <c r="AA80" s="98">
        <f>DATA!AH68</f>
        <v>2015</v>
      </c>
      <c r="AB80" s="68" t="str">
        <f>DATA!AI68</f>
        <v>- Sudah ada RC
- Green Book 2015
- Dalam proses pembahasan skema pinjaman</v>
      </c>
      <c r="AC80" s="68" t="str">
        <f>DATA!AJ68</f>
        <v>FS, DED, AMDAL, LARAP</v>
      </c>
      <c r="AD80" s="68" t="str">
        <f>DATA!AK68</f>
        <v>-</v>
      </c>
      <c r="AE80" s="68" t="str">
        <f>DATA!AL68</f>
        <v>Belum ada tender/lelang</v>
      </c>
      <c r="AF80" s="42" t="str">
        <f>DATA!AM68</f>
        <v>2016; 2015</v>
      </c>
      <c r="AG80" s="42" t="str">
        <f>DATA!AN68</f>
        <v>siap</v>
      </c>
      <c r="AH80" s="42" t="str">
        <f>DATA!AO68</f>
        <v>belum ada keterangan</v>
      </c>
      <c r="AI80" s="42" t="str">
        <f>DATA!AP68</f>
        <v>belum ada proses tender/lelang</v>
      </c>
      <c r="AJ80" s="42" t="str">
        <f>DATA!AY68</f>
        <v>- Cofinancing ADB USD 600 juta dan IFAD USD 100 juta
- Konfirmasi melalui surat Sekjen nomor KU.01.12-Sj/636 tgl 23 Oktober 2015</v>
      </c>
      <c r="AK80" s="42" t="e">
        <f>DATA!#REF!</f>
        <v>#REF!</v>
      </c>
      <c r="AL80" s="42">
        <f>DATA!AZ68</f>
        <v>0</v>
      </c>
      <c r="AM80" s="67"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1" spans="1:39" s="6" customFormat="1" ht="52.5" customHeight="1">
      <c r="A81" s="6">
        <f>DATA!A70</f>
        <v>53</v>
      </c>
      <c r="B81" s="6">
        <f>DATA!B70</f>
        <v>0</v>
      </c>
      <c r="C81" s="6" t="str">
        <f>DATA!D70</f>
        <v>INFRASTRUKTUR</v>
      </c>
      <c r="D81" s="6">
        <f>DATA!E70</f>
        <v>1</v>
      </c>
      <c r="E81" s="6" t="str">
        <f>DATA!F70</f>
        <v>Kementerian Pekerjaan Umum dan Perumahan Rakyat</v>
      </c>
      <c r="F81" s="6" t="str">
        <f>DATA!H70</f>
        <v xml:space="preserve">Development and Management of Irrigation Program </v>
      </c>
      <c r="G81" s="6" t="str">
        <f>DATA!I70</f>
        <v>I</v>
      </c>
      <c r="H81" s="6" t="str">
        <f>DATA!J70</f>
        <v>Program Pengembangan dan Pengelolaan Irigasi</v>
      </c>
      <c r="I81" s="6">
        <f>DATA!K70</f>
        <v>1</v>
      </c>
      <c r="J81" s="38"/>
      <c r="K81" s="39"/>
      <c r="L81" s="39"/>
      <c r="M81" s="43"/>
      <c r="N81" s="67" t="str">
        <f>DATA!L70</f>
        <v>Integrated Participatory Development and Management of Irrigation Project - Phase II</v>
      </c>
      <c r="O81" s="42">
        <f>DATA!Q70</f>
        <v>1</v>
      </c>
      <c r="P81" s="42">
        <f>DATA!R70</f>
        <v>0</v>
      </c>
      <c r="Q81" s="42">
        <f>DATA!S70</f>
        <v>44</v>
      </c>
      <c r="R81" s="83">
        <f>DATA!T70</f>
        <v>500000000</v>
      </c>
      <c r="S81" s="83"/>
      <c r="T81" s="83">
        <f>DATA!V70</f>
        <v>50000000</v>
      </c>
      <c r="U81" s="83">
        <f>DATA!W70</f>
        <v>0</v>
      </c>
      <c r="V81" s="83">
        <f>DATA!X70</f>
        <v>550000000</v>
      </c>
      <c r="W81" s="84" t="str">
        <f>DATA!Y70</f>
        <v>ADB</v>
      </c>
      <c r="X81" s="42" t="str">
        <f>DATA!Z70</f>
        <v>Multilateral</v>
      </c>
      <c r="Y81" s="83">
        <f>DATA!AA70</f>
        <v>500000000</v>
      </c>
      <c r="Z81" s="83">
        <f>DATA!AG70</f>
        <v>0</v>
      </c>
      <c r="AA81" s="42" t="str">
        <f>DATA!AH70</f>
        <v>Tanpa keterangan</v>
      </c>
      <c r="AB81" s="67" t="str">
        <f>DATA!AI70</f>
        <v>-</v>
      </c>
      <c r="AC81" s="67" t="str">
        <f>DATA!AJ70</f>
        <v>-</v>
      </c>
      <c r="AD81" s="67" t="str">
        <f>DATA!AK70</f>
        <v>-</v>
      </c>
      <c r="AE81" s="67" t="str">
        <f>DATA!AL70</f>
        <v>-</v>
      </c>
      <c r="AF81" s="42" t="str">
        <f>DATA!AR70</f>
        <v>- untuk yang Phase II: belum ada penyiapan
- belum ada dokumen R/C</v>
      </c>
      <c r="AG81" s="42" t="str">
        <f>DATA!AN70</f>
        <v>belum ada keterangan</v>
      </c>
      <c r="AH81" s="42" t="str">
        <f>DATA!AO70</f>
        <v>belum ada keterangan</v>
      </c>
      <c r="AI81" s="42" t="str">
        <f>DATA!AP70</f>
        <v>belum ada proses tender/lelang</v>
      </c>
      <c r="AJ81" s="42" t="str">
        <f>DATA!AY70</f>
        <v>Konfirmasi melalui surat Sekjen nomor KU.01.12-Sj/636 tgl 23 Oktober 2015</v>
      </c>
      <c r="AK81" s="42" t="e">
        <f>DATA!#REF!</f>
        <v>#REF!</v>
      </c>
      <c r="AL81" s="42">
        <f>DATA!AZ70</f>
        <v>0</v>
      </c>
      <c r="AM81" s="67" t="str">
        <f>DATA!BA70</f>
        <v xml:space="preserve">Pembangunan irigasi baru dengan luas lebih dari 10.000 Ha, perbaikan sistem irigasi seluas 172.880 Ha yang tersebar di seluruh Indonesia. </v>
      </c>
    </row>
    <row r="82" spans="1:39" s="8" customFormat="1" ht="45.75" customHeight="1">
      <c r="A82" s="10">
        <f>DATA!A72</f>
        <v>54</v>
      </c>
      <c r="B82" s="10">
        <f>DATA!B72</f>
        <v>0</v>
      </c>
      <c r="C82" s="10" t="str">
        <f>DATA!D72</f>
        <v>INFRASTRUKTUR</v>
      </c>
      <c r="D82" s="10">
        <f>DATA!E72</f>
        <v>1</v>
      </c>
      <c r="E82" s="10" t="str">
        <f>DATA!F72</f>
        <v>Kementerian Pekerjaan Umum dan Perumahan Rakyat</v>
      </c>
      <c r="F82" s="10" t="str">
        <f>DATA!H72</f>
        <v xml:space="preserve">Development and Management of Irrigation Program </v>
      </c>
      <c r="G82" s="10" t="str">
        <f>DATA!I72</f>
        <v>I</v>
      </c>
      <c r="H82" s="10" t="str">
        <f>DATA!J72</f>
        <v>Program Pengembangan dan Pengelolaan Irigasi</v>
      </c>
      <c r="I82" s="10">
        <f>DATA!K72</f>
        <v>2</v>
      </c>
      <c r="J82" s="57"/>
      <c r="K82" s="58"/>
      <c r="L82" s="58"/>
      <c r="M82" s="60">
        <f>DATA!K72</f>
        <v>2</v>
      </c>
      <c r="N82" s="61" t="str">
        <f>DATA!L72</f>
        <v>The Urgent Rehabilitation of Strategic Irrigation for Western Region of Indonesia</v>
      </c>
      <c r="O82" s="20">
        <f>DATA!Q72</f>
        <v>1</v>
      </c>
      <c r="P82" s="20">
        <f>DATA!R72</f>
        <v>1</v>
      </c>
      <c r="Q82" s="20">
        <f>DATA!S72</f>
        <v>45</v>
      </c>
      <c r="R82" s="89">
        <f>DATA!T72</f>
        <v>195778000</v>
      </c>
      <c r="S82" s="89"/>
      <c r="T82" s="89">
        <f>DATA!V72</f>
        <v>27149500</v>
      </c>
      <c r="U82" s="77">
        <f>DATA!W72</f>
        <v>0</v>
      </c>
      <c r="V82" s="89">
        <f>DATA!X72</f>
        <v>222927500</v>
      </c>
      <c r="W82" s="90" t="str">
        <f>DATA!Y72</f>
        <v>Korea</v>
      </c>
      <c r="X82" s="20" t="str">
        <f>DATA!Z72</f>
        <v>Bilateral</v>
      </c>
      <c r="Y82" s="89">
        <f>DATA!AA72</f>
        <v>195778000</v>
      </c>
      <c r="Z82" s="89">
        <f>DATA!AG72</f>
        <v>0</v>
      </c>
      <c r="AA82" s="103">
        <f>DATA!AH72</f>
        <v>2016</v>
      </c>
      <c r="AB82" s="61" t="str">
        <f>DATA!AI72</f>
        <v>- Sudah ada R/C
- Green Book 2015</v>
      </c>
      <c r="AC82" s="61" t="str">
        <f>DATA!AJ72</f>
        <v>FS, DED, AMDAL, LARAP</v>
      </c>
      <c r="AD82" s="61" t="str">
        <f>DATA!AK72</f>
        <v>Tidak dibutuhkan lahan</v>
      </c>
      <c r="AE82" s="61" t="str">
        <f>DATA!AL72</f>
        <v>Belum ada tender/lelang</v>
      </c>
      <c r="AF82" s="20" t="str">
        <f>DATA!AR72</f>
        <v>-</v>
      </c>
      <c r="AG82" s="20" t="str">
        <f>DATA!AN72</f>
        <v>belum ada keterangan</v>
      </c>
      <c r="AH82" s="20" t="str">
        <f>DATA!AO72</f>
        <v>belum ada keterangan</v>
      </c>
      <c r="AI82" s="20" t="str">
        <f>DATA!AP72</f>
        <v>belum ada proses tender/lelang</v>
      </c>
      <c r="AJ82" s="20" t="str">
        <f>DATA!AY72</f>
        <v>Konfirmasi melalui surat Sekjen nomor KU.01.12-Sj/636 tgl 23 Oktober 2015</v>
      </c>
      <c r="AK82" s="20" t="e">
        <f>DATA!#REF!</f>
        <v>#REF!</v>
      </c>
      <c r="AL82" s="20">
        <f>DATA!AZ72</f>
        <v>0</v>
      </c>
      <c r="AM82" s="37" t="str">
        <f>DATA!BA72</f>
        <v xml:space="preserve">Melakukan rehabilitasi fasilitas irigasi, meningkatkan sistem irigasi dan drainase dan peningkatan kapasitas O&amp;P seluas 38,523 Ha </v>
      </c>
    </row>
    <row r="83" spans="1:39" ht="111" customHeight="1">
      <c r="A83" s="10">
        <f>DATA!A73</f>
        <v>55</v>
      </c>
      <c r="B83" s="10">
        <f>DATA!B73</f>
        <v>0</v>
      </c>
      <c r="C83" s="10" t="str">
        <f>DATA!D73</f>
        <v>INFRASTRUKTUR</v>
      </c>
      <c r="D83" s="10">
        <f>DATA!E73</f>
        <v>1</v>
      </c>
      <c r="E83" s="10" t="str">
        <f>DATA!F73</f>
        <v>Kementerian Pekerjaan Umum dan Perumahan Rakyat</v>
      </c>
      <c r="F83" s="10" t="str">
        <f>DATA!H73</f>
        <v xml:space="preserve">Development and Management of Irrigation Program </v>
      </c>
      <c r="G83" s="10" t="str">
        <f>DATA!I73</f>
        <v>I</v>
      </c>
      <c r="H83" s="10" t="str">
        <f>DATA!J73</f>
        <v>Program Pengembangan dan Pengelolaan Irigasi</v>
      </c>
      <c r="I83" s="10">
        <f>DATA!K73</f>
        <v>3</v>
      </c>
      <c r="J83" s="33"/>
      <c r="K83" s="34"/>
      <c r="L83" s="34"/>
      <c r="M83" s="36">
        <f>DATA!K73</f>
        <v>3</v>
      </c>
      <c r="N83" s="37" t="str">
        <f>DATA!L73</f>
        <v>Rentang Modernization Strategic Irrigation (RIMP)</v>
      </c>
      <c r="O83" s="20">
        <f>DATA!Q73</f>
        <v>1</v>
      </c>
      <c r="P83" s="20">
        <f>DATA!R73</f>
        <v>1</v>
      </c>
      <c r="Q83" s="20">
        <f>DATA!S73</f>
        <v>46</v>
      </c>
      <c r="R83" s="77">
        <f>DATA!T73</f>
        <v>480000000</v>
      </c>
      <c r="S83" s="77"/>
      <c r="T83" s="77">
        <f>DATA!V73</f>
        <v>48000000</v>
      </c>
      <c r="U83" s="77">
        <f>DATA!W73</f>
        <v>0</v>
      </c>
      <c r="V83" s="77">
        <f>DATA!X73</f>
        <v>528000000</v>
      </c>
      <c r="W83" s="78" t="str">
        <f>DATA!Y73</f>
        <v>JICA</v>
      </c>
      <c r="X83" s="20" t="str">
        <f>DATA!Z73</f>
        <v>Bilateral</v>
      </c>
      <c r="Y83" s="77">
        <f>DATA!AA73</f>
        <v>480000000</v>
      </c>
      <c r="Z83" s="77">
        <f>DATA!AG73</f>
        <v>0</v>
      </c>
      <c r="AA83" s="20">
        <f>DATA!AH73</f>
        <v>2017</v>
      </c>
      <c r="AB83" s="37" t="str">
        <f>DATA!AI73</f>
        <v>Sudah ada R/C</v>
      </c>
      <c r="AC83" s="37" t="str">
        <f>DATA!AJ73</f>
        <v>FS, DED, AMDAL</v>
      </c>
      <c r="AD83" s="37" t="str">
        <f>DATA!AK73</f>
        <v>Tidak dibutuhkan lahan</v>
      </c>
      <c r="AE83" s="37" t="str">
        <f>DATA!AL73</f>
        <v>-</v>
      </c>
      <c r="AF83" s="20" t="str">
        <f>DATA!AR73</f>
        <v>-</v>
      </c>
      <c r="AG83" s="20" t="str">
        <f>DATA!AN73</f>
        <v>siap</v>
      </c>
      <c r="AH83" s="20" t="str">
        <f>DATA!AO73</f>
        <v>tidak butuh lahan</v>
      </c>
      <c r="AI83" s="20" t="str">
        <f>DATA!AP73</f>
        <v>belum ada proses tender/lelang</v>
      </c>
      <c r="AJ83" s="20" t="str">
        <f>DATA!AY73</f>
        <v>Konfirmasi melalui surat Sekjen nomor KU.01.12-Sj/636 tgl 23 Oktober 2015</v>
      </c>
      <c r="AK83" s="20" t="e">
        <f>DATA!#REF!</f>
        <v>#REF!</v>
      </c>
      <c r="AL83" s="20">
        <f>DATA!AZ73</f>
        <v>0</v>
      </c>
      <c r="AM83" s="37"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row>
    <row r="84" spans="1:39" ht="76.5">
      <c r="A84" s="10">
        <f>DATA!A74</f>
        <v>56</v>
      </c>
      <c r="B84" s="10">
        <f>DATA!B74</f>
        <v>0</v>
      </c>
      <c r="C84" s="10" t="str">
        <f>DATA!D74</f>
        <v>INFRASTRUKTUR</v>
      </c>
      <c r="D84" s="10">
        <f>DATA!E74</f>
        <v>1</v>
      </c>
      <c r="E84" s="10" t="str">
        <f>DATA!F74</f>
        <v>Kementerian Pekerjaan Umum dan Perumahan Rakyat</v>
      </c>
      <c r="F84" s="10" t="str">
        <f>DATA!H74</f>
        <v xml:space="preserve">Development and Management of Irrigation Program </v>
      </c>
      <c r="G84" s="10" t="str">
        <f>DATA!I74</f>
        <v>I</v>
      </c>
      <c r="H84" s="10" t="str">
        <f>DATA!J74</f>
        <v>Program Pengembangan dan Pengelolaan Irigasi</v>
      </c>
      <c r="I84" s="10">
        <f>DATA!K74</f>
        <v>4</v>
      </c>
      <c r="J84" s="33"/>
      <c r="K84" s="34"/>
      <c r="L84" s="34"/>
      <c r="M84" s="36">
        <f>DATA!K74</f>
        <v>4</v>
      </c>
      <c r="N84" s="37" t="str">
        <f>DATA!L74</f>
        <v>Komering Irrigation Project Stage III</v>
      </c>
      <c r="O84" s="20">
        <f>DATA!Q74</f>
        <v>1</v>
      </c>
      <c r="P84" s="20">
        <f>DATA!R74</f>
        <v>1</v>
      </c>
      <c r="Q84" s="20">
        <f>DATA!S74</f>
        <v>47</v>
      </c>
      <c r="R84" s="77">
        <f>DATA!T74</f>
        <v>120000000</v>
      </c>
      <c r="S84" s="77"/>
      <c r="T84" s="77">
        <f>DATA!V74</f>
        <v>12000000</v>
      </c>
      <c r="U84" s="77">
        <f>DATA!W74</f>
        <v>0</v>
      </c>
      <c r="V84" s="77">
        <f>DATA!X74</f>
        <v>132000000</v>
      </c>
      <c r="W84" s="78" t="str">
        <f>DATA!Y74</f>
        <v>JICA</v>
      </c>
      <c r="X84" s="20" t="str">
        <f>DATA!Z74</f>
        <v>Bilateral</v>
      </c>
      <c r="Y84" s="77">
        <f>DATA!AA74</f>
        <v>120000000</v>
      </c>
      <c r="Z84" s="77">
        <f>DATA!AG74</f>
        <v>0</v>
      </c>
      <c r="AA84" s="20">
        <f>DATA!AH74</f>
        <v>2017</v>
      </c>
      <c r="AB84" s="37" t="str">
        <f>DATA!AI74</f>
        <v xml:space="preserve">Sudah ada R/C
</v>
      </c>
      <c r="AC84" s="37" t="str">
        <f>DATA!AJ74</f>
        <v>FS, DED, AMDAL, LARAP</v>
      </c>
      <c r="AD84" s="37" t="str">
        <f>DATA!AK74</f>
        <v>-</v>
      </c>
      <c r="AE84" s="37" t="str">
        <f>DATA!AL74</f>
        <v>-</v>
      </c>
      <c r="AF84" s="20" t="str">
        <f>DATA!AR74</f>
        <v>Nilai pinjaman di:
- Rev. GB 16 USD 145.568 ribu
- GB 16 USD 120.000 ribu</v>
      </c>
      <c r="AG84" s="20" t="str">
        <f>DATA!AN74</f>
        <v>siap</v>
      </c>
      <c r="AH84" s="20" t="str">
        <f>DATA!AO74</f>
        <v>belum ada keterangan</v>
      </c>
      <c r="AI84" s="20" t="str">
        <f>DATA!AP74</f>
        <v>belum ada proses tender/lelang</v>
      </c>
      <c r="AJ84" s="20" t="str">
        <f>DATA!AY74</f>
        <v>Konfirmasi melalui surat Sekjen nomor KU.01.12-Sj/636 tgl 23 Oktober 2015</v>
      </c>
      <c r="AK84" s="20" t="e">
        <f>DATA!#REF!</f>
        <v>#REF!</v>
      </c>
      <c r="AL84" s="20">
        <f>DATA!AZ74</f>
        <v>0</v>
      </c>
      <c r="AM84" s="37"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row>
    <row r="85" spans="1:39" ht="57.75" customHeight="1">
      <c r="A85" s="10">
        <f>DATA!A75</f>
        <v>57</v>
      </c>
      <c r="B85" s="10">
        <f>DATA!B75</f>
        <v>0</v>
      </c>
      <c r="C85" s="10" t="str">
        <f>DATA!D75</f>
        <v>INFRASTRUKTUR</v>
      </c>
      <c r="D85" s="10">
        <f>DATA!E75</f>
        <v>1</v>
      </c>
      <c r="E85" s="10" t="str">
        <f>DATA!F75</f>
        <v>Kementerian Pekerjaan Umum dan Perumahan Rakyat</v>
      </c>
      <c r="F85" s="10" t="str">
        <f>DATA!H75</f>
        <v xml:space="preserve">Development and Management of Irrigation Program </v>
      </c>
      <c r="G85" s="10" t="str">
        <f>DATA!I75</f>
        <v>I</v>
      </c>
      <c r="H85" s="10" t="str">
        <f>DATA!J75</f>
        <v>Program Pengembangan dan Pengelolaan Irigasi</v>
      </c>
      <c r="I85" s="10">
        <f>DATA!K75</f>
        <v>5</v>
      </c>
      <c r="J85" s="33"/>
      <c r="K85" s="34"/>
      <c r="L85" s="34"/>
      <c r="M85" s="36">
        <f>DATA!K75</f>
        <v>5</v>
      </c>
      <c r="N85" s="37" t="str">
        <f>DATA!L75</f>
        <v>Irrigation Development in North Sumatera</v>
      </c>
      <c r="O85" s="20">
        <f>DATA!Q75</f>
        <v>1</v>
      </c>
      <c r="P85" s="20">
        <f>DATA!R75</f>
        <v>1</v>
      </c>
      <c r="Q85" s="20">
        <f>DATA!S75</f>
        <v>48</v>
      </c>
      <c r="R85" s="77">
        <f>DATA!T75</f>
        <v>350000000</v>
      </c>
      <c r="S85" s="77"/>
      <c r="T85" s="77">
        <f>DATA!V75</f>
        <v>35000000</v>
      </c>
      <c r="U85" s="77">
        <f>DATA!W75</f>
        <v>0</v>
      </c>
      <c r="V85" s="77">
        <f>DATA!X75</f>
        <v>385000000</v>
      </c>
      <c r="W85" s="78" t="str">
        <f>DATA!Y75</f>
        <v>ADB</v>
      </c>
      <c r="X85" s="20" t="str">
        <f>DATA!Z75</f>
        <v>Multilateral</v>
      </c>
      <c r="Y85" s="77">
        <f>DATA!AA75</f>
        <v>350000000</v>
      </c>
      <c r="Z85" s="77">
        <f>DATA!AG75</f>
        <v>0</v>
      </c>
      <c r="AA85" s="20" t="str">
        <f>DATA!AH75</f>
        <v>Tanpa keterangan</v>
      </c>
      <c r="AB85" s="37" t="str">
        <f>DATA!AI75</f>
        <v>-</v>
      </c>
      <c r="AC85" s="37" t="str">
        <f>DATA!AJ75</f>
        <v>FS, DED, LARAP</v>
      </c>
      <c r="AD85" s="37" t="str">
        <f>DATA!AK75</f>
        <v>-</v>
      </c>
      <c r="AE85" s="37" t="str">
        <f>DATA!AL75</f>
        <v>-</v>
      </c>
      <c r="AF85" s="20" t="str">
        <f>DATA!AR75</f>
        <v>belum ada dokumen R/C</v>
      </c>
      <c r="AG85" s="20" t="str">
        <f>DATA!AN75</f>
        <v>dalam proses
(memiliki FS dan DED)</v>
      </c>
      <c r="AH85" s="20" t="str">
        <f>DATA!AO75</f>
        <v>belum ada keterangan</v>
      </c>
      <c r="AI85" s="20" t="str">
        <f>DATA!AP75</f>
        <v>belum ada proses tender/lelang</v>
      </c>
      <c r="AJ85" s="20" t="str">
        <f>DATA!AY75</f>
        <v>- dengan skema RBL
- Konfirmasi melalui surat Sekjen nomor KU.01.12-Sj/636 tgl 23 Oktober 2015</v>
      </c>
      <c r="AK85" s="20" t="e">
        <f>DATA!#REF!</f>
        <v>#REF!</v>
      </c>
      <c r="AL85" s="20" t="str">
        <f>DATA!AZ75</f>
        <v>JICA&amp;IDB diindikasikan akan mendanai kegiatan ini namun belum ada keputusan</v>
      </c>
      <c r="AM85" s="37" t="str">
        <f>DATA!BA75</f>
        <v>Pembahasan lahan dan relokasi, pengadaan, pembangunan bangunan utama, pembangunan jaringan irigasi seluas ±100.000 Ha, pencetakan lahan sawah, dan penyusunan O&amp;P</v>
      </c>
    </row>
    <row r="86" spans="1:39" ht="51">
      <c r="A86" s="10">
        <f>DATA!A76</f>
        <v>58</v>
      </c>
      <c r="B86" s="10">
        <f>DATA!B76</f>
        <v>0</v>
      </c>
      <c r="C86" s="10" t="str">
        <f>DATA!D76</f>
        <v>INFRASTRUKTUR</v>
      </c>
      <c r="D86" s="10">
        <f>DATA!E76</f>
        <v>1</v>
      </c>
      <c r="E86" s="10" t="str">
        <f>DATA!F76</f>
        <v>Kementerian Pekerjaan Umum dan Perumahan Rakyat</v>
      </c>
      <c r="F86" s="10" t="str">
        <f>DATA!H76</f>
        <v xml:space="preserve">Development and Management of Irrigation Program </v>
      </c>
      <c r="G86" s="10" t="str">
        <f>DATA!I76</f>
        <v>I</v>
      </c>
      <c r="H86" s="10" t="str">
        <f>DATA!J76</f>
        <v>Program Pengembangan dan Pengelolaan Irigasi</v>
      </c>
      <c r="I86" s="10">
        <f>DATA!K76</f>
        <v>6</v>
      </c>
      <c r="J86" s="33"/>
      <c r="K86" s="34"/>
      <c r="L86" s="34"/>
      <c r="M86" s="36">
        <f>DATA!K76</f>
        <v>6</v>
      </c>
      <c r="N86" s="37" t="str">
        <f>DATA!L76</f>
        <v>Integrated Participatory Development and Management of Lhok Guci and Peureulak Irrigation Project</v>
      </c>
      <c r="O86" s="20">
        <f>DATA!Q76</f>
        <v>1</v>
      </c>
      <c r="P86" s="20">
        <f>DATA!R76</f>
        <v>1</v>
      </c>
      <c r="Q86" s="20">
        <f>DATA!S76</f>
        <v>49</v>
      </c>
      <c r="R86" s="77">
        <f>DATA!T76</f>
        <v>161298000</v>
      </c>
      <c r="S86" s="77"/>
      <c r="T86" s="77">
        <f>DATA!V76</f>
        <v>24195000</v>
      </c>
      <c r="U86" s="77">
        <f>DATA!W76</f>
        <v>0</v>
      </c>
      <c r="V86" s="77">
        <f>DATA!X76</f>
        <v>185493000</v>
      </c>
      <c r="W86" s="78" t="str">
        <f>DATA!Y76</f>
        <v>ADB</v>
      </c>
      <c r="X86" s="20" t="str">
        <f>DATA!Z76</f>
        <v>Multilateral</v>
      </c>
      <c r="Y86" s="77">
        <f>DATA!AA76</f>
        <v>161298000</v>
      </c>
      <c r="Z86" s="77">
        <f>DATA!AG76</f>
        <v>0</v>
      </c>
      <c r="AA86" s="20" t="str">
        <f>DATA!AH76</f>
        <v>Tanpa keterangan</v>
      </c>
      <c r="AB86" s="37" t="str">
        <f>DATA!AI76</f>
        <v>-</v>
      </c>
      <c r="AC86" s="37" t="str">
        <f>DATA!AJ76</f>
        <v>FS, DED, LARAP</v>
      </c>
      <c r="AD86" s="37" t="str">
        <f>DATA!AK76</f>
        <v>-</v>
      </c>
      <c r="AE86" s="37" t="str">
        <f>DATA!AL76</f>
        <v>-</v>
      </c>
      <c r="AF86" s="20" t="str">
        <f>DATA!AR76</f>
        <v>belum ada dokumen R/C</v>
      </c>
      <c r="AG86" s="20" t="str">
        <f>DATA!AN76</f>
        <v>dalam proses
(memiliki FS dan DED)</v>
      </c>
      <c r="AH86" s="20" t="str">
        <f>DATA!AO76</f>
        <v>belum ada keterangan</v>
      </c>
      <c r="AI86" s="20" t="str">
        <f>DATA!AP76</f>
        <v>belum ada proses tender/lelang</v>
      </c>
      <c r="AJ86" s="20" t="str">
        <f>DATA!AY76</f>
        <v>- dengan skema RBL
- Konfirmasi melalui surat Sekjen nomor KU.01.12-Sj/636 tgl 23 Oktober 2015</v>
      </c>
      <c r="AK86" s="20" t="e">
        <f>DATA!#REF!</f>
        <v>#REF!</v>
      </c>
      <c r="AL86" s="20" t="str">
        <f>DATA!AZ76</f>
        <v>JICA&amp;IDB diindikasikan akan mendanai kegiatan ini namun belum ada keputusan</v>
      </c>
      <c r="AM86" s="37" t="str">
        <f>DATA!BA76</f>
        <v>Mendukung pengembangan terpadu fasilitas irigasi 18.542 Ha (lhok guci)  dan 5.000 Ha (peureulak) dengan SID partisipatif, konstruksi, dan operasi pemeliharaan.</v>
      </c>
    </row>
    <row r="87" spans="1:39" ht="88.5" customHeight="1">
      <c r="A87" s="10">
        <f>DATA!A77</f>
        <v>59</v>
      </c>
      <c r="B87" s="10">
        <f>DATA!B77</f>
        <v>0</v>
      </c>
      <c r="C87" s="10" t="str">
        <f>DATA!D77</f>
        <v>INFRASTRUKTUR</v>
      </c>
      <c r="D87" s="10">
        <f>DATA!E77</f>
        <v>1</v>
      </c>
      <c r="E87" s="10" t="str">
        <f>DATA!F77</f>
        <v>Kementerian Pekerjaan Umum dan Perumahan Rakyat</v>
      </c>
      <c r="F87" s="10" t="str">
        <f>DATA!H77</f>
        <v xml:space="preserve">Development and Management of Irrigation Program </v>
      </c>
      <c r="G87" s="10" t="str">
        <f>DATA!I77</f>
        <v>I</v>
      </c>
      <c r="H87" s="10" t="str">
        <f>DATA!J77</f>
        <v>Program Pengembangan dan Pengelolaan Irigasi</v>
      </c>
      <c r="I87" s="10">
        <f>DATA!K77</f>
        <v>7</v>
      </c>
      <c r="J87" s="33"/>
      <c r="K87" s="34"/>
      <c r="L87" s="34"/>
      <c r="M87" s="36">
        <f>DATA!K77</f>
        <v>7</v>
      </c>
      <c r="N87" s="37" t="str">
        <f>DATA!L77</f>
        <v>Modernization Strategic Irrigation Project (MSIP)</v>
      </c>
      <c r="O87" s="20">
        <f>DATA!Q77</f>
        <v>1</v>
      </c>
      <c r="P87" s="20">
        <f>DATA!R77</f>
        <v>1</v>
      </c>
      <c r="Q87" s="20">
        <f>DATA!S77</f>
        <v>50</v>
      </c>
      <c r="R87" s="77">
        <f>DATA!T77</f>
        <v>278355000</v>
      </c>
      <c r="S87" s="77"/>
      <c r="T87" s="77">
        <f>DATA!V77</f>
        <v>28000000</v>
      </c>
      <c r="U87" s="77">
        <f>DATA!W77</f>
        <v>0</v>
      </c>
      <c r="V87" s="77">
        <f>DATA!X77</f>
        <v>306355000</v>
      </c>
      <c r="W87" s="78" t="str">
        <f>DATA!Y77</f>
        <v>JICA</v>
      </c>
      <c r="X87" s="20" t="str">
        <f>DATA!Z77</f>
        <v>Bilateral</v>
      </c>
      <c r="Y87" s="77">
        <f>DATA!AA77</f>
        <v>278355000</v>
      </c>
      <c r="Z87" s="77">
        <f>DATA!AG77</f>
        <v>0</v>
      </c>
      <c r="AA87" s="20">
        <f>DATA!AH77</f>
        <v>2017</v>
      </c>
      <c r="AB87" s="37" t="str">
        <f>DATA!AI77</f>
        <v>-</v>
      </c>
      <c r="AC87" s="37" t="str">
        <f>DATA!AJ77</f>
        <v>-</v>
      </c>
      <c r="AD87" s="37" t="str">
        <f>DATA!AK77</f>
        <v>-</v>
      </c>
      <c r="AE87" s="37" t="str">
        <f>DATA!AL77</f>
        <v>-</v>
      </c>
      <c r="AF87" s="20" t="str">
        <f>DATA!AR77</f>
        <v>belum ada dokumen R/C</v>
      </c>
      <c r="AG87" s="20" t="str">
        <f>DATA!AN77</f>
        <v>belum ada keterangan</v>
      </c>
      <c r="AH87" s="20" t="str">
        <f>DATA!AO77</f>
        <v>belum ada keterangan</v>
      </c>
      <c r="AI87" s="20" t="str">
        <f>DATA!AP77</f>
        <v>belum ada proses tender/lelang</v>
      </c>
      <c r="AJ87" s="20" t="str">
        <f>DATA!AY77</f>
        <v>Konfirmasi melalui surat Sekjen nomor KU.01.12-Sj/636 tgl 23 Oktober 2015</v>
      </c>
      <c r="AK87" s="20" t="e">
        <f>DATA!#REF!</f>
        <v>#REF!</v>
      </c>
      <c r="AL87" s="20">
        <f>DATA!AZ77</f>
        <v>0</v>
      </c>
      <c r="AM87" s="37"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row>
    <row r="88" spans="1:39" ht="102">
      <c r="A88" s="10">
        <f>DATA!A78</f>
        <v>60</v>
      </c>
      <c r="B88" s="10">
        <f>DATA!B78</f>
        <v>0</v>
      </c>
      <c r="C88" s="10" t="str">
        <f>DATA!D78</f>
        <v>INFRASTRUKTUR</v>
      </c>
      <c r="D88" s="10">
        <f>DATA!E78</f>
        <v>1</v>
      </c>
      <c r="E88" s="10" t="str">
        <f>DATA!F78</f>
        <v>Kementerian Pekerjaan Umum dan Perumahan Rakyat</v>
      </c>
      <c r="F88" s="10" t="str">
        <f>DATA!H78</f>
        <v xml:space="preserve">Development and Management of Irrigation Program </v>
      </c>
      <c r="G88" s="10" t="str">
        <f>DATA!I78</f>
        <v>I</v>
      </c>
      <c r="H88" s="10" t="str">
        <f>DATA!J78</f>
        <v>Program Pengembangan dan Pengelolaan Irigasi</v>
      </c>
      <c r="I88" s="10">
        <f>DATA!K78</f>
        <v>8</v>
      </c>
      <c r="J88" s="33"/>
      <c r="K88" s="34"/>
      <c r="L88" s="34"/>
      <c r="M88" s="36">
        <f>DATA!K78</f>
        <v>8</v>
      </c>
      <c r="N88" s="37" t="str">
        <f>DATA!L78</f>
        <v>Urgent Rehabilitation of  Irrigation Project in Indonesia (URIP)</v>
      </c>
      <c r="O88" s="20">
        <f>DATA!Q78</f>
        <v>1</v>
      </c>
      <c r="P88" s="20">
        <f>DATA!R78</f>
        <v>1</v>
      </c>
      <c r="Q88" s="20">
        <f>DATA!S78</f>
        <v>51</v>
      </c>
      <c r="R88" s="77">
        <f>DATA!T78</f>
        <v>272100000</v>
      </c>
      <c r="S88" s="77"/>
      <c r="T88" s="77">
        <f>DATA!V78</f>
        <v>40815000</v>
      </c>
      <c r="U88" s="77">
        <f>DATA!W78</f>
        <v>0</v>
      </c>
      <c r="V88" s="77">
        <f>DATA!X78</f>
        <v>312915000</v>
      </c>
      <c r="W88" s="78" t="str">
        <f>DATA!Y78</f>
        <v>Bank Dunia</v>
      </c>
      <c r="X88" s="20" t="str">
        <f>DATA!Z78</f>
        <v>Multilateral</v>
      </c>
      <c r="Y88" s="77">
        <f>DATA!AA78</f>
        <v>272100000</v>
      </c>
      <c r="Z88" s="77">
        <f>DATA!AG78</f>
        <v>0</v>
      </c>
      <c r="AA88" s="20" t="str">
        <f>DATA!AH78</f>
        <v>Tanpa keterangan</v>
      </c>
      <c r="AB88" s="37" t="str">
        <f>DATA!AI78</f>
        <v>-</v>
      </c>
      <c r="AC88" s="37" t="str">
        <f>DATA!AJ78</f>
        <v>-</v>
      </c>
      <c r="AD88" s="37" t="str">
        <f>DATA!AK78</f>
        <v>-</v>
      </c>
      <c r="AE88" s="37" t="str">
        <f>DATA!AL78</f>
        <v>-</v>
      </c>
      <c r="AF88" s="20" t="str">
        <f>DATA!AR78</f>
        <v>belum ada dokumen R/C</v>
      </c>
      <c r="AG88" s="20" t="str">
        <f>DATA!AN78</f>
        <v>belum ada keterangan</v>
      </c>
      <c r="AH88" s="20" t="str">
        <f>DATA!AO78</f>
        <v>belum ada keterangan</v>
      </c>
      <c r="AI88" s="20" t="str">
        <f>DATA!AP78</f>
        <v>belum ada proses tender/lelang</v>
      </c>
      <c r="AJ88" s="20" t="str">
        <f>DATA!AY78</f>
        <v>Konfirmasi melalui surat Sekjen nomor KU.01.12-Sj/636 tgl 23 Oktober 2015</v>
      </c>
      <c r="AK88" s="20" t="e">
        <f>DATA!#REF!</f>
        <v>#REF!</v>
      </c>
      <c r="AL88" s="20" t="str">
        <f>DATA!AZ78</f>
        <v xml:space="preserve">Belum ada pembicaraan dgn Bank Dunia </v>
      </c>
      <c r="AM88" s="37"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row>
    <row r="89" spans="1:39" ht="69" customHeight="1">
      <c r="A89" s="10">
        <f>DATA!A79</f>
        <v>61</v>
      </c>
      <c r="B89" s="10">
        <f>DATA!B79</f>
        <v>0</v>
      </c>
      <c r="C89" s="10" t="str">
        <f>DATA!D79</f>
        <v>INFRASTRUKTUR</v>
      </c>
      <c r="D89" s="10">
        <f>DATA!E79</f>
        <v>1</v>
      </c>
      <c r="E89" s="10" t="str">
        <f>DATA!F79</f>
        <v>Kementerian Pekerjaan Umum dan Perumahan Rakyat</v>
      </c>
      <c r="F89" s="10" t="str">
        <f>DATA!H79</f>
        <v xml:space="preserve">Development and Management of Irrigation Program </v>
      </c>
      <c r="G89" s="10" t="str">
        <f>DATA!I79</f>
        <v>I</v>
      </c>
      <c r="H89" s="10" t="str">
        <f>DATA!J79</f>
        <v>Program Pengembangan dan Pengelolaan Irigasi</v>
      </c>
      <c r="I89" s="10">
        <f>DATA!K79</f>
        <v>9</v>
      </c>
      <c r="J89" s="33"/>
      <c r="K89" s="34"/>
      <c r="L89" s="34"/>
      <c r="M89" s="36">
        <f>DATA!K79</f>
        <v>9</v>
      </c>
      <c r="N89" s="37" t="str">
        <f>DATA!L79</f>
        <v>Revitalization Groundwater Irrigation in Indonesia</v>
      </c>
      <c r="O89" s="20">
        <f>DATA!Q79</f>
        <v>1</v>
      </c>
      <c r="P89" s="20">
        <f>DATA!R79</f>
        <v>1</v>
      </c>
      <c r="Q89" s="20">
        <f>DATA!S79</f>
        <v>52</v>
      </c>
      <c r="R89" s="77">
        <f>DATA!T79</f>
        <v>100000000</v>
      </c>
      <c r="S89" s="77"/>
      <c r="T89" s="77">
        <f>DATA!V79</f>
        <v>10000000</v>
      </c>
      <c r="U89" s="77">
        <f>DATA!W79</f>
        <v>0</v>
      </c>
      <c r="V89" s="77">
        <f>DATA!X79</f>
        <v>110000000</v>
      </c>
      <c r="W89" s="78" t="str">
        <f>DATA!Y79</f>
        <v>JICA</v>
      </c>
      <c r="X89" s="20" t="str">
        <f>DATA!Z79</f>
        <v>Bilateral</v>
      </c>
      <c r="Y89" s="77">
        <f>DATA!AA79</f>
        <v>100000000</v>
      </c>
      <c r="Z89" s="77">
        <f>DATA!AG79</f>
        <v>0</v>
      </c>
      <c r="AA89" s="20">
        <f>DATA!AH79</f>
        <v>2017</v>
      </c>
      <c r="AB89" s="37" t="str">
        <f>DATA!AI79</f>
        <v>-</v>
      </c>
      <c r="AC89" s="37" t="str">
        <f>DATA!AJ79</f>
        <v>-</v>
      </c>
      <c r="AD89" s="37" t="str">
        <f>DATA!AK79</f>
        <v>-</v>
      </c>
      <c r="AE89" s="37" t="str">
        <f>DATA!AL79</f>
        <v>-</v>
      </c>
      <c r="AF89" s="20" t="str">
        <f>DATA!AR79</f>
        <v>belum ada dokumen R/C</v>
      </c>
      <c r="AG89" s="20" t="str">
        <f>DATA!AN79</f>
        <v>belum ada keterangan</v>
      </c>
      <c r="AH89" s="20" t="str">
        <f>DATA!AO79</f>
        <v>belum ada keterangan</v>
      </c>
      <c r="AI89" s="20" t="str">
        <f>DATA!AP79</f>
        <v>belum ada proses tender/lelang</v>
      </c>
      <c r="AJ89" s="20" t="str">
        <f>DATA!AY79</f>
        <v>Konfirmasi melalui surat Sekjen nomor KU.01.12-Sj/636 tgl 23 Oktober 2015</v>
      </c>
      <c r="AK89" s="20" t="e">
        <f>DATA!#REF!</f>
        <v>#REF!</v>
      </c>
      <c r="AL89" s="20">
        <f>DATA!AZ79</f>
        <v>0</v>
      </c>
      <c r="AM89" s="37" t="str">
        <f>DATA!BA79</f>
        <v>Kegiatan review desain dan kegiatan konstruksi  meliputi: rehabilitasi 772 sumur, perbaikan pipa distribusi air tanah 1.618 km, perbaikan bangunan rumah pompa, penggantian mesin pompa dan atau penggerak</v>
      </c>
    </row>
    <row r="90" spans="1:39" s="8" customFormat="1" ht="96" customHeight="1">
      <c r="A90" s="10">
        <f>DATA!A80</f>
        <v>62</v>
      </c>
      <c r="B90" s="10">
        <f>DATA!B80</f>
        <v>0</v>
      </c>
      <c r="C90" s="10" t="str">
        <f>DATA!D80</f>
        <v>INFRASTRUKTUR</v>
      </c>
      <c r="D90" s="10">
        <f>DATA!E80</f>
        <v>1</v>
      </c>
      <c r="E90" s="10" t="str">
        <f>DATA!F80</f>
        <v>Kementerian Pekerjaan Umum dan Perumahan Rakyat</v>
      </c>
      <c r="F90" s="10" t="str">
        <f>DATA!H80</f>
        <v xml:space="preserve">Development and Management of Irrigation Program </v>
      </c>
      <c r="G90" s="10" t="str">
        <f>DATA!I80</f>
        <v>I</v>
      </c>
      <c r="H90" s="10" t="str">
        <f>DATA!J80</f>
        <v>Program Pengembangan dan Pengelolaan Irigasi</v>
      </c>
      <c r="I90" s="10">
        <f>DATA!K80</f>
        <v>10</v>
      </c>
      <c r="J90" s="57"/>
      <c r="K90" s="58"/>
      <c r="L90" s="111"/>
      <c r="M90" s="60">
        <f>DATA!K80</f>
        <v>10</v>
      </c>
      <c r="N90" s="61" t="str">
        <f>DATA!L80</f>
        <v>Engineering Service for Irrigation and Low Land Development Project</v>
      </c>
      <c r="O90" s="20">
        <f>DATA!Q80</f>
        <v>1</v>
      </c>
      <c r="P90" s="20">
        <f>DATA!R80</f>
        <v>1</v>
      </c>
      <c r="Q90" s="20">
        <f>DATA!S80</f>
        <v>53</v>
      </c>
      <c r="R90" s="89">
        <f>DATA!T80</f>
        <v>100000000</v>
      </c>
      <c r="S90" s="89"/>
      <c r="T90" s="89">
        <f>DATA!V80</f>
        <v>0</v>
      </c>
      <c r="U90" s="77">
        <f>DATA!W80</f>
        <v>0</v>
      </c>
      <c r="V90" s="89">
        <f>DATA!X80</f>
        <v>100000000</v>
      </c>
      <c r="W90" s="90" t="str">
        <f>DATA!Y80</f>
        <v>ADB</v>
      </c>
      <c r="X90" s="20" t="str">
        <f>DATA!Z80</f>
        <v>Multilateral</v>
      </c>
      <c r="Y90" s="89">
        <f>DATA!AA80</f>
        <v>100000000</v>
      </c>
      <c r="Z90" s="89">
        <f>DATA!AG80</f>
        <v>0</v>
      </c>
      <c r="AA90" s="103">
        <f>DATA!AH80</f>
        <v>2016</v>
      </c>
      <c r="AB90" s="61" t="str">
        <f>DATA!AI80</f>
        <v>- Sudah ada RC- Green Book 2015</v>
      </c>
      <c r="AC90" s="61" t="str">
        <f>DATA!AJ80</f>
        <v>FS, DED</v>
      </c>
      <c r="AD90" s="61" t="str">
        <f>DATA!AK80</f>
        <v>Tidak membutuhkan lahan</v>
      </c>
      <c r="AE90" s="61" t="str">
        <f>DATA!AL80</f>
        <v>Belum ada tender/lelang</v>
      </c>
      <c r="AF90" s="20" t="str">
        <f>DATA!AR80</f>
        <v>- sudah GB 2016  
- Nilai pinjaman di GB 38.100 ribu</v>
      </c>
      <c r="AG90" s="20" t="str">
        <f>DATA!AN80</f>
        <v>siap</v>
      </c>
      <c r="AH90" s="20" t="str">
        <f>DATA!AO80</f>
        <v>tidak butuh lahan</v>
      </c>
      <c r="AI90" s="20" t="str">
        <f>DATA!AP80</f>
        <v>belum ada proses tender/lelang</v>
      </c>
      <c r="AJ90"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K90" s="20" t="e">
        <f>DATA!#REF!</f>
        <v>#REF!</v>
      </c>
      <c r="AL90" s="20">
        <f>DATA!AZ80</f>
        <v>0</v>
      </c>
      <c r="AM90" s="37"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row>
    <row r="91" spans="1:39" s="5" customFormat="1" ht="33.75" customHeight="1">
      <c r="J91" s="28"/>
      <c r="K91" s="50"/>
      <c r="L91" s="30" t="str">
        <f>DATA!I81</f>
        <v>J</v>
      </c>
      <c r="M91" s="31" t="str">
        <f>DATA!J81</f>
        <v xml:space="preserve">Program Penyediaan dan Pengelolaan Air Baku </v>
      </c>
      <c r="N91" s="51"/>
      <c r="O91" s="31"/>
      <c r="P91" s="31"/>
      <c r="Q91" s="31"/>
      <c r="R91" s="81">
        <f>SUM(R92:R94)</f>
        <v>623862000</v>
      </c>
      <c r="S91" s="81"/>
      <c r="T91" s="81">
        <f t="shared" ref="T91:Z91" si="4">SUM(T92:T94)</f>
        <v>201074000</v>
      </c>
      <c r="U91" s="81">
        <f t="shared" si="4"/>
        <v>0</v>
      </c>
      <c r="V91" s="81">
        <f t="shared" si="4"/>
        <v>824936000</v>
      </c>
      <c r="W91" s="81"/>
      <c r="X91" s="81">
        <f t="shared" si="4"/>
        <v>0</v>
      </c>
      <c r="Y91" s="81">
        <f t="shared" si="4"/>
        <v>623862000</v>
      </c>
      <c r="Z91" s="81">
        <f t="shared" si="4"/>
        <v>0</v>
      </c>
      <c r="AA91" s="31"/>
      <c r="AB91" s="32"/>
      <c r="AC91" s="32"/>
      <c r="AD91" s="32"/>
      <c r="AE91" s="32"/>
      <c r="AF91" s="31"/>
      <c r="AG91" s="31"/>
      <c r="AH91" s="31"/>
      <c r="AI91" s="31"/>
      <c r="AJ91" s="31"/>
      <c r="AK91" s="31"/>
      <c r="AL91" s="31"/>
      <c r="AM91" s="32"/>
    </row>
    <row r="92" spans="1:39" ht="58.5" customHeight="1">
      <c r="A92" s="10">
        <f>DATA!A81</f>
        <v>63</v>
      </c>
      <c r="B92" s="10">
        <f>DATA!B81</f>
        <v>0</v>
      </c>
      <c r="C92" s="10" t="str">
        <f>DATA!D81</f>
        <v>INFRASTRUKTUR</v>
      </c>
      <c r="D92" s="10">
        <f>DATA!E81</f>
        <v>1</v>
      </c>
      <c r="E92" s="10" t="str">
        <f>DATA!F81</f>
        <v>Kementerian Pekerjaan Umum dan Perumahan Rakyat</v>
      </c>
      <c r="F92" s="10" t="str">
        <f>DATA!H81</f>
        <v>Provision and Management of Bulk Water Supply Program</v>
      </c>
      <c r="G92" s="10" t="str">
        <f>DATA!I81</f>
        <v>J</v>
      </c>
      <c r="H92" s="10" t="str">
        <f>DATA!J81</f>
        <v xml:space="preserve">Program Penyediaan dan Pengelolaan Air Baku </v>
      </c>
      <c r="I92" s="10">
        <f>DATA!K81</f>
        <v>1</v>
      </c>
      <c r="J92" s="33"/>
      <c r="K92" s="34"/>
      <c r="L92" s="35"/>
      <c r="M92" s="36">
        <f>DATA!K81</f>
        <v>1</v>
      </c>
      <c r="N92" s="37" t="str">
        <f>DATA!L81</f>
        <v>Integrated Citarum Water Resources Management Investment Program II</v>
      </c>
      <c r="O92" s="20">
        <f>DATA!Q81</f>
        <v>1</v>
      </c>
      <c r="P92" s="20">
        <f>DATA!R81</f>
        <v>1</v>
      </c>
      <c r="Q92" s="20">
        <f>DATA!S81</f>
        <v>54</v>
      </c>
      <c r="R92" s="77">
        <f>DATA!T81</f>
        <v>200000000</v>
      </c>
      <c r="S92" s="77"/>
      <c r="T92" s="77">
        <f>DATA!V81</f>
        <v>20000000</v>
      </c>
      <c r="U92" s="77">
        <f>DATA!W81</f>
        <v>0</v>
      </c>
      <c r="V92" s="77">
        <f>DATA!X81</f>
        <v>220000000</v>
      </c>
      <c r="W92" s="78" t="str">
        <f>DATA!Y81</f>
        <v>ADB</v>
      </c>
      <c r="X92" s="20" t="str">
        <f>DATA!Z81</f>
        <v>Multilateral</v>
      </c>
      <c r="Y92" s="77">
        <f>DATA!AA81</f>
        <v>200000000</v>
      </c>
      <c r="Z92" s="77">
        <f>DATA!AG81</f>
        <v>0</v>
      </c>
      <c r="AA92" s="20" t="str">
        <f>DATA!AH81</f>
        <v>Tanpa keterangan</v>
      </c>
      <c r="AB92" s="37" t="str">
        <f>DATA!AI81</f>
        <v>-</v>
      </c>
      <c r="AC92" s="37" t="str">
        <f>DATA!AJ81</f>
        <v>FS, DED</v>
      </c>
      <c r="AD92" s="37" t="str">
        <f>DATA!AK81</f>
        <v>Penyusunan dokumen LARAP</v>
      </c>
      <c r="AE92" s="37" t="str">
        <f>DATA!AL81</f>
        <v>-</v>
      </c>
      <c r="AF92" s="20" t="str">
        <f>DATA!AR81</f>
        <v>belum ada dokumen R/C</v>
      </c>
      <c r="AG92" s="20" t="str">
        <f>DATA!AN81</f>
        <v>dalam proses
(memiliki FS dan DED)</v>
      </c>
      <c r="AH92" s="20" t="str">
        <f>DATA!AO81</f>
        <v>dalam proses
(perencanaan)</v>
      </c>
      <c r="AI92" s="20" t="str">
        <f>DATA!AP81</f>
        <v>belum ada proses tender/lelang</v>
      </c>
      <c r="AJ92" s="20" t="str">
        <f>DATA!AY81</f>
        <v>Konfirmasi melalui surat Sekjen nomor KU.01.12-Sj/636 tgl 23 Oktober 2015</v>
      </c>
      <c r="AK92" s="20" t="e">
        <f>DATA!#REF!</f>
        <v>#REF!</v>
      </c>
      <c r="AL92" s="20" t="str">
        <f>DATA!AZ81</f>
        <v>ada penolakan dari ADB untuk membiayai kegiatan ini (info P'Dewo)</v>
      </c>
      <c r="AM92" s="37" t="str">
        <f>DATA!BA81</f>
        <v>Pengembangan air baku di sungai citarum dan sekeliling bandung untuk memenuhi kebutuhan air baku lebih kurang 1,5 m3/det di Bandung serta menghindari erosi sungai Citarum</v>
      </c>
    </row>
    <row r="93" spans="1:39" ht="46.5" customHeight="1">
      <c r="A93" s="10">
        <f>DATA!A82</f>
        <v>64</v>
      </c>
      <c r="B93" s="10">
        <f>DATA!B82</f>
        <v>0</v>
      </c>
      <c r="C93" s="10" t="str">
        <f>DATA!D82</f>
        <v>INFRASTRUKTUR</v>
      </c>
      <c r="D93" s="10">
        <f>DATA!E82</f>
        <v>1</v>
      </c>
      <c r="E93" s="10" t="str">
        <f>DATA!F82</f>
        <v>Kementerian Pekerjaan Umum dan Perumahan Rakyat</v>
      </c>
      <c r="F93" s="10" t="str">
        <f>DATA!H82</f>
        <v>Provision and Management of Bulk Water Supply Program</v>
      </c>
      <c r="G93" s="10" t="str">
        <f>DATA!I82</f>
        <v>I</v>
      </c>
      <c r="H93" s="10" t="str">
        <f>DATA!J82</f>
        <v xml:space="preserve">Program Penyediaan dan Pengelolaan Air Baku </v>
      </c>
      <c r="I93" s="10">
        <f>DATA!K82</f>
        <v>2</v>
      </c>
      <c r="J93" s="33"/>
      <c r="K93" s="34"/>
      <c r="L93" s="34"/>
      <c r="M93" s="36">
        <f>DATA!K82</f>
        <v>2</v>
      </c>
      <c r="N93" s="37" t="str">
        <f>DATA!L82</f>
        <v>Karian Dam-Serpong Water Conveyance and Supply System Project</v>
      </c>
      <c r="O93" s="20">
        <f>DATA!Q82</f>
        <v>1</v>
      </c>
      <c r="P93" s="20">
        <f>DATA!R82</f>
        <v>1</v>
      </c>
      <c r="Q93" s="20">
        <f>DATA!S82</f>
        <v>55</v>
      </c>
      <c r="R93" s="77">
        <f>DATA!T82</f>
        <v>373862000</v>
      </c>
      <c r="S93" s="77"/>
      <c r="T93" s="77">
        <f>DATA!V82</f>
        <v>181074000</v>
      </c>
      <c r="U93" s="77">
        <f>DATA!W82</f>
        <v>0</v>
      </c>
      <c r="V93" s="77">
        <f>DATA!X82</f>
        <v>554936000</v>
      </c>
      <c r="W93" s="78" t="str">
        <f>DATA!Y82</f>
        <v>Korea</v>
      </c>
      <c r="X93" s="20" t="str">
        <f>DATA!Z82</f>
        <v>Bilateral</v>
      </c>
      <c r="Y93" s="77">
        <f>DATA!AA82</f>
        <v>373862000</v>
      </c>
      <c r="Z93" s="77">
        <f>DATA!AG82</f>
        <v>0</v>
      </c>
      <c r="AA93" s="20" t="str">
        <f>DATA!AH82</f>
        <v>Tanpa keterangan</v>
      </c>
      <c r="AB93" s="37" t="str">
        <f>DATA!AI82</f>
        <v>-</v>
      </c>
      <c r="AC93" s="37" t="str">
        <f>DATA!AJ82</f>
        <v>FS</v>
      </c>
      <c r="AD93" s="37" t="str">
        <f>DATA!AK82</f>
        <v>Persiapan penyusunan dokumen LARAP</v>
      </c>
      <c r="AE93" s="37" t="str">
        <f>DATA!AL82</f>
        <v>-</v>
      </c>
      <c r="AF93" s="20" t="str">
        <f>DATA!AR82</f>
        <v>belum ada dokumen R/C</v>
      </c>
      <c r="AG93" s="20" t="str">
        <f>DATA!AN82</f>
        <v>dalam proses
(memiliki FS)</v>
      </c>
      <c r="AH93" s="20" t="str">
        <f>DATA!AO82</f>
        <v>dalam proses
(perencanaan)</v>
      </c>
      <c r="AI93" s="20" t="str">
        <f>DATA!AP82</f>
        <v>belum ada proses tender/lelang</v>
      </c>
      <c r="AJ93" s="20" t="str">
        <f>DATA!AY82</f>
        <v>Konfirmasi melalui surat Sekjen nomor KU.01.12-Sj/636 tgl 23 Oktober 2015</v>
      </c>
      <c r="AK93" s="20" t="e">
        <f>DATA!#REF!</f>
        <v>#REF!</v>
      </c>
      <c r="AL93" s="20">
        <f>DATA!AZ82</f>
        <v>0</v>
      </c>
      <c r="AM93" s="37" t="str">
        <f>DATA!BA82</f>
        <v>Pembangunan sistem air baku sepanjang 47,9 km dari Bendungan Karian ke Serpong untuk meningkatkan pasokan air di Banten dan Jakarta</v>
      </c>
    </row>
    <row r="94" spans="1:39" s="8" customFormat="1" ht="57.75" customHeight="1">
      <c r="A94" s="10">
        <f>DATA!A83</f>
        <v>65</v>
      </c>
      <c r="B94" s="10">
        <f>DATA!B83</f>
        <v>0</v>
      </c>
      <c r="C94" s="10" t="str">
        <f>DATA!D83</f>
        <v>INFRASTRUKTUR</v>
      </c>
      <c r="D94" s="10">
        <f>DATA!E83</f>
        <v>1</v>
      </c>
      <c r="E94" s="10" t="str">
        <f>DATA!F83</f>
        <v>Kementerian Pekerjaan Umum dan Perumahan Rakyat</v>
      </c>
      <c r="F94" s="10" t="str">
        <f>DATA!H83</f>
        <v>Provision and Management of Bulk Water Supply Program</v>
      </c>
      <c r="G94" s="10" t="str">
        <f>DATA!I83</f>
        <v>I</v>
      </c>
      <c r="H94" s="10" t="str">
        <f>DATA!J83</f>
        <v xml:space="preserve">Program Penyediaan dan Pengelolaan Air Baku </v>
      </c>
      <c r="I94" s="10">
        <f>DATA!K83</f>
        <v>3</v>
      </c>
      <c r="J94" s="57"/>
      <c r="K94" s="58"/>
      <c r="L94" s="111"/>
      <c r="M94" s="60">
        <f>DATA!K83</f>
        <v>3</v>
      </c>
      <c r="N94" s="61" t="str">
        <f>DATA!L83</f>
        <v>Engineering Service for Bulk Water and Water Supply Development Project</v>
      </c>
      <c r="O94" s="20">
        <f>DATA!Q83</f>
        <v>1</v>
      </c>
      <c r="P94" s="20">
        <f>DATA!R83</f>
        <v>1</v>
      </c>
      <c r="Q94" s="20">
        <f>DATA!S83</f>
        <v>56</v>
      </c>
      <c r="R94" s="89">
        <f>DATA!T83</f>
        <v>50000000</v>
      </c>
      <c r="S94" s="89"/>
      <c r="T94" s="89">
        <f>DATA!V83</f>
        <v>0</v>
      </c>
      <c r="U94" s="77">
        <f>DATA!W83</f>
        <v>0</v>
      </c>
      <c r="V94" s="89">
        <f>DATA!X83</f>
        <v>50000000</v>
      </c>
      <c r="W94" s="90" t="str">
        <f>DATA!Y83</f>
        <v>ADB</v>
      </c>
      <c r="X94" s="20" t="str">
        <f>DATA!Z83</f>
        <v>Multilateral</v>
      </c>
      <c r="Y94" s="89">
        <f>DATA!AA83</f>
        <v>50000000</v>
      </c>
      <c r="Z94" s="89">
        <f>DATA!AG83</f>
        <v>0</v>
      </c>
      <c r="AA94" s="103">
        <f>DATA!AH83</f>
        <v>2016</v>
      </c>
      <c r="AB94" s="61" t="str">
        <f>DATA!AI83</f>
        <v>- Sudah ada RC
- Green Book 2015</v>
      </c>
      <c r="AC94" s="61" t="str">
        <f>DATA!AJ83</f>
        <v>FS, DED</v>
      </c>
      <c r="AD94" s="61" t="str">
        <f>DATA!AK83</f>
        <v>Tidak membutuhkan lahan</v>
      </c>
      <c r="AE94" s="61" t="str">
        <f>DATA!AL83</f>
        <v>Belum ada tender/lelang</v>
      </c>
      <c r="AF94" s="20" t="str">
        <f>DATA!AR83</f>
        <v>- sudah GB 2016  
- Nilai pinjaman di GB USD 2.000 ribu</v>
      </c>
      <c r="AG94" s="20" t="str">
        <f>DATA!AN83</f>
        <v>siap</v>
      </c>
      <c r="AH94" s="20" t="str">
        <f>DATA!AO83</f>
        <v>tidak butuh lahan</v>
      </c>
      <c r="AI94" s="20" t="str">
        <f>DATA!AP83</f>
        <v>belum ada proses tender/lelang</v>
      </c>
      <c r="AJ94"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K94" s="20" t="e">
        <f>DATA!#REF!</f>
        <v>#REF!</v>
      </c>
      <c r="AL94" s="20">
        <f>DATA!AZ83</f>
        <v>0</v>
      </c>
      <c r="AM94" s="37" t="str">
        <f>DATA!BA83</f>
        <v>Membuat perencanaan dan analisis untuk mendukung pembangunan sistem air baku dan menyediakan fasilitas pendukung pengembangan air baku masyarakat</v>
      </c>
    </row>
    <row r="95" spans="1:39" s="5" customFormat="1" ht="33.75" customHeight="1">
      <c r="J95" s="28"/>
      <c r="K95" s="50"/>
      <c r="L95" s="30" t="str">
        <f>DATA!I84</f>
        <v>J</v>
      </c>
      <c r="M95" s="31" t="str">
        <f>DATA!J84</f>
        <v xml:space="preserve">Program Pembangunan Waduk </v>
      </c>
      <c r="N95" s="51"/>
      <c r="O95" s="31"/>
      <c r="P95" s="31"/>
      <c r="Q95" s="31"/>
      <c r="R95" s="81">
        <f>SUM(R96:R109)</f>
        <v>2133750000</v>
      </c>
      <c r="S95" s="81"/>
      <c r="T95" s="81">
        <f t="shared" ref="T95:Y95" si="5">SUM(T96:T109)</f>
        <v>963200000</v>
      </c>
      <c r="U95" s="81">
        <f t="shared" si="5"/>
        <v>0</v>
      </c>
      <c r="V95" s="81">
        <f t="shared" si="5"/>
        <v>3096950000</v>
      </c>
      <c r="W95" s="81"/>
      <c r="X95" s="81">
        <f t="shared" si="5"/>
        <v>0</v>
      </c>
      <c r="Y95" s="81">
        <f t="shared" si="5"/>
        <v>2233750000</v>
      </c>
      <c r="Z95" s="81">
        <f>SUM(Z96:Z105)</f>
        <v>-76391404</v>
      </c>
      <c r="AA95" s="31"/>
      <c r="AB95" s="32"/>
      <c r="AC95" s="32"/>
      <c r="AD95" s="32"/>
      <c r="AE95" s="32"/>
      <c r="AF95" s="31"/>
      <c r="AG95" s="31"/>
      <c r="AH95" s="31"/>
      <c r="AI95" s="31"/>
      <c r="AJ95" s="31"/>
      <c r="AK95" s="31"/>
      <c r="AL95" s="31"/>
      <c r="AM95" s="32"/>
    </row>
    <row r="96" spans="1:39" ht="76.5">
      <c r="A96" s="10">
        <f>DATA!A84</f>
        <v>66</v>
      </c>
      <c r="B96" s="10">
        <f>DATA!B84</f>
        <v>0</v>
      </c>
      <c r="C96" s="10" t="str">
        <f>DATA!D84</f>
        <v>INFRASTRUKTUR</v>
      </c>
      <c r="D96" s="10">
        <f>DATA!E84</f>
        <v>1</v>
      </c>
      <c r="E96" s="10" t="str">
        <f>DATA!F84</f>
        <v>Kementerian Pekerjaan Umum dan Perumahan Rakyat</v>
      </c>
      <c r="F96" s="10" t="str">
        <f>DATA!H84</f>
        <v>Dam Development Program</v>
      </c>
      <c r="G96" s="10" t="str">
        <f>DATA!I84</f>
        <v>J</v>
      </c>
      <c r="H96" s="10" t="str">
        <f>DATA!J84</f>
        <v xml:space="preserve">Program Pembangunan Waduk </v>
      </c>
      <c r="I96" s="10">
        <f>DATA!K84</f>
        <v>1</v>
      </c>
      <c r="J96" s="33"/>
      <c r="K96" s="34"/>
      <c r="L96" s="35"/>
      <c r="M96" s="36">
        <f>DATA!K84</f>
        <v>1</v>
      </c>
      <c r="N96" s="37" t="str">
        <f>DATA!L84</f>
        <v>Jambo Aye Multipurpose Dam Project</v>
      </c>
      <c r="O96" s="20">
        <f>DATA!Q84</f>
        <v>1</v>
      </c>
      <c r="P96" s="20">
        <f>DATA!R84</f>
        <v>1</v>
      </c>
      <c r="Q96" s="20">
        <f>DATA!S84</f>
        <v>57</v>
      </c>
      <c r="R96" s="77">
        <f>DATA!T84</f>
        <v>662200000</v>
      </c>
      <c r="S96" s="77"/>
      <c r="T96" s="77">
        <f>DATA!V84</f>
        <v>460700000</v>
      </c>
      <c r="U96" s="77">
        <f>DATA!W84</f>
        <v>0</v>
      </c>
      <c r="V96" s="77">
        <f>DATA!X84</f>
        <v>1122900000</v>
      </c>
      <c r="W96" s="78" t="str">
        <f>DATA!Y84</f>
        <v>Rupiah Murni</v>
      </c>
      <c r="X96" s="20" t="str">
        <f>DATA!Z84</f>
        <v>Pendanaan Dengan Rupiah Murni</v>
      </c>
      <c r="Y96" s="77">
        <f>DATA!AA84</f>
        <v>662200000</v>
      </c>
      <c r="Z96" s="77">
        <f>DATA!AG84</f>
        <v>0</v>
      </c>
      <c r="AA96" s="20">
        <f>DATA!AH84</f>
        <v>2018</v>
      </c>
      <c r="AB96" s="37" t="str">
        <f>DATA!AI84</f>
        <v>-</v>
      </c>
      <c r="AC96" s="37" t="str">
        <f>DATA!AJ84</f>
        <v xml:space="preserve">AMDAL siap dan penyiapan Review DED </v>
      </c>
      <c r="AD96" s="37" t="str">
        <f>DATA!AK84</f>
        <v>LARAP</v>
      </c>
      <c r="AE96" s="37" t="str">
        <f>DATA!AL84</f>
        <v>-</v>
      </c>
      <c r="AF96" s="20" t="str">
        <f>DATA!AR84</f>
        <v>belum ada dokumen R/C</v>
      </c>
      <c r="AG96" s="20" t="str">
        <f>DATA!AN84</f>
        <v>belum ada keterangan</v>
      </c>
      <c r="AH96" s="20" t="str">
        <f>DATA!AO84</f>
        <v>dalam proses
(perencanaan)</v>
      </c>
      <c r="AI96" s="20" t="str">
        <f>DATA!AP84</f>
        <v>belum ada proses tender/lelang</v>
      </c>
      <c r="AJ96" s="20" t="str">
        <f>DATA!AY84</f>
        <v>- Konfirmasi melalui surat Sekjen nomor KU.01.12-Sj/636 tgl 23 Oktober 2015
- Kegiatan akan dilaksanakan oleh pendanaan rupiah murni APBN</v>
      </c>
      <c r="AK96" s="20" t="e">
        <f>DATA!#REF!</f>
        <v>#REF!</v>
      </c>
      <c r="AL96" s="20">
        <f>DATA!AZ84</f>
        <v>0</v>
      </c>
      <c r="AM96" s="37" t="str">
        <f>DATA!BA84</f>
        <v>Meningkatkan luas areal irigasi sebesar ± 10.000 Ha dengan perbaikan akses jalan, relokasi penduduk, pembebasan lahan, pekerajaan pengelakan sungai jambo aye dan reubek, pembangunan bendungan dan pendukung lainnya, pembangunan fasilitas PLTA 106 MW</v>
      </c>
    </row>
    <row r="97" spans="1:39" s="8" customFormat="1" ht="84" customHeight="1">
      <c r="A97" s="10">
        <f>DATA!A85</f>
        <v>67</v>
      </c>
      <c r="B97" s="10">
        <f>DATA!B85</f>
        <v>0</v>
      </c>
      <c r="C97" s="10" t="str">
        <f>DATA!D85</f>
        <v>INFRASTRUKTUR</v>
      </c>
      <c r="D97" s="10">
        <f>DATA!E85</f>
        <v>1</v>
      </c>
      <c r="E97" s="10" t="str">
        <f>DATA!F85</f>
        <v>Kementerian Pekerjaan Umum dan Perumahan Rakyat</v>
      </c>
      <c r="F97" s="10" t="str">
        <f>DATA!H85</f>
        <v>Dam Development Program</v>
      </c>
      <c r="G97" s="10" t="str">
        <f>DATA!I85</f>
        <v>J</v>
      </c>
      <c r="H97" s="10" t="str">
        <f>DATA!J85</f>
        <v xml:space="preserve">Program Pembangunan Waduk </v>
      </c>
      <c r="I97" s="10">
        <f>DATA!K85</f>
        <v>2</v>
      </c>
      <c r="J97" s="57"/>
      <c r="K97" s="58"/>
      <c r="L97" s="58"/>
      <c r="M97" s="60">
        <f>DATA!K85</f>
        <v>2</v>
      </c>
      <c r="N97" s="61" t="str">
        <f>DATA!L85</f>
        <v>Komering Multipurpose Dam Project - Phase II</v>
      </c>
      <c r="O97" s="20">
        <f>DATA!Q85</f>
        <v>1</v>
      </c>
      <c r="P97" s="20">
        <f>DATA!R85</f>
        <v>1</v>
      </c>
      <c r="Q97" s="20">
        <f>DATA!S85</f>
        <v>58</v>
      </c>
      <c r="R97" s="89">
        <f>DATA!T85</f>
        <v>200000000</v>
      </c>
      <c r="S97" s="89"/>
      <c r="T97" s="89">
        <f>DATA!V85</f>
        <v>20000000</v>
      </c>
      <c r="U97" s="77">
        <f>DATA!W85</f>
        <v>0</v>
      </c>
      <c r="V97" s="89">
        <f>DATA!X85</f>
        <v>220000000</v>
      </c>
      <c r="W97" s="90" t="str">
        <f>DATA!Y85</f>
        <v>Rupiah Murni</v>
      </c>
      <c r="X97" s="20" t="str">
        <f>DATA!Z85</f>
        <v>Pendanaan Dengan Rupiah Murni</v>
      </c>
      <c r="Y97" s="89">
        <f>DATA!AA85</f>
        <v>200000000</v>
      </c>
      <c r="Z97" s="89">
        <f>DATA!AG85</f>
        <v>0</v>
      </c>
      <c r="AA97" s="103">
        <f>DATA!AH85</f>
        <v>2016</v>
      </c>
      <c r="AB97" s="61" t="str">
        <f>DATA!AI85</f>
        <v>-</v>
      </c>
      <c r="AC97" s="61" t="str">
        <f>DATA!AJ85</f>
        <v>FS, DED, AMDAL</v>
      </c>
      <c r="AD97" s="61" t="str">
        <f>DATA!AK85</f>
        <v>Revisi RTRW Kabupaten, LARAP</v>
      </c>
      <c r="AE97" s="61" t="str">
        <f>DATA!AL85</f>
        <v>-</v>
      </c>
      <c r="AF97" s="20" t="str">
        <f>DATA!AR85</f>
        <v>belum ada dokumen R/C</v>
      </c>
      <c r="AG97" s="20" t="str">
        <f>DATA!AN85</f>
        <v>dalam proses
(penyusunan FS)</v>
      </c>
      <c r="AH97" s="20" t="str">
        <f>DATA!AO85</f>
        <v>dalam proses
(perencanaan)</v>
      </c>
      <c r="AI97" s="20" t="str">
        <f>DATA!AP85</f>
        <v>belum ada proses tender/lelang</v>
      </c>
      <c r="AJ97" s="20" t="str">
        <f>DATA!AY85</f>
        <v>- Konfirmasi melalui surat Sekjen nomor KU.01.12-Sj/636 tgl 23 Oktober 2015
- Kegiatan akan dilaksanakan oleh pendanaan rupiah murni APBN</v>
      </c>
      <c r="AK97" s="20" t="e">
        <f>DATA!#REF!</f>
        <v>#REF!</v>
      </c>
      <c r="AL97" s="20">
        <f>DATA!AZ85</f>
        <v>0</v>
      </c>
      <c r="AM97" s="37" t="str">
        <f>DATA!BA85</f>
        <v>Pembangunan bendungan komering 110 juta cm3, pembangunan fasilitas tenaga hidrolik, komponen lunak untuk memperkuat O&amp;P, Hydropower 20,80 MW, pembangunan sistem irigasi utama dan tersier skema Lempuing untuk 8.500 Ha, dan perbaikan fasilitas irigasi yang ada</v>
      </c>
    </row>
    <row r="98" spans="1:39" ht="102">
      <c r="A98" s="10">
        <f>DATA!A86</f>
        <v>68</v>
      </c>
      <c r="B98" s="10">
        <f>DATA!B86</f>
        <v>0</v>
      </c>
      <c r="C98" s="10" t="str">
        <f>DATA!D86</f>
        <v>INFRASTRUKTUR</v>
      </c>
      <c r="D98" s="10">
        <f>DATA!E86</f>
        <v>1</v>
      </c>
      <c r="E98" s="10" t="str">
        <f>DATA!F86</f>
        <v>Kementerian Pekerjaan Umum dan Perumahan Rakyat</v>
      </c>
      <c r="F98" s="10" t="str">
        <f>DATA!H86</f>
        <v>Dam Development Program</v>
      </c>
      <c r="G98" s="10" t="str">
        <f>DATA!I86</f>
        <v>J</v>
      </c>
      <c r="H98" s="10" t="str">
        <f>DATA!J86</f>
        <v xml:space="preserve">Program Pembangunan Waduk </v>
      </c>
      <c r="I98" s="10">
        <f>DATA!K86</f>
        <v>3</v>
      </c>
      <c r="J98" s="33"/>
      <c r="K98" s="34"/>
      <c r="L98" s="34"/>
      <c r="M98" s="36">
        <f>DATA!K86</f>
        <v>3</v>
      </c>
      <c r="N98" s="37" t="str">
        <f>DATA!L86</f>
        <v>Pelosika Multipurpose Dam Construction Project</v>
      </c>
      <c r="O98" s="20">
        <f>DATA!Q86</f>
        <v>1</v>
      </c>
      <c r="P98" s="20">
        <f>DATA!R86</f>
        <v>1</v>
      </c>
      <c r="Q98" s="20">
        <f>DATA!S86</f>
        <v>59</v>
      </c>
      <c r="R98" s="77">
        <f>DATA!T86</f>
        <v>200000000</v>
      </c>
      <c r="S98" s="77"/>
      <c r="T98" s="77">
        <f>DATA!V86</f>
        <v>170000000</v>
      </c>
      <c r="U98" s="77">
        <f>DATA!W86</f>
        <v>0</v>
      </c>
      <c r="V98" s="77">
        <f>DATA!X86</f>
        <v>370000000</v>
      </c>
      <c r="W98" s="78" t="str">
        <f>DATA!Y86</f>
        <v>Rupiah Murni</v>
      </c>
      <c r="X98" s="20" t="str">
        <f>DATA!Z86</f>
        <v>Pendanaan Dengan Rupiah Murni</v>
      </c>
      <c r="Y98" s="77">
        <f>DATA!AA86</f>
        <v>200000000</v>
      </c>
      <c r="Z98" s="77">
        <f>DATA!AG86</f>
        <v>0</v>
      </c>
      <c r="AA98" s="20">
        <f>DATA!AH86</f>
        <v>2017</v>
      </c>
      <c r="AB98" s="37" t="str">
        <f>DATA!AI86</f>
        <v>-</v>
      </c>
      <c r="AC98" s="37" t="str">
        <f>DATA!AJ86</f>
        <v>AMDAL, geologi detail 2015 dan Penyiapan Review DED</v>
      </c>
      <c r="AD98" s="37" t="str">
        <f>DATA!AK86</f>
        <v>LARAP</v>
      </c>
      <c r="AE98" s="37" t="str">
        <f>DATA!AL86</f>
        <v>-</v>
      </c>
      <c r="AF98" s="20" t="str">
        <f>DATA!AR86</f>
        <v>belum ada dokumen R/C</v>
      </c>
      <c r="AG98" s="20" t="str">
        <f>DATA!AN86</f>
        <v>dalam proses
(penyusunan FS)</v>
      </c>
      <c r="AH98" s="20" t="str">
        <f>DATA!AO86</f>
        <v>dalam proses
(perencanaan)</v>
      </c>
      <c r="AI98" s="20" t="str">
        <f>DATA!AP86</f>
        <v>belum ada proses tender/lelang</v>
      </c>
      <c r="AJ98" s="20" t="str">
        <f>DATA!AY86</f>
        <v>- Konfirmasi melalui surat Sekjen nomor KU.01.12-Sj/636 tgl 23 Oktober 2015
- Kegiatan akan dilaksanakan oleh pendanaan rupiah murni APBN</v>
      </c>
      <c r="AK98" s="20" t="e">
        <f>DATA!#REF!</f>
        <v>#REF!</v>
      </c>
      <c r="AL98" s="20">
        <f>DATA!AZ86</f>
        <v>0</v>
      </c>
      <c r="AM98" s="37"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row>
    <row r="99" spans="1:39" ht="90.75" customHeight="1">
      <c r="A99" s="10">
        <f>DATA!A87</f>
        <v>69</v>
      </c>
      <c r="B99" s="10">
        <f>DATA!B87</f>
        <v>0</v>
      </c>
      <c r="C99" s="10" t="str">
        <f>DATA!D87</f>
        <v>INFRASTRUKTUR</v>
      </c>
      <c r="D99" s="10">
        <f>DATA!E87</f>
        <v>1</v>
      </c>
      <c r="E99" s="10" t="str">
        <f>DATA!F87</f>
        <v>Kementerian Pekerjaan Umum dan Perumahan Rakyat</v>
      </c>
      <c r="F99" s="10" t="str">
        <f>DATA!H87</f>
        <v>Dam Development Program</v>
      </c>
      <c r="G99" s="10" t="str">
        <f>DATA!I87</f>
        <v>J</v>
      </c>
      <c r="H99" s="10" t="str">
        <f>DATA!J87</f>
        <v xml:space="preserve">Program Pembangunan Waduk </v>
      </c>
      <c r="I99" s="10">
        <f>DATA!K87</f>
        <v>4</v>
      </c>
      <c r="J99" s="33"/>
      <c r="K99" s="34"/>
      <c r="L99" s="34"/>
      <c r="M99" s="36">
        <f>DATA!K87</f>
        <v>4</v>
      </c>
      <c r="N99" s="37" t="str">
        <f>DATA!L87</f>
        <v>Lambakan  Dam Project</v>
      </c>
      <c r="O99" s="20">
        <f>DATA!Q87</f>
        <v>1</v>
      </c>
      <c r="P99" s="20">
        <f>DATA!R87</f>
        <v>1</v>
      </c>
      <c r="Q99" s="20">
        <f>DATA!S87</f>
        <v>60</v>
      </c>
      <c r="R99" s="77">
        <f>DATA!T87</f>
        <v>258000000</v>
      </c>
      <c r="S99" s="77"/>
      <c r="T99" s="77">
        <f>DATA!V87</f>
        <v>227000000</v>
      </c>
      <c r="U99" s="77">
        <f>DATA!W87</f>
        <v>0</v>
      </c>
      <c r="V99" s="77">
        <f>DATA!X87</f>
        <v>485000000</v>
      </c>
      <c r="W99" s="78" t="str">
        <f>DATA!Y87</f>
        <v>IDB</v>
      </c>
      <c r="X99" s="20" t="str">
        <f>DATA!Z87</f>
        <v>Multilateral</v>
      </c>
      <c r="Y99" s="77">
        <f>DATA!AA87</f>
        <v>258000000</v>
      </c>
      <c r="Z99" s="77">
        <f>DATA!AG87</f>
        <v>0</v>
      </c>
      <c r="AA99" s="20" t="str">
        <f>DATA!AH87</f>
        <v>Tanpa keterangan</v>
      </c>
      <c r="AB99" s="37" t="str">
        <f>DATA!AI87</f>
        <v>-</v>
      </c>
      <c r="AC99" s="37" t="str">
        <f>DATA!AJ87</f>
        <v>AMDAL (2017), geologi detail 2015 dan Penyiapan Review DED</v>
      </c>
      <c r="AD99" s="37" t="str">
        <f>DATA!AK87</f>
        <v>LARAP (2016)</v>
      </c>
      <c r="AE99" s="37" t="str">
        <f>DATA!AL87</f>
        <v>-</v>
      </c>
      <c r="AF99" s="20" t="str">
        <f>DATA!AR87</f>
        <v>belum ada dokumen R/C</v>
      </c>
      <c r="AG99" s="20" t="str">
        <f>DATA!AN87</f>
        <v>dalam proses
(penyusunan FS)</v>
      </c>
      <c r="AH99" s="20" t="str">
        <f>DATA!AO87</f>
        <v>dalam proses
(perencanaan)</v>
      </c>
      <c r="AI99" s="20" t="str">
        <f>DATA!AP87</f>
        <v>belum ada proses tender/lelang</v>
      </c>
      <c r="AJ99" s="20" t="str">
        <f>DATA!AY87</f>
        <v>Konfirmasi melalui surat Sekjen nomor KU.01.12-Sj/636 tgl 23 Oktober 2015</v>
      </c>
      <c r="AK99" s="20" t="e">
        <f>DATA!#REF!</f>
        <v>#REF!</v>
      </c>
      <c r="AL99" s="20">
        <f>DATA!AZ87</f>
        <v>0</v>
      </c>
      <c r="AM99" s="37" t="str">
        <f>DATA!BA87</f>
        <v>Pembangunan PLTA sebesar 15 MW, pembangunan sistem irigasi untuk mengairi 18.000 Ha, menyediakan air baku 12 m3/det untuk Kabupaten pasir, Kabupaten  Penajam Pasir Utara dan Kota Balikpapan, 4. Pembangunan tanggul penahan banjir di DAS Telake sampai 30%</v>
      </c>
    </row>
    <row r="100" spans="1:39" ht="60.75" customHeight="1">
      <c r="A100" s="10">
        <f>DATA!A88</f>
        <v>70</v>
      </c>
      <c r="B100" s="10">
        <f>DATA!B88</f>
        <v>0</v>
      </c>
      <c r="C100" s="10" t="str">
        <f>DATA!D88</f>
        <v>INFRASTRUKTUR</v>
      </c>
      <c r="D100" s="10">
        <f>DATA!E88</f>
        <v>1</v>
      </c>
      <c r="E100" s="10" t="str">
        <f>DATA!F88</f>
        <v>Kementerian Pekerjaan Umum dan Perumahan Rakyat</v>
      </c>
      <c r="F100" s="10" t="str">
        <f>DATA!H88</f>
        <v>Dam Development Program</v>
      </c>
      <c r="G100" s="10" t="str">
        <f>DATA!I88</f>
        <v>J</v>
      </c>
      <c r="H100" s="10" t="str">
        <f>DATA!J88</f>
        <v xml:space="preserve">Program Pembangunan Waduk </v>
      </c>
      <c r="I100" s="10">
        <f>DATA!K88</f>
        <v>5</v>
      </c>
      <c r="J100" s="33"/>
      <c r="K100" s="34"/>
      <c r="L100" s="34"/>
      <c r="M100" s="36">
        <f>DATA!K88</f>
        <v>5</v>
      </c>
      <c r="N100" s="37" t="str">
        <f>DATA!L88</f>
        <v>Jenelata Dam Construction Project</v>
      </c>
      <c r="O100" s="20">
        <f>DATA!Q88</f>
        <v>1</v>
      </c>
      <c r="P100" s="20">
        <f>DATA!R88</f>
        <v>1</v>
      </c>
      <c r="Q100" s="20">
        <f>DATA!S88</f>
        <v>61</v>
      </c>
      <c r="R100" s="77">
        <f>DATA!T88</f>
        <v>200000000</v>
      </c>
      <c r="S100" s="77"/>
      <c r="T100" s="77">
        <f>DATA!V88</f>
        <v>20000000</v>
      </c>
      <c r="U100" s="77">
        <f>DATA!W88</f>
        <v>0</v>
      </c>
      <c r="V100" s="77">
        <f>DATA!X88</f>
        <v>220000000</v>
      </c>
      <c r="W100" s="78" t="str">
        <f>DATA!Y88</f>
        <v>RRT</v>
      </c>
      <c r="X100" s="20" t="str">
        <f>DATA!Z88</f>
        <v>Bilateral</v>
      </c>
      <c r="Y100" s="77">
        <f>DATA!AA88</f>
        <v>200000000</v>
      </c>
      <c r="Z100" s="77">
        <f>DATA!AG88</f>
        <v>0</v>
      </c>
      <c r="AA100" s="20">
        <f>DATA!AH88</f>
        <v>2018</v>
      </c>
      <c r="AB100" s="37" t="str">
        <f>DATA!AI88</f>
        <v>-</v>
      </c>
      <c r="AC100" s="37" t="str">
        <f>DATA!AJ88</f>
        <v>model test, penyelidikan geologi 2015, AMDAL (2015)</v>
      </c>
      <c r="AD100" s="37" t="str">
        <f>DATA!AK88</f>
        <v>LARAP (2016)</v>
      </c>
      <c r="AE100" s="37" t="str">
        <f>DATA!AL88</f>
        <v>-</v>
      </c>
      <c r="AF100" s="20" t="str">
        <f>DATA!AR88</f>
        <v>belum ada dokumen R/C</v>
      </c>
      <c r="AG100" s="20" t="str">
        <f>DATA!AN88</f>
        <v>siap</v>
      </c>
      <c r="AH100" s="20" t="str">
        <f>DATA!AO88</f>
        <v>dalam proses
(perencanaan)</v>
      </c>
      <c r="AI100" s="20" t="str">
        <f>DATA!AP88</f>
        <v>belum ada proses tender/lelang</v>
      </c>
      <c r="AJ100" s="20" t="str">
        <f>DATA!AY88</f>
        <v>Konfirmasi melalui surat Sekjen nomor KU.01.12-Sj/636 tgl 23 Oktober 2015</v>
      </c>
      <c r="AK100" s="20" t="e">
        <f>DATA!#REF!</f>
        <v>#REF!</v>
      </c>
      <c r="AL100" s="20">
        <f>DATA!AZ88</f>
        <v>0</v>
      </c>
      <c r="AM100" s="37" t="str">
        <f>DATA!BA88</f>
        <v>Membangun bendungan 223 juta m3, melakukan rehabilitasi jalan, membangun fasilitas PLTA ± 10,9 MW untuk kebutuhan energi listrik Kab.Gowa, perbaikan dan peningkatan jaringan irigasi 24.400 ha</v>
      </c>
    </row>
    <row r="101" spans="1:39" ht="48" customHeight="1">
      <c r="A101" s="10">
        <f>DATA!A89</f>
        <v>71</v>
      </c>
      <c r="B101" s="10">
        <f>DATA!B89</f>
        <v>0</v>
      </c>
      <c r="C101" s="10" t="str">
        <f>DATA!D89</f>
        <v>INFRASTRUKTUR</v>
      </c>
      <c r="D101" s="10">
        <f>DATA!E89</f>
        <v>1</v>
      </c>
      <c r="E101" s="10" t="str">
        <f>DATA!F89</f>
        <v>Kementerian Pekerjaan Umum dan Perumahan Rakyat</v>
      </c>
      <c r="F101" s="10" t="str">
        <f>DATA!H89</f>
        <v>Dam Development Program</v>
      </c>
      <c r="G101" s="10" t="str">
        <f>DATA!I89</f>
        <v>J</v>
      </c>
      <c r="H101" s="10" t="str">
        <f>DATA!J89</f>
        <v xml:space="preserve">Program Pembangunan Waduk </v>
      </c>
      <c r="I101" s="10">
        <f>DATA!K89</f>
        <v>6</v>
      </c>
      <c r="J101" s="33"/>
      <c r="K101" s="34"/>
      <c r="L101" s="34"/>
      <c r="M101" s="36">
        <f>DATA!K89</f>
        <v>6</v>
      </c>
      <c r="N101" s="37" t="str">
        <f>DATA!L89</f>
        <v>Bonehulu Dam Construction Project</v>
      </c>
      <c r="O101" s="20">
        <f>DATA!Q89</f>
        <v>1</v>
      </c>
      <c r="P101" s="20">
        <f>DATA!R89</f>
        <v>1</v>
      </c>
      <c r="Q101" s="20">
        <f>DATA!S89</f>
        <v>62</v>
      </c>
      <c r="R101" s="77">
        <f>DATA!T89</f>
        <v>128250000</v>
      </c>
      <c r="S101" s="77"/>
      <c r="T101" s="77">
        <f>DATA!V89</f>
        <v>21000000</v>
      </c>
      <c r="U101" s="77">
        <f>DATA!W89</f>
        <v>0</v>
      </c>
      <c r="V101" s="77">
        <f>DATA!X89</f>
        <v>149250000</v>
      </c>
      <c r="W101" s="78" t="str">
        <f>DATA!Y89</f>
        <v>RRT</v>
      </c>
      <c r="X101" s="20" t="str">
        <f>DATA!Z89</f>
        <v>Bilateral</v>
      </c>
      <c r="Y101" s="77">
        <f>DATA!AA89</f>
        <v>128250000</v>
      </c>
      <c r="Z101" s="77">
        <f>DATA!AG89</f>
        <v>0</v>
      </c>
      <c r="AA101" s="20">
        <f>DATA!AH89</f>
        <v>2019</v>
      </c>
      <c r="AB101" s="37" t="str">
        <f>DATA!AI89</f>
        <v>-</v>
      </c>
      <c r="AC101" s="37" t="str">
        <f>DATA!AJ89</f>
        <v>DD, model test, penyelidikan geologi 2015, AMDAL (2017)</v>
      </c>
      <c r="AD101" s="37" t="str">
        <f>DATA!AK89</f>
        <v>LARAP (2015)</v>
      </c>
      <c r="AE101" s="37" t="str">
        <f>DATA!AL89</f>
        <v>-</v>
      </c>
      <c r="AF101" s="20" t="str">
        <f>DATA!AR89</f>
        <v>belum ada dokumen R/C</v>
      </c>
      <c r="AG101" s="20" t="str">
        <f>DATA!AN89</f>
        <v>dalam proses
(penyusunan FS)</v>
      </c>
      <c r="AH101" s="20" t="str">
        <f>DATA!AO89</f>
        <v>dalam proses
(perencanaan)</v>
      </c>
      <c r="AI101" s="20" t="str">
        <f>DATA!AP89</f>
        <v>belum ada proses tender/lelang</v>
      </c>
      <c r="AJ101" s="20" t="str">
        <f>DATA!AY89</f>
        <v>Konfirmasi melalui surat Sekjen nomor KU.01.12-Sj/636 tgl 23 Oktober 2015</v>
      </c>
      <c r="AK101" s="20" t="e">
        <f>DATA!#REF!</f>
        <v>#REF!</v>
      </c>
      <c r="AL101" s="20">
        <f>DATA!AZ89</f>
        <v>0</v>
      </c>
      <c r="AM101" s="37" t="str">
        <f>DATA!BA89</f>
        <v>Pembangunan PLTA sebesar 9,99 MW, Pembangunan sistem irigasi mengairi 6.800 Ha</v>
      </c>
    </row>
    <row r="102" spans="1:39" ht="59.25" customHeight="1">
      <c r="A102" s="10">
        <f>DATA!A90</f>
        <v>72</v>
      </c>
      <c r="B102" s="10">
        <f>DATA!B90</f>
        <v>0</v>
      </c>
      <c r="C102" s="10" t="str">
        <f>DATA!D90</f>
        <v>INFRASTRUKTUR</v>
      </c>
      <c r="D102" s="10">
        <f>DATA!E90</f>
        <v>1</v>
      </c>
      <c r="E102" s="10" t="str">
        <f>DATA!F90</f>
        <v>Kementerian Pekerjaan Umum dan Perumahan Rakyat</v>
      </c>
      <c r="F102" s="10" t="str">
        <f>DATA!H90</f>
        <v>Dam Development Program</v>
      </c>
      <c r="G102" s="10" t="str">
        <f>DATA!I90</f>
        <v>J</v>
      </c>
      <c r="H102" s="10" t="str">
        <f>DATA!J90</f>
        <v xml:space="preserve">Program Pembangunan Waduk </v>
      </c>
      <c r="I102" s="10">
        <f>DATA!K90</f>
        <v>7</v>
      </c>
      <c r="J102" s="33"/>
      <c r="K102" s="34"/>
      <c r="L102" s="34"/>
      <c r="M102" s="36">
        <f>DATA!K90</f>
        <v>7</v>
      </c>
      <c r="N102" s="37" t="str">
        <f>DATA!L90</f>
        <v>Ladongi Dam Construction Project</v>
      </c>
      <c r="O102" s="20">
        <f>DATA!Q90</f>
        <v>1</v>
      </c>
      <c r="P102" s="20">
        <f>DATA!R90</f>
        <v>1</v>
      </c>
      <c r="Q102" s="20">
        <f>DATA!S90</f>
        <v>63</v>
      </c>
      <c r="R102" s="77">
        <f>DATA!T90</f>
        <v>70000000</v>
      </c>
      <c r="S102" s="77"/>
      <c r="T102" s="77">
        <f>DATA!V90</f>
        <v>7000000</v>
      </c>
      <c r="U102" s="77">
        <f>DATA!W90</f>
        <v>0</v>
      </c>
      <c r="V102" s="77">
        <f>DATA!X90</f>
        <v>77000000</v>
      </c>
      <c r="W102" s="78" t="str">
        <f>DATA!Y90</f>
        <v>RRT</v>
      </c>
      <c r="X102" s="20" t="str">
        <f>DATA!Z90</f>
        <v>Bilateral</v>
      </c>
      <c r="Y102" s="77">
        <f>DATA!AA90</f>
        <v>70000000</v>
      </c>
      <c r="Z102" s="77">
        <f>DATA!AG90</f>
        <v>0</v>
      </c>
      <c r="AA102" s="20">
        <f>DATA!AH90</f>
        <v>2017</v>
      </c>
      <c r="AB102" s="37" t="str">
        <f>DATA!AI90</f>
        <v>-</v>
      </c>
      <c r="AC102" s="37" t="str">
        <f>DATA!AJ90</f>
        <v>SID, AMDAL (2015), penyelidikan geologi, DD, model test 2015</v>
      </c>
      <c r="AD102" s="37" t="str">
        <f>DATA!AK90</f>
        <v>LARAP (2015)</v>
      </c>
      <c r="AE102" s="37" t="str">
        <f>DATA!AL90</f>
        <v>-</v>
      </c>
      <c r="AF102" s="20" t="str">
        <f>DATA!AR90</f>
        <v>belum ada dokumen R/C</v>
      </c>
      <c r="AG102" s="20" t="str">
        <f>DATA!AN90</f>
        <v>siap</v>
      </c>
      <c r="AH102" s="20" t="str">
        <f>DATA!AO90</f>
        <v>dalam proses
(perencanaan)</v>
      </c>
      <c r="AI102" s="20" t="str">
        <f>DATA!AP90</f>
        <v>belum ada proses tender/lelang</v>
      </c>
      <c r="AJ102" s="20" t="str">
        <f>DATA!AY90</f>
        <v>Konfirmasi melalui surat Sekjen nomor KU.01.12-Sj/636 tgl 23 Oktober 2015</v>
      </c>
      <c r="AK102" s="20" t="e">
        <f>DATA!#REF!</f>
        <v>#REF!</v>
      </c>
      <c r="AL102" s="20">
        <f>DATA!AZ90</f>
        <v>0</v>
      </c>
      <c r="AM102" s="37" t="str">
        <f>DATA!BA90</f>
        <v>Membangun bendungan 25,57 juta m3  dan fasilitas pendukungnya, Melakukan rehabilitasi jalan akses, Membangun PLTA 1,15 MW untuk  Kab.Kolaka Timur dan Perbaikan jaringan irigasi</v>
      </c>
    </row>
    <row r="103" spans="1:39" s="8" customFormat="1" ht="80.25" customHeight="1">
      <c r="A103" s="10">
        <f>DATA!A91</f>
        <v>73</v>
      </c>
      <c r="B103" s="10">
        <f>DATA!B91</f>
        <v>0</v>
      </c>
      <c r="C103" s="10" t="str">
        <f>DATA!D91</f>
        <v>INFRASTRUKTUR</v>
      </c>
      <c r="D103" s="10">
        <f>DATA!E91</f>
        <v>1</v>
      </c>
      <c r="E103" s="10" t="str">
        <f>DATA!F91</f>
        <v>Kementerian Pekerjaan Umum dan Perumahan Rakyat</v>
      </c>
      <c r="F103" s="10" t="str">
        <f>DATA!H91</f>
        <v>Dam Development Program</v>
      </c>
      <c r="G103" s="10" t="str">
        <f>DATA!I91</f>
        <v>J</v>
      </c>
      <c r="H103" s="10" t="str">
        <f>DATA!J91</f>
        <v xml:space="preserve">Program Pembangunan Waduk </v>
      </c>
      <c r="I103" s="10">
        <f>DATA!K91</f>
        <v>8</v>
      </c>
      <c r="J103" s="57"/>
      <c r="K103" s="58"/>
      <c r="L103" s="58"/>
      <c r="M103" s="60">
        <f>DATA!K91</f>
        <v>8</v>
      </c>
      <c r="N103" s="61" t="str">
        <f>DATA!L91</f>
        <v>Kuwil Kawangkoan Dam Construction Project</v>
      </c>
      <c r="O103" s="20">
        <f>DATA!Q91</f>
        <v>1</v>
      </c>
      <c r="P103" s="20">
        <f>DATA!R91</f>
        <v>1</v>
      </c>
      <c r="Q103" s="20">
        <f>DATA!S91</f>
        <v>64</v>
      </c>
      <c r="R103" s="89">
        <f>DATA!T91</f>
        <v>110000000</v>
      </c>
      <c r="S103" s="89"/>
      <c r="T103" s="89">
        <f>DATA!V91</f>
        <v>11000000</v>
      </c>
      <c r="U103" s="77">
        <f>DATA!W91</f>
        <v>0</v>
      </c>
      <c r="V103" s="89">
        <f>DATA!X91</f>
        <v>121000000</v>
      </c>
      <c r="W103" s="90" t="str">
        <f>DATA!Y91</f>
        <v>Rupiah Murni</v>
      </c>
      <c r="X103" s="20" t="str">
        <f>DATA!Z91</f>
        <v>Pendanaan Dengan Rupiah Murni</v>
      </c>
      <c r="Y103" s="89">
        <f>DATA!AA91</f>
        <v>110000000</v>
      </c>
      <c r="Z103" s="89">
        <f>DATA!AG91</f>
        <v>0</v>
      </c>
      <c r="AA103" s="103">
        <f>DATA!AH91</f>
        <v>2016</v>
      </c>
      <c r="AB103" s="61" t="str">
        <f>DATA!AI91</f>
        <v>-</v>
      </c>
      <c r="AC103" s="61" t="str">
        <f>DATA!AJ91</f>
        <v>Sertifikasi desain, penyelidikan geologi, AMDAL</v>
      </c>
      <c r="AD103" s="61" t="str">
        <f>DATA!AK91</f>
        <v>LARAP</v>
      </c>
      <c r="AE103" s="61" t="str">
        <f>DATA!AL91</f>
        <v>Dalam proses tender</v>
      </c>
      <c r="AF103" s="20" t="str">
        <f>DATA!AR91</f>
        <v>belum ada dokumen R/C</v>
      </c>
      <c r="AG103" s="20" t="str">
        <f>DATA!AN91</f>
        <v>dalam proses
(penyusunan FS)</v>
      </c>
      <c r="AH103" s="20" t="str">
        <f>DATA!AO91</f>
        <v>dalam proses
(perencanaan)</v>
      </c>
      <c r="AI103" s="20" t="str">
        <f>DATA!AP91</f>
        <v>belum ada proses tender/lelang</v>
      </c>
      <c r="AJ103" s="20" t="str">
        <f>DATA!AY91</f>
        <v>- Konfirmasi melalui surat Sekjen nomor KU.01.12-Sj/636 tgl 23 Oktober 2015
- Kegiatan akan dilaksanakan oleh pendanaan rupiah murni APBN</v>
      </c>
      <c r="AK103" s="20" t="e">
        <f>DATA!#REF!</f>
        <v>#REF!</v>
      </c>
      <c r="AL103" s="20">
        <f>DATA!AZ91</f>
        <v>0</v>
      </c>
      <c r="AM103" s="37" t="str">
        <f>DATA!BA91</f>
        <v>Melakukan konservasi sumber daya air, pelestarian lingkungan, dan pengendalian banjir, Membangun bendungan dan fasilitas pendukungnya, Melakukan rehabilitasi jalan akses , Membangun fasilitas PLTA ± 1.3 MW untuk provinsi Sulawesi Utara</v>
      </c>
    </row>
    <row r="104" spans="1:39" ht="74.25" customHeight="1">
      <c r="A104" s="10">
        <f>DATA!A92</f>
        <v>74</v>
      </c>
      <c r="B104" s="10">
        <f>DATA!B92</f>
        <v>0</v>
      </c>
      <c r="C104" s="10" t="str">
        <f>DATA!D92</f>
        <v>INFRASTRUKTUR</v>
      </c>
      <c r="D104" s="10">
        <f>DATA!E92</f>
        <v>1</v>
      </c>
      <c r="E104" s="10" t="str">
        <f>DATA!F92</f>
        <v>Kementerian Pekerjaan Umum dan Perumahan Rakyat</v>
      </c>
      <c r="F104" s="10" t="str">
        <f>DATA!H92</f>
        <v>Dam Development Program</v>
      </c>
      <c r="G104" s="10" t="str">
        <f>DATA!I92</f>
        <v>J</v>
      </c>
      <c r="H104" s="10" t="str">
        <f>DATA!J92</f>
        <v xml:space="preserve">Program Pembangunan Waduk </v>
      </c>
      <c r="I104" s="10">
        <f>DATA!K92</f>
        <v>9</v>
      </c>
      <c r="J104" s="33"/>
      <c r="K104" s="34"/>
      <c r="L104" s="34"/>
      <c r="M104" s="36">
        <f>DATA!K92</f>
        <v>9</v>
      </c>
      <c r="N104" s="37" t="str">
        <f>DATA!L92</f>
        <v>Lompatan Harimau Dam Construction Project (Rokan Kiri Dam Construction Project)</v>
      </c>
      <c r="O104" s="20">
        <f>DATA!Q92</f>
        <v>1</v>
      </c>
      <c r="P104" s="20">
        <f>DATA!R92</f>
        <v>1</v>
      </c>
      <c r="Q104" s="20">
        <f>DATA!S92</f>
        <v>65</v>
      </c>
      <c r="R104" s="77">
        <f>DATA!T92</f>
        <v>152100000</v>
      </c>
      <c r="S104" s="77"/>
      <c r="T104" s="77">
        <f>DATA!V92</f>
        <v>26500000</v>
      </c>
      <c r="U104" s="77">
        <f>DATA!W92</f>
        <v>0</v>
      </c>
      <c r="V104" s="77">
        <f>DATA!X92</f>
        <v>178600000</v>
      </c>
      <c r="W104" s="78" t="str">
        <f>DATA!Y92</f>
        <v>RRT</v>
      </c>
      <c r="X104" s="20" t="str">
        <f>DATA!Z92</f>
        <v>Bilateral</v>
      </c>
      <c r="Y104" s="77">
        <f>DATA!AA92</f>
        <v>152100000</v>
      </c>
      <c r="Z104" s="77">
        <f>DATA!AG92</f>
        <v>0</v>
      </c>
      <c r="AA104" s="20">
        <f>DATA!AH92</f>
        <v>2018</v>
      </c>
      <c r="AB104" s="37" t="str">
        <f>DATA!AI92</f>
        <v>-</v>
      </c>
      <c r="AC104" s="37" t="str">
        <f>DATA!AJ92</f>
        <v>FS (2015), DED (2016), AMDAL (2016)</v>
      </c>
      <c r="AD104" s="37" t="str">
        <f>DATA!AK92</f>
        <v>LARAP (2015)</v>
      </c>
      <c r="AE104" s="37" t="str">
        <f>DATA!AL92</f>
        <v>-</v>
      </c>
      <c r="AF104" s="20" t="str">
        <f>DATA!AR92</f>
        <v>belum ada dokumen R/C</v>
      </c>
      <c r="AG104" s="20" t="str">
        <f>DATA!AN92</f>
        <v>dalam proses
(memiliki FS)</v>
      </c>
      <c r="AH104" s="20" t="str">
        <f>DATA!AO92</f>
        <v>dalam proses
(perencanaan)</v>
      </c>
      <c r="AI104" s="20" t="str">
        <f>DATA!AP92</f>
        <v>belum ada proses tender/lelang</v>
      </c>
      <c r="AJ104" s="20" t="str">
        <f>DATA!AY92</f>
        <v>- Konfirmasi melalui surat Sekjen nomor KU.01.12-Sj/636 tgl 23 Oktober 2015
- Nama kegiatan diusulkan untuk diubah menjadi Rokan Kiri Dam Construction Project</v>
      </c>
      <c r="AK104" s="20" t="e">
        <f>DATA!#REF!</f>
        <v>#REF!</v>
      </c>
      <c r="AL104" s="20">
        <f>DATA!AZ92</f>
        <v>0</v>
      </c>
      <c r="AM104" s="37" t="str">
        <f>DATA!BA92</f>
        <v>Membangun bendungan dan fasilitas pendukungnya untuk kebutuhan irigasi seluas 4000 Ha, Melakukan konservasi SDA, pelestarian lingkungan, dan pengendalian banjir dan Membangun fasilitas PLTA ± 74,40 MW untuk Kab.Rokan</v>
      </c>
    </row>
    <row r="105" spans="1:39" ht="106.5" customHeight="1">
      <c r="A105" s="10">
        <f>DATA!A93</f>
        <v>75</v>
      </c>
      <c r="B105" s="10">
        <f>DATA!B93</f>
        <v>0</v>
      </c>
      <c r="C105" s="10" t="str">
        <f>DATA!D93</f>
        <v>INFRASTRUKTUR</v>
      </c>
      <c r="D105" s="10">
        <f>DATA!E93</f>
        <v>1</v>
      </c>
      <c r="E105" s="10" t="str">
        <f>DATA!F93</f>
        <v>Kementerian Pekerjaan Umum dan Perumahan Rakyat</v>
      </c>
      <c r="F105" s="10" t="str">
        <f>DATA!H93</f>
        <v>Dam Development Program</v>
      </c>
      <c r="G105" s="10" t="str">
        <f>DATA!I93</f>
        <v>J</v>
      </c>
      <c r="H105" s="10" t="str">
        <f>DATA!J93</f>
        <v xml:space="preserve">Program Pembangunan Waduk </v>
      </c>
      <c r="I105" s="10">
        <f>DATA!K93</f>
        <v>10</v>
      </c>
      <c r="J105" s="33"/>
      <c r="K105" s="34"/>
      <c r="L105" s="34"/>
      <c r="M105" s="36">
        <f>DATA!K93</f>
        <v>10</v>
      </c>
      <c r="N105" s="37" t="str">
        <f>DATA!L93</f>
        <v>Engineering Service for Dam Multipurpose Development Project</v>
      </c>
      <c r="O105" s="20">
        <f>DATA!Q93</f>
        <v>0</v>
      </c>
      <c r="P105" s="20">
        <f>DATA!R93</f>
        <v>1</v>
      </c>
      <c r="Q105" s="20">
        <f>DATA!S93</f>
        <v>66</v>
      </c>
      <c r="R105" s="77">
        <f>DATA!T93</f>
        <v>100000000</v>
      </c>
      <c r="S105" s="77"/>
      <c r="T105" s="77">
        <f>DATA!V93</f>
        <v>0</v>
      </c>
      <c r="U105" s="77">
        <f>DATA!W93</f>
        <v>0</v>
      </c>
      <c r="V105" s="77">
        <f>DATA!X93</f>
        <v>100000000</v>
      </c>
      <c r="W105" s="77">
        <f>DATA!Y93</f>
        <v>0</v>
      </c>
      <c r="X105" s="77">
        <f>DATA!Z93</f>
        <v>0</v>
      </c>
      <c r="Y105" s="77">
        <f>DATA!AA93</f>
        <v>100000000</v>
      </c>
      <c r="Z105" s="77">
        <f>DATA!AG93</f>
        <v>-76391404</v>
      </c>
      <c r="AA105" s="77" t="str">
        <f>DATA!AH93</f>
        <v>-</v>
      </c>
      <c r="AB105" s="77">
        <f>DATA!AI93</f>
        <v>0</v>
      </c>
      <c r="AC105" s="77">
        <f>DATA!AJ93</f>
        <v>0</v>
      </c>
      <c r="AD105" s="77">
        <f>DATA!AK93</f>
        <v>0</v>
      </c>
      <c r="AE105" s="77">
        <f>DATA!AL93</f>
        <v>0</v>
      </c>
      <c r="AF105" s="77" t="str">
        <f>DATA!AM93</f>
        <v>-</v>
      </c>
      <c r="AG105" s="104" t="str">
        <f>DATA!AN93</f>
        <v>-</v>
      </c>
      <c r="AH105" s="104" t="str">
        <f>DATA!AO93</f>
        <v>-</v>
      </c>
      <c r="AI105" s="104">
        <f>DATA!AP93</f>
        <v>0</v>
      </c>
      <c r="AJ105" s="20" t="str">
        <f>DATA!AY93</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5" s="20" t="e">
        <f>DATA!#REF!</f>
        <v>#REF!</v>
      </c>
      <c r="AL105" s="20">
        <f>DATA!AZ93</f>
        <v>0</v>
      </c>
      <c r="AM105" s="37" t="str">
        <f>DATA!BA93</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6" spans="1:39" s="7" customFormat="1" ht="106.5" customHeight="1">
      <c r="A106" s="6"/>
      <c r="B106" s="6"/>
      <c r="C106" s="6"/>
      <c r="D106" s="6"/>
      <c r="E106" s="6"/>
      <c r="F106" s="6"/>
      <c r="G106" s="6"/>
      <c r="H106" s="6"/>
      <c r="I106" s="6"/>
      <c r="J106" s="44"/>
      <c r="K106" s="45"/>
      <c r="L106" s="45"/>
      <c r="M106" s="46"/>
      <c r="N106" s="68" t="str">
        <f>DATA!L94</f>
        <v>Engineering Service for Dam Multipurpose Development Project</v>
      </c>
      <c r="O106" s="42">
        <f>DATA!Q94</f>
        <v>0.33333333333333298</v>
      </c>
      <c r="P106" s="42">
        <f>DATA!R94</f>
        <v>0</v>
      </c>
      <c r="Q106" s="42">
        <f>DATA!S94</f>
        <v>66</v>
      </c>
      <c r="R106" s="85">
        <f>DATA!T94</f>
        <v>0</v>
      </c>
      <c r="S106" s="85"/>
      <c r="T106" s="85">
        <f>DATA!V94</f>
        <v>0</v>
      </c>
      <c r="U106" s="83">
        <f>DATA!W94</f>
        <v>0</v>
      </c>
      <c r="V106" s="85">
        <f>DATA!X94</f>
        <v>0</v>
      </c>
      <c r="W106" s="86" t="str">
        <f>DATA!Y94</f>
        <v>ADB</v>
      </c>
      <c r="X106" s="42" t="str">
        <f>DATA!Z94</f>
        <v>Multilateral</v>
      </c>
      <c r="Y106" s="85">
        <f>DATA!AA94</f>
        <v>1930000</v>
      </c>
      <c r="Z106" s="85">
        <f>DATA!AG94</f>
        <v>0</v>
      </c>
      <c r="AA106" s="98">
        <f>DATA!AH94</f>
        <v>2016</v>
      </c>
      <c r="AB106" s="68" t="str">
        <f>DATA!AI94</f>
        <v>- Sudah ada RC
- Green Book 2015</v>
      </c>
      <c r="AC106" s="68" t="str">
        <f>DATA!AJ94</f>
        <v>FS, DED</v>
      </c>
      <c r="AD106" s="68" t="str">
        <f>DATA!AK94</f>
        <v>Tidak membutuhkan lahan</v>
      </c>
      <c r="AE106" s="68" t="str">
        <f>DATA!AL94</f>
        <v>Belum ada tender/lelang</v>
      </c>
      <c r="AF106" s="42" t="str">
        <f>DATA!AM94</f>
        <v>2016; 2015</v>
      </c>
      <c r="AG106" s="42" t="str">
        <f>DATA!AN94</f>
        <v>siap</v>
      </c>
      <c r="AH106" s="42" t="str">
        <f>DATA!AO94</f>
        <v>tidak butuh lahan</v>
      </c>
      <c r="AI106" s="42" t="str">
        <f>DATA!AP94</f>
        <v>belum ada proses tender/lelang</v>
      </c>
      <c r="AJ106" s="42"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6" s="42" t="e">
        <f>DATA!#REF!</f>
        <v>#REF!</v>
      </c>
      <c r="AL106" s="42">
        <f>DATA!AZ94</f>
        <v>0</v>
      </c>
      <c r="AM106" s="67"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7" spans="1:39" s="7" customFormat="1" ht="106.5" customHeight="1">
      <c r="A107" s="6"/>
      <c r="B107" s="6"/>
      <c r="C107" s="6"/>
      <c r="D107" s="6"/>
      <c r="E107" s="6"/>
      <c r="F107" s="6"/>
      <c r="G107" s="6"/>
      <c r="H107" s="6"/>
      <c r="I107" s="6"/>
      <c r="J107" s="44"/>
      <c r="K107" s="45"/>
      <c r="L107" s="45"/>
      <c r="M107" s="46"/>
      <c r="N107" s="68" t="str">
        <f>DATA!L95</f>
        <v>Engineering Service for Dam Multipurpose Development Project</v>
      </c>
      <c r="O107" s="42">
        <f>DATA!Q95</f>
        <v>0.33333333333333298</v>
      </c>
      <c r="P107" s="42">
        <f>DATA!R95</f>
        <v>0</v>
      </c>
      <c r="Q107" s="42">
        <f>DATA!S95</f>
        <v>66</v>
      </c>
      <c r="R107" s="85">
        <f>DATA!T95</f>
        <v>0</v>
      </c>
      <c r="S107" s="85"/>
      <c r="T107" s="85">
        <f>DATA!V95</f>
        <v>0</v>
      </c>
      <c r="U107" s="83">
        <f>DATA!W95</f>
        <v>0</v>
      </c>
      <c r="V107" s="85">
        <f>DATA!X95</f>
        <v>0</v>
      </c>
      <c r="W107" s="86" t="str">
        <f>DATA!Y95</f>
        <v>Korea</v>
      </c>
      <c r="X107" s="42" t="str">
        <f>DATA!Z95</f>
        <v>Bilateral</v>
      </c>
      <c r="Y107" s="85">
        <f>DATA!AA95</f>
        <v>21678596</v>
      </c>
      <c r="Z107" s="85">
        <f>DATA!AG95</f>
        <v>0</v>
      </c>
      <c r="AA107" s="98">
        <f>DATA!AH95</f>
        <v>2016</v>
      </c>
      <c r="AB107" s="68" t="str">
        <f>DATA!AI95</f>
        <v>- Sudah ada RC
- Diusulkan GB 2016</v>
      </c>
      <c r="AC107" s="68" t="str">
        <f>DATA!AJ95</f>
        <v>FS, DED</v>
      </c>
      <c r="AD107" s="68" t="str">
        <f>DATA!AK95</f>
        <v>Tidak membutuhkan lahan</v>
      </c>
      <c r="AE107" s="68" t="str">
        <f>DATA!AL95</f>
        <v>Belum ada tender/lelang</v>
      </c>
      <c r="AF107" s="42">
        <f>DATA!AM95</f>
        <v>2016</v>
      </c>
      <c r="AG107" s="42" t="str">
        <f>DATA!AN95</f>
        <v>siap</v>
      </c>
      <c r="AH107" s="42" t="str">
        <f>DATA!AO95</f>
        <v>tidak butuh lahan</v>
      </c>
      <c r="AI107" s="42" t="str">
        <f>DATA!AP95</f>
        <v>belum ada proses tender/lelang</v>
      </c>
      <c r="AJ107" s="42"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7" s="42" t="e">
        <f>DATA!#REF!</f>
        <v>#REF!</v>
      </c>
      <c r="AL107" s="42">
        <f>DATA!AZ95</f>
        <v>0</v>
      </c>
      <c r="AM107" s="67"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8" spans="1:39" s="6" customFormat="1" ht="106.5" customHeight="1">
      <c r="J108" s="38"/>
      <c r="K108" s="39"/>
      <c r="L108" s="39"/>
      <c r="M108" s="72"/>
      <c r="N108" s="67" t="str">
        <f>DATA!L96</f>
        <v>Engineering Service for Dam Multipurpose Development Project</v>
      </c>
      <c r="O108" s="42">
        <f>DATA!Q96</f>
        <v>0.33333333333333298</v>
      </c>
      <c r="P108" s="42">
        <f>DATA!R96</f>
        <v>0</v>
      </c>
      <c r="Q108" s="42">
        <f>DATA!S96</f>
        <v>66</v>
      </c>
      <c r="R108" s="83">
        <f>DATA!T96</f>
        <v>0</v>
      </c>
      <c r="S108" s="83"/>
      <c r="T108" s="83">
        <f>DATA!V96</f>
        <v>0</v>
      </c>
      <c r="U108" s="83">
        <f>DATA!W96</f>
        <v>0</v>
      </c>
      <c r="V108" s="83">
        <f>DATA!X96</f>
        <v>0</v>
      </c>
      <c r="W108" s="84" t="str">
        <f>DATA!Y96</f>
        <v>Belum Ada Indikasi</v>
      </c>
      <c r="X108" s="42" t="str">
        <f>DATA!Z96</f>
        <v>Belum Ada Indikasi</v>
      </c>
      <c r="Y108" s="83">
        <f>DATA!AA96</f>
        <v>76391404</v>
      </c>
      <c r="Z108" s="83">
        <f>DATA!AG96</f>
        <v>-76391404</v>
      </c>
      <c r="AA108" s="42" t="str">
        <f>DATA!AH96</f>
        <v>Tanpa keterangan</v>
      </c>
      <c r="AB108" s="67" t="str">
        <f>DATA!AI96</f>
        <v>-</v>
      </c>
      <c r="AC108" s="67" t="str">
        <f>DATA!AJ96</f>
        <v>-</v>
      </c>
      <c r="AD108" s="67" t="str">
        <f>DATA!AK96</f>
        <v>-</v>
      </c>
      <c r="AE108" s="67" t="str">
        <f>DATA!AL96</f>
        <v>-</v>
      </c>
      <c r="AF108" s="42"/>
      <c r="AG108" s="42"/>
      <c r="AH108" s="42"/>
      <c r="AI108" s="42"/>
      <c r="AJ108" s="42"/>
      <c r="AK108" s="42"/>
      <c r="AL108" s="42"/>
      <c r="AM108" s="67"/>
    </row>
    <row r="109" spans="1:39" s="8" customFormat="1" ht="63.75">
      <c r="A109" s="10">
        <f>DATA!A97</f>
        <v>76</v>
      </c>
      <c r="B109" s="10">
        <f>DATA!B97</f>
        <v>0</v>
      </c>
      <c r="C109" s="10" t="str">
        <f>DATA!D97</f>
        <v>INFRASTRUKTUR</v>
      </c>
      <c r="D109" s="10">
        <f>DATA!E97</f>
        <v>1</v>
      </c>
      <c r="E109" s="10" t="str">
        <f>DATA!F97</f>
        <v>Kementerian Pekerjaan Umum dan Perumahan Rakyat</v>
      </c>
      <c r="F109" s="10" t="str">
        <f>DATA!H97</f>
        <v>Dam Development Program</v>
      </c>
      <c r="G109" s="10" t="str">
        <f>DATA!I97</f>
        <v>J</v>
      </c>
      <c r="H109" s="10" t="str">
        <f>DATA!J97</f>
        <v xml:space="preserve">Program Pembangunan Waduk </v>
      </c>
      <c r="I109" s="10">
        <f>DATA!K97</f>
        <v>11</v>
      </c>
      <c r="J109" s="57"/>
      <c r="K109" s="58"/>
      <c r="L109" s="111"/>
      <c r="M109" s="60">
        <f>DATA!K97</f>
        <v>11</v>
      </c>
      <c r="N109" s="61" t="str">
        <f>DATA!L97</f>
        <v>Additional Loan for Jatigede Dam Project 2</v>
      </c>
      <c r="O109" s="20">
        <f>DATA!Q97</f>
        <v>1</v>
      </c>
      <c r="P109" s="20">
        <f>DATA!R97</f>
        <v>1</v>
      </c>
      <c r="Q109" s="20">
        <f>DATA!S97</f>
        <v>67</v>
      </c>
      <c r="R109" s="89">
        <f>DATA!T97</f>
        <v>53200000</v>
      </c>
      <c r="S109" s="89"/>
      <c r="T109" s="89">
        <f>DATA!V97</f>
        <v>0</v>
      </c>
      <c r="U109" s="77">
        <f>DATA!W97</f>
        <v>0</v>
      </c>
      <c r="V109" s="89">
        <f>DATA!X97</f>
        <v>53200000</v>
      </c>
      <c r="W109" s="90" t="str">
        <f>DATA!Y97</f>
        <v>RRT</v>
      </c>
      <c r="X109" s="20" t="str">
        <f>DATA!Z97</f>
        <v>Bilateral</v>
      </c>
      <c r="Y109" s="89">
        <f>DATA!AA97</f>
        <v>53200000</v>
      </c>
      <c r="Z109" s="89">
        <f>DATA!AG97</f>
        <v>0</v>
      </c>
      <c r="AA109" s="103">
        <f>DATA!AH97</f>
        <v>2016</v>
      </c>
      <c r="AB109" s="61" t="str">
        <f>DATA!AI97</f>
        <v>- Sudah ada RC
- Green Book 2015</v>
      </c>
      <c r="AC109" s="61" t="str">
        <f>DATA!AJ97</f>
        <v>FS, DED, persiapan impounding 2015</v>
      </c>
      <c r="AD109" s="61" t="str">
        <f>DATA!AK97</f>
        <v>- Proses perijinan penggunaan lahan dari Bupati dan Kemenhut
- Proses administrasi kependudukan</v>
      </c>
      <c r="AE109" s="61" t="str">
        <f>DATA!AL97</f>
        <v>Belum ada tender/lelang</v>
      </c>
      <c r="AF109" s="20" t="str">
        <f>DATA!AR97</f>
        <v>-</v>
      </c>
      <c r="AG109" s="20" t="str">
        <f>DATA!AN97</f>
        <v>dalam proses
(memiliki FS dan DED)</v>
      </c>
      <c r="AH109" s="20" t="str">
        <f>DATA!AO97</f>
        <v>dalam proses
(persiapan)</v>
      </c>
      <c r="AI109" s="20" t="str">
        <f>DATA!AP97</f>
        <v>belum ada proses tender/lelang</v>
      </c>
      <c r="AJ109" s="20" t="str">
        <f>DATA!AY97</f>
        <v>Konfirmasi melalui surat Sekjen nomor KU.01.12-Sj/636 tgl 23 Oktober 2015</v>
      </c>
      <c r="AK109" s="20" t="e">
        <f>DATA!#REF!</f>
        <v>#REF!</v>
      </c>
      <c r="AL109" s="20">
        <f>DATA!AZ97</f>
        <v>0</v>
      </c>
      <c r="AM109" s="37" t="str">
        <f>DATA!BA97</f>
        <v>Menyediakan air untuk keperluan irigasi sebesar 59,63 m3/dt dan membangun infrastruktur untuk PLTA 110 MW.</v>
      </c>
    </row>
    <row r="110" spans="1:39" s="5" customFormat="1" ht="33.75" customHeight="1">
      <c r="J110" s="28"/>
      <c r="K110" s="50"/>
      <c r="L110" s="30" t="str">
        <f>DATA!I98</f>
        <v>K</v>
      </c>
      <c r="M110" s="31" t="str">
        <f>DATA!J98</f>
        <v>Program Mitigasi Terhadap Daya Rusak Air</v>
      </c>
      <c r="N110" s="51"/>
      <c r="O110" s="31"/>
      <c r="P110" s="31"/>
      <c r="Q110" s="31"/>
      <c r="R110" s="81">
        <f>+R111+R112+R113+R114+R115+R116+R117</f>
        <v>1152636000</v>
      </c>
      <c r="S110" s="81"/>
      <c r="T110" s="81">
        <f t="shared" ref="T110:Z110" si="6">+T111+T112+T113+T114+T115+T116+T117</f>
        <v>149840000</v>
      </c>
      <c r="U110" s="81">
        <f t="shared" si="6"/>
        <v>0</v>
      </c>
      <c r="V110" s="81">
        <f t="shared" si="6"/>
        <v>1302476000</v>
      </c>
      <c r="W110" s="81"/>
      <c r="X110" s="81" t="e">
        <f t="shared" si="6"/>
        <v>#VALUE!</v>
      </c>
      <c r="Y110" s="81">
        <f t="shared" si="6"/>
        <v>1112256000</v>
      </c>
      <c r="Z110" s="81">
        <f t="shared" si="6"/>
        <v>0</v>
      </c>
      <c r="AA110" s="31"/>
      <c r="AB110" s="32"/>
      <c r="AC110" s="32"/>
      <c r="AD110" s="32"/>
      <c r="AE110" s="32"/>
      <c r="AF110" s="31"/>
      <c r="AG110" s="31"/>
      <c r="AH110" s="31"/>
      <c r="AI110" s="31"/>
      <c r="AJ110" s="31"/>
      <c r="AK110" s="31"/>
      <c r="AL110" s="31"/>
      <c r="AM110" s="32"/>
    </row>
    <row r="111" spans="1:39" ht="51" customHeight="1">
      <c r="A111" s="10">
        <f>DATA!A98</f>
        <v>77</v>
      </c>
      <c r="B111" s="10">
        <f>DATA!B98</f>
        <v>0</v>
      </c>
      <c r="C111" s="10" t="str">
        <f>DATA!D98</f>
        <v>INFRASTRUKTUR</v>
      </c>
      <c r="D111" s="10">
        <f>DATA!E98</f>
        <v>1</v>
      </c>
      <c r="E111" s="10" t="str">
        <f>DATA!F98</f>
        <v>Kementerian Pekerjaan Umum dan Perumahan Rakyat</v>
      </c>
      <c r="F111" s="10" t="str">
        <f>DATA!H98</f>
        <v>Mitigation of Water Hazards Program</v>
      </c>
      <c r="G111" s="10" t="str">
        <f>DATA!I98</f>
        <v>K</v>
      </c>
      <c r="H111" s="10" t="str">
        <f>DATA!J98</f>
        <v>Program Mitigasi Terhadap Daya Rusak Air</v>
      </c>
      <c r="I111" s="10">
        <f>DATA!K98</f>
        <v>1</v>
      </c>
      <c r="J111" s="33"/>
      <c r="K111" s="34"/>
      <c r="L111" s="35"/>
      <c r="M111" s="36">
        <f>DATA!K98</f>
        <v>1</v>
      </c>
      <c r="N111" s="37" t="str">
        <f>DATA!L98</f>
        <v>Lower Solo River Improvement Project - Phase II</v>
      </c>
      <c r="O111" s="20">
        <f>DATA!Q98</f>
        <v>1</v>
      </c>
      <c r="P111" s="20">
        <f>DATA!R98</f>
        <v>1</v>
      </c>
      <c r="Q111" s="20">
        <f>DATA!S98</f>
        <v>68</v>
      </c>
      <c r="R111" s="77">
        <f>DATA!T98</f>
        <v>155836000</v>
      </c>
      <c r="S111" s="77"/>
      <c r="T111" s="77">
        <f>DATA!V98</f>
        <v>22500000</v>
      </c>
      <c r="U111" s="77">
        <f>DATA!W98</f>
        <v>0</v>
      </c>
      <c r="V111" s="77">
        <f>DATA!X98</f>
        <v>178336000</v>
      </c>
      <c r="W111" s="78" t="str">
        <f>DATA!Y98</f>
        <v>JICA</v>
      </c>
      <c r="X111" s="20" t="str">
        <f>DATA!Z98</f>
        <v>Bilateral</v>
      </c>
      <c r="Y111" s="77">
        <f>DATA!AA98</f>
        <v>155836000</v>
      </c>
      <c r="Z111" s="77">
        <f>DATA!AG98</f>
        <v>0</v>
      </c>
      <c r="AA111" s="20">
        <f>DATA!AH98</f>
        <v>2018</v>
      </c>
      <c r="AB111" s="37" t="str">
        <f>DATA!AI98</f>
        <v>-</v>
      </c>
      <c r="AC111" s="37" t="str">
        <f>DATA!AJ98</f>
        <v>FS, DED, AMDAL</v>
      </c>
      <c r="AD111" s="37" t="str">
        <f>DATA!AK98</f>
        <v>LARAP</v>
      </c>
      <c r="AE111" s="37" t="str">
        <f>DATA!AL98</f>
        <v>-</v>
      </c>
      <c r="AF111" s="20" t="str">
        <f>DATA!AR98</f>
        <v>belum ada dokumen R/C</v>
      </c>
      <c r="AG111" s="20" t="str">
        <f>DATA!AN98</f>
        <v>siap</v>
      </c>
      <c r="AH111" s="20" t="str">
        <f>DATA!AO98</f>
        <v>dalam proses
(perencanaan)</v>
      </c>
      <c r="AI111" s="20" t="str">
        <f>DATA!AP98</f>
        <v>belum ada proses tender/lelang</v>
      </c>
      <c r="AJ111" s="20" t="str">
        <f>DATA!AY98</f>
        <v>Konfirmasi melalui surat Sekjen nomor KU.01.12-Sj/636 tgl 23 Oktober 2015</v>
      </c>
      <c r="AK111" s="20" t="e">
        <f>DATA!#REF!</f>
        <v>#REF!</v>
      </c>
      <c r="AL111" s="20">
        <f>DATA!AZ98</f>
        <v>0</v>
      </c>
      <c r="AM111" s="37" t="str">
        <f>DATA!BA98</f>
        <v>Pekerjaan konstruksi dan supervisi pelaksanaan tanggul, parapet wall, pelindung tebing, sluiceway, jembatan, alur sudetan dan bangunan sungai lainnya</v>
      </c>
    </row>
    <row r="112" spans="1:39" ht="72.75" customHeight="1">
      <c r="A112" s="10">
        <f>DATA!A99</f>
        <v>78</v>
      </c>
      <c r="B112" s="10">
        <f>DATA!B99</f>
        <v>0</v>
      </c>
      <c r="C112" s="10" t="str">
        <f>DATA!D99</f>
        <v>INFRASTRUKTUR</v>
      </c>
      <c r="D112" s="10">
        <f>DATA!E99</f>
        <v>1</v>
      </c>
      <c r="E112" s="10" t="str">
        <f>DATA!F99</f>
        <v>Kementerian Pekerjaan Umum dan Perumahan Rakyat</v>
      </c>
      <c r="F112" s="10" t="str">
        <f>DATA!H99</f>
        <v>Mitigation of Water Hazards Program</v>
      </c>
      <c r="G112" s="10" t="str">
        <f>DATA!I99</f>
        <v>K</v>
      </c>
      <c r="H112" s="10" t="str">
        <f>DATA!J99</f>
        <v>Program Mitigasi Terhadap Daya Rusak Air</v>
      </c>
      <c r="I112" s="10">
        <f>DATA!K99</f>
        <v>2</v>
      </c>
      <c r="J112" s="33"/>
      <c r="K112" s="34"/>
      <c r="L112" s="34"/>
      <c r="M112" s="36">
        <f>DATA!K99</f>
        <v>2</v>
      </c>
      <c r="N112" s="37" t="str">
        <f>DATA!L99</f>
        <v>Comprehensive Countermeasure for Sediment &amp; Flood Problems in South Sulawesi Province</v>
      </c>
      <c r="O112" s="20">
        <f>DATA!Q99</f>
        <v>1</v>
      </c>
      <c r="P112" s="20">
        <f>DATA!R99</f>
        <v>1</v>
      </c>
      <c r="Q112" s="20">
        <f>DATA!S99</f>
        <v>69</v>
      </c>
      <c r="R112" s="77">
        <f>DATA!T99</f>
        <v>108100000</v>
      </c>
      <c r="S112" s="77"/>
      <c r="T112" s="77">
        <f>DATA!V99</f>
        <v>3900000</v>
      </c>
      <c r="U112" s="77">
        <f>DATA!W99</f>
        <v>0</v>
      </c>
      <c r="V112" s="77">
        <f>DATA!X99</f>
        <v>112000000</v>
      </c>
      <c r="W112" s="78" t="str">
        <f>DATA!Y99</f>
        <v>JICA</v>
      </c>
      <c r="X112" s="20" t="str">
        <f>DATA!Z99</f>
        <v>Bilateral</v>
      </c>
      <c r="Y112" s="77">
        <f>DATA!AA99</f>
        <v>108100000</v>
      </c>
      <c r="Z112" s="77">
        <f>DATA!AG99</f>
        <v>0</v>
      </c>
      <c r="AA112" s="20">
        <f>DATA!AH99</f>
        <v>2018</v>
      </c>
      <c r="AB112" s="37" t="str">
        <f>DATA!AI99</f>
        <v>-</v>
      </c>
      <c r="AC112" s="37" t="str">
        <f>DATA!AJ99</f>
        <v>FS, DED</v>
      </c>
      <c r="AD112" s="37" t="str">
        <f>DATA!AK99</f>
        <v>-</v>
      </c>
      <c r="AE112" s="37" t="str">
        <f>DATA!AL99</f>
        <v>-</v>
      </c>
      <c r="AF112" s="20" t="str">
        <f>DATA!AR99</f>
        <v>belum ada dokumen R/C</v>
      </c>
      <c r="AG112" s="20" t="str">
        <f>DATA!AN99</f>
        <v>dalam proses
(memiliki FS dan DED)</v>
      </c>
      <c r="AH112" s="20" t="str">
        <f>DATA!AO99</f>
        <v>belum ada keterangan</v>
      </c>
      <c r="AI112" s="20" t="str">
        <f>DATA!AP99</f>
        <v>belum ada proses tender/lelang</v>
      </c>
      <c r="AJ112" s="20" t="str">
        <f>DATA!AY99</f>
        <v>Konfirmasi melalui surat Sekjen nomor KU.01.12-Sj/636 tgl 23 Oktober 2015</v>
      </c>
      <c r="AK112" s="20" t="e">
        <f>DATA!#REF!</f>
        <v>#REF!</v>
      </c>
      <c r="AL112" s="20">
        <f>DATA!AZ99</f>
        <v>0</v>
      </c>
      <c r="AM112" s="37" t="str">
        <f>DATA!BA99</f>
        <v>Rehabilitasi intake waduk bili-bili (1 buah), konstruksi giant sand trap facility (1 buah) di ujung waduk bili-bili dan konstruksi bangunan pengendali sedimen di luar kaldera untuk antisipasi potensi runtuhan lanjutan Bawakaraeng</v>
      </c>
    </row>
    <row r="113" spans="1:39" ht="38.25">
      <c r="A113" s="10">
        <f>DATA!A100</f>
        <v>79</v>
      </c>
      <c r="B113" s="10">
        <f>DATA!B100</f>
        <v>0</v>
      </c>
      <c r="C113" s="10" t="str">
        <f>DATA!D100</f>
        <v>INFRASTRUKTUR</v>
      </c>
      <c r="D113" s="10">
        <f>DATA!E100</f>
        <v>1</v>
      </c>
      <c r="E113" s="10" t="str">
        <f>DATA!F100</f>
        <v>Kementerian Pekerjaan Umum dan Perumahan Rakyat</v>
      </c>
      <c r="F113" s="10" t="str">
        <f>DATA!H100</f>
        <v>Mitigation of Water Hazards Program</v>
      </c>
      <c r="G113" s="10" t="str">
        <f>DATA!I100</f>
        <v>K</v>
      </c>
      <c r="H113" s="10" t="str">
        <f>DATA!J100</f>
        <v>Program Mitigasi Terhadap Daya Rusak Air</v>
      </c>
      <c r="I113" s="10">
        <f>DATA!K100</f>
        <v>3</v>
      </c>
      <c r="J113" s="33"/>
      <c r="K113" s="34"/>
      <c r="L113" s="34"/>
      <c r="M113" s="36">
        <f>DATA!K100</f>
        <v>3</v>
      </c>
      <c r="N113" s="37" t="str">
        <f>DATA!L100</f>
        <v>Bali Beach Conservation Project - Phase II</v>
      </c>
      <c r="O113" s="20">
        <f>DATA!Q100</f>
        <v>1</v>
      </c>
      <c r="P113" s="20">
        <f>DATA!R100</f>
        <v>1</v>
      </c>
      <c r="Q113" s="20">
        <f>DATA!S100</f>
        <v>70</v>
      </c>
      <c r="R113" s="77">
        <f>DATA!T100</f>
        <v>150000000</v>
      </c>
      <c r="S113" s="77"/>
      <c r="T113" s="77">
        <f>DATA!V100</f>
        <v>15000000</v>
      </c>
      <c r="U113" s="77">
        <f>DATA!W100</f>
        <v>0</v>
      </c>
      <c r="V113" s="77">
        <f>DATA!X100</f>
        <v>165000000</v>
      </c>
      <c r="W113" s="78" t="str">
        <f>DATA!Y100</f>
        <v>JICA</v>
      </c>
      <c r="X113" s="20" t="str">
        <f>DATA!Z100</f>
        <v>Bilateral</v>
      </c>
      <c r="Y113" s="77">
        <f>DATA!AA100</f>
        <v>150000000</v>
      </c>
      <c r="Z113" s="77">
        <f>DATA!AG100</f>
        <v>0</v>
      </c>
      <c r="AA113" s="20">
        <f>DATA!AH100</f>
        <v>2017</v>
      </c>
      <c r="AB113" s="37" t="str">
        <f>DATA!AI100</f>
        <v>-</v>
      </c>
      <c r="AC113" s="37" t="str">
        <f>DATA!AJ100</f>
        <v>FS</v>
      </c>
      <c r="AD113" s="37" t="str">
        <f>DATA!AK100</f>
        <v>-</v>
      </c>
      <c r="AE113" s="37" t="str">
        <f>DATA!AL100</f>
        <v>-</v>
      </c>
      <c r="AF113" s="20" t="str">
        <f>DATA!AR100</f>
        <v>Nilai pinjaman di GB USD 90.247 ribu</v>
      </c>
      <c r="AG113" s="20" t="str">
        <f>DATA!AN100</f>
        <v>dalam proses
(memiliki FS)</v>
      </c>
      <c r="AH113" s="20" t="str">
        <f>DATA!AO100</f>
        <v>belum ada keterangan</v>
      </c>
      <c r="AI113" s="20" t="str">
        <f>DATA!AP100</f>
        <v>belum ada proses tender/lelang</v>
      </c>
      <c r="AJ113" s="20" t="str">
        <f>DATA!AY100</f>
        <v>- Konfirmasi melalui surat Sekjen nomor KU.01.12-Sj/636 tgl 23 Oktober 2015
- MoD Fact Finding belum dapat ditandatangani dan ditentukan kemudian</v>
      </c>
      <c r="AK113" s="20" t="e">
        <f>DATA!#REF!</f>
        <v>#REF!</v>
      </c>
      <c r="AL113" s="20">
        <f>DATA!AZ100</f>
        <v>0</v>
      </c>
      <c r="AM113" s="37" t="str">
        <f>DATA!BA100</f>
        <v>Pengamanan dan konservasi pantai timur bali (sanur utara ~ candidasa) dan Pantai Kuta Utara – Legian – Seminyak dan Canggu</v>
      </c>
    </row>
    <row r="114" spans="1:39" ht="33" customHeight="1">
      <c r="A114" s="10">
        <f>DATA!A101</f>
        <v>80</v>
      </c>
      <c r="B114" s="10">
        <f>DATA!B101</f>
        <v>0</v>
      </c>
      <c r="C114" s="10" t="str">
        <f>DATA!D101</f>
        <v>INFRASTRUKTUR</v>
      </c>
      <c r="D114" s="10">
        <f>DATA!E101</f>
        <v>1</v>
      </c>
      <c r="E114" s="10" t="str">
        <f>DATA!F101</f>
        <v>Kementerian Pekerjaan Umum dan Perumahan Rakyat</v>
      </c>
      <c r="F114" s="10" t="str">
        <f>DATA!H101</f>
        <v>Mitigation of Water Hazards Program</v>
      </c>
      <c r="G114" s="10" t="str">
        <f>DATA!I101</f>
        <v>K</v>
      </c>
      <c r="H114" s="10" t="str">
        <f>DATA!J101</f>
        <v>Program Mitigasi Terhadap Daya Rusak Air</v>
      </c>
      <c r="I114" s="10">
        <f>DATA!K101</f>
        <v>4</v>
      </c>
      <c r="J114" s="33"/>
      <c r="K114" s="34"/>
      <c r="L114" s="34"/>
      <c r="M114" s="36">
        <f>DATA!K101</f>
        <v>4</v>
      </c>
      <c r="N114" s="37" t="str">
        <f>DATA!L101</f>
        <v xml:space="preserve">Urgent Disaster Reduction of Mt. Sinabung, Mt. Semeru, Mt. Kelud Mt. Lokon, and Mt. Gamalama </v>
      </c>
      <c r="O114" s="20">
        <f>DATA!Q101</f>
        <v>1</v>
      </c>
      <c r="P114" s="20">
        <f>DATA!R101</f>
        <v>1</v>
      </c>
      <c r="Q114" s="20">
        <f>DATA!S101</f>
        <v>71</v>
      </c>
      <c r="R114" s="77">
        <f>DATA!T101</f>
        <v>260000000</v>
      </c>
      <c r="S114" s="77"/>
      <c r="T114" s="77">
        <f>DATA!V101</f>
        <v>26000000</v>
      </c>
      <c r="U114" s="77">
        <f>DATA!W101</f>
        <v>0</v>
      </c>
      <c r="V114" s="77">
        <f>DATA!X101</f>
        <v>286000000</v>
      </c>
      <c r="W114" s="78" t="str">
        <f>DATA!Y101</f>
        <v>JICA</v>
      </c>
      <c r="X114" s="20" t="str">
        <f>DATA!Z101</f>
        <v>Bilateral</v>
      </c>
      <c r="Y114" s="77">
        <f>DATA!AA101</f>
        <v>260000000</v>
      </c>
      <c r="Z114" s="77">
        <f>DATA!AG101</f>
        <v>0</v>
      </c>
      <c r="AA114" s="20">
        <f>DATA!AH101</f>
        <v>2017</v>
      </c>
      <c r="AB114" s="37" t="str">
        <f>DATA!AI101</f>
        <v>-</v>
      </c>
      <c r="AC114" s="37" t="str">
        <f>DATA!AJ101</f>
        <v>FS, DED, AMDAL</v>
      </c>
      <c r="AD114" s="37" t="str">
        <f>DATA!AK101</f>
        <v>LARAP</v>
      </c>
      <c r="AE114" s="37" t="str">
        <f>DATA!AL101</f>
        <v>-</v>
      </c>
      <c r="AF114" s="20" t="str">
        <f>DATA!AR101</f>
        <v>belum ada dokumen R/C</v>
      </c>
      <c r="AG114" s="20" t="str">
        <f>DATA!AN101</f>
        <v>siap</v>
      </c>
      <c r="AH114" s="20" t="str">
        <f>DATA!AO101</f>
        <v>dalam proses
(persiapan)</v>
      </c>
      <c r="AI114" s="20" t="str">
        <f>DATA!AP101</f>
        <v>belum ada proses tender/lelang</v>
      </c>
      <c r="AJ114" s="20" t="str">
        <f>DATA!AY101</f>
        <v>Konfirmasi melalui surat Sekjen nomor KU.01.12-Sj/636 tgl 23 Oktober 2015</v>
      </c>
      <c r="AK114" s="20" t="e">
        <f>DATA!#REF!</f>
        <v>#REF!</v>
      </c>
      <c r="AL114" s="20">
        <f>DATA!AZ101</f>
        <v>0</v>
      </c>
      <c r="AM114" s="37" t="str">
        <f>DATA!BA101</f>
        <v>Tersedianya fasilitas Sabo dan bangunan pengontrol sedimen lainnya.</v>
      </c>
    </row>
    <row r="115" spans="1:39" ht="53.25" customHeight="1">
      <c r="A115" s="10">
        <f>DATA!A102</f>
        <v>81</v>
      </c>
      <c r="B115" s="10">
        <f>DATA!B102</f>
        <v>0</v>
      </c>
      <c r="C115" s="10" t="str">
        <f>DATA!D102</f>
        <v>INFRASTRUKTUR</v>
      </c>
      <c r="D115" s="10">
        <f>DATA!E102</f>
        <v>1</v>
      </c>
      <c r="E115" s="10" t="str">
        <f>DATA!F102</f>
        <v>Kementerian Pekerjaan Umum dan Perumahan Rakyat</v>
      </c>
      <c r="F115" s="10" t="str">
        <f>DATA!H102</f>
        <v>Mitigation of Water Hazards Program</v>
      </c>
      <c r="G115" s="10" t="str">
        <f>DATA!I102</f>
        <v>K</v>
      </c>
      <c r="H115" s="10" t="str">
        <f>DATA!J102</f>
        <v>Program Mitigasi Terhadap Daya Rusak Air</v>
      </c>
      <c r="I115" s="10">
        <f>DATA!K102</f>
        <v>5</v>
      </c>
      <c r="J115" s="33"/>
      <c r="K115" s="34"/>
      <c r="L115" s="34"/>
      <c r="M115" s="36">
        <f>DATA!K102</f>
        <v>5</v>
      </c>
      <c r="N115" s="37" t="str">
        <f>DATA!L102</f>
        <v xml:space="preserve">Urban Flood Control System Improvement in Selected Cities -Phase II  </v>
      </c>
      <c r="O115" s="20">
        <f>DATA!Q102</f>
        <v>1</v>
      </c>
      <c r="P115" s="20">
        <f>DATA!R102</f>
        <v>1</v>
      </c>
      <c r="Q115" s="20">
        <f>DATA!S102</f>
        <v>72</v>
      </c>
      <c r="R115" s="77">
        <f>DATA!T102</f>
        <v>120000000</v>
      </c>
      <c r="S115" s="77"/>
      <c r="T115" s="77">
        <f>DATA!V102</f>
        <v>12000000</v>
      </c>
      <c r="U115" s="77">
        <f>DATA!W102</f>
        <v>0</v>
      </c>
      <c r="V115" s="77">
        <f>DATA!X102</f>
        <v>132000000</v>
      </c>
      <c r="W115" s="78" t="str">
        <f>DATA!Y102</f>
        <v>JICA</v>
      </c>
      <c r="X115" s="20" t="str">
        <f>DATA!Z102</f>
        <v>Bilateral</v>
      </c>
      <c r="Y115" s="77">
        <f>DATA!AA102</f>
        <v>120000000</v>
      </c>
      <c r="Z115" s="77">
        <f>DATA!AG102</f>
        <v>0</v>
      </c>
      <c r="AA115" s="20">
        <f>DATA!AH102</f>
        <v>2018</v>
      </c>
      <c r="AB115" s="37" t="str">
        <f>DATA!AI102</f>
        <v>-</v>
      </c>
      <c r="AC115" s="37" t="str">
        <f>DATA!AJ102</f>
        <v>FS, DED, AMDAL</v>
      </c>
      <c r="AD115" s="37" t="str">
        <f>DATA!AK102</f>
        <v>LARAP</v>
      </c>
      <c r="AE115" s="37" t="str">
        <f>DATA!AL102</f>
        <v>-</v>
      </c>
      <c r="AF115" s="20" t="str">
        <f>DATA!AR102</f>
        <v>belum ada dokumen R/C</v>
      </c>
      <c r="AG115" s="20" t="str">
        <f>DATA!AN102</f>
        <v>siap</v>
      </c>
      <c r="AH115" s="20" t="str">
        <f>DATA!AO102</f>
        <v>dalam proses
(perencanaan)</v>
      </c>
      <c r="AI115" s="20" t="str">
        <f>DATA!AP102</f>
        <v>belum ada proses tender/lelang</v>
      </c>
      <c r="AJ115" s="20" t="str">
        <f>DATA!AY102</f>
        <v>Konfirmasi melalui surat Sekjen nomor KU.01.12-Sj/636 tgl 23 Oktober 2015</v>
      </c>
      <c r="AK115" s="20" t="e">
        <f>DATA!#REF!</f>
        <v>#REF!</v>
      </c>
      <c r="AL115" s="20">
        <f>DATA!AZ102</f>
        <v>0</v>
      </c>
      <c r="AM115" s="37" t="str">
        <f>DATA!BA102</f>
        <v>Meningkatkan kapasitas sistem sungai dengan total panjang 4.35 km dan drainase di kota-kota untuk mengalirkan air hujan dengan pembangunan tanggul 6,5 Km</v>
      </c>
    </row>
    <row r="116" spans="1:39" s="8" customFormat="1" ht="46.5" customHeight="1">
      <c r="A116" s="10">
        <f>DATA!A104</f>
        <v>0</v>
      </c>
      <c r="B116" s="10">
        <f>DATA!B104</f>
        <v>0</v>
      </c>
      <c r="C116" s="10" t="str">
        <f>DATA!D104</f>
        <v>INFRASTRUKTUR</v>
      </c>
      <c r="D116" s="10">
        <f>DATA!E104</f>
        <v>1</v>
      </c>
      <c r="E116" s="10" t="str">
        <f>DATA!F104</f>
        <v>Kementerian Pekerjaan Umum dan Perumahan Rakyat</v>
      </c>
      <c r="F116" s="10" t="str">
        <f>DATA!H104</f>
        <v>Mitigation of Water Hazards Program</v>
      </c>
      <c r="G116" s="10" t="str">
        <f>DATA!I104</f>
        <v>K</v>
      </c>
      <c r="H116" s="10" t="str">
        <f>DATA!J104</f>
        <v>Program Mitigasi Terhadap Daya Rusak Air</v>
      </c>
      <c r="I116" s="10">
        <f>DATA!K104</f>
        <v>6</v>
      </c>
      <c r="J116" s="57"/>
      <c r="K116" s="58"/>
      <c r="L116" s="58"/>
      <c r="M116" s="60">
        <f>DATA!K104</f>
        <v>6</v>
      </c>
      <c r="N116" s="61" t="str">
        <f>DATA!L104</f>
        <v>Engineering Service for Coastal and River Development Project</v>
      </c>
      <c r="O116" s="20">
        <f>DATA!Q104</f>
        <v>1</v>
      </c>
      <c r="P116" s="20">
        <f>DATA!R104</f>
        <v>1</v>
      </c>
      <c r="Q116" s="20">
        <f>DATA!S104</f>
        <v>73</v>
      </c>
      <c r="R116" s="89">
        <f>DATA!T104</f>
        <v>50000000</v>
      </c>
      <c r="S116" s="89"/>
      <c r="T116" s="89">
        <f>DATA!V104</f>
        <v>0</v>
      </c>
      <c r="U116" s="77">
        <f>DATA!W104</f>
        <v>0</v>
      </c>
      <c r="V116" s="89">
        <f>DATA!X104</f>
        <v>50000000</v>
      </c>
      <c r="W116" s="90" t="str">
        <f>DATA!Y104</f>
        <v>ADB</v>
      </c>
      <c r="X116" s="20" t="str">
        <f>DATA!Z104</f>
        <v>Multilateral</v>
      </c>
      <c r="Y116" s="89">
        <f>DATA!AA104</f>
        <v>9620000</v>
      </c>
      <c r="Z116" s="89">
        <f>DATA!AG104</f>
        <v>0</v>
      </c>
      <c r="AA116" s="103">
        <f>DATA!AH104</f>
        <v>2016</v>
      </c>
      <c r="AB116" s="61" t="str">
        <f>DATA!AI104</f>
        <v>- Sudah ada RC
- Green Book 2016</v>
      </c>
      <c r="AC116" s="61" t="str">
        <f>DATA!AJ104</f>
        <v>FS, DED</v>
      </c>
      <c r="AD116" s="61" t="str">
        <f>DATA!AK104</f>
        <v>Tidak membutuhkan lahan</v>
      </c>
      <c r="AE116" s="61" t="str">
        <f>DATA!AL104</f>
        <v>Belum ada tender/lelang</v>
      </c>
      <c r="AF116" s="20" t="str">
        <f>DATA!AM104</f>
        <v>2016; 2015</v>
      </c>
      <c r="AG116" s="20" t="str">
        <f>DATA!AN104</f>
        <v>siap</v>
      </c>
      <c r="AH116" s="20" t="str">
        <f>DATA!AO104</f>
        <v>tidak butuh lahan</v>
      </c>
      <c r="AI116" s="20" t="str">
        <f>DATA!AP104</f>
        <v>belum ada proses tender/lelang</v>
      </c>
      <c r="AJ116"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K116" s="20" t="e">
        <f>DATA!#REF!</f>
        <v>#REF!</v>
      </c>
      <c r="AL116" s="20">
        <f>DATA!AZ104</f>
        <v>0</v>
      </c>
      <c r="AM116" s="37" t="str">
        <f>DATA!BA104</f>
        <v>Analisis rencana teknis pembangunan infrastruktur sungai di 33 balai wilayah sungai  dan pantai beserta fasilitasnya, O&amp;P dan pengadaan barang dan jasa</v>
      </c>
    </row>
    <row r="117" spans="1:39" ht="49.5" customHeight="1">
      <c r="A117" s="10">
        <f>DATA!A107</f>
        <v>80</v>
      </c>
      <c r="B117" s="10">
        <f>DATA!B107</f>
        <v>0</v>
      </c>
      <c r="C117" s="10" t="str">
        <f>DATA!D107</f>
        <v>INFRASTRUKTUR</v>
      </c>
      <c r="D117" s="10">
        <f>DATA!E107</f>
        <v>1</v>
      </c>
      <c r="E117" s="10" t="str">
        <f>DATA!F107</f>
        <v>Kementerian Pekerjaan Umum dan Perumahan Rakyat</v>
      </c>
      <c r="F117" s="10" t="str">
        <f>DATA!H107</f>
        <v>Mitigation of Water Hazards Program</v>
      </c>
      <c r="G117" s="10" t="str">
        <f>DATA!I107</f>
        <v>K</v>
      </c>
      <c r="H117" s="10" t="str">
        <f>DATA!J107</f>
        <v>Program Mitigasi Terhadap Daya Rusak Air</v>
      </c>
      <c r="I117" s="10">
        <f>DATA!K107</f>
        <v>7</v>
      </c>
      <c r="J117" s="33"/>
      <c r="K117" s="34"/>
      <c r="L117" s="34"/>
      <c r="M117" s="36">
        <f>DATA!K107</f>
        <v>7</v>
      </c>
      <c r="N117" s="37" t="str">
        <f>DATA!L107</f>
        <v>Flood Management in Selected River Basins:</v>
      </c>
      <c r="O117" s="20">
        <f>DATA!Q107</f>
        <v>0</v>
      </c>
      <c r="P117" s="20">
        <f>DATA!R107</f>
        <v>0</v>
      </c>
      <c r="Q117" s="20">
        <f>DATA!S107</f>
        <v>0</v>
      </c>
      <c r="R117" s="77">
        <f>DATA!T107</f>
        <v>308700000</v>
      </c>
      <c r="S117" s="77"/>
      <c r="T117" s="77">
        <f>DATA!V107</f>
        <v>70440000</v>
      </c>
      <c r="U117" s="77">
        <f>DATA!W107</f>
        <v>0</v>
      </c>
      <c r="V117" s="77">
        <f>DATA!X107</f>
        <v>379140000</v>
      </c>
      <c r="W117" s="78" t="str">
        <f>DATA!Y107</f>
        <v>-</v>
      </c>
      <c r="X117" s="20">
        <f>DATA!Z107</f>
        <v>0</v>
      </c>
      <c r="Y117" s="77">
        <f>DATA!AA107</f>
        <v>308700000</v>
      </c>
      <c r="Z117" s="77">
        <f>DATA!AG107</f>
        <v>0</v>
      </c>
      <c r="AA117" s="20" t="str">
        <f>DATA!AH107</f>
        <v>-</v>
      </c>
      <c r="AB117" s="37" t="str">
        <f>DATA!AI107</f>
        <v>-</v>
      </c>
      <c r="AC117" s="37" t="str">
        <f>DATA!AJ107</f>
        <v>-</v>
      </c>
      <c r="AD117" s="37" t="str">
        <f>DATA!AK107</f>
        <v>-</v>
      </c>
      <c r="AE117" s="37" t="str">
        <f>DATA!AL107</f>
        <v>-</v>
      </c>
      <c r="AF117" s="20" t="str">
        <f>DATA!AM107</f>
        <v>-</v>
      </c>
      <c r="AG117" s="20">
        <f>DATA!AN107</f>
        <v>0</v>
      </c>
      <c r="AH117" s="20" t="str">
        <f>DATA!AO107</f>
        <v>-</v>
      </c>
      <c r="AI117" s="20">
        <f>DATA!AP107</f>
        <v>0</v>
      </c>
      <c r="AJ117" s="20" t="str">
        <f>DATA!AY107</f>
        <v>Konfirmasi melalui surat Sekjen nomor KU.01.12-Sj/636 tgl 23 Oktober 2015</v>
      </c>
      <c r="AK117" s="20" t="e">
        <f>DATA!#REF!</f>
        <v>#REF!</v>
      </c>
      <c r="AL117" s="20">
        <f>DATA!AZ107</f>
        <v>0</v>
      </c>
      <c r="AM117" s="37" t="str">
        <f>DATA!BA107</f>
        <v>Meningkatkan kesiapan untuk mengelola dan memitigasi banjir melalui pendekatan pengelolaan banjir terpadu di DAS terpilih yang tersebar di seluruh Indonesia</v>
      </c>
    </row>
    <row r="118" spans="1:39" s="6" customFormat="1" ht="38.25">
      <c r="A118" s="6">
        <f>DATA!A108</f>
        <v>83</v>
      </c>
      <c r="B118" s="6">
        <f>DATA!B108</f>
        <v>0</v>
      </c>
      <c r="C118" s="6" t="str">
        <f>DATA!D108</f>
        <v>INFRASTRUKTUR</v>
      </c>
      <c r="D118" s="6">
        <f>DATA!E108</f>
        <v>1</v>
      </c>
      <c r="E118" s="6" t="str">
        <f>DATA!F108</f>
        <v>Kementerian Pekerjaan Umum dan Perumahan Rakyat</v>
      </c>
      <c r="F118" s="6" t="str">
        <f>DATA!H108</f>
        <v>Mitigation of Water Hazards Program</v>
      </c>
      <c r="G118" s="6" t="str">
        <f>DATA!I108</f>
        <v>K</v>
      </c>
      <c r="H118" s="6" t="str">
        <f>DATA!J108</f>
        <v>Program Mitigasi Terhadap Daya Rusak Air</v>
      </c>
      <c r="I118" s="6">
        <f>DATA!K108</f>
        <v>7</v>
      </c>
      <c r="J118" s="38"/>
      <c r="K118" s="39"/>
      <c r="L118" s="39"/>
      <c r="M118" s="72"/>
      <c r="N118" s="67" t="str">
        <f>DATA!L108</f>
        <v>Flood Management in Selected River Basins Sector Project (Additional Financing)</v>
      </c>
      <c r="O118" s="42">
        <f>DATA!Q108</f>
        <v>1</v>
      </c>
      <c r="P118" s="42">
        <f>DATA!R108</f>
        <v>1</v>
      </c>
      <c r="Q118" s="42">
        <f>DATA!S108</f>
        <v>74</v>
      </c>
      <c r="R118" s="83">
        <f>DATA!T108</f>
        <v>200000000</v>
      </c>
      <c r="S118" s="83"/>
      <c r="T118" s="83">
        <f>DATA!V108</f>
        <v>20000000</v>
      </c>
      <c r="U118" s="83">
        <f>DATA!W108</f>
        <v>0</v>
      </c>
      <c r="V118" s="83">
        <f>DATA!X108</f>
        <v>220000000</v>
      </c>
      <c r="W118" s="84" t="str">
        <f>DATA!Y108</f>
        <v>Belum Ada Indikasi</v>
      </c>
      <c r="X118" s="42" t="str">
        <f>DATA!Z108</f>
        <v>Multilateral</v>
      </c>
      <c r="Y118" s="83">
        <f>DATA!AA108</f>
        <v>200000000</v>
      </c>
      <c r="Z118" s="83">
        <f>DATA!AG108</f>
        <v>0</v>
      </c>
      <c r="AA118" s="42" t="str">
        <f>DATA!AH108</f>
        <v>Tanpa keterangan</v>
      </c>
      <c r="AB118" s="67" t="str">
        <f>DATA!AI108</f>
        <v>-</v>
      </c>
      <c r="AC118" s="67" t="str">
        <f>DATA!AJ108</f>
        <v>-</v>
      </c>
      <c r="AD118" s="67" t="str">
        <f>DATA!AK108</f>
        <v>-</v>
      </c>
      <c r="AE118" s="67" t="str">
        <f>DATA!AL108</f>
        <v>-</v>
      </c>
      <c r="AF118" s="42" t="str">
        <f>DATA!AR108</f>
        <v>belum ada dokumen R/C</v>
      </c>
      <c r="AG118" s="42" t="str">
        <f>DATA!AN108</f>
        <v>belum ada keterangan</v>
      </c>
      <c r="AH118" s="42" t="str">
        <f>DATA!AO108</f>
        <v>belum ada keterangan</v>
      </c>
      <c r="AI118" s="42" t="str">
        <f>DATA!AP108</f>
        <v>belum ada proses tender/lelang</v>
      </c>
      <c r="AJ118" s="42" t="str">
        <f>DATA!AY108</f>
        <v>Konfirmasi melalui surat Sekjen nomor KU.01.12-Sj/636 tgl 23 Oktober 2015</v>
      </c>
      <c r="AK118" s="42" t="e">
        <f>DATA!#REF!</f>
        <v>#REF!</v>
      </c>
      <c r="AL118" s="42" t="str">
        <f>DATA!AZ108</f>
        <v>untuk wilayah Banten</v>
      </c>
      <c r="AM118" s="67" t="str">
        <f>DATA!BA108</f>
        <v>Meningkatkan kesiapan untuk mengelola dan memitigasi banjir melalui pendekatan pengelolaan banjir terpadu di DAS terpilih</v>
      </c>
    </row>
    <row r="119" spans="1:39" s="6" customFormat="1" ht="87" customHeight="1">
      <c r="A119" s="6">
        <f>DATA!A109</f>
        <v>84</v>
      </c>
      <c r="B119" s="6">
        <f>DATA!B109</f>
        <v>0</v>
      </c>
      <c r="C119" s="6" t="str">
        <f>DATA!D109</f>
        <v>INFRASTRUKTUR</v>
      </c>
      <c r="D119" s="6">
        <f>DATA!E109</f>
        <v>1</v>
      </c>
      <c r="E119" s="6" t="str">
        <f>DATA!F109</f>
        <v>Kementerian Pekerjaan Umum dan Perumahan Rakyat</v>
      </c>
      <c r="F119" s="6" t="str">
        <f>DATA!H109</f>
        <v>Mitigation of Water Hazards Program</v>
      </c>
      <c r="G119" s="6" t="str">
        <f>DATA!I109</f>
        <v>K</v>
      </c>
      <c r="H119" s="6" t="str">
        <f>DATA!J109</f>
        <v>Program Mitigasi Terhadap Daya Rusak Air</v>
      </c>
      <c r="I119" s="6">
        <f>DATA!K109</f>
        <v>7</v>
      </c>
      <c r="J119" s="38"/>
      <c r="K119" s="39"/>
      <c r="L119" s="71"/>
      <c r="M119" s="72"/>
      <c r="N119" s="67" t="str">
        <f>DATA!L109</f>
        <v>Flood Management in Selected River Basins</v>
      </c>
      <c r="O119" s="42">
        <f>DATA!Q109</f>
        <v>1</v>
      </c>
      <c r="P119" s="42">
        <f>DATA!R109</f>
        <v>1</v>
      </c>
      <c r="Q119" s="42">
        <f>DATA!S109</f>
        <v>75</v>
      </c>
      <c r="R119" s="83">
        <f>DATA!T109</f>
        <v>108700000</v>
      </c>
      <c r="S119" s="83"/>
      <c r="T119" s="83">
        <f>DATA!V109</f>
        <v>50440000</v>
      </c>
      <c r="U119" s="83">
        <f>DATA!W109</f>
        <v>0</v>
      </c>
      <c r="V119" s="83">
        <f>DATA!X109</f>
        <v>159140000</v>
      </c>
      <c r="W119" s="84" t="str">
        <f>DATA!Y109</f>
        <v>ADB</v>
      </c>
      <c r="X119" s="42" t="str">
        <f>DATA!Z109</f>
        <v>Multilateral</v>
      </c>
      <c r="Y119" s="83">
        <f>DATA!AA109</f>
        <v>108700000</v>
      </c>
      <c r="Z119" s="83">
        <f>DATA!AG109</f>
        <v>0</v>
      </c>
      <c r="AA119" s="42" t="str">
        <f>DATA!AH109</f>
        <v>Tanpa keterangan</v>
      </c>
      <c r="AB119" s="67" t="str">
        <f>DATA!AI109</f>
        <v>- Sudah ada RC
- Green Book 2015</v>
      </c>
      <c r="AC119" s="67" t="str">
        <f>DATA!AJ109</f>
        <v>FS, DED</v>
      </c>
      <c r="AD119" s="67" t="str">
        <f>DATA!AK109</f>
        <v>- Penetapan lokasi dengan SK Gubernur Banten dan Gubernur Maluku
- Izin AMDAL dengan SK Walikota Ambon</v>
      </c>
      <c r="AE119" s="67" t="str">
        <f>DATA!AL109</f>
        <v>Belum ada tender/lelang</v>
      </c>
      <c r="AF119" s="42" t="str">
        <f>DATA!AR109</f>
        <v>-</v>
      </c>
      <c r="AG119" s="42" t="str">
        <f>DATA!AN109</f>
        <v>dalam proses
(memiliki FS dan DED)</v>
      </c>
      <c r="AH119" s="42" t="str">
        <f>DATA!AO109</f>
        <v>dalam proses
(persiapan)</v>
      </c>
      <c r="AI119" s="42" t="str">
        <f>DATA!AP109</f>
        <v>belum ada proses tender/lelang</v>
      </c>
      <c r="AJ119" s="42" t="str">
        <f>DATA!AY109</f>
        <v>Konfirmasi melalui surat Sekjen nomor KU.01.12-Sj/636 tgl 23 Oktober 2015</v>
      </c>
      <c r="AK119" s="42" t="e">
        <f>DATA!#REF!</f>
        <v>#REF!</v>
      </c>
      <c r="AL119" s="42" t="str">
        <f>DATA!AZ109</f>
        <v>Ambon appraisal MoU 2015</v>
      </c>
      <c r="AM119" s="67" t="str">
        <f>DATA!BA109</f>
        <v>Meningkatkan kesiapan untuk mengelola dan memitigasi banjir melalui pendekatan pengelolaan banjir terpadu di DAS Ciujung, DAS Batu Merah, dan DAS Way Ruhu</v>
      </c>
    </row>
    <row r="120" spans="1:39" s="5" customFormat="1" ht="33.75" customHeight="1">
      <c r="J120" s="28"/>
      <c r="K120" s="50"/>
      <c r="L120" s="30" t="str">
        <f>DATA!I110</f>
        <v>L</v>
      </c>
      <c r="M120" s="31" t="str">
        <f>DATA!J110</f>
        <v xml:space="preserve">Program Pengelolaan Infrastruktur Sumber Daya Air </v>
      </c>
      <c r="N120" s="51"/>
      <c r="O120" s="31"/>
      <c r="P120" s="31"/>
      <c r="Q120" s="31"/>
      <c r="R120" s="81">
        <f>+R121+R122+R123</f>
        <v>650000000</v>
      </c>
      <c r="S120" s="81"/>
      <c r="T120" s="81">
        <f t="shared" ref="T120:Z120" si="7">+T121+T122+T123</f>
        <v>130000000</v>
      </c>
      <c r="U120" s="81">
        <f t="shared" si="7"/>
        <v>0</v>
      </c>
      <c r="V120" s="81">
        <f t="shared" si="7"/>
        <v>780000000</v>
      </c>
      <c r="W120" s="81"/>
      <c r="X120" s="81" t="e">
        <f t="shared" si="7"/>
        <v>#VALUE!</v>
      </c>
      <c r="Y120" s="81">
        <f t="shared" si="7"/>
        <v>650000000</v>
      </c>
      <c r="Z120" s="81">
        <f t="shared" si="7"/>
        <v>-50000000</v>
      </c>
      <c r="AA120" s="31"/>
      <c r="AB120" s="32"/>
      <c r="AC120" s="32"/>
      <c r="AD120" s="32"/>
      <c r="AE120" s="32"/>
      <c r="AF120" s="31"/>
      <c r="AG120" s="31"/>
      <c r="AH120" s="31"/>
      <c r="AI120" s="31"/>
      <c r="AJ120" s="31"/>
      <c r="AK120" s="31"/>
      <c r="AL120" s="31"/>
      <c r="AM120" s="32"/>
    </row>
    <row r="121" spans="1:39" ht="58.5" customHeight="1">
      <c r="A121" s="10">
        <f>DATA!A110</f>
        <v>85</v>
      </c>
      <c r="B121" s="10">
        <f>DATA!B110</f>
        <v>0</v>
      </c>
      <c r="C121" s="10" t="str">
        <f>DATA!D110</f>
        <v>INFRASTRUKTUR</v>
      </c>
      <c r="D121" s="10">
        <f>DATA!E110</f>
        <v>1</v>
      </c>
      <c r="E121" s="10" t="str">
        <f>DATA!F110</f>
        <v>Kementerian Pekerjaan Umum dan Perumahan Rakyat</v>
      </c>
      <c r="F121" s="10" t="str">
        <f>DATA!H110</f>
        <v>Management of Water Resources Infrastructure Program</v>
      </c>
      <c r="G121" s="10" t="str">
        <f>DATA!I110</f>
        <v>L</v>
      </c>
      <c r="H121" s="10" t="str">
        <f>DATA!J110</f>
        <v xml:space="preserve">Program Pengelolaan Infrastruktur Sumber Daya Air </v>
      </c>
      <c r="I121" s="10">
        <f>DATA!K110</f>
        <v>1</v>
      </c>
      <c r="J121" s="33"/>
      <c r="K121" s="34"/>
      <c r="L121" s="35"/>
      <c r="M121" s="36">
        <f>DATA!K110</f>
        <v>1</v>
      </c>
      <c r="N121" s="37" t="str">
        <f>DATA!L110</f>
        <v xml:space="preserve">Dam Operational Improvement and Safety Project (DOISP) - Phase II </v>
      </c>
      <c r="O121" s="20">
        <f>DATA!Q110</f>
        <v>1</v>
      </c>
      <c r="P121" s="20">
        <f>DATA!R110</f>
        <v>1</v>
      </c>
      <c r="Q121" s="20">
        <f>DATA!S110</f>
        <v>76</v>
      </c>
      <c r="R121" s="77">
        <f>DATA!T110</f>
        <v>250000000</v>
      </c>
      <c r="S121" s="77"/>
      <c r="T121" s="77">
        <f>DATA!V110</f>
        <v>50000000</v>
      </c>
      <c r="U121" s="77">
        <f>DATA!W110</f>
        <v>0</v>
      </c>
      <c r="V121" s="77">
        <f>DATA!X110</f>
        <v>300000000</v>
      </c>
      <c r="W121" s="78" t="str">
        <f>DATA!Y110</f>
        <v>Bank Dunia</v>
      </c>
      <c r="X121" s="20" t="str">
        <f>DATA!Z110</f>
        <v>Multilateral</v>
      </c>
      <c r="Y121" s="77">
        <f>DATA!AA110</f>
        <v>250000000</v>
      </c>
      <c r="Z121" s="77">
        <f>DATA!AG110</f>
        <v>0</v>
      </c>
      <c r="AA121" s="20" t="str">
        <f>DATA!AH110</f>
        <v>Tanpa keterangan</v>
      </c>
      <c r="AB121" s="37" t="str">
        <f>DATA!AI110</f>
        <v>-</v>
      </c>
      <c r="AC121" s="37" t="str">
        <f>DATA!AJ110</f>
        <v>FS</v>
      </c>
      <c r="AD121" s="37" t="str">
        <f>DATA!AK110</f>
        <v>-</v>
      </c>
      <c r="AE121" s="37" t="str">
        <f>DATA!AL110</f>
        <v>-</v>
      </c>
      <c r="AF121" s="20" t="str">
        <f>DATA!AR110</f>
        <v>-</v>
      </c>
      <c r="AG121" s="20" t="str">
        <f>DATA!AN110</f>
        <v>dalam proses
(memiliki FS)</v>
      </c>
      <c r="AH121" s="20" t="str">
        <f>DATA!AO110</f>
        <v>belum ada keterangan</v>
      </c>
      <c r="AI121" s="20" t="str">
        <f>DATA!AP110</f>
        <v>belum ada proses tender/lelang</v>
      </c>
      <c r="AJ121" s="20" t="str">
        <f>DATA!AY110</f>
        <v>Konfirmasi melalui surat Sekjen nomor KU.01.12-Sj/636 tgl 23 Oktober 2015</v>
      </c>
      <c r="AK121" s="20" t="e">
        <f>DATA!#REF!</f>
        <v>#REF!</v>
      </c>
      <c r="AL121" s="20">
        <f>DATA!AZ110</f>
        <v>0</v>
      </c>
      <c r="AM121" s="37" t="str">
        <f>DATA!BA110</f>
        <v>Peningkatan operasi dan keamanan 63 bendungan, peningkatan OP dan kapasitas SDM, mitigasi sedimentasi waduk, peningkatan institusi keamanan bendungan dan manajemen proyek</v>
      </c>
    </row>
    <row r="122" spans="1:39" ht="50.25" customHeight="1">
      <c r="A122" s="10">
        <f>DATA!A113</f>
        <v>86</v>
      </c>
      <c r="B122" s="10">
        <f>DATA!B113</f>
        <v>0</v>
      </c>
      <c r="C122" s="10" t="str">
        <f>DATA!D113</f>
        <v>INFRASTRUKTUR</v>
      </c>
      <c r="D122" s="10">
        <f>DATA!E113</f>
        <v>1</v>
      </c>
      <c r="E122" s="10" t="str">
        <f>DATA!F113</f>
        <v>Kementerian Pekerjaan Umum dan Perumahan Rakyat</v>
      </c>
      <c r="F122" s="10" t="str">
        <f>DATA!H113</f>
        <v>Management of Water Resources Infrastructure Program</v>
      </c>
      <c r="G122" s="10" t="str">
        <f>DATA!I113</f>
        <v>L</v>
      </c>
      <c r="H122" s="10" t="str">
        <f>DATA!J113</f>
        <v xml:space="preserve">Program Pengelolaan Infrastruktur Sumber Daya Air </v>
      </c>
      <c r="I122" s="10">
        <f>DATA!K113</f>
        <v>2</v>
      </c>
      <c r="J122" s="33"/>
      <c r="K122" s="34"/>
      <c r="L122" s="34"/>
      <c r="M122" s="36">
        <f>DATA!K113</f>
        <v>2</v>
      </c>
      <c r="N122" s="37" t="str">
        <f>DATA!L113</f>
        <v xml:space="preserve">Enhanced Water Security Investment Program    </v>
      </c>
      <c r="O122" s="20">
        <f>DATA!Q113</f>
        <v>1</v>
      </c>
      <c r="P122" s="20">
        <f>DATA!R113</f>
        <v>1</v>
      </c>
      <c r="Q122" s="20">
        <f>DATA!S113</f>
        <v>77</v>
      </c>
      <c r="R122" s="77">
        <f>DATA!T113</f>
        <v>350000000</v>
      </c>
      <c r="S122" s="77"/>
      <c r="T122" s="77">
        <f>DATA!V113</f>
        <v>70000000</v>
      </c>
      <c r="U122" s="77">
        <f>DATA!W113</f>
        <v>0</v>
      </c>
      <c r="V122" s="77">
        <f>DATA!X113</f>
        <v>420000000</v>
      </c>
      <c r="W122" s="78" t="str">
        <f>DATA!Y113</f>
        <v>ADB</v>
      </c>
      <c r="X122" s="20" t="str">
        <f>DATA!Z113</f>
        <v>Multilateral</v>
      </c>
      <c r="Y122" s="77">
        <f>DATA!AA113</f>
        <v>350000000</v>
      </c>
      <c r="Z122" s="77">
        <f>DATA!AG113</f>
        <v>0</v>
      </c>
      <c r="AA122" s="20" t="str">
        <f>DATA!AH113</f>
        <v>Tanpa keterangan</v>
      </c>
      <c r="AB122" s="37" t="str">
        <f>DATA!AI113</f>
        <v>-</v>
      </c>
      <c r="AC122" s="37" t="str">
        <f>DATA!AJ113</f>
        <v>-</v>
      </c>
      <c r="AD122" s="37" t="str">
        <f>DATA!AK113</f>
        <v>-</v>
      </c>
      <c r="AE122" s="37" t="str">
        <f>DATA!AL113</f>
        <v>-</v>
      </c>
      <c r="AF122" s="20" t="str">
        <f>DATA!AR113</f>
        <v>belum ada dokumen R/C</v>
      </c>
      <c r="AG122" s="20" t="str">
        <f>DATA!AN113</f>
        <v>belum ada keterangan</v>
      </c>
      <c r="AH122" s="20" t="str">
        <f>DATA!AO113</f>
        <v>belum ada keterangan</v>
      </c>
      <c r="AI122" s="20" t="str">
        <f>DATA!AP113</f>
        <v>belum ada proses tender/lelang</v>
      </c>
      <c r="AJ122" s="20" t="str">
        <f>DATA!AY113</f>
        <v>Konfirmasi melalui surat Sekjen nomor KU.01.12-Sj/636 tgl 23 Oktober 2015</v>
      </c>
      <c r="AK122" s="20" t="e">
        <f>DATA!#REF!</f>
        <v>#REF!</v>
      </c>
      <c r="AL122" s="20" t="str">
        <f>DATA!AZ113</f>
        <v>Belum ada pembicaraan dgn ADB</v>
      </c>
      <c r="AM122" s="37" t="str">
        <f>DATA!BA113</f>
        <v>Peningkatan kapasitas waduk, pemanfaatan potensi bendungan untuk pembangkit listrik dan manajemen proyek</v>
      </c>
    </row>
    <row r="123" spans="1:39" ht="32.25" customHeight="1">
      <c r="A123" s="10">
        <f>DATA!A114</f>
        <v>87</v>
      </c>
      <c r="B123" s="10">
        <f>DATA!B114</f>
        <v>0</v>
      </c>
      <c r="C123" s="10" t="str">
        <f>DATA!D114</f>
        <v>INFRASTRUKTUR</v>
      </c>
      <c r="D123" s="10">
        <f>DATA!E114</f>
        <v>1</v>
      </c>
      <c r="E123" s="10" t="str">
        <f>DATA!F114</f>
        <v>Kementerian Pekerjaan Umum dan Perumahan Rakyat</v>
      </c>
      <c r="F123" s="10" t="str">
        <f>DATA!H114</f>
        <v>Management of Water Resources Infrastructure Program</v>
      </c>
      <c r="G123" s="10" t="str">
        <f>DATA!I114</f>
        <v>L</v>
      </c>
      <c r="H123" s="10" t="str">
        <f>DATA!J114</f>
        <v xml:space="preserve">Program Pengelolaan Infrastruktur Sumber Daya Air </v>
      </c>
      <c r="I123" s="10">
        <f>DATA!K114</f>
        <v>3</v>
      </c>
      <c r="J123" s="33"/>
      <c r="K123" s="34"/>
      <c r="L123" s="54"/>
      <c r="M123" s="36">
        <f>DATA!K114</f>
        <v>3</v>
      </c>
      <c r="N123" s="37" t="str">
        <f>DATA!L114</f>
        <v>Engineering Service for Water Resources Infrastructure Management</v>
      </c>
      <c r="O123" s="20">
        <f>DATA!Q114</f>
        <v>1</v>
      </c>
      <c r="P123" s="20">
        <f>DATA!R114</f>
        <v>1</v>
      </c>
      <c r="Q123" s="20">
        <f>DATA!S114</f>
        <v>78</v>
      </c>
      <c r="R123" s="77">
        <f>DATA!T114</f>
        <v>50000000</v>
      </c>
      <c r="S123" s="77"/>
      <c r="T123" s="77">
        <f>DATA!V114</f>
        <v>10000000</v>
      </c>
      <c r="U123" s="77">
        <f>DATA!W114</f>
        <v>0</v>
      </c>
      <c r="V123" s="77">
        <f>DATA!X114</f>
        <v>60000000</v>
      </c>
      <c r="W123" s="78" t="str">
        <f>DATA!Y114</f>
        <v>Belum Ada Indikasi</v>
      </c>
      <c r="X123" s="20" t="str">
        <f>DATA!Z114</f>
        <v>Multilateral</v>
      </c>
      <c r="Y123" s="77">
        <f>DATA!AA114</f>
        <v>50000000</v>
      </c>
      <c r="Z123" s="77">
        <f>DATA!AG114</f>
        <v>-50000000</v>
      </c>
      <c r="AA123" s="20" t="str">
        <f>DATA!AH114</f>
        <v>Tanpa keterangan</v>
      </c>
      <c r="AB123" s="37" t="str">
        <f>DATA!AI114</f>
        <v>-</v>
      </c>
      <c r="AC123" s="37" t="str">
        <f>DATA!AJ114</f>
        <v>-</v>
      </c>
      <c r="AD123" s="37" t="str">
        <f>DATA!AK114</f>
        <v>-</v>
      </c>
      <c r="AE123" s="37" t="str">
        <f>DATA!AL114</f>
        <v>-</v>
      </c>
      <c r="AF123" s="20" t="str">
        <f>DATA!AR114</f>
        <v>belum ada dokumen R/C</v>
      </c>
      <c r="AG123" s="20" t="str">
        <f>DATA!AN114</f>
        <v>siap</v>
      </c>
      <c r="AH123" s="20" t="str">
        <f>DATA!AO114</f>
        <v>tidak butuh lahan</v>
      </c>
      <c r="AI123" s="20" t="str">
        <f>DATA!AP114</f>
        <v>belum ada proses tender/lelang</v>
      </c>
      <c r="AJ123" s="20" t="str">
        <f>DATA!AY114</f>
        <v>Konfirmasi melalui surat Sekjen nomor KU.01.12-Sj/636 tgl 23 Oktober 2015</v>
      </c>
      <c r="AK123" s="20" t="e">
        <f>DATA!#REF!</f>
        <v>#REF!</v>
      </c>
      <c r="AL123" s="20" t="str">
        <f>DATA!AZ114</f>
        <v>Belum ada pembicaraan dgn ADB</v>
      </c>
      <c r="AM123" s="37" t="str">
        <f>DATA!BA114</f>
        <v>Engineering services dan management project untuk pengelolaan infrastruktur sumber daya air</v>
      </c>
    </row>
    <row r="124" spans="1:39" s="5" customFormat="1" ht="33.75" customHeight="1">
      <c r="J124" s="28"/>
      <c r="K124" s="50"/>
      <c r="L124" s="30" t="str">
        <f>DATA!I117</f>
        <v>M</v>
      </c>
      <c r="M124" s="31" t="str">
        <f>DATA!J117</f>
        <v>Program Penyediaaan Perumahan Bagi MBR</v>
      </c>
      <c r="N124" s="51"/>
      <c r="O124" s="31"/>
      <c r="P124" s="31"/>
      <c r="Q124" s="31"/>
      <c r="R124" s="81">
        <f>+R125</f>
        <v>300000000</v>
      </c>
      <c r="S124" s="81"/>
      <c r="T124" s="81">
        <f t="shared" ref="T124:Z124" si="8">+T125</f>
        <v>15000000</v>
      </c>
      <c r="U124" s="81">
        <f t="shared" si="8"/>
        <v>7000000</v>
      </c>
      <c r="V124" s="81">
        <f t="shared" si="8"/>
        <v>322000000</v>
      </c>
      <c r="W124" s="81"/>
      <c r="X124" s="81" t="str">
        <f t="shared" si="8"/>
        <v>Multilateral</v>
      </c>
      <c r="Y124" s="81">
        <f t="shared" si="8"/>
        <v>300000000</v>
      </c>
      <c r="Z124" s="81">
        <f t="shared" si="8"/>
        <v>0</v>
      </c>
      <c r="AA124" s="31"/>
      <c r="AB124" s="32"/>
      <c r="AC124" s="32"/>
      <c r="AD124" s="32"/>
      <c r="AE124" s="32"/>
      <c r="AF124" s="31"/>
      <c r="AG124" s="31"/>
      <c r="AH124" s="31"/>
      <c r="AI124" s="31"/>
      <c r="AJ124" s="31"/>
      <c r="AK124" s="31"/>
      <c r="AL124" s="31"/>
      <c r="AM124" s="32"/>
    </row>
    <row r="125" spans="1:39" ht="45.75" customHeight="1">
      <c r="A125" s="10">
        <f>DATA!A117</f>
        <v>88</v>
      </c>
      <c r="B125" s="10">
        <f>DATA!B117</f>
        <v>0</v>
      </c>
      <c r="C125" s="10" t="str">
        <f>DATA!D117</f>
        <v>INFRASTRUKTUR</v>
      </c>
      <c r="D125" s="10">
        <f>DATA!E117</f>
        <v>1</v>
      </c>
      <c r="E125" s="10" t="str">
        <f>DATA!F117</f>
        <v>Kementerian Pekerjaan Umum dan Perumahan Rakyat</v>
      </c>
      <c r="F125" s="10" t="str">
        <f>DATA!H117</f>
        <v>Program for Provision of Housing For Low-Income Households</v>
      </c>
      <c r="G125" s="10" t="str">
        <f>DATA!I117</f>
        <v>M</v>
      </c>
      <c r="H125" s="10" t="str">
        <f>DATA!J117</f>
        <v>Program Penyediaaan Perumahan Bagi MBR</v>
      </c>
      <c r="I125" s="10">
        <f>DATA!K117</f>
        <v>1</v>
      </c>
      <c r="J125" s="33"/>
      <c r="K125" s="54"/>
      <c r="L125" s="20"/>
      <c r="M125" s="36">
        <f>DATA!K117</f>
        <v>1</v>
      </c>
      <c r="N125" s="37" t="str">
        <f>DATA!L117</f>
        <v xml:space="preserve">Financial Support for Low Income Households </v>
      </c>
      <c r="O125" s="20">
        <f>DATA!Q117</f>
        <v>0</v>
      </c>
      <c r="P125" s="20">
        <f>DATA!R117</f>
        <v>0</v>
      </c>
      <c r="Q125" s="20">
        <f>DATA!S117</f>
        <v>79</v>
      </c>
      <c r="R125" s="77">
        <f>DATA!T117</f>
        <v>300000000</v>
      </c>
      <c r="S125" s="77"/>
      <c r="T125" s="77">
        <f>DATA!V117</f>
        <v>15000000</v>
      </c>
      <c r="U125" s="77">
        <f>DATA!W117</f>
        <v>7000000</v>
      </c>
      <c r="V125" s="77">
        <f>DATA!X117</f>
        <v>322000000</v>
      </c>
      <c r="W125" s="78" t="str">
        <f>DATA!Y117</f>
        <v>Bank Dunia</v>
      </c>
      <c r="X125" s="20" t="str">
        <f>DATA!Z117</f>
        <v>Multilateral</v>
      </c>
      <c r="Y125" s="77">
        <f>DATA!AA117</f>
        <v>300000000</v>
      </c>
      <c r="Z125" s="77">
        <f>DATA!AG117</f>
        <v>0</v>
      </c>
      <c r="AA125" s="20">
        <f>DATA!AH117</f>
        <v>2017</v>
      </c>
      <c r="AB125" s="37" t="str">
        <f>DATA!AI117</f>
        <v>Penyusunan R/C</v>
      </c>
      <c r="AC125" s="37" t="str">
        <f>DATA!AJ117</f>
        <v>-</v>
      </c>
      <c r="AD125" s="37" t="str">
        <f>DATA!AK117</f>
        <v>-</v>
      </c>
      <c r="AE125" s="37" t="str">
        <f>DATA!AL117</f>
        <v>-</v>
      </c>
      <c r="AF125" s="20" t="str">
        <f>DATA!AR117</f>
        <v>belum ada dokumen R/C</v>
      </c>
      <c r="AG125" s="20" t="str">
        <f>DATA!AN117</f>
        <v>belum ada keterangan</v>
      </c>
      <c r="AH125" s="20" t="str">
        <f>DATA!AO117</f>
        <v>belum ada keterangan</v>
      </c>
      <c r="AI125" s="20" t="str">
        <f>DATA!AP117</f>
        <v>belum ada proses tender/lelang</v>
      </c>
      <c r="AJ125" s="20" t="str">
        <f>DATA!AY117</f>
        <v>Konfirmasi melalui surat Sekjen nomor KU.01.12-Sj/636 tgl 23 Oktober 2015</v>
      </c>
      <c r="AK125" s="20" t="e">
        <f>DATA!#REF!</f>
        <v>#REF!</v>
      </c>
      <c r="AL125" s="20" t="str">
        <f>DATA!AZ117</f>
        <v>Tujuan kegiatan ini adalah untuk membantu uang muka pembangunan rumah</v>
      </c>
      <c r="AM125" s="37" t="str">
        <f>DATA!BA117</f>
        <v>Peningkatan kapasitas lembaga pembiayaan, pengembangan sistem pembiayaan perumahan mikro, dan pengembangan  sistem pembiayaan perumahan</v>
      </c>
    </row>
    <row r="126" spans="1:39" s="4" customFormat="1" ht="24.95" customHeight="1">
      <c r="J126" s="107"/>
      <c r="K126" s="25">
        <f>DATA!E118</f>
        <v>2</v>
      </c>
      <c r="L126" s="108" t="str">
        <f>DATA!F118</f>
        <v>PERUMNAS</v>
      </c>
      <c r="M126" s="26"/>
      <c r="N126" s="27"/>
      <c r="O126" s="26"/>
      <c r="P126" s="26"/>
      <c r="Q126" s="26"/>
      <c r="R126" s="80">
        <f>+R127</f>
        <v>200000000</v>
      </c>
      <c r="S126" s="80"/>
      <c r="T126" s="80">
        <f t="shared" ref="T126:Z127" si="9">+T127</f>
        <v>20000000</v>
      </c>
      <c r="U126" s="80">
        <f t="shared" si="9"/>
        <v>0</v>
      </c>
      <c r="V126" s="80">
        <f t="shared" si="9"/>
        <v>220000000</v>
      </c>
      <c r="W126" s="80"/>
      <c r="X126" s="80" t="str">
        <f t="shared" si="9"/>
        <v>Bilateral</v>
      </c>
      <c r="Y126" s="80">
        <f t="shared" si="9"/>
        <v>200000000</v>
      </c>
      <c r="Z126" s="80">
        <f t="shared" si="9"/>
        <v>0</v>
      </c>
      <c r="AA126" s="26"/>
      <c r="AB126" s="27"/>
      <c r="AC126" s="27"/>
      <c r="AD126" s="27"/>
      <c r="AE126" s="27"/>
      <c r="AF126" s="26"/>
      <c r="AG126" s="26"/>
      <c r="AH126" s="26"/>
      <c r="AI126" s="26"/>
      <c r="AJ126" s="26"/>
      <c r="AK126" s="26"/>
      <c r="AL126" s="26"/>
      <c r="AM126" s="27"/>
    </row>
    <row r="127" spans="1:39" s="5" customFormat="1" ht="33.75" customHeight="1">
      <c r="J127" s="28"/>
      <c r="K127" s="29"/>
      <c r="L127" s="30" t="str">
        <f>DATA!I118</f>
        <v>A</v>
      </c>
      <c r="M127" s="31" t="str">
        <f>DATA!J118</f>
        <v>Program Penyediaaan Perumahan Bagi MBR</v>
      </c>
      <c r="N127" s="51"/>
      <c r="O127" s="31"/>
      <c r="P127" s="31"/>
      <c r="Q127" s="31"/>
      <c r="R127" s="81">
        <f>+R128</f>
        <v>200000000</v>
      </c>
      <c r="S127" s="81"/>
      <c r="T127" s="81">
        <f t="shared" si="9"/>
        <v>20000000</v>
      </c>
      <c r="U127" s="81">
        <f t="shared" si="9"/>
        <v>0</v>
      </c>
      <c r="V127" s="81">
        <f t="shared" si="9"/>
        <v>220000000</v>
      </c>
      <c r="W127" s="81"/>
      <c r="X127" s="81" t="str">
        <f t="shared" si="9"/>
        <v>Bilateral</v>
      </c>
      <c r="Y127" s="81">
        <f t="shared" si="9"/>
        <v>200000000</v>
      </c>
      <c r="Z127" s="81">
        <f t="shared" si="9"/>
        <v>0</v>
      </c>
      <c r="AA127" s="31"/>
      <c r="AB127" s="32"/>
      <c r="AC127" s="32"/>
      <c r="AD127" s="32"/>
      <c r="AE127" s="32"/>
      <c r="AF127" s="31"/>
      <c r="AG127" s="31"/>
      <c r="AH127" s="31"/>
      <c r="AI127" s="31"/>
      <c r="AJ127" s="31"/>
      <c r="AK127" s="31"/>
      <c r="AL127" s="31"/>
      <c r="AM127" s="32"/>
    </row>
    <row r="128" spans="1:39" ht="63.75">
      <c r="A128" s="10">
        <f>DATA!A118</f>
        <v>89</v>
      </c>
      <c r="B128" s="10">
        <f>DATA!B118</f>
        <v>0</v>
      </c>
      <c r="C128" s="10" t="str">
        <f>DATA!D118</f>
        <v>INFRASTRUKTUR</v>
      </c>
      <c r="D128" s="10">
        <f>DATA!E118</f>
        <v>2</v>
      </c>
      <c r="E128" s="10" t="str">
        <f>DATA!F118</f>
        <v>PERUMNAS</v>
      </c>
      <c r="F128" s="10" t="str">
        <f>DATA!H118</f>
        <v>Program for Provision of Housing For Low-Income Households</v>
      </c>
      <c r="G128" s="10" t="str">
        <f>DATA!I118</f>
        <v>A</v>
      </c>
      <c r="H128" s="10" t="str">
        <f>DATA!J118</f>
        <v>Program Penyediaaan Perumahan Bagi MBR</v>
      </c>
      <c r="I128" s="10">
        <f>DATA!K118</f>
        <v>1</v>
      </c>
      <c r="J128" s="33"/>
      <c r="K128" s="54"/>
      <c r="L128" s="20"/>
      <c r="M128" s="36">
        <f>DATA!K118</f>
        <v>1</v>
      </c>
      <c r="N128" s="37" t="str">
        <f>DATA!L118</f>
        <v>Support for National Housing and Urban Development Cooperation</v>
      </c>
      <c r="O128" s="20">
        <f>DATA!Q118</f>
        <v>1</v>
      </c>
      <c r="P128" s="20">
        <f>DATA!R118</f>
        <v>1</v>
      </c>
      <c r="Q128" s="20">
        <f>DATA!S118</f>
        <v>80</v>
      </c>
      <c r="R128" s="77">
        <f>DATA!T118</f>
        <v>200000000</v>
      </c>
      <c r="S128" s="77"/>
      <c r="T128" s="77">
        <f>DATA!V118</f>
        <v>20000000</v>
      </c>
      <c r="U128" s="77">
        <f>DATA!W118</f>
        <v>0</v>
      </c>
      <c r="V128" s="77">
        <f>DATA!X118</f>
        <v>220000000</v>
      </c>
      <c r="W128" s="78" t="str">
        <f>DATA!Y118</f>
        <v>JICA</v>
      </c>
      <c r="X128" s="20" t="str">
        <f>DATA!Z118</f>
        <v>Bilateral</v>
      </c>
      <c r="Y128" s="77">
        <f>DATA!AA118</f>
        <v>200000000</v>
      </c>
      <c r="Z128" s="77">
        <f>DATA!AG118</f>
        <v>0</v>
      </c>
      <c r="AA128" s="20">
        <f>DATA!AH118</f>
        <v>2017</v>
      </c>
      <c r="AB128" s="37" t="str">
        <f>DATA!AI118</f>
        <v>Penyusunan R/C</v>
      </c>
      <c r="AC128" s="37" t="str">
        <f>DATA!AJ118</f>
        <v>FS, DED</v>
      </c>
      <c r="AD128" s="37" t="str">
        <f>DATA!AK118</f>
        <v>100% (lahan milik PERUMNAS)</v>
      </c>
      <c r="AE128" s="37" t="str">
        <f>DATA!AL118</f>
        <v>Mengikuti tahapan setiap project sesuai Standart Operational Procedure (SOP) Perumnas</v>
      </c>
      <c r="AF128" s="20" t="str">
        <f>DATA!AR118</f>
        <v>belum ada dokumen R/C</v>
      </c>
      <c r="AG128" s="20" t="str">
        <f>DATA!AN118</f>
        <v>dalam proses
(memiliki FS dan DED)</v>
      </c>
      <c r="AH128" s="20" t="str">
        <f>DATA!AO118</f>
        <v>siap</v>
      </c>
      <c r="AI128" s="20" t="str">
        <f>DATA!AP118</f>
        <v>belum ada proses tender/lelang</v>
      </c>
      <c r="AJ128"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K128" s="20" t="e">
        <f>DATA!#REF!</f>
        <v>#REF!</v>
      </c>
      <c r="AL128" s="20">
        <f>DATA!AZ118</f>
        <v>0</v>
      </c>
      <c r="AM128" s="37" t="str">
        <f>DATA!BA118</f>
        <v>Membangun 69.784 unit rumah (35.438 unit rumah sederhana tapak dan 34.346 unit rumah susun), meremajakan 3.816 unit rumah susun, dan mengelola perumahan umum (property management)</v>
      </c>
    </row>
    <row r="129" spans="1:39" s="4" customFormat="1" ht="24.95" customHeight="1">
      <c r="J129" s="107"/>
      <c r="K129" s="25">
        <f>DATA!E119</f>
        <v>3</v>
      </c>
      <c r="L129" s="108" t="str">
        <f>DATA!F119</f>
        <v>Kementerian Perhubungan</v>
      </c>
      <c r="M129" s="25"/>
      <c r="N129" s="27"/>
      <c r="O129" s="26"/>
      <c r="P129" s="26"/>
      <c r="Q129" s="26"/>
      <c r="R129" s="80">
        <f>+R130</f>
        <v>5765336700</v>
      </c>
      <c r="S129" s="80"/>
      <c r="T129" s="80">
        <f t="shared" ref="T129:Z129" si="10">+T130</f>
        <v>647453200</v>
      </c>
      <c r="U129" s="80">
        <f t="shared" si="10"/>
        <v>0</v>
      </c>
      <c r="V129" s="80">
        <f t="shared" si="10"/>
        <v>6412789900</v>
      </c>
      <c r="W129" s="80"/>
      <c r="X129" s="80" t="e">
        <f t="shared" si="10"/>
        <v>#VALUE!</v>
      </c>
      <c r="Y129" s="80">
        <f t="shared" si="10"/>
        <v>5765336700</v>
      </c>
      <c r="Z129" s="80">
        <f t="shared" si="10"/>
        <v>0</v>
      </c>
      <c r="AA129" s="26"/>
      <c r="AB129" s="27"/>
      <c r="AC129" s="27"/>
      <c r="AD129" s="27"/>
      <c r="AE129" s="27"/>
      <c r="AF129" s="26"/>
      <c r="AG129" s="26"/>
      <c r="AH129" s="26"/>
      <c r="AI129" s="26"/>
      <c r="AJ129" s="26"/>
      <c r="AK129" s="26"/>
      <c r="AL129" s="26"/>
      <c r="AM129" s="27"/>
    </row>
    <row r="130" spans="1:39" s="5" customFormat="1" ht="33.75" customHeight="1">
      <c r="J130" s="28"/>
      <c r="K130" s="29"/>
      <c r="L130" s="30" t="str">
        <f>DATA!I119</f>
        <v>A</v>
      </c>
      <c r="M130" s="31" t="str">
        <f>DATA!J119</f>
        <v>Program Pengembangan Perkeretaapian</v>
      </c>
      <c r="N130" s="51"/>
      <c r="O130" s="31"/>
      <c r="P130" s="31"/>
      <c r="Q130" s="31"/>
      <c r="R130" s="81">
        <f>+R131+R134+R135+R136</f>
        <v>5765336700</v>
      </c>
      <c r="S130" s="81"/>
      <c r="T130" s="81">
        <f t="shared" ref="T130:Z130" si="11">+T131+T134+T135+T136</f>
        <v>647453200</v>
      </c>
      <c r="U130" s="81">
        <f t="shared" si="11"/>
        <v>0</v>
      </c>
      <c r="V130" s="81">
        <f t="shared" si="11"/>
        <v>6412789900</v>
      </c>
      <c r="W130" s="81"/>
      <c r="X130" s="81" t="e">
        <f t="shared" si="11"/>
        <v>#VALUE!</v>
      </c>
      <c r="Y130" s="81">
        <f t="shared" si="11"/>
        <v>5765336700</v>
      </c>
      <c r="Z130" s="81">
        <f t="shared" si="11"/>
        <v>0</v>
      </c>
      <c r="AA130" s="31"/>
      <c r="AB130" s="32"/>
      <c r="AC130" s="32"/>
      <c r="AD130" s="32"/>
      <c r="AE130" s="32"/>
      <c r="AF130" s="31"/>
      <c r="AG130" s="31"/>
      <c r="AH130" s="31"/>
      <c r="AI130" s="31"/>
      <c r="AJ130" s="31"/>
      <c r="AK130" s="31"/>
      <c r="AL130" s="31"/>
      <c r="AM130" s="32"/>
    </row>
    <row r="131" spans="1:39" ht="27.75" customHeight="1">
      <c r="A131" s="10">
        <f>DATA!A119</f>
        <v>90</v>
      </c>
      <c r="B131" s="10">
        <f>DATA!B119</f>
        <v>0</v>
      </c>
      <c r="C131" s="10" t="str">
        <f>DATA!D119</f>
        <v>INFRASTRUKTUR</v>
      </c>
      <c r="D131" s="10">
        <f>DATA!E119</f>
        <v>3</v>
      </c>
      <c r="E131" s="10" t="str">
        <f>DATA!F119</f>
        <v>Kementerian Perhubungan</v>
      </c>
      <c r="F131" s="10" t="str">
        <f>DATA!H119</f>
        <v>Railway Development Program</v>
      </c>
      <c r="G131" s="10" t="str">
        <f>DATA!I119</f>
        <v>A</v>
      </c>
      <c r="H131" s="10" t="str">
        <f>DATA!J119</f>
        <v>Program Pengembangan Perkeretaapian</v>
      </c>
      <c r="I131" s="10">
        <f>DATA!K119</f>
        <v>1</v>
      </c>
      <c r="J131" s="33"/>
      <c r="K131" s="34"/>
      <c r="L131" s="35"/>
      <c r="M131" s="36">
        <f>DATA!K119</f>
        <v>1</v>
      </c>
      <c r="N131" s="37" t="str">
        <f>DATA!L119</f>
        <v>Procurement of Track Material and Turn Out:</v>
      </c>
      <c r="O131" s="20">
        <f>DATA!Q119</f>
        <v>0</v>
      </c>
      <c r="P131" s="20">
        <f>DATA!R119</f>
        <v>0</v>
      </c>
      <c r="Q131" s="20">
        <f>DATA!S119</f>
        <v>0</v>
      </c>
      <c r="R131" s="77">
        <f>DATA!T119</f>
        <v>492336700</v>
      </c>
      <c r="S131" s="77"/>
      <c r="T131" s="77">
        <f>DATA!V119</f>
        <v>119453200</v>
      </c>
      <c r="U131" s="77">
        <f>DATA!W119</f>
        <v>0</v>
      </c>
      <c r="V131" s="77">
        <f>DATA!X119</f>
        <v>611789900</v>
      </c>
      <c r="W131" s="78" t="str">
        <f>DATA!Y119</f>
        <v>-</v>
      </c>
      <c r="X131" s="20">
        <f>DATA!Z119</f>
        <v>0</v>
      </c>
      <c r="Y131" s="77">
        <f>DATA!AA119</f>
        <v>492336700</v>
      </c>
      <c r="Z131" s="77">
        <f>DATA!AG119</f>
        <v>0</v>
      </c>
      <c r="AA131" s="20" t="str">
        <f>DATA!AH119</f>
        <v>-</v>
      </c>
      <c r="AB131" s="37" t="str">
        <f>DATA!AI119</f>
        <v>-</v>
      </c>
      <c r="AC131" s="37" t="str">
        <f>DATA!AJ119</f>
        <v>-</v>
      </c>
      <c r="AD131" s="37" t="str">
        <f>DATA!AK119</f>
        <v>-</v>
      </c>
      <c r="AE131" s="37" t="str">
        <f>DATA!AL119</f>
        <v>-</v>
      </c>
      <c r="AF131" s="20" t="str">
        <f>DATA!AM119</f>
        <v>-</v>
      </c>
      <c r="AG131" s="20">
        <f>DATA!AN119</f>
        <v>0</v>
      </c>
      <c r="AH131" s="20" t="str">
        <f>DATA!AO119</f>
        <v>-</v>
      </c>
      <c r="AI131" s="20">
        <f>DATA!AP119</f>
        <v>0</v>
      </c>
      <c r="AJ131" s="20" t="str">
        <f>DATA!AY119</f>
        <v>Surat Kepala Biro Perencanaan nomor 548/BI/SRT/IX/2015 tgl 10 September 2015</v>
      </c>
      <c r="AK131" s="20" t="e">
        <f>DATA!#REF!</f>
        <v>#REF!</v>
      </c>
      <c r="AL131" s="20">
        <f>DATA!AZ119</f>
        <v>0</v>
      </c>
      <c r="AM131" s="37" t="str">
        <f>DATA!BA119</f>
        <v>Pengadaan 4.500 km track material dan pengadaan 650 unit wesel</v>
      </c>
    </row>
    <row r="132" spans="1:39" s="7" customFormat="1" ht="89.25">
      <c r="A132" s="6">
        <f>DATA!A120</f>
        <v>91</v>
      </c>
      <c r="B132" s="6">
        <f>DATA!B120</f>
        <v>0</v>
      </c>
      <c r="C132" s="6" t="str">
        <f>DATA!D120</f>
        <v>INFRASTRUKTUR</v>
      </c>
      <c r="D132" s="6">
        <f>DATA!E120</f>
        <v>3</v>
      </c>
      <c r="E132" s="6" t="str">
        <f>DATA!F120</f>
        <v>Kementerian Perhubungan</v>
      </c>
      <c r="F132" s="6" t="str">
        <f>DATA!H120</f>
        <v>Railway Development Program</v>
      </c>
      <c r="G132" s="6" t="str">
        <f>DATA!I120</f>
        <v>A</v>
      </c>
      <c r="H132" s="6" t="str">
        <f>DATA!J120</f>
        <v>Program Pengembangan Perkeretaapian</v>
      </c>
      <c r="I132" s="6">
        <f>DATA!K120</f>
        <v>1</v>
      </c>
      <c r="J132" s="44"/>
      <c r="K132" s="45"/>
      <c r="L132" s="45"/>
      <c r="M132" s="48"/>
      <c r="N132" s="68" t="str">
        <f>DATA!L120</f>
        <v>Procurement of Track Material and Turn Out - Phase II</v>
      </c>
      <c r="O132" s="42">
        <f>DATA!Q120</f>
        <v>1</v>
      </c>
      <c r="P132" s="42">
        <f>DATA!R120</f>
        <v>1</v>
      </c>
      <c r="Q132" s="42">
        <f>DATA!S120</f>
        <v>81</v>
      </c>
      <c r="R132" s="85">
        <f>DATA!T120</f>
        <v>200000000</v>
      </c>
      <c r="S132" s="85"/>
      <c r="T132" s="85">
        <f>DATA!V120</f>
        <v>46369000</v>
      </c>
      <c r="U132" s="83">
        <f>DATA!W120</f>
        <v>0</v>
      </c>
      <c r="V132" s="85">
        <f>DATA!X120</f>
        <v>246369000</v>
      </c>
      <c r="W132" s="86" t="str">
        <f>DATA!Y120</f>
        <v>RRT</v>
      </c>
      <c r="X132" s="42" t="str">
        <f>DATA!Z120</f>
        <v>Bilateral</v>
      </c>
      <c r="Y132" s="85">
        <f>DATA!AA120</f>
        <v>200000000</v>
      </c>
      <c r="Z132" s="85">
        <f>DATA!AG120</f>
        <v>0</v>
      </c>
      <c r="AA132" s="98">
        <f>DATA!AH120</f>
        <v>2016</v>
      </c>
      <c r="AB132" s="68" t="str">
        <f>DATA!AI120</f>
        <v>- Sudah ada R/C
- Green Book 2015
- Proses E/N dan LA
- Dalam proses persiapan penandatanganan Loan Agreement</v>
      </c>
      <c r="AC132" s="68" t="str">
        <f>DATA!AJ120</f>
        <v>- TOR
- RAB</v>
      </c>
      <c r="AD132" s="68" t="str">
        <f>DATA!AK120</f>
        <v xml:space="preserve">Tidak butuh pengadaan lahan </v>
      </c>
      <c r="AE132" s="68" t="str">
        <f>DATA!AL120</f>
        <v>Proses persetujuan draft kontrak oleh Menteri Perhubungan</v>
      </c>
      <c r="AF132" s="42" t="str">
        <f>DATA!AR120</f>
        <v>Nilai pinjaman di:
- GB 16 USD 175.056 ribu
- GB 15 USD 185.470 ribu</v>
      </c>
      <c r="AG132" s="42" t="str">
        <f>DATA!AN120</f>
        <v>dalam proses</v>
      </c>
      <c r="AH132" s="42" t="str">
        <f>DATA!AO120</f>
        <v>tidak butuh lahan</v>
      </c>
      <c r="AI132" s="42" t="str">
        <f>DATA!AP120</f>
        <v>belum ada proses tender/lelang</v>
      </c>
      <c r="AJ132" s="42" t="str">
        <f>DATA!AY120</f>
        <v>Surat Kepala Biro Perencanaan nomor 548/BI/SRT/IX/2015 tgl 10 September 2015</v>
      </c>
      <c r="AK132" s="42" t="e">
        <f>DATA!#REF!</f>
        <v>#REF!</v>
      </c>
      <c r="AL132" s="42">
        <f>DATA!AZ120</f>
        <v>0</v>
      </c>
      <c r="AM132" s="67" t="str">
        <f>DATA!BA120</f>
        <v>Pengadaan 1.500 km track material tipe UIC-54 dan pengadaan 300 unit wesel</v>
      </c>
    </row>
    <row r="133" spans="1:39" s="7" customFormat="1" ht="35.25" customHeight="1">
      <c r="A133" s="6">
        <f>DATA!A121</f>
        <v>92</v>
      </c>
      <c r="B133" s="6">
        <f>DATA!B121</f>
        <v>0</v>
      </c>
      <c r="C133" s="6" t="str">
        <f>DATA!D121</f>
        <v>INFRASTRUKTUR</v>
      </c>
      <c r="D133" s="6">
        <f>DATA!E121</f>
        <v>3</v>
      </c>
      <c r="E133" s="6" t="str">
        <f>DATA!F121</f>
        <v>Kementerian Perhubungan</v>
      </c>
      <c r="F133" s="6" t="str">
        <f>DATA!H121</f>
        <v>Railway Development Program</v>
      </c>
      <c r="G133" s="6" t="str">
        <f>DATA!I121</f>
        <v>A</v>
      </c>
      <c r="H133" s="6" t="str">
        <f>DATA!J121</f>
        <v>Program Pengembangan Perkeretaapian</v>
      </c>
      <c r="I133" s="6">
        <f>DATA!K121</f>
        <v>1</v>
      </c>
      <c r="J133" s="44"/>
      <c r="K133" s="45"/>
      <c r="L133" s="45"/>
      <c r="M133" s="70"/>
      <c r="N133" s="68" t="str">
        <f>DATA!L121</f>
        <v>Procurement of Track Material and Turn Out - Phase III</v>
      </c>
      <c r="O133" s="42">
        <f>DATA!Q121</f>
        <v>1</v>
      </c>
      <c r="P133" s="42">
        <f>DATA!R121</f>
        <v>1</v>
      </c>
      <c r="Q133" s="42">
        <f>DATA!S121</f>
        <v>82</v>
      </c>
      <c r="R133" s="85">
        <f>DATA!T121</f>
        <v>292336700</v>
      </c>
      <c r="S133" s="85"/>
      <c r="T133" s="85">
        <f>DATA!V121</f>
        <v>73084200</v>
      </c>
      <c r="U133" s="83">
        <f>DATA!W121</f>
        <v>0</v>
      </c>
      <c r="V133" s="85">
        <f>DATA!X121</f>
        <v>365420900</v>
      </c>
      <c r="W133" s="86" t="str">
        <f>DATA!Y121</f>
        <v>Belum Ada Indikasi</v>
      </c>
      <c r="X133" s="42" t="str">
        <f>DATA!Z121</f>
        <v>Belum Ada Indikasi</v>
      </c>
      <c r="Y133" s="85">
        <f>DATA!AA121</f>
        <v>292336700</v>
      </c>
      <c r="Z133" s="85">
        <f>DATA!AG121</f>
        <v>0</v>
      </c>
      <c r="AA133" s="98">
        <f>DATA!AH121</f>
        <v>2016</v>
      </c>
      <c r="AB133" s="68" t="str">
        <f>DATA!AI121</f>
        <v>-</v>
      </c>
      <c r="AC133" s="68" t="str">
        <f>DATA!AJ121</f>
        <v>-</v>
      </c>
      <c r="AD133" s="68" t="str">
        <f>DATA!AK121</f>
        <v xml:space="preserve">Tidak butuh pengadaan lahan </v>
      </c>
      <c r="AE133" s="68" t="str">
        <f>DATA!AL121</f>
        <v>-</v>
      </c>
      <c r="AF133" s="42" t="str">
        <f>DATA!AR121</f>
        <v>belum ada dokumen R/C</v>
      </c>
      <c r="AG133" s="42" t="str">
        <f>DATA!AN121</f>
        <v>belum ada keterangan</v>
      </c>
      <c r="AH133" s="42" t="str">
        <f>DATA!AO121</f>
        <v>tidak butuh lahan</v>
      </c>
      <c r="AI133" s="42" t="str">
        <f>DATA!AP121</f>
        <v>belum ada proses tender/lelang</v>
      </c>
      <c r="AJ133" s="42" t="str">
        <f>DATA!AY121</f>
        <v xml:space="preserve">- Menunggu kepastian Lender
- Surat Kepala Biro Perencanaan nomor 548/BI/SRT/IX/2015 tgl 10 September 2015
</v>
      </c>
      <c r="AK133" s="42" t="e">
        <f>DATA!#REF!</f>
        <v>#REF!</v>
      </c>
      <c r="AL133" s="42">
        <f>DATA!AZ121</f>
        <v>0</v>
      </c>
      <c r="AM133" s="67" t="str">
        <f>DATA!BA121</f>
        <v>Pengadaan 3.000 km track material tipe R 60 dan pengadaan 350 unit wesel</v>
      </c>
    </row>
    <row r="134" spans="1:39" s="8" customFormat="1" ht="75.75" customHeight="1">
      <c r="A134" s="10">
        <f>DATA!A123</f>
        <v>93</v>
      </c>
      <c r="B134" s="10">
        <f>DATA!B123</f>
        <v>0</v>
      </c>
      <c r="C134" s="10" t="str">
        <f>DATA!D123</f>
        <v>INFRASTRUKTUR</v>
      </c>
      <c r="D134" s="10">
        <f>DATA!E123</f>
        <v>3</v>
      </c>
      <c r="E134" s="10" t="str">
        <f>DATA!F123</f>
        <v>Kementerian Perhubungan</v>
      </c>
      <c r="F134" s="10" t="str">
        <f>DATA!H123</f>
        <v>Railway Development Program</v>
      </c>
      <c r="G134" s="10" t="str">
        <f>DATA!I123</f>
        <v>A</v>
      </c>
      <c r="H134" s="10" t="str">
        <f>DATA!J123</f>
        <v>Program Pengembangan Perkeretaapian</v>
      </c>
      <c r="I134" s="10">
        <f>DATA!K123</f>
        <v>2</v>
      </c>
      <c r="J134" s="57"/>
      <c r="K134" s="58"/>
      <c r="L134" s="58"/>
      <c r="M134" s="60">
        <f>DATA!K123</f>
        <v>2</v>
      </c>
      <c r="N134" s="61" t="str">
        <f>DATA!L123</f>
        <v xml:space="preserve">Construction of Jakarta Mass Rapid Transit Project - Phase II </v>
      </c>
      <c r="O134" s="20">
        <f>DATA!Q123</f>
        <v>1</v>
      </c>
      <c r="P134" s="20">
        <f>DATA!R123</f>
        <v>1</v>
      </c>
      <c r="Q134" s="20">
        <f>DATA!S123</f>
        <v>83</v>
      </c>
      <c r="R134" s="89">
        <f>DATA!T123</f>
        <v>1678000000</v>
      </c>
      <c r="S134" s="89"/>
      <c r="T134" s="89">
        <f>DATA!V123</f>
        <v>167800000</v>
      </c>
      <c r="U134" s="77">
        <f>DATA!W123</f>
        <v>0</v>
      </c>
      <c r="V134" s="89">
        <f>DATA!X123</f>
        <v>1845800000</v>
      </c>
      <c r="W134" s="90" t="str">
        <f>DATA!Y123</f>
        <v>JICA</v>
      </c>
      <c r="X134" s="20" t="str">
        <f>DATA!Z123</f>
        <v>Bilateral</v>
      </c>
      <c r="Y134" s="89">
        <f>DATA!AA123</f>
        <v>1678000000</v>
      </c>
      <c r="Z134" s="89">
        <f>DATA!AG123</f>
        <v>0</v>
      </c>
      <c r="AA134" s="103">
        <f>DATA!AH123</f>
        <v>2016</v>
      </c>
      <c r="AB134" s="61" t="str">
        <f>DATA!AI123</f>
        <v>-</v>
      </c>
      <c r="AC134" s="61" t="str">
        <f>DATA!AJ123</f>
        <v>- FS
- TOR (Disusun oleh Pemda DKI Jakarta)
-  RAB (Disusun oleh Pemda DKI Jakarta)</v>
      </c>
      <c r="AD134" s="61" t="str">
        <f>DATA!AK123</f>
        <v>Indikasi kebutuhan lahan menunggu hasil desain</v>
      </c>
      <c r="AE134" s="61" t="str">
        <f>DATA!AL123</f>
        <v>- Dilaksanakan oleh Pemda DKI Jakarta (Implementing Agency)</v>
      </c>
      <c r="AF134" s="20" t="str">
        <f>DATA!AR123</f>
        <v>belum ada dokumen R/C</v>
      </c>
      <c r="AG134" s="20" t="str">
        <f>DATA!AN123</f>
        <v>dalam proses
(memiliki FS)</v>
      </c>
      <c r="AH134" s="20" t="str">
        <f>DATA!AO123</f>
        <v>dalam proses
(perencanaan)</v>
      </c>
      <c r="AI134" s="20" t="str">
        <f>DATA!AP123</f>
        <v>belum ada proses tender/lelang</v>
      </c>
      <c r="AJ134" s="20" t="str">
        <f>DATA!AY123</f>
        <v>Surat Kepala Biro Perencanaan nomor 548/BI/SRT/IX/2015 tgl 10 September 2015</v>
      </c>
      <c r="AK134" s="20" t="e">
        <f>DATA!#REF!</f>
        <v>#REF!</v>
      </c>
      <c r="AL134" s="20">
        <f>DATA!AZ123</f>
        <v>0</v>
      </c>
      <c r="AM134" s="37" t="str">
        <f>DATA!BA123</f>
        <v>Terbangunnya jaringan MRT dari bundaran HI ke Kampung Bandan</v>
      </c>
    </row>
    <row r="135" spans="1:39" ht="74.25" customHeight="1">
      <c r="A135" s="10">
        <f>DATA!A124</f>
        <v>94</v>
      </c>
      <c r="B135" s="10">
        <f>DATA!B124</f>
        <v>0</v>
      </c>
      <c r="C135" s="10" t="str">
        <f>DATA!D124</f>
        <v>INFRASTRUKTUR</v>
      </c>
      <c r="D135" s="10">
        <f>DATA!E124</f>
        <v>3</v>
      </c>
      <c r="E135" s="10" t="str">
        <f>DATA!F124</f>
        <v>Kementerian Perhubungan</v>
      </c>
      <c r="F135" s="10" t="str">
        <f>DATA!H124</f>
        <v>Railway Development Program</v>
      </c>
      <c r="G135" s="10" t="str">
        <f>DATA!I124</f>
        <v>A</v>
      </c>
      <c r="H135" s="10" t="str">
        <f>DATA!J124</f>
        <v>Program Pengembangan Perkeretaapian</v>
      </c>
      <c r="I135" s="10">
        <f>DATA!K124</f>
        <v>3</v>
      </c>
      <c r="J135" s="33"/>
      <c r="K135" s="34"/>
      <c r="L135" s="34"/>
      <c r="M135" s="36">
        <f>DATA!K124</f>
        <v>3</v>
      </c>
      <c r="N135" s="37" t="str">
        <f>DATA!L124</f>
        <v>Construction of Jakarta Mass Rapid Transit East-West Line Project - Phase I</v>
      </c>
      <c r="O135" s="20">
        <f>DATA!Q124</f>
        <v>1</v>
      </c>
      <c r="P135" s="20">
        <f>DATA!R124</f>
        <v>1</v>
      </c>
      <c r="Q135" s="20">
        <f>DATA!S124</f>
        <v>84</v>
      </c>
      <c r="R135" s="77">
        <f>DATA!T124</f>
        <v>3572000000</v>
      </c>
      <c r="S135" s="77"/>
      <c r="T135" s="77">
        <f>DATA!V124</f>
        <v>357200000</v>
      </c>
      <c r="U135" s="77">
        <f>DATA!W124</f>
        <v>0</v>
      </c>
      <c r="V135" s="77">
        <f>DATA!X124</f>
        <v>3929200000</v>
      </c>
      <c r="W135" s="78" t="str">
        <f>DATA!Y124</f>
        <v>JICA</v>
      </c>
      <c r="X135" s="20" t="str">
        <f>DATA!Z124</f>
        <v>Bilateral</v>
      </c>
      <c r="Y135" s="77">
        <f>DATA!AA124</f>
        <v>3572000000</v>
      </c>
      <c r="Z135" s="77">
        <f>DATA!AG124</f>
        <v>0</v>
      </c>
      <c r="AA135" s="20">
        <f>DATA!AH124</f>
        <v>2018</v>
      </c>
      <c r="AB135" s="37" t="str">
        <f>DATA!AI124</f>
        <v>-</v>
      </c>
      <c r="AC135" s="37" t="str">
        <f>DATA!AJ124</f>
        <v>- FS
- TOR (Disusun oleh Pemda DKI Jakarta)
-  RAB (Disusun oleh Pemda DKI Jakarta)</v>
      </c>
      <c r="AD135" s="37" t="str">
        <f>DATA!AK124</f>
        <v>Indikasi kebutuhan lahan menunggu hasil desain</v>
      </c>
      <c r="AE135" s="37" t="str">
        <f>DATA!AL124</f>
        <v>- Dilaksanakan oleh Pemda DKI Jakarta (Implementing Agency)</v>
      </c>
      <c r="AF135" s="20" t="str">
        <f>DATA!AR124</f>
        <v>belum ada dokumen R/C</v>
      </c>
      <c r="AG135" s="20" t="str">
        <f>DATA!AN124</f>
        <v>dalam proses
(memiliki FS)</v>
      </c>
      <c r="AH135" s="20" t="str">
        <f>DATA!AO124</f>
        <v>dalam proses
(perencanaan)</v>
      </c>
      <c r="AI135" s="20" t="str">
        <f>DATA!AP124</f>
        <v>belum ada proses tender/lelang</v>
      </c>
      <c r="AJ135" s="20" t="str">
        <f>DATA!AY124</f>
        <v>Surat Kepala Biro Perencanaan nomor 548/BI/SRT/IX/2015 tgl 10 September 2015</v>
      </c>
      <c r="AK135" s="20" t="e">
        <f>DATA!#REF!</f>
        <v>#REF!</v>
      </c>
      <c r="AL135" s="20">
        <f>DATA!AZ124</f>
        <v>0</v>
      </c>
      <c r="AM135" s="37" t="str">
        <f>DATA!BA124</f>
        <v>Terbangunnya jaringan MRT dari Jakarta Timur ke Jakarta Barat</v>
      </c>
    </row>
    <row r="136" spans="1:39" s="8" customFormat="1" ht="51">
      <c r="A136" s="10">
        <f>DATA!A125</f>
        <v>95</v>
      </c>
      <c r="B136" s="10">
        <f>DATA!B125</f>
        <v>0</v>
      </c>
      <c r="C136" s="10" t="str">
        <f>DATA!D125</f>
        <v>INFRASTRUKTUR</v>
      </c>
      <c r="D136" s="10">
        <f>DATA!E125</f>
        <v>3</v>
      </c>
      <c r="E136" s="10" t="str">
        <f>DATA!F125</f>
        <v>Kementerian Perhubungan</v>
      </c>
      <c r="F136" s="10" t="str">
        <f>DATA!H125</f>
        <v>Railway Development Program</v>
      </c>
      <c r="G136" s="10" t="str">
        <f>DATA!I125</f>
        <v>A</v>
      </c>
      <c r="H136" s="10" t="str">
        <f>DATA!J125</f>
        <v>Program Pengembangan Perkeretaapian</v>
      </c>
      <c r="I136" s="10">
        <f>DATA!K125</f>
        <v>4</v>
      </c>
      <c r="J136" s="57"/>
      <c r="K136" s="111"/>
      <c r="L136" s="111"/>
      <c r="M136" s="60">
        <f>DATA!K125</f>
        <v>4</v>
      </c>
      <c r="N136" s="61" t="str">
        <f>DATA!L125</f>
        <v xml:space="preserve">Engineering Services Jakarta Mass Rapid Transit (MRT) East West Line Project - Phase I </v>
      </c>
      <c r="O136" s="20">
        <f>DATA!Q125</f>
        <v>1</v>
      </c>
      <c r="P136" s="20">
        <f>DATA!R125</f>
        <v>1</v>
      </c>
      <c r="Q136" s="20">
        <f>DATA!S125</f>
        <v>86</v>
      </c>
      <c r="R136" s="89">
        <f>DATA!T125</f>
        <v>23000000</v>
      </c>
      <c r="S136" s="89"/>
      <c r="T136" s="89">
        <f>DATA!V125</f>
        <v>3000000</v>
      </c>
      <c r="U136" s="77">
        <f>DATA!W125</f>
        <v>0</v>
      </c>
      <c r="V136" s="89">
        <f>DATA!X125</f>
        <v>26000000</v>
      </c>
      <c r="W136" s="90" t="str">
        <f>DATA!Y125</f>
        <v>JICA</v>
      </c>
      <c r="X136" s="20" t="str">
        <f>DATA!Z125</f>
        <v>Bilateral</v>
      </c>
      <c r="Y136" s="89">
        <f>DATA!AA125</f>
        <v>23000000</v>
      </c>
      <c r="Z136" s="89">
        <f>DATA!AG125</f>
        <v>0</v>
      </c>
      <c r="AA136" s="103">
        <f>DATA!AH125</f>
        <v>2015</v>
      </c>
      <c r="AB136" s="61" t="str">
        <f>DATA!AI125</f>
        <v>- Sudah ada R/C
- Green Book 2015
- Loan Agreement tgl 4 Des'15</v>
      </c>
      <c r="AC136" s="61" t="str">
        <f>DATA!AJ125</f>
        <v>- TOR
- RAB</v>
      </c>
      <c r="AD136" s="61" t="str">
        <f>DATA!AK125</f>
        <v>Tidak membutuhkan pengadaan lahan</v>
      </c>
      <c r="AE136" s="61" t="str">
        <f>DATA!AL125</f>
        <v xml:space="preserve">- </v>
      </c>
      <c r="AF136" s="20" t="str">
        <f>DATA!AR125</f>
        <v>Nilai pinjaman di GB 19.200 ribu</v>
      </c>
      <c r="AG136" s="20" t="str">
        <f>DATA!AN125</f>
        <v>siap</v>
      </c>
      <c r="AH136" s="20" t="str">
        <f>DATA!AO125</f>
        <v>tidak butuh lahan</v>
      </c>
      <c r="AI136" s="20" t="str">
        <f>DATA!AP125</f>
        <v>belum ada proses tender/lelang</v>
      </c>
      <c r="AJ136" s="20" t="str">
        <f>DATA!AY125</f>
        <v>Surat Kepala Biro Perencanaan nomor 548/BI/SRT/IX/2015 tgl 10 September 2015</v>
      </c>
      <c r="AK136" s="20" t="e">
        <f>DATA!#REF!</f>
        <v>#REF!</v>
      </c>
      <c r="AL136" s="20">
        <f>DATA!AZ125</f>
        <v>0</v>
      </c>
      <c r="AM136" s="37" t="str">
        <f>DATA!BA125</f>
        <v xml:space="preserve">Tersedianya DED dan dokumen tender </v>
      </c>
    </row>
    <row r="137" spans="1:39" s="4" customFormat="1" ht="24.95" customHeight="1">
      <c r="J137" s="107"/>
      <c r="K137" s="25">
        <f>DATA!E130</f>
        <v>4</v>
      </c>
      <c r="L137" s="108" t="str">
        <f>DATA!F130</f>
        <v>Pemprov. DKI Jakarta</v>
      </c>
      <c r="M137" s="25"/>
      <c r="N137" s="27"/>
      <c r="O137" s="26"/>
      <c r="P137" s="26"/>
      <c r="Q137" s="26"/>
      <c r="R137" s="80">
        <f>+R138</f>
        <v>1050000000</v>
      </c>
      <c r="S137" s="80"/>
      <c r="T137" s="80">
        <f t="shared" ref="T137:Z138" si="12">+T138</f>
        <v>150000000</v>
      </c>
      <c r="U137" s="80">
        <f t="shared" si="12"/>
        <v>0</v>
      </c>
      <c r="V137" s="80">
        <f t="shared" si="12"/>
        <v>1200000000</v>
      </c>
      <c r="W137" s="80"/>
      <c r="X137" s="80" t="str">
        <f t="shared" si="12"/>
        <v>Bilateral</v>
      </c>
      <c r="Y137" s="80">
        <f t="shared" si="12"/>
        <v>1050000000</v>
      </c>
      <c r="Z137" s="80">
        <f t="shared" si="12"/>
        <v>0</v>
      </c>
      <c r="AA137" s="26"/>
      <c r="AB137" s="27"/>
      <c r="AC137" s="27"/>
      <c r="AD137" s="27"/>
      <c r="AE137" s="27"/>
      <c r="AF137" s="26"/>
      <c r="AG137" s="26"/>
      <c r="AH137" s="26"/>
      <c r="AI137" s="26"/>
      <c r="AJ137" s="26"/>
      <c r="AK137" s="26"/>
      <c r="AL137" s="26"/>
      <c r="AM137" s="27"/>
    </row>
    <row r="138" spans="1:39" s="5" customFormat="1" ht="33.75" customHeight="1">
      <c r="J138" s="28"/>
      <c r="K138" s="29"/>
      <c r="L138" s="30" t="str">
        <f>DATA!I130</f>
        <v>A</v>
      </c>
      <c r="M138" s="31" t="str">
        <f>DATA!J130</f>
        <v>Program Pengembangan Perkeretaapian</v>
      </c>
      <c r="N138" s="51"/>
      <c r="O138" s="31"/>
      <c r="P138" s="31"/>
      <c r="Q138" s="31"/>
      <c r="R138" s="81">
        <f>+R139</f>
        <v>1050000000</v>
      </c>
      <c r="S138" s="81"/>
      <c r="T138" s="81">
        <f t="shared" si="12"/>
        <v>150000000</v>
      </c>
      <c r="U138" s="81">
        <f t="shared" si="12"/>
        <v>0</v>
      </c>
      <c r="V138" s="81">
        <f t="shared" si="12"/>
        <v>1200000000</v>
      </c>
      <c r="W138" s="81"/>
      <c r="X138" s="81" t="str">
        <f t="shared" si="12"/>
        <v>Bilateral</v>
      </c>
      <c r="Y138" s="81">
        <f t="shared" si="12"/>
        <v>1050000000</v>
      </c>
      <c r="Z138" s="81">
        <f t="shared" si="12"/>
        <v>0</v>
      </c>
      <c r="AA138" s="31"/>
      <c r="AB138" s="32"/>
      <c r="AC138" s="32"/>
      <c r="AD138" s="32"/>
      <c r="AE138" s="32"/>
      <c r="AF138" s="31"/>
      <c r="AG138" s="31"/>
      <c r="AH138" s="31"/>
      <c r="AI138" s="31"/>
      <c r="AJ138" s="31"/>
      <c r="AK138" s="31"/>
      <c r="AL138" s="31"/>
      <c r="AM138" s="32"/>
    </row>
    <row r="139" spans="1:39" s="8" customFormat="1" ht="45.75" customHeight="1">
      <c r="A139" s="10">
        <f>DATA!A130</f>
        <v>96</v>
      </c>
      <c r="B139" s="10">
        <f>DATA!B130</f>
        <v>0</v>
      </c>
      <c r="C139" s="10" t="str">
        <f>DATA!D130</f>
        <v>INFRASTRUKTUR</v>
      </c>
      <c r="D139" s="10">
        <f>DATA!E130</f>
        <v>4</v>
      </c>
      <c r="E139" s="10" t="str">
        <f>DATA!F130</f>
        <v>Pemprov. DKI Jakarta</v>
      </c>
      <c r="F139" s="10" t="str">
        <f>DATA!H130</f>
        <v>Railway Development Program</v>
      </c>
      <c r="G139" s="10" t="str">
        <f>DATA!I130</f>
        <v>A</v>
      </c>
      <c r="H139" s="10" t="str">
        <f>DATA!J130</f>
        <v>Program Pengembangan Perkeretaapian</v>
      </c>
      <c r="I139" s="10">
        <f>DATA!K130</f>
        <v>1</v>
      </c>
      <c r="J139" s="57"/>
      <c r="K139" s="111"/>
      <c r="L139" s="103"/>
      <c r="M139" s="103">
        <f>DATA!K130</f>
        <v>1</v>
      </c>
      <c r="N139" s="61" t="str">
        <f>DATA!L130</f>
        <v>Construction of Jakarta Mass Rapid Transit Project</v>
      </c>
      <c r="O139" s="20">
        <f>DATA!Q130</f>
        <v>1</v>
      </c>
      <c r="P139" s="20">
        <f>DATA!R130</f>
        <v>1</v>
      </c>
      <c r="Q139" s="20">
        <f>DATA!S130</f>
        <v>85</v>
      </c>
      <c r="R139" s="89">
        <f>DATA!T130</f>
        <v>1050000000</v>
      </c>
      <c r="S139" s="89"/>
      <c r="T139" s="89">
        <f>DATA!V130</f>
        <v>150000000</v>
      </c>
      <c r="U139" s="77">
        <f>DATA!W130</f>
        <v>0</v>
      </c>
      <c r="V139" s="89">
        <f>DATA!X130</f>
        <v>1200000000</v>
      </c>
      <c r="W139" s="90" t="str">
        <f>DATA!Y130</f>
        <v>JICA</v>
      </c>
      <c r="X139" s="20" t="str">
        <f>DATA!Z130</f>
        <v>Bilateral</v>
      </c>
      <c r="Y139" s="89">
        <f>DATA!AA130</f>
        <v>1050000000</v>
      </c>
      <c r="Z139" s="89">
        <f>DATA!AG130</f>
        <v>0</v>
      </c>
      <c r="AA139" s="103">
        <f>DATA!AH130</f>
        <v>2016</v>
      </c>
      <c r="AB139" s="61" t="str">
        <f>DATA!AI130</f>
        <v>- Sudah ada R/C
- Green Book 2015
- Loan Agreement tgl 4 Des'15</v>
      </c>
      <c r="AC139" s="61" t="str">
        <f>DATA!AJ130</f>
        <v>- TOR
- RAB</v>
      </c>
      <c r="AD139" s="131">
        <f>DATA!AK130</f>
        <v>1</v>
      </c>
      <c r="AE139" s="61" t="str">
        <f>DATA!AL130</f>
        <v>- Menunggu penandatanganan Loan Agreement</v>
      </c>
      <c r="AF139" s="20" t="str">
        <f>DATA!AR130</f>
        <v>Nilai pinjaman di GB USD 752.200 ribu</v>
      </c>
      <c r="AG139" s="20" t="str">
        <f>DATA!AN130</f>
        <v>siap</v>
      </c>
      <c r="AH139" s="20" t="str">
        <f>DATA!AO130</f>
        <v>siap</v>
      </c>
      <c r="AI139" s="20" t="str">
        <f>DATA!AP130</f>
        <v>dalam proses tender/lelang</v>
      </c>
      <c r="AJ139" s="20" t="str">
        <f>DATA!AY130</f>
        <v>Belum ada konfirmasi. Berdasarkan data dokumen kesiapan (RC)</v>
      </c>
      <c r="AK139" s="20" t="e">
        <f>DATA!#REF!</f>
        <v>#REF!</v>
      </c>
      <c r="AL139" s="20">
        <f>DATA!AZ130</f>
        <v>0</v>
      </c>
      <c r="AM139" s="37" t="str">
        <f>DATA!BA130</f>
        <v>Terbangunnya jaringan MRT dari Utara ke Selatan</v>
      </c>
    </row>
    <row r="140" spans="1:39" s="4" customFormat="1" ht="24.95" customHeight="1">
      <c r="J140" s="107"/>
      <c r="K140" s="25">
        <f>DATA!E135</f>
        <v>5</v>
      </c>
      <c r="L140" s="108" t="str">
        <f>DATA!F135</f>
        <v>Kementerian Komunikasi dan Informatika</v>
      </c>
      <c r="M140" s="25"/>
      <c r="N140" s="27"/>
      <c r="O140" s="26"/>
      <c r="P140" s="26"/>
      <c r="Q140" s="26"/>
      <c r="R140" s="80">
        <f>+R141</f>
        <v>1056000000</v>
      </c>
      <c r="S140" s="80"/>
      <c r="T140" s="80">
        <f t="shared" ref="T140:Z140" si="13">+T141</f>
        <v>86000000</v>
      </c>
      <c r="U140" s="80">
        <f t="shared" si="13"/>
        <v>10000000</v>
      </c>
      <c r="V140" s="80">
        <f t="shared" si="13"/>
        <v>1152000000</v>
      </c>
      <c r="W140" s="80"/>
      <c r="X140" s="80" t="e">
        <f t="shared" si="13"/>
        <v>#VALUE!</v>
      </c>
      <c r="Y140" s="80">
        <f t="shared" si="13"/>
        <v>1056000000</v>
      </c>
      <c r="Z140" s="80">
        <f t="shared" si="13"/>
        <v>-411000000</v>
      </c>
      <c r="AA140" s="26"/>
      <c r="AB140" s="27"/>
      <c r="AC140" s="27"/>
      <c r="AD140" s="27"/>
      <c r="AE140" s="27"/>
      <c r="AF140" s="26"/>
      <c r="AG140" s="26"/>
      <c r="AH140" s="26"/>
      <c r="AI140" s="26"/>
      <c r="AJ140" s="26"/>
      <c r="AK140" s="26"/>
      <c r="AL140" s="26"/>
      <c r="AM140" s="27"/>
    </row>
    <row r="141" spans="1:39" s="5" customFormat="1" ht="33.75" customHeight="1">
      <c r="J141" s="28"/>
      <c r="K141" s="29"/>
      <c r="L141" s="30" t="str">
        <f>DATA!I135</f>
        <v>A</v>
      </c>
      <c r="M141" s="31" t="str">
        <f>DATA!J135</f>
        <v>Program Pengembangan Infrastruktur TIK dan Penyiaran</v>
      </c>
      <c r="N141" s="51"/>
      <c r="O141" s="31"/>
      <c r="P141" s="31"/>
      <c r="Q141" s="31"/>
      <c r="R141" s="81">
        <f>+R142+R143+R144</f>
        <v>1056000000</v>
      </c>
      <c r="S141" s="81"/>
      <c r="T141" s="81">
        <f t="shared" ref="T141:Z141" si="14">+T142+T143+T144</f>
        <v>86000000</v>
      </c>
      <c r="U141" s="81">
        <f t="shared" si="14"/>
        <v>10000000</v>
      </c>
      <c r="V141" s="81">
        <f t="shared" si="14"/>
        <v>1152000000</v>
      </c>
      <c r="W141" s="81"/>
      <c r="X141" s="81" t="e">
        <f t="shared" si="14"/>
        <v>#VALUE!</v>
      </c>
      <c r="Y141" s="81">
        <f t="shared" si="14"/>
        <v>1056000000</v>
      </c>
      <c r="Z141" s="81">
        <f t="shared" si="14"/>
        <v>-411000000</v>
      </c>
      <c r="AA141" s="31"/>
      <c r="AB141" s="32"/>
      <c r="AC141" s="32"/>
      <c r="AD141" s="32"/>
      <c r="AE141" s="32"/>
      <c r="AF141" s="31"/>
      <c r="AG141" s="31"/>
      <c r="AH141" s="31"/>
      <c r="AI141" s="31"/>
      <c r="AJ141" s="31"/>
      <c r="AK141" s="31"/>
      <c r="AL141" s="31"/>
      <c r="AM141" s="32"/>
    </row>
    <row r="142" spans="1:39" ht="71.25" customHeight="1">
      <c r="A142" s="10">
        <f>DATA!A135</f>
        <v>97</v>
      </c>
      <c r="B142" s="10">
        <f>DATA!B135</f>
        <v>0</v>
      </c>
      <c r="C142" s="10" t="str">
        <f>DATA!D135</f>
        <v>INFRASTRUKTUR</v>
      </c>
      <c r="D142" s="10">
        <f>DATA!E135</f>
        <v>5</v>
      </c>
      <c r="E142" s="10" t="str">
        <f>DATA!F135</f>
        <v>Kementerian Komunikasi dan Informatika</v>
      </c>
      <c r="F142" s="10" t="str">
        <f>DATA!H135</f>
        <v>Information Communication And Technology (ICT) And Broadcasting Infrastructure Development Program</v>
      </c>
      <c r="G142" s="10" t="str">
        <f>DATA!I135</f>
        <v>A</v>
      </c>
      <c r="H142" s="10" t="str">
        <f>DATA!J135</f>
        <v>Program Pengembangan Infrastruktur TIK dan Penyiaran</v>
      </c>
      <c r="I142" s="10">
        <f>DATA!K135</f>
        <v>1</v>
      </c>
      <c r="J142" s="33"/>
      <c r="K142" s="34"/>
      <c r="L142" s="35"/>
      <c r="M142" s="36">
        <f>DATA!K135</f>
        <v>1</v>
      </c>
      <c r="N142" s="37" t="str">
        <f>DATA!L135</f>
        <v>Improvement on TV Transmitting Stations (Digitalization of TVRI) - Phase III</v>
      </c>
      <c r="O142" s="20">
        <f>DATA!Q135</f>
        <v>1</v>
      </c>
      <c r="P142" s="20">
        <f>DATA!R135</f>
        <v>1</v>
      </c>
      <c r="Q142" s="20">
        <f>DATA!S135</f>
        <v>87</v>
      </c>
      <c r="R142" s="77">
        <f>DATA!T135</f>
        <v>411000000</v>
      </c>
      <c r="S142" s="77"/>
      <c r="T142" s="77">
        <f>DATA!V135</f>
        <v>41000000</v>
      </c>
      <c r="U142" s="77">
        <f>DATA!W135</f>
        <v>0</v>
      </c>
      <c r="V142" s="77">
        <f>DATA!X135</f>
        <v>452000000</v>
      </c>
      <c r="W142" s="78" t="str">
        <f>DATA!Y135</f>
        <v>Belum Ada Indikasi</v>
      </c>
      <c r="X142" s="20" t="str">
        <f>DATA!Z135</f>
        <v>Belum Ada Indikasi</v>
      </c>
      <c r="Y142" s="77">
        <f>DATA!AA135</f>
        <v>411000000</v>
      </c>
      <c r="Z142" s="77">
        <f>DATA!AG135</f>
        <v>-411000000</v>
      </c>
      <c r="AA142" s="20" t="str">
        <f>DATA!AH135</f>
        <v>Tanpa keterangan</v>
      </c>
      <c r="AB142" s="37" t="str">
        <f>DATA!AI135</f>
        <v>(tidak ada data)</v>
      </c>
      <c r="AC142" s="37" t="str">
        <f>DATA!AJ135</f>
        <v>Persiapan penyusunan FS</v>
      </c>
      <c r="AD142" s="37" t="str">
        <f>DATA!AK135</f>
        <v>Menggunakan lahan milik TVRI</v>
      </c>
      <c r="AE142" s="37" t="str">
        <f>DATA!AL135</f>
        <v>Belum ada lelang/tender</v>
      </c>
      <c r="AF142" s="20" t="str">
        <f>DATA!AR135</f>
        <v>belum ada dokumen R/C</v>
      </c>
      <c r="AG142" s="20" t="str">
        <f>DATA!AN135</f>
        <v>dalam proses
(penyusunan FS)</v>
      </c>
      <c r="AH142" s="20" t="str">
        <f>DATA!AO135</f>
        <v>siap</v>
      </c>
      <c r="AI142" s="20" t="str">
        <f>DATA!AP135</f>
        <v>belum ada proses tender/lelang</v>
      </c>
      <c r="AJ142" s="20" t="str">
        <f>DATA!AY135</f>
        <v xml:space="preserve">- Belum ada indikasi Lender, Dit. Telsus sedang melakukan penjajakan, belum bisa diidentifikasikan sampai proses penjajakan selesai
- Surat Karoren Kem. Kominfo nomor S-1075/KOMINFO/SJ.1/PR.01.01/09/2015 tgl 9 September 2015
</v>
      </c>
      <c r="AK142" s="20" t="e">
        <f>DATA!#REF!</f>
        <v>#REF!</v>
      </c>
      <c r="AL142" s="20">
        <f>DATA!AZ135</f>
        <v>0</v>
      </c>
      <c r="AM142" s="37" t="str">
        <f>DATA!BA135</f>
        <v>Pengadaan peralatan dan mesin untuk rehabilitasi fasilitas produksi dan pemancar TVRI dari sistem analog ke digital untuk: 29 studio (7 di pusat dan 22 di daerah), 250 stasiun transmisi, 30 lokasi untuk ICT Broadcast</v>
      </c>
    </row>
    <row r="143" spans="1:39" ht="81" customHeight="1">
      <c r="A143" s="10">
        <f>DATA!A136</f>
        <v>98</v>
      </c>
      <c r="B143" s="10">
        <f>DATA!B136</f>
        <v>0</v>
      </c>
      <c r="C143" s="10" t="str">
        <f>DATA!D136</f>
        <v>INFRASTRUKTUR</v>
      </c>
      <c r="D143" s="10">
        <f>DATA!E136</f>
        <v>5</v>
      </c>
      <c r="E143" s="10" t="str">
        <f>DATA!F136</f>
        <v>Kementerian Komunikasi dan Informatika</v>
      </c>
      <c r="F143" s="10" t="str">
        <f>DATA!H136</f>
        <v>Information Communication And Technology (ICT) And Broadcasting Infrastructure Development Program</v>
      </c>
      <c r="G143" s="10" t="str">
        <f>DATA!I136</f>
        <v>A</v>
      </c>
      <c r="H143" s="10" t="str">
        <f>DATA!J136</f>
        <v>Program Pengembangan Infrastruktur TIK dan Penyiaran</v>
      </c>
      <c r="I143" s="10">
        <f>DATA!K136</f>
        <v>2</v>
      </c>
      <c r="J143" s="33"/>
      <c r="K143" s="34"/>
      <c r="L143" s="34"/>
      <c r="M143" s="36">
        <f>DATA!K136</f>
        <v>2</v>
      </c>
      <c r="N143" s="37" t="str">
        <f>DATA!L136</f>
        <v>Strengthening of e-Government Infrastructure</v>
      </c>
      <c r="O143" s="20">
        <f>DATA!Q136</f>
        <v>1</v>
      </c>
      <c r="P143" s="20">
        <f>DATA!R136</f>
        <v>1</v>
      </c>
      <c r="Q143" s="20">
        <f>DATA!S136</f>
        <v>88</v>
      </c>
      <c r="R143" s="77">
        <f>DATA!T136</f>
        <v>145000000</v>
      </c>
      <c r="S143" s="77"/>
      <c r="T143" s="77">
        <f>DATA!V136</f>
        <v>20000000</v>
      </c>
      <c r="U143" s="77">
        <f>DATA!W136</f>
        <v>10000000</v>
      </c>
      <c r="V143" s="77">
        <f>DATA!X136</f>
        <v>175000000</v>
      </c>
      <c r="W143" s="78" t="str">
        <f>DATA!Y136</f>
        <v>Korea</v>
      </c>
      <c r="X143" s="20" t="str">
        <f>DATA!Z136</f>
        <v>Bilateral</v>
      </c>
      <c r="Y143" s="77">
        <f>DATA!AA136</f>
        <v>145000000</v>
      </c>
      <c r="Z143" s="77">
        <f>DATA!AG136</f>
        <v>0</v>
      </c>
      <c r="AA143" s="20" t="str">
        <f>DATA!AH136</f>
        <v>Tanpa keterangan</v>
      </c>
      <c r="AB143" s="37" t="str">
        <f>DATA!AI136</f>
        <v>Persiapan penyusunan R/C</v>
      </c>
      <c r="AC143" s="37" t="str">
        <f>DATA!AJ136</f>
        <v>Persiapan penyusunan FS dan DED</v>
      </c>
      <c r="AD143" s="37" t="str">
        <f>DATA!AK136</f>
        <v>Permohonan ijin lokasi kepada Gubernur Kaltim telah direspon persetujuan menunggu survey</v>
      </c>
      <c r="AE143" s="37" t="str">
        <f>DATA!AL136</f>
        <v>Belum ada lelang/tender</v>
      </c>
      <c r="AF143" s="20" t="str">
        <f>DATA!AR136</f>
        <v>penyiapan dokumen R/C</v>
      </c>
      <c r="AG143" s="20" t="str">
        <f>DATA!AN136</f>
        <v>dalam proses
(penyusunan FS)</v>
      </c>
      <c r="AH143" s="20" t="str">
        <f>DATA!AO136</f>
        <v>dalam proses
(persiapan)</v>
      </c>
      <c r="AI143" s="20" t="str">
        <f>DATA!AP136</f>
        <v>belum ada proses tender/lelang</v>
      </c>
      <c r="AJ143"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K143" s="20" t="e">
        <f>DATA!#REF!</f>
        <v>#REF!</v>
      </c>
      <c r="AL143" s="20">
        <f>DATA!AZ136</f>
        <v>0</v>
      </c>
      <c r="AM143" s="37" t="str">
        <f>DATA!BA136</f>
        <v>Pembangunan Data Center (DC) Nasional, pembangunan Disaster Recovery Center (DRC), pembangunan National Network Operation Center (NNOC),  sistem Government-Certification of Authority (Govt-CA),  dan penyediaan bandwidth selama 3 tahun.</v>
      </c>
    </row>
    <row r="144" spans="1:39" ht="38.25" customHeight="1">
      <c r="A144" s="10">
        <f>DATA!A137</f>
        <v>99</v>
      </c>
      <c r="B144" s="10">
        <f>DATA!B137</f>
        <v>0</v>
      </c>
      <c r="C144" s="10" t="str">
        <f>DATA!D137</f>
        <v>INFRASTRUKTUR</v>
      </c>
      <c r="D144" s="10">
        <f>DATA!E137</f>
        <v>5</v>
      </c>
      <c r="E144" s="10" t="str">
        <f>DATA!F137</f>
        <v>Kementerian Komunikasi dan Informatika</v>
      </c>
      <c r="F144" s="10" t="str">
        <f>DATA!H137</f>
        <v>Information Communication And Technology (ICT) And Broadcasting Infrastructure Development Program</v>
      </c>
      <c r="G144" s="10" t="str">
        <f>DATA!I137</f>
        <v>A</v>
      </c>
      <c r="H144" s="10" t="str">
        <f>DATA!J137</f>
        <v>Program Pengembangan Infrastruktur TIK dan Penyiaran</v>
      </c>
      <c r="I144" s="10">
        <f>DATA!K137</f>
        <v>3</v>
      </c>
      <c r="J144" s="33"/>
      <c r="K144" s="54"/>
      <c r="L144" s="54"/>
      <c r="M144" s="36">
        <f>DATA!K137</f>
        <v>3</v>
      </c>
      <c r="N144" s="37" t="str">
        <f>DATA!L137</f>
        <v>National Fiber Optic Backbone (Palapa Ring)</v>
      </c>
      <c r="O144" s="20">
        <f>DATA!Q137</f>
        <v>1</v>
      </c>
      <c r="P144" s="20">
        <f>DATA!R137</f>
        <v>1</v>
      </c>
      <c r="Q144" s="20">
        <f>DATA!S137</f>
        <v>89</v>
      </c>
      <c r="R144" s="77">
        <f>DATA!T137</f>
        <v>500000000</v>
      </c>
      <c r="S144" s="77"/>
      <c r="T144" s="77">
        <f>DATA!V137</f>
        <v>25000000</v>
      </c>
      <c r="U144" s="77">
        <f>DATA!W137</f>
        <v>0</v>
      </c>
      <c r="V144" s="77">
        <f>DATA!X137</f>
        <v>525000000</v>
      </c>
      <c r="W144" s="78" t="str">
        <f>DATA!Y137</f>
        <v>KPS</v>
      </c>
      <c r="X144" s="20" t="str">
        <f>DATA!Z137</f>
        <v>Dipindahkan ke KPS</v>
      </c>
      <c r="Y144" s="77">
        <f>DATA!AA137</f>
        <v>500000000</v>
      </c>
      <c r="Z144" s="77">
        <f>DATA!AG137</f>
        <v>0</v>
      </c>
      <c r="AA144" s="20" t="str">
        <f>DATA!AH137</f>
        <v>Tanpa keterangan</v>
      </c>
      <c r="AB144" s="37" t="str">
        <f>DATA!AI137</f>
        <v>-</v>
      </c>
      <c r="AC144" s="37" t="str">
        <f>DATA!AJ137</f>
        <v>-</v>
      </c>
      <c r="AD144" s="37" t="str">
        <f>DATA!AK137</f>
        <v>-</v>
      </c>
      <c r="AE144" s="37" t="str">
        <f>DATA!AL137</f>
        <v>-</v>
      </c>
      <c r="AF144" s="20">
        <f>DATA!AM137</f>
        <v>0</v>
      </c>
      <c r="AG144" s="20" t="str">
        <f>DATA!AN137</f>
        <v>belum ada keterangan</v>
      </c>
      <c r="AH144" s="20" t="str">
        <f>DATA!AO137</f>
        <v>belum ada keterangan</v>
      </c>
      <c r="AI144" s="20" t="str">
        <f>DATA!AP137</f>
        <v>belum ada proses tender/lelang</v>
      </c>
      <c r="AJ144"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K144" s="20" t="e">
        <f>DATA!#REF!</f>
        <v>#REF!</v>
      </c>
      <c r="AL144" s="20">
        <f>DATA!AZ137</f>
        <v>0</v>
      </c>
      <c r="AM144" s="37" t="str">
        <f>DATA!BA137</f>
        <v>Pembangunan jaringan telekomunikasi pitalebar/broadband Palapa Ring di 51 kabupaten/kota.</v>
      </c>
    </row>
    <row r="145" spans="1:39" s="4" customFormat="1" ht="24.95" customHeight="1">
      <c r="J145" s="107"/>
      <c r="K145" s="25">
        <f>DATA!E138</f>
        <v>6</v>
      </c>
      <c r="L145" s="108" t="str">
        <f>DATA!F138</f>
        <v>Kepolisian RI</v>
      </c>
      <c r="M145" s="25"/>
      <c r="N145" s="27"/>
      <c r="O145" s="26"/>
      <c r="P145" s="26"/>
      <c r="Q145" s="26"/>
      <c r="R145" s="80">
        <f>+R146</f>
        <v>20000000</v>
      </c>
      <c r="S145" s="80"/>
      <c r="T145" s="80">
        <f t="shared" ref="T145:Z146" si="15">+T146</f>
        <v>3500000</v>
      </c>
      <c r="U145" s="80">
        <f t="shared" si="15"/>
        <v>0</v>
      </c>
      <c r="V145" s="80">
        <f t="shared" si="15"/>
        <v>23500000</v>
      </c>
      <c r="W145" s="80"/>
      <c r="X145" s="80" t="str">
        <f t="shared" si="15"/>
        <v>Bilateral</v>
      </c>
      <c r="Y145" s="80">
        <f t="shared" si="15"/>
        <v>20000000</v>
      </c>
      <c r="Z145" s="80">
        <f t="shared" si="15"/>
        <v>0</v>
      </c>
      <c r="AA145" s="26"/>
      <c r="AB145" s="27"/>
      <c r="AC145" s="27"/>
      <c r="AD145" s="27"/>
      <c r="AE145" s="27"/>
      <c r="AF145" s="26"/>
      <c r="AG145" s="26"/>
      <c r="AH145" s="26"/>
      <c r="AI145" s="26"/>
      <c r="AJ145" s="26"/>
      <c r="AK145" s="26"/>
      <c r="AL145" s="26"/>
      <c r="AM145" s="27"/>
    </row>
    <row r="146" spans="1:39" s="5" customFormat="1" ht="33.75" customHeight="1">
      <c r="J146" s="28"/>
      <c r="K146" s="29"/>
      <c r="L146" s="30" t="str">
        <f>DATA!I138</f>
        <v>A</v>
      </c>
      <c r="M146" s="31" t="str">
        <f>DATA!J138</f>
        <v>Program Pengembangan Infrastruktur TIK dan Penyiaran</v>
      </c>
      <c r="N146" s="51"/>
      <c r="O146" s="31"/>
      <c r="P146" s="31"/>
      <c r="Q146" s="31"/>
      <c r="R146" s="81">
        <f>+R147</f>
        <v>20000000</v>
      </c>
      <c r="S146" s="81"/>
      <c r="T146" s="81">
        <f t="shared" si="15"/>
        <v>3500000</v>
      </c>
      <c r="U146" s="81">
        <f t="shared" si="15"/>
        <v>0</v>
      </c>
      <c r="V146" s="81">
        <f t="shared" si="15"/>
        <v>23500000</v>
      </c>
      <c r="W146" s="81"/>
      <c r="X146" s="81" t="str">
        <f t="shared" si="15"/>
        <v>Bilateral</v>
      </c>
      <c r="Y146" s="81">
        <f t="shared" si="15"/>
        <v>20000000</v>
      </c>
      <c r="Z146" s="81">
        <f t="shared" si="15"/>
        <v>0</v>
      </c>
      <c r="AA146" s="31"/>
      <c r="AB146" s="32"/>
      <c r="AC146" s="32"/>
      <c r="AD146" s="32"/>
      <c r="AE146" s="32"/>
      <c r="AF146" s="31"/>
      <c r="AG146" s="31"/>
      <c r="AH146" s="31"/>
      <c r="AI146" s="31"/>
      <c r="AJ146" s="31"/>
      <c r="AK146" s="31"/>
      <c r="AL146" s="31"/>
      <c r="AM146" s="32"/>
    </row>
    <row r="147" spans="1:39" ht="47.25" customHeight="1">
      <c r="A147" s="10">
        <f>DATA!A138</f>
        <v>100</v>
      </c>
      <c r="B147" s="10">
        <f>DATA!B138</f>
        <v>0</v>
      </c>
      <c r="C147" s="10" t="str">
        <f>DATA!D138</f>
        <v>INFRASTRUKTUR</v>
      </c>
      <c r="D147" s="10">
        <f>DATA!E138</f>
        <v>6</v>
      </c>
      <c r="E147" s="10" t="str">
        <f>DATA!F138</f>
        <v>Kepolisian RI</v>
      </c>
      <c r="F147" s="10" t="str">
        <f>DATA!H138</f>
        <v>Information Communication And Technology (ICT) And Broadcasting Infrastructure Development Program</v>
      </c>
      <c r="G147" s="10" t="str">
        <f>DATA!I138</f>
        <v>A</v>
      </c>
      <c r="H147" s="10" t="str">
        <f>DATA!J138</f>
        <v>Program Pengembangan Infrastruktur TIK dan Penyiaran</v>
      </c>
      <c r="I147" s="10">
        <f>DATA!K138</f>
        <v>1</v>
      </c>
      <c r="J147" s="33"/>
      <c r="K147" s="54"/>
      <c r="L147" s="20"/>
      <c r="M147" s="36">
        <f>DATA!K138</f>
        <v>1</v>
      </c>
      <c r="N147" s="37" t="str">
        <f>DATA!L138</f>
        <v>National Criminal Information Center for Indonesian National Police - Phase II</v>
      </c>
      <c r="O147" s="20">
        <f>DATA!Q138</f>
        <v>1</v>
      </c>
      <c r="P147" s="20">
        <f>DATA!R138</f>
        <v>1</v>
      </c>
      <c r="Q147" s="20">
        <f>DATA!S138</f>
        <v>90</v>
      </c>
      <c r="R147" s="77">
        <f>DATA!T138</f>
        <v>20000000</v>
      </c>
      <c r="S147" s="77"/>
      <c r="T147" s="77">
        <f>DATA!V138</f>
        <v>3500000</v>
      </c>
      <c r="U147" s="77">
        <f>DATA!W138</f>
        <v>0</v>
      </c>
      <c r="V147" s="77">
        <f>DATA!X138</f>
        <v>23500000</v>
      </c>
      <c r="W147" s="78" t="str">
        <f>DATA!Y138</f>
        <v>Korea</v>
      </c>
      <c r="X147" s="20" t="str">
        <f>DATA!Z138</f>
        <v>Bilateral</v>
      </c>
      <c r="Y147" s="77">
        <f>DATA!AA138</f>
        <v>20000000</v>
      </c>
      <c r="Z147" s="77">
        <f>DATA!AG138</f>
        <v>0</v>
      </c>
      <c r="AA147" s="20" t="str">
        <f>DATA!AH138</f>
        <v>Tanpa keterangan</v>
      </c>
      <c r="AB147" s="37" t="str">
        <f>DATA!AI138</f>
        <v xml:space="preserve">- Sudah ada R/C
- Green Book 2015
</v>
      </c>
      <c r="AC147" s="37" t="str">
        <f>DATA!AJ138</f>
        <v>FS, AMDAL</v>
      </c>
      <c r="AD147" s="37" t="str">
        <f>DATA!AK138</f>
        <v>Tidak butuh lahan</v>
      </c>
      <c r="AE147" s="37" t="str">
        <f>DATA!AL138</f>
        <v>- Dalam proses penandatanganan perjanjian pinjaman</v>
      </c>
      <c r="AF147" s="20">
        <f>DATA!AM138</f>
        <v>2015</v>
      </c>
      <c r="AG147" s="20" t="str">
        <f>DATA!AN138</f>
        <v>siap</v>
      </c>
      <c r="AH147" s="20" t="str">
        <f>DATA!AO138</f>
        <v>tidak butuh lahan</v>
      </c>
      <c r="AI147" s="20" t="str">
        <f>DATA!AP138</f>
        <v>dalam proses tender/lelang</v>
      </c>
      <c r="AJ147" s="20" t="str">
        <f>DATA!AY138</f>
        <v>Belum ada konfirmasi. Berdasarkan data dokumen kesiapan (RC)</v>
      </c>
      <c r="AK147" s="20" t="e">
        <f>DATA!#REF!</f>
        <v>#REF!</v>
      </c>
      <c r="AL147" s="20">
        <f>DATA!AZ138</f>
        <v>0</v>
      </c>
      <c r="AM147" s="37" t="str">
        <f>DATA!BA138</f>
        <v>Pengembangan proyek PIKNAS tahap I mulai dari perencanaan pengembangan sampai dengan implementasi proyek</v>
      </c>
    </row>
    <row r="148" spans="1:39" s="4" customFormat="1" ht="24.95" customHeight="1">
      <c r="J148" s="107"/>
      <c r="K148" s="25">
        <f>DATA!E139</f>
        <v>7</v>
      </c>
      <c r="L148" s="108" t="str">
        <f>DATA!F139</f>
        <v xml:space="preserve">PT. PLN    </v>
      </c>
      <c r="M148" s="25"/>
      <c r="N148" s="27"/>
      <c r="O148" s="26"/>
      <c r="P148" s="26"/>
      <c r="Q148" s="26"/>
      <c r="R148" s="80">
        <f>+R149</f>
        <v>4906600000</v>
      </c>
      <c r="S148" s="80"/>
      <c r="T148" s="80">
        <f t="shared" ref="T148:Z148" si="16">+T149</f>
        <v>931600000</v>
      </c>
      <c r="U148" s="80">
        <f t="shared" si="16"/>
        <v>0</v>
      </c>
      <c r="V148" s="80">
        <f t="shared" si="16"/>
        <v>5838200000</v>
      </c>
      <c r="W148" s="80"/>
      <c r="X148" s="80" t="e">
        <f t="shared" si="16"/>
        <v>#VALUE!</v>
      </c>
      <c r="Y148" s="80">
        <f t="shared" si="16"/>
        <v>4906600000</v>
      </c>
      <c r="Z148" s="80">
        <f t="shared" si="16"/>
        <v>0</v>
      </c>
      <c r="AA148" s="26"/>
      <c r="AB148" s="27"/>
      <c r="AC148" s="27"/>
      <c r="AD148" s="27"/>
      <c r="AE148" s="27"/>
      <c r="AF148" s="26"/>
      <c r="AG148" s="26"/>
      <c r="AH148" s="26"/>
      <c r="AI148" s="26"/>
      <c r="AJ148" s="26"/>
      <c r="AK148" s="26"/>
      <c r="AL148" s="26"/>
      <c r="AM148" s="27"/>
    </row>
    <row r="149" spans="1:39" s="5" customFormat="1" ht="33.75" customHeight="1">
      <c r="J149" s="28"/>
      <c r="K149" s="29"/>
      <c r="L149" s="30" t="str">
        <f>DATA!I139</f>
        <v>A</v>
      </c>
      <c r="M149" s="31" t="str">
        <f>DATA!J139</f>
        <v>Program Pembangunan Infrastruktur Ketenagalistrikan</v>
      </c>
      <c r="N149" s="51"/>
      <c r="O149" s="31"/>
      <c r="P149" s="31"/>
      <c r="Q149" s="31"/>
      <c r="R149" s="81">
        <f>+R150+R153+R156+R157+R158+R159+R160+R161</f>
        <v>4906600000</v>
      </c>
      <c r="S149" s="81"/>
      <c r="T149" s="81">
        <f t="shared" ref="T149:Z149" si="17">+T150+T153+T156+T157+T158+T159+T160+T161</f>
        <v>931600000</v>
      </c>
      <c r="U149" s="81">
        <f t="shared" si="17"/>
        <v>0</v>
      </c>
      <c r="V149" s="81">
        <f t="shared" si="17"/>
        <v>5838200000</v>
      </c>
      <c r="W149" s="81"/>
      <c r="X149" s="81" t="e">
        <f t="shared" si="17"/>
        <v>#VALUE!</v>
      </c>
      <c r="Y149" s="81">
        <f t="shared" si="17"/>
        <v>4906600000</v>
      </c>
      <c r="Z149" s="81">
        <f t="shared" si="17"/>
        <v>0</v>
      </c>
      <c r="AA149" s="31"/>
      <c r="AB149" s="32"/>
      <c r="AC149" s="32"/>
      <c r="AD149" s="32"/>
      <c r="AE149" s="32"/>
      <c r="AF149" s="31"/>
      <c r="AG149" s="31"/>
      <c r="AH149" s="31"/>
      <c r="AI149" s="31"/>
      <c r="AJ149" s="31"/>
      <c r="AK149" s="31"/>
      <c r="AL149" s="31"/>
      <c r="AM149" s="32"/>
    </row>
    <row r="150" spans="1:39" ht="35.25" customHeight="1">
      <c r="A150" s="10">
        <f>DATA!A139</f>
        <v>101</v>
      </c>
      <c r="B150" s="10">
        <f>DATA!B139</f>
        <v>0</v>
      </c>
      <c r="C150" s="10" t="str">
        <f>DATA!D139</f>
        <v>INFRASTRUKTUR</v>
      </c>
      <c r="D150" s="10">
        <f>DATA!E139</f>
        <v>7</v>
      </c>
      <c r="E150" s="10" t="str">
        <f>DATA!F139</f>
        <v xml:space="preserve">PT. PLN    </v>
      </c>
      <c r="F150" s="10" t="str">
        <f>DATA!H139</f>
        <v>Electricity Infrastructure Development Program</v>
      </c>
      <c r="G150" s="10" t="str">
        <f>DATA!I139</f>
        <v>A</v>
      </c>
      <c r="H150" s="10" t="str">
        <f>DATA!J139</f>
        <v>Program Pembangunan Infrastruktur Ketenagalistrikan</v>
      </c>
      <c r="I150" s="10">
        <f>DATA!K139</f>
        <v>1</v>
      </c>
      <c r="J150" s="33"/>
      <c r="K150" s="34"/>
      <c r="L150" s="35"/>
      <c r="M150" s="36">
        <f>DATA!K139</f>
        <v>1</v>
      </c>
      <c r="N150" s="37" t="str">
        <f>DATA!L139</f>
        <v>Construction of Java Sumatera Interconnection 500 kV (HVDC):</v>
      </c>
      <c r="O150" s="20">
        <f>DATA!Q139</f>
        <v>0</v>
      </c>
      <c r="P150" s="20">
        <f>DATA!R139</f>
        <v>0</v>
      </c>
      <c r="Q150" s="20">
        <f>DATA!S139</f>
        <v>0</v>
      </c>
      <c r="R150" s="77">
        <f>DATA!T139</f>
        <v>1562000000</v>
      </c>
      <c r="S150" s="77"/>
      <c r="T150" s="77">
        <f>DATA!V139</f>
        <v>253000000</v>
      </c>
      <c r="U150" s="77">
        <f>DATA!W139</f>
        <v>0</v>
      </c>
      <c r="V150" s="77">
        <f>DATA!X139</f>
        <v>1815000000</v>
      </c>
      <c r="W150" s="78" t="str">
        <f>DATA!Y139</f>
        <v>-</v>
      </c>
      <c r="X150" s="20">
        <f>DATA!Z139</f>
        <v>0</v>
      </c>
      <c r="Y150" s="77">
        <f>DATA!AA139</f>
        <v>1562000000</v>
      </c>
      <c r="Z150" s="77">
        <f>DATA!AG139</f>
        <v>0</v>
      </c>
      <c r="AA150" s="20" t="str">
        <f>DATA!AH139</f>
        <v>-</v>
      </c>
      <c r="AB150" s="37" t="str">
        <f>DATA!AI139</f>
        <v>-</v>
      </c>
      <c r="AC150" s="37" t="str">
        <f>DATA!AJ139</f>
        <v>-</v>
      </c>
      <c r="AD150" s="37" t="str">
        <f>DATA!AK139</f>
        <v>-</v>
      </c>
      <c r="AE150" s="37" t="str">
        <f>DATA!AL139</f>
        <v>-</v>
      </c>
      <c r="AF150" s="20" t="str">
        <f>DATA!AM139</f>
        <v>-</v>
      </c>
      <c r="AG150" s="20" t="str">
        <f>DATA!AN139</f>
        <v>-</v>
      </c>
      <c r="AH150" s="20" t="str">
        <f>DATA!AO139</f>
        <v>-</v>
      </c>
      <c r="AI150" s="20">
        <f>DATA!AP139</f>
        <v>0</v>
      </c>
      <c r="AJ150" s="20" t="str">
        <f>DATA!AY139</f>
        <v>Surat Dirut PT. PLN nomor 716/REN.08.01/DIR/2015 tgl 9 September 2015</v>
      </c>
      <c r="AK150" s="20" t="e">
        <f>DATA!#REF!</f>
        <v>#REF!</v>
      </c>
      <c r="AL150" s="20">
        <f>DATA!AZ139</f>
        <v>0</v>
      </c>
      <c r="AM150" s="37" t="str">
        <f>DATA!BA139</f>
        <v>Pembangunan dan instalasi: 500 kV AC Overhead line</v>
      </c>
    </row>
    <row r="151" spans="1:39" s="7" customFormat="1" ht="142.5" customHeight="1">
      <c r="A151" s="6">
        <f>DATA!A140</f>
        <v>102</v>
      </c>
      <c r="B151" s="6">
        <f>DATA!B140</f>
        <v>0</v>
      </c>
      <c r="C151" s="6" t="str">
        <f>DATA!D140</f>
        <v>INFRASTRUKTUR</v>
      </c>
      <c r="D151" s="6">
        <f>DATA!E140</f>
        <v>7</v>
      </c>
      <c r="E151" s="6" t="str">
        <f>DATA!F140</f>
        <v xml:space="preserve">PT. PLN    </v>
      </c>
      <c r="F151" s="6" t="str">
        <f>DATA!H140</f>
        <v>Electricity Infrastructure Development Program</v>
      </c>
      <c r="G151" s="6" t="str">
        <f>DATA!I140</f>
        <v>A</v>
      </c>
      <c r="H151" s="6" t="str">
        <f>DATA!J140</f>
        <v>Program Pembangunan Infrastruktur Ketenagalistrikan</v>
      </c>
      <c r="I151" s="6">
        <f>DATA!K140</f>
        <v>1</v>
      </c>
      <c r="J151" s="44"/>
      <c r="K151" s="45"/>
      <c r="L151" s="45"/>
      <c r="M151" s="48"/>
      <c r="N151" s="68" t="str">
        <f>DATA!L140</f>
        <v>Java-Sumatera Interconnection Transmission Line (HVDC) 500 kV (Phase II)</v>
      </c>
      <c r="O151" s="42">
        <f>DATA!Q140</f>
        <v>1</v>
      </c>
      <c r="P151" s="42">
        <f>DATA!R140</f>
        <v>1</v>
      </c>
      <c r="Q151" s="42">
        <f>DATA!S140</f>
        <v>91</v>
      </c>
      <c r="R151" s="85">
        <f>DATA!T140</f>
        <v>629000000</v>
      </c>
      <c r="S151" s="85"/>
      <c r="T151" s="85">
        <f>DATA!V140</f>
        <v>88000000</v>
      </c>
      <c r="U151" s="83">
        <f>DATA!W140</f>
        <v>0</v>
      </c>
      <c r="V151" s="85">
        <f>DATA!X140</f>
        <v>717000000</v>
      </c>
      <c r="W151" s="86" t="str">
        <f>DATA!Y140</f>
        <v>JICA</v>
      </c>
      <c r="X151" s="42" t="str">
        <f>DATA!Z140</f>
        <v>Bilateral</v>
      </c>
      <c r="Y151" s="85">
        <f>DATA!AA140</f>
        <v>629000000</v>
      </c>
      <c r="Z151" s="85">
        <f>DATA!AG140</f>
        <v>0</v>
      </c>
      <c r="AA151" s="98">
        <f>DATA!AH140</f>
        <v>2015</v>
      </c>
      <c r="AB151" s="68" t="str">
        <f>DATA!AI140</f>
        <v>- Sudah ada R/C
- Green Book 2015
- Loan Agreement tgl 18 Des'15</v>
      </c>
      <c r="AC151" s="68" t="str">
        <f>DATA!AJ140</f>
        <v>FS, AMDAL</v>
      </c>
      <c r="AD151" s="99">
        <f>DATA!AK140</f>
        <v>0.3</v>
      </c>
      <c r="AE151" s="68" t="str">
        <f>DATA!AL140</f>
        <v>- Paket 1 = Proses lelang, evaluasi tahap I 
- Paket 2 = Proses lelang, akhir proses tahap I 
- Paket 3 = Kontrak 29 Okt 2014 
- Paket 4 = Proses lelang, RFP 2 Sept 2015 
- Paket 5 = Penyusunan Dokumen Tender</v>
      </c>
      <c r="AF151" s="42" t="str">
        <f>DATA!AR140</f>
        <v>Nilai pinjaman di GB USD 629.140 ribu</v>
      </c>
      <c r="AG151" s="42" t="str">
        <f>DATA!AN140</f>
        <v>siap</v>
      </c>
      <c r="AH151" s="42" t="str">
        <f>DATA!AO140</f>
        <v>dalam proses
(pelaksanaan 30%)</v>
      </c>
      <c r="AI151" s="42" t="str">
        <f>DATA!AP140</f>
        <v>dalam proses tender/lelang</v>
      </c>
      <c r="AJ151" s="42"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K151" s="42" t="e">
        <f>DATA!#REF!</f>
        <v>#REF!</v>
      </c>
      <c r="AL151" s="42">
        <f>DATA!AZ140</f>
        <v>0</v>
      </c>
      <c r="AM151" s="67" t="str">
        <f>DATA!BA140</f>
        <v>Pembangunan dan instalasi: 500 kV AC Overhead line; 500 IW DC Overhead line; kabel bawah laut HVDC; Stasiun converter HVDC; 275 kV Overhead line (OHL)</v>
      </c>
    </row>
    <row r="152" spans="1:39" s="7" customFormat="1" ht="48.75" customHeight="1">
      <c r="A152" s="6">
        <f>DATA!A141</f>
        <v>103</v>
      </c>
      <c r="B152" s="6">
        <f>DATA!B141</f>
        <v>0</v>
      </c>
      <c r="C152" s="6" t="str">
        <f>DATA!D141</f>
        <v>INFRASTRUKTUR</v>
      </c>
      <c r="D152" s="6">
        <f>DATA!E141</f>
        <v>7</v>
      </c>
      <c r="E152" s="6" t="str">
        <f>DATA!F141</f>
        <v xml:space="preserve">PT. PLN    </v>
      </c>
      <c r="F152" s="6" t="str">
        <f>DATA!H141</f>
        <v>Electricity Infrastructure Development Program</v>
      </c>
      <c r="G152" s="6" t="str">
        <f>DATA!I141</f>
        <v>A</v>
      </c>
      <c r="H152" s="6" t="str">
        <f>DATA!J141</f>
        <v>Program Pembangunan Infrastruktur Ketenagalistrikan</v>
      </c>
      <c r="I152" s="6">
        <f>DATA!K141</f>
        <v>1</v>
      </c>
      <c r="J152" s="44"/>
      <c r="K152" s="45"/>
      <c r="L152" s="45"/>
      <c r="M152" s="70"/>
      <c r="N152" s="68" t="str">
        <f>DATA!L141</f>
        <v>Construction of Java Sumatera Interconnection 500 kV (HVDC-Phase 3 &amp; 4)</v>
      </c>
      <c r="O152" s="42">
        <f>DATA!Q141</f>
        <v>1</v>
      </c>
      <c r="P152" s="42">
        <f>DATA!R141</f>
        <v>1</v>
      </c>
      <c r="Q152" s="42">
        <f>DATA!S141</f>
        <v>92</v>
      </c>
      <c r="R152" s="85">
        <f>DATA!T141</f>
        <v>933000000</v>
      </c>
      <c r="S152" s="85"/>
      <c r="T152" s="85">
        <f>DATA!V141</f>
        <v>165000000</v>
      </c>
      <c r="U152" s="83">
        <f>DATA!W141</f>
        <v>0</v>
      </c>
      <c r="V152" s="85">
        <f>DATA!X141</f>
        <v>1098000000</v>
      </c>
      <c r="W152" s="86" t="str">
        <f>DATA!Y141</f>
        <v>JICA</v>
      </c>
      <c r="X152" s="42" t="str">
        <f>DATA!Z141</f>
        <v>Bilateral</v>
      </c>
      <c r="Y152" s="85">
        <f>DATA!AA141</f>
        <v>933000000</v>
      </c>
      <c r="Z152" s="85">
        <f>DATA!AG141</f>
        <v>0</v>
      </c>
      <c r="AA152" s="98">
        <f>DATA!AH141</f>
        <v>2015</v>
      </c>
      <c r="AB152" s="68" t="str">
        <f>DATA!AI141</f>
        <v xml:space="preserve">Penyiapan R/C
</v>
      </c>
      <c r="AC152" s="68" t="str">
        <f>DATA!AJ141</f>
        <v>-</v>
      </c>
      <c r="AD152" s="68" t="str">
        <f>DATA!AK141</f>
        <v>-</v>
      </c>
      <c r="AE152" s="68" t="str">
        <f>DATA!AL141</f>
        <v>-</v>
      </c>
      <c r="AF152" s="42" t="str">
        <f>DATA!AR141</f>
        <v>penyiapan dokumen R/C</v>
      </c>
      <c r="AG152" s="42" t="str">
        <f>DATA!AN141</f>
        <v>belum ada keterangan</v>
      </c>
      <c r="AH152" s="42" t="str">
        <f>DATA!AO141</f>
        <v>belum ada keterangan</v>
      </c>
      <c r="AI152" s="42" t="str">
        <f>DATA!AP141</f>
        <v>belum ada proses tender/lelang</v>
      </c>
      <c r="AJ152" s="42" t="str">
        <f>DATA!AY141</f>
        <v>Surat Dirut PT. PLN nomor 716/REN.08.01/DIR/2015 tgl 9 September 2015</v>
      </c>
      <c r="AK152" s="42" t="e">
        <f>DATA!#REF!</f>
        <v>#REF!</v>
      </c>
      <c r="AL152" s="42">
        <f>DATA!AZ141</f>
        <v>0</v>
      </c>
      <c r="AM152" s="67" t="str">
        <f>DATA!BA141</f>
        <v>Pembangunan dan instalasi: 500 kV AC Overhead line; 500 IW DC Overhead line; kabel bawah laut HVDC; Stasiun converter HVDC; 275 kV Overhead line (OHL)</v>
      </c>
    </row>
    <row r="153" spans="1:39" ht="43.5" customHeight="1">
      <c r="A153" s="10">
        <f>DATA!A142</f>
        <v>104</v>
      </c>
      <c r="B153" s="10">
        <f>DATA!B142</f>
        <v>0</v>
      </c>
      <c r="C153" s="10" t="str">
        <f>DATA!D142</f>
        <v>INFRASTRUKTUR</v>
      </c>
      <c r="D153" s="10">
        <f>DATA!E142</f>
        <v>7</v>
      </c>
      <c r="E153" s="10" t="str">
        <f>DATA!F142</f>
        <v xml:space="preserve">PT. PLN    </v>
      </c>
      <c r="F153" s="10" t="str">
        <f>DATA!H142</f>
        <v>Electricity Infrastructure Development Program</v>
      </c>
      <c r="G153" s="10" t="str">
        <f>DATA!I142</f>
        <v>A</v>
      </c>
      <c r="H153" s="10" t="str">
        <f>DATA!J142</f>
        <v>Program Pembangunan Infrastruktur Ketenagalistrikan</v>
      </c>
      <c r="I153" s="10">
        <f>DATA!K142</f>
        <v>2</v>
      </c>
      <c r="J153" s="33"/>
      <c r="K153" s="34"/>
      <c r="L153" s="34"/>
      <c r="M153" s="36">
        <f>DATA!K142</f>
        <v>2</v>
      </c>
      <c r="N153" s="37" t="str">
        <f>DATA!L142</f>
        <v>Hululais Geothermal Power Plant 1&amp;2 (2x55MW):</v>
      </c>
      <c r="O153" s="20">
        <f>DATA!Q142</f>
        <v>0</v>
      </c>
      <c r="P153" s="20">
        <f>DATA!R142</f>
        <v>0</v>
      </c>
      <c r="Q153" s="20">
        <f>DATA!S142</f>
        <v>0</v>
      </c>
      <c r="R153" s="77">
        <f>DATA!T142</f>
        <v>210600000</v>
      </c>
      <c r="S153" s="77"/>
      <c r="T153" s="77">
        <f>DATA!V142</f>
        <v>42600000</v>
      </c>
      <c r="U153" s="77">
        <f>DATA!W142</f>
        <v>0</v>
      </c>
      <c r="V153" s="77">
        <f>DATA!X142</f>
        <v>253200000</v>
      </c>
      <c r="W153" s="78" t="str">
        <f>DATA!Y142</f>
        <v>-</v>
      </c>
      <c r="X153" s="20">
        <f>DATA!Z142</f>
        <v>0</v>
      </c>
      <c r="Y153" s="77">
        <f>DATA!AA142</f>
        <v>210600000</v>
      </c>
      <c r="Z153" s="77">
        <f>DATA!AG142</f>
        <v>0</v>
      </c>
      <c r="AA153" s="20" t="str">
        <f>DATA!AH142</f>
        <v>-</v>
      </c>
      <c r="AB153" s="37" t="str">
        <f>DATA!AI142</f>
        <v>-</v>
      </c>
      <c r="AC153" s="37" t="str">
        <f>DATA!AJ142</f>
        <v>-</v>
      </c>
      <c r="AD153" s="37" t="str">
        <f>DATA!AK142</f>
        <v>-</v>
      </c>
      <c r="AE153" s="37" t="str">
        <f>DATA!AL142</f>
        <v>-</v>
      </c>
      <c r="AF153" s="20" t="str">
        <f>DATA!AM142</f>
        <v>-</v>
      </c>
      <c r="AG153" s="20" t="str">
        <f>DATA!AN142</f>
        <v>-</v>
      </c>
      <c r="AH153" s="20" t="str">
        <f>DATA!AO142</f>
        <v>-</v>
      </c>
      <c r="AI153" s="20">
        <f>DATA!AP142</f>
        <v>0</v>
      </c>
      <c r="AJ153" s="20" t="str">
        <f>DATA!AY142</f>
        <v>Surat Dirut PT. PLN nomor 716/REN.08.01/DIR/2015 tgl 9 September 2015</v>
      </c>
      <c r="AK153" s="20" t="e">
        <f>DATA!#REF!</f>
        <v>#REF!</v>
      </c>
      <c r="AL153" s="20">
        <f>DATA!AZ142</f>
        <v>0</v>
      </c>
      <c r="AM153" s="37" t="str">
        <f>DATA!BA142</f>
        <v>Pembangunan PLTP Hululais 2x55 MW, pembangunan jaringan transmisi 150 kV, termasuk engineering desainnya</v>
      </c>
    </row>
    <row r="154" spans="1:39" s="7" customFormat="1" ht="74.25" customHeight="1">
      <c r="A154" s="6">
        <f>DATA!A143</f>
        <v>105</v>
      </c>
      <c r="B154" s="6">
        <f>DATA!B143</f>
        <v>0</v>
      </c>
      <c r="C154" s="6" t="str">
        <f>DATA!D143</f>
        <v>INFRASTRUKTUR</v>
      </c>
      <c r="D154" s="6">
        <f>DATA!E143</f>
        <v>7</v>
      </c>
      <c r="E154" s="6" t="str">
        <f>DATA!F143</f>
        <v xml:space="preserve">PT. PLN    </v>
      </c>
      <c r="F154" s="6" t="str">
        <f>DATA!H143</f>
        <v>Electricity Infrastructure Development Program</v>
      </c>
      <c r="G154" s="6" t="str">
        <f>DATA!I143</f>
        <v>A</v>
      </c>
      <c r="H154" s="6" t="str">
        <f>DATA!J143</f>
        <v>Program Pembangunan Infrastruktur Ketenagalistrikan</v>
      </c>
      <c r="I154" s="6">
        <f>DATA!K143</f>
        <v>2</v>
      </c>
      <c r="J154" s="44"/>
      <c r="K154" s="45"/>
      <c r="L154" s="45"/>
      <c r="M154" s="48"/>
      <c r="N154" s="68" t="str">
        <f>DATA!L143</f>
        <v>Engineering Service for Hululais 1&amp;2 Geothermal Power Plant Project (2x55 MW)</v>
      </c>
      <c r="O154" s="42">
        <f>DATA!Q143</f>
        <v>1</v>
      </c>
      <c r="P154" s="42">
        <f>DATA!R143</f>
        <v>1</v>
      </c>
      <c r="Q154" s="42">
        <f>DATA!S143</f>
        <v>93</v>
      </c>
      <c r="R154" s="85">
        <f>DATA!T143</f>
        <v>6600000</v>
      </c>
      <c r="S154" s="85"/>
      <c r="T154" s="85">
        <f>DATA!V143</f>
        <v>600000</v>
      </c>
      <c r="U154" s="83">
        <f>DATA!W143</f>
        <v>0</v>
      </c>
      <c r="V154" s="85">
        <f>DATA!X143</f>
        <v>7200000</v>
      </c>
      <c r="W154" s="86" t="str">
        <f>DATA!Y143</f>
        <v>JICA</v>
      </c>
      <c r="X154" s="42" t="str">
        <f>DATA!Z143</f>
        <v>Bilateral</v>
      </c>
      <c r="Y154" s="85">
        <f>DATA!AA143</f>
        <v>6600000</v>
      </c>
      <c r="Z154" s="85">
        <f>DATA!AG143</f>
        <v>0</v>
      </c>
      <c r="AA154" s="98">
        <f>DATA!AH143</f>
        <v>2015</v>
      </c>
      <c r="AB154" s="68" t="str">
        <f>DATA!AI143</f>
        <v>- Sudah ada R/C0
- Green Book 2015
- Loan Agreement tgl 18 Des'15</v>
      </c>
      <c r="AC154" s="68" t="str">
        <f>DATA!AJ143</f>
        <v>- AMDAL sedang di proses
- Pengeboran eksplorasi sedang di proses</v>
      </c>
      <c r="AD154" s="68" t="str">
        <f>DATA!AK143</f>
        <v>Belum</v>
      </c>
      <c r="AE154" s="68" t="str">
        <f>DATA!AL143</f>
        <v>Dalam proses persiapan pengadaan konsultan</v>
      </c>
      <c r="AF154" s="42" t="str">
        <f>DATA!AR143</f>
        <v>Nilai pinjaman di GB USD 6.570 ribu</v>
      </c>
      <c r="AG154" s="42" t="str">
        <f>DATA!AN143</f>
        <v>siap</v>
      </c>
      <c r="AH154" s="42" t="str">
        <f>DATA!AO143</f>
        <v>tidak butuh lahan</v>
      </c>
      <c r="AI154" s="42" t="str">
        <f>DATA!AP143</f>
        <v>belum ada proses tender/lelang</v>
      </c>
      <c r="AJ154" s="42" t="str">
        <f>DATA!AY143</f>
        <v>Surat Dirut PT. PLN nomor 716/REN.08.01/DIR/2015 tgl 9 September 2015</v>
      </c>
      <c r="AK154" s="42" t="e">
        <f>DATA!#REF!</f>
        <v>#REF!</v>
      </c>
      <c r="AL154" s="42">
        <f>DATA!AZ143</f>
        <v>0</v>
      </c>
      <c r="AM154" s="67" t="str">
        <f>DATA!BA143</f>
        <v>Memfasilitasi penyusunan DED, tender dokumen, dan pengawasan konstruksi untuk PLTP Hululais 1 dan 2 (2x55 MW)</v>
      </c>
    </row>
    <row r="155" spans="1:39" s="7" customFormat="1" ht="31.5" customHeight="1">
      <c r="A155" s="6">
        <f>DATA!A144</f>
        <v>106</v>
      </c>
      <c r="B155" s="6">
        <f>DATA!B144</f>
        <v>0</v>
      </c>
      <c r="C155" s="6" t="str">
        <f>DATA!D144</f>
        <v>INFRASTRUKTUR</v>
      </c>
      <c r="D155" s="6">
        <f>DATA!E144</f>
        <v>7</v>
      </c>
      <c r="E155" s="6" t="str">
        <f>DATA!F144</f>
        <v xml:space="preserve">PT. PLN    </v>
      </c>
      <c r="F155" s="6" t="str">
        <f>DATA!H144</f>
        <v>Electricity Infrastructure Development Program</v>
      </c>
      <c r="G155" s="6" t="str">
        <f>DATA!I144</f>
        <v>A</v>
      </c>
      <c r="H155" s="6" t="str">
        <f>DATA!J144</f>
        <v>Program Pembangunan Infrastruktur Ketenagalistrikan</v>
      </c>
      <c r="I155" s="6">
        <f>DATA!K144</f>
        <v>2</v>
      </c>
      <c r="J155" s="44"/>
      <c r="K155" s="45"/>
      <c r="L155" s="45"/>
      <c r="M155" s="70"/>
      <c r="N155" s="68" t="str">
        <f>DATA!L144</f>
        <v>Hululais Geothermal Power Plant  1&amp;2 (2x55MW)</v>
      </c>
      <c r="O155" s="42">
        <f>DATA!Q144</f>
        <v>1</v>
      </c>
      <c r="P155" s="42">
        <f>DATA!R144</f>
        <v>1</v>
      </c>
      <c r="Q155" s="42">
        <f>DATA!S144</f>
        <v>94</v>
      </c>
      <c r="R155" s="85">
        <f>DATA!T144</f>
        <v>204000000</v>
      </c>
      <c r="S155" s="85"/>
      <c r="T155" s="85">
        <f>DATA!V144</f>
        <v>42000000</v>
      </c>
      <c r="U155" s="83">
        <f>DATA!W144</f>
        <v>0</v>
      </c>
      <c r="V155" s="85">
        <f>DATA!X144</f>
        <v>246000000</v>
      </c>
      <c r="W155" s="86" t="str">
        <f>DATA!Y144</f>
        <v>JICA</v>
      </c>
      <c r="X155" s="42" t="str">
        <f>DATA!Z144</f>
        <v>Bilateral</v>
      </c>
      <c r="Y155" s="85">
        <f>DATA!AA144</f>
        <v>204000000</v>
      </c>
      <c r="Z155" s="85">
        <f>DATA!AG144</f>
        <v>0</v>
      </c>
      <c r="AA155" s="98">
        <f>DATA!AH144</f>
        <v>2015</v>
      </c>
      <c r="AB155" s="68" t="str">
        <f>DATA!AI144</f>
        <v>-</v>
      </c>
      <c r="AC155" s="68" t="str">
        <f>DATA!AJ144</f>
        <v>-</v>
      </c>
      <c r="AD155" s="68" t="str">
        <f>DATA!AK144</f>
        <v>-</v>
      </c>
      <c r="AE155" s="68" t="str">
        <f>DATA!AL144</f>
        <v>-</v>
      </c>
      <c r="AF155" s="42" t="str">
        <f>DATA!AR144</f>
        <v>belum ada dokumen R/C</v>
      </c>
      <c r="AG155" s="42" t="str">
        <f>DATA!AN144</f>
        <v>belum ada keterangan</v>
      </c>
      <c r="AH155" s="42" t="str">
        <f>DATA!AO144</f>
        <v>belum ada keterangan</v>
      </c>
      <c r="AI155" s="42" t="str">
        <f>DATA!AP144</f>
        <v>belum ada proses tender/lelang</v>
      </c>
      <c r="AJ155" s="42" t="str">
        <f>DATA!AY144</f>
        <v>Surat Dirut PT. PLN nomor 716/REN.08.01/DIR/2015 tgl 9 September 2015</v>
      </c>
      <c r="AK155" s="42" t="e">
        <f>DATA!#REF!</f>
        <v>#REF!</v>
      </c>
      <c r="AL155" s="42">
        <f>DATA!AZ144</f>
        <v>0</v>
      </c>
      <c r="AM155" s="67" t="str">
        <f>DATA!BA144</f>
        <v>Pembangunan PLTP Hululais 2x55 MW dan pembangunan jaringan transmisi 150 kV</v>
      </c>
    </row>
    <row r="156" spans="1:39" s="8" customFormat="1" ht="51">
      <c r="A156" s="10">
        <f>DATA!A145</f>
        <v>107</v>
      </c>
      <c r="B156" s="10">
        <f>DATA!B145</f>
        <v>0</v>
      </c>
      <c r="C156" s="10" t="str">
        <f>DATA!D145</f>
        <v>INFRASTRUKTUR</v>
      </c>
      <c r="D156" s="10">
        <f>DATA!E145</f>
        <v>7</v>
      </c>
      <c r="E156" s="10" t="str">
        <f>DATA!F145</f>
        <v xml:space="preserve">PT. PLN    </v>
      </c>
      <c r="F156" s="10" t="str">
        <f>DATA!H145</f>
        <v>Electricity Infrastructure Development Program</v>
      </c>
      <c r="G156" s="10" t="str">
        <f>DATA!I145</f>
        <v>A</v>
      </c>
      <c r="H156" s="10" t="str">
        <f>DATA!J145</f>
        <v>Program Pembangunan Infrastruktur Ketenagalistrikan</v>
      </c>
      <c r="I156" s="10">
        <f>DATA!K145</f>
        <v>3</v>
      </c>
      <c r="J156" s="57"/>
      <c r="K156" s="58"/>
      <c r="L156" s="58"/>
      <c r="M156" s="60">
        <f>DATA!K145</f>
        <v>3</v>
      </c>
      <c r="N156" s="61" t="str">
        <f>DATA!L145</f>
        <v>Bakaru II Hydro Electrical Power Plant (2x63MW)</v>
      </c>
      <c r="O156" s="20">
        <f>DATA!Q145</f>
        <v>1</v>
      </c>
      <c r="P156" s="20">
        <f>DATA!R145</f>
        <v>1</v>
      </c>
      <c r="Q156" s="20">
        <f>DATA!S145</f>
        <v>95</v>
      </c>
      <c r="R156" s="89">
        <f>DATA!T145</f>
        <v>280000000</v>
      </c>
      <c r="S156" s="89"/>
      <c r="T156" s="89">
        <f>DATA!V145</f>
        <v>20000000</v>
      </c>
      <c r="U156" s="77">
        <f>DATA!W145</f>
        <v>0</v>
      </c>
      <c r="V156" s="89">
        <f>DATA!X145</f>
        <v>300000000</v>
      </c>
      <c r="W156" s="90" t="str">
        <f>DATA!Y145</f>
        <v>Jerman (KfW)</v>
      </c>
      <c r="X156" s="20" t="str">
        <f>DATA!Z145</f>
        <v>Bilateral</v>
      </c>
      <c r="Y156" s="89">
        <f>DATA!AA145</f>
        <v>280000000</v>
      </c>
      <c r="Z156" s="89">
        <f>DATA!AG145</f>
        <v>0</v>
      </c>
      <c r="AA156" s="103">
        <f>DATA!AH145</f>
        <v>2016</v>
      </c>
      <c r="AB156" s="61" t="str">
        <f>DATA!AI145</f>
        <v>-</v>
      </c>
      <c r="AC156" s="61" t="str">
        <f>DATA!AJ145</f>
        <v>Dalam tahap reviu FS, Penyusunan AMDAL</v>
      </c>
      <c r="AD156" s="61" t="str">
        <f>DATA!AK145</f>
        <v>Pembebasan lahan menunggu hasil reviu FS</v>
      </c>
      <c r="AE156" s="61" t="str">
        <f>DATA!AL145</f>
        <v>Belum ada lelang/tender</v>
      </c>
      <c r="AF156" s="20">
        <f>DATA!AM145</f>
        <v>0</v>
      </c>
      <c r="AG156" s="20" t="str">
        <f>DATA!AN145</f>
        <v>dalam proses</v>
      </c>
      <c r="AH156" s="20" t="str">
        <f>DATA!AO145</f>
        <v>dalam proses
(perencanaan)</v>
      </c>
      <c r="AI156" s="20" t="str">
        <f>DATA!AP145</f>
        <v>belum ada proses tender/lelang</v>
      </c>
      <c r="AJ156"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K156" s="20" t="e">
        <f>DATA!#REF!</f>
        <v>#REF!</v>
      </c>
      <c r="AL156" s="20">
        <f>DATA!AZ145</f>
        <v>0</v>
      </c>
      <c r="AM156" s="37" t="str">
        <f>DATA!BA145</f>
        <v xml:space="preserve"> Pembangunan PLTA Bakaru II (2x63 MW), rehabilitasi bendungan dan turbin PLTA Bakaru I, sedimentasi penanggulangan dan Engineering Services PLTA Bakaru II</v>
      </c>
    </row>
    <row r="157" spans="1:39" ht="76.5">
      <c r="A157" s="10">
        <f>DATA!A146</f>
        <v>108</v>
      </c>
      <c r="B157" s="10">
        <f>DATA!B146</f>
        <v>0</v>
      </c>
      <c r="C157" s="10" t="str">
        <f>DATA!D146</f>
        <v>INFRASTRUKTUR</v>
      </c>
      <c r="D157" s="10">
        <f>DATA!E146</f>
        <v>7</v>
      </c>
      <c r="E157" s="10" t="str">
        <f>DATA!F146</f>
        <v xml:space="preserve">PT. PLN    </v>
      </c>
      <c r="F157" s="10" t="str">
        <f>DATA!H146</f>
        <v>Electricity Infrastructure Development Program</v>
      </c>
      <c r="G157" s="10" t="str">
        <f>DATA!I146</f>
        <v>A</v>
      </c>
      <c r="H157" s="10" t="str">
        <f>DATA!J146</f>
        <v>Program Pembangunan Infrastruktur Ketenagalistrikan</v>
      </c>
      <c r="I157" s="10">
        <f>DATA!K146</f>
        <v>4</v>
      </c>
      <c r="J157" s="33"/>
      <c r="K157" s="34"/>
      <c r="L157" s="34"/>
      <c r="M157" s="36">
        <f>DATA!K146</f>
        <v>4</v>
      </c>
      <c r="N157" s="37" t="str">
        <f>DATA!L146</f>
        <v>Tulehu Geothermal Power Plant Project Unit 1&amp;2 (2x10MW)</v>
      </c>
      <c r="O157" s="20">
        <f>DATA!Q146</f>
        <v>1</v>
      </c>
      <c r="P157" s="20">
        <f>DATA!R146</f>
        <v>1</v>
      </c>
      <c r="Q157" s="20">
        <f>DATA!S146</f>
        <v>96</v>
      </c>
      <c r="R157" s="77">
        <f>DATA!T146</f>
        <v>104000000</v>
      </c>
      <c r="S157" s="77"/>
      <c r="T157" s="77">
        <f>DATA!V146</f>
        <v>18000000</v>
      </c>
      <c r="U157" s="77">
        <f>DATA!W146</f>
        <v>0</v>
      </c>
      <c r="V157" s="77">
        <f>DATA!X146</f>
        <v>122000000</v>
      </c>
      <c r="W157" s="78" t="str">
        <f>DATA!Y146</f>
        <v>JICA</v>
      </c>
      <c r="X157" s="20" t="str">
        <f>DATA!Z146</f>
        <v>Bilateral</v>
      </c>
      <c r="Y157" s="77">
        <f>DATA!AA146</f>
        <v>104000000</v>
      </c>
      <c r="Z157" s="77">
        <f>DATA!AG146</f>
        <v>0</v>
      </c>
      <c r="AA157" s="20">
        <f>DATA!AH146</f>
        <v>2018</v>
      </c>
      <c r="AB157" s="37" t="str">
        <f>DATA!AI146</f>
        <v>-</v>
      </c>
      <c r="AC157" s="37" t="str">
        <f>DATA!AJ146</f>
        <v>Dalam proses reviu oleh BLH</v>
      </c>
      <c r="AD157" s="114">
        <f>DATA!AK146</f>
        <v>0.63</v>
      </c>
      <c r="AE157" s="37" t="str">
        <f>DATA!AL146</f>
        <v>- Direncanakan PQ IPM Drilling Sumur Produksi/Injeksi dimulai akhir Sept 2015
- Proses finalisasi dokumen lelang</v>
      </c>
      <c r="AF157" s="20" t="str">
        <f>DATA!AR146</f>
        <v>belum ada dokumen R/C</v>
      </c>
      <c r="AG157" s="20" t="str">
        <f>DATA!AN146</f>
        <v>dalam proses
(penyusunan FS)</v>
      </c>
      <c r="AH157" s="20" t="str">
        <f>DATA!AO146</f>
        <v>dalam proses
(pelaksanaan 63%)</v>
      </c>
      <c r="AI157" s="20" t="str">
        <f>DATA!AP146</f>
        <v>belum ada proses tender/lelang</v>
      </c>
      <c r="AJ157" s="20" t="str">
        <f>DATA!AY146</f>
        <v>- Pembebasan lahan untuk lokasi power plant dan pad B masih terkendala batas wilayah antara dua desa
- Surat Dirut PT. PLN nomor 716/REN.08.01/DIR/2015 tgl 9 September 2015</v>
      </c>
      <c r="AK157" s="20" t="e">
        <f>DATA!#REF!</f>
        <v>#REF!</v>
      </c>
      <c r="AL157" s="20">
        <f>DATA!AZ146</f>
        <v>0</v>
      </c>
      <c r="AM157" s="37" t="str">
        <f>DATA!BA146</f>
        <v>Pembangunan PLTP Tulehu 2x10 MW dan tambahan pengeboran untuk 3 sumur produksi/injeksi</v>
      </c>
    </row>
    <row r="158" spans="1:39" s="8" customFormat="1" ht="89.25">
      <c r="A158" s="10">
        <f>DATA!A147</f>
        <v>109</v>
      </c>
      <c r="B158" s="10">
        <f>DATA!B147</f>
        <v>0</v>
      </c>
      <c r="C158" s="10" t="str">
        <f>DATA!D147</f>
        <v>INFRASTRUKTUR</v>
      </c>
      <c r="D158" s="10">
        <f>DATA!E147</f>
        <v>7</v>
      </c>
      <c r="E158" s="10" t="str">
        <f>DATA!F147</f>
        <v xml:space="preserve">PT. PLN    </v>
      </c>
      <c r="F158" s="10" t="str">
        <f>DATA!H147</f>
        <v>Electricity Infrastructure Development Program</v>
      </c>
      <c r="G158" s="10" t="str">
        <f>DATA!I147</f>
        <v>A</v>
      </c>
      <c r="H158" s="10" t="str">
        <f>DATA!J147</f>
        <v>Program Pembangunan Infrastruktur Ketenagalistrikan</v>
      </c>
      <c r="I158" s="10">
        <f>DATA!K147</f>
        <v>5</v>
      </c>
      <c r="J158" s="57"/>
      <c r="K158" s="58"/>
      <c r="L158" s="58"/>
      <c r="M158" s="60">
        <f>DATA!K147</f>
        <v>5</v>
      </c>
      <c r="N158" s="61" t="str">
        <f>DATA!L147</f>
        <v>Indramayu Coal Fired Power Plant  #4 (1x1000MW)</v>
      </c>
      <c r="O158" s="20">
        <f>DATA!Q147</f>
        <v>1</v>
      </c>
      <c r="P158" s="20">
        <f>DATA!R147</f>
        <v>1</v>
      </c>
      <c r="Q158" s="20">
        <f>DATA!S147</f>
        <v>97</v>
      </c>
      <c r="R158" s="89">
        <f>DATA!T147</f>
        <v>1845000000</v>
      </c>
      <c r="S158" s="89"/>
      <c r="T158" s="89">
        <f>DATA!V147</f>
        <v>333000000</v>
      </c>
      <c r="U158" s="77">
        <f>DATA!W147</f>
        <v>0</v>
      </c>
      <c r="V158" s="89">
        <f>DATA!X147</f>
        <v>2178000000</v>
      </c>
      <c r="W158" s="90" t="str">
        <f>DATA!Y147</f>
        <v>JICA</v>
      </c>
      <c r="X158" s="20" t="str">
        <f>DATA!Z147</f>
        <v>Bilateral</v>
      </c>
      <c r="Y158" s="89">
        <f>DATA!AA147</f>
        <v>1845000000</v>
      </c>
      <c r="Z158" s="89">
        <f>DATA!AG147</f>
        <v>0</v>
      </c>
      <c r="AA158" s="103">
        <f>DATA!AH147</f>
        <v>2017</v>
      </c>
      <c r="AB158" s="61" t="str">
        <f>DATA!AI147</f>
        <v>-</v>
      </c>
      <c r="AC158" s="61" t="str">
        <f>DATA!AJ147</f>
        <v>FS, AMDAL</v>
      </c>
      <c r="AD158" s="61" t="str">
        <f>DATA!AK147</f>
        <v>Pembebasan lahan tahun 2016</v>
      </c>
      <c r="AE158" s="61" t="str">
        <f>DATA!AL147</f>
        <v>Rencana pengadaan konsultan ES selesai Nov 2015</v>
      </c>
      <c r="AF158" s="20" t="str">
        <f>DATA!AR147</f>
        <v>belum ada dokumen R/C</v>
      </c>
      <c r="AG158" s="20" t="str">
        <f>DATA!AN147</f>
        <v>siap</v>
      </c>
      <c r="AH158" s="20" t="str">
        <f>DATA!AO147</f>
        <v>dalam proses
(perencanaan)</v>
      </c>
      <c r="AI158" s="20" t="str">
        <f>DATA!AP147</f>
        <v>belum ada proses tender/lelang</v>
      </c>
      <c r="AJ158" s="20" t="str">
        <f>DATA!AY147</f>
        <v>Surat Dirut PT. PLN nomor 716/REN.08.01/DIR/2015 tgl 9 September 2015</v>
      </c>
      <c r="AK158" s="20" t="e">
        <f>DATA!#REF!</f>
        <v>#REF!</v>
      </c>
      <c r="AL158" s="20">
        <f>DATA!AZ147</f>
        <v>0</v>
      </c>
      <c r="AM158" s="37"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row>
    <row r="159" spans="1:39" ht="203.25" customHeight="1">
      <c r="A159" s="10">
        <f>DATA!A148</f>
        <v>110</v>
      </c>
      <c r="B159" s="10">
        <f>DATA!B148</f>
        <v>0</v>
      </c>
      <c r="C159" s="10" t="str">
        <f>DATA!D148</f>
        <v>INFRASTRUKTUR</v>
      </c>
      <c r="D159" s="10">
        <f>DATA!E148</f>
        <v>7</v>
      </c>
      <c r="E159" s="10" t="str">
        <f>DATA!F148</f>
        <v xml:space="preserve">PT. PLN    </v>
      </c>
      <c r="F159" s="10" t="str">
        <f>DATA!H148</f>
        <v>Electricity Infrastructure Development Program</v>
      </c>
      <c r="G159" s="10" t="str">
        <f>DATA!I148</f>
        <v>A</v>
      </c>
      <c r="H159" s="10" t="str">
        <f>DATA!J148</f>
        <v>Program Pembangunan Infrastruktur Ketenagalistrikan</v>
      </c>
      <c r="I159" s="10">
        <f>DATA!K148</f>
        <v>6</v>
      </c>
      <c r="J159" s="33"/>
      <c r="K159" s="34"/>
      <c r="L159" s="34"/>
      <c r="M159" s="36">
        <f>DATA!K148</f>
        <v>6</v>
      </c>
      <c r="N159" s="37" t="str">
        <f>DATA!L148</f>
        <v>Additional Loan for Upper Cisokan Pumped Storage Hydro Electrical Power Plant (4x260MW)</v>
      </c>
      <c r="O159" s="20">
        <f>DATA!Q148</f>
        <v>1</v>
      </c>
      <c r="P159" s="20">
        <f>DATA!R148</f>
        <v>1</v>
      </c>
      <c r="Q159" s="20">
        <f>DATA!S148</f>
        <v>98</v>
      </c>
      <c r="R159" s="77">
        <f>DATA!T148</f>
        <v>200000000</v>
      </c>
      <c r="S159" s="77"/>
      <c r="T159" s="77">
        <f>DATA!V148</f>
        <v>0</v>
      </c>
      <c r="U159" s="77">
        <f>DATA!W148</f>
        <v>0</v>
      </c>
      <c r="V159" s="77">
        <f>DATA!X148</f>
        <v>200000000</v>
      </c>
      <c r="W159" s="78" t="str">
        <f>DATA!Y148</f>
        <v>Bank Dunia</v>
      </c>
      <c r="X159" s="20" t="str">
        <f>DATA!Z148</f>
        <v>Multilateral</v>
      </c>
      <c r="Y159" s="77">
        <f>DATA!AA148</f>
        <v>200000000</v>
      </c>
      <c r="Z159" s="77">
        <f>DATA!AG148</f>
        <v>0</v>
      </c>
      <c r="AA159" s="20">
        <f>DATA!AH148</f>
        <v>2017</v>
      </c>
      <c r="AB159" s="37" t="str">
        <f>DATA!AI148</f>
        <v>-</v>
      </c>
      <c r="AC159" s="37" t="str">
        <f>DATA!AJ148</f>
        <v>FS, AMDAL</v>
      </c>
      <c r="AD159" s="114">
        <f>DATA!AK148</f>
        <v>0.95</v>
      </c>
      <c r="AE159" s="37"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F159" s="20" t="str">
        <f>DATA!AR148</f>
        <v>belum ada dokumen R/C</v>
      </c>
      <c r="AG159" s="20" t="str">
        <f>DATA!AN148</f>
        <v>siap</v>
      </c>
      <c r="AH159" s="20" t="str">
        <f>DATA!AO148</f>
        <v>dalam proses
(pelaksanaan 95%)</v>
      </c>
      <c r="AI159" s="20" t="str">
        <f>DATA!AP148</f>
        <v>belum ada proses tender/lelang</v>
      </c>
      <c r="AJ159"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K159" s="20" t="e">
        <f>DATA!#REF!</f>
        <v>#REF!</v>
      </c>
      <c r="AL159" s="20">
        <f>DATA!AZ148</f>
        <v>0</v>
      </c>
      <c r="AM159" s="37"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row>
    <row r="160" spans="1:39" ht="35.25" customHeight="1">
      <c r="A160" s="10">
        <f>DATA!A149</f>
        <v>111</v>
      </c>
      <c r="B160" s="10">
        <f>DATA!B149</f>
        <v>0</v>
      </c>
      <c r="C160" s="10" t="str">
        <f>DATA!D149</f>
        <v>INFRASTRUKTUR</v>
      </c>
      <c r="D160" s="10">
        <f>DATA!E149</f>
        <v>7</v>
      </c>
      <c r="E160" s="10" t="str">
        <f>DATA!F149</f>
        <v xml:space="preserve">PT. PLN    </v>
      </c>
      <c r="F160" s="10" t="str">
        <f>DATA!H149</f>
        <v>Electricity Infrastructure Development Program</v>
      </c>
      <c r="G160" s="10" t="str">
        <f>DATA!I149</f>
        <v>A</v>
      </c>
      <c r="H160" s="10" t="str">
        <f>DATA!J149</f>
        <v>Program Pembangunan Infrastruktur Ketenagalistrikan</v>
      </c>
      <c r="I160" s="10">
        <f>DATA!K149</f>
        <v>7</v>
      </c>
      <c r="J160" s="33"/>
      <c r="K160" s="34"/>
      <c r="L160" s="34"/>
      <c r="M160" s="36">
        <f>DATA!K149</f>
        <v>7</v>
      </c>
      <c r="N160" s="37" t="str">
        <f>DATA!L149</f>
        <v>Sungai Penuh Geothermal Power Plant 1&amp;2 (2x55MW)</v>
      </c>
      <c r="O160" s="20">
        <f>DATA!Q149</f>
        <v>1</v>
      </c>
      <c r="P160" s="20">
        <f>DATA!R149</f>
        <v>1</v>
      </c>
      <c r="Q160" s="20">
        <f>DATA!S149</f>
        <v>99</v>
      </c>
      <c r="R160" s="77">
        <f>DATA!T149</f>
        <v>205000000</v>
      </c>
      <c r="S160" s="77"/>
      <c r="T160" s="77">
        <f>DATA!V149</f>
        <v>45000000</v>
      </c>
      <c r="U160" s="77">
        <f>DATA!W149</f>
        <v>0</v>
      </c>
      <c r="V160" s="77">
        <f>DATA!X149</f>
        <v>250000000</v>
      </c>
      <c r="W160" s="78" t="str">
        <f>DATA!Y149</f>
        <v>ADB</v>
      </c>
      <c r="X160" s="20" t="str">
        <f>DATA!Z149</f>
        <v>Multilateral</v>
      </c>
      <c r="Y160" s="77">
        <f>DATA!AA149</f>
        <v>205000000</v>
      </c>
      <c r="Z160" s="77">
        <f>DATA!AG149</f>
        <v>0</v>
      </c>
      <c r="AA160" s="20" t="str">
        <f>DATA!AH149</f>
        <v>Tanpa keterangan</v>
      </c>
      <c r="AB160" s="37" t="str">
        <f>DATA!AI149</f>
        <v>-</v>
      </c>
      <c r="AC160" s="37" t="str">
        <f>DATA!AJ149</f>
        <v>AMDAL</v>
      </c>
      <c r="AD160" s="37" t="str">
        <f>DATA!AK149</f>
        <v>-</v>
      </c>
      <c r="AE160" s="37" t="str">
        <f>DATA!AL149</f>
        <v>-</v>
      </c>
      <c r="AF160" s="20" t="str">
        <f>DATA!AR149</f>
        <v>belum ada dokumen R/C</v>
      </c>
      <c r="AG160" s="20" t="str">
        <f>DATA!AN149</f>
        <v>siap</v>
      </c>
      <c r="AH160" s="20" t="str">
        <f>DATA!AO149</f>
        <v>belum ada keterangan</v>
      </c>
      <c r="AI160" s="20" t="str">
        <f>DATA!AP149</f>
        <v>belum ada proses tender/lelang</v>
      </c>
      <c r="AJ160" s="20" t="str">
        <f>DATA!AY149</f>
        <v xml:space="preserve">- FS report terkait resource confirmation dari PGE belum ada
- Surat Dirut PT. PLN nomor 716/REN.08.01/DIR/2015 tgl 9 September 2015
</v>
      </c>
      <c r="AK160" s="20" t="e">
        <f>DATA!#REF!</f>
        <v>#REF!</v>
      </c>
      <c r="AL160" s="20">
        <f>DATA!AZ149</f>
        <v>0</v>
      </c>
      <c r="AM160" s="37" t="str">
        <f>DATA!BA149</f>
        <v>Pengembangan PLTP Sungai Penuh dengan kapasitas 2x55 MW dan jaringan transmisi terkait</v>
      </c>
    </row>
    <row r="161" spans="1:39" ht="36" customHeight="1">
      <c r="A161" s="10">
        <f>DATA!A150</f>
        <v>112</v>
      </c>
      <c r="B161" s="10">
        <f>DATA!B150</f>
        <v>0</v>
      </c>
      <c r="C161" s="10" t="str">
        <f>DATA!D150</f>
        <v>INFRASTRUKTUR</v>
      </c>
      <c r="D161" s="10">
        <f>DATA!E150</f>
        <v>7</v>
      </c>
      <c r="E161" s="10" t="str">
        <f>DATA!F150</f>
        <v xml:space="preserve">PT. PLN    </v>
      </c>
      <c r="F161" s="10" t="str">
        <f>DATA!H150</f>
        <v>Electricity Infrastructure Development Program</v>
      </c>
      <c r="G161" s="10" t="str">
        <f>DATA!I150</f>
        <v>A</v>
      </c>
      <c r="H161" s="10" t="str">
        <f>DATA!J150</f>
        <v>Program Pembangunan Infrastruktur Ketenagalistrikan</v>
      </c>
      <c r="I161" s="10">
        <f>DATA!K150</f>
        <v>8</v>
      </c>
      <c r="J161" s="52"/>
      <c r="K161" s="54"/>
      <c r="L161" s="54"/>
      <c r="M161" s="36">
        <f>DATA!K150</f>
        <v>8</v>
      </c>
      <c r="N161" s="37" t="str">
        <f>DATA!L150</f>
        <v>Matenggeng Pumped Storage Hydro Electrical Power Plant (4x225MW)</v>
      </c>
      <c r="O161" s="20">
        <f>DATA!Q150</f>
        <v>1</v>
      </c>
      <c r="P161" s="20">
        <f>DATA!R150</f>
        <v>1</v>
      </c>
      <c r="Q161" s="20">
        <f>DATA!S150</f>
        <v>100</v>
      </c>
      <c r="R161" s="77">
        <f>DATA!T150</f>
        <v>500000000</v>
      </c>
      <c r="S161" s="77"/>
      <c r="T161" s="77">
        <f>DATA!V150</f>
        <v>220000000</v>
      </c>
      <c r="U161" s="77">
        <f>DATA!W150</f>
        <v>0</v>
      </c>
      <c r="V161" s="77">
        <f>DATA!X150</f>
        <v>720000000</v>
      </c>
      <c r="W161" s="78" t="str">
        <f>DATA!Y150</f>
        <v>Bank Dunia</v>
      </c>
      <c r="X161" s="20" t="str">
        <f>DATA!Z150</f>
        <v>Multilateral</v>
      </c>
      <c r="Y161" s="77">
        <f>DATA!AA150</f>
        <v>500000000</v>
      </c>
      <c r="Z161" s="77">
        <f>DATA!AG150</f>
        <v>0</v>
      </c>
      <c r="AA161" s="20">
        <f>DATA!AH150</f>
        <v>2017</v>
      </c>
      <c r="AB161" s="37" t="str">
        <f>DATA!AI150</f>
        <v>-</v>
      </c>
      <c r="AC161" s="37" t="str">
        <f>DATA!AJ150</f>
        <v>Penyusunan FS</v>
      </c>
      <c r="AD161" s="37" t="str">
        <f>DATA!AK150</f>
        <v>-</v>
      </c>
      <c r="AE161" s="37" t="str">
        <f>DATA!AL150</f>
        <v>-</v>
      </c>
      <c r="AF161" s="20" t="str">
        <f>DATA!AR150</f>
        <v>belum ada dokumen R/C</v>
      </c>
      <c r="AG161" s="20" t="str">
        <f>DATA!AN150</f>
        <v>dalam proses
(penyusunan FS)</v>
      </c>
      <c r="AH161" s="20" t="str">
        <f>DATA!AO150</f>
        <v>belum ada keterangan</v>
      </c>
      <c r="AI161" s="20" t="str">
        <f>DATA!AP150</f>
        <v>belum ada proses tender/lelang</v>
      </c>
      <c r="AJ161" s="20" t="str">
        <f>DATA!AY150</f>
        <v>- Direncanakan menggunakan skema direct lending
- AMDAL direncanakan mulai tahun 2016
- Layout terkini tidak terindikasi overlapping dengan bendungan Matenggeng milik PU
- Surat Dirut PT. PLN nomor 716/REN.08.01/DIR/2015 tgl 9 September 2015</v>
      </c>
      <c r="AK161" s="20" t="e">
        <f>DATA!#REF!</f>
        <v>#REF!</v>
      </c>
      <c r="AL161" s="20">
        <f>DATA!AZ150</f>
        <v>0</v>
      </c>
      <c r="AM161" s="37" t="str">
        <f>DATA!BA150</f>
        <v>Pengembangan PLTA Matenggeng dengan kapasitas 4x225 MW dan jaringan transmisi terkait</v>
      </c>
    </row>
    <row r="162" spans="1:39" s="3" customFormat="1" ht="30" customHeight="1">
      <c r="J162" s="21" t="str">
        <f>DATA!B160</f>
        <v>II</v>
      </c>
      <c r="K162" s="112" t="str">
        <f>DATA!D160</f>
        <v>NON-INFRASTRUKTUR</v>
      </c>
      <c r="L162" s="22"/>
      <c r="M162" s="22"/>
      <c r="N162" s="23"/>
      <c r="O162" s="22"/>
      <c r="P162" s="22"/>
      <c r="Q162" s="22"/>
      <c r="R162" s="79">
        <f>+R163+R173+R182+R185+R197+R200+R213+R216+R219+R222</f>
        <v>4590772100</v>
      </c>
      <c r="S162" s="79"/>
      <c r="T162" s="79">
        <f t="shared" ref="T162:Z162" si="18">+T163+T173+T182+T185+T197+T200+T213+T216+T219+T222</f>
        <v>488120200</v>
      </c>
      <c r="U162" s="79">
        <f t="shared" si="18"/>
        <v>2660000</v>
      </c>
      <c r="V162" s="79">
        <f t="shared" si="18"/>
        <v>5308007600</v>
      </c>
      <c r="W162" s="79"/>
      <c r="X162" s="79" t="e">
        <f t="shared" si="18"/>
        <v>#VALUE!</v>
      </c>
      <c r="Y162" s="79">
        <f t="shared" si="18"/>
        <v>4590772100</v>
      </c>
      <c r="Z162" s="79">
        <f t="shared" si="18"/>
        <v>-1609442600</v>
      </c>
      <c r="AA162" s="22"/>
      <c r="AB162" s="23"/>
      <c r="AC162" s="23"/>
      <c r="AD162" s="23"/>
      <c r="AE162" s="23"/>
      <c r="AF162" s="22"/>
      <c r="AG162" s="22"/>
      <c r="AH162" s="22"/>
      <c r="AI162" s="22"/>
      <c r="AJ162" s="22"/>
      <c r="AK162" s="22"/>
      <c r="AL162" s="22"/>
      <c r="AM162" s="23"/>
    </row>
    <row r="163" spans="1:39" s="4" customFormat="1" ht="24.95" customHeight="1">
      <c r="J163" s="24"/>
      <c r="K163" s="25">
        <f>DATA!E160</f>
        <v>8</v>
      </c>
      <c r="L163" s="108" t="str">
        <f>DATA!F160</f>
        <v>Kementerian Riset, Teknologi, dan Pendidikan Tinggi</v>
      </c>
      <c r="M163" s="25"/>
      <c r="N163" s="27"/>
      <c r="O163" s="26"/>
      <c r="P163" s="26"/>
      <c r="Q163" s="26"/>
      <c r="R163" s="80">
        <f>+R164</f>
        <v>290311500</v>
      </c>
      <c r="S163" s="80"/>
      <c r="T163" s="80">
        <f t="shared" ref="T163:Z164" si="19">+T164</f>
        <v>54543500</v>
      </c>
      <c r="U163" s="80">
        <f t="shared" si="19"/>
        <v>0</v>
      </c>
      <c r="V163" s="80">
        <f t="shared" si="19"/>
        <v>581714600</v>
      </c>
      <c r="W163" s="80"/>
      <c r="X163" s="80">
        <f t="shared" si="19"/>
        <v>0</v>
      </c>
      <c r="Y163" s="80">
        <f t="shared" si="19"/>
        <v>290311500</v>
      </c>
      <c r="Z163" s="80">
        <f t="shared" si="19"/>
        <v>0</v>
      </c>
      <c r="AA163" s="26"/>
      <c r="AB163" s="27"/>
      <c r="AC163" s="27"/>
      <c r="AD163" s="27"/>
      <c r="AE163" s="27"/>
      <c r="AF163" s="26"/>
      <c r="AG163" s="26"/>
      <c r="AH163" s="26"/>
      <c r="AI163" s="26"/>
      <c r="AJ163" s="26"/>
      <c r="AK163" s="26"/>
      <c r="AL163" s="26"/>
      <c r="AM163" s="27"/>
    </row>
    <row r="164" spans="1:39" s="5" customFormat="1" ht="33.75" customHeight="1">
      <c r="J164" s="28"/>
      <c r="K164" s="29"/>
      <c r="L164" s="30" t="str">
        <f>DATA!I160</f>
        <v>A</v>
      </c>
      <c r="M164" s="31" t="str">
        <f>DATA!J160</f>
        <v xml:space="preserve">Program Peningkatan Akses, Kualitas, Relevansi, dan Daya Saing Pendidikan Tinggi </v>
      </c>
      <c r="N164" s="51"/>
      <c r="O164" s="31"/>
      <c r="P164" s="31"/>
      <c r="Q164" s="31"/>
      <c r="R164" s="81">
        <f>+R165</f>
        <v>290311500</v>
      </c>
      <c r="S164" s="81"/>
      <c r="T164" s="81">
        <f t="shared" si="19"/>
        <v>54543500</v>
      </c>
      <c r="U164" s="81">
        <f t="shared" si="19"/>
        <v>0</v>
      </c>
      <c r="V164" s="81">
        <f t="shared" si="19"/>
        <v>581714600</v>
      </c>
      <c r="W164" s="81"/>
      <c r="X164" s="81">
        <f t="shared" si="19"/>
        <v>0</v>
      </c>
      <c r="Y164" s="81">
        <f t="shared" si="19"/>
        <v>290311500</v>
      </c>
      <c r="Z164" s="81">
        <f t="shared" si="19"/>
        <v>0</v>
      </c>
      <c r="AA164" s="31"/>
      <c r="AB164" s="32"/>
      <c r="AC164" s="32"/>
      <c r="AD164" s="32"/>
      <c r="AE164" s="32"/>
      <c r="AF164" s="31"/>
      <c r="AG164" s="31"/>
      <c r="AH164" s="31"/>
      <c r="AI164" s="31"/>
      <c r="AJ164" s="31"/>
      <c r="AK164" s="31"/>
      <c r="AL164" s="31"/>
      <c r="AM164" s="32"/>
    </row>
    <row r="165" spans="1:39" ht="48.75" customHeight="1">
      <c r="A165" s="10">
        <f>DATA!A160</f>
        <v>113</v>
      </c>
      <c r="B165" s="10" t="str">
        <f>DATA!B160</f>
        <v>II</v>
      </c>
      <c r="C165" s="10" t="str">
        <f>DATA!D160</f>
        <v>NON-INFRASTRUKTUR</v>
      </c>
      <c r="D165" s="10">
        <f>DATA!E160</f>
        <v>8</v>
      </c>
      <c r="E165" s="10" t="str">
        <f>DATA!F160</f>
        <v>Kementerian Riset, Teknologi, dan Pendidikan Tinggi</v>
      </c>
      <c r="F165" s="10" t="str">
        <f>DATA!H160</f>
        <v>Improving Access, Quality, Relevance, and Competitiveness of Higher Education Program</v>
      </c>
      <c r="G165" s="10" t="str">
        <f>DATA!I160</f>
        <v>A</v>
      </c>
      <c r="H165" s="10" t="str">
        <f>DATA!J160</f>
        <v xml:space="preserve">Program Peningkatan Akses, Kualitas, Relevansi, dan Daya Saing Pendidikan Tinggi </v>
      </c>
      <c r="I165" s="10">
        <f>DATA!K160</f>
        <v>1</v>
      </c>
      <c r="J165" s="33"/>
      <c r="K165" s="34"/>
      <c r="L165" s="35"/>
      <c r="M165" s="36">
        <f>DATA!K160</f>
        <v>1</v>
      </c>
      <c r="N165" s="37" t="str">
        <f>DATA!L160</f>
        <v>Strengthening Capacity of State Higher Education:</v>
      </c>
      <c r="O165" s="20">
        <f>DATA!Q160</f>
        <v>0</v>
      </c>
      <c r="P165" s="20">
        <f>DATA!R160</f>
        <v>1</v>
      </c>
      <c r="Q165" s="20">
        <f>DATA!S160</f>
        <v>101</v>
      </c>
      <c r="R165" s="77">
        <f>DATA!T160</f>
        <v>290311500</v>
      </c>
      <c r="S165" s="77"/>
      <c r="T165" s="77">
        <f>DATA!V160</f>
        <v>54543500</v>
      </c>
      <c r="U165" s="77">
        <f>DATA!W160</f>
        <v>0</v>
      </c>
      <c r="V165" s="77">
        <f>DATA!X160</f>
        <v>581714600</v>
      </c>
      <c r="W165" s="78" t="str">
        <f>DATA!Y160</f>
        <v>-</v>
      </c>
      <c r="X165" s="20">
        <f>DATA!Z160</f>
        <v>0</v>
      </c>
      <c r="Y165" s="77">
        <f>DATA!AA160</f>
        <v>290311500</v>
      </c>
      <c r="Z165" s="77">
        <f>DATA!AG160</f>
        <v>0</v>
      </c>
      <c r="AA165" s="20" t="str">
        <f>DATA!AH160</f>
        <v>-</v>
      </c>
      <c r="AB165" s="37" t="str">
        <f>DATA!AI160</f>
        <v>-</v>
      </c>
      <c r="AC165" s="37" t="str">
        <f>DATA!AJ160</f>
        <v>-</v>
      </c>
      <c r="AD165" s="37" t="str">
        <f>DATA!AK160</f>
        <v>-</v>
      </c>
      <c r="AE165" s="37" t="str">
        <f>DATA!AL160</f>
        <v>-</v>
      </c>
      <c r="AF165" s="20" t="str">
        <f>DATA!AM160</f>
        <v>-</v>
      </c>
      <c r="AG165" s="20">
        <f>DATA!AN160</f>
        <v>0</v>
      </c>
      <c r="AH165" s="20" t="str">
        <f>DATA!AO160</f>
        <v>-</v>
      </c>
      <c r="AI165" s="20">
        <f>DATA!AP160</f>
        <v>0</v>
      </c>
      <c r="AJ165" s="20" t="str">
        <f>DATA!AY160</f>
        <v>Surat Sekjen nomor 1532/A.A1/PR/2015 tgl 9 September 2015</v>
      </c>
      <c r="AK165" s="20" t="e">
        <f>DATA!#REF!</f>
        <v>#REF!</v>
      </c>
      <c r="AL165" s="20">
        <f>DATA!AZ160</f>
        <v>0</v>
      </c>
      <c r="AM165" s="37" t="str">
        <f>DATA!BA160</f>
        <v>Pembangunan sarana dan prasarana perkuliahan, pengadaan peralatan, pengembangan SDM, serta jasa konsultan</v>
      </c>
    </row>
    <row r="166" spans="1:39" s="6" customFormat="1" ht="59.25" customHeight="1">
      <c r="A166" s="6">
        <f>DATA!A161</f>
        <v>114</v>
      </c>
      <c r="B166" s="6">
        <f>DATA!B161</f>
        <v>0</v>
      </c>
      <c r="C166" s="6" t="str">
        <f>DATA!D161</f>
        <v>NON-INFRASTRUKTUR</v>
      </c>
      <c r="D166" s="6">
        <f>DATA!E161</f>
        <v>8</v>
      </c>
      <c r="E166" s="6" t="str">
        <f>DATA!F161</f>
        <v>Kementerian Riset, Teknologi, dan Pendidikan Tinggi</v>
      </c>
      <c r="F166" s="6" t="str">
        <f>DATA!H161</f>
        <v>Improving Access, Quality, Relevance, and Competitiveness of Higher Education Program</v>
      </c>
      <c r="G166" s="6" t="str">
        <f>DATA!I161</f>
        <v>A</v>
      </c>
      <c r="H166" s="6" t="str">
        <f>DATA!J161</f>
        <v xml:space="preserve">Program Peningkatan Akses, Kualitas, Relevansi, dan Daya Saing Pendidikan Tinggi </v>
      </c>
      <c r="I166" s="6">
        <f>DATA!K161</f>
        <v>1</v>
      </c>
      <c r="J166" s="38"/>
      <c r="K166" s="39"/>
      <c r="L166" s="39"/>
      <c r="M166" s="40"/>
      <c r="N166" s="67" t="str">
        <f>DATA!L161</f>
        <v>The Development of Sultan Ageng Tirtayasa University (UNTIRTA)</v>
      </c>
      <c r="O166" s="42">
        <f>DATA!Q161</f>
        <v>0.14285714285714285</v>
      </c>
      <c r="P166" s="42">
        <f>DATA!R161</f>
        <v>0</v>
      </c>
      <c r="Q166" s="42">
        <f>DATA!S161</f>
        <v>0</v>
      </c>
      <c r="R166" s="83">
        <f>DATA!T161</f>
        <v>49882300</v>
      </c>
      <c r="S166" s="83"/>
      <c r="T166" s="83">
        <f>DATA!V161</f>
        <v>3797300</v>
      </c>
      <c r="U166" s="83">
        <f>DATA!W161</f>
        <v>0</v>
      </c>
      <c r="V166" s="83">
        <f>DATA!X161</f>
        <v>53679600</v>
      </c>
      <c r="W166" s="84" t="str">
        <f>DATA!Y161</f>
        <v>IDB</v>
      </c>
      <c r="X166" s="42" t="str">
        <f>DATA!Z161</f>
        <v>Multilateral</v>
      </c>
      <c r="Y166" s="83">
        <f>DATA!AA161</f>
        <v>49882300</v>
      </c>
      <c r="Z166" s="83">
        <f>DATA!AG161</f>
        <v>0</v>
      </c>
      <c r="AA166" s="42" t="str">
        <f>DATA!AH161</f>
        <v>Tanpa keterangan</v>
      </c>
      <c r="AB166" s="67" t="str">
        <f>DATA!AI161</f>
        <v xml:space="preserve">Penyusunan R/C
</v>
      </c>
      <c r="AC166" s="67" t="str">
        <f>DATA!AJ161</f>
        <v>- Pemrosesan FS
- AMDAL proses lelang</v>
      </c>
      <c r="AD166" s="115">
        <f>DATA!AK161</f>
        <v>1</v>
      </c>
      <c r="AE166" s="67" t="str">
        <f>DATA!AL161</f>
        <v>-</v>
      </c>
      <c r="AF166" s="42" t="str">
        <f>DATA!AR161</f>
        <v>-</v>
      </c>
      <c r="AG166" s="42" t="str">
        <f>DATA!AN161</f>
        <v>siap</v>
      </c>
      <c r="AH166" s="42" t="str">
        <f>DATA!AO161</f>
        <v>siap</v>
      </c>
      <c r="AI166" s="42" t="str">
        <f>DATA!AP161</f>
        <v>belum ada proses tender/lelang</v>
      </c>
      <c r="AJ166" s="42" t="str">
        <f>DATA!AY161</f>
        <v>Surat Sekjen nomor 1532/A.A1/PR/2015 tgl 9 September 2015</v>
      </c>
      <c r="AK166" s="42" t="e">
        <f>DATA!#REF!</f>
        <v>#REF!</v>
      </c>
      <c r="AL166" s="42">
        <f>DATA!AZ161</f>
        <v>0</v>
      </c>
      <c r="AM166" s="67" t="str">
        <f>DATA!BA161</f>
        <v>Pembangunan sarana dan prasarana pendidikan (gedung perkuliahan, laboratorium dan sarana pendukung lainnya)  dan pengembangan landscape dan infrastruktur</v>
      </c>
    </row>
    <row r="167" spans="1:39" s="6" customFormat="1" ht="71.25" customHeight="1">
      <c r="A167" s="6">
        <f>DATA!A162</f>
        <v>115</v>
      </c>
      <c r="B167" s="6">
        <f>DATA!B162</f>
        <v>0</v>
      </c>
      <c r="C167" s="6" t="str">
        <f>DATA!D162</f>
        <v>NON-INFRASTRUKTUR</v>
      </c>
      <c r="D167" s="6">
        <f>DATA!E162</f>
        <v>8</v>
      </c>
      <c r="E167" s="6" t="str">
        <f>DATA!F162</f>
        <v>Kementerian Riset, Teknologi, dan Pendidikan Tinggi</v>
      </c>
      <c r="F167" s="6" t="str">
        <f>DATA!H162</f>
        <v>Improving Access, Quality, Relevance, and Competitiveness of Higher Education Program</v>
      </c>
      <c r="G167" s="6" t="str">
        <f>DATA!I162</f>
        <v>A</v>
      </c>
      <c r="H167" s="6" t="str">
        <f>DATA!J162</f>
        <v xml:space="preserve">Program Peningkatan Akses, Kualitas, Relevansi, dan Daya Saing Pendidikan Tinggi </v>
      </c>
      <c r="I167" s="6">
        <f>DATA!K162</f>
        <v>1</v>
      </c>
      <c r="J167" s="38"/>
      <c r="K167" s="39"/>
      <c r="L167" s="39"/>
      <c r="M167" s="38"/>
      <c r="N167" s="67" t="str">
        <f>DATA!L162</f>
        <v>Development for State University of Malang as The Learning University</v>
      </c>
      <c r="O167" s="42">
        <f>DATA!Q162</f>
        <v>0.14285714285714285</v>
      </c>
      <c r="P167" s="42">
        <f>DATA!R162</f>
        <v>0</v>
      </c>
      <c r="Q167" s="42">
        <f>DATA!S162</f>
        <v>0</v>
      </c>
      <c r="R167" s="83">
        <f>DATA!T162</f>
        <v>38400000</v>
      </c>
      <c r="S167" s="83"/>
      <c r="T167" s="83">
        <f>DATA!V162</f>
        <v>9335300</v>
      </c>
      <c r="U167" s="83">
        <f>DATA!W162</f>
        <v>0</v>
      </c>
      <c r="V167" s="83">
        <f>DATA!X162</f>
        <v>47735300</v>
      </c>
      <c r="W167" s="84" t="str">
        <f>DATA!Y162</f>
        <v>IDB</v>
      </c>
      <c r="X167" s="42" t="str">
        <f>DATA!Z162</f>
        <v>Multilateral</v>
      </c>
      <c r="Y167" s="83">
        <f>DATA!AA162</f>
        <v>38400000</v>
      </c>
      <c r="Z167" s="83">
        <f>DATA!AG162</f>
        <v>0</v>
      </c>
      <c r="AA167" s="42" t="str">
        <f>DATA!AH162</f>
        <v>Tanpa keterangan</v>
      </c>
      <c r="AB167" s="67" t="str">
        <f>DATA!AI162</f>
        <v xml:space="preserve">Penyusunan R/C
</v>
      </c>
      <c r="AC167" s="67" t="str">
        <f>DATA!AJ162</f>
        <v>- FS
- AMDAL dalam proses</v>
      </c>
      <c r="AD167" s="115">
        <f>DATA!AK162</f>
        <v>1</v>
      </c>
      <c r="AE167" s="67" t="str">
        <f>DATA!AL162</f>
        <v>-</v>
      </c>
      <c r="AF167" s="42" t="str">
        <f>DATA!AR162</f>
        <v>-</v>
      </c>
      <c r="AG167" s="42" t="str">
        <f>DATA!AN162</f>
        <v>siap</v>
      </c>
      <c r="AH167" s="42" t="str">
        <f>DATA!AO162</f>
        <v>siap</v>
      </c>
      <c r="AI167" s="42" t="str">
        <f>DATA!AP162</f>
        <v>belum ada proses tender/lelang</v>
      </c>
      <c r="AJ167" s="42" t="str">
        <f>DATA!AY162</f>
        <v>Surat Sekjen nomor 1532/A.A1/PR/2015 tgl 9 September 2015</v>
      </c>
      <c r="AK167" s="42" t="e">
        <f>DATA!#REF!</f>
        <v>#REF!</v>
      </c>
      <c r="AL167" s="42">
        <f>DATA!AZ162</f>
        <v>0</v>
      </c>
      <c r="AM167" s="67" t="str">
        <f>DATA!BA162</f>
        <v>Pembangunan sarana dan prasarana perkuliahan (ruang kuliah, ruang dosen, peralatan laboratorium, instalasi jaringan listrik dan telekomunikasi, instalasi air bersih, sanitasi dan mekanikal engineering) dan pengembangan SDM.</v>
      </c>
    </row>
    <row r="168" spans="1:39" s="6" customFormat="1" ht="101.25" customHeight="1">
      <c r="A168" s="6">
        <f>DATA!A163</f>
        <v>116</v>
      </c>
      <c r="B168" s="6">
        <f>DATA!B163</f>
        <v>0</v>
      </c>
      <c r="C168" s="6" t="str">
        <f>DATA!D163</f>
        <v>NON-INFRASTRUKTUR</v>
      </c>
      <c r="D168" s="6">
        <f>DATA!E163</f>
        <v>8</v>
      </c>
      <c r="E168" s="6" t="str">
        <f>DATA!F163</f>
        <v>Kementerian Riset, Teknologi, dan Pendidikan Tinggi</v>
      </c>
      <c r="F168" s="6" t="str">
        <f>DATA!H163</f>
        <v>Improving Access, Quality, Relevance, and Competitiveness of Higher Education Program</v>
      </c>
      <c r="G168" s="6" t="str">
        <f>DATA!I163</f>
        <v>A</v>
      </c>
      <c r="H168" s="6" t="str">
        <f>DATA!J163</f>
        <v xml:space="preserve">Program Peningkatan Akses, Kualitas, Relevansi, dan Daya Saing Pendidikan Tinggi </v>
      </c>
      <c r="I168" s="6">
        <f>DATA!K163</f>
        <v>1</v>
      </c>
      <c r="J168" s="38"/>
      <c r="K168" s="39"/>
      <c r="L168" s="39"/>
      <c r="M168" s="38"/>
      <c r="N168" s="67" t="str">
        <f>DATA!L163</f>
        <v>The Development and Upgrading Mulawarman University</v>
      </c>
      <c r="O168" s="42">
        <f>DATA!Q163</f>
        <v>0.14285714285714285</v>
      </c>
      <c r="P168" s="42">
        <f>DATA!R163</f>
        <v>0</v>
      </c>
      <c r="Q168" s="42">
        <f>DATA!S163</f>
        <v>0</v>
      </c>
      <c r="R168" s="83">
        <f>DATA!T163</f>
        <v>44400000</v>
      </c>
      <c r="S168" s="83"/>
      <c r="T168" s="83">
        <f>DATA!V163</f>
        <v>485800</v>
      </c>
      <c r="U168" s="83">
        <f>DATA!W163</f>
        <v>0</v>
      </c>
      <c r="V168" s="83">
        <f>DATA!X163</f>
        <v>44885800</v>
      </c>
      <c r="W168" s="84" t="str">
        <f>DATA!Y163</f>
        <v>IDB</v>
      </c>
      <c r="X168" s="42" t="str">
        <f>DATA!Z163</f>
        <v>Multilateral</v>
      </c>
      <c r="Y168" s="83">
        <f>DATA!AA163</f>
        <v>44400000</v>
      </c>
      <c r="Z168" s="83">
        <f>DATA!AG163</f>
        <v>0</v>
      </c>
      <c r="AA168" s="42" t="str">
        <f>DATA!AH163</f>
        <v>Tanpa keterangan</v>
      </c>
      <c r="AB168" s="67" t="str">
        <f>DATA!AI163</f>
        <v xml:space="preserve">Penyusunan R/C
</v>
      </c>
      <c r="AC168" s="67" t="str">
        <f>DATA!AJ163</f>
        <v>FS dan AMDAL target Desember 2015</v>
      </c>
      <c r="AD168" s="115">
        <f>DATA!AK163</f>
        <v>1</v>
      </c>
      <c r="AE168" s="67" t="str">
        <f>DATA!AL163</f>
        <v>-</v>
      </c>
      <c r="AF168" s="42" t="str">
        <f>DATA!AR163</f>
        <v>-</v>
      </c>
      <c r="AG168" s="42" t="str">
        <f>DATA!AN163</f>
        <v>siap</v>
      </c>
      <c r="AH168" s="42" t="str">
        <f>DATA!AO163</f>
        <v>siap</v>
      </c>
      <c r="AI168" s="42" t="str">
        <f>DATA!AP163</f>
        <v>belum ada proses tender/lelang</v>
      </c>
      <c r="AJ168" s="42" t="str">
        <f>DATA!AY163</f>
        <v>Surat Sekjen nomor 1532/A.A1/PR/2015 tgl 9 September 2015</v>
      </c>
      <c r="AK168" s="42" t="e">
        <f>DATA!#REF!</f>
        <v>#REF!</v>
      </c>
      <c r="AL168" s="42">
        <f>DATA!AZ163</f>
        <v>0</v>
      </c>
      <c r="AM168" s="67"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row>
    <row r="169" spans="1:39" s="6" customFormat="1" ht="54" customHeight="1">
      <c r="A169" s="6">
        <f>DATA!A164</f>
        <v>117</v>
      </c>
      <c r="B169" s="6">
        <f>DATA!B164</f>
        <v>0</v>
      </c>
      <c r="C169" s="6" t="str">
        <f>DATA!D164</f>
        <v>NON-INFRASTRUKTUR</v>
      </c>
      <c r="D169" s="6">
        <f>DATA!E164</f>
        <v>8</v>
      </c>
      <c r="E169" s="6" t="str">
        <f>DATA!F164</f>
        <v>Kementerian Riset, Teknologi, dan Pendidikan Tinggi</v>
      </c>
      <c r="F169" s="6" t="str">
        <f>DATA!H164</f>
        <v>Improving Access, Quality, Relevance, and Competitiveness of Higher Education Program</v>
      </c>
      <c r="G169" s="6" t="str">
        <f>DATA!I164</f>
        <v>A</v>
      </c>
      <c r="H169" s="6" t="str">
        <f>DATA!J164</f>
        <v xml:space="preserve">Program Peningkatan Akses, Kualitas, Relevansi, dan Daya Saing Pendidikan Tinggi </v>
      </c>
      <c r="I169" s="6">
        <f>DATA!K164</f>
        <v>1</v>
      </c>
      <c r="J169" s="38"/>
      <c r="K169" s="39"/>
      <c r="L169" s="39"/>
      <c r="M169" s="38"/>
      <c r="N169" s="67" t="str">
        <f>DATA!L164</f>
        <v>Improvement of The Capacity and Contribution of The University of Jember on Standardized and Excellent Tridharma Implementation in South East Asia Region</v>
      </c>
      <c r="O169" s="42">
        <f>DATA!Q164</f>
        <v>0.14285714285714285</v>
      </c>
      <c r="P169" s="42">
        <f>DATA!R164</f>
        <v>0</v>
      </c>
      <c r="Q169" s="42">
        <f>DATA!S164</f>
        <v>0</v>
      </c>
      <c r="R169" s="83">
        <f>DATA!T164</f>
        <v>44091200</v>
      </c>
      <c r="S169" s="83"/>
      <c r="T169" s="83">
        <f>DATA!V164</f>
        <v>1992700</v>
      </c>
      <c r="U169" s="83">
        <f>DATA!W164</f>
        <v>0</v>
      </c>
      <c r="V169" s="83">
        <f>DATA!X164</f>
        <v>46083900</v>
      </c>
      <c r="W169" s="84" t="str">
        <f>DATA!Y164</f>
        <v>IDB</v>
      </c>
      <c r="X169" s="42" t="str">
        <f>DATA!Z164</f>
        <v>Multilateral</v>
      </c>
      <c r="Y169" s="83">
        <f>DATA!AA164</f>
        <v>44091200</v>
      </c>
      <c r="Z169" s="83">
        <f>DATA!AG164</f>
        <v>0</v>
      </c>
      <c r="AA169" s="42" t="str">
        <f>DATA!AH164</f>
        <v>Tanpa keterangan</v>
      </c>
      <c r="AB169" s="67" t="str">
        <f>DATA!AI164</f>
        <v xml:space="preserve">Penyusunan R/C
</v>
      </c>
      <c r="AC169" s="67" t="str">
        <f>DATA!AJ164</f>
        <v>- Penyusunan AMDAL dan DED</v>
      </c>
      <c r="AD169" s="115">
        <f>DATA!AK164</f>
        <v>1</v>
      </c>
      <c r="AE169" s="67" t="str">
        <f>DATA!AL164</f>
        <v>-</v>
      </c>
      <c r="AF169" s="42" t="str">
        <f>DATA!AR164</f>
        <v>-</v>
      </c>
      <c r="AG169" s="42" t="str">
        <f>DATA!AN164</f>
        <v>siap</v>
      </c>
      <c r="AH169" s="42" t="str">
        <f>DATA!AO164</f>
        <v>siap</v>
      </c>
      <c r="AI169" s="42" t="str">
        <f>DATA!AP164</f>
        <v>belum ada proses tender/lelang</v>
      </c>
      <c r="AJ169" s="42" t="str">
        <f>DATA!AY164</f>
        <v>Surat Sekjen nomor 1532/A.A1/PR/2015 tgl 9 September 2015</v>
      </c>
      <c r="AK169" s="42" t="e">
        <f>DATA!#REF!</f>
        <v>#REF!</v>
      </c>
      <c r="AL169" s="42">
        <f>DATA!AZ164</f>
        <v>0</v>
      </c>
      <c r="AM169" s="67" t="str">
        <f>DATA!BA164</f>
        <v>Pembangunan sarana dan prasarana perkuliahan, pengadaan peralatan, pengembangan SDM, dan jasa konsultan</v>
      </c>
    </row>
    <row r="170" spans="1:39" s="6" customFormat="1" ht="43.5" customHeight="1">
      <c r="A170" s="6">
        <f>DATA!A165</f>
        <v>118</v>
      </c>
      <c r="B170" s="6">
        <f>DATA!B165</f>
        <v>0</v>
      </c>
      <c r="C170" s="6" t="str">
        <f>DATA!D165</f>
        <v>NON-INFRASTRUKTUR</v>
      </c>
      <c r="D170" s="6">
        <f>DATA!E165</f>
        <v>8</v>
      </c>
      <c r="E170" s="6" t="str">
        <f>DATA!F165</f>
        <v>Kementerian Riset, Teknologi, dan Pendidikan Tinggi</v>
      </c>
      <c r="F170" s="6" t="str">
        <f>DATA!H165</f>
        <v>Improving Access, Quality, Relevance, and Competitiveness of Higher Education Program</v>
      </c>
      <c r="G170" s="6" t="str">
        <f>DATA!I165</f>
        <v>A</v>
      </c>
      <c r="H170" s="6" t="str">
        <f>DATA!J165</f>
        <v xml:space="preserve">Program Peningkatan Akses, Kualitas, Relevansi, dan Daya Saing Pendidikan Tinggi </v>
      </c>
      <c r="I170" s="6">
        <f>DATA!K165</f>
        <v>1</v>
      </c>
      <c r="J170" s="38"/>
      <c r="K170" s="39"/>
      <c r="L170" s="39"/>
      <c r="M170" s="38"/>
      <c r="N170" s="67" t="str">
        <f>DATA!L165</f>
        <v>The Plan of Hasanuddin University Hospital Development</v>
      </c>
      <c r="O170" s="42">
        <f>DATA!Q165</f>
        <v>0.14285714285714285</v>
      </c>
      <c r="P170" s="42">
        <f>DATA!R165</f>
        <v>0</v>
      </c>
      <c r="Q170" s="42">
        <f>DATA!S165</f>
        <v>0</v>
      </c>
      <c r="R170" s="83">
        <f>DATA!T165</f>
        <v>31565800</v>
      </c>
      <c r="S170" s="83"/>
      <c r="T170" s="83">
        <f>DATA!V165</f>
        <v>2586200</v>
      </c>
      <c r="U170" s="83">
        <f>DATA!W165</f>
        <v>0</v>
      </c>
      <c r="V170" s="83">
        <f>DATA!X165</f>
        <v>34152000</v>
      </c>
      <c r="W170" s="84" t="str">
        <f>DATA!Y165</f>
        <v>Jerman (KfW)</v>
      </c>
      <c r="X170" s="42" t="str">
        <f>DATA!Z165</f>
        <v>Bilateral</v>
      </c>
      <c r="Y170" s="83">
        <f>DATA!AA165</f>
        <v>31565800</v>
      </c>
      <c r="Z170" s="83">
        <f>DATA!AG165</f>
        <v>0</v>
      </c>
      <c r="AA170" s="42" t="str">
        <f>DATA!AH165</f>
        <v>Tanpa keterangan</v>
      </c>
      <c r="AB170" s="67" t="str">
        <f>DATA!AI165</f>
        <v xml:space="preserve">Penyusunan R/C
</v>
      </c>
      <c r="AC170" s="67" t="str">
        <f>DATA!AJ165</f>
        <v>AMDAL</v>
      </c>
      <c r="AD170" s="115">
        <f>DATA!AK165</f>
        <v>1</v>
      </c>
      <c r="AE170" s="67" t="str">
        <f>DATA!AL165</f>
        <v>-</v>
      </c>
      <c r="AF170" s="42" t="str">
        <f>DATA!AR165</f>
        <v>-</v>
      </c>
      <c r="AG170" s="42" t="str">
        <f>DATA!AN165</f>
        <v>siap</v>
      </c>
      <c r="AH170" s="42" t="str">
        <f>DATA!AO165</f>
        <v>siap</v>
      </c>
      <c r="AI170" s="42" t="str">
        <f>DATA!AP165</f>
        <v>belum ada proses tender/lelang</v>
      </c>
      <c r="AJ170" s="42" t="str">
        <f>DATA!AY165</f>
        <v>Surat Sekjen nomor 1532/A.A1/PR/2015 tgl 9 September 2015</v>
      </c>
      <c r="AK170" s="42" t="e">
        <f>DATA!#REF!</f>
        <v>#REF!</v>
      </c>
      <c r="AL170" s="42">
        <f>DATA!AZ165</f>
        <v>0</v>
      </c>
      <c r="AM170" s="67" t="str">
        <f>DATA!BA165</f>
        <v>Pengadaan peralatan, pengembangan SDM, pengembangan telemedicine dan sistem manajemen informasi, dan manajemen dan jasa konsultasi</v>
      </c>
    </row>
    <row r="171" spans="1:39" s="6" customFormat="1" ht="57.75" customHeight="1">
      <c r="A171" s="6">
        <f>DATA!A166</f>
        <v>119</v>
      </c>
      <c r="B171" s="6">
        <f>DATA!B166</f>
        <v>0</v>
      </c>
      <c r="C171" s="6" t="str">
        <f>DATA!D166</f>
        <v>NON-INFRASTRUKTUR</v>
      </c>
      <c r="D171" s="6">
        <f>DATA!E166</f>
        <v>8</v>
      </c>
      <c r="E171" s="6" t="str">
        <f>DATA!F166</f>
        <v>Kementerian Riset, Teknologi, dan Pendidikan Tinggi</v>
      </c>
      <c r="F171" s="6" t="str">
        <f>DATA!H166</f>
        <v>Improving Access, Quality, Relevance, and Competitiveness of Higher Education Program</v>
      </c>
      <c r="G171" s="6" t="str">
        <f>DATA!I166</f>
        <v>A</v>
      </c>
      <c r="H171" s="6" t="str">
        <f>DATA!J166</f>
        <v xml:space="preserve">Program Peningkatan Akses, Kualitas, Relevansi, dan Daya Saing Pendidikan Tinggi </v>
      </c>
      <c r="I171" s="6">
        <f>DATA!K166</f>
        <v>1</v>
      </c>
      <c r="J171" s="38"/>
      <c r="K171" s="39"/>
      <c r="L171" s="39"/>
      <c r="M171" s="38"/>
      <c r="N171" s="67" t="str">
        <f>DATA!L166</f>
        <v>Establishment of University of Bengkulu’s Hospital</v>
      </c>
      <c r="O171" s="42">
        <f>DATA!Q166</f>
        <v>18000000</v>
      </c>
      <c r="P171" s="42">
        <f>DATA!R166</f>
        <v>0</v>
      </c>
      <c r="Q171" s="42">
        <f>DATA!S166</f>
        <v>0</v>
      </c>
      <c r="R171" s="83">
        <f>DATA!T166</f>
        <v>10278200</v>
      </c>
      <c r="S171" s="83"/>
      <c r="T171" s="83">
        <f>DATA!V166</f>
        <v>182000</v>
      </c>
      <c r="U171" s="83">
        <f>DATA!W166</f>
        <v>0</v>
      </c>
      <c r="V171" s="83">
        <f>DATA!X166</f>
        <v>10460200</v>
      </c>
      <c r="W171" s="84" t="str">
        <f>DATA!Y166</f>
        <v>JICA</v>
      </c>
      <c r="X171" s="42" t="str">
        <f>DATA!Z166</f>
        <v>Bilateral</v>
      </c>
      <c r="Y171" s="83">
        <f>DATA!AA166</f>
        <v>10278200</v>
      </c>
      <c r="Z171" s="83">
        <f>DATA!AG166</f>
        <v>0</v>
      </c>
      <c r="AA171" s="42" t="str">
        <f>DATA!AH166</f>
        <v>Tanpa keterangan</v>
      </c>
      <c r="AB171" s="67" t="str">
        <f>DATA!AI166</f>
        <v xml:space="preserve">Penyusunan R/C
</v>
      </c>
      <c r="AC171" s="67" t="str">
        <f>DATA!AJ166</f>
        <v>- FS
- AMDAL</v>
      </c>
      <c r="AD171" s="115">
        <f>DATA!AK166</f>
        <v>1</v>
      </c>
      <c r="AE171" s="67" t="str">
        <f>DATA!AL166</f>
        <v>-</v>
      </c>
      <c r="AF171" s="42" t="str">
        <f>DATA!AR166</f>
        <v>penyiapan dokumen R/C</v>
      </c>
      <c r="AG171" s="42" t="str">
        <f>DATA!AN166</f>
        <v>siap</v>
      </c>
      <c r="AH171" s="42" t="str">
        <f>DATA!AO166</f>
        <v>siap</v>
      </c>
      <c r="AI171" s="42" t="str">
        <f>DATA!AP166</f>
        <v>belum ada proses tender/lelang</v>
      </c>
      <c r="AJ171" s="42" t="str">
        <f>DATA!AY166</f>
        <v>- Lender semula adalah IDB namun pihak Kemristekdikti mengkonfirmasikan  Lender untuk kegiatan ini adalah JICA
- Surat Sekjen nomor 1532/A.A1/PR/2015 tgl 9 September 2015</v>
      </c>
      <c r="AK171" s="42" t="e">
        <f>DATA!#REF!</f>
        <v>#REF!</v>
      </c>
      <c r="AL171" s="42">
        <f>DATA!AZ166</f>
        <v>0</v>
      </c>
      <c r="AM171" s="67" t="str">
        <f>DATA!BA166</f>
        <v>Pembangunan RS Pendidikan di Universitas Bengkulu, pengadaan peralatan medis dan furniture, pengembangan SDM, manajemen proyek, koordinasi, dan pembelajaran</v>
      </c>
    </row>
    <row r="172" spans="1:39" s="6" customFormat="1" ht="50.25" customHeight="1">
      <c r="A172" s="6">
        <f>DATA!A167</f>
        <v>120</v>
      </c>
      <c r="B172" s="6">
        <f>DATA!B167</f>
        <v>0</v>
      </c>
      <c r="C172" s="6" t="str">
        <f>DATA!D167</f>
        <v>NON-INFRASTRUKTUR</v>
      </c>
      <c r="D172" s="6">
        <f>DATA!E167</f>
        <v>8</v>
      </c>
      <c r="E172" s="6" t="str">
        <f>DATA!F167</f>
        <v>Kementerian Riset, Teknologi, dan Pendidikan Tinggi</v>
      </c>
      <c r="F172" s="6" t="str">
        <f>DATA!H167</f>
        <v>Improving Access, Quality, Relevance, and Competitiveness of Higher Education Program</v>
      </c>
      <c r="G172" s="6" t="str">
        <f>DATA!I167</f>
        <v>A</v>
      </c>
      <c r="H172" s="6" t="str">
        <f>DATA!J167</f>
        <v xml:space="preserve">Program Peningkatan Akses, Kualitas, Relevansi, dan Daya Saing Pendidikan Tinggi </v>
      </c>
      <c r="I172" s="6">
        <f>DATA!K167</f>
        <v>1</v>
      </c>
      <c r="J172" s="38"/>
      <c r="K172" s="71"/>
      <c r="L172" s="71"/>
      <c r="M172" s="43"/>
      <c r="N172" s="67" t="str">
        <f>DATA!L167</f>
        <v>University of Gadjah Mada Achieving World Class University with Socio-Entrepreneurial Spirit</v>
      </c>
      <c r="O172" s="42">
        <f>DATA!Q167</f>
        <v>0.14285714285714285</v>
      </c>
      <c r="P172" s="42">
        <f>DATA!R167</f>
        <v>0</v>
      </c>
      <c r="Q172" s="42">
        <f>DATA!S167</f>
        <v>0</v>
      </c>
      <c r="R172" s="83">
        <f>DATA!T167</f>
        <v>71694000</v>
      </c>
      <c r="S172" s="83"/>
      <c r="T172" s="83">
        <f>DATA!V167</f>
        <v>7041900</v>
      </c>
      <c r="U172" s="83">
        <f>DATA!W167</f>
        <v>0</v>
      </c>
      <c r="V172" s="83">
        <f>DATA!X167</f>
        <v>78735900</v>
      </c>
      <c r="W172" s="84" t="str">
        <f>DATA!Y167</f>
        <v>JICA</v>
      </c>
      <c r="X172" s="42" t="str">
        <f>DATA!Z167</f>
        <v>Bilateral</v>
      </c>
      <c r="Y172" s="83">
        <f>DATA!AA167</f>
        <v>71694000</v>
      </c>
      <c r="Z172" s="83">
        <f>DATA!AG167</f>
        <v>0</v>
      </c>
      <c r="AA172" s="42" t="str">
        <f>DATA!AH167</f>
        <v>Tanpa keterangan</v>
      </c>
      <c r="AB172" s="67" t="str">
        <f>DATA!AI167</f>
        <v xml:space="preserve">Penyusunan R/C
</v>
      </c>
      <c r="AC172" s="67" t="str">
        <f>DATA!AJ167</f>
        <v>- FS
- AMDAL dan DED dalam proses</v>
      </c>
      <c r="AD172" s="115">
        <f>DATA!AK167</f>
        <v>0.95</v>
      </c>
      <c r="AE172" s="67" t="str">
        <f>DATA!AL167</f>
        <v>-</v>
      </c>
      <c r="AF172" s="42" t="str">
        <f>DATA!AR167</f>
        <v>-</v>
      </c>
      <c r="AG172" s="42" t="str">
        <f>DATA!AN167</f>
        <v>siap</v>
      </c>
      <c r="AH172" s="42" t="str">
        <f>DATA!AO167</f>
        <v>siap</v>
      </c>
      <c r="AI172" s="42" t="str">
        <f>DATA!AP167</f>
        <v>belum ada proses tender/lelang</v>
      </c>
      <c r="AJ172" s="42" t="str">
        <f>DATA!AY167</f>
        <v>- Lender semula adalah IDB namun pihak Kemristekdikti mengkonfirmasikan  Lender untuk kegiatan ini adalah JICA
- Target penyelesaian lahan akhir Desember 2015
- Surat Sekjen nomor 1532/A.A1/PR/2015 tgl 9 September 2015</v>
      </c>
      <c r="AK172" s="42" t="e">
        <f>DATA!#REF!</f>
        <v>#REF!</v>
      </c>
      <c r="AL172" s="42">
        <f>DATA!AZ167</f>
        <v>0</v>
      </c>
      <c r="AM172" s="67" t="str">
        <f>DATA!BA167</f>
        <v>Pembangunan gedung baru, pengadaan peralatan, pengembangan SDM dan desain kurikulum, jasa konsultan, dan manajemen proyek</v>
      </c>
    </row>
    <row r="173" spans="1:39" s="4" customFormat="1" ht="24.95" customHeight="1">
      <c r="J173" s="107"/>
      <c r="K173" s="25">
        <f>DATA!E173</f>
        <v>9</v>
      </c>
      <c r="L173" s="108" t="str">
        <f>DATA!F173</f>
        <v>Kementerian Agama</v>
      </c>
      <c r="M173" s="25"/>
      <c r="N173" s="27"/>
      <c r="O173" s="26"/>
      <c r="P173" s="26"/>
      <c r="Q173" s="26"/>
      <c r="R173" s="80">
        <f>+R174</f>
        <v>238210000</v>
      </c>
      <c r="S173" s="80"/>
      <c r="T173" s="80">
        <f t="shared" ref="T173:Z174" si="20">+T174</f>
        <v>60851400</v>
      </c>
      <c r="U173" s="80">
        <f t="shared" si="20"/>
        <v>0</v>
      </c>
      <c r="V173" s="80">
        <f t="shared" si="20"/>
        <v>288657100</v>
      </c>
      <c r="W173" s="80"/>
      <c r="X173" s="80">
        <f t="shared" si="20"/>
        <v>0</v>
      </c>
      <c r="Y173" s="80">
        <f t="shared" si="20"/>
        <v>238210000</v>
      </c>
      <c r="Z173" s="80">
        <f t="shared" si="20"/>
        <v>0</v>
      </c>
      <c r="AA173" s="26"/>
      <c r="AB173" s="27"/>
      <c r="AC173" s="27"/>
      <c r="AD173" s="27"/>
      <c r="AE173" s="27"/>
      <c r="AF173" s="26"/>
      <c r="AG173" s="26"/>
      <c r="AH173" s="26"/>
      <c r="AI173" s="26"/>
      <c r="AJ173" s="26"/>
      <c r="AK173" s="26"/>
      <c r="AL173" s="26"/>
      <c r="AM173" s="27"/>
    </row>
    <row r="174" spans="1:39" s="5" customFormat="1" ht="33.75" customHeight="1">
      <c r="J174" s="28"/>
      <c r="K174" s="29"/>
      <c r="L174" s="30" t="str">
        <f>DATA!I173</f>
        <v>A</v>
      </c>
      <c r="M174" s="31" t="str">
        <f>DATA!J173</f>
        <v>Program Peningkatan Akses, Kualitas, Relevansi, dan Daya Saing Pendidikan Tinggi Islam</v>
      </c>
      <c r="N174" s="51"/>
      <c r="O174" s="31"/>
      <c r="P174" s="31"/>
      <c r="Q174" s="31"/>
      <c r="R174" s="81">
        <f>+R175</f>
        <v>238210000</v>
      </c>
      <c r="S174" s="81"/>
      <c r="T174" s="81">
        <f t="shared" si="20"/>
        <v>60851400</v>
      </c>
      <c r="U174" s="81">
        <f t="shared" si="20"/>
        <v>0</v>
      </c>
      <c r="V174" s="81">
        <f t="shared" si="20"/>
        <v>288657100</v>
      </c>
      <c r="W174" s="81"/>
      <c r="X174" s="81">
        <f t="shared" si="20"/>
        <v>0</v>
      </c>
      <c r="Y174" s="81">
        <f t="shared" si="20"/>
        <v>238210000</v>
      </c>
      <c r="Z174" s="81">
        <f t="shared" si="20"/>
        <v>0</v>
      </c>
      <c r="AA174" s="31"/>
      <c r="AB174" s="32"/>
      <c r="AC174" s="32"/>
      <c r="AD174" s="32"/>
      <c r="AE174" s="32"/>
      <c r="AF174" s="31"/>
      <c r="AG174" s="31"/>
      <c r="AH174" s="31"/>
      <c r="AI174" s="31"/>
      <c r="AJ174" s="31"/>
      <c r="AK174" s="31"/>
      <c r="AL174" s="31"/>
      <c r="AM174" s="32"/>
    </row>
    <row r="175" spans="1:39" ht="38.25">
      <c r="A175" s="10">
        <f>DATA!A173</f>
        <v>121</v>
      </c>
      <c r="B175" s="10">
        <f>DATA!B173</f>
        <v>0</v>
      </c>
      <c r="C175" s="10" t="str">
        <f>DATA!D173</f>
        <v>NON-INFRASTRUKTUR</v>
      </c>
      <c r="D175" s="10">
        <f>DATA!E173</f>
        <v>9</v>
      </c>
      <c r="E175" s="10" t="str">
        <f>DATA!F173</f>
        <v>Kementerian Agama</v>
      </c>
      <c r="F175" s="10" t="str">
        <f>DATA!H173</f>
        <v>Improving Access, Quality, Relevance, and Competitiveness of Islamic Higher Education Program</v>
      </c>
      <c r="G175" s="10" t="str">
        <f>DATA!I173</f>
        <v>A</v>
      </c>
      <c r="H175" s="10" t="str">
        <f>DATA!J173</f>
        <v>Program Peningkatan Akses, Kualitas, Relevansi, dan Daya Saing Pendidikan Tinggi Islam</v>
      </c>
      <c r="I175" s="10">
        <f>DATA!K173</f>
        <v>1</v>
      </c>
      <c r="J175" s="33"/>
      <c r="K175" s="34"/>
      <c r="L175" s="35"/>
      <c r="M175" s="36">
        <f>DATA!K173</f>
        <v>1</v>
      </c>
      <c r="N175" s="37" t="str">
        <f>DATA!L173</f>
        <v>Strengthening Capacity of Islamic Higher Education (IAIN and UIN):</v>
      </c>
      <c r="O175" s="20">
        <f>DATA!Q173</f>
        <v>0</v>
      </c>
      <c r="P175" s="20">
        <f>DATA!R173</f>
        <v>1</v>
      </c>
      <c r="Q175" s="20">
        <f>DATA!S173</f>
        <v>102</v>
      </c>
      <c r="R175" s="77">
        <f>DATA!T173</f>
        <v>238210000</v>
      </c>
      <c r="S175" s="77"/>
      <c r="T175" s="77">
        <f>DATA!V173</f>
        <v>60851400</v>
      </c>
      <c r="U175" s="77">
        <f>DATA!W173</f>
        <v>0</v>
      </c>
      <c r="V175" s="77">
        <f>DATA!X173</f>
        <v>288657100</v>
      </c>
      <c r="W175" s="78" t="str">
        <f>DATA!Y173</f>
        <v>-</v>
      </c>
      <c r="X175" s="20">
        <f>DATA!Z173</f>
        <v>0</v>
      </c>
      <c r="Y175" s="77">
        <f>DATA!AA173</f>
        <v>238210000</v>
      </c>
      <c r="Z175" s="77">
        <f>DATA!AG173</f>
        <v>0</v>
      </c>
      <c r="AA175" s="20" t="str">
        <f>DATA!AH173</f>
        <v>-</v>
      </c>
      <c r="AB175" s="37" t="str">
        <f>DATA!AI173</f>
        <v>-</v>
      </c>
      <c r="AC175" s="37" t="str">
        <f>DATA!AJ173</f>
        <v>-</v>
      </c>
      <c r="AD175" s="37" t="str">
        <f>DATA!AK173</f>
        <v>-</v>
      </c>
      <c r="AE175" s="37" t="str">
        <f>DATA!AL173</f>
        <v>-</v>
      </c>
      <c r="AF175" s="20" t="str">
        <f>DATA!AM173</f>
        <v>-</v>
      </c>
      <c r="AG175" s="20" t="str">
        <f>DATA!AN173</f>
        <v>-</v>
      </c>
      <c r="AH175" s="20" t="str">
        <f>DATA!AO173</f>
        <v>-</v>
      </c>
      <c r="AI175" s="20">
        <f>DATA!AP173</f>
        <v>0</v>
      </c>
      <c r="AJ175" s="20" t="str">
        <f>DATA!AY173</f>
        <v>Surat Sekjen a/n Menteri Agama nomor SJ/B.I/1/KU.00.2/6260/2015 tanggal 17 September 2015</v>
      </c>
      <c r="AK175" s="20" t="e">
        <f>DATA!#REF!</f>
        <v>#REF!</v>
      </c>
      <c r="AL175" s="20">
        <f>DATA!AZ173</f>
        <v>0</v>
      </c>
      <c r="AM175" s="37" t="str">
        <f>DATA!BA173</f>
        <v>Pembangunan sarana dan prasarana perkuliahan, pengadaan peralatan, pengembangan SDM, serta jasa konsultan</v>
      </c>
    </row>
    <row r="176" spans="1:39" s="6" customFormat="1" ht="61.5" customHeight="1">
      <c r="A176" s="6">
        <f>DATA!A174</f>
        <v>124</v>
      </c>
      <c r="B176" s="6">
        <f>DATA!B174</f>
        <v>0</v>
      </c>
      <c r="C176" s="6" t="str">
        <f>DATA!D174</f>
        <v>NON-INFRASTRUKTUR</v>
      </c>
      <c r="D176" s="6">
        <f>DATA!E174</f>
        <v>9</v>
      </c>
      <c r="E176" s="6" t="str">
        <f>DATA!F174</f>
        <v>Kementerian Agama</v>
      </c>
      <c r="F176" s="6" t="str">
        <f>DATA!H174</f>
        <v>Improving Access, Quality, Relevance, and Competitiveness of Islamic Higher Education Program</v>
      </c>
      <c r="G176" s="6" t="str">
        <f>DATA!I174</f>
        <v>A</v>
      </c>
      <c r="H176" s="6" t="str">
        <f>DATA!J174</f>
        <v>Program Peningkatan Akses, Kualitas, Relevansi, dan Daya Saing Pendidikan Tinggi Islam</v>
      </c>
      <c r="I176" s="6">
        <f>DATA!K174</f>
        <v>1</v>
      </c>
      <c r="J176" s="38"/>
      <c r="K176" s="39"/>
      <c r="L176" s="39"/>
      <c r="M176" s="40"/>
      <c r="N176" s="67" t="str">
        <f>DATA!L174</f>
        <v>Improvement and Optimalization of Sunan Ampel Surabaya State Islamic University</v>
      </c>
      <c r="O176" s="42">
        <f>DATA!Q174</f>
        <v>0.16666666666666666</v>
      </c>
      <c r="P176" s="42">
        <f>DATA!R174</f>
        <v>0</v>
      </c>
      <c r="Q176" s="42">
        <f>DATA!S174</f>
        <v>0</v>
      </c>
      <c r="R176" s="83">
        <f>DATA!T174</f>
        <v>40000000</v>
      </c>
      <c r="S176" s="83"/>
      <c r="T176" s="83">
        <f>DATA!V174</f>
        <v>10000000</v>
      </c>
      <c r="U176" s="83">
        <f>DATA!W174</f>
        <v>0</v>
      </c>
      <c r="V176" s="83">
        <f>DATA!X174</f>
        <v>50000000</v>
      </c>
      <c r="W176" s="84" t="str">
        <f>DATA!Y174</f>
        <v>IDB</v>
      </c>
      <c r="X176" s="42" t="str">
        <f>DATA!Z174</f>
        <v>Multilateral</v>
      </c>
      <c r="Y176" s="83">
        <f>DATA!AA174</f>
        <v>40000000</v>
      </c>
      <c r="Z176" s="83">
        <f>DATA!AG174</f>
        <v>0</v>
      </c>
      <c r="AA176" s="42" t="str">
        <f>DATA!AH174</f>
        <v>Tanpa keterangan</v>
      </c>
      <c r="AB176" s="67" t="str">
        <f>DATA!AI174</f>
        <v>Penyusunan R/C</v>
      </c>
      <c r="AC176" s="67" t="str">
        <f>DATA!AJ174</f>
        <v>- FS dan Proposal
- Penyusunan R/C</v>
      </c>
      <c r="AD176" s="115">
        <f>DATA!AK174</f>
        <v>0.85</v>
      </c>
      <c r="AE176" s="67" t="str">
        <f>DATA!AL174</f>
        <v>-</v>
      </c>
      <c r="AF176" s="42" t="str">
        <f>DATA!AR174</f>
        <v>-</v>
      </c>
      <c r="AG176" s="42" t="str">
        <f>DATA!AN174</f>
        <v>siap</v>
      </c>
      <c r="AH176" s="42" t="str">
        <f>DATA!AO174</f>
        <v>siap</v>
      </c>
      <c r="AI176" s="42" t="str">
        <f>DATA!AP174</f>
        <v>belum ada proses tender/lelang</v>
      </c>
      <c r="AJ176" s="42" t="str">
        <f>DATA!AY174</f>
        <v xml:space="preserve">- Pembebasan kekurangan lahan dilakukan tahun 2016
- Surat Sekjen a/n Menteri Agama nomor SJ/B.I/1/KU.00.2/6260/2015 tanggal 17 September 2015
</v>
      </c>
      <c r="AK176" s="42" t="e">
        <f>DATA!#REF!</f>
        <v>#REF!</v>
      </c>
      <c r="AL176" s="42">
        <f>DATA!AZ174</f>
        <v>0</v>
      </c>
      <c r="AM176" s="67" t="str">
        <f>DATA!BA174</f>
        <v xml:space="preserve">Pengembangan sarana prasarana perkuliahan (fakultas Saintek, Psikologi dan Kesehatan, Humaniora dan Ilmu Sosial), pengembangan kurikulum dan manajemen akademik, dan pengembangan SDM 
</v>
      </c>
    </row>
    <row r="177" spans="1:39" s="6" customFormat="1" ht="52.5" customHeight="1">
      <c r="A177" s="6">
        <f>DATA!A175</f>
        <v>125</v>
      </c>
      <c r="B177" s="6">
        <f>DATA!B175</f>
        <v>0</v>
      </c>
      <c r="C177" s="6" t="str">
        <f>DATA!D175</f>
        <v>NON-INFRASTRUKTUR</v>
      </c>
      <c r="D177" s="6">
        <f>DATA!E175</f>
        <v>9</v>
      </c>
      <c r="E177" s="6" t="str">
        <f>DATA!F175</f>
        <v>Kementerian Agama</v>
      </c>
      <c r="F177" s="6" t="str">
        <f>DATA!H175</f>
        <v>Improving Access, Quality, Relevance, and Competitiveness of Islamic Higher Education Program</v>
      </c>
      <c r="G177" s="6" t="str">
        <f>DATA!I175</f>
        <v>A</v>
      </c>
      <c r="H177" s="6" t="str">
        <f>DATA!J175</f>
        <v>Program Peningkatan Akses, Kualitas, Relevansi, dan Daya Saing Pendidikan Tinggi Islam</v>
      </c>
      <c r="I177" s="6">
        <f>DATA!K175</f>
        <v>1</v>
      </c>
      <c r="J177" s="38"/>
      <c r="K177" s="39"/>
      <c r="L177" s="39"/>
      <c r="M177" s="38"/>
      <c r="N177" s="67" t="str">
        <f>DATA!L175</f>
        <v>Improvement Access and Quality of State Islamic Institute  Suthan Maulana Hasanuddin Banten</v>
      </c>
      <c r="O177" s="42">
        <f>DATA!Q175</f>
        <v>0.16666666666666666</v>
      </c>
      <c r="P177" s="42">
        <f>DATA!R175</f>
        <v>0</v>
      </c>
      <c r="Q177" s="42">
        <f>DATA!S175</f>
        <v>0</v>
      </c>
      <c r="R177" s="83">
        <f>DATA!T175</f>
        <v>40000000</v>
      </c>
      <c r="S177" s="83"/>
      <c r="T177" s="83">
        <f>DATA!V175</f>
        <v>5985000</v>
      </c>
      <c r="U177" s="83">
        <f>DATA!W175</f>
        <v>0</v>
      </c>
      <c r="V177" s="83">
        <f>DATA!X175</f>
        <v>45985000</v>
      </c>
      <c r="W177" s="84" t="str">
        <f>DATA!Y175</f>
        <v>IDB</v>
      </c>
      <c r="X177" s="42" t="str">
        <f>DATA!Z175</f>
        <v>Multilateral</v>
      </c>
      <c r="Y177" s="83">
        <f>DATA!AA175</f>
        <v>40000000</v>
      </c>
      <c r="Z177" s="83">
        <f>DATA!AG175</f>
        <v>0</v>
      </c>
      <c r="AA177" s="42" t="str">
        <f>DATA!AH175</f>
        <v>Tanpa keterangan</v>
      </c>
      <c r="AB177" s="67" t="str">
        <f>DATA!AI175</f>
        <v>Penyusunan R/C</v>
      </c>
      <c r="AC177" s="67" t="str">
        <f>DATA!AJ175</f>
        <v>- Sudah ada Master Plan
- AMDAL</v>
      </c>
      <c r="AD177" s="115">
        <f>DATA!AK175</f>
        <v>1</v>
      </c>
      <c r="AE177" s="67" t="str">
        <f>DATA!AL175</f>
        <v>-</v>
      </c>
      <c r="AF177" s="42" t="str">
        <f>DATA!AR175</f>
        <v>-</v>
      </c>
      <c r="AG177" s="42" t="str">
        <f>DATA!AN175</f>
        <v>siap</v>
      </c>
      <c r="AH177" s="42" t="str">
        <f>DATA!AO175</f>
        <v>siap</v>
      </c>
      <c r="AI177" s="42" t="str">
        <f>DATA!AP175</f>
        <v>belum ada proses tender/lelang</v>
      </c>
      <c r="AJ177" s="42"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K177" s="42" t="e">
        <f>DATA!#REF!</f>
        <v>#REF!</v>
      </c>
      <c r="AL177" s="42">
        <f>DATA!AZ175</f>
        <v>0</v>
      </c>
      <c r="AM177" s="67" t="str">
        <f>DATA!BA175</f>
        <v>Pembangunan gedung dan infrastruktur, pengadaaan mebelair dan peralatan, peningkatan SDM, dan pengembangan kurikulum akademik</v>
      </c>
    </row>
    <row r="178" spans="1:39" s="6" customFormat="1" ht="66.75" customHeight="1">
      <c r="A178" s="6">
        <f>DATA!A176</f>
        <v>126</v>
      </c>
      <c r="B178" s="6">
        <f>DATA!B176</f>
        <v>0</v>
      </c>
      <c r="C178" s="6" t="str">
        <f>DATA!D176</f>
        <v>NON-INFRASTRUKTUR</v>
      </c>
      <c r="D178" s="6">
        <f>DATA!E176</f>
        <v>9</v>
      </c>
      <c r="E178" s="6" t="str">
        <f>DATA!F176</f>
        <v>Kementerian Agama</v>
      </c>
      <c r="F178" s="6" t="str">
        <f>DATA!H176</f>
        <v>Improving Access, Quality, Relevance, and Competitiveness of Islamic Higher Education Program</v>
      </c>
      <c r="G178" s="6" t="str">
        <f>DATA!I176</f>
        <v>A</v>
      </c>
      <c r="H178" s="6" t="str">
        <f>DATA!J176</f>
        <v>Program Peningkatan Akses, Kualitas, Relevansi, dan Daya Saing Pendidikan Tinggi Islam</v>
      </c>
      <c r="I178" s="6">
        <f>DATA!K176</f>
        <v>1</v>
      </c>
      <c r="J178" s="38"/>
      <c r="K178" s="39"/>
      <c r="L178" s="39"/>
      <c r="M178" s="38"/>
      <c r="N178" s="67" t="str">
        <f>DATA!L176</f>
        <v xml:space="preserve">Development and Quality Improvement  of Antasari State Islamic Institute </v>
      </c>
      <c r="O178" s="42">
        <f>DATA!Q176</f>
        <v>0.16666666666666666</v>
      </c>
      <c r="P178" s="42">
        <f>DATA!R176</f>
        <v>0</v>
      </c>
      <c r="Q178" s="42">
        <f>DATA!S176</f>
        <v>0</v>
      </c>
      <c r="R178" s="83">
        <f>DATA!T176</f>
        <v>39908600</v>
      </c>
      <c r="S178" s="83"/>
      <c r="T178" s="83">
        <f>DATA!V176</f>
        <v>10290700</v>
      </c>
      <c r="U178" s="83">
        <f>DATA!W176</f>
        <v>0</v>
      </c>
      <c r="V178" s="83">
        <f>DATA!X176</f>
        <v>50199300</v>
      </c>
      <c r="W178" s="84" t="str">
        <f>DATA!Y176</f>
        <v>IDB</v>
      </c>
      <c r="X178" s="42" t="str">
        <f>DATA!Z176</f>
        <v>Multilateral</v>
      </c>
      <c r="Y178" s="83">
        <f>DATA!AA176</f>
        <v>39900000</v>
      </c>
      <c r="Z178" s="83">
        <f>DATA!AG176</f>
        <v>0</v>
      </c>
      <c r="AA178" s="42" t="str">
        <f>DATA!AH176</f>
        <v>Tanpa keterangan</v>
      </c>
      <c r="AB178" s="67" t="str">
        <f>DATA!AI176</f>
        <v>Penyusunan R/C</v>
      </c>
      <c r="AC178" s="67" t="str">
        <f>DATA!AJ176</f>
        <v>Sudah melakukan penyiapan perencanaan</v>
      </c>
      <c r="AD178" s="115">
        <f>DATA!AK176</f>
        <v>1</v>
      </c>
      <c r="AE178" s="67" t="str">
        <f>DATA!AL176</f>
        <v>-</v>
      </c>
      <c r="AF178" s="42" t="str">
        <f>DATA!AR176</f>
        <v>-</v>
      </c>
      <c r="AG178" s="42" t="str">
        <f>DATA!AN176</f>
        <v>siap</v>
      </c>
      <c r="AH178" s="42" t="str">
        <f>DATA!AO176</f>
        <v>siap</v>
      </c>
      <c r="AI178" s="42" t="str">
        <f>DATA!AP176</f>
        <v>belum ada proses tender/lelang</v>
      </c>
      <c r="AJ178" s="42" t="str">
        <f>DATA!AY176</f>
        <v>Surat Sekjen a/n Menteri Agama nomor SJ/B.I/1/KU.00.2/6260/2015 tanggal 17 September 2015</v>
      </c>
      <c r="AK178" s="42" t="e">
        <f>DATA!#REF!</f>
        <v>#REF!</v>
      </c>
      <c r="AL178" s="42">
        <f>DATA!AZ176</f>
        <v>0</v>
      </c>
      <c r="AM178" s="67" t="str">
        <f>DATA!BA176</f>
        <v>Pembangunan gedung dan infrastruktur, penguatan kelembagaan (pengembangan kurikulum, prodi, manajemen dan peningkatan jumlah dan kualitas riset), dan pengembangan SDM</v>
      </c>
    </row>
    <row r="179" spans="1:39" s="6" customFormat="1" ht="87" customHeight="1">
      <c r="A179" s="6">
        <f>DATA!A177</f>
        <v>127</v>
      </c>
      <c r="B179" s="6">
        <f>DATA!B177</f>
        <v>0</v>
      </c>
      <c r="C179" s="6" t="str">
        <f>DATA!D177</f>
        <v>NON-INFRASTRUKTUR</v>
      </c>
      <c r="D179" s="6" t="str">
        <f>DATA!E177</f>
        <v>z</v>
      </c>
      <c r="E179" s="6" t="str">
        <f>DATA!F177</f>
        <v>Kementerian Agama</v>
      </c>
      <c r="F179" s="6" t="str">
        <f>DATA!H177</f>
        <v>Improving Access, Quality, Relevance, and Competitiveness of Islamic Higher Education Program</v>
      </c>
      <c r="G179" s="6" t="str">
        <f>DATA!I177</f>
        <v>A</v>
      </c>
      <c r="H179" s="6" t="str">
        <f>DATA!J177</f>
        <v>Program Peningkatan Akses, Kualitas, Relevansi, dan Daya Saing Pendidikan Tinggi Islam</v>
      </c>
      <c r="I179" s="6">
        <f>DATA!K177</f>
        <v>1</v>
      </c>
      <c r="J179" s="38"/>
      <c r="K179" s="39"/>
      <c r="L179" s="39"/>
      <c r="M179" s="38"/>
      <c r="N179" s="67" t="str">
        <f>DATA!L177</f>
        <v xml:space="preserve">Tranformation of State Islamic Institute  Sulthan Thaha Saifuddin to State Islamic University </v>
      </c>
      <c r="O179" s="42">
        <f>DATA!Q177</f>
        <v>0.16666666666666666</v>
      </c>
      <c r="P179" s="42">
        <f>DATA!R177</f>
        <v>0</v>
      </c>
      <c r="Q179" s="42">
        <f>DATA!S177</f>
        <v>0</v>
      </c>
      <c r="R179" s="83">
        <f>DATA!T177</f>
        <v>40000000</v>
      </c>
      <c r="S179" s="83"/>
      <c r="T179" s="83">
        <f>DATA!V177</f>
        <v>10000000</v>
      </c>
      <c r="U179" s="83">
        <f>DATA!W177</f>
        <v>0</v>
      </c>
      <c r="V179" s="83">
        <f>DATA!X177</f>
        <v>50000000</v>
      </c>
      <c r="W179" s="84" t="str">
        <f>DATA!Y177</f>
        <v>IDB</v>
      </c>
      <c r="X179" s="42" t="str">
        <f>DATA!Z177</f>
        <v>Multilateral</v>
      </c>
      <c r="Y179" s="83">
        <f>DATA!AA177</f>
        <v>40000000</v>
      </c>
      <c r="Z179" s="83">
        <f>DATA!AG177</f>
        <v>0</v>
      </c>
      <c r="AA179" s="42" t="str">
        <f>DATA!AH177</f>
        <v>Tanpa keterangan</v>
      </c>
      <c r="AB179" s="67" t="str">
        <f>DATA!AI177</f>
        <v>Penyusunan R/C</v>
      </c>
      <c r="AC179" s="67" t="str">
        <f>DATA!AJ177</f>
        <v>Sedang merinci kegiatan</v>
      </c>
      <c r="AD179" s="115">
        <f>DATA!AK177</f>
        <v>1</v>
      </c>
      <c r="AE179" s="67" t="str">
        <f>DATA!AL177</f>
        <v>-</v>
      </c>
      <c r="AF179" s="42" t="str">
        <f>DATA!AR177</f>
        <v>-</v>
      </c>
      <c r="AG179" s="42" t="str">
        <f>DATA!AN177</f>
        <v>siap</v>
      </c>
      <c r="AH179" s="42" t="str">
        <f>DATA!AO177</f>
        <v>siap</v>
      </c>
      <c r="AI179" s="42" t="str">
        <f>DATA!AP177</f>
        <v>belum ada proses tender/lelang</v>
      </c>
      <c r="AJ179" s="42" t="str">
        <f>DATA!AY177</f>
        <v>Surat Sekjen a/n Menteri Agama nomor SJ/B.I/1/KU.00.2/6260/2015 tanggal 17 September 2015</v>
      </c>
      <c r="AK179" s="42" t="e">
        <f>DATA!#REF!</f>
        <v>#REF!</v>
      </c>
      <c r="AL179" s="42">
        <f>DATA!AZ177</f>
        <v>0</v>
      </c>
      <c r="AM179" s="67"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row>
    <row r="180" spans="1:39" s="6" customFormat="1" ht="93.75" customHeight="1">
      <c r="A180" s="6">
        <f>DATA!A178</f>
        <v>128</v>
      </c>
      <c r="B180" s="6">
        <f>DATA!B178</f>
        <v>0</v>
      </c>
      <c r="C180" s="6" t="str">
        <f>DATA!D178</f>
        <v>NON-INFRASTRUKTUR</v>
      </c>
      <c r="D180" s="6">
        <f>DATA!E178</f>
        <v>9</v>
      </c>
      <c r="E180" s="6" t="str">
        <f>DATA!F178</f>
        <v>Kementerian Agama</v>
      </c>
      <c r="F180" s="6" t="str">
        <f>DATA!H178</f>
        <v>Improving Access, Quality, Relevance, and Competitiveness of Islamic Higher Education Program</v>
      </c>
      <c r="G180" s="6" t="str">
        <f>DATA!I178</f>
        <v>A</v>
      </c>
      <c r="H180" s="6" t="str">
        <f>DATA!J178</f>
        <v>Program Peningkatan Akses, Kualitas, Relevansi, dan Daya Saing Pendidikan Tinggi Islam</v>
      </c>
      <c r="I180" s="6">
        <f>DATA!K178</f>
        <v>1</v>
      </c>
      <c r="J180" s="38"/>
      <c r="K180" s="39"/>
      <c r="L180" s="39"/>
      <c r="M180" s="38"/>
      <c r="N180" s="67" t="str">
        <f>DATA!L178</f>
        <v>Development and Institutional Transformation of State Islamic Institute  Raden Intan Lampung</v>
      </c>
      <c r="O180" s="42">
        <f>DATA!Q178</f>
        <v>0.16666666666666666</v>
      </c>
      <c r="P180" s="42">
        <f>DATA!R178</f>
        <v>0</v>
      </c>
      <c r="Q180" s="42">
        <f>DATA!S178</f>
        <v>0</v>
      </c>
      <c r="R180" s="83">
        <f>DATA!T178</f>
        <v>40000000</v>
      </c>
      <c r="S180" s="83"/>
      <c r="T180" s="83">
        <f>DATA!V178</f>
        <v>10000000</v>
      </c>
      <c r="U180" s="83">
        <f>DATA!W178</f>
        <v>0</v>
      </c>
      <c r="V180" s="83">
        <f>DATA!X178</f>
        <v>50000000</v>
      </c>
      <c r="W180" s="84" t="str">
        <f>DATA!Y178</f>
        <v>IDB</v>
      </c>
      <c r="X180" s="42" t="str">
        <f>DATA!Z178</f>
        <v>Multilateral</v>
      </c>
      <c r="Y180" s="83">
        <f>DATA!AA178</f>
        <v>40000000</v>
      </c>
      <c r="Z180" s="83">
        <f>DATA!AG178</f>
        <v>0</v>
      </c>
      <c r="AA180" s="42" t="str">
        <f>DATA!AH178</f>
        <v>Tanpa keterangan</v>
      </c>
      <c r="AB180" s="67" t="str">
        <f>DATA!AI178</f>
        <v>Penyusunan R/C</v>
      </c>
      <c r="AC180" s="67" t="str">
        <f>DATA!AJ178</f>
        <v>- Sudah ada Master Plan</v>
      </c>
      <c r="AD180" s="115">
        <f>DATA!AK178</f>
        <v>1</v>
      </c>
      <c r="AE180" s="67" t="str">
        <f>DATA!AL178</f>
        <v>-</v>
      </c>
      <c r="AF180" s="42" t="str">
        <f>DATA!AR178</f>
        <v>-</v>
      </c>
      <c r="AG180" s="42" t="str">
        <f>DATA!AN178</f>
        <v>siap</v>
      </c>
      <c r="AH180" s="42" t="str">
        <f>DATA!AO178</f>
        <v>siap</v>
      </c>
      <c r="AI180" s="42" t="str">
        <f>DATA!AP178</f>
        <v>belum ada proses tender/lelang</v>
      </c>
      <c r="AJ180" s="42"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K180" s="42" t="e">
        <f>DATA!#REF!</f>
        <v>#REF!</v>
      </c>
      <c r="AL180" s="42">
        <f>DATA!AZ178</f>
        <v>0</v>
      </c>
      <c r="AM180" s="67"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row>
    <row r="181" spans="1:39" s="6" customFormat="1" ht="30.75" customHeight="1">
      <c r="A181" s="6">
        <f>DATA!A179</f>
        <v>123</v>
      </c>
      <c r="B181" s="6">
        <f>DATA!B179</f>
        <v>0</v>
      </c>
      <c r="C181" s="6" t="str">
        <f>DATA!D179</f>
        <v>NON-INFRASTRUKTUR</v>
      </c>
      <c r="D181" s="6">
        <f>DATA!E179</f>
        <v>9</v>
      </c>
      <c r="E181" s="6" t="str">
        <f>DATA!F179</f>
        <v>Kementerian Agama</v>
      </c>
      <c r="F181" s="6" t="str">
        <f>DATA!H179</f>
        <v>Improving Access, Quality, Relevance, and Competitiveness of Islamic Higher Education Program</v>
      </c>
      <c r="G181" s="6" t="str">
        <f>DATA!I179</f>
        <v>A</v>
      </c>
      <c r="H181" s="6" t="str">
        <f>DATA!J179</f>
        <v>Program Peningkatan Akses, Kualitas, Relevansi, dan Daya Saing Pendidikan Tinggi Islam</v>
      </c>
      <c r="I181" s="6">
        <f>DATA!K179</f>
        <v>1</v>
      </c>
      <c r="J181" s="38"/>
      <c r="K181" s="71"/>
      <c r="L181" s="71"/>
      <c r="M181" s="43"/>
      <c r="N181" s="67" t="str">
        <f>DATA!L179</f>
        <v xml:space="preserve">Development of Imam Bonjol State Islamic Institute Project </v>
      </c>
      <c r="O181" s="42">
        <f>DATA!Q179</f>
        <v>0.16666666666666666</v>
      </c>
      <c r="P181" s="42">
        <f>DATA!R179</f>
        <v>0</v>
      </c>
      <c r="Q181" s="42">
        <f>DATA!S179</f>
        <v>0</v>
      </c>
      <c r="R181" s="83">
        <f>DATA!T179</f>
        <v>38301400</v>
      </c>
      <c r="S181" s="83"/>
      <c r="T181" s="83">
        <f>DATA!V179</f>
        <v>4171400</v>
      </c>
      <c r="U181" s="83">
        <f>DATA!W179</f>
        <v>0</v>
      </c>
      <c r="V181" s="83">
        <f>DATA!X179</f>
        <v>42472800</v>
      </c>
      <c r="W181" s="84" t="str">
        <f>DATA!Y179</f>
        <v>IDB</v>
      </c>
      <c r="X181" s="42" t="str">
        <f>DATA!Z179</f>
        <v>Multilateral</v>
      </c>
      <c r="Y181" s="83">
        <f>DATA!AA179</f>
        <v>38310000</v>
      </c>
      <c r="Z181" s="83">
        <f>DATA!AG179</f>
        <v>0</v>
      </c>
      <c r="AA181" s="42" t="str">
        <f>DATA!AH179</f>
        <v>Tanpa keterangan</v>
      </c>
      <c r="AB181" s="67" t="str">
        <f>DATA!AI179</f>
        <v>Penyusunan R/C</v>
      </c>
      <c r="AC181" s="67" t="str">
        <f>DATA!AJ179</f>
        <v>Sedang merinci rencana kegiatan</v>
      </c>
      <c r="AD181" s="115">
        <f>DATA!AK179</f>
        <v>1</v>
      </c>
      <c r="AE181" s="67" t="str">
        <f>DATA!AL179</f>
        <v>-</v>
      </c>
      <c r="AF181" s="42" t="str">
        <f>DATA!AR179</f>
        <v>-</v>
      </c>
      <c r="AG181" s="42" t="str">
        <f>DATA!AN179</f>
        <v>siap</v>
      </c>
      <c r="AH181" s="42" t="str">
        <f>DATA!AO179</f>
        <v>siap</v>
      </c>
      <c r="AI181" s="42" t="str">
        <f>DATA!AP179</f>
        <v>belum ada proses tender/lelang</v>
      </c>
      <c r="AJ181" s="42" t="str">
        <f>DATA!AY179</f>
        <v>Surat Sekjen a/n Menteri Agama nomor SJ/B.I/1/KU.00.2/6260/2015 tanggal 17 September 2015</v>
      </c>
      <c r="AK181" s="42" t="e">
        <f>DATA!#REF!</f>
        <v>#REF!</v>
      </c>
      <c r="AL181" s="42">
        <f>DATA!AZ179</f>
        <v>0</v>
      </c>
      <c r="AM181" s="67" t="str">
        <f>DATA!BA179</f>
        <v>Pembangunan sarana dan prasarana perkuliahan,  Peningkatan kualitas SDM, pengembangan kurikulum</v>
      </c>
    </row>
    <row r="182" spans="1:39" s="4" customFormat="1" ht="24.95" customHeight="1">
      <c r="J182" s="107"/>
      <c r="K182" s="25">
        <f>DATA!E181</f>
        <v>10</v>
      </c>
      <c r="L182" s="108" t="str">
        <f>DATA!F181</f>
        <v>Kementerian PPN/Bappenas</v>
      </c>
      <c r="M182" s="25"/>
      <c r="N182" s="27"/>
      <c r="O182" s="26"/>
      <c r="P182" s="26"/>
      <c r="Q182" s="26"/>
      <c r="R182" s="80">
        <f>+R183</f>
        <v>300000000</v>
      </c>
      <c r="S182" s="80"/>
      <c r="T182" s="80">
        <f t="shared" ref="T182:Z183" si="21">+T183</f>
        <v>0</v>
      </c>
      <c r="U182" s="80">
        <f t="shared" si="21"/>
        <v>0</v>
      </c>
      <c r="V182" s="80">
        <f t="shared" si="21"/>
        <v>300000000</v>
      </c>
      <c r="W182" s="80"/>
      <c r="X182" s="80" t="str">
        <f t="shared" si="21"/>
        <v>Multilateral</v>
      </c>
      <c r="Y182" s="80">
        <f t="shared" si="21"/>
        <v>300000000</v>
      </c>
      <c r="Z182" s="80">
        <f t="shared" si="21"/>
        <v>0</v>
      </c>
      <c r="AA182" s="26"/>
      <c r="AB182" s="27"/>
      <c r="AC182" s="27"/>
      <c r="AD182" s="27"/>
      <c r="AE182" s="27"/>
      <c r="AF182" s="26"/>
      <c r="AG182" s="26"/>
      <c r="AH182" s="26"/>
      <c r="AI182" s="26"/>
      <c r="AJ182" s="26"/>
      <c r="AK182" s="26"/>
      <c r="AL182" s="26"/>
      <c r="AM182" s="27"/>
    </row>
    <row r="183" spans="1:39" s="5" customFormat="1" ht="33.75" customHeight="1">
      <c r="J183" s="28"/>
      <c r="K183" s="29"/>
      <c r="L183" s="30" t="str">
        <f>DATA!I181</f>
        <v>A</v>
      </c>
      <c r="M183" s="113" t="str">
        <f>DATA!J181</f>
        <v>Program Pengembangan Sumber Daya Aparatur  dalam Rangka Reformasi Birokrasi</v>
      </c>
      <c r="N183" s="51"/>
      <c r="O183" s="31"/>
      <c r="P183" s="31"/>
      <c r="Q183" s="31"/>
      <c r="R183" s="81">
        <f>+R184</f>
        <v>300000000</v>
      </c>
      <c r="S183" s="81"/>
      <c r="T183" s="81">
        <f t="shared" si="21"/>
        <v>0</v>
      </c>
      <c r="U183" s="81">
        <f t="shared" si="21"/>
        <v>0</v>
      </c>
      <c r="V183" s="81">
        <f t="shared" si="21"/>
        <v>300000000</v>
      </c>
      <c r="W183" s="81"/>
      <c r="X183" s="81" t="str">
        <f t="shared" si="21"/>
        <v>Multilateral</v>
      </c>
      <c r="Y183" s="81">
        <f t="shared" si="21"/>
        <v>300000000</v>
      </c>
      <c r="Z183" s="81">
        <f t="shared" si="21"/>
        <v>0</v>
      </c>
      <c r="AA183" s="31"/>
      <c r="AB183" s="32"/>
      <c r="AC183" s="32"/>
      <c r="AD183" s="32"/>
      <c r="AE183" s="32"/>
      <c r="AF183" s="31"/>
      <c r="AG183" s="31"/>
      <c r="AH183" s="31"/>
      <c r="AI183" s="31"/>
      <c r="AJ183" s="31"/>
      <c r="AK183" s="31"/>
      <c r="AL183" s="31"/>
      <c r="AM183" s="32"/>
    </row>
    <row r="184" spans="1:39" s="6" customFormat="1" ht="35.25" customHeight="1">
      <c r="A184" s="6">
        <f>DATA!A181</f>
        <v>129</v>
      </c>
      <c r="B184" s="6">
        <f>DATA!B181</f>
        <v>0</v>
      </c>
      <c r="C184" s="6" t="str">
        <f>DATA!D181</f>
        <v>NON-INFRASTRUKTUR</v>
      </c>
      <c r="D184" s="6">
        <f>DATA!E181</f>
        <v>10</v>
      </c>
      <c r="E184" s="6" t="str">
        <f>DATA!F181</f>
        <v>Kementerian PPN/Bappenas</v>
      </c>
      <c r="F184" s="6" t="str">
        <f>DATA!H181</f>
        <v>Human Resources Development for Bureaucracy Reform Program</v>
      </c>
      <c r="G184" s="6" t="str">
        <f>DATA!I181</f>
        <v>A</v>
      </c>
      <c r="H184" s="6" t="str">
        <f>DATA!J181</f>
        <v>Program Pengembangan Sumber Daya Aparatur  dalam Rangka Reformasi Birokrasi</v>
      </c>
      <c r="I184" s="6">
        <f>DATA!K181</f>
        <v>1</v>
      </c>
      <c r="J184" s="38"/>
      <c r="K184" s="71"/>
      <c r="L184" s="39"/>
      <c r="M184" s="38">
        <f>DATA!K181</f>
        <v>1</v>
      </c>
      <c r="N184" s="67" t="str">
        <f>DATA!L181</f>
        <v>Development of Capacity, Quality, and Competency of Human Resources for Government Officer</v>
      </c>
      <c r="O184" s="42">
        <f>DATA!Q181</f>
        <v>1</v>
      </c>
      <c r="P184" s="42">
        <f>DATA!R181</f>
        <v>1</v>
      </c>
      <c r="Q184" s="42">
        <f>DATA!S181</f>
        <v>103</v>
      </c>
      <c r="R184" s="83">
        <f>DATA!T181</f>
        <v>300000000</v>
      </c>
      <c r="S184" s="83"/>
      <c r="T184" s="83">
        <f>DATA!V181</f>
        <v>0</v>
      </c>
      <c r="U184" s="83">
        <f>DATA!W181</f>
        <v>0</v>
      </c>
      <c r="V184" s="83">
        <f>DATA!X181</f>
        <v>300000000</v>
      </c>
      <c r="W184" s="84" t="str">
        <f>DATA!Y181</f>
        <v>Bank Dunia</v>
      </c>
      <c r="X184" s="42" t="str">
        <f>DATA!Z181</f>
        <v>Multilateral</v>
      </c>
      <c r="Y184" s="83">
        <f>DATA!AA181</f>
        <v>300000000</v>
      </c>
      <c r="Z184" s="83">
        <f>DATA!AG181</f>
        <v>0</v>
      </c>
      <c r="AA184" s="42" t="str">
        <f>DATA!AH181</f>
        <v>Tanpa keterangan</v>
      </c>
      <c r="AB184" s="67" t="str">
        <f>DATA!AI181</f>
        <v>Penyusunan R/C</v>
      </c>
      <c r="AC184" s="67" t="str">
        <f>DATA!AJ181</f>
        <v>Sedang evaluasi SPIRIT tahap sebelumnya</v>
      </c>
      <c r="AD184" s="67" t="str">
        <f>DATA!AK181</f>
        <v>Tidak membutuhkan lahan</v>
      </c>
      <c r="AE184" s="67" t="str">
        <f>DATA!AL181</f>
        <v>-</v>
      </c>
      <c r="AF184" s="42" t="str">
        <f>DATA!AR181</f>
        <v>belum ada dokumen R/C</v>
      </c>
      <c r="AG184" s="42" t="str">
        <f>DATA!AN181</f>
        <v>dalam proses
(penyusunan FS)</v>
      </c>
      <c r="AH184" s="42" t="str">
        <f>DATA!AO181</f>
        <v>tidak butuh lahan</v>
      </c>
      <c r="AI184" s="42" t="str">
        <f>DATA!AP181</f>
        <v>belum ada proses tender/lelang</v>
      </c>
      <c r="AJ184" s="42" t="str">
        <f>DATA!AY181</f>
        <v>Surat Sesmen PPN/Sestama Bappenas nomor 5877/SES/09/2015 tgl 14 September 2015</v>
      </c>
      <c r="AK184" s="42" t="e">
        <f>DATA!#REF!</f>
        <v>#REF!</v>
      </c>
      <c r="AL184" s="42" t="str">
        <f>DATA!AZ181</f>
        <v>Diusulkan untuk masuk GB 2016</v>
      </c>
      <c r="AM184" s="67" t="str">
        <f>DATA!BA181</f>
        <v>Menghasilkan sekitar 2.109 lulusan gelar dan non gelar</v>
      </c>
    </row>
    <row r="185" spans="1:39" s="4" customFormat="1" ht="24.95" customHeight="1">
      <c r="J185" s="107"/>
      <c r="K185" s="25">
        <f>DATA!E182</f>
        <v>11</v>
      </c>
      <c r="L185" s="108" t="str">
        <f>DATA!F182</f>
        <v>Kementerian Kesehatan</v>
      </c>
      <c r="M185" s="25"/>
      <c r="N185" s="27"/>
      <c r="O185" s="26"/>
      <c r="P185" s="26"/>
      <c r="Q185" s="26"/>
      <c r="R185" s="80">
        <f>+R186+R188+R190+R192</f>
        <v>1746000000</v>
      </c>
      <c r="S185" s="80"/>
      <c r="T185" s="80">
        <f t="shared" ref="T185:Z185" si="22">+T186+T188+T190+T192</f>
        <v>174600000</v>
      </c>
      <c r="U185" s="80">
        <f t="shared" si="22"/>
        <v>0</v>
      </c>
      <c r="V185" s="80">
        <f t="shared" si="22"/>
        <v>1920600000</v>
      </c>
      <c r="W185" s="80"/>
      <c r="X185" s="80" t="e">
        <f t="shared" si="22"/>
        <v>#VALUE!</v>
      </c>
      <c r="Y185" s="80">
        <f t="shared" si="22"/>
        <v>1746000000</v>
      </c>
      <c r="Z185" s="80">
        <f t="shared" si="22"/>
        <v>-755600000</v>
      </c>
      <c r="AA185" s="26"/>
      <c r="AB185" s="27"/>
      <c r="AC185" s="27"/>
      <c r="AD185" s="27"/>
      <c r="AE185" s="27"/>
      <c r="AF185" s="26"/>
      <c r="AG185" s="26"/>
      <c r="AH185" s="26"/>
      <c r="AI185" s="26"/>
      <c r="AJ185" s="26"/>
      <c r="AK185" s="26"/>
      <c r="AL185" s="26"/>
      <c r="AM185" s="27"/>
    </row>
    <row r="186" spans="1:39" s="5" customFormat="1" ht="33.75" customHeight="1">
      <c r="J186" s="28"/>
      <c r="K186" s="29"/>
      <c r="L186" s="30" t="str">
        <f>DATA!I181</f>
        <v>A</v>
      </c>
      <c r="M186" s="31" t="str">
        <f>DATA!J182</f>
        <v>Program Pelayanan Kesehatan Dasar</v>
      </c>
      <c r="N186" s="51"/>
      <c r="O186" s="31"/>
      <c r="P186" s="31"/>
      <c r="Q186" s="31"/>
      <c r="R186" s="81">
        <f>+R187</f>
        <v>150000000</v>
      </c>
      <c r="S186" s="81"/>
      <c r="T186" s="81">
        <f>+T187</f>
        <v>15000000</v>
      </c>
      <c r="U186" s="81">
        <f>+U187</f>
        <v>0</v>
      </c>
      <c r="V186" s="81">
        <f>+V187</f>
        <v>165000000</v>
      </c>
      <c r="W186" s="81"/>
      <c r="X186" s="81" t="str">
        <f>+X187</f>
        <v>Multilateral</v>
      </c>
      <c r="Y186" s="81">
        <f>+Y187</f>
        <v>150000000</v>
      </c>
      <c r="Z186" s="81">
        <f>+Z187</f>
        <v>0</v>
      </c>
      <c r="AA186" s="31"/>
      <c r="AB186" s="32"/>
      <c r="AC186" s="32"/>
      <c r="AD186" s="32"/>
      <c r="AE186" s="32"/>
      <c r="AF186" s="31"/>
      <c r="AG186" s="31"/>
      <c r="AH186" s="31"/>
      <c r="AI186" s="31"/>
      <c r="AJ186" s="31"/>
      <c r="AK186" s="31"/>
      <c r="AL186" s="31"/>
      <c r="AM186" s="32"/>
    </row>
    <row r="187" spans="1:39" ht="75.75" customHeight="1">
      <c r="A187" s="10">
        <f>DATA!A182</f>
        <v>130</v>
      </c>
      <c r="B187" s="10">
        <f>DATA!B182</f>
        <v>0</v>
      </c>
      <c r="C187" s="10" t="str">
        <f>DATA!D182</f>
        <v>NON-INFRASTRUKTUR</v>
      </c>
      <c r="D187" s="10">
        <f>DATA!E182</f>
        <v>11</v>
      </c>
      <c r="E187" s="10" t="str">
        <f>DATA!F182</f>
        <v>Kementerian Kesehatan</v>
      </c>
      <c r="F187" s="10" t="str">
        <f>DATA!H182</f>
        <v>Basic Health Care Program</v>
      </c>
      <c r="G187" s="10" t="str">
        <f>DATA!I182</f>
        <v>A</v>
      </c>
      <c r="H187" s="10" t="str">
        <f>DATA!J182</f>
        <v>Program Pelayanan Kesehatan Dasar</v>
      </c>
      <c r="I187" s="10">
        <f>DATA!K182</f>
        <v>1</v>
      </c>
      <c r="J187" s="33"/>
      <c r="K187" s="34"/>
      <c r="L187" s="54"/>
      <c r="M187" s="52">
        <f>DATA!K182</f>
        <v>1</v>
      </c>
      <c r="N187" s="37" t="str">
        <f>DATA!L182</f>
        <v>Improvement of Primary Health Care</v>
      </c>
      <c r="O187" s="20">
        <f>DATA!Q182</f>
        <v>1</v>
      </c>
      <c r="P187" s="20">
        <f>DATA!R182</f>
        <v>1</v>
      </c>
      <c r="Q187" s="20">
        <f>DATA!S182</f>
        <v>104</v>
      </c>
      <c r="R187" s="77">
        <f>DATA!T182</f>
        <v>150000000</v>
      </c>
      <c r="S187" s="77"/>
      <c r="T187" s="77">
        <f>DATA!V182</f>
        <v>15000000</v>
      </c>
      <c r="U187" s="77">
        <f>DATA!W182</f>
        <v>0</v>
      </c>
      <c r="V187" s="77">
        <f>DATA!X182</f>
        <v>165000000</v>
      </c>
      <c r="W187" s="78" t="str">
        <f>DATA!Y182</f>
        <v>Bank Dunia</v>
      </c>
      <c r="X187" s="20" t="str">
        <f>DATA!Z182</f>
        <v>Multilateral</v>
      </c>
      <c r="Y187" s="77">
        <f>DATA!AA182</f>
        <v>150000000</v>
      </c>
      <c r="Z187" s="77">
        <f>DATA!AG182</f>
        <v>0</v>
      </c>
      <c r="AA187" s="20" t="str">
        <f>DATA!AH182</f>
        <v>Tanpa keterangan</v>
      </c>
      <c r="AB187" s="37" t="str">
        <f>DATA!AI182</f>
        <v>-</v>
      </c>
      <c r="AC187" s="37" t="str">
        <f>DATA!AJ182</f>
        <v>-</v>
      </c>
      <c r="AD187" s="37" t="str">
        <f>DATA!AK182</f>
        <v>Tidak dibutuhkan lahan</v>
      </c>
      <c r="AE187" s="37" t="str">
        <f>DATA!AL182</f>
        <v>-</v>
      </c>
      <c r="AF187" s="20" t="str">
        <f>DATA!AR182</f>
        <v>belum ada dokumen R/C</v>
      </c>
      <c r="AG187" s="20" t="str">
        <f>DATA!AN182</f>
        <v>belum ada keterangan</v>
      </c>
      <c r="AH187" s="20" t="str">
        <f>DATA!AO182</f>
        <v>tidak butuh lahan</v>
      </c>
      <c r="AI187" s="20" t="str">
        <f>DATA!AP182</f>
        <v>belum ada proses tender/lelang</v>
      </c>
      <c r="AJ187" s="20" t="str">
        <f>DATA!AY182</f>
        <v>Surat Sekjen nomor PR.02.03/I/1814/2015 tanggal 9 September 2015</v>
      </c>
      <c r="AK187" s="20" t="e">
        <f>DATA!#REF!</f>
        <v>#REF!</v>
      </c>
      <c r="AL187" s="20">
        <f>DATA!AZ182</f>
        <v>0</v>
      </c>
      <c r="AM187" s="37" t="str">
        <f>DATA!BA182</f>
        <v>Kegiatan akreditasi pusat kesehatan, pengembangan sistem informasi kesehatan, pemenuhan kebutuhan pelayanan kesehatan pada daerah perbatasan, dan memfasilitasi hubungan pusat kesehatan dengan unit transfusi darah</v>
      </c>
    </row>
    <row r="188" spans="1:39" s="5" customFormat="1" ht="33.75" customHeight="1">
      <c r="J188" s="28"/>
      <c r="K188" s="50"/>
      <c r="L188" s="30" t="str">
        <f>DATA!I183</f>
        <v>B</v>
      </c>
      <c r="M188" s="31" t="str">
        <f>DATA!J183</f>
        <v>Program Pengembangan Sumber Daya Manusia Kesehatan</v>
      </c>
      <c r="N188" s="51"/>
      <c r="O188" s="31"/>
      <c r="P188" s="31"/>
      <c r="Q188" s="31"/>
      <c r="R188" s="81">
        <f>+R189</f>
        <v>240000000</v>
      </c>
      <c r="S188" s="81"/>
      <c r="T188" s="81">
        <f t="shared" ref="T188:Z188" si="23">+T189</f>
        <v>24000000</v>
      </c>
      <c r="U188" s="81">
        <f t="shared" si="23"/>
        <v>0</v>
      </c>
      <c r="V188" s="81">
        <f t="shared" si="23"/>
        <v>264000000</v>
      </c>
      <c r="W188" s="81"/>
      <c r="X188" s="81" t="str">
        <f t="shared" si="23"/>
        <v>Multilateral</v>
      </c>
      <c r="Y188" s="81">
        <f t="shared" si="23"/>
        <v>240000000</v>
      </c>
      <c r="Z188" s="81">
        <f t="shared" si="23"/>
        <v>0</v>
      </c>
      <c r="AA188" s="31"/>
      <c r="AB188" s="32"/>
      <c r="AC188" s="32"/>
      <c r="AD188" s="32"/>
      <c r="AE188" s="32"/>
      <c r="AF188" s="31"/>
      <c r="AG188" s="31"/>
      <c r="AH188" s="31"/>
      <c r="AI188" s="31"/>
      <c r="AJ188" s="31"/>
      <c r="AK188" s="31"/>
      <c r="AL188" s="31"/>
      <c r="AM188" s="32"/>
    </row>
    <row r="189" spans="1:39" ht="46.5" customHeight="1">
      <c r="A189" s="10">
        <f>DATA!A183</f>
        <v>131</v>
      </c>
      <c r="B189" s="10">
        <f>DATA!B183</f>
        <v>0</v>
      </c>
      <c r="C189" s="10" t="str">
        <f>DATA!D183</f>
        <v>NON-INFRASTRUKTUR</v>
      </c>
      <c r="D189" s="10">
        <f>DATA!E183</f>
        <v>11</v>
      </c>
      <c r="E189" s="10" t="str">
        <f>DATA!F183</f>
        <v>Kementerian Kesehatan</v>
      </c>
      <c r="F189" s="10" t="str">
        <f>DATA!H183</f>
        <v>Program for Human Resources Development in Health Sector</v>
      </c>
      <c r="G189" s="10" t="str">
        <f>DATA!I183</f>
        <v>B</v>
      </c>
      <c r="H189" s="10" t="str">
        <f>DATA!J183</f>
        <v>Program Pengembangan Sumber Daya Manusia Kesehatan</v>
      </c>
      <c r="I189" s="10">
        <f>DATA!K183</f>
        <v>1</v>
      </c>
      <c r="J189" s="33"/>
      <c r="K189" s="34"/>
      <c r="L189" s="20"/>
      <c r="M189" s="36">
        <f>DATA!K183</f>
        <v>1</v>
      </c>
      <c r="N189" s="37" t="str">
        <f>DATA!L183</f>
        <v>Improvement of Facilities and Infrastructure for Teaching and Learning Activities in Health Sector</v>
      </c>
      <c r="O189" s="20">
        <f>DATA!Q183</f>
        <v>1</v>
      </c>
      <c r="P189" s="20">
        <f>DATA!R183</f>
        <v>1</v>
      </c>
      <c r="Q189" s="20">
        <f>DATA!S183</f>
        <v>105</v>
      </c>
      <c r="R189" s="77">
        <f>DATA!T183</f>
        <v>240000000</v>
      </c>
      <c r="S189" s="77"/>
      <c r="T189" s="77">
        <f>DATA!V183</f>
        <v>24000000</v>
      </c>
      <c r="U189" s="77">
        <f>DATA!W183</f>
        <v>0</v>
      </c>
      <c r="V189" s="77">
        <f>DATA!X183</f>
        <v>264000000</v>
      </c>
      <c r="W189" s="78" t="str">
        <f>DATA!Y183</f>
        <v>IDB</v>
      </c>
      <c r="X189" s="20" t="str">
        <f>DATA!Z183</f>
        <v>Multilateral</v>
      </c>
      <c r="Y189" s="77">
        <f>DATA!AA183</f>
        <v>240000000</v>
      </c>
      <c r="Z189" s="77">
        <f>DATA!AG183</f>
        <v>0</v>
      </c>
      <c r="AA189" s="20" t="str">
        <f>DATA!AH183</f>
        <v>Tanpa keterangan</v>
      </c>
      <c r="AB189" s="37" t="str">
        <f>DATA!AI183</f>
        <v>Penyusunan R/C</v>
      </c>
      <c r="AC189" s="37" t="str">
        <f>DATA!AJ183</f>
        <v>FS. DED</v>
      </c>
      <c r="AD189" s="114">
        <f>DATA!AK183</f>
        <v>1</v>
      </c>
      <c r="AE189" s="37" t="str">
        <f>DATA!AL183</f>
        <v>Belum ada lelang/tender</v>
      </c>
      <c r="AF189" s="20">
        <f>DATA!AM183</f>
        <v>0</v>
      </c>
      <c r="AG189" s="20" t="str">
        <f>DATA!AN183</f>
        <v>dalam proses
(memiliki FS dan DED)</v>
      </c>
      <c r="AH189" s="20" t="str">
        <f>DATA!AO183</f>
        <v>siap</v>
      </c>
      <c r="AI189" s="20" t="str">
        <f>DATA!AP183</f>
        <v>belum ada proses tender/lelang</v>
      </c>
      <c r="AJ189" s="20" t="str">
        <f>DATA!AY183</f>
        <v>- Pelaksanaan tahun 2017
- Surat Sekjen nomor PR.02.03/I/1814/2015 tanggal 9 September 2015</v>
      </c>
      <c r="AK189" s="20" t="e">
        <f>DATA!#REF!</f>
        <v>#REF!</v>
      </c>
      <c r="AL189" s="20">
        <f>DATA!AZ183</f>
        <v>0</v>
      </c>
      <c r="AM189" s="37" t="str">
        <f>DATA!BA183</f>
        <v>'Peningkatan infrastruktur Poltekkes, BPPK, Bapelkes dan UPT</v>
      </c>
    </row>
    <row r="190" spans="1:39" s="5" customFormat="1" ht="33.75" customHeight="1">
      <c r="J190" s="28"/>
      <c r="K190" s="50"/>
      <c r="L190" s="30" t="str">
        <f>DATA!I184</f>
        <v>C</v>
      </c>
      <c r="M190" s="31" t="str">
        <f>DATA!J184</f>
        <v>Program Pengendalian Penyakit, Penyehatan Lingkungan, dan Penguatan Litbang Kesehatan</v>
      </c>
      <c r="N190" s="51"/>
      <c r="O190" s="31"/>
      <c r="P190" s="31"/>
      <c r="Q190" s="31"/>
      <c r="R190" s="81">
        <f>+R191</f>
        <v>100400000</v>
      </c>
      <c r="S190" s="81"/>
      <c r="T190" s="81">
        <f t="shared" ref="T190:Z190" si="24">+T191</f>
        <v>10040000</v>
      </c>
      <c r="U190" s="81">
        <f t="shared" si="24"/>
        <v>0</v>
      </c>
      <c r="V190" s="81">
        <f t="shared" si="24"/>
        <v>110440000</v>
      </c>
      <c r="W190" s="81"/>
      <c r="X190" s="81" t="str">
        <f t="shared" si="24"/>
        <v>Bilateral</v>
      </c>
      <c r="Y190" s="81">
        <f t="shared" si="24"/>
        <v>100400000</v>
      </c>
      <c r="Z190" s="81">
        <f t="shared" si="24"/>
        <v>0</v>
      </c>
      <c r="AA190" s="31"/>
      <c r="AB190" s="32"/>
      <c r="AC190" s="32"/>
      <c r="AD190" s="32"/>
      <c r="AE190" s="32"/>
      <c r="AF190" s="31"/>
      <c r="AG190" s="31"/>
      <c r="AH190" s="31"/>
      <c r="AI190" s="31"/>
      <c r="AJ190" s="31"/>
      <c r="AK190" s="31"/>
      <c r="AL190" s="31"/>
      <c r="AM190" s="32"/>
    </row>
    <row r="191" spans="1:39" ht="74.25" customHeight="1">
      <c r="A191" s="10">
        <f>DATA!A184</f>
        <v>132</v>
      </c>
      <c r="B191" s="10">
        <f>DATA!B184</f>
        <v>0</v>
      </c>
      <c r="C191" s="10" t="str">
        <f>DATA!D184</f>
        <v>NON-INFRASTRUKTUR</v>
      </c>
      <c r="D191" s="10">
        <f>DATA!E184</f>
        <v>11</v>
      </c>
      <c r="E191" s="10" t="str">
        <f>DATA!F184</f>
        <v>Kementerian Kesehatan</v>
      </c>
      <c r="F191" s="10" t="str">
        <f>DATA!H184</f>
        <v>Program for Disease Control, Environmental Health, and Strengthening Health Research and Development</v>
      </c>
      <c r="G191" s="10" t="str">
        <f>DATA!I184</f>
        <v>C</v>
      </c>
      <c r="H191" s="10" t="str">
        <f>DATA!J184</f>
        <v>Program Pengendalian Penyakit, Penyehatan Lingkungan, dan Penguatan Litbang Kesehatan</v>
      </c>
      <c r="I191" s="10">
        <f>DATA!K184</f>
        <v>1</v>
      </c>
      <c r="J191" s="33"/>
      <c r="K191" s="34"/>
      <c r="L191" s="20"/>
      <c r="M191" s="36">
        <f>DATA!K184</f>
        <v>1</v>
      </c>
      <c r="N191" s="37" t="str">
        <f>DATA!L184</f>
        <v>Improvement of Capacity on Disease Control, Environmental Health, and Strengthening Health’s Research and Development</v>
      </c>
      <c r="O191" s="20">
        <f>DATA!Q184</f>
        <v>1</v>
      </c>
      <c r="P191" s="20">
        <f>DATA!R184</f>
        <v>1</v>
      </c>
      <c r="Q191" s="20">
        <f>DATA!S184</f>
        <v>106</v>
      </c>
      <c r="R191" s="77">
        <f>DATA!T184</f>
        <v>100400000</v>
      </c>
      <c r="S191" s="77"/>
      <c r="T191" s="77">
        <f>DATA!V184</f>
        <v>10040000</v>
      </c>
      <c r="U191" s="77">
        <f>DATA!W184</f>
        <v>0</v>
      </c>
      <c r="V191" s="77">
        <f>DATA!X184</f>
        <v>110440000</v>
      </c>
      <c r="W191" s="78" t="str">
        <f>DATA!Y184</f>
        <v>Jerman (KfW)</v>
      </c>
      <c r="X191" s="20" t="str">
        <f>DATA!Z184</f>
        <v>Bilateral</v>
      </c>
      <c r="Y191" s="77">
        <f>DATA!AA184</f>
        <v>100400000</v>
      </c>
      <c r="Z191" s="77">
        <f>DATA!AG184</f>
        <v>0</v>
      </c>
      <c r="AA191" s="20" t="str">
        <f>DATA!AH184</f>
        <v>Tanpa keterangan</v>
      </c>
      <c r="AB191" s="37" t="str">
        <f>DATA!AI184</f>
        <v>Penyusunan R/C</v>
      </c>
      <c r="AC191" s="37" t="str">
        <f>DATA!AJ184</f>
        <v>Belum ada DED &amp; AMDAL</v>
      </c>
      <c r="AD191" s="114">
        <f>DATA!AK184</f>
        <v>0.5</v>
      </c>
      <c r="AE191" s="37" t="str">
        <f>DATA!AL184</f>
        <v>Belum ada lelang/tender</v>
      </c>
      <c r="AF191" s="20">
        <f>DATA!AM184</f>
        <v>0</v>
      </c>
      <c r="AG191" s="20" t="str">
        <f>DATA!AN184</f>
        <v>dalam proses
(memiliki)</v>
      </c>
      <c r="AH191" s="20" t="str">
        <f>DATA!AO184</f>
        <v>dalam proses
(pelaksanaan)</v>
      </c>
      <c r="AI191" s="20" t="str">
        <f>DATA!AP184</f>
        <v>belum ada proses tender/lelang</v>
      </c>
      <c r="AJ191" s="20" t="str">
        <f>DATA!AY184</f>
        <v>- Tahap perencanaan selesai tahun 2016, tahap penyiapan dilakukan setelah tahap perencanaan selesai.Pelaksanaan diusulkan mulai tahun 2017.
- Surat Sekjen nomor PR.02.03/I/1814/2015 tanggal 9 September 2015</v>
      </c>
      <c r="AK191" s="20" t="e">
        <f>DATA!#REF!</f>
        <v>#REF!</v>
      </c>
      <c r="AL191" s="20">
        <f>DATA!AZ184</f>
        <v>0</v>
      </c>
      <c r="AM191" s="37" t="str">
        <f>DATA!BA184</f>
        <v>Penguatan lembaga penelitian dan pengembangan kesehatan, melengkapi fasilitas laboratorium untuk mendukung deteksi dan penelitian macam-macam virus dan bakteri, peningkatan kesadaran masyarakat terhadap kesehatan dan Peningkatan SDM kesehatan</v>
      </c>
    </row>
    <row r="192" spans="1:39" s="5" customFormat="1" ht="33.75" customHeight="1">
      <c r="J192" s="28"/>
      <c r="K192" s="50"/>
      <c r="L192" s="30" t="str">
        <f>DATA!I185</f>
        <v>D</v>
      </c>
      <c r="M192" s="31" t="str">
        <f>DATA!J185</f>
        <v>Program Pelayanan Kesehatan Rujukan</v>
      </c>
      <c r="N192" s="51"/>
      <c r="O192" s="31"/>
      <c r="P192" s="31"/>
      <c r="Q192" s="31"/>
      <c r="R192" s="81">
        <f>+R193</f>
        <v>1255600000</v>
      </c>
      <c r="S192" s="81"/>
      <c r="T192" s="81">
        <f t="shared" ref="T192:Z192" si="25">+T193</f>
        <v>125560000</v>
      </c>
      <c r="U192" s="81">
        <f t="shared" si="25"/>
        <v>0</v>
      </c>
      <c r="V192" s="81">
        <f t="shared" si="25"/>
        <v>1381160000</v>
      </c>
      <c r="W192" s="81"/>
      <c r="X192" s="81">
        <f t="shared" si="25"/>
        <v>0</v>
      </c>
      <c r="Y192" s="81">
        <f t="shared" si="25"/>
        <v>1255600000</v>
      </c>
      <c r="Z192" s="81">
        <f t="shared" si="25"/>
        <v>-755600000</v>
      </c>
      <c r="AA192" s="31"/>
      <c r="AB192" s="32"/>
      <c r="AC192" s="32"/>
      <c r="AD192" s="32"/>
      <c r="AE192" s="32"/>
      <c r="AF192" s="31"/>
      <c r="AG192" s="31"/>
      <c r="AH192" s="31"/>
      <c r="AI192" s="31"/>
      <c r="AJ192" s="31"/>
      <c r="AK192" s="31"/>
      <c r="AL192" s="31"/>
      <c r="AM192" s="32"/>
    </row>
    <row r="193" spans="1:39" ht="38.25">
      <c r="A193" s="10">
        <f>DATA!A185</f>
        <v>133</v>
      </c>
      <c r="B193" s="10">
        <f>DATA!B185</f>
        <v>0</v>
      </c>
      <c r="C193" s="10" t="str">
        <f>DATA!D185</f>
        <v>NON-INFRASTRUKTUR</v>
      </c>
      <c r="D193" s="10">
        <f>DATA!E185</f>
        <v>11</v>
      </c>
      <c r="E193" s="10" t="str">
        <f>DATA!F185</f>
        <v>Kementerian Kesehatan</v>
      </c>
      <c r="F193" s="10" t="str">
        <f>DATA!H185</f>
        <v>Referral Health Services Program</v>
      </c>
      <c r="G193" s="10" t="str">
        <f>DATA!I185</f>
        <v>D</v>
      </c>
      <c r="H193" s="10" t="str">
        <f>DATA!J185</f>
        <v>Program Pelayanan Kesehatan Rujukan</v>
      </c>
      <c r="I193" s="10">
        <f>DATA!K185</f>
        <v>1</v>
      </c>
      <c r="J193" s="33"/>
      <c r="K193" s="34"/>
      <c r="L193" s="35"/>
      <c r="M193" s="36">
        <f>DATA!K185</f>
        <v>1</v>
      </c>
      <c r="N193" s="37" t="str">
        <f>DATA!L185</f>
        <v>Strengthening of National Referral Hospitals, Province Referral Hospital and Vertical Technical Units</v>
      </c>
      <c r="O193" s="20">
        <f>DATA!Q185</f>
        <v>0</v>
      </c>
      <c r="P193" s="20">
        <f>DATA!R185</f>
        <v>1</v>
      </c>
      <c r="Q193" s="20">
        <f>DATA!S185</f>
        <v>107</v>
      </c>
      <c r="R193" s="77">
        <f>DATA!T185</f>
        <v>1255600000</v>
      </c>
      <c r="S193" s="77"/>
      <c r="T193" s="77">
        <f>DATA!V185</f>
        <v>125560000</v>
      </c>
      <c r="U193" s="77">
        <f>DATA!W185</f>
        <v>0</v>
      </c>
      <c r="V193" s="77">
        <f>DATA!X185</f>
        <v>1381160000</v>
      </c>
      <c r="W193" s="78" t="str">
        <f>DATA!Y185</f>
        <v>-</v>
      </c>
      <c r="X193" s="20">
        <f>DATA!Z185</f>
        <v>0</v>
      </c>
      <c r="Y193" s="77">
        <f>DATA!AA185</f>
        <v>1255600000</v>
      </c>
      <c r="Z193" s="77">
        <f>DATA!AG185</f>
        <v>-755600000</v>
      </c>
      <c r="AA193" s="20" t="str">
        <f>DATA!AH185</f>
        <v>-</v>
      </c>
      <c r="AB193" s="37" t="str">
        <f>DATA!AI185</f>
        <v>-</v>
      </c>
      <c r="AC193" s="37" t="str">
        <f>DATA!AJ185</f>
        <v>-</v>
      </c>
      <c r="AD193" s="37" t="str">
        <f>DATA!AK185</f>
        <v>-</v>
      </c>
      <c r="AE193" s="37" t="str">
        <f>DATA!AL185</f>
        <v>-</v>
      </c>
      <c r="AF193" s="20" t="str">
        <f>DATA!AM185</f>
        <v>-</v>
      </c>
      <c r="AG193" s="20" t="str">
        <f>DATA!AN185</f>
        <v>-</v>
      </c>
      <c r="AH193" s="20" t="str">
        <f>DATA!AO185</f>
        <v>-</v>
      </c>
      <c r="AI193" s="20" t="str">
        <f>DATA!AP185</f>
        <v>-</v>
      </c>
      <c r="AJ193" s="20" t="str">
        <f>DATA!AY185</f>
        <v>-</v>
      </c>
      <c r="AK193" s="20" t="e">
        <f>DATA!#REF!</f>
        <v>#REF!</v>
      </c>
      <c r="AL193" s="20" t="str">
        <f>DATA!AZ185</f>
        <v>-</v>
      </c>
      <c r="AM193" s="37" t="str">
        <f>DATA!BA185</f>
        <v>-</v>
      </c>
    </row>
    <row r="194" spans="1:39" s="6" customFormat="1" ht="63.75" customHeight="1">
      <c r="A194" s="6">
        <f>DATA!A186</f>
        <v>133</v>
      </c>
      <c r="B194" s="6">
        <f>DATA!B186</f>
        <v>0</v>
      </c>
      <c r="C194" s="6" t="str">
        <f>DATA!D186</f>
        <v>NON-INFRASTRUKTUR</v>
      </c>
      <c r="D194" s="6">
        <f>DATA!E186</f>
        <v>11</v>
      </c>
      <c r="E194" s="6" t="str">
        <f>DATA!F186</f>
        <v>Kementerian Kesehatan</v>
      </c>
      <c r="F194" s="6" t="str">
        <f>DATA!H186</f>
        <v>Referral Health Services Program</v>
      </c>
      <c r="G194" s="6" t="str">
        <f>DATA!I186</f>
        <v>D</v>
      </c>
      <c r="H194" s="6" t="str">
        <f>DATA!J186</f>
        <v>Program Pelayanan Kesehatan Rujukan</v>
      </c>
      <c r="I194" s="6">
        <f>DATA!K186</f>
        <v>1</v>
      </c>
      <c r="J194" s="38"/>
      <c r="K194" s="39"/>
      <c r="L194" s="39"/>
      <c r="M194" s="40"/>
      <c r="N194" s="67" t="str">
        <f>DATA!L186</f>
        <v>Strengthening of National Referral Hospitals, Province Referral Hospital and Vertical Technical Units</v>
      </c>
      <c r="O194" s="42">
        <f>DATA!Q186</f>
        <v>0.33333333333333331</v>
      </c>
      <c r="P194" s="42">
        <f>DATA!R186</f>
        <v>0</v>
      </c>
      <c r="Q194" s="42">
        <f>DATA!S186</f>
        <v>0</v>
      </c>
      <c r="R194" s="83">
        <f>DATA!T186</f>
        <v>0</v>
      </c>
      <c r="S194" s="83"/>
      <c r="T194" s="83">
        <f>DATA!V186</f>
        <v>0</v>
      </c>
      <c r="U194" s="83">
        <f>DATA!W186</f>
        <v>0</v>
      </c>
      <c r="V194" s="83">
        <f>DATA!X186</f>
        <v>0</v>
      </c>
      <c r="W194" s="84" t="str">
        <f>DATA!Y186</f>
        <v>IDB</v>
      </c>
      <c r="X194" s="42" t="str">
        <f>DATA!Z186</f>
        <v>Multilateral</v>
      </c>
      <c r="Y194" s="83">
        <f>DATA!AA186</f>
        <v>250000000</v>
      </c>
      <c r="Z194" s="83">
        <f>DATA!AG186</f>
        <v>0</v>
      </c>
      <c r="AA194" s="42" t="str">
        <f>DATA!AH186</f>
        <v>Tanpa keterangan</v>
      </c>
      <c r="AB194" s="67" t="str">
        <f>DATA!AI186</f>
        <v>-</v>
      </c>
      <c r="AC194" s="67" t="str">
        <f>DATA!AJ186</f>
        <v>-</v>
      </c>
      <c r="AD194" s="124" t="str">
        <f>DATA!AK186</f>
        <v>-</v>
      </c>
      <c r="AE194" s="67" t="str">
        <f>DATA!AL186</f>
        <v>-</v>
      </c>
      <c r="AF194" s="42">
        <f>DATA!AM186</f>
        <v>0</v>
      </c>
      <c r="AG194" s="42" t="str">
        <f>DATA!AN186</f>
        <v>belum ada keterangan</v>
      </c>
      <c r="AH194" s="42" t="str">
        <f>DATA!AO186</f>
        <v>belum ada keterangan</v>
      </c>
      <c r="AI194" s="42" t="str">
        <f>DATA!AP186</f>
        <v>belum ada proses tender/lelang</v>
      </c>
      <c r="AJ194" s="42" t="str">
        <f>DATA!AY186</f>
        <v>- (tidak ada data)
- Surat Sekjen nomor PR.02.03/I/1814/2015 tanggal 9 September 2015</v>
      </c>
      <c r="AK194" s="42" t="e">
        <f>DATA!#REF!</f>
        <v>#REF!</v>
      </c>
      <c r="AL194" s="42">
        <f>DATA!AZ186</f>
        <v>0</v>
      </c>
      <c r="AM194" s="67" t="str">
        <f>DATA!BA186</f>
        <v>Meningkatkan sarana dan prasarana di 14 rumah sakit pusat rujukan nasional, 20 rumah sakit rujukan provinsi dan 39 UPT (unit pelaksana teknis) vertikal sebagai pusat rujukan tersier</v>
      </c>
    </row>
    <row r="195" spans="1:39" s="6" customFormat="1" ht="63.75" customHeight="1">
      <c r="A195" s="6">
        <f>DATA!A187</f>
        <v>134</v>
      </c>
      <c r="B195" s="6">
        <f>DATA!B187</f>
        <v>0</v>
      </c>
      <c r="C195" s="6" t="str">
        <f>DATA!D187</f>
        <v>NON-INFRASTRUKTUR</v>
      </c>
      <c r="D195" s="6">
        <f>DATA!E187</f>
        <v>11</v>
      </c>
      <c r="E195" s="6" t="str">
        <f>DATA!F187</f>
        <v>Kementerian Kesehatan</v>
      </c>
      <c r="F195" s="6" t="str">
        <f>DATA!H187</f>
        <v>Referral Health Services Program</v>
      </c>
      <c r="G195" s="6" t="str">
        <f>DATA!I187</f>
        <v>D</v>
      </c>
      <c r="H195" s="6" t="str">
        <f>DATA!J187</f>
        <v>Program Pelayanan Kesehatan Rujukan</v>
      </c>
      <c r="I195" s="6">
        <f>DATA!K187</f>
        <v>1</v>
      </c>
      <c r="J195" s="38"/>
      <c r="K195" s="39"/>
      <c r="L195" s="39"/>
      <c r="M195" s="38"/>
      <c r="N195" s="67" t="str">
        <f>DATA!L187</f>
        <v>Strengthening of National Referral Hospitals, Province Referral Hospital and Vertical Technical Units</v>
      </c>
      <c r="O195" s="42">
        <f>DATA!Q187</f>
        <v>0.33333333333333331</v>
      </c>
      <c r="P195" s="42">
        <f>DATA!R187</f>
        <v>0</v>
      </c>
      <c r="Q195" s="42">
        <f>DATA!S187</f>
        <v>0</v>
      </c>
      <c r="R195" s="83">
        <f>DATA!T187</f>
        <v>0</v>
      </c>
      <c r="S195" s="83"/>
      <c r="T195" s="83">
        <f>DATA!V187</f>
        <v>0</v>
      </c>
      <c r="U195" s="83">
        <f>DATA!W187</f>
        <v>0</v>
      </c>
      <c r="V195" s="83">
        <f>DATA!X187</f>
        <v>0</v>
      </c>
      <c r="W195" s="84" t="str">
        <f>DATA!Y187</f>
        <v>Jerman (KfW)</v>
      </c>
      <c r="X195" s="42" t="str">
        <f>DATA!Z187</f>
        <v>Bilateral</v>
      </c>
      <c r="Y195" s="83">
        <f>DATA!AA187</f>
        <v>250000000</v>
      </c>
      <c r="Z195" s="83">
        <f>DATA!AG187</f>
        <v>0</v>
      </c>
      <c r="AA195" s="42" t="str">
        <f>DATA!AH187</f>
        <v>Tanpa keterangan</v>
      </c>
      <c r="AB195" s="67" t="str">
        <f>DATA!AI187</f>
        <v>-</v>
      </c>
      <c r="AC195" s="67" t="str">
        <f>DATA!AJ187</f>
        <v>-</v>
      </c>
      <c r="AD195" s="67" t="str">
        <f>DATA!AK187</f>
        <v>-</v>
      </c>
      <c r="AE195" s="67" t="str">
        <f>DATA!AL187</f>
        <v>-</v>
      </c>
      <c r="AF195" s="42">
        <f>DATA!AM187</f>
        <v>0</v>
      </c>
      <c r="AG195" s="42" t="str">
        <f>DATA!AN187</f>
        <v>belum ada keterangan</v>
      </c>
      <c r="AH195" s="42" t="str">
        <f>DATA!AO187</f>
        <v>belum ada keterangan</v>
      </c>
      <c r="AI195" s="42" t="str">
        <f>DATA!AP187</f>
        <v>belum ada proses tender/lelang</v>
      </c>
      <c r="AJ195" s="42" t="str">
        <f>DATA!AY187</f>
        <v>- Keg ini bukan area prioritas dari Pem. Jerman
- Surat Sekjen nomor PR.02.03/I/1814/2015 tanggal 9 September 2015</v>
      </c>
      <c r="AK195" s="42" t="e">
        <f>DATA!#REF!</f>
        <v>#REF!</v>
      </c>
      <c r="AL195" s="42">
        <f>DATA!AZ187</f>
        <v>0</v>
      </c>
      <c r="AM195" s="67" t="str">
        <f>DATA!BA187</f>
        <v>Meningkatkan sarana dan prasarana di 14 rumah sakit pusat rujukan nasional, 20 rumah sakit rujukan provinsi dan 39 UPT (unit pelaksana teknis) vertikal sebagai pusat rujukan tersier</v>
      </c>
    </row>
    <row r="196" spans="1:39" s="6" customFormat="1" ht="63.75" customHeight="1">
      <c r="A196" s="6">
        <f>DATA!A188</f>
        <v>135</v>
      </c>
      <c r="B196" s="6">
        <f>DATA!B188</f>
        <v>0</v>
      </c>
      <c r="C196" s="6" t="str">
        <f>DATA!D188</f>
        <v>NON-INFRASTRUKTUR</v>
      </c>
      <c r="D196" s="6">
        <f>DATA!E188</f>
        <v>11</v>
      </c>
      <c r="E196" s="6" t="str">
        <f>DATA!F188</f>
        <v>Kementerian Kesehatan</v>
      </c>
      <c r="F196" s="6" t="str">
        <f>DATA!H188</f>
        <v>Referral Health Services Program</v>
      </c>
      <c r="G196" s="6" t="str">
        <f>DATA!I188</f>
        <v>D</v>
      </c>
      <c r="H196" s="6" t="str">
        <f>DATA!J188</f>
        <v>Program Pelayanan Kesehatan Rujukan</v>
      </c>
      <c r="I196" s="6">
        <f>DATA!K188</f>
        <v>1</v>
      </c>
      <c r="J196" s="38"/>
      <c r="K196" s="71"/>
      <c r="L196" s="71"/>
      <c r="M196" s="43"/>
      <c r="N196" s="67" t="str">
        <f>DATA!L188</f>
        <v>Strengthening of National Referral Hospitals, Province Referral Hospital and Vertical Technical Units</v>
      </c>
      <c r="O196" s="42">
        <f>DATA!Q188</f>
        <v>0.33333333333333331</v>
      </c>
      <c r="P196" s="42">
        <f>DATA!R188</f>
        <v>0</v>
      </c>
      <c r="Q196" s="42">
        <f>DATA!S188</f>
        <v>0</v>
      </c>
      <c r="R196" s="83">
        <f>DATA!T188</f>
        <v>0</v>
      </c>
      <c r="S196" s="83"/>
      <c r="T196" s="83">
        <f>DATA!V188</f>
        <v>0</v>
      </c>
      <c r="U196" s="83">
        <f>DATA!W188</f>
        <v>0</v>
      </c>
      <c r="V196" s="83">
        <f>DATA!X188</f>
        <v>0</v>
      </c>
      <c r="W196" s="84" t="str">
        <f>DATA!Y188</f>
        <v>Belum Ada Indikasi</v>
      </c>
      <c r="X196" s="42" t="str">
        <f>DATA!Z188</f>
        <v>Belum Ada Indikasi</v>
      </c>
      <c r="Y196" s="83">
        <f>DATA!AA188</f>
        <v>755600000</v>
      </c>
      <c r="Z196" s="83">
        <f>DATA!AG188</f>
        <v>-755600000</v>
      </c>
      <c r="AA196" s="42" t="str">
        <f>DATA!AH188</f>
        <v>Tanpa keterangan</v>
      </c>
      <c r="AB196" s="67" t="str">
        <f>DATA!AI188</f>
        <v>-</v>
      </c>
      <c r="AC196" s="67" t="str">
        <f>DATA!AJ188</f>
        <v>-</v>
      </c>
      <c r="AD196" s="67" t="str">
        <f>DATA!AK188</f>
        <v>-</v>
      </c>
      <c r="AE196" s="67" t="str">
        <f>DATA!AL188</f>
        <v>-</v>
      </c>
      <c r="AF196" s="42">
        <f>DATA!AM188</f>
        <v>0</v>
      </c>
      <c r="AG196" s="42" t="str">
        <f>DATA!AN188</f>
        <v>belum ada keterangan</v>
      </c>
      <c r="AH196" s="42" t="str">
        <f>DATA!AO188</f>
        <v>belum ada keterangan</v>
      </c>
      <c r="AI196" s="42" t="str">
        <f>DATA!AP188</f>
        <v>belum ada proses tender/lelang</v>
      </c>
      <c r="AJ196" s="42" t="str">
        <f>DATA!AY188</f>
        <v>Surat Sekjen nomor PR.02.03/I/1814/2015 tanggal 9 September 2015</v>
      </c>
      <c r="AK196" s="42" t="e">
        <f>DATA!#REF!</f>
        <v>#REF!</v>
      </c>
      <c r="AL196" s="42">
        <f>DATA!AZ188</f>
        <v>0</v>
      </c>
      <c r="AM196" s="67" t="str">
        <f>DATA!BA188</f>
        <v>Meningkatkan sarana dan prasarana di 14 rumah sakit pusat rujukan nasional, 20 rumah sakit rujukan provinsi dan 39 UPT (unit pelaksana teknis) vertikal sebagai pusat rujukan tersier</v>
      </c>
    </row>
    <row r="197" spans="1:39" s="4" customFormat="1" ht="24.95" customHeight="1">
      <c r="J197" s="107"/>
      <c r="K197" s="25">
        <f>DATA!E189</f>
        <v>12</v>
      </c>
      <c r="L197" s="108" t="str">
        <f>DATA!F189</f>
        <v>Pemprov. Aceh</v>
      </c>
      <c r="M197" s="25"/>
      <c r="N197" s="27"/>
      <c r="O197" s="26"/>
      <c r="P197" s="26"/>
      <c r="Q197" s="26"/>
      <c r="R197" s="80">
        <f>+R198</f>
        <v>106800000</v>
      </c>
      <c r="S197" s="80"/>
      <c r="T197" s="80">
        <f t="shared" ref="T197:Z198" si="26">+T198</f>
        <v>10700000</v>
      </c>
      <c r="U197" s="80">
        <f t="shared" si="26"/>
        <v>0</v>
      </c>
      <c r="V197" s="80">
        <f t="shared" si="26"/>
        <v>117500000</v>
      </c>
      <c r="W197" s="80"/>
      <c r="X197" s="80" t="str">
        <f t="shared" si="26"/>
        <v>Bilateral</v>
      </c>
      <c r="Y197" s="80">
        <f t="shared" si="26"/>
        <v>106800000</v>
      </c>
      <c r="Z197" s="80">
        <f t="shared" si="26"/>
        <v>0</v>
      </c>
      <c r="AA197" s="26"/>
      <c r="AB197" s="27"/>
      <c r="AC197" s="27"/>
      <c r="AD197" s="27"/>
      <c r="AE197" s="27"/>
      <c r="AF197" s="26"/>
      <c r="AG197" s="26"/>
      <c r="AH197" s="26"/>
      <c r="AI197" s="26"/>
      <c r="AJ197" s="26"/>
      <c r="AK197" s="26"/>
      <c r="AL197" s="26"/>
      <c r="AM197" s="27"/>
    </row>
    <row r="198" spans="1:39" s="5" customFormat="1" ht="33.75" customHeight="1">
      <c r="J198" s="28"/>
      <c r="K198" s="29"/>
      <c r="L198" s="30" t="str">
        <f>DATA!I189</f>
        <v>A</v>
      </c>
      <c r="M198" s="31" t="str">
        <f>DATA!J189</f>
        <v>Program Pelayanan Kesehatan Rujukan</v>
      </c>
      <c r="N198" s="51"/>
      <c r="O198" s="31"/>
      <c r="P198" s="31"/>
      <c r="Q198" s="31"/>
      <c r="R198" s="81">
        <f>+R199</f>
        <v>106800000</v>
      </c>
      <c r="S198" s="81"/>
      <c r="T198" s="81">
        <f t="shared" si="26"/>
        <v>10700000</v>
      </c>
      <c r="U198" s="81">
        <f t="shared" si="26"/>
        <v>0</v>
      </c>
      <c r="V198" s="81">
        <f t="shared" si="26"/>
        <v>117500000</v>
      </c>
      <c r="W198" s="81"/>
      <c r="X198" s="81" t="str">
        <f t="shared" si="26"/>
        <v>Bilateral</v>
      </c>
      <c r="Y198" s="81">
        <f t="shared" si="26"/>
        <v>106800000</v>
      </c>
      <c r="Z198" s="81">
        <f t="shared" si="26"/>
        <v>0</v>
      </c>
      <c r="AA198" s="31"/>
      <c r="AB198" s="32"/>
      <c r="AC198" s="32"/>
      <c r="AD198" s="32"/>
      <c r="AE198" s="32"/>
      <c r="AF198" s="31"/>
      <c r="AG198" s="31"/>
      <c r="AH198" s="31"/>
      <c r="AI198" s="31"/>
      <c r="AJ198" s="31"/>
      <c r="AK198" s="31"/>
      <c r="AL198" s="31"/>
      <c r="AM198" s="32"/>
    </row>
    <row r="199" spans="1:39" ht="63.75" customHeight="1">
      <c r="A199" s="10">
        <f>DATA!A189</f>
        <v>136</v>
      </c>
      <c r="B199" s="10">
        <f>DATA!B189</f>
        <v>0</v>
      </c>
      <c r="C199" s="10" t="str">
        <f>DATA!D189</f>
        <v>NON-INFRASTRUKTUR</v>
      </c>
      <c r="D199" s="10">
        <f>DATA!E189</f>
        <v>12</v>
      </c>
      <c r="E199" s="10" t="str">
        <f>DATA!F189</f>
        <v>Pemprov. Aceh</v>
      </c>
      <c r="F199" s="10" t="str">
        <f>DATA!H189</f>
        <v>Health Services Referral Program</v>
      </c>
      <c r="G199" s="10" t="str">
        <f>DATA!I189</f>
        <v>A</v>
      </c>
      <c r="H199" s="10" t="str">
        <f>DATA!J189</f>
        <v>Program Pelayanan Kesehatan Rujukan</v>
      </c>
      <c r="I199" s="10">
        <f>DATA!K189</f>
        <v>1</v>
      </c>
      <c r="J199" s="33"/>
      <c r="K199" s="54"/>
      <c r="L199" s="20"/>
      <c r="M199" s="36">
        <f>DATA!K189</f>
        <v>1</v>
      </c>
      <c r="N199" s="37" t="str">
        <f>DATA!L189</f>
        <v>Reengineering and Improving The Hospital and Referral System in Selected Aceh Districts</v>
      </c>
      <c r="O199" s="20">
        <f>DATA!Q189</f>
        <v>1</v>
      </c>
      <c r="P199" s="20">
        <f>DATA!R189</f>
        <v>1</v>
      </c>
      <c r="Q199" s="20">
        <f>DATA!S189</f>
        <v>108</v>
      </c>
      <c r="R199" s="77">
        <f>DATA!T189</f>
        <v>106800000</v>
      </c>
      <c r="S199" s="77"/>
      <c r="T199" s="77">
        <f>DATA!V189</f>
        <v>10700000</v>
      </c>
      <c r="U199" s="77">
        <f>DATA!W189</f>
        <v>0</v>
      </c>
      <c r="V199" s="77">
        <f>DATA!X189</f>
        <v>117500000</v>
      </c>
      <c r="W199" s="78" t="str">
        <f>DATA!Y189</f>
        <v>Jerman (KfW)</v>
      </c>
      <c r="X199" s="20" t="str">
        <f>DATA!Z189</f>
        <v>Bilateral</v>
      </c>
      <c r="Y199" s="77">
        <f>DATA!AA189</f>
        <v>106800000</v>
      </c>
      <c r="Z199" s="77">
        <f>DATA!AG189</f>
        <v>0</v>
      </c>
      <c r="AA199" s="20" t="str">
        <f>DATA!AH189</f>
        <v>Tanpa keterangan</v>
      </c>
      <c r="AB199" s="37" t="str">
        <f>DATA!AI189</f>
        <v xml:space="preserve">- Sudah ada R/C
- Green Book 2015
</v>
      </c>
      <c r="AC199" s="37" t="str">
        <f>DATA!AJ189</f>
        <v>FS, DED</v>
      </c>
      <c r="AD199" s="114">
        <f>DATA!AK189</f>
        <v>1</v>
      </c>
      <c r="AE199" s="37" t="str">
        <f>DATA!AL189</f>
        <v>-</v>
      </c>
      <c r="AF199" s="20" t="str">
        <f>DATA!AM189</f>
        <v>2016; 2015</v>
      </c>
      <c r="AG199" s="20" t="str">
        <f>DATA!AN189</f>
        <v>dalam proses
(memiliki FS dan DED)</v>
      </c>
      <c r="AH199" s="20" t="str">
        <f>DATA!AO189</f>
        <v>siap</v>
      </c>
      <c r="AI199" s="20" t="str">
        <f>DATA!AP189</f>
        <v>belum ada proses tender/lelang</v>
      </c>
      <c r="AJ199" s="20" t="str">
        <f>DATA!AY189</f>
        <v>Surat Kepala Dinas Kesehatan Prov. Aceh nomor 443.02/998/V/2015 tanggal 27 April 2015 tentang penyampaian dokumen kesiapan (RC)</v>
      </c>
      <c r="AK199" s="20" t="e">
        <f>DATA!#REF!</f>
        <v>#REF!</v>
      </c>
      <c r="AL199" s="20">
        <f>DATA!AZ189</f>
        <v>0</v>
      </c>
      <c r="AM199" s="37" t="str">
        <f>DATA!BA189</f>
        <v xml:space="preserve">Pengembangan infrastruktur (pembangunan rumah sakit baru, rehabilitasi rumah sakit lama, dan kantor dinas kesehatan, pengadaan peralatan dan operasional, dan peningkatan SDM rumah sakit </v>
      </c>
    </row>
    <row r="200" spans="1:39" s="4" customFormat="1" ht="24.95" customHeight="1">
      <c r="J200" s="107"/>
      <c r="K200" s="25">
        <f>DATA!E190</f>
        <v>13</v>
      </c>
      <c r="L200" s="108" t="str">
        <f>DATA!F190</f>
        <v>Kementerian Pertanian</v>
      </c>
      <c r="M200" s="25"/>
      <c r="N200" s="27"/>
      <c r="O200" s="26"/>
      <c r="P200" s="26"/>
      <c r="Q200" s="26"/>
      <c r="R200" s="80">
        <f>+R201+R210</f>
        <v>1445742600</v>
      </c>
      <c r="S200" s="80"/>
      <c r="T200" s="80">
        <f t="shared" ref="T200:Z200" si="27">+T201+T210</f>
        <v>154464300</v>
      </c>
      <c r="U200" s="80">
        <f t="shared" si="27"/>
        <v>500000</v>
      </c>
      <c r="V200" s="80">
        <f t="shared" si="27"/>
        <v>1600706900</v>
      </c>
      <c r="W200" s="80"/>
      <c r="X200" s="80" t="e">
        <f t="shared" si="27"/>
        <v>#VALUE!</v>
      </c>
      <c r="Y200" s="80">
        <f t="shared" si="27"/>
        <v>1445742600</v>
      </c>
      <c r="Z200" s="80">
        <f t="shared" si="27"/>
        <v>-746842600</v>
      </c>
      <c r="AA200" s="26"/>
      <c r="AB200" s="27"/>
      <c r="AC200" s="27"/>
      <c r="AD200" s="27"/>
      <c r="AE200" s="27"/>
      <c r="AF200" s="26"/>
      <c r="AG200" s="26"/>
      <c r="AH200" s="26"/>
      <c r="AI200" s="26"/>
      <c r="AJ200" s="26"/>
      <c r="AK200" s="26"/>
      <c r="AL200" s="26"/>
      <c r="AM200" s="27"/>
    </row>
    <row r="201" spans="1:39" s="5" customFormat="1" ht="33.75" customHeight="1">
      <c r="J201" s="28"/>
      <c r="K201" s="29"/>
      <c r="L201" s="30" t="str">
        <f>DATA!I190</f>
        <v>A</v>
      </c>
      <c r="M201" s="31" t="str">
        <f>DATA!J190</f>
        <v>Program Penyediaan dan Pengembangan Prasarana dan Sarana Pertanian</v>
      </c>
      <c r="N201" s="51"/>
      <c r="O201" s="31"/>
      <c r="P201" s="31"/>
      <c r="Q201" s="31"/>
      <c r="R201" s="81">
        <f>+R202+R206</f>
        <v>1346842600</v>
      </c>
      <c r="S201" s="81"/>
      <c r="T201" s="81">
        <f t="shared" ref="T201:Z201" si="28">+T202+T206</f>
        <v>134684300</v>
      </c>
      <c r="U201" s="81">
        <f t="shared" si="28"/>
        <v>0</v>
      </c>
      <c r="V201" s="81">
        <f t="shared" si="28"/>
        <v>1481526900</v>
      </c>
      <c r="W201" s="81"/>
      <c r="X201" s="81">
        <f t="shared" si="28"/>
        <v>0</v>
      </c>
      <c r="Y201" s="81">
        <f t="shared" si="28"/>
        <v>1346842600</v>
      </c>
      <c r="Z201" s="81">
        <f t="shared" si="28"/>
        <v>-746842600</v>
      </c>
      <c r="AA201" s="31"/>
      <c r="AB201" s="32"/>
      <c r="AC201" s="32"/>
      <c r="AD201" s="32"/>
      <c r="AE201" s="32"/>
      <c r="AF201" s="31"/>
      <c r="AG201" s="31"/>
      <c r="AH201" s="31"/>
      <c r="AI201" s="31"/>
      <c r="AJ201" s="31"/>
      <c r="AK201" s="31"/>
      <c r="AL201" s="31"/>
      <c r="AM201" s="32"/>
    </row>
    <row r="202" spans="1:39" ht="24.75" customHeight="1">
      <c r="A202" s="10">
        <f>DATA!A190</f>
        <v>137</v>
      </c>
      <c r="B202" s="10">
        <f>DATA!B190</f>
        <v>0</v>
      </c>
      <c r="C202" s="10" t="str">
        <f>DATA!D190</f>
        <v>NON-INFRASTRUKTUR</v>
      </c>
      <c r="D202" s="10">
        <f>DATA!E190</f>
        <v>13</v>
      </c>
      <c r="E202" s="10" t="str">
        <f>DATA!F190</f>
        <v>Kementerian Pertanian</v>
      </c>
      <c r="F202" s="10" t="str">
        <f>DATA!H190</f>
        <v>Provision and Development of Agriculture Infrastructure Program</v>
      </c>
      <c r="G202" s="10" t="str">
        <f>DATA!I190</f>
        <v>A</v>
      </c>
      <c r="H202" s="10" t="str">
        <f>DATA!J190</f>
        <v>Program Penyediaan dan Pengembangan Prasarana dan Sarana Pertanian</v>
      </c>
      <c r="I202" s="10">
        <f>DATA!K190</f>
        <v>1</v>
      </c>
      <c r="J202" s="33"/>
      <c r="K202" s="34"/>
      <c r="L202" s="35"/>
      <c r="M202" s="36">
        <f>DATA!K190</f>
        <v>1</v>
      </c>
      <c r="N202" s="37" t="str">
        <f>DATA!L190</f>
        <v>Extensification of New Paddy Field Area</v>
      </c>
      <c r="O202" s="20">
        <f>DATA!Q190</f>
        <v>0</v>
      </c>
      <c r="P202" s="20">
        <f>DATA!R190</f>
        <v>1</v>
      </c>
      <c r="Q202" s="20">
        <f>DATA!S190</f>
        <v>109</v>
      </c>
      <c r="R202" s="77">
        <f>DATA!T190</f>
        <v>811166600</v>
      </c>
      <c r="S202" s="77"/>
      <c r="T202" s="77">
        <f>DATA!V190</f>
        <v>81116700</v>
      </c>
      <c r="U202" s="77">
        <f>DATA!W190</f>
        <v>0</v>
      </c>
      <c r="V202" s="77">
        <f>DATA!X190</f>
        <v>892283300</v>
      </c>
      <c r="W202" s="78" t="str">
        <f>DATA!Y190</f>
        <v>-</v>
      </c>
      <c r="X202" s="20">
        <f>DATA!Z190</f>
        <v>0</v>
      </c>
      <c r="Y202" s="77">
        <f>DATA!AA190</f>
        <v>811166600</v>
      </c>
      <c r="Z202" s="77">
        <f>DATA!AG190</f>
        <v>-461166600</v>
      </c>
      <c r="AA202" s="20" t="str">
        <f>DATA!AH190</f>
        <v>-</v>
      </c>
      <c r="AB202" s="37" t="str">
        <f>DATA!AI190</f>
        <v>-</v>
      </c>
      <c r="AC202" s="37" t="str">
        <f>DATA!AJ190</f>
        <v>-</v>
      </c>
      <c r="AD202" s="37" t="str">
        <f>DATA!AK190</f>
        <v>-</v>
      </c>
      <c r="AE202" s="37" t="str">
        <f>DATA!AL190</f>
        <v>-</v>
      </c>
      <c r="AF202" s="20" t="str">
        <f>DATA!AM190</f>
        <v>-</v>
      </c>
      <c r="AG202" s="20" t="str">
        <f>DATA!AN190</f>
        <v>-</v>
      </c>
      <c r="AH202" s="20" t="str">
        <f>DATA!AO190</f>
        <v>-</v>
      </c>
      <c r="AI202" s="20" t="str">
        <f>DATA!AP190</f>
        <v>-</v>
      </c>
      <c r="AJ202" s="20" t="str">
        <f>DATA!AY190</f>
        <v>-</v>
      </c>
      <c r="AK202" s="20" t="e">
        <f>DATA!#REF!</f>
        <v>#REF!</v>
      </c>
      <c r="AL202" s="20">
        <f>DATA!AZ190</f>
        <v>0</v>
      </c>
      <c r="AM202" s="37" t="str">
        <f>DATA!BA190</f>
        <v>-</v>
      </c>
    </row>
    <row r="203" spans="1:39" s="6" customFormat="1" ht="76.5">
      <c r="A203" s="6">
        <f>DATA!A191</f>
        <v>137</v>
      </c>
      <c r="B203" s="6">
        <f>DATA!B191</f>
        <v>0</v>
      </c>
      <c r="C203" s="6" t="str">
        <f>DATA!D191</f>
        <v>NON-INFRASTRUKTUR</v>
      </c>
      <c r="D203" s="6">
        <f>DATA!E191</f>
        <v>13</v>
      </c>
      <c r="E203" s="6" t="str">
        <f>DATA!F191</f>
        <v>Kementerian Pertanian</v>
      </c>
      <c r="F203" s="6" t="str">
        <f>DATA!H191</f>
        <v>Provision and Development of Agriculture Infrastructure Program</v>
      </c>
      <c r="G203" s="6" t="str">
        <f>DATA!I191</f>
        <v>A</v>
      </c>
      <c r="H203" s="6" t="str">
        <f>DATA!J191</f>
        <v>Program Penyediaan dan Pengembangan Prasarana dan Sarana Pertanian</v>
      </c>
      <c r="I203" s="6">
        <f>DATA!K191</f>
        <v>1</v>
      </c>
      <c r="J203" s="38"/>
      <c r="K203" s="39"/>
      <c r="L203" s="39"/>
      <c r="M203" s="40"/>
      <c r="N203" s="67" t="str">
        <f>DATA!L191</f>
        <v>Extensification of New Paddy Field Area</v>
      </c>
      <c r="O203" s="42">
        <f>DATA!Q191</f>
        <v>0.33333333333333331</v>
      </c>
      <c r="P203" s="42">
        <f>DATA!R191</f>
        <v>0</v>
      </c>
      <c r="Q203" s="42">
        <f>DATA!S191</f>
        <v>0</v>
      </c>
      <c r="R203" s="83">
        <f>DATA!T191</f>
        <v>0</v>
      </c>
      <c r="S203" s="83"/>
      <c r="T203" s="83">
        <f>DATA!V191</f>
        <v>0</v>
      </c>
      <c r="U203" s="83">
        <f>DATA!W191</f>
        <v>0</v>
      </c>
      <c r="V203" s="83">
        <f>DATA!X191</f>
        <v>0</v>
      </c>
      <c r="W203" s="84" t="str">
        <f>DATA!Y191</f>
        <v>Bank Dunia</v>
      </c>
      <c r="X203" s="42" t="str">
        <f>DATA!Z191</f>
        <v>Multilateral</v>
      </c>
      <c r="Y203" s="83">
        <f>DATA!AA191</f>
        <v>225000000</v>
      </c>
      <c r="Z203" s="83">
        <f>DATA!AG191</f>
        <v>0</v>
      </c>
      <c r="AA203" s="42" t="str">
        <f>DATA!AH191</f>
        <v>Tanpa keterangan</v>
      </c>
      <c r="AB203" s="67" t="str">
        <f>DATA!AI191</f>
        <v>-</v>
      </c>
      <c r="AC203" s="67" t="str">
        <f>DATA!AJ191</f>
        <v xml:space="preserve">TOR </v>
      </c>
      <c r="AD203" s="115">
        <f>DATA!AK191</f>
        <v>0</v>
      </c>
      <c r="AE203" s="67" t="str">
        <f>DATA!AL191</f>
        <v>-</v>
      </c>
      <c r="AF203" s="42">
        <f>DATA!AM191</f>
        <v>0</v>
      </c>
      <c r="AG203" s="42" t="str">
        <f>DATA!AN191</f>
        <v>dalam proses
(penyusunan FS)</v>
      </c>
      <c r="AH203" s="42" t="str">
        <f>DATA!AO191</f>
        <v>belum ada keterangan</v>
      </c>
      <c r="AI203" s="42" t="str">
        <f>DATA!AP191</f>
        <v>belum ada proses tender/lelang</v>
      </c>
      <c r="AJ203" s="42" t="str">
        <f>DATA!AY191</f>
        <v>Surat Plh. Kepala Pusat Kem.Pertanian nomor 246/KL.230/A.6.3/09/2015 tgl 9 September 2015</v>
      </c>
      <c r="AK203" s="42" t="e">
        <f>DATA!#REF!</f>
        <v>#REF!</v>
      </c>
      <c r="AL203" s="42">
        <f>DATA!AZ191</f>
        <v>0</v>
      </c>
      <c r="AM203" s="67" t="str">
        <f>DATA!BA191</f>
        <v>Pembentukan lahan pertanian padi baru di 34 provinsi, meliputi: identifikasi calon petani dan calon lokasi (CPCL), survey/investigasi, penetapan lokasi, penyiapan lahan (land clearing and land leveling), bantuan sarana produksi, dan pertanian untuk budidaya padi.</v>
      </c>
    </row>
    <row r="204" spans="1:39" s="6" customFormat="1" ht="76.5">
      <c r="A204" s="6">
        <f>DATA!A192</f>
        <v>138</v>
      </c>
      <c r="B204" s="6">
        <f>DATA!B192</f>
        <v>0</v>
      </c>
      <c r="C204" s="6" t="str">
        <f>DATA!D192</f>
        <v>NON-INFRASTRUKTUR</v>
      </c>
      <c r="D204" s="6">
        <f>DATA!E192</f>
        <v>13</v>
      </c>
      <c r="E204" s="6" t="str">
        <f>DATA!F192</f>
        <v>Kementerian Pertanian</v>
      </c>
      <c r="F204" s="6" t="str">
        <f>DATA!H192</f>
        <v>Provision and Development of Agriculture Infrastructure Program</v>
      </c>
      <c r="G204" s="6" t="str">
        <f>DATA!I192</f>
        <v>A</v>
      </c>
      <c r="H204" s="6" t="str">
        <f>DATA!J192</f>
        <v>Program Penyediaan dan Pengembangan Prasarana dan Sarana Pertanian</v>
      </c>
      <c r="I204" s="6">
        <f>DATA!K192</f>
        <v>1</v>
      </c>
      <c r="J204" s="38"/>
      <c r="K204" s="39"/>
      <c r="L204" s="39"/>
      <c r="M204" s="38"/>
      <c r="N204" s="67" t="str">
        <f>DATA!L192</f>
        <v>Extensification of New Paddy Field Area</v>
      </c>
      <c r="O204" s="42">
        <f>DATA!Q192</f>
        <v>0.33333333333333331</v>
      </c>
      <c r="P204" s="42">
        <f>DATA!R192</f>
        <v>0</v>
      </c>
      <c r="Q204" s="42">
        <f>DATA!S192</f>
        <v>0</v>
      </c>
      <c r="R204" s="83">
        <f>DATA!T192</f>
        <v>0</v>
      </c>
      <c r="S204" s="83"/>
      <c r="T204" s="83">
        <f>DATA!V192</f>
        <v>0</v>
      </c>
      <c r="U204" s="83">
        <f>DATA!W192</f>
        <v>0</v>
      </c>
      <c r="V204" s="83">
        <f>DATA!X192</f>
        <v>0</v>
      </c>
      <c r="W204" s="84" t="str">
        <f>DATA!Y192</f>
        <v>IDB</v>
      </c>
      <c r="X204" s="42" t="str">
        <f>DATA!Z192</f>
        <v>Multilateral</v>
      </c>
      <c r="Y204" s="83">
        <f>DATA!AA192</f>
        <v>125000000</v>
      </c>
      <c r="Z204" s="83">
        <f>DATA!AG192</f>
        <v>0</v>
      </c>
      <c r="AA204" s="42" t="str">
        <f>DATA!AH192</f>
        <v>Tanpa keterangan</v>
      </c>
      <c r="AB204" s="67" t="str">
        <f>DATA!AI192</f>
        <v>-</v>
      </c>
      <c r="AC204" s="67" t="str">
        <f>DATA!AJ192</f>
        <v>-</v>
      </c>
      <c r="AD204" s="115" t="str">
        <f>DATA!AK192</f>
        <v>-</v>
      </c>
      <c r="AE204" s="67" t="str">
        <f>DATA!AL192</f>
        <v>-</v>
      </c>
      <c r="AF204" s="42">
        <f>DATA!AM192</f>
        <v>0</v>
      </c>
      <c r="AG204" s="42" t="str">
        <f>DATA!AN192</f>
        <v>dalam proses
(penyusunan FS)</v>
      </c>
      <c r="AH204" s="42" t="str">
        <f>DATA!AO192</f>
        <v>belum ada keterangan</v>
      </c>
      <c r="AI204" s="42" t="str">
        <f>DATA!AP192</f>
        <v>belum ada proses tender/lelang</v>
      </c>
      <c r="AJ204" s="42" t="str">
        <f>DATA!AY192</f>
        <v>Surat Plh. Kepala Pusat Kem.Pertanian nomor 246/KL.230/A.6.3/09/2015 tgl 9 September 2015</v>
      </c>
      <c r="AK204" s="42" t="e">
        <f>DATA!#REF!</f>
        <v>#REF!</v>
      </c>
      <c r="AL204" s="42">
        <f>DATA!AZ192</f>
        <v>0</v>
      </c>
      <c r="AM204" s="67" t="str">
        <f>DATA!BA192</f>
        <v>Pembentukan lahan pertanian padi baru di 34 provinsi, meliputi: identifikasi calon petani dan calon lokasi (CPCL), survey/investigasi, penetapan lokasi, penyiapan lahan (land clearing and land leveling), bantuan sarana produksi, dan pertanian untuk budidaya padi.</v>
      </c>
    </row>
    <row r="205" spans="1:39" s="6" customFormat="1" ht="76.5">
      <c r="A205" s="6">
        <f>DATA!A193</f>
        <v>139</v>
      </c>
      <c r="B205" s="6">
        <f>DATA!B193</f>
        <v>0</v>
      </c>
      <c r="C205" s="6" t="str">
        <f>DATA!D193</f>
        <v>NON-INFRASTRUKTUR</v>
      </c>
      <c r="D205" s="6">
        <f>DATA!E193</f>
        <v>13</v>
      </c>
      <c r="E205" s="6" t="str">
        <f>DATA!F193</f>
        <v>Kementerian Pertanian</v>
      </c>
      <c r="F205" s="6" t="str">
        <f>DATA!H193</f>
        <v>Provision and Development of Agriculture Infrastructure Program</v>
      </c>
      <c r="G205" s="6" t="str">
        <f>DATA!I193</f>
        <v>A</v>
      </c>
      <c r="H205" s="6" t="str">
        <f>DATA!J193</f>
        <v>Program Penyediaan dan Pengembangan Prasarana dan Sarana Pertanian</v>
      </c>
      <c r="I205" s="6">
        <f>DATA!K193</f>
        <v>1</v>
      </c>
      <c r="J205" s="38"/>
      <c r="K205" s="39"/>
      <c r="L205" s="39"/>
      <c r="M205" s="43"/>
      <c r="N205" s="67" t="str">
        <f>DATA!L193</f>
        <v>Extensification of New Paddy Field Area</v>
      </c>
      <c r="O205" s="42">
        <f>DATA!Q193</f>
        <v>0.33333333333333331</v>
      </c>
      <c r="P205" s="42">
        <f>DATA!R193</f>
        <v>0</v>
      </c>
      <c r="Q205" s="42">
        <f>DATA!S193</f>
        <v>0</v>
      </c>
      <c r="R205" s="83">
        <f>DATA!T193</f>
        <v>0</v>
      </c>
      <c r="S205" s="83"/>
      <c r="T205" s="83">
        <f>DATA!V193</f>
        <v>0</v>
      </c>
      <c r="U205" s="83">
        <f>DATA!W193</f>
        <v>0</v>
      </c>
      <c r="V205" s="83">
        <f>DATA!X193</f>
        <v>0</v>
      </c>
      <c r="W205" s="84" t="str">
        <f>DATA!Y193</f>
        <v>Belum Ada Indikasi</v>
      </c>
      <c r="X205" s="42" t="str">
        <f>DATA!Z193</f>
        <v>Belum Ada Indikasi</v>
      </c>
      <c r="Y205" s="83">
        <f>DATA!AA193</f>
        <v>461166600</v>
      </c>
      <c r="Z205" s="83">
        <f>DATA!AG193</f>
        <v>-461166600</v>
      </c>
      <c r="AA205" s="42" t="str">
        <f>DATA!AH193</f>
        <v>Tanpa keterangan</v>
      </c>
      <c r="AB205" s="67" t="str">
        <f>DATA!AI193</f>
        <v>-</v>
      </c>
      <c r="AC205" s="67" t="str">
        <f>DATA!AJ193</f>
        <v>-</v>
      </c>
      <c r="AD205" s="115" t="str">
        <f>DATA!AK193</f>
        <v>-</v>
      </c>
      <c r="AE205" s="67" t="str">
        <f>DATA!AL193</f>
        <v>-</v>
      </c>
      <c r="AF205" s="42">
        <f>DATA!AM193</f>
        <v>0</v>
      </c>
      <c r="AG205" s="42" t="str">
        <f>DATA!AN193</f>
        <v>belum ada keterangan</v>
      </c>
      <c r="AH205" s="42" t="str">
        <f>DATA!AO193</f>
        <v>belum ada keterangan</v>
      </c>
      <c r="AI205" s="42" t="str">
        <f>DATA!AP193</f>
        <v>belum ada proses tender/lelang</v>
      </c>
      <c r="AJ205" s="42" t="str">
        <f>DATA!AY193</f>
        <v>Surat Plh. Kepala Pusat Kem.Pertanian nomor 246/KL.230/A.6.3/09/2015 tgl 9 September 2015</v>
      </c>
      <c r="AK205" s="42" t="e">
        <f>DATA!#REF!</f>
        <v>#REF!</v>
      </c>
      <c r="AL205" s="42">
        <f>DATA!AZ193</f>
        <v>0</v>
      </c>
      <c r="AM205" s="67" t="str">
        <f>DATA!BA193</f>
        <v>Pembentukan lahan pertanian padi baru di 34 provinsi, meliputi: identifikasi calon petani dan calon lokasi (CPCL), survey/investigasi, penetapan lokasi, penyiapan lahan (land clearing and land leveling), bantuan sarana produksi, dan pertanian untuk budidaya padi.</v>
      </c>
    </row>
    <row r="206" spans="1:39" ht="60.75" customHeight="1">
      <c r="A206" s="10">
        <f>DATA!A194</f>
        <v>140</v>
      </c>
      <c r="B206" s="10">
        <f>DATA!B194</f>
        <v>0</v>
      </c>
      <c r="C206" s="10" t="str">
        <f>DATA!D194</f>
        <v>NON-INFRASTRUKTUR</v>
      </c>
      <c r="D206" s="10">
        <f>DATA!E194</f>
        <v>13</v>
      </c>
      <c r="E206" s="10" t="str">
        <f>DATA!F194</f>
        <v>Kementerian Pertanian</v>
      </c>
      <c r="F206" s="10" t="str">
        <f>DATA!H194</f>
        <v>Provision and Development of Agriculture Infrastructure Program</v>
      </c>
      <c r="G206" s="10" t="str">
        <f>DATA!I194</f>
        <v>A</v>
      </c>
      <c r="H206" s="10" t="str">
        <f>DATA!J194</f>
        <v>Program Penyediaan dan Pengembangan Prasarana dan Sarana Pertanian</v>
      </c>
      <c r="I206" s="10">
        <f>DATA!K194</f>
        <v>2</v>
      </c>
      <c r="J206" s="33"/>
      <c r="K206" s="34"/>
      <c r="L206" s="34"/>
      <c r="M206" s="36">
        <f>DATA!K194</f>
        <v>2</v>
      </c>
      <c r="N206" s="37" t="str">
        <f>DATA!L194</f>
        <v>Upland Development for National Food Security</v>
      </c>
      <c r="O206" s="20">
        <f>DATA!Q194</f>
        <v>0</v>
      </c>
      <c r="P206" s="20">
        <f>DATA!R194</f>
        <v>1</v>
      </c>
      <c r="Q206" s="20">
        <f>DATA!S194</f>
        <v>110</v>
      </c>
      <c r="R206" s="77">
        <f>DATA!T194</f>
        <v>535676000</v>
      </c>
      <c r="S206" s="77"/>
      <c r="T206" s="77">
        <f>DATA!V194</f>
        <v>53567600</v>
      </c>
      <c r="U206" s="77">
        <f>DATA!W194</f>
        <v>0</v>
      </c>
      <c r="V206" s="77">
        <f>DATA!X194</f>
        <v>589243600</v>
      </c>
      <c r="W206" s="78" t="str">
        <f>DATA!Y194</f>
        <v>-</v>
      </c>
      <c r="X206" s="20">
        <f>DATA!Z194</f>
        <v>0</v>
      </c>
      <c r="Y206" s="77">
        <f>DATA!AA194</f>
        <v>535676000</v>
      </c>
      <c r="Z206" s="77">
        <f>DATA!AG194</f>
        <v>-285676000</v>
      </c>
      <c r="AA206" s="20" t="str">
        <f>DATA!AH194</f>
        <v>-</v>
      </c>
      <c r="AB206" s="37" t="str">
        <f>DATA!AI194</f>
        <v>-</v>
      </c>
      <c r="AC206" s="37" t="str">
        <f>DATA!AJ194</f>
        <v xml:space="preserve">TOR </v>
      </c>
      <c r="AD206" s="115">
        <f>DATA!AK194</f>
        <v>0</v>
      </c>
      <c r="AE206" s="37" t="str">
        <f>DATA!AL194</f>
        <v>-</v>
      </c>
      <c r="AF206" s="20">
        <f>DATA!AM194</f>
        <v>0</v>
      </c>
      <c r="AG206" s="20" t="str">
        <f>DATA!AN194</f>
        <v>-</v>
      </c>
      <c r="AH206" s="20" t="str">
        <f>DATA!AO194</f>
        <v>tanpa keterangan</v>
      </c>
      <c r="AI206" s="20" t="str">
        <f>DATA!AP194</f>
        <v>belum ada proses tender/lelang</v>
      </c>
      <c r="AJ206" s="20" t="str">
        <f>DATA!AY194</f>
        <v>Surat Plh. Kepala Pusat Kem.Pertanian nomor 246/KL.230/A.6.3/09/2015 tgl 9 September 2015</v>
      </c>
      <c r="AK206" s="20" t="e">
        <f>DATA!#REF!</f>
        <v>#REF!</v>
      </c>
      <c r="AL206" s="20">
        <f>DATA!AZ194</f>
        <v>0</v>
      </c>
      <c r="AM206" s="37" t="str">
        <f>DATA!BA194</f>
        <v>Rencana penggunaan lahan di dataran tinggi berdasarkan kesesuaiannya, konservasi lahan dan air di dataran tinggi, dan budidaya pertanian ramah lingkungan untuk dataran tinggi</v>
      </c>
    </row>
    <row r="207" spans="1:39" s="6" customFormat="1" ht="61.5" customHeight="1">
      <c r="A207" s="6">
        <f>DATA!A195</f>
        <v>140</v>
      </c>
      <c r="B207" s="6">
        <f>DATA!B195</f>
        <v>0</v>
      </c>
      <c r="C207" s="6" t="str">
        <f>DATA!D195</f>
        <v>NON-INFRASTRUKTUR</v>
      </c>
      <c r="D207" s="6">
        <f>DATA!E195</f>
        <v>13</v>
      </c>
      <c r="E207" s="6" t="str">
        <f>DATA!F195</f>
        <v>Kementerian Pertanian</v>
      </c>
      <c r="F207" s="6" t="str">
        <f>DATA!H195</f>
        <v>Provision and Development of Agriculture Infrastructure Program</v>
      </c>
      <c r="G207" s="6" t="str">
        <f>DATA!I195</f>
        <v>A</v>
      </c>
      <c r="H207" s="6" t="str">
        <f>DATA!J195</f>
        <v>Program Penyediaan dan Pengembangan Prasarana dan Sarana Pertanian</v>
      </c>
      <c r="I207" s="6">
        <f>DATA!K195</f>
        <v>2</v>
      </c>
      <c r="J207" s="38"/>
      <c r="K207" s="39"/>
      <c r="L207" s="39"/>
      <c r="M207" s="40"/>
      <c r="N207" s="67" t="str">
        <f>DATA!L195</f>
        <v>Upland Development for National Food Security</v>
      </c>
      <c r="O207" s="42">
        <f>DATA!Q195</f>
        <v>0.33333333333333331</v>
      </c>
      <c r="P207" s="42">
        <f>DATA!R195</f>
        <v>0</v>
      </c>
      <c r="Q207" s="42">
        <f>DATA!S195</f>
        <v>0</v>
      </c>
      <c r="R207" s="83">
        <f>DATA!T195</f>
        <v>0</v>
      </c>
      <c r="S207" s="83"/>
      <c r="T207" s="83">
        <f>DATA!V195</f>
        <v>0</v>
      </c>
      <c r="U207" s="83">
        <f>DATA!W195</f>
        <v>0</v>
      </c>
      <c r="V207" s="83">
        <f>DATA!X195</f>
        <v>0</v>
      </c>
      <c r="W207" s="84" t="str">
        <f>DATA!Y195</f>
        <v>Bank Dunia</v>
      </c>
      <c r="X207" s="42" t="str">
        <f>DATA!Z195</f>
        <v>Multilateral</v>
      </c>
      <c r="Y207" s="83">
        <f>DATA!AA195</f>
        <v>125000000</v>
      </c>
      <c r="Z207" s="83">
        <f>DATA!AG195</f>
        <v>0</v>
      </c>
      <c r="AA207" s="42" t="str">
        <f>DATA!AH195</f>
        <v>Tanpa keterangan</v>
      </c>
      <c r="AB207" s="67" t="str">
        <f>DATA!AI195</f>
        <v>-</v>
      </c>
      <c r="AC207" s="67" t="str">
        <f>DATA!AJ195</f>
        <v xml:space="preserve">TOR </v>
      </c>
      <c r="AD207" s="115">
        <f>DATA!AK195</f>
        <v>0</v>
      </c>
      <c r="AE207" s="67" t="str">
        <f>DATA!AL195</f>
        <v>-</v>
      </c>
      <c r="AF207" s="42">
        <f>DATA!AM195</f>
        <v>0</v>
      </c>
      <c r="AG207" s="42" t="str">
        <f>DATA!AN195</f>
        <v>dalam proses
(penyusunan FS)</v>
      </c>
      <c r="AH207" s="42" t="str">
        <f>DATA!AO195</f>
        <v>belum ada keterangan</v>
      </c>
      <c r="AI207" s="42" t="str">
        <f>DATA!AP195</f>
        <v>belum ada proses tender/lelang</v>
      </c>
      <c r="AJ207" s="42" t="str">
        <f>DATA!AY195</f>
        <v>Surat Plh. Kepala Pusat Kem.Pertanian nomor 246/KL.230/A.6.3/09/2015 tgl 9 September 2015</v>
      </c>
      <c r="AK207" s="42" t="e">
        <f>DATA!#REF!</f>
        <v>#REF!</v>
      </c>
      <c r="AL207" s="42">
        <f>DATA!AZ195</f>
        <v>0</v>
      </c>
      <c r="AM207" s="67" t="str">
        <f>DATA!BA195</f>
        <v>Rencana penggunaan lahan di dataran tinggi berdasarkan kesesuaiannya, konservasi lahan dan air di dataran tinggi, dan budidaya pertanian ramah lingkungan untuk dataran tinggi</v>
      </c>
    </row>
    <row r="208" spans="1:39" s="6" customFormat="1" ht="51">
      <c r="A208" s="6">
        <f>DATA!A196</f>
        <v>141</v>
      </c>
      <c r="B208" s="6">
        <f>DATA!B196</f>
        <v>0</v>
      </c>
      <c r="C208" s="6" t="str">
        <f>DATA!D196</f>
        <v>NON-INFRASTRUKTUR</v>
      </c>
      <c r="D208" s="6">
        <f>DATA!E196</f>
        <v>13</v>
      </c>
      <c r="E208" s="6" t="str">
        <f>DATA!F196</f>
        <v>Kementerian Pertanian</v>
      </c>
      <c r="F208" s="6" t="str">
        <f>DATA!H196</f>
        <v>Provision and Development of Agriculture Infrastructure Program</v>
      </c>
      <c r="G208" s="6" t="str">
        <f>DATA!I196</f>
        <v>A</v>
      </c>
      <c r="H208" s="6" t="str">
        <f>DATA!J196</f>
        <v>Program Penyediaan dan Pengembangan Prasarana dan Sarana Pertanian</v>
      </c>
      <c r="I208" s="6">
        <f>DATA!K196</f>
        <v>2</v>
      </c>
      <c r="J208" s="38"/>
      <c r="K208" s="39"/>
      <c r="L208" s="39"/>
      <c r="M208" s="38"/>
      <c r="N208" s="67" t="str">
        <f>DATA!L196</f>
        <v>Upland Development for National Food Security</v>
      </c>
      <c r="O208" s="42">
        <f>DATA!Q196</f>
        <v>0.33333333333333331</v>
      </c>
      <c r="P208" s="42">
        <f>DATA!R196</f>
        <v>0</v>
      </c>
      <c r="Q208" s="42">
        <f>DATA!S196</f>
        <v>0</v>
      </c>
      <c r="R208" s="83">
        <f>DATA!T196</f>
        <v>0</v>
      </c>
      <c r="S208" s="83"/>
      <c r="T208" s="83">
        <f>DATA!V196</f>
        <v>0</v>
      </c>
      <c r="U208" s="83">
        <f>DATA!W196</f>
        <v>0</v>
      </c>
      <c r="V208" s="83">
        <f>DATA!X196</f>
        <v>0</v>
      </c>
      <c r="W208" s="84" t="str">
        <f>DATA!Y196</f>
        <v>IDB</v>
      </c>
      <c r="X208" s="42" t="str">
        <f>DATA!Z196</f>
        <v>Multilateral</v>
      </c>
      <c r="Y208" s="83">
        <f>DATA!AA196</f>
        <v>125000000</v>
      </c>
      <c r="Z208" s="83">
        <f>DATA!AG196</f>
        <v>0</v>
      </c>
      <c r="AA208" s="42" t="str">
        <f>DATA!AH196</f>
        <v>Tanpa keterangan</v>
      </c>
      <c r="AB208" s="67" t="str">
        <f>DATA!AI196</f>
        <v>-</v>
      </c>
      <c r="AC208" s="67" t="str">
        <f>DATA!AJ196</f>
        <v>-</v>
      </c>
      <c r="AD208" s="115" t="str">
        <f>DATA!AK196</f>
        <v>-</v>
      </c>
      <c r="AE208" s="67" t="str">
        <f>DATA!AL196</f>
        <v>-</v>
      </c>
      <c r="AF208" s="42">
        <f>DATA!AM196</f>
        <v>0</v>
      </c>
      <c r="AG208" s="42" t="str">
        <f>DATA!AN196</f>
        <v>dalam proses
(penyusunan FS)</v>
      </c>
      <c r="AH208" s="42" t="str">
        <f>DATA!AO196</f>
        <v>belum ada keterangan</v>
      </c>
      <c r="AI208" s="42" t="str">
        <f>DATA!AP196</f>
        <v>belum ada proses tender/lelang</v>
      </c>
      <c r="AJ208" s="42" t="str">
        <f>DATA!AY196</f>
        <v>Surat Plh. Kepala Pusat Kem.Pertanian nomor 246/KL.230/A.6.3/09/2015 tgl 9 September 2015</v>
      </c>
      <c r="AK208" s="42" t="e">
        <f>DATA!#REF!</f>
        <v>#REF!</v>
      </c>
      <c r="AL208" s="42">
        <f>DATA!AZ196</f>
        <v>0</v>
      </c>
      <c r="AM208" s="67" t="str">
        <f>DATA!BA196</f>
        <v>Rencana penggunaan lahan di dataran tinggi berdasarkan kesesuaiannya, konservasi lahan dan air di dataran tinggi, dan budidaya pertanian ramah lingkungan untuk dataran tinggi</v>
      </c>
    </row>
    <row r="209" spans="1:39" s="6" customFormat="1" ht="65.25" customHeight="1">
      <c r="A209" s="6">
        <f>DATA!A197</f>
        <v>142</v>
      </c>
      <c r="B209" s="6">
        <f>DATA!B197</f>
        <v>0</v>
      </c>
      <c r="C209" s="6" t="str">
        <f>DATA!D197</f>
        <v>NON-INFRASTRUKTUR</v>
      </c>
      <c r="D209" s="6">
        <f>DATA!E197</f>
        <v>13</v>
      </c>
      <c r="E209" s="6" t="str">
        <f>DATA!F197</f>
        <v>Kementerian Pertanian</v>
      </c>
      <c r="F209" s="6" t="str">
        <f>DATA!H197</f>
        <v>Provision and Development of Agriculture Infrastructure Program</v>
      </c>
      <c r="G209" s="6" t="str">
        <f>DATA!I197</f>
        <v>A</v>
      </c>
      <c r="H209" s="6" t="str">
        <f>DATA!J197</f>
        <v>Program Penyediaan dan Pengembangan Prasarana dan Sarana Pertanian</v>
      </c>
      <c r="I209" s="6">
        <f>DATA!K197</f>
        <v>2</v>
      </c>
      <c r="J209" s="38"/>
      <c r="K209" s="39"/>
      <c r="L209" s="71"/>
      <c r="M209" s="43"/>
      <c r="N209" s="67" t="str">
        <f>DATA!L197</f>
        <v>Upland Development for National Food Security</v>
      </c>
      <c r="O209" s="42">
        <f>DATA!Q197</f>
        <v>0.33333333333333331</v>
      </c>
      <c r="P209" s="42">
        <f>DATA!R197</f>
        <v>0</v>
      </c>
      <c r="Q209" s="42">
        <f>DATA!S197</f>
        <v>0</v>
      </c>
      <c r="R209" s="83">
        <f>DATA!T197</f>
        <v>0</v>
      </c>
      <c r="S209" s="83"/>
      <c r="T209" s="83">
        <f>DATA!V197</f>
        <v>0</v>
      </c>
      <c r="U209" s="83">
        <f>DATA!W197</f>
        <v>0</v>
      </c>
      <c r="V209" s="83">
        <f>DATA!X197</f>
        <v>0</v>
      </c>
      <c r="W209" s="84" t="str">
        <f>DATA!Y197</f>
        <v>Belum Ada Indikasi</v>
      </c>
      <c r="X209" s="42" t="str">
        <f>DATA!Z197</f>
        <v>Belum Ada Indikasi</v>
      </c>
      <c r="Y209" s="83">
        <f>DATA!AA197</f>
        <v>285676000</v>
      </c>
      <c r="Z209" s="83">
        <f>DATA!AG197</f>
        <v>-285676000</v>
      </c>
      <c r="AA209" s="42" t="str">
        <f>DATA!AH197</f>
        <v>Tanpa keterangan</v>
      </c>
      <c r="AB209" s="67" t="str">
        <f>DATA!AI197</f>
        <v>-</v>
      </c>
      <c r="AC209" s="67" t="str">
        <f>DATA!AJ197</f>
        <v>-</v>
      </c>
      <c r="AD209" s="115" t="str">
        <f>DATA!AK197</f>
        <v>-</v>
      </c>
      <c r="AE209" s="67" t="str">
        <f>DATA!AL197</f>
        <v>-</v>
      </c>
      <c r="AF209" s="42">
        <f>DATA!AM197</f>
        <v>0</v>
      </c>
      <c r="AG209" s="42" t="str">
        <f>DATA!AN197</f>
        <v>belum ada keterangan</v>
      </c>
      <c r="AH209" s="42" t="str">
        <f>DATA!AO197</f>
        <v>belum ada keterangan</v>
      </c>
      <c r="AI209" s="42" t="str">
        <f>DATA!AP197</f>
        <v>belum ada proses tender/lelang</v>
      </c>
      <c r="AJ209" s="42" t="str">
        <f>DATA!AY197</f>
        <v>Surat Plh. Kepala Pusat Kem.Pertanian nomor 246/KL.230/A.6.3/09/2015 tgl 9 September 2015</v>
      </c>
      <c r="AK209" s="42" t="e">
        <f>DATA!#REF!</f>
        <v>#REF!</v>
      </c>
      <c r="AL209" s="42">
        <f>DATA!AZ197</f>
        <v>0</v>
      </c>
      <c r="AM209" s="67" t="str">
        <f>DATA!BA197</f>
        <v>Rencana penggunaan lahan di dataran tinggi berdasarkan kesesuaiannya, konservasi lahan dan air di dataran tinggi, dan budidaya pertanian ramah lingkungan untuk dataran tinggi</v>
      </c>
    </row>
    <row r="210" spans="1:39" s="5" customFormat="1" ht="33.75" customHeight="1">
      <c r="J210" s="28"/>
      <c r="K210" s="50"/>
      <c r="L210" s="30" t="str">
        <f>DATA!I198</f>
        <v>B</v>
      </c>
      <c r="M210" s="31" t="str">
        <f>DATA!J198</f>
        <v>Program Peningkatan Penyuluhan, Pendidikan, dan Pelatihan Pertanian</v>
      </c>
      <c r="N210" s="51"/>
      <c r="O210" s="31"/>
      <c r="P210" s="31"/>
      <c r="Q210" s="31"/>
      <c r="R210" s="81">
        <f>+R211+R212</f>
        <v>98900000</v>
      </c>
      <c r="S210" s="81"/>
      <c r="T210" s="81">
        <f t="shared" ref="T210:Z210" si="29">+T211+T212</f>
        <v>19780000</v>
      </c>
      <c r="U210" s="81">
        <f t="shared" si="29"/>
        <v>500000</v>
      </c>
      <c r="V210" s="81">
        <f t="shared" si="29"/>
        <v>119180000</v>
      </c>
      <c r="W210" s="81"/>
      <c r="X210" s="81" t="e">
        <f t="shared" si="29"/>
        <v>#VALUE!</v>
      </c>
      <c r="Y210" s="81">
        <f t="shared" si="29"/>
        <v>98900000</v>
      </c>
      <c r="Z210" s="81">
        <f t="shared" si="29"/>
        <v>0</v>
      </c>
      <c r="AA210" s="31"/>
      <c r="AB210" s="32"/>
      <c r="AC210" s="32"/>
      <c r="AD210" s="115" t="str">
        <f>DATA!AK198</f>
        <v>-</v>
      </c>
      <c r="AE210" s="32"/>
      <c r="AF210" s="31"/>
      <c r="AG210" s="31"/>
      <c r="AH210" s="31"/>
      <c r="AI210" s="31"/>
      <c r="AJ210" s="31"/>
      <c r="AK210" s="31"/>
      <c r="AL210" s="31"/>
      <c r="AM210" s="32"/>
    </row>
    <row r="211" spans="1:39" ht="106.5" customHeight="1">
      <c r="A211" s="10">
        <f>DATA!A198</f>
        <v>143</v>
      </c>
      <c r="B211" s="10">
        <f>DATA!B198</f>
        <v>0</v>
      </c>
      <c r="C211" s="10" t="str">
        <f>DATA!D198</f>
        <v>NON-INFRASTRUKTUR</v>
      </c>
      <c r="D211" s="10">
        <f>DATA!E198</f>
        <v>13</v>
      </c>
      <c r="E211" s="10" t="str">
        <f>DATA!F198</f>
        <v>Kementerian Pertanian</v>
      </c>
      <c r="F211" s="10" t="str">
        <f>DATA!H198</f>
        <v>Agriculture Extention, Education, and Training Improvement Program</v>
      </c>
      <c r="G211" s="10" t="str">
        <f>DATA!I198</f>
        <v>B</v>
      </c>
      <c r="H211" s="10" t="str">
        <f>DATA!J198</f>
        <v>Program Peningkatan Penyuluhan, Pendidikan, dan Pelatihan Pertanian</v>
      </c>
      <c r="I211" s="10">
        <f>DATA!K198</f>
        <v>1</v>
      </c>
      <c r="J211" s="33"/>
      <c r="K211" s="34"/>
      <c r="L211" s="35"/>
      <c r="M211" s="36">
        <f>DATA!K198</f>
        <v>1</v>
      </c>
      <c r="N211" s="37" t="str">
        <f>DATA!L198</f>
        <v>Young Enterpreneur Growth and Development for Sustainable Agricultural Development</v>
      </c>
      <c r="O211" s="20">
        <f>DATA!Q198</f>
        <v>1</v>
      </c>
      <c r="P211" s="20">
        <f>DATA!R198</f>
        <v>1</v>
      </c>
      <c r="Q211" s="20">
        <f>DATA!S198</f>
        <v>111</v>
      </c>
      <c r="R211" s="77">
        <f>DATA!T198</f>
        <v>68900000</v>
      </c>
      <c r="S211" s="77"/>
      <c r="T211" s="77">
        <f>DATA!V198</f>
        <v>13780000</v>
      </c>
      <c r="U211" s="77">
        <f>DATA!W198</f>
        <v>0</v>
      </c>
      <c r="V211" s="77">
        <f>DATA!X198</f>
        <v>82680000</v>
      </c>
      <c r="W211" s="78" t="str">
        <f>DATA!Y198</f>
        <v>IFAD</v>
      </c>
      <c r="X211" s="20" t="str">
        <f>DATA!Z198</f>
        <v>Multilateral</v>
      </c>
      <c r="Y211" s="77">
        <f>DATA!AA198</f>
        <v>68900000</v>
      </c>
      <c r="Z211" s="77">
        <f>DATA!AG198</f>
        <v>0</v>
      </c>
      <c r="AA211" s="20" t="str">
        <f>DATA!AH198</f>
        <v>Tanpa keterangan</v>
      </c>
      <c r="AB211" s="37" t="str">
        <f>DATA!AI198</f>
        <v>Dalam tahap diskusi awal dengan pihak lender untuk penyempurnaan proposal</v>
      </c>
      <c r="AC211" s="37" t="str">
        <f>DATA!AJ198</f>
        <v>-</v>
      </c>
      <c r="AD211" s="115" t="str">
        <f>DATA!AK199</f>
        <v>-</v>
      </c>
      <c r="AE211" s="37" t="str">
        <f>DATA!AL198</f>
        <v>-</v>
      </c>
      <c r="AF211" s="20">
        <f>DATA!AM198</f>
        <v>0</v>
      </c>
      <c r="AG211" s="20" t="str">
        <f>DATA!AN198</f>
        <v>belum ada keterangan</v>
      </c>
      <c r="AH211" s="20" t="str">
        <f>DATA!AO198</f>
        <v>belum ada keterangan</v>
      </c>
      <c r="AI211" s="20" t="str">
        <f>DATA!AP198</f>
        <v>belum ada proses tender/lelang</v>
      </c>
      <c r="AJ211" s="20" t="str">
        <f>DATA!AY198</f>
        <v>Surat Plh. Kepala Pusat Kem.Pertanian nomor 246/KL.230/A.6.3/09/2015 tgl 9 September 2015</v>
      </c>
      <c r="AK211" s="20" t="e">
        <f>DATA!#REF!</f>
        <v>#REF!</v>
      </c>
      <c r="AL211" s="20">
        <f>DATA!AZ198</f>
        <v>0</v>
      </c>
      <c r="AM211" s="37"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row>
    <row r="212" spans="1:39" ht="63.75">
      <c r="A212" s="10">
        <f>DATA!A199</f>
        <v>144</v>
      </c>
      <c r="B212" s="10">
        <f>DATA!B199</f>
        <v>0</v>
      </c>
      <c r="C212" s="10" t="str">
        <f>DATA!D199</f>
        <v>NON-INFRASTRUKTUR</v>
      </c>
      <c r="D212" s="10">
        <f>DATA!E199</f>
        <v>13</v>
      </c>
      <c r="E212" s="10" t="str">
        <f>DATA!F199</f>
        <v>Kementerian Pertanian</v>
      </c>
      <c r="F212" s="10" t="str">
        <f>DATA!H199</f>
        <v>Agriculture Extention, Education, and Training Improvement Program</v>
      </c>
      <c r="G212" s="10" t="str">
        <f>DATA!I199</f>
        <v>B</v>
      </c>
      <c r="H212" s="10" t="str">
        <f>DATA!J199</f>
        <v>Program Peningkatan Penyuluhan, Pendidikan, dan Pelatihan Pertanian</v>
      </c>
      <c r="I212" s="10">
        <f>DATA!K199</f>
        <v>2</v>
      </c>
      <c r="J212" s="33"/>
      <c r="K212" s="54"/>
      <c r="L212" s="54"/>
      <c r="M212" s="36">
        <f>DATA!K199</f>
        <v>2</v>
      </c>
      <c r="N212" s="37" t="str">
        <f>DATA!L199</f>
        <v>Rural Empowerment and Agricultural Development (READ) Programme in Sulawesi Island – Phase II</v>
      </c>
      <c r="O212" s="20">
        <f>DATA!Q199</f>
        <v>1</v>
      </c>
      <c r="P212" s="20">
        <f>DATA!R199</f>
        <v>1</v>
      </c>
      <c r="Q212" s="20">
        <f>DATA!S199</f>
        <v>112</v>
      </c>
      <c r="R212" s="77">
        <f>DATA!T199</f>
        <v>30000000</v>
      </c>
      <c r="S212" s="77"/>
      <c r="T212" s="77">
        <f>DATA!V199</f>
        <v>6000000</v>
      </c>
      <c r="U212" s="77">
        <f>DATA!W199</f>
        <v>500000</v>
      </c>
      <c r="V212" s="77">
        <f>DATA!X199</f>
        <v>36500000</v>
      </c>
      <c r="W212" s="78" t="str">
        <f>DATA!Y199</f>
        <v>IFAD</v>
      </c>
      <c r="X212" s="20" t="str">
        <f>DATA!Z199</f>
        <v>Multilateral</v>
      </c>
      <c r="Y212" s="77">
        <f>DATA!AA199</f>
        <v>30000000</v>
      </c>
      <c r="Z212" s="77">
        <f>DATA!AG199</f>
        <v>0</v>
      </c>
      <c r="AA212" s="20" t="str">
        <f>DATA!AH199</f>
        <v>Tanpa keterangan</v>
      </c>
      <c r="AB212" s="37" t="str">
        <f>DATA!AI199</f>
        <v>Dalam tahap diskusi awal dengan pihak lender untuk penyempurnaan proposal</v>
      </c>
      <c r="AC212" s="37" t="str">
        <f>DATA!AJ199</f>
        <v>-</v>
      </c>
      <c r="AD212" s="115" t="str">
        <f>DATA!AK200</f>
        <v>-</v>
      </c>
      <c r="AE212" s="37" t="str">
        <f>DATA!AL199</f>
        <v>-</v>
      </c>
      <c r="AF212" s="20">
        <f>DATA!AM199</f>
        <v>0</v>
      </c>
      <c r="AG212" s="20" t="str">
        <f>DATA!AN199</f>
        <v>belum ada keterangan</v>
      </c>
      <c r="AH212" s="20" t="str">
        <f>DATA!AO199</f>
        <v>belum ada keterangan</v>
      </c>
      <c r="AI212" s="20" t="str">
        <f>DATA!AP199</f>
        <v>belum ada proses tender/lelang</v>
      </c>
      <c r="AJ212" s="20" t="str">
        <f>DATA!AY199</f>
        <v>Surat Plh. Kepala Pusat Kem.Pertanian nomor 246/KL.230/A.6.3/09/2015 tgl 9 September 2015</v>
      </c>
      <c r="AK212" s="20" t="e">
        <f>DATA!#REF!</f>
        <v>#REF!</v>
      </c>
      <c r="AL212" s="20">
        <f>DATA!AZ199</f>
        <v>0</v>
      </c>
      <c r="AM212" s="37" t="str">
        <f>DATA!BA199</f>
        <v>Pemberdayaan masyarakat petani, peningkatan mata pencaharian, dan pembangunan infrastruktur pertanian</v>
      </c>
    </row>
    <row r="213" spans="1:39" s="4" customFormat="1" ht="24.95" customHeight="1">
      <c r="J213" s="107"/>
      <c r="K213" s="25">
        <f>DATA!E200</f>
        <v>14</v>
      </c>
      <c r="L213" s="108" t="str">
        <f>DATA!F200</f>
        <v>Kementerian Ketenagakerjaan</v>
      </c>
      <c r="M213" s="25"/>
      <c r="N213" s="27"/>
      <c r="O213" s="26"/>
      <c r="P213" s="26"/>
      <c r="Q213" s="26"/>
      <c r="R213" s="80">
        <f>+R214</f>
        <v>92308000</v>
      </c>
      <c r="S213" s="80"/>
      <c r="T213" s="80">
        <f t="shared" ref="T213:Z214" si="30">+T214</f>
        <v>2500000</v>
      </c>
      <c r="U213" s="80">
        <f t="shared" si="30"/>
        <v>0</v>
      </c>
      <c r="V213" s="80">
        <f t="shared" si="30"/>
        <v>94808000</v>
      </c>
      <c r="W213" s="120" t="str">
        <f t="shared" si="30"/>
        <v>-</v>
      </c>
      <c r="X213" s="80" t="str">
        <f t="shared" si="30"/>
        <v>Multi Lender</v>
      </c>
      <c r="Y213" s="80">
        <f t="shared" si="30"/>
        <v>92308000</v>
      </c>
      <c r="Z213" s="80">
        <f t="shared" si="30"/>
        <v>0</v>
      </c>
      <c r="AA213" s="26"/>
      <c r="AB213" s="27"/>
      <c r="AC213" s="27"/>
      <c r="AD213" s="27"/>
      <c r="AE213" s="27"/>
      <c r="AF213" s="26"/>
      <c r="AG213" s="26"/>
      <c r="AH213" s="26"/>
      <c r="AI213" s="26"/>
      <c r="AJ213" s="26"/>
      <c r="AK213" s="26"/>
      <c r="AL213" s="26"/>
      <c r="AM213" s="27"/>
    </row>
    <row r="214" spans="1:39" s="5" customFormat="1" ht="33.75" customHeight="1">
      <c r="J214" s="28"/>
      <c r="K214" s="29"/>
      <c r="L214" s="30" t="str">
        <f>DATA!I206</f>
        <v>A</v>
      </c>
      <c r="M214" s="31" t="str">
        <f>DATA!J206</f>
        <v>Program Pengembangan dan Pembinaan Meteorologi, Klimatologi, dan Geofisika</v>
      </c>
      <c r="N214" s="51"/>
      <c r="O214" s="31"/>
      <c r="P214" s="31"/>
      <c r="Q214" s="31"/>
      <c r="R214" s="81">
        <f>+R215</f>
        <v>92308000</v>
      </c>
      <c r="S214" s="81"/>
      <c r="T214" s="81">
        <f t="shared" si="30"/>
        <v>2500000</v>
      </c>
      <c r="U214" s="81">
        <f t="shared" si="30"/>
        <v>0</v>
      </c>
      <c r="V214" s="81">
        <f t="shared" si="30"/>
        <v>94808000</v>
      </c>
      <c r="W214" s="121" t="s">
        <v>21</v>
      </c>
      <c r="X214" s="81" t="str">
        <f t="shared" si="30"/>
        <v>Multi Lender</v>
      </c>
      <c r="Y214" s="81">
        <f t="shared" si="30"/>
        <v>92308000</v>
      </c>
      <c r="Z214" s="81">
        <f t="shared" si="30"/>
        <v>0</v>
      </c>
      <c r="AA214" s="31"/>
      <c r="AB214" s="32"/>
      <c r="AC214" s="32"/>
      <c r="AD214" s="32"/>
      <c r="AE214" s="32"/>
      <c r="AF214" s="31"/>
      <c r="AG214" s="31"/>
      <c r="AH214" s="31"/>
      <c r="AI214" s="31"/>
      <c r="AJ214" s="31"/>
      <c r="AK214" s="31"/>
      <c r="AL214" s="31"/>
      <c r="AM214" s="32"/>
    </row>
    <row r="215" spans="1:39" ht="47.25" customHeight="1">
      <c r="A215" s="10">
        <f>DATA!A200</f>
        <v>145</v>
      </c>
      <c r="B215" s="10">
        <f>DATA!B200</f>
        <v>0</v>
      </c>
      <c r="C215" s="10" t="str">
        <f>DATA!D200</f>
        <v>NON-INFRASTRUKTUR</v>
      </c>
      <c r="D215" s="10">
        <f>DATA!E200</f>
        <v>14</v>
      </c>
      <c r="E215" s="10" t="str">
        <f>DATA!F200</f>
        <v>Kementerian Ketenagakerjaan</v>
      </c>
      <c r="F215" s="10" t="str">
        <f>DATA!H200</f>
        <v>Improving Labor Competitiveness Program</v>
      </c>
      <c r="G215" s="10" t="str">
        <f>DATA!I200</f>
        <v>A</v>
      </c>
      <c r="H215" s="10" t="str">
        <f>DATA!J200</f>
        <v>Program Peningkatan Daya Saing Tenaga Kerja</v>
      </c>
      <c r="I215" s="10">
        <f>DATA!K200</f>
        <v>1</v>
      </c>
      <c r="J215" s="33"/>
      <c r="K215" s="54"/>
      <c r="L215" s="20"/>
      <c r="M215" s="36">
        <f>DATA!K200</f>
        <v>1</v>
      </c>
      <c r="N215" s="37" t="str">
        <f>DATA!L200</f>
        <v>Development of Maritime Vocational Training Centers</v>
      </c>
      <c r="O215" s="20">
        <f>DATA!Q200</f>
        <v>1</v>
      </c>
      <c r="P215" s="20">
        <f>DATA!R200</f>
        <v>1</v>
      </c>
      <c r="Q215" s="20">
        <f>DATA!S200</f>
        <v>113</v>
      </c>
      <c r="R215" s="77">
        <f>DATA!T200</f>
        <v>92308000</v>
      </c>
      <c r="S215" s="77"/>
      <c r="T215" s="77">
        <f>DATA!V200</f>
        <v>2500000</v>
      </c>
      <c r="U215" s="77">
        <f>DATA!W200</f>
        <v>0</v>
      </c>
      <c r="V215" s="77">
        <f>DATA!X200</f>
        <v>94808000</v>
      </c>
      <c r="W215" s="78" t="str">
        <f>DATA!Y200</f>
        <v>Austria/ JICA/ Singapura</v>
      </c>
      <c r="X215" s="20" t="str">
        <f>DATA!Z200</f>
        <v>Multi Lender</v>
      </c>
      <c r="Y215" s="77">
        <f>DATA!AA200</f>
        <v>92308000</v>
      </c>
      <c r="Z215" s="77">
        <f>DATA!AG200</f>
        <v>0</v>
      </c>
      <c r="AA215" s="20" t="str">
        <f>DATA!AH200</f>
        <v>Tanpa keterangan</v>
      </c>
      <c r="AB215" s="37" t="str">
        <f>DATA!AI200</f>
        <v>-</v>
      </c>
      <c r="AC215" s="37" t="str">
        <f>DATA!AJ200</f>
        <v>-</v>
      </c>
      <c r="AD215" s="37" t="str">
        <f>DATA!AK200</f>
        <v>-</v>
      </c>
      <c r="AE215" s="37" t="str">
        <f>DATA!AL200</f>
        <v>-</v>
      </c>
      <c r="AF215" s="20">
        <f>DATA!AM200</f>
        <v>0</v>
      </c>
      <c r="AG215" s="20" t="str">
        <f>DATA!AN200</f>
        <v>belum ada keterangan</v>
      </c>
      <c r="AH215" s="20" t="str">
        <f>DATA!AO200</f>
        <v>belum ada keterangan</v>
      </c>
      <c r="AI215" s="20" t="str">
        <f>DATA!AP200</f>
        <v>belum ada proses tender/lelang</v>
      </c>
      <c r="AJ215" s="20" t="str">
        <f>DATA!AY200</f>
        <v xml:space="preserve">- Semula indikasi pendanaan oleh IDB namun pihak Kem. Naker mengkonfirmasikan bahwa Lender keg ini belum ada indikasi lender
- Konfirmasi Lender Austria didapatkan dari rapat dgn Dit. Multilateral tgl 15 Okt' 2015 di R.SG-4
</v>
      </c>
      <c r="AK215" s="20" t="e">
        <f>DATA!#REF!</f>
        <v>#REF!</v>
      </c>
      <c r="AL215" s="20" t="str">
        <f>DATA!AZ200</f>
        <v>Konfirmasi Lender Austria didapatkan dari rapat dgn Dit. Multilateral tgl 15 Okt' 2015 di R.SG-4</v>
      </c>
      <c r="AM215" s="37" t="str">
        <f>DATA!BA200</f>
        <v>Penyediaan sarana dan peralatan BLK Maritim, rehabilitasi Workshop, pengembangan Software Pelatihan, dan Training of Trainers (ToT)</v>
      </c>
    </row>
    <row r="216" spans="1:39" s="4" customFormat="1" ht="24.95" customHeight="1">
      <c r="J216" s="107"/>
      <c r="K216" s="25">
        <f>DATA!E201</f>
        <v>15</v>
      </c>
      <c r="L216" s="108" t="str">
        <f>DATA!F201</f>
        <v>Kementerian Kelautan dan Perikanan</v>
      </c>
      <c r="M216" s="25"/>
      <c r="N216" s="27"/>
      <c r="O216" s="26"/>
      <c r="P216" s="26"/>
      <c r="Q216" s="26"/>
      <c r="R216" s="80">
        <f>+R217</f>
        <v>107000000</v>
      </c>
      <c r="S216" s="80"/>
      <c r="T216" s="80">
        <f t="shared" ref="T216:Z217" si="31">+T217</f>
        <v>4261000</v>
      </c>
      <c r="U216" s="80">
        <f t="shared" si="31"/>
        <v>2160000</v>
      </c>
      <c r="V216" s="80">
        <f t="shared" si="31"/>
        <v>113421000</v>
      </c>
      <c r="W216" s="80"/>
      <c r="X216" s="80" t="str">
        <f>+X217</f>
        <v>-</v>
      </c>
      <c r="Y216" s="80">
        <f>+Y217</f>
        <v>107000000</v>
      </c>
      <c r="Z216" s="80">
        <f>+Z217</f>
        <v>-107000000</v>
      </c>
      <c r="AA216" s="26"/>
      <c r="AB216" s="27"/>
      <c r="AC216" s="27"/>
      <c r="AD216" s="27"/>
      <c r="AE216" s="27"/>
      <c r="AF216" s="26"/>
      <c r="AG216" s="26"/>
      <c r="AH216" s="26"/>
      <c r="AI216" s="26"/>
      <c r="AJ216" s="26"/>
      <c r="AK216" s="26"/>
      <c r="AL216" s="26"/>
      <c r="AM216" s="27"/>
    </row>
    <row r="217" spans="1:39" s="5" customFormat="1" ht="33.75" customHeight="1">
      <c r="J217" s="28"/>
      <c r="K217" s="116"/>
      <c r="L217" s="30" t="str">
        <f>DATA!I201</f>
        <v>A</v>
      </c>
      <c r="M217" s="31" t="str">
        <f>DATA!J201</f>
        <v>Program Peningkatan Fasilitas Perikanan</v>
      </c>
      <c r="N217" s="51"/>
      <c r="O217" s="31"/>
      <c r="P217" s="31"/>
      <c r="Q217" s="31"/>
      <c r="R217" s="81">
        <f>+R218</f>
        <v>107000000</v>
      </c>
      <c r="S217" s="81"/>
      <c r="T217" s="81">
        <f t="shared" si="31"/>
        <v>4261000</v>
      </c>
      <c r="U217" s="81">
        <f t="shared" si="31"/>
        <v>2160000</v>
      </c>
      <c r="V217" s="81">
        <f t="shared" si="31"/>
        <v>113421000</v>
      </c>
      <c r="W217" s="81"/>
      <c r="X217" s="81" t="str">
        <f t="shared" si="31"/>
        <v>-</v>
      </c>
      <c r="Y217" s="81">
        <f t="shared" si="31"/>
        <v>107000000</v>
      </c>
      <c r="Z217" s="81">
        <f t="shared" si="31"/>
        <v>-107000000</v>
      </c>
      <c r="AA217" s="31"/>
      <c r="AB217" s="32"/>
      <c r="AC217" s="32"/>
      <c r="AD217" s="32"/>
      <c r="AE217" s="32"/>
      <c r="AF217" s="31"/>
      <c r="AG217" s="31"/>
      <c r="AH217" s="31"/>
      <c r="AI217" s="31"/>
      <c r="AJ217" s="31"/>
      <c r="AK217" s="31"/>
      <c r="AL217" s="31"/>
      <c r="AM217" s="32"/>
    </row>
    <row r="218" spans="1:39" ht="58.5" customHeight="1">
      <c r="A218" s="10">
        <f>DATA!A201</f>
        <v>146</v>
      </c>
      <c r="B218" s="10">
        <f>DATA!B201</f>
        <v>0</v>
      </c>
      <c r="C218" s="10" t="str">
        <f>DATA!D201</f>
        <v>NON-INFRASTRUKTUR</v>
      </c>
      <c r="D218" s="10">
        <f>DATA!E201</f>
        <v>15</v>
      </c>
      <c r="E218" s="10" t="str">
        <f>DATA!F201</f>
        <v>Kementerian Kelautan dan Perikanan</v>
      </c>
      <c r="F218" s="10" t="str">
        <f>DATA!H201</f>
        <v>Improvement of Fisheries Facilities Program</v>
      </c>
      <c r="G218" s="10" t="str">
        <f>DATA!I201</f>
        <v>A</v>
      </c>
      <c r="H218" s="10" t="str">
        <f>DATA!J201</f>
        <v>Program Peningkatan Fasilitas Perikanan</v>
      </c>
      <c r="I218" s="10">
        <f>DATA!K201</f>
        <v>1</v>
      </c>
      <c r="J218" s="33"/>
      <c r="K218" s="20"/>
      <c r="L218" s="20"/>
      <c r="M218" s="36">
        <f>DATA!K201</f>
        <v>1</v>
      </c>
      <c r="N218" s="37" t="str">
        <f>DATA!L201</f>
        <v xml:space="preserve">Outer Ring Fishing Ports Development - Phase I </v>
      </c>
      <c r="O218" s="20">
        <f>DATA!Q201</f>
        <v>1</v>
      </c>
      <c r="P218" s="20">
        <f>DATA!R201</f>
        <v>1</v>
      </c>
      <c r="Q218" s="20">
        <f>DATA!S201</f>
        <v>114</v>
      </c>
      <c r="R218" s="77">
        <f>DATA!T201</f>
        <v>107000000</v>
      </c>
      <c r="S218" s="77"/>
      <c r="T218" s="77">
        <f>DATA!V201</f>
        <v>4261000</v>
      </c>
      <c r="U218" s="77">
        <f>DATA!W201</f>
        <v>2160000</v>
      </c>
      <c r="V218" s="77">
        <f>DATA!X201</f>
        <v>113421000</v>
      </c>
      <c r="W218" s="78" t="str">
        <f>DATA!Y201</f>
        <v>-</v>
      </c>
      <c r="X218" s="20" t="str">
        <f>DATA!Z201</f>
        <v>-</v>
      </c>
      <c r="Y218" s="77">
        <f>DATA!AA201</f>
        <v>107000000</v>
      </c>
      <c r="Z218" s="77">
        <f>DATA!AG201</f>
        <v>-107000000</v>
      </c>
      <c r="AA218" s="20" t="str">
        <f>DATA!AH201</f>
        <v>Tanpa keterangan</v>
      </c>
      <c r="AB218" s="37" t="str">
        <f>DATA!AI201</f>
        <v>-</v>
      </c>
      <c r="AC218" s="37" t="str">
        <f>DATA!AJ201</f>
        <v>sudah ada RC</v>
      </c>
      <c r="AD218" s="37" t="str">
        <f>DATA!AK201</f>
        <v>-</v>
      </c>
      <c r="AE218" s="37" t="str">
        <f>DATA!AL201</f>
        <v>-</v>
      </c>
      <c r="AF218" s="20">
        <f>DATA!AM201</f>
        <v>0</v>
      </c>
      <c r="AG218" s="20" t="str">
        <f>DATA!AN201</f>
        <v>dalam proses
(memiliki FS)</v>
      </c>
      <c r="AH218" s="20" t="str">
        <f>DATA!AO201</f>
        <v>belum ada keterangan</v>
      </c>
      <c r="AI218" s="20" t="str">
        <f>DATA!AP201</f>
        <v>belum ada proses tender/lelang</v>
      </c>
      <c r="AJ218" s="20" t="str">
        <f>DATA!AY201</f>
        <v>- berdasarkan data/dokumen pada Bluebook sebelumnya. Semula indikasi lender Prancis, kemudian Kem. KKP mengkonfirmasikan bahwa belum ada indikasi lender
- Belum ada konfirmasi</v>
      </c>
      <c r="AK218" s="20" t="e">
        <f>DATA!#REF!</f>
        <v>#REF!</v>
      </c>
      <c r="AL218" s="20">
        <f>DATA!AZ201</f>
        <v>0</v>
      </c>
      <c r="AM218" s="37" t="str">
        <f>DATA!BA201</f>
        <v>Pekerjaan pembangunan dan peningkatan fasilitas pelabuhan perikanan serta pelatihan dan pendidikan SDM di 8 lokasi prioritas yang memiliki standar pelayanan berskala internasional</v>
      </c>
    </row>
    <row r="219" spans="1:39" s="4" customFormat="1" ht="24.95" customHeight="1">
      <c r="J219" s="107"/>
      <c r="K219" s="25">
        <f>DATA!E206</f>
        <v>16</v>
      </c>
      <c r="L219" s="108" t="str">
        <f>DATA!F206</f>
        <v>Badan Meteorologi, Klimatologi dan Geofisika (BMKG)</v>
      </c>
      <c r="M219" s="25"/>
      <c r="N219" s="27"/>
      <c r="O219" s="26"/>
      <c r="P219" s="26"/>
      <c r="Q219" s="26"/>
      <c r="R219" s="80">
        <f>+R220</f>
        <v>150000000</v>
      </c>
      <c r="S219" s="80"/>
      <c r="T219" s="80">
        <f t="shared" ref="T219:Z220" si="32">+T220</f>
        <v>9000000</v>
      </c>
      <c r="U219" s="80">
        <f t="shared" si="32"/>
        <v>0</v>
      </c>
      <c r="V219" s="80">
        <f t="shared" si="32"/>
        <v>159000000</v>
      </c>
      <c r="W219" s="80">
        <f t="shared" si="32"/>
        <v>0</v>
      </c>
      <c r="X219" s="80">
        <f t="shared" si="32"/>
        <v>0</v>
      </c>
      <c r="Y219" s="80">
        <f t="shared" si="32"/>
        <v>150000000</v>
      </c>
      <c r="Z219" s="80">
        <f t="shared" si="32"/>
        <v>0</v>
      </c>
      <c r="AA219" s="26"/>
      <c r="AB219" s="27"/>
      <c r="AC219" s="27"/>
      <c r="AD219" s="27"/>
      <c r="AE219" s="27"/>
      <c r="AF219" s="26"/>
      <c r="AG219" s="26"/>
      <c r="AH219" s="26"/>
      <c r="AI219" s="26"/>
      <c r="AJ219" s="26"/>
      <c r="AK219" s="26"/>
      <c r="AL219" s="26"/>
      <c r="AM219" s="27"/>
    </row>
    <row r="220" spans="1:39" s="5" customFormat="1" ht="33.75" customHeight="1">
      <c r="J220" s="28"/>
      <c r="K220" s="29"/>
      <c r="L220" s="30" t="str">
        <f>DATA!I206</f>
        <v>A</v>
      </c>
      <c r="M220" s="31" t="str">
        <f>DATA!J206</f>
        <v>Program Pengembangan dan Pembinaan Meteorologi, Klimatologi, dan Geofisika</v>
      </c>
      <c r="N220" s="51"/>
      <c r="O220" s="31"/>
      <c r="P220" s="31"/>
      <c r="Q220" s="31"/>
      <c r="R220" s="81">
        <f>+R221</f>
        <v>150000000</v>
      </c>
      <c r="S220" s="81"/>
      <c r="T220" s="81">
        <f t="shared" si="32"/>
        <v>9000000</v>
      </c>
      <c r="U220" s="81">
        <f t="shared" si="32"/>
        <v>0</v>
      </c>
      <c r="V220" s="81">
        <f t="shared" si="32"/>
        <v>159000000</v>
      </c>
      <c r="W220" s="82"/>
      <c r="X220" s="31"/>
      <c r="Y220" s="81">
        <f t="shared" si="32"/>
        <v>150000000</v>
      </c>
      <c r="Z220" s="81">
        <f t="shared" si="32"/>
        <v>0</v>
      </c>
      <c r="AA220" s="31"/>
      <c r="AB220" s="32"/>
      <c r="AC220" s="32"/>
      <c r="AD220" s="32"/>
      <c r="AE220" s="32"/>
      <c r="AF220" s="31"/>
      <c r="AG220" s="31"/>
      <c r="AH220" s="31"/>
      <c r="AI220" s="31"/>
      <c r="AJ220" s="31"/>
      <c r="AK220" s="31"/>
      <c r="AL220" s="31"/>
      <c r="AM220" s="32"/>
    </row>
    <row r="221" spans="1:39" ht="102">
      <c r="A221" s="10">
        <f>DATA!A206</f>
        <v>147</v>
      </c>
      <c r="B221" s="10">
        <f>DATA!B206</f>
        <v>0</v>
      </c>
      <c r="C221" s="10" t="str">
        <f>DATA!D206</f>
        <v>NON-INFRASTRUKTUR</v>
      </c>
      <c r="D221" s="10">
        <f>DATA!E206</f>
        <v>16</v>
      </c>
      <c r="E221" s="10" t="str">
        <f>DATA!F206</f>
        <v>Badan Meteorologi, Klimatologi dan Geofisika (BMKG)</v>
      </c>
      <c r="F221" s="10" t="str">
        <f>DATA!H206</f>
        <v>Program for Capacity Development and Guidance of Meteorology, Climatology, and Geophysics</v>
      </c>
      <c r="G221" s="10" t="str">
        <f>DATA!I206</f>
        <v>A</v>
      </c>
      <c r="H221" s="10" t="str">
        <f>DATA!J206</f>
        <v>Program Pengembangan dan Pembinaan Meteorologi, Klimatologi, dan Geofisika</v>
      </c>
      <c r="I221" s="10">
        <f>DATA!K206</f>
        <v>1</v>
      </c>
      <c r="J221" s="33"/>
      <c r="K221" s="54"/>
      <c r="L221" s="36"/>
      <c r="M221" s="36">
        <f>DATA!K206</f>
        <v>1</v>
      </c>
      <c r="N221" s="37" t="str">
        <f>DATA!L206</f>
        <v xml:space="preserve">Strengthening Climate and Weather Service Capacity – Phase II:
a) Kegiatan lanjutan dari kegiatan Strengthening BMKG Climate and Weather Services Capacity Phase I
b) Kegiatan pengembangan sistem Layanan Informasi Meteorologi Maritim </v>
      </c>
      <c r="O221" s="20">
        <f>DATA!Q206</f>
        <v>1</v>
      </c>
      <c r="P221" s="20">
        <f>DATA!R206</f>
        <v>1</v>
      </c>
      <c r="Q221" s="20">
        <f>DATA!S206</f>
        <v>115</v>
      </c>
      <c r="R221" s="77">
        <f>DATA!T206</f>
        <v>150000000</v>
      </c>
      <c r="S221" s="77"/>
      <c r="T221" s="77">
        <f>DATA!V206</f>
        <v>9000000</v>
      </c>
      <c r="U221" s="77">
        <f>DATA!W206</f>
        <v>0</v>
      </c>
      <c r="V221" s="77">
        <f>DATA!X206</f>
        <v>159000000</v>
      </c>
      <c r="W221" s="78" t="str">
        <f>DATA!Y206</f>
        <v>US EXIM</v>
      </c>
      <c r="X221" s="20" t="str">
        <f>DATA!Z206</f>
        <v>Bilateral</v>
      </c>
      <c r="Y221" s="77">
        <f>DATA!AA206</f>
        <v>150000000</v>
      </c>
      <c r="Z221" s="77">
        <f>DATA!AG206</f>
        <v>0</v>
      </c>
      <c r="AA221" s="20" t="str">
        <f>DATA!AH206</f>
        <v>Tanpa keterangan</v>
      </c>
      <c r="AB221" s="37" t="str">
        <f>DATA!AI206</f>
        <v>a) Siap
b) -</v>
      </c>
      <c r="AC221" s="37" t="str">
        <f>DATA!AJ206</f>
        <v>a) Siap
b) -</v>
      </c>
      <c r="AD221" s="37" t="str">
        <f>DATA!AK206</f>
        <v>a) Siap
b) Siap</v>
      </c>
      <c r="AE221" s="37" t="str">
        <f>DATA!AL206</f>
        <v>a) -
b) -</v>
      </c>
      <c r="AF221" s="20">
        <f>DATA!AM206</f>
        <v>0</v>
      </c>
      <c r="AG221" s="20" t="str">
        <f>DATA!AN206</f>
        <v>dalam proses
(penyusunan FS)</v>
      </c>
      <c r="AH221" s="20" t="str">
        <f>DATA!AO206</f>
        <v>siap</v>
      </c>
      <c r="AI221" s="20" t="str">
        <f>DATA!AP206</f>
        <v>belum ada proses tender/lelang</v>
      </c>
      <c r="AJ221" s="20" t="str">
        <f>DATA!AY206</f>
        <v>- Terintegrasi dengan sarana dan sistem hasil kegiatan fase 1 yang sudah terbangun sebelumnya
- Surat Kepala BMKG nomor KU.205/003/KB/IX/2015 tanggal 8 September 2015</v>
      </c>
      <c r="AK221" s="20" t="e">
        <f>DATA!#REF!</f>
        <v>#REF!</v>
      </c>
      <c r="AL221" s="20">
        <f>DATA!AZ206</f>
        <v>0</v>
      </c>
      <c r="AM221" s="37"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row>
    <row r="222" spans="1:39" s="4" customFormat="1" ht="24.95" customHeight="1">
      <c r="J222" s="107"/>
      <c r="K222" s="25">
        <f>DATA!E207</f>
        <v>17</v>
      </c>
      <c r="L222" s="108" t="str">
        <f>DATA!F207</f>
        <v>Badan Pengkajian dan Penerapan Teknologi (BPPT)</v>
      </c>
      <c r="M222" s="25"/>
      <c r="N222" s="27"/>
      <c r="O222" s="26"/>
      <c r="P222" s="26"/>
      <c r="Q222" s="26"/>
      <c r="R222" s="80">
        <f>+R223</f>
        <v>114400000</v>
      </c>
      <c r="S222" s="80"/>
      <c r="T222" s="80">
        <f t="shared" ref="T222:Z223" si="33">+T223</f>
        <v>17200000</v>
      </c>
      <c r="U222" s="80">
        <f t="shared" si="33"/>
        <v>0</v>
      </c>
      <c r="V222" s="80">
        <f t="shared" si="33"/>
        <v>131600000</v>
      </c>
      <c r="W222" s="122"/>
      <c r="X222" s="26"/>
      <c r="Y222" s="80">
        <f>+Y223</f>
        <v>114400000</v>
      </c>
      <c r="Z222" s="80">
        <f>+Z223</f>
        <v>0</v>
      </c>
      <c r="AA222" s="26"/>
      <c r="AB222" s="27"/>
      <c r="AC222" s="27"/>
      <c r="AD222" s="27"/>
      <c r="AE222" s="27"/>
      <c r="AF222" s="26"/>
      <c r="AG222" s="26"/>
      <c r="AH222" s="26"/>
      <c r="AI222" s="26"/>
      <c r="AJ222" s="26"/>
      <c r="AK222" s="26"/>
      <c r="AL222" s="26"/>
      <c r="AM222" s="27"/>
    </row>
    <row r="223" spans="1:39" s="5" customFormat="1" ht="33.75" customHeight="1">
      <c r="J223" s="28"/>
      <c r="K223" s="29"/>
      <c r="L223" s="30" t="str">
        <f>DATA!I207</f>
        <v>A</v>
      </c>
      <c r="M223" s="31" t="str">
        <f>DATA!J207</f>
        <v>Program Pembangunan Science Park dan Technopark</v>
      </c>
      <c r="N223" s="51"/>
      <c r="O223" s="31"/>
      <c r="P223" s="31"/>
      <c r="Q223" s="31"/>
      <c r="R223" s="81">
        <f>+R224</f>
        <v>114400000</v>
      </c>
      <c r="S223" s="81"/>
      <c r="T223" s="81">
        <f t="shared" si="33"/>
        <v>17200000</v>
      </c>
      <c r="U223" s="81">
        <f t="shared" si="33"/>
        <v>0</v>
      </c>
      <c r="V223" s="81">
        <f t="shared" si="33"/>
        <v>131600000</v>
      </c>
      <c r="W223" s="81"/>
      <c r="X223" s="81" t="str">
        <f t="shared" si="33"/>
        <v>Bilateral</v>
      </c>
      <c r="Y223" s="81">
        <f t="shared" si="33"/>
        <v>114400000</v>
      </c>
      <c r="Z223" s="81">
        <f t="shared" si="33"/>
        <v>0</v>
      </c>
      <c r="AA223" s="31"/>
      <c r="AB223" s="32"/>
      <c r="AC223" s="32"/>
      <c r="AD223" s="32"/>
      <c r="AE223" s="32"/>
      <c r="AF223" s="31"/>
      <c r="AG223" s="31"/>
      <c r="AH223" s="31"/>
      <c r="AI223" s="31"/>
      <c r="AJ223" s="31"/>
      <c r="AK223" s="31"/>
      <c r="AL223" s="31"/>
      <c r="AM223" s="32"/>
    </row>
    <row r="224" spans="1:39" ht="91.5" customHeight="1">
      <c r="A224" s="10">
        <f>DATA!A207</f>
        <v>148</v>
      </c>
      <c r="B224" s="10">
        <f>DATA!B207</f>
        <v>0</v>
      </c>
      <c r="C224" s="10" t="str">
        <f>DATA!D207</f>
        <v>NON-INFRASTRUKTUR</v>
      </c>
      <c r="D224" s="10">
        <f>DATA!E207</f>
        <v>17</v>
      </c>
      <c r="E224" s="10" t="str">
        <f>DATA!F207</f>
        <v>Badan Pengkajian dan Penerapan Teknologi (BPPT)</v>
      </c>
      <c r="F224" s="10" t="str">
        <f>DATA!H207</f>
        <v>Science Park and Technopark Development Program</v>
      </c>
      <c r="G224" s="10" t="str">
        <f>DATA!I207</f>
        <v>A</v>
      </c>
      <c r="H224" s="10" t="str">
        <f>DATA!J207</f>
        <v>Program Pembangunan Science Park dan Technopark</v>
      </c>
      <c r="I224" s="10">
        <f>DATA!K207</f>
        <v>1</v>
      </c>
      <c r="J224" s="52"/>
      <c r="K224" s="54"/>
      <c r="L224" s="36"/>
      <c r="M224" s="36">
        <f>DATA!K207</f>
        <v>1</v>
      </c>
      <c r="N224" s="37" t="str">
        <f>DATA!L207</f>
        <v>Development of Maritime National Science and Technology Park (NTSP) in the Northern Penajam Paser and Revitalization Infrastructure Marine Survey</v>
      </c>
      <c r="O224" s="20">
        <f>DATA!Q207</f>
        <v>1</v>
      </c>
      <c r="P224" s="20">
        <f>DATA!R207</f>
        <v>1</v>
      </c>
      <c r="Q224" s="20">
        <f>DATA!S207</f>
        <v>116</v>
      </c>
      <c r="R224" s="77">
        <f>DATA!T207</f>
        <v>114400000</v>
      </c>
      <c r="S224" s="77"/>
      <c r="T224" s="77">
        <f>DATA!V207</f>
        <v>17200000</v>
      </c>
      <c r="U224" s="77">
        <f>DATA!W207</f>
        <v>0</v>
      </c>
      <c r="V224" s="77">
        <f>DATA!X207</f>
        <v>131600000</v>
      </c>
      <c r="W224" s="78" t="str">
        <f>DATA!Y207</f>
        <v xml:space="preserve">Perancis (AFD)  </v>
      </c>
      <c r="X224" s="20" t="str">
        <f>DATA!Z207</f>
        <v>Bilateral</v>
      </c>
      <c r="Y224" s="77">
        <f>DATA!AA207</f>
        <v>114400000</v>
      </c>
      <c r="Z224" s="77">
        <f>DATA!AG207</f>
        <v>0</v>
      </c>
      <c r="AA224" s="20" t="str">
        <f>DATA!AH207</f>
        <v>Tanpa keterangan</v>
      </c>
      <c r="AB224" s="37" t="str">
        <f>DATA!AI207</f>
        <v xml:space="preserve">  (1) Development of Maritime NTSP: (tidak ada data)
(2) Revitalization Infrastructure Marine Survey: (tidak ada data)  </v>
      </c>
      <c r="AC224" s="37" t="str">
        <f>DATA!AJ207</f>
        <v xml:space="preserve">  (1) Development of Maritime NTSP: Pra-FS
(2) Revitalization Infrastructure Marine Survey: (tidak ada data)  </v>
      </c>
      <c r="AD224" s="37" t="str">
        <f>DATA!AK207</f>
        <v xml:space="preserve">  (1) Development of Maritime NTSP: 20%
(2) Revitalization Infrastructure Marine Survey: tidak memerlukan lahan  </v>
      </c>
      <c r="AE224" s="37" t="str">
        <f>DATA!AL207</f>
        <v xml:space="preserve">  (1) Development of Maritime NTSP: belum ada tender
(2) Revitalization Infrastructure Marine Survey:belum ada tender  </v>
      </c>
      <c r="AF224" s="20">
        <f>DATA!AM207</f>
        <v>0</v>
      </c>
      <c r="AG224" s="20" t="str">
        <f>DATA!AN207</f>
        <v>dalam proses
(penyusunan FS)</v>
      </c>
      <c r="AH224" s="20" t="str">
        <f>DATA!AO207</f>
        <v>dalam proses
(pelaksanaan)</v>
      </c>
      <c r="AI224" s="20" t="str">
        <f>DATA!AP207</f>
        <v>belum ada proses tender/lelang</v>
      </c>
      <c r="AJ224" s="20" t="str">
        <f>DATA!AY207</f>
        <v>- Selain Perancis , pihak BPPT mengkonfirmasikan bahwa Korea berminat untuk menjadi lender pada proyek NSTP Maritim Kab. PPU
- Pelaksanaannya direncanakan tahun 2016 dan tahun 2017
-  Konfirmasi melalui e-mail tanggal 10 Sept 2015</v>
      </c>
      <c r="AK224" s="20" t="e">
        <f>DATA!#REF!</f>
        <v>#REF!</v>
      </c>
      <c r="AL224" s="20">
        <f>DATA!AZ207</f>
        <v>0</v>
      </c>
      <c r="AM224" s="37" t="str">
        <f>DATA!BA207</f>
        <v>Pembangunan dermaga kapal riset, laboratorium kemaritiman, workshop, dan sarana prasarana penunjang darat lainnya serta Revitalisasi 4 buah kapal riset Baruna Jaya I, II, III, dan IV dan peralatan survei kelautan lainnya</v>
      </c>
    </row>
    <row r="225" spans="10:39" s="3" customFormat="1" ht="30" customHeight="1">
      <c r="J225" s="3363" t="s">
        <v>477</v>
      </c>
      <c r="K225" s="3364"/>
      <c r="L225" s="3364"/>
      <c r="M225" s="3364"/>
      <c r="N225" s="3365"/>
      <c r="O225" s="119"/>
      <c r="P225" s="119"/>
      <c r="Q225" s="119"/>
      <c r="R225" s="123">
        <f>+R9+R162</f>
        <v>39876907800</v>
      </c>
      <c r="S225" s="123"/>
      <c r="T225" s="123">
        <f>+T9+T162</f>
        <v>5212917900</v>
      </c>
      <c r="U225" s="123">
        <f>+U9+U162</f>
        <v>19660000</v>
      </c>
      <c r="V225" s="123">
        <f>+V9+V162</f>
        <v>45085941000</v>
      </c>
      <c r="W225" s="123"/>
      <c r="X225" s="123" t="e">
        <f>+X9+X162</f>
        <v>#VALUE!</v>
      </c>
      <c r="Y225" s="123">
        <f>+Y9+Y162</f>
        <v>39686527800</v>
      </c>
      <c r="Z225" s="123">
        <f>+Z9+Z162</f>
        <v>-2146834004</v>
      </c>
      <c r="AA225" s="119"/>
      <c r="AB225" s="125"/>
      <c r="AC225" s="125"/>
      <c r="AD225" s="125"/>
      <c r="AE225" s="125"/>
      <c r="AF225" s="119"/>
      <c r="AG225" s="119"/>
      <c r="AH225" s="119"/>
      <c r="AI225" s="119"/>
      <c r="AJ225" s="119"/>
      <c r="AK225" s="119"/>
      <c r="AL225" s="119"/>
      <c r="AM225" s="125"/>
    </row>
  </sheetData>
  <autoFilter ref="A8:AM225"/>
  <mergeCells count="15">
    <mergeCell ref="J225:N225"/>
    <mergeCell ref="R6:R7"/>
    <mergeCell ref="S6:S7"/>
    <mergeCell ref="T6:T7"/>
    <mergeCell ref="U6:U7"/>
    <mergeCell ref="J6:N7"/>
    <mergeCell ref="J1:AM1"/>
    <mergeCell ref="J2:AE2"/>
    <mergeCell ref="J3:AE3"/>
    <mergeCell ref="W6:Y6"/>
    <mergeCell ref="AB6:AE6"/>
    <mergeCell ref="V6:V7"/>
    <mergeCell ref="Z6:Z7"/>
    <mergeCell ref="AA6:AA7"/>
    <mergeCell ref="AM6:AM7"/>
  </mergeCells>
  <printOptions horizontalCentered="1"/>
  <pageMargins left="0.39305555555555599" right="0.39305555555555599" top="0.39305555555555599" bottom="0.39305555555555599" header="0.31458333333333299" footer="0.196527777777778"/>
  <pageSetup paperSize="9" scale="45" fitToHeight="0" orientation="landscape"/>
  <headerFooter>
    <oddFooter>&amp;R&amp;"Cambria,Italic"&amp;9&amp;P/&amp;N</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T224"/>
  <sheetViews>
    <sheetView topLeftCell="J1" zoomScale="70" zoomScaleNormal="70" workbookViewId="0">
      <pane ySplit="7" topLeftCell="A34" activePane="bottomLeft" state="frozen"/>
      <selection pane="bottomLeft" activeCell="J20" sqref="J20"/>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3.42578125" style="10" customWidth="1"/>
    <col min="14" max="14" width="43.7109375" style="12" customWidth="1"/>
    <col min="15" max="17" width="9.140625" style="10" hidden="1" customWidth="1"/>
    <col min="18" max="19" width="21" style="13" customWidth="1"/>
    <col min="20" max="20" width="20.140625" style="13" customWidth="1"/>
    <col min="21" max="21" width="15.85546875" style="13" hidden="1" customWidth="1"/>
    <col min="22" max="22" width="21" style="13" customWidth="1"/>
    <col min="23" max="23" width="20.85546875" style="14" customWidth="1"/>
    <col min="24" max="24" width="1.28515625" style="10" hidden="1" customWidth="1"/>
    <col min="25" max="25" width="21" style="13" customWidth="1"/>
    <col min="26" max="26" width="20.28515625" style="13" customWidth="1"/>
    <col min="27" max="27" width="16.42578125" style="10" customWidth="1"/>
    <col min="28" max="38" width="20.7109375" style="12" customWidth="1"/>
    <col min="39" max="39" width="31.28515625" style="10" hidden="1" customWidth="1"/>
    <col min="40" max="40" width="33.5703125" style="10" hidden="1" customWidth="1"/>
    <col min="41" max="41" width="26.7109375" style="10" hidden="1" customWidth="1"/>
    <col min="42" max="42" width="24" style="10" hidden="1" customWidth="1"/>
    <col min="43" max="43" width="29.28515625" style="10" hidden="1" customWidth="1"/>
    <col min="44" max="44" width="20.140625" style="10" hidden="1" customWidth="1"/>
    <col min="45" max="45" width="22.5703125" style="10" hidden="1" customWidth="1"/>
    <col min="46" max="46" width="45.7109375" style="12" hidden="1" customWidth="1"/>
    <col min="47" max="16384" width="9.140625" style="10"/>
  </cols>
  <sheetData>
    <row r="1" spans="1:46" s="1" customFormat="1" ht="18">
      <c r="J1" s="3356" t="s">
        <v>481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c r="AP1" s="3356"/>
      <c r="AQ1" s="3356"/>
      <c r="AR1" s="3356"/>
      <c r="AS1" s="3356"/>
      <c r="AT1" s="3356"/>
    </row>
    <row r="2" spans="1:46" s="1" customFormat="1" ht="18">
      <c r="J2" s="3357" t="s">
        <v>482</v>
      </c>
      <c r="K2" s="3358"/>
      <c r="L2" s="3358"/>
      <c r="M2" s="3358"/>
      <c r="N2" s="3358"/>
      <c r="O2" s="3358"/>
      <c r="P2" s="3358"/>
      <c r="Q2" s="3358"/>
      <c r="R2" s="3358"/>
      <c r="S2" s="3358"/>
      <c r="T2" s="3358"/>
      <c r="U2" s="3358"/>
      <c r="V2" s="3358"/>
      <c r="W2" s="3358"/>
      <c r="X2" s="3358"/>
      <c r="Y2" s="3358"/>
      <c r="Z2" s="3358"/>
      <c r="AA2" s="3358"/>
      <c r="AB2" s="3358"/>
      <c r="AC2" s="3358"/>
      <c r="AD2" s="3358"/>
      <c r="AE2" s="3358"/>
      <c r="AF2" s="3358"/>
      <c r="AG2" s="3358"/>
      <c r="AH2" s="3358"/>
      <c r="AI2" s="3358"/>
      <c r="AJ2" s="3358"/>
      <c r="AK2" s="3358"/>
      <c r="AL2" s="3358"/>
      <c r="AM2" s="15"/>
      <c r="AN2" s="15"/>
      <c r="AO2" s="15"/>
      <c r="AP2" s="15"/>
      <c r="AQ2" s="15"/>
      <c r="AR2" s="15"/>
      <c r="AS2" s="15"/>
      <c r="AT2" s="15"/>
    </row>
    <row r="3" spans="1:46" s="1" customFormat="1" ht="15.75" customHeight="1">
      <c r="J3" s="15"/>
      <c r="K3" s="15"/>
      <c r="L3" s="15"/>
      <c r="M3" s="15"/>
      <c r="N3" s="15"/>
      <c r="O3" s="15"/>
      <c r="P3" s="15"/>
      <c r="Q3" s="15"/>
      <c r="R3" s="73"/>
      <c r="S3" s="73"/>
      <c r="T3" s="73"/>
      <c r="U3" s="73"/>
      <c r="V3" s="73"/>
      <c r="W3" s="15"/>
      <c r="X3" s="15"/>
      <c r="Y3" s="15"/>
      <c r="Z3" s="73"/>
      <c r="AA3" s="15"/>
      <c r="AB3" s="15"/>
      <c r="AC3" s="15"/>
      <c r="AD3" s="15"/>
      <c r="AE3" s="15"/>
      <c r="AF3" s="15"/>
      <c r="AG3" s="15"/>
      <c r="AH3" s="15"/>
      <c r="AI3" s="15"/>
      <c r="AJ3" s="15"/>
      <c r="AK3" s="15"/>
      <c r="AL3" s="94" t="s">
        <v>483</v>
      </c>
      <c r="AM3" s="15"/>
      <c r="AN3" s="15"/>
      <c r="AO3" s="15"/>
      <c r="AP3" s="15"/>
      <c r="AQ3" s="15"/>
      <c r="AR3" s="15"/>
      <c r="AS3" s="15"/>
      <c r="AT3" s="15"/>
    </row>
    <row r="4" spans="1:46">
      <c r="AT4" s="106" t="s">
        <v>483</v>
      </c>
    </row>
    <row r="5" spans="1:46" s="2" customFormat="1" ht="24.95" customHeight="1">
      <c r="J5" s="3359" t="s">
        <v>484</v>
      </c>
      <c r="K5" s="3359"/>
      <c r="L5" s="3359"/>
      <c r="M5" s="3359"/>
      <c r="N5" s="3359"/>
      <c r="O5" s="16"/>
      <c r="P5" s="16"/>
      <c r="Q5" s="16"/>
      <c r="R5" s="3366" t="s">
        <v>493</v>
      </c>
      <c r="S5" s="3368" t="s">
        <v>1455</v>
      </c>
      <c r="T5" s="3366" t="s">
        <v>487</v>
      </c>
      <c r="U5" s="3366" t="s">
        <v>488</v>
      </c>
      <c r="V5" s="3366" t="s">
        <v>477</v>
      </c>
      <c r="W5" s="3359" t="s">
        <v>7</v>
      </c>
      <c r="X5" s="3359"/>
      <c r="Y5" s="3359"/>
      <c r="Z5" s="3368" t="s">
        <v>489</v>
      </c>
      <c r="AA5" s="3370" t="s">
        <v>490</v>
      </c>
      <c r="AB5" s="132" t="s">
        <v>9</v>
      </c>
      <c r="AC5" s="133"/>
      <c r="AD5" s="133"/>
      <c r="AE5" s="133"/>
      <c r="AF5" s="133"/>
      <c r="AG5" s="133"/>
      <c r="AH5" s="133"/>
      <c r="AI5" s="133"/>
      <c r="AJ5" s="133"/>
      <c r="AK5" s="133"/>
      <c r="AL5" s="134"/>
      <c r="AM5" s="16"/>
      <c r="AN5" s="16"/>
      <c r="AO5" s="16"/>
      <c r="AP5" s="16"/>
      <c r="AQ5" s="16"/>
      <c r="AR5" s="16"/>
      <c r="AS5" s="16"/>
      <c r="AT5" s="3370" t="s">
        <v>492</v>
      </c>
    </row>
    <row r="6" spans="1:46" s="2" customFormat="1" ht="24.95" customHeight="1">
      <c r="J6" s="3359"/>
      <c r="K6" s="3359"/>
      <c r="L6" s="3359"/>
      <c r="M6" s="3359"/>
      <c r="N6" s="3359"/>
      <c r="O6" s="16"/>
      <c r="P6" s="16"/>
      <c r="Q6" s="16"/>
      <c r="R6" s="3367"/>
      <c r="S6" s="3369"/>
      <c r="T6" s="3367"/>
      <c r="U6" s="3367"/>
      <c r="V6" s="3367"/>
      <c r="W6" s="76" t="s">
        <v>11</v>
      </c>
      <c r="X6" s="16"/>
      <c r="Y6" s="75" t="s">
        <v>493</v>
      </c>
      <c r="Z6" s="3369"/>
      <c r="AA6" s="3371"/>
      <c r="AB6" s="95" t="s">
        <v>13</v>
      </c>
      <c r="AC6" s="95"/>
      <c r="AD6" s="95"/>
      <c r="AE6" s="95"/>
      <c r="AF6" s="95"/>
      <c r="AG6" s="95"/>
      <c r="AH6" s="95"/>
      <c r="AI6" s="95"/>
      <c r="AJ6" s="95" t="s">
        <v>14</v>
      </c>
      <c r="AK6" s="95" t="s">
        <v>15</v>
      </c>
      <c r="AL6" s="95" t="s">
        <v>16</v>
      </c>
      <c r="AM6" s="16"/>
      <c r="AN6" s="16"/>
      <c r="AO6" s="16"/>
      <c r="AP6" s="16"/>
      <c r="AQ6" s="16"/>
      <c r="AR6" s="16"/>
      <c r="AS6" s="16"/>
      <c r="AT6" s="3371"/>
    </row>
    <row r="7" spans="1:46">
      <c r="J7" s="17"/>
      <c r="K7" s="18"/>
      <c r="L7" s="18"/>
      <c r="M7" s="18"/>
      <c r="N7" s="19"/>
      <c r="O7" s="20"/>
      <c r="P7" s="20"/>
      <c r="Q7" s="20"/>
      <c r="R7" s="77"/>
      <c r="S7" s="77"/>
      <c r="T7" s="77"/>
      <c r="U7" s="77"/>
      <c r="V7" s="77"/>
      <c r="W7" s="78"/>
      <c r="X7" s="20" t="str">
        <f>BB[[#Headers],[BILA-MULTI]]</f>
        <v>BILA-MULTI</v>
      </c>
      <c r="Y7" s="77"/>
      <c r="Z7" s="77"/>
      <c r="AA7" s="20"/>
      <c r="AB7" s="37"/>
      <c r="AC7" s="37"/>
      <c r="AD7" s="37"/>
      <c r="AE7" s="37"/>
      <c r="AF7" s="37"/>
      <c r="AG7" s="37"/>
      <c r="AH7" s="37"/>
      <c r="AI7" s="37"/>
      <c r="AJ7" s="37"/>
      <c r="AK7" s="37"/>
      <c r="AL7" s="37"/>
      <c r="AM7" s="20" t="s">
        <v>497</v>
      </c>
      <c r="AN7" s="20" t="s">
        <v>498</v>
      </c>
      <c r="AO7" s="20" t="s">
        <v>499</v>
      </c>
      <c r="AP7" s="20" t="s">
        <v>500</v>
      </c>
      <c r="AQ7" s="20" t="s">
        <v>10</v>
      </c>
      <c r="AR7" s="20" t="s">
        <v>501</v>
      </c>
      <c r="AS7" s="20" t="s">
        <v>502</v>
      </c>
      <c r="AT7" s="37"/>
    </row>
    <row r="8" spans="1:46" s="3" customFormat="1" ht="30" customHeight="1">
      <c r="A8" s="3" t="s">
        <v>21</v>
      </c>
      <c r="B8" s="3" t="s">
        <v>21</v>
      </c>
      <c r="C8" s="3" t="s">
        <v>21</v>
      </c>
      <c r="D8" s="3" t="s">
        <v>21</v>
      </c>
      <c r="E8" s="3" t="s">
        <v>21</v>
      </c>
      <c r="F8" s="3" t="s">
        <v>21</v>
      </c>
      <c r="G8" s="3" t="s">
        <v>21</v>
      </c>
      <c r="H8" s="3" t="s">
        <v>21</v>
      </c>
      <c r="I8" s="3" t="s">
        <v>21</v>
      </c>
      <c r="J8" s="21" t="str">
        <f>DATA!B2</f>
        <v>I</v>
      </c>
      <c r="K8" s="22" t="str">
        <f>DATA!D2</f>
        <v>INFRASTRUKTUR</v>
      </c>
      <c r="L8" s="22"/>
      <c r="M8" s="22"/>
      <c r="N8" s="23"/>
      <c r="O8" s="22"/>
      <c r="P8" s="22"/>
      <c r="Q8" s="22"/>
      <c r="R8" s="79">
        <f>+R9+R125+R128+R136+R139+R144+R147</f>
        <v>35286135700</v>
      </c>
      <c r="S8" s="79"/>
      <c r="T8" s="79">
        <f>+T9+T125+T128+T136+T139+T144+T147</f>
        <v>4724797700</v>
      </c>
      <c r="U8" s="79">
        <f>+U9+U125+U128+U136+U139+U144+U147</f>
        <v>17000000</v>
      </c>
      <c r="V8" s="79">
        <f>+V9+V125+V128+V136+V139+V144+V147</f>
        <v>39777933400</v>
      </c>
      <c r="W8" s="79"/>
      <c r="X8" s="79" t="e">
        <f>+X9+X125+X128+X136+X139+X144+X147</f>
        <v>#VALUE!</v>
      </c>
      <c r="Y8" s="79">
        <f>+Y9+Y125+Y128+Y136+Y139+Y144+Y147</f>
        <v>35095755700</v>
      </c>
      <c r="Z8" s="79">
        <f>+Z9+Z125+Z128+Z136+Z139+Z144+Z147</f>
        <v>-537391404</v>
      </c>
      <c r="AA8" s="22"/>
      <c r="AB8" s="23"/>
      <c r="AC8" s="23"/>
      <c r="AD8" s="23"/>
      <c r="AE8" s="23"/>
      <c r="AF8" s="23"/>
      <c r="AG8" s="23"/>
      <c r="AH8" s="23"/>
      <c r="AI8" s="23"/>
      <c r="AJ8" s="23"/>
      <c r="AK8" s="23"/>
      <c r="AL8" s="23"/>
      <c r="AM8" s="22"/>
      <c r="AN8" s="22"/>
      <c r="AO8" s="22"/>
      <c r="AP8" s="22"/>
      <c r="AQ8" s="22"/>
      <c r="AR8" s="22"/>
      <c r="AS8" s="22"/>
      <c r="AT8" s="23"/>
    </row>
    <row r="9" spans="1:46" s="4" customFormat="1" ht="24.95" customHeight="1">
      <c r="J9" s="24"/>
      <c r="K9" s="25">
        <f>DATA!E2</f>
        <v>1</v>
      </c>
      <c r="L9" s="26" t="str">
        <f>DATA!F2</f>
        <v>Kementerian Pekerjaan Umum dan Perumahan Rakyat</v>
      </c>
      <c r="M9" s="26"/>
      <c r="N9" s="27"/>
      <c r="O9" s="26"/>
      <c r="P9" s="26"/>
      <c r="Q9" s="26"/>
      <c r="R9" s="80">
        <f>+R10+R19+R25+R35+R53+R66+R69+R76+R90+R94+R109+R119+R123</f>
        <v>22288199000</v>
      </c>
      <c r="S9" s="80"/>
      <c r="T9" s="80">
        <f>+T10+T19+T25+T35+T53+T66+T69+T76+T90+T94+T109+T119+T123</f>
        <v>2886244500</v>
      </c>
      <c r="U9" s="80">
        <f>+U10+U19+U25+U35+U53+U66+U69+U76+U90+U94+U109+U119+U123</f>
        <v>7000000</v>
      </c>
      <c r="V9" s="80">
        <f>+V10+V19+V25+V35+V53+V66+V69+V76+V90+V94+V109+V119+V123</f>
        <v>24931443500</v>
      </c>
      <c r="W9" s="80"/>
      <c r="X9" s="80" t="e">
        <f>+X10+X19+X25+X35+X53+X66+X69+X76+X90+X94+X109+X119+X123</f>
        <v>#VALUE!</v>
      </c>
      <c r="Y9" s="80">
        <f>+Y10+Y19+Y25+Y35+Y53+Y66+Y69+Y76+Y90+Y94+Y109+Y119+Y123</f>
        <v>22097819000</v>
      </c>
      <c r="Z9" s="80">
        <f>+Z10+Z19+Z25+Z35+Z53+Z66+Z69+Z76+Z90+Z94+Z109+Z119+Z123</f>
        <v>-126391404</v>
      </c>
      <c r="AA9" s="26"/>
      <c r="AB9" s="27"/>
      <c r="AC9" s="27"/>
      <c r="AD9" s="27"/>
      <c r="AE9" s="27"/>
      <c r="AF9" s="27"/>
      <c r="AG9" s="27"/>
      <c r="AH9" s="27"/>
      <c r="AI9" s="27"/>
      <c r="AJ9" s="27"/>
      <c r="AK9" s="27"/>
      <c r="AL9" s="27"/>
      <c r="AM9" s="26"/>
      <c r="AN9" s="26"/>
      <c r="AO9" s="26"/>
      <c r="AP9" s="26"/>
      <c r="AQ9" s="26"/>
      <c r="AR9" s="26"/>
      <c r="AS9" s="26"/>
      <c r="AT9" s="27"/>
    </row>
    <row r="10" spans="1:46" s="5" customFormat="1" ht="24.95" customHeight="1">
      <c r="J10" s="28"/>
      <c r="K10" s="29"/>
      <c r="L10" s="30" t="str">
        <f>DATA!I2</f>
        <v>A</v>
      </c>
      <c r="M10" s="31" t="str">
        <f>DATA!J2</f>
        <v xml:space="preserve">Program Pembangunan Jalan Tol </v>
      </c>
      <c r="N10" s="32"/>
      <c r="O10" s="31"/>
      <c r="P10" s="31"/>
      <c r="Q10" s="31"/>
      <c r="R10" s="81">
        <f>+R11+R14</f>
        <v>2025000000</v>
      </c>
      <c r="S10" s="81"/>
      <c r="T10" s="81">
        <f>+T11+T14</f>
        <v>173650000</v>
      </c>
      <c r="U10" s="81">
        <f>+U11+U14</f>
        <v>0</v>
      </c>
      <c r="V10" s="81">
        <f>+V11+V14</f>
        <v>2198650000</v>
      </c>
      <c r="W10" s="82"/>
      <c r="X10" s="31"/>
      <c r="Y10" s="81">
        <f>+Y11+Y14</f>
        <v>2025000000</v>
      </c>
      <c r="Z10" s="81">
        <f>+Z11+Z14</f>
        <v>0</v>
      </c>
      <c r="AA10" s="31"/>
      <c r="AB10" s="32"/>
      <c r="AC10" s="32"/>
      <c r="AD10" s="32"/>
      <c r="AE10" s="32"/>
      <c r="AF10" s="32"/>
      <c r="AG10" s="32"/>
      <c r="AH10" s="32"/>
      <c r="AI10" s="32"/>
      <c r="AJ10" s="32"/>
      <c r="AK10" s="32"/>
      <c r="AL10" s="32"/>
      <c r="AM10" s="31"/>
      <c r="AN10" s="31"/>
      <c r="AO10" s="31"/>
      <c r="AP10" s="31"/>
      <c r="AQ10" s="31"/>
      <c r="AR10" s="31"/>
      <c r="AS10" s="31"/>
      <c r="AT10" s="32"/>
    </row>
    <row r="11" spans="1:46" ht="30" customHeight="1">
      <c r="A11" s="10">
        <f>DATA!A2</f>
        <v>1</v>
      </c>
      <c r="B11" s="10" t="str">
        <f>DATA!B2</f>
        <v>I</v>
      </c>
      <c r="C11" s="10" t="str">
        <f>DATA!D2</f>
        <v>INFRASTRUKTUR</v>
      </c>
      <c r="D11" s="10">
        <f>DATA!E2</f>
        <v>1</v>
      </c>
      <c r="E11" s="10" t="str">
        <f>DATA!F2</f>
        <v>Kementerian Pekerjaan Umum dan Perumahan Rakyat</v>
      </c>
      <c r="F11" s="10" t="str">
        <f>DATA!H2</f>
        <v>Toll Road Development Program</v>
      </c>
      <c r="G11" s="10" t="str">
        <f>DATA!I2</f>
        <v>A</v>
      </c>
      <c r="H11" s="10" t="str">
        <f>DATA!J2</f>
        <v xml:space="preserve">Program Pembangunan Jalan Tol </v>
      </c>
      <c r="I11" s="10">
        <f>DATA!K2</f>
        <v>1</v>
      </c>
      <c r="J11" s="33"/>
      <c r="K11" s="34"/>
      <c r="L11" s="35"/>
      <c r="M11" s="36">
        <f>DATA!K2</f>
        <v>1</v>
      </c>
      <c r="N11" s="37" t="str">
        <f>DATA!L2</f>
        <v>Toll Road Development in Kalimantan, Sumatera, and Java Islands</v>
      </c>
      <c r="O11" s="20">
        <f>DATA!Q2</f>
        <v>0</v>
      </c>
      <c r="P11" s="20">
        <f>DATA!R2</f>
        <v>1</v>
      </c>
      <c r="Q11" s="20">
        <f>DATA!S2</f>
        <v>1</v>
      </c>
      <c r="R11" s="77">
        <f>DATA!T2</f>
        <v>1250000000</v>
      </c>
      <c r="S11" s="77"/>
      <c r="T11" s="77">
        <f>DATA!V2</f>
        <v>101250000</v>
      </c>
      <c r="U11" s="77">
        <f>DATA!W2</f>
        <v>0</v>
      </c>
      <c r="V11" s="77">
        <f>DATA!X2</f>
        <v>1351250000</v>
      </c>
      <c r="W11" s="78" t="str">
        <f>DATA!Y2</f>
        <v>-</v>
      </c>
      <c r="X11" s="20">
        <f>DATA!Z2</f>
        <v>0</v>
      </c>
      <c r="Y11" s="77">
        <f>DATA!AA2</f>
        <v>1250000000</v>
      </c>
      <c r="Z11" s="77">
        <f>DATA!AG2</f>
        <v>0</v>
      </c>
      <c r="AA11" s="20" t="str">
        <f>DATA!AH2</f>
        <v>-</v>
      </c>
      <c r="AB11" s="37" t="str">
        <f>DATA!AI2</f>
        <v>-</v>
      </c>
      <c r="AC11" s="37"/>
      <c r="AD11" s="37"/>
      <c r="AE11" s="37"/>
      <c r="AF11" s="37"/>
      <c r="AG11" s="37"/>
      <c r="AH11" s="37"/>
      <c r="AI11" s="37"/>
      <c r="AJ11" s="37" t="str">
        <f>DATA!AJ2</f>
        <v>-</v>
      </c>
      <c r="AK11" s="37" t="str">
        <f>DATA!AK2</f>
        <v>-</v>
      </c>
      <c r="AL11" s="37" t="str">
        <f>DATA!AL2</f>
        <v>-</v>
      </c>
      <c r="AM11" s="20" t="str">
        <f>DATA!AM2</f>
        <v>-</v>
      </c>
      <c r="AN11" s="20" t="str">
        <f>DATA!AN2</f>
        <v>-</v>
      </c>
      <c r="AO11" s="20" t="str">
        <f>DATA!AO2</f>
        <v>-</v>
      </c>
      <c r="AP11" s="20" t="str">
        <f>DATA!AP2</f>
        <v>-</v>
      </c>
      <c r="AQ11" s="20" t="str">
        <f>DATA!AY2</f>
        <v>-</v>
      </c>
      <c r="AR11" s="20" t="e">
        <f>DATA!#REF!</f>
        <v>#REF!</v>
      </c>
      <c r="AS11" s="20" t="str">
        <f>DATA!AZ2</f>
        <v>-</v>
      </c>
      <c r="AT11" s="37" t="str">
        <f>DATA!BA2</f>
        <v>-</v>
      </c>
    </row>
    <row r="12" spans="1:46" s="6" customFormat="1" ht="43.5" customHeight="1">
      <c r="A12" s="6">
        <f>DATA!A3</f>
        <v>1</v>
      </c>
      <c r="B12" s="6">
        <f>DATA!B3</f>
        <v>0</v>
      </c>
      <c r="C12" s="6" t="str">
        <f>DATA!D3</f>
        <v>INFRASTRUKTUR</v>
      </c>
      <c r="D12" s="6">
        <f>DATA!E3</f>
        <v>1</v>
      </c>
      <c r="E12" s="6" t="str">
        <f>DATA!F3</f>
        <v>Kementerian Pekerjaan Umum dan Perumahan Rakyat</v>
      </c>
      <c r="F12" s="6" t="str">
        <f>DATA!H3</f>
        <v>Toll Road Development Program</v>
      </c>
      <c r="G12" s="6" t="str">
        <f>DATA!I3</f>
        <v>A</v>
      </c>
      <c r="H12" s="6" t="str">
        <f>DATA!J3</f>
        <v xml:space="preserve">Program Pembangunan Jalan Tol </v>
      </c>
      <c r="I12" s="6">
        <f>DATA!K3</f>
        <v>1</v>
      </c>
      <c r="J12" s="38"/>
      <c r="K12" s="39"/>
      <c r="L12" s="39"/>
      <c r="M12" s="40"/>
      <c r="N12" s="41" t="str">
        <f>DATA!L3</f>
        <v>Toll Road Development in Kalimantan, Sumatera, and Java Islands</v>
      </c>
      <c r="O12" s="42">
        <f>DATA!Q3</f>
        <v>0.5</v>
      </c>
      <c r="P12" s="42">
        <f>DATA!R3</f>
        <v>0</v>
      </c>
      <c r="Q12" s="42">
        <f>DATA!S3</f>
        <v>0</v>
      </c>
      <c r="R12" s="83">
        <f>DATA!T3</f>
        <v>0</v>
      </c>
      <c r="S12" s="83">
        <f>DATA!U3</f>
        <v>0</v>
      </c>
      <c r="T12" s="83">
        <f>DATA!V3</f>
        <v>0</v>
      </c>
      <c r="U12" s="83">
        <f>DATA!W3</f>
        <v>0</v>
      </c>
      <c r="V12" s="83">
        <f>DATA!X3</f>
        <v>0</v>
      </c>
      <c r="W12" s="84" t="str">
        <f>DATA!Y3</f>
        <v>RRT</v>
      </c>
      <c r="X12" s="42" t="str">
        <f>DATA!Z3</f>
        <v>Bilateral</v>
      </c>
      <c r="Y12" s="83">
        <f>DATA!AA3</f>
        <v>1000000000</v>
      </c>
      <c r="Z12" s="83">
        <f>DATA!AG3</f>
        <v>0</v>
      </c>
      <c r="AA12" s="42">
        <f>DATA!AH3</f>
        <v>2016</v>
      </c>
      <c r="AB12" s="67" t="str">
        <f>DATA!AI3</f>
        <v>-</v>
      </c>
      <c r="AC12" s="67"/>
      <c r="AD12" s="67"/>
      <c r="AE12" s="67"/>
      <c r="AF12" s="67"/>
      <c r="AG12" s="67"/>
      <c r="AH12" s="67"/>
      <c r="AI12" s="67"/>
      <c r="AJ12" s="67" t="str">
        <f>DATA!AJ3</f>
        <v>FS, AMDAL, LARAP</v>
      </c>
      <c r="AK12" s="67" t="str">
        <f>DATA!AK3</f>
        <v>(1) Cisumdawu I: 80 %
(2) Serang-Panimbang: 25%</v>
      </c>
      <c r="AL12" s="67" t="str">
        <f>DATA!AL3</f>
        <v>-</v>
      </c>
      <c r="AM12" s="42" t="str">
        <f>DATA!AM3</f>
        <v>-</v>
      </c>
      <c r="AN12" s="42" t="str">
        <f>DATA!AN3</f>
        <v>siap</v>
      </c>
      <c r="AO12" s="42" t="str">
        <f>DATA!AO3</f>
        <v>dalam proses
(pelaksanaan &lt; 50%)</v>
      </c>
      <c r="AP12" s="42" t="str">
        <f>DATA!AP3</f>
        <v>belum ada proses tender/lelang</v>
      </c>
      <c r="AQ12" s="42" t="str">
        <f>DATA!AY3</f>
        <v>- Konfirmasi melalui surat Sekjen nomor KU.01.12-Sj/636 tgl 23 Oktober 2015
- Terdiri dari 3 kegiatan: (1) seksi 1 (Ruas Cisumdawu I); (2) Serang-Panimbang; (3) Belum ditentukan
- Prioritas ruas Cisumdawu I</v>
      </c>
      <c r="AR12" s="42" t="e">
        <f>DATA!#REF!</f>
        <v>#REF!</v>
      </c>
      <c r="AS12" s="42">
        <f>DATA!AZ3</f>
        <v>0</v>
      </c>
      <c r="AT12" s="67" t="str">
        <f>DATA!BA3</f>
        <v>Pembangunan jalan tol di provinsi Kalimantan Timur, Banten, dan Sumatera Utara dengan panjang sekitar 150 km</v>
      </c>
    </row>
    <row r="13" spans="1:46" s="6" customFormat="1" ht="45.75" customHeight="1">
      <c r="A13" s="6">
        <f>DATA!A4</f>
        <v>2</v>
      </c>
      <c r="B13" s="6">
        <f>DATA!B4</f>
        <v>0</v>
      </c>
      <c r="C13" s="6" t="str">
        <f>DATA!D4</f>
        <v>INFRASTRUKTUR</v>
      </c>
      <c r="D13" s="6">
        <f>DATA!E4</f>
        <v>1</v>
      </c>
      <c r="E13" s="6" t="str">
        <f>DATA!F4</f>
        <v>Kementerian Pekerjaan Umum dan Perumahan Rakyat</v>
      </c>
      <c r="F13" s="6" t="str">
        <f>DATA!H4</f>
        <v>Toll Road Development Program</v>
      </c>
      <c r="G13" s="6" t="str">
        <f>DATA!I4</f>
        <v>A</v>
      </c>
      <c r="H13" s="6" t="str">
        <f>DATA!J4</f>
        <v xml:space="preserve">Program Pembangunan Jalan Tol </v>
      </c>
      <c r="I13" s="6">
        <f>DATA!K4</f>
        <v>1</v>
      </c>
      <c r="J13" s="38"/>
      <c r="K13" s="39"/>
      <c r="L13" s="39"/>
      <c r="M13" s="43"/>
      <c r="N13" s="41" t="str">
        <f>DATA!L4</f>
        <v>Toll Road Development in Kalimantan, Sumatera, and Java Islands</v>
      </c>
      <c r="O13" s="42">
        <f>DATA!Q4</f>
        <v>0.5</v>
      </c>
      <c r="P13" s="42">
        <f>DATA!R4</f>
        <v>0</v>
      </c>
      <c r="Q13" s="42">
        <f>DATA!S4</f>
        <v>0</v>
      </c>
      <c r="R13" s="83">
        <f>DATA!T4</f>
        <v>0</v>
      </c>
      <c r="S13" s="83">
        <f>DATA!U4</f>
        <v>0</v>
      </c>
      <c r="T13" s="83">
        <f>DATA!V4</f>
        <v>0</v>
      </c>
      <c r="U13" s="83">
        <f>DATA!W4</f>
        <v>0</v>
      </c>
      <c r="V13" s="83">
        <f>DATA!X4</f>
        <v>0</v>
      </c>
      <c r="W13" s="84" t="str">
        <f>DATA!Y4</f>
        <v>Korea</v>
      </c>
      <c r="X13" s="42" t="str">
        <f>DATA!Z4</f>
        <v>Bilateral</v>
      </c>
      <c r="Y13" s="83">
        <f>DATA!AA4</f>
        <v>250000000</v>
      </c>
      <c r="Z13" s="83">
        <f>DATA!AG4</f>
        <v>0</v>
      </c>
      <c r="AA13" s="42">
        <f>DATA!AH4</f>
        <v>2016</v>
      </c>
      <c r="AB13" s="67" t="str">
        <f>DATA!AI4</f>
        <v>-</v>
      </c>
      <c r="AC13" s="67"/>
      <c r="AD13" s="67"/>
      <c r="AE13" s="67"/>
      <c r="AF13" s="67"/>
      <c r="AG13" s="67"/>
      <c r="AH13" s="67"/>
      <c r="AI13" s="67"/>
      <c r="AJ13" s="67" t="str">
        <f>DATA!AJ4</f>
        <v>FS, AMDAL, LARAP</v>
      </c>
      <c r="AK13" s="67" t="str">
        <f>DATA!AK4</f>
        <v>(1) Cisumdawu I: 80 %
(2) Serang-Panimbang: 25%</v>
      </c>
      <c r="AL13" s="67" t="str">
        <f>DATA!AL4</f>
        <v>-</v>
      </c>
      <c r="AM13" s="42" t="str">
        <f>DATA!AM4</f>
        <v>-</v>
      </c>
      <c r="AN13" s="42" t="str">
        <f>DATA!AN4</f>
        <v>siap</v>
      </c>
      <c r="AO13" s="42" t="str">
        <f>DATA!AO4</f>
        <v>dalam proses
(pelaksanaan &lt; 50%)</v>
      </c>
      <c r="AP13" s="42" t="str">
        <f>DATA!AP4</f>
        <v>belum ada proses tender/lelang</v>
      </c>
      <c r="AQ13" s="42" t="str">
        <f>DATA!AY4</f>
        <v>- Konfirmasi melalui surat Sekjen nomor KU.01.12-Sj/636 tgl 23 Oktober 2015
- Terdiri dari 3 kegiatan: (1) seksi 1 (Ruas Cisumdawu I); (2) Serang-Panimbang; (3) Belum ditentukan
- Prioritas ruas Cisumdawu I</v>
      </c>
      <c r="AR13" s="42" t="e">
        <f>DATA!#REF!</f>
        <v>#REF!</v>
      </c>
      <c r="AS13" s="42">
        <f>DATA!AZ4</f>
        <v>0</v>
      </c>
      <c r="AT13" s="67" t="str">
        <f>DATA!BA4</f>
        <v>Pembangunan jalan tol di provinsi Kalimantan Timur, Banten, dan Sumatera Utara dengan panjang sekitar 150 km</v>
      </c>
    </row>
    <row r="14" spans="1:46" ht="29.25" customHeight="1">
      <c r="A14" s="10">
        <f>DATA!A5</f>
        <v>3</v>
      </c>
      <c r="B14" s="10">
        <f>DATA!B5</f>
        <v>0</v>
      </c>
      <c r="C14" s="10" t="str">
        <f>DATA!D5</f>
        <v>INFRASTRUKTUR</v>
      </c>
      <c r="D14" s="10">
        <f>DATA!E5</f>
        <v>1</v>
      </c>
      <c r="E14" s="10" t="str">
        <f>DATA!F5</f>
        <v>Kementerian Pekerjaan Umum dan Perumahan Rakyat</v>
      </c>
      <c r="F14" s="10" t="str">
        <f>DATA!H5</f>
        <v>Toll Road Development Program</v>
      </c>
      <c r="G14" s="10" t="str">
        <f>DATA!I5</f>
        <v>A</v>
      </c>
      <c r="H14" s="10" t="str">
        <f>DATA!J5</f>
        <v xml:space="preserve">Program Pembangunan Jalan Tol </v>
      </c>
      <c r="I14" s="10">
        <f>DATA!K5</f>
        <v>2</v>
      </c>
      <c r="J14" s="33"/>
      <c r="K14" s="34"/>
      <c r="L14" s="34"/>
      <c r="M14" s="36">
        <f>DATA!K5</f>
        <v>2</v>
      </c>
      <c r="N14" s="37" t="str">
        <f>DATA!L5</f>
        <v>Toll Road Development in Selected Area:</v>
      </c>
      <c r="O14" s="20">
        <f>DATA!Q5</f>
        <v>0</v>
      </c>
      <c r="P14" s="20">
        <f>DATA!R5</f>
        <v>0</v>
      </c>
      <c r="Q14" s="20">
        <f>DATA!S5</f>
        <v>0</v>
      </c>
      <c r="R14" s="77">
        <f>DATA!T5</f>
        <v>775000000</v>
      </c>
      <c r="S14" s="83">
        <f>DATA!U5</f>
        <v>775000000</v>
      </c>
      <c r="T14" s="77">
        <f>DATA!V5</f>
        <v>72400000</v>
      </c>
      <c r="U14" s="77">
        <f>DATA!W5</f>
        <v>0</v>
      </c>
      <c r="V14" s="77">
        <f>DATA!X5</f>
        <v>847400000</v>
      </c>
      <c r="W14" s="78" t="str">
        <f>DATA!Y5</f>
        <v>-</v>
      </c>
      <c r="X14" s="20">
        <f>DATA!Z5</f>
        <v>0</v>
      </c>
      <c r="Y14" s="77">
        <f>DATA!AA5</f>
        <v>775000000</v>
      </c>
      <c r="Z14" s="77">
        <f>DATA!AG5</f>
        <v>0</v>
      </c>
      <c r="AA14" s="20" t="str">
        <f>DATA!AH5</f>
        <v>-</v>
      </c>
      <c r="AB14" s="37" t="str">
        <f>DATA!AI5</f>
        <v>-</v>
      </c>
      <c r="AC14" s="37"/>
      <c r="AD14" s="37"/>
      <c r="AE14" s="37"/>
      <c r="AF14" s="37"/>
      <c r="AG14" s="37"/>
      <c r="AH14" s="37"/>
      <c r="AI14" s="37"/>
      <c r="AJ14" s="37" t="str">
        <f>DATA!AJ5</f>
        <v>-</v>
      </c>
      <c r="AK14" s="37" t="str">
        <f>DATA!AK5</f>
        <v>-</v>
      </c>
      <c r="AL14" s="37" t="str">
        <f>DATA!AL5</f>
        <v>-</v>
      </c>
      <c r="AM14" s="20" t="str">
        <f>DATA!AM5</f>
        <v>-</v>
      </c>
      <c r="AN14" s="20">
        <f>DATA!AN5</f>
        <v>0</v>
      </c>
      <c r="AO14" s="20" t="str">
        <f>DATA!AO5</f>
        <v>-</v>
      </c>
      <c r="AP14" s="20">
        <f>DATA!AP5</f>
        <v>0</v>
      </c>
      <c r="AQ14" s="20" t="str">
        <f>DATA!AY5</f>
        <v>Konfirmasi melalui surat Sekjen nomor KU.01.12-Sj/636 tgl 23 Oktober 2015</v>
      </c>
      <c r="AR14" s="20" t="e">
        <f>DATA!#REF!</f>
        <v>#REF!</v>
      </c>
      <c r="AS14" s="20">
        <f>DATA!AZ5</f>
        <v>0</v>
      </c>
      <c r="AT14" s="37" t="str">
        <f>DATA!BA5</f>
        <v>Pembangunan jalan tol di berbagai wilayah dengan total sepanjang 55,94 km</v>
      </c>
    </row>
    <row r="15" spans="1:46" s="6" customFormat="1" ht="57" customHeight="1">
      <c r="A15" s="6">
        <f>DATA!A6</f>
        <v>4</v>
      </c>
      <c r="B15" s="6">
        <f>DATA!B6</f>
        <v>0</v>
      </c>
      <c r="C15" s="6" t="str">
        <f>DATA!D6</f>
        <v>INFRASTRUKTUR</v>
      </c>
      <c r="D15" s="6">
        <f>DATA!E6</f>
        <v>1</v>
      </c>
      <c r="E15" s="6" t="str">
        <f>DATA!F6</f>
        <v>Kementerian Pekerjaan Umum dan Perumahan Rakyat</v>
      </c>
      <c r="F15" s="6" t="str">
        <f>DATA!H6</f>
        <v>Toll Road Development Program</v>
      </c>
      <c r="G15" s="6" t="str">
        <f>DATA!I6</f>
        <v>A</v>
      </c>
      <c r="H15" s="6" t="str">
        <f>DATA!J6</f>
        <v xml:space="preserve">Program Pembangunan Jalan Tol </v>
      </c>
      <c r="I15" s="6">
        <f>DATA!K6</f>
        <v>2</v>
      </c>
      <c r="J15" s="38"/>
      <c r="K15" s="39"/>
      <c r="L15" s="39"/>
      <c r="M15" s="72"/>
      <c r="N15" s="41" t="str">
        <f>DATA!L6</f>
        <v>Development of Cileunyi - Sumedang - Dawuan Toll Road Phase II</v>
      </c>
      <c r="O15" s="42">
        <f>DATA!Q6</f>
        <v>1</v>
      </c>
      <c r="P15" s="42">
        <f>DATA!R6</f>
        <v>1</v>
      </c>
      <c r="Q15" s="42">
        <f>DATA!S6</f>
        <v>2</v>
      </c>
      <c r="R15" s="83">
        <f>DATA!T6</f>
        <v>330000000</v>
      </c>
      <c r="S15" s="83">
        <f>DATA!U6</f>
        <v>330000000</v>
      </c>
      <c r="T15" s="83">
        <f>DATA!V6</f>
        <v>26000000</v>
      </c>
      <c r="U15" s="83">
        <f>DATA!W6</f>
        <v>0</v>
      </c>
      <c r="V15" s="83">
        <f>DATA!X6</f>
        <v>356000000</v>
      </c>
      <c r="W15" s="84" t="str">
        <f>DATA!Y6</f>
        <v>RRT</v>
      </c>
      <c r="X15" s="42" t="str">
        <f>DATA!Z6</f>
        <v>Bilateral</v>
      </c>
      <c r="Y15" s="83">
        <f>DATA!AA6</f>
        <v>330000000</v>
      </c>
      <c r="Z15" s="83">
        <f>DATA!AG6</f>
        <v>0</v>
      </c>
      <c r="AA15" s="42">
        <f>DATA!AH6</f>
        <v>2015</v>
      </c>
      <c r="AB15" s="67" t="str">
        <f>DATA!AI6</f>
        <v>- Sudah ada R/C
- Green Book 2015
- Proses LA</v>
      </c>
      <c r="AC15" s="67"/>
      <c r="AD15" s="67"/>
      <c r="AE15" s="67"/>
      <c r="AF15" s="67"/>
      <c r="AG15" s="67"/>
      <c r="AH15" s="67"/>
      <c r="AI15" s="67"/>
      <c r="AJ15" s="67" t="str">
        <f>DATA!AJ6</f>
        <v>FS, DED</v>
      </c>
      <c r="AK15" s="115">
        <f>DATA!AK6</f>
        <v>0.80200000000000005</v>
      </c>
      <c r="AL15" s="67" t="str">
        <f>DATA!AL6</f>
        <v>Kontrak sudah ditandatangani</v>
      </c>
      <c r="AM15" s="42" t="str">
        <f>DATA!AR6</f>
        <v>Nilai pinjaman di:
- GB 16 USD 219.399 ribu
- GB 15 USD 235.000 ribu</v>
      </c>
      <c r="AN15" s="42" t="str">
        <f>DATA!AN6</f>
        <v>(memiliki FS dan DED)</v>
      </c>
      <c r="AO15" s="42" t="str">
        <f>DATA!AO6</f>
        <v>dalam proses
(pelaksanaan 80%)</v>
      </c>
      <c r="AP15" s="42" t="str">
        <f>DATA!AP6</f>
        <v>dalam proses tender/lelang</v>
      </c>
      <c r="AQ15" s="42" t="str">
        <f>DATA!AY6</f>
        <v>Konfirmasi melalui surat Sekjen nomor KU.01.12-Sj/636 tgl 23 Oktober 2015</v>
      </c>
      <c r="AR15" s="42" t="e">
        <f>DATA!#REF!</f>
        <v>#REF!</v>
      </c>
      <c r="AS15" s="42">
        <f>DATA!AZ6</f>
        <v>0</v>
      </c>
      <c r="AT15" s="67" t="str">
        <f>DATA!BA6</f>
        <v>- Pembangunan jalan tol Cileunyi-Sumedang-Dawuan sepanjang 11,1 km 
- Pelayanan konsultasi untuk DED dan pengawasan konstruksi</v>
      </c>
    </row>
    <row r="16" spans="1:46" s="6" customFormat="1" ht="36.75" customHeight="1">
      <c r="A16" s="6">
        <f>DATA!A7</f>
        <v>5</v>
      </c>
      <c r="B16" s="6">
        <f>DATA!B7</f>
        <v>0</v>
      </c>
      <c r="C16" s="6" t="str">
        <f>DATA!D7</f>
        <v>INFRASTRUKTUR</v>
      </c>
      <c r="D16" s="6">
        <f>DATA!E7</f>
        <v>1</v>
      </c>
      <c r="E16" s="6" t="str">
        <f>DATA!F7</f>
        <v>Kementerian Pekerjaan Umum dan Perumahan Rakyat</v>
      </c>
      <c r="F16" s="6" t="str">
        <f>DATA!H7</f>
        <v>Toll Road Development Program</v>
      </c>
      <c r="G16" s="6" t="str">
        <f>DATA!I7</f>
        <v>A</v>
      </c>
      <c r="H16" s="6" t="str">
        <f>DATA!J7</f>
        <v xml:space="preserve">Program Pembangunan Jalan Tol </v>
      </c>
      <c r="I16" s="6">
        <f>DATA!K7</f>
        <v>2</v>
      </c>
      <c r="J16" s="38"/>
      <c r="K16" s="39"/>
      <c r="L16" s="39"/>
      <c r="M16" s="72"/>
      <c r="N16" s="41" t="str">
        <f>DATA!L7</f>
        <v xml:space="preserve">Toll Road Development of Balikpapan - Samarinda </v>
      </c>
      <c r="O16" s="42">
        <f>DATA!Q7</f>
        <v>1</v>
      </c>
      <c r="P16" s="42">
        <f>DATA!R7</f>
        <v>1</v>
      </c>
      <c r="Q16" s="42">
        <f>DATA!S7</f>
        <v>3</v>
      </c>
      <c r="R16" s="83">
        <f>DATA!T7</f>
        <v>65000000</v>
      </c>
      <c r="S16" s="83">
        <f>DATA!U7</f>
        <v>65000000</v>
      </c>
      <c r="T16" s="83">
        <f>DATA!V7</f>
        <v>6500000</v>
      </c>
      <c r="U16" s="83">
        <f>DATA!W7</f>
        <v>0</v>
      </c>
      <c r="V16" s="83">
        <f>DATA!X7</f>
        <v>71500000</v>
      </c>
      <c r="W16" s="84" t="str">
        <f>DATA!Y7</f>
        <v>RRT</v>
      </c>
      <c r="X16" s="42" t="str">
        <f>DATA!Z7</f>
        <v>Bilateral</v>
      </c>
      <c r="Y16" s="83">
        <f>DATA!AA7</f>
        <v>65000000</v>
      </c>
      <c r="Z16" s="83">
        <f>DATA!AG7</f>
        <v>0</v>
      </c>
      <c r="AA16" s="42">
        <f>DATA!AH7</f>
        <v>2015</v>
      </c>
      <c r="AB16" s="67" t="str">
        <f>DATA!AI7</f>
        <v>- Sudah ada R/C
- Green Book 2015
- Loan Agreement tgl 29 Des'15</v>
      </c>
      <c r="AC16" s="67"/>
      <c r="AD16" s="67"/>
      <c r="AE16" s="67"/>
      <c r="AF16" s="67"/>
      <c r="AG16" s="67"/>
      <c r="AH16" s="67"/>
      <c r="AI16" s="67"/>
      <c r="AJ16" s="67" t="str">
        <f>DATA!AJ7</f>
        <v>FS, DED</v>
      </c>
      <c r="AK16" s="115">
        <f>DATA!AK7</f>
        <v>0.55200000000000005</v>
      </c>
      <c r="AL16" s="67" t="str">
        <f>DATA!AL7</f>
        <v>Kontrak sudah ditandatangani</v>
      </c>
      <c r="AM16" s="42" t="str">
        <f>DATA!AR7</f>
        <v>Nilai pinjaman di GB USD 65.000 ribu</v>
      </c>
      <c r="AN16" s="42" t="str">
        <f>DATA!AN7</f>
        <v>(memiliki FS dan DED)</v>
      </c>
      <c r="AO16" s="42" t="str">
        <f>DATA!AO7</f>
        <v>dalam proses
(pelaksanaan 55%)</v>
      </c>
      <c r="AP16" s="42" t="str">
        <f>DATA!AP7</f>
        <v>dalam proses tender/lelang</v>
      </c>
      <c r="AQ16" s="42" t="str">
        <f>DATA!AY7</f>
        <v>Konfirmasi melalui surat Sekjen nomor KU.01.12-Sj/636 tgl 23 Oktober 2015</v>
      </c>
      <c r="AR16" s="42" t="e">
        <f>DATA!#REF!</f>
        <v>#REF!</v>
      </c>
      <c r="AS16" s="42">
        <f>DATA!AZ7</f>
        <v>0</v>
      </c>
      <c r="AT16" s="67" t="str">
        <f>DATA!BA7</f>
        <v xml:space="preserve">Pembangunan jalan tol Balikpapan-Samarinda sepanjang 11,09 km </v>
      </c>
    </row>
    <row r="17" spans="1:46" s="6" customFormat="1" ht="33" customHeight="1">
      <c r="A17" s="6">
        <f>DATA!A8</f>
        <v>6</v>
      </c>
      <c r="B17" s="6">
        <f>DATA!B8</f>
        <v>0</v>
      </c>
      <c r="C17" s="6" t="str">
        <f>DATA!D8</f>
        <v>INFRASTRUKTUR</v>
      </c>
      <c r="D17" s="6">
        <f>DATA!E8</f>
        <v>1</v>
      </c>
      <c r="E17" s="6" t="str">
        <f>DATA!F8</f>
        <v>Kementerian Pekerjaan Umum dan Perumahan Rakyat</v>
      </c>
      <c r="F17" s="6" t="str">
        <f>DATA!H8</f>
        <v>Toll Road Development Program</v>
      </c>
      <c r="G17" s="6" t="str">
        <f>DATA!I8</f>
        <v>A</v>
      </c>
      <c r="H17" s="6" t="str">
        <f>DATA!J8</f>
        <v xml:space="preserve">Program Pembangunan Jalan Tol </v>
      </c>
      <c r="I17" s="6">
        <f>DATA!K8</f>
        <v>2</v>
      </c>
      <c r="J17" s="38"/>
      <c r="K17" s="39"/>
      <c r="L17" s="39"/>
      <c r="M17" s="72"/>
      <c r="N17" s="41" t="str">
        <f>DATA!L8</f>
        <v xml:space="preserve">Toll Road Development of Manado - Bitung </v>
      </c>
      <c r="O17" s="42">
        <f>DATA!Q8</f>
        <v>1</v>
      </c>
      <c r="P17" s="42">
        <f>DATA!R8</f>
        <v>1</v>
      </c>
      <c r="Q17" s="42">
        <f>DATA!S8</f>
        <v>4</v>
      </c>
      <c r="R17" s="83">
        <f>DATA!T8</f>
        <v>80000000</v>
      </c>
      <c r="S17" s="83">
        <f>DATA!U8</f>
        <v>80000000</v>
      </c>
      <c r="T17" s="83">
        <f>DATA!V8</f>
        <v>8000000</v>
      </c>
      <c r="U17" s="83">
        <f>DATA!W8</f>
        <v>0</v>
      </c>
      <c r="V17" s="83">
        <f>DATA!X8</f>
        <v>88000000</v>
      </c>
      <c r="W17" s="84" t="str">
        <f>DATA!Y8</f>
        <v>RRT</v>
      </c>
      <c r="X17" s="42" t="str">
        <f>DATA!Z8</f>
        <v>Bilateral</v>
      </c>
      <c r="Y17" s="83">
        <f>DATA!AA8</f>
        <v>80000000</v>
      </c>
      <c r="Z17" s="83">
        <f>DATA!AG8</f>
        <v>0</v>
      </c>
      <c r="AA17" s="42">
        <f>DATA!AH8</f>
        <v>2015</v>
      </c>
      <c r="AB17" s="67" t="str">
        <f>DATA!AI8</f>
        <v>- Sudah ada R/C
- Green Book 2015
- Proses LA</v>
      </c>
      <c r="AC17" s="67"/>
      <c r="AD17" s="67"/>
      <c r="AE17" s="67"/>
      <c r="AF17" s="67"/>
      <c r="AG17" s="67"/>
      <c r="AH17" s="67"/>
      <c r="AI17" s="67"/>
      <c r="AJ17" s="67" t="str">
        <f>DATA!AJ8</f>
        <v>FS, DED</v>
      </c>
      <c r="AK17" s="115">
        <f>DATA!AK8</f>
        <v>0.93840000000000001</v>
      </c>
      <c r="AL17" s="67" t="str">
        <f>DATA!AL8</f>
        <v>Kontrak sudah ditandatangani</v>
      </c>
      <c r="AM17" s="42" t="str">
        <f>DATA!AR8</f>
        <v>Nilai pinjaman di: 
- GB 16 USD 78.100 ribu
- GB 15 USD 80.000 ribu</v>
      </c>
      <c r="AN17" s="42" t="str">
        <f>DATA!AN8</f>
        <v>(memiliki FS dan DED)</v>
      </c>
      <c r="AO17" s="42" t="str">
        <f>DATA!AO8</f>
        <v>dalam proses
(pelaksanaan 94%)</v>
      </c>
      <c r="AP17" s="42" t="str">
        <f>DATA!AP8</f>
        <v>dalam proses tender/lelang</v>
      </c>
      <c r="AQ17" s="42" t="str">
        <f>DATA!AY8</f>
        <v>Konfirmasi melalui surat Sekjen nomor KU.01.12-Sj/636 tgl 23 Oktober 2015</v>
      </c>
      <c r="AR17" s="42" t="e">
        <f>DATA!#REF!</f>
        <v>#REF!</v>
      </c>
      <c r="AS17" s="42">
        <f>DATA!AZ8</f>
        <v>0</v>
      </c>
      <c r="AT17" s="67" t="str">
        <f>DATA!BA8</f>
        <v xml:space="preserve">Pembangunan jalan tol Manado-Bitung sepanjang 7,3 km </v>
      </c>
    </row>
    <row r="18" spans="1:46" s="6" customFormat="1" ht="34.5" customHeight="1">
      <c r="A18" s="6">
        <f>DATA!A9</f>
        <v>7</v>
      </c>
      <c r="B18" s="6">
        <f>DATA!B9</f>
        <v>0</v>
      </c>
      <c r="C18" s="6" t="str">
        <f>DATA!D9</f>
        <v>INFRASTRUKTUR</v>
      </c>
      <c r="D18" s="6">
        <f>DATA!E9</f>
        <v>1</v>
      </c>
      <c r="E18" s="6" t="str">
        <f>DATA!F9</f>
        <v>Kementerian Pekerjaan Umum dan Perumahan Rakyat</v>
      </c>
      <c r="F18" s="6" t="str">
        <f>DATA!H9</f>
        <v>Toll Road Development Program</v>
      </c>
      <c r="G18" s="6" t="str">
        <f>DATA!I9</f>
        <v>A</v>
      </c>
      <c r="H18" s="6" t="str">
        <f>DATA!J9</f>
        <v xml:space="preserve">Program Pembangunan Jalan Tol </v>
      </c>
      <c r="I18" s="6">
        <f>DATA!K9</f>
        <v>2</v>
      </c>
      <c r="J18" s="38"/>
      <c r="K18" s="39"/>
      <c r="L18" s="39"/>
      <c r="M18" s="40"/>
      <c r="N18" s="126" t="str">
        <f>DATA!L9</f>
        <v xml:space="preserve">Toll Road Development of Solo - Kertosono </v>
      </c>
      <c r="O18" s="42">
        <f>DATA!Q9</f>
        <v>1</v>
      </c>
      <c r="P18" s="42">
        <f>DATA!R9</f>
        <v>1</v>
      </c>
      <c r="Q18" s="42">
        <f>DATA!S9</f>
        <v>5</v>
      </c>
      <c r="R18" s="83">
        <f>DATA!T9</f>
        <v>300000000</v>
      </c>
      <c r="S18" s="83">
        <f>DATA!U9</f>
        <v>300000000</v>
      </c>
      <c r="T18" s="83">
        <f>DATA!V9</f>
        <v>31900000</v>
      </c>
      <c r="U18" s="83">
        <f>DATA!W9</f>
        <v>0</v>
      </c>
      <c r="V18" s="83">
        <f>DATA!X9</f>
        <v>331900000</v>
      </c>
      <c r="W18" s="84" t="str">
        <f>DATA!Y9</f>
        <v>RRT</v>
      </c>
      <c r="X18" s="42" t="str">
        <f>DATA!Z9</f>
        <v>Bilateral</v>
      </c>
      <c r="Y18" s="83">
        <f>DATA!AA9</f>
        <v>300000000</v>
      </c>
      <c r="Z18" s="83">
        <f>DATA!AG9</f>
        <v>0</v>
      </c>
      <c r="AA18" s="42">
        <f>DATA!AH9</f>
        <v>2015</v>
      </c>
      <c r="AB18" s="67" t="str">
        <f>DATA!AI9</f>
        <v>- Sudah ada R/C
- Green Book 2015
- Loan Agreement tgl 29 Des'15</v>
      </c>
      <c r="AC18" s="67"/>
      <c r="AD18" s="67"/>
      <c r="AE18" s="67"/>
      <c r="AF18" s="67"/>
      <c r="AG18" s="67"/>
      <c r="AH18" s="67"/>
      <c r="AI18" s="67"/>
      <c r="AJ18" s="67" t="str">
        <f>DATA!AJ9</f>
        <v>FS, DED</v>
      </c>
      <c r="AK18" s="115">
        <f>DATA!AK9</f>
        <v>0.62229999999999996</v>
      </c>
      <c r="AL18" s="67" t="str">
        <f>DATA!AL9</f>
        <v>Kontrak sudah ditandatangani</v>
      </c>
      <c r="AM18" s="42" t="str">
        <f>DATA!AR9</f>
        <v>Nilai pinjaman di GB USD 200.000 ribu</v>
      </c>
      <c r="AN18" s="42" t="str">
        <f>DATA!AN9</f>
        <v>(memiliki FS dan DED)</v>
      </c>
      <c r="AO18" s="42" t="str">
        <f>DATA!AO9</f>
        <v>dalam proses
(pelaksanaan 62%)</v>
      </c>
      <c r="AP18" s="42" t="str">
        <f>DATA!AP9</f>
        <v>dalam proses tender/lelang</v>
      </c>
      <c r="AQ18" s="42" t="str">
        <f>DATA!AY9</f>
        <v>Konfirmasi melalui surat Sekjen nomor KU.01.12-Sj/636 tgl 23 Oktober 2015</v>
      </c>
      <c r="AR18" s="42" t="e">
        <f>DATA!#REF!</f>
        <v>#REF!</v>
      </c>
      <c r="AS18" s="42">
        <f>DATA!AZ9</f>
        <v>0</v>
      </c>
      <c r="AT18" s="67" t="str">
        <f>DATA!BA9</f>
        <v xml:space="preserve">Pembangunan jalan tol Solo-Kertosono sepanjang 26,45 km </v>
      </c>
    </row>
    <row r="19" spans="1:46" s="5" customFormat="1" ht="33.75" customHeight="1">
      <c r="J19" s="28"/>
      <c r="K19" s="50"/>
      <c r="L19" s="30" t="str">
        <f>DATA!I10</f>
        <v>B</v>
      </c>
      <c r="M19" s="31" t="str">
        <f>DATA!J10</f>
        <v xml:space="preserve">Program Pembangunan / Peningkatan Jembatan </v>
      </c>
      <c r="N19" s="51"/>
      <c r="O19" s="31"/>
      <c r="P19" s="31"/>
      <c r="Q19" s="31"/>
      <c r="R19" s="81">
        <f>SUM(R20:R24)</f>
        <v>1500000000</v>
      </c>
      <c r="S19" s="81"/>
      <c r="T19" s="81">
        <f t="shared" ref="T19:Z19" si="0">SUM(T20:T24)</f>
        <v>126500000</v>
      </c>
      <c r="U19" s="81">
        <f t="shared" si="0"/>
        <v>0</v>
      </c>
      <c r="V19" s="81">
        <f t="shared" si="0"/>
        <v>1626500000</v>
      </c>
      <c r="W19" s="81"/>
      <c r="X19" s="81">
        <f t="shared" si="0"/>
        <v>0</v>
      </c>
      <c r="Y19" s="81">
        <f t="shared" si="0"/>
        <v>1500000000</v>
      </c>
      <c r="Z19" s="81">
        <f t="shared" si="0"/>
        <v>0</v>
      </c>
      <c r="AA19" s="31"/>
      <c r="AB19" s="32"/>
      <c r="AC19" s="32"/>
      <c r="AD19" s="32"/>
      <c r="AE19" s="32"/>
      <c r="AF19" s="32"/>
      <c r="AG19" s="32"/>
      <c r="AH19" s="32"/>
      <c r="AI19" s="32"/>
      <c r="AJ19" s="32"/>
      <c r="AK19" s="32"/>
      <c r="AL19" s="32"/>
      <c r="AM19" s="31"/>
      <c r="AN19" s="31"/>
      <c r="AO19" s="31"/>
      <c r="AP19" s="31"/>
      <c r="AQ19" s="31"/>
      <c r="AR19" s="31"/>
      <c r="AS19" s="31"/>
      <c r="AT19" s="32"/>
    </row>
    <row r="20" spans="1:46" ht="45" customHeight="1">
      <c r="A20" s="10">
        <f>DATA!A10</f>
        <v>8</v>
      </c>
      <c r="B20" s="10">
        <f>DATA!B10</f>
        <v>0</v>
      </c>
      <c r="C20" s="10" t="str">
        <f>DATA!D10</f>
        <v>INFRASTRUKTUR</v>
      </c>
      <c r="D20" s="10">
        <f>DATA!E10</f>
        <v>1</v>
      </c>
      <c r="E20" s="10" t="str">
        <f>DATA!F10</f>
        <v>Kementerian Pekerjaan Umum dan Perumahan Rakyat</v>
      </c>
      <c r="F20" s="10" t="str">
        <f>DATA!H10</f>
        <v>Development and Improvement of National Bridges Program</v>
      </c>
      <c r="G20" s="10" t="str">
        <f>DATA!I10</f>
        <v>B</v>
      </c>
      <c r="H20" s="10" t="str">
        <f>DATA!J10</f>
        <v xml:space="preserve">Program Pembangunan / Peningkatan Jembatan </v>
      </c>
      <c r="I20" s="10">
        <f>DATA!K10</f>
        <v>1</v>
      </c>
      <c r="J20" s="33"/>
      <c r="K20" s="34"/>
      <c r="L20" s="35"/>
      <c r="M20" s="52">
        <f>DATA!K10</f>
        <v>1</v>
      </c>
      <c r="N20" s="53" t="str">
        <f>DATA!L10</f>
        <v>Material Procurement for Construction and Bridge Rehabilitation</v>
      </c>
      <c r="O20" s="20">
        <f>DATA!Q10</f>
        <v>1</v>
      </c>
      <c r="P20" s="20">
        <f>DATA!R10</f>
        <v>1</v>
      </c>
      <c r="Q20" s="20">
        <f>DATA!S10</f>
        <v>6</v>
      </c>
      <c r="R20" s="77">
        <f>DATA!T10</f>
        <v>450000000</v>
      </c>
      <c r="S20" s="83">
        <f>DATA!U10</f>
        <v>450000000</v>
      </c>
      <c r="T20" s="77">
        <f>DATA!V10</f>
        <v>0</v>
      </c>
      <c r="U20" s="77">
        <f>DATA!W10</f>
        <v>0</v>
      </c>
      <c r="V20" s="77">
        <f>DATA!X10</f>
        <v>450000000</v>
      </c>
      <c r="W20" s="78" t="str">
        <f>DATA!Y10</f>
        <v>Spanyol/RRT</v>
      </c>
      <c r="X20" s="20" t="str">
        <f>DATA!Z10</f>
        <v>Multi Lender</v>
      </c>
      <c r="Y20" s="77">
        <f>DATA!AA10</f>
        <v>450000000</v>
      </c>
      <c r="Z20" s="77">
        <f>DATA!AG10</f>
        <v>0</v>
      </c>
      <c r="AA20" s="20">
        <f>DATA!AH10</f>
        <v>2017</v>
      </c>
      <c r="AB20" s="37" t="str">
        <f>DATA!AI10</f>
        <v>-</v>
      </c>
      <c r="AC20" s="37"/>
      <c r="AD20" s="37"/>
      <c r="AE20" s="37"/>
      <c r="AF20" s="37"/>
      <c r="AG20" s="37"/>
      <c r="AH20" s="37"/>
      <c r="AI20" s="37"/>
      <c r="AJ20" s="37" t="str">
        <f>DATA!AJ10</f>
        <v>-</v>
      </c>
      <c r="AK20" s="37" t="str">
        <f>DATA!AK10</f>
        <v>-</v>
      </c>
      <c r="AL20" s="37" t="str">
        <f>DATA!AL10</f>
        <v>-</v>
      </c>
      <c r="AM20" s="20" t="str">
        <f>DATA!AR10</f>
        <v>belum ada dokumen R/C</v>
      </c>
      <c r="AN20" s="20" t="str">
        <f>DATA!AN10</f>
        <v>belum ada keterangan</v>
      </c>
      <c r="AO20" s="20" t="str">
        <f>DATA!AO10</f>
        <v>belum ada keterangan</v>
      </c>
      <c r="AP20" s="20" t="str">
        <f>DATA!AP10</f>
        <v>belum ada proses tender/lelang</v>
      </c>
      <c r="AQ20" s="20" t="str">
        <f>DATA!AY10</f>
        <v>- Konfirmasi melalui surat Sekjen nomor KU.01.12-Sj/636 tgl 23 Oktober 2015
- Telah ada pengalaman sebelumnya dengan Loan Spanyol</v>
      </c>
      <c r="AR20" s="20" t="e">
        <f>DATA!#REF!</f>
        <v>#REF!</v>
      </c>
      <c r="AS20" s="20">
        <f>DATA!AZ10</f>
        <v>0</v>
      </c>
      <c r="AT20" s="37" t="str">
        <f>DATA!BA10</f>
        <v>Pengadaan material rangka jembatan untuk pekerjaan konstruksi dan rehabilitasi sekitar 55.000 m jembatan yang ada di Indonesia</v>
      </c>
    </row>
    <row r="21" spans="1:46" ht="45" customHeight="1">
      <c r="A21" s="10">
        <f>DATA!A11</f>
        <v>9</v>
      </c>
      <c r="B21" s="10">
        <f>DATA!B11</f>
        <v>0</v>
      </c>
      <c r="C21" s="10" t="str">
        <f>DATA!D11</f>
        <v>INFRASTRUKTUR</v>
      </c>
      <c r="D21" s="10">
        <f>DATA!E11</f>
        <v>1</v>
      </c>
      <c r="E21" s="10" t="str">
        <f>DATA!F11</f>
        <v>Kementerian Pekerjaan Umum dan Perumahan Rakyat</v>
      </c>
      <c r="F21" s="10" t="str">
        <f>DATA!H11</f>
        <v>Development and Improvement of National Bridges Program</v>
      </c>
      <c r="G21" s="10" t="str">
        <f>DATA!I11</f>
        <v>B</v>
      </c>
      <c r="H21" s="10" t="str">
        <f>DATA!J11</f>
        <v xml:space="preserve">Program Pembangunan / Peningkatan Jembatan </v>
      </c>
      <c r="I21" s="10">
        <f>DATA!K11</f>
        <v>2</v>
      </c>
      <c r="J21" s="33"/>
      <c r="K21" s="34"/>
      <c r="L21" s="34"/>
      <c r="M21" s="36">
        <f>DATA!K11</f>
        <v>2</v>
      </c>
      <c r="N21" s="37" t="str">
        <f>DATA!L11</f>
        <v>Development of Fly Over/ Under Pass for Railways Crossing</v>
      </c>
      <c r="O21" s="20">
        <f>DATA!Q11</f>
        <v>1</v>
      </c>
      <c r="P21" s="20">
        <f>DATA!R11</f>
        <v>1</v>
      </c>
      <c r="Q21" s="20">
        <f>DATA!S11</f>
        <v>7</v>
      </c>
      <c r="R21" s="77">
        <f>DATA!T11</f>
        <v>250000000</v>
      </c>
      <c r="S21" s="83">
        <f>DATA!U11</f>
        <v>250000000</v>
      </c>
      <c r="T21" s="77">
        <f>DATA!V11</f>
        <v>50000000</v>
      </c>
      <c r="U21" s="77">
        <f>DATA!W11</f>
        <v>0</v>
      </c>
      <c r="V21" s="77">
        <f>DATA!X11</f>
        <v>300000000</v>
      </c>
      <c r="W21" s="78" t="str">
        <f>DATA!Y11</f>
        <v>JICA</v>
      </c>
      <c r="X21" s="20" t="str">
        <f>DATA!Z11</f>
        <v>Bilateral</v>
      </c>
      <c r="Y21" s="77">
        <f>DATA!AA11</f>
        <v>250000000</v>
      </c>
      <c r="Z21" s="77">
        <f>DATA!AG11</f>
        <v>0</v>
      </c>
      <c r="AA21" s="20">
        <f>DATA!AH11</f>
        <v>2017</v>
      </c>
      <c r="AB21" s="37" t="str">
        <f>DATA!AI11</f>
        <v>-</v>
      </c>
      <c r="AC21" s="37"/>
      <c r="AD21" s="37"/>
      <c r="AE21" s="37"/>
      <c r="AF21" s="37"/>
      <c r="AG21" s="37"/>
      <c r="AH21" s="37"/>
      <c r="AI21" s="37"/>
      <c r="AJ21" s="37" t="str">
        <f>DATA!AJ11</f>
        <v>Penyusunan FS dan BD</v>
      </c>
      <c r="AK21" s="37" t="str">
        <f>DATA!AK11</f>
        <v>-</v>
      </c>
      <c r="AL21" s="37" t="str">
        <f>DATA!AL11</f>
        <v>-</v>
      </c>
      <c r="AM21" s="20" t="str">
        <f>DATA!AR11</f>
        <v>belum ada dokumen R/C</v>
      </c>
      <c r="AN21" s="20" t="str">
        <f>DATA!AN11</f>
        <v>dalam proses
(penyusunan FS)</v>
      </c>
      <c r="AO21" s="20" t="str">
        <f>DATA!AO11</f>
        <v>belum ada keterangan</v>
      </c>
      <c r="AP21" s="20" t="str">
        <f>DATA!AP11</f>
        <v>belum ada proses tender/lelang</v>
      </c>
      <c r="AQ21" s="20" t="str">
        <f>DATA!AY11</f>
        <v>- Konfirmasi melalui surat Sekjen nomor KU.01.12-Sj/636 tgl 23 Oktober 2015</v>
      </c>
      <c r="AR21" s="20" t="e">
        <f>DATA!#REF!</f>
        <v>#REF!</v>
      </c>
      <c r="AS21" s="20">
        <f>DATA!AZ11</f>
        <v>0</v>
      </c>
      <c r="AT21" s="37" t="str">
        <f>DATA!BA11</f>
        <v>Pembangunan fly over/ under pass untuk persimpangan jalan dengan jalan kereta sepanjang 7 km di Jawa dan Sumatera</v>
      </c>
    </row>
    <row r="22" spans="1:46" ht="43.5" customHeight="1">
      <c r="A22" s="10">
        <f>DATA!A12</f>
        <v>10</v>
      </c>
      <c r="B22" s="10">
        <f>DATA!B12</f>
        <v>0</v>
      </c>
      <c r="C22" s="10" t="str">
        <f>DATA!D12</f>
        <v>INFRASTRUKTUR</v>
      </c>
      <c r="D22" s="10">
        <f>DATA!E12</f>
        <v>1</v>
      </c>
      <c r="E22" s="10" t="str">
        <f>DATA!F12</f>
        <v>Kementerian Pekerjaan Umum dan Perumahan Rakyat</v>
      </c>
      <c r="F22" s="10" t="str">
        <f>DATA!H12</f>
        <v>Development and Improvement of National Bridges Program</v>
      </c>
      <c r="G22" s="10" t="str">
        <f>DATA!I12</f>
        <v>B</v>
      </c>
      <c r="H22" s="10" t="str">
        <f>DATA!J12</f>
        <v xml:space="preserve">Program Pembangunan / Peningkatan Jembatan </v>
      </c>
      <c r="I22" s="10">
        <f>DATA!K12</f>
        <v>3</v>
      </c>
      <c r="J22" s="33"/>
      <c r="K22" s="34"/>
      <c r="L22" s="34"/>
      <c r="M22" s="36">
        <f>DATA!K12</f>
        <v>3</v>
      </c>
      <c r="N22" s="37" t="str">
        <f>DATA!L12</f>
        <v>Development of Fly Over/ Under Pass in Major Cities</v>
      </c>
      <c r="O22" s="20">
        <f>DATA!Q12</f>
        <v>1</v>
      </c>
      <c r="P22" s="20">
        <f>DATA!R12</f>
        <v>1</v>
      </c>
      <c r="Q22" s="20">
        <f>DATA!S12</f>
        <v>8</v>
      </c>
      <c r="R22" s="77">
        <f>DATA!T12</f>
        <v>270000000</v>
      </c>
      <c r="S22" s="83">
        <f>DATA!U12</f>
        <v>270000000</v>
      </c>
      <c r="T22" s="77">
        <f>DATA!V12</f>
        <v>50000000</v>
      </c>
      <c r="U22" s="77">
        <f>DATA!W12</f>
        <v>0</v>
      </c>
      <c r="V22" s="77">
        <f>DATA!X12</f>
        <v>320000000</v>
      </c>
      <c r="W22" s="78" t="str">
        <f>DATA!Y12</f>
        <v>JICA</v>
      </c>
      <c r="X22" s="20" t="str">
        <f>DATA!Z12</f>
        <v>Bilateral</v>
      </c>
      <c r="Y22" s="77">
        <f>DATA!AA12</f>
        <v>270000000</v>
      </c>
      <c r="Z22" s="77">
        <f>DATA!AG12</f>
        <v>0</v>
      </c>
      <c r="AA22" s="20">
        <f>DATA!AH12</f>
        <v>2017</v>
      </c>
      <c r="AB22" s="37" t="str">
        <f>DATA!AI12</f>
        <v>-</v>
      </c>
      <c r="AC22" s="37"/>
      <c r="AD22" s="37"/>
      <c r="AE22" s="37"/>
      <c r="AF22" s="37"/>
      <c r="AG22" s="37"/>
      <c r="AH22" s="37"/>
      <c r="AI22" s="37"/>
      <c r="AJ22" s="37" t="str">
        <f>DATA!AJ12</f>
        <v>Penyusunan FS dan BD</v>
      </c>
      <c r="AK22" s="37" t="str">
        <f>DATA!AK12</f>
        <v>-</v>
      </c>
      <c r="AL22" s="37" t="str">
        <f>DATA!AL12</f>
        <v>-</v>
      </c>
      <c r="AM22" s="20" t="str">
        <f>DATA!AR12</f>
        <v>belum ada dokumen R/C</v>
      </c>
      <c r="AN22" s="20" t="str">
        <f>DATA!AN12</f>
        <v>dalam proses
 (penyusunan FS)</v>
      </c>
      <c r="AO22" s="20" t="str">
        <f>DATA!AO12</f>
        <v>belum ada keterangan</v>
      </c>
      <c r="AP22" s="20" t="str">
        <f>DATA!AP12</f>
        <v>belum ada proses tender/lelang</v>
      </c>
      <c r="AQ22" s="20" t="str">
        <f>DATA!AY12</f>
        <v>Konfirmasi melalui surat Sekjen nomor KU.01.12-Sj/636 tgl 23 Oktober 2015</v>
      </c>
      <c r="AR22" s="20" t="e">
        <f>DATA!#REF!</f>
        <v>#REF!</v>
      </c>
      <c r="AS22" s="20">
        <f>DATA!AZ12</f>
        <v>0</v>
      </c>
      <c r="AT22" s="37" t="str">
        <f>DATA!BA12</f>
        <v>Pembangunan fly over/ under pass sepanjang kurang lebih 8 km untuk 9 kota besar yang ada di Jawa dan Sumatera</v>
      </c>
    </row>
    <row r="23" spans="1:46" ht="35.25" customHeight="1">
      <c r="A23" s="10">
        <f>DATA!A13</f>
        <v>11</v>
      </c>
      <c r="B23" s="10">
        <f>DATA!B13</f>
        <v>0</v>
      </c>
      <c r="C23" s="10" t="str">
        <f>DATA!D13</f>
        <v>INFRASTRUKTUR</v>
      </c>
      <c r="D23" s="10">
        <f>DATA!E13</f>
        <v>1</v>
      </c>
      <c r="E23" s="10" t="str">
        <f>DATA!F13</f>
        <v>Kementerian Pekerjaan Umum dan Perumahan Rakyat</v>
      </c>
      <c r="F23" s="10" t="str">
        <f>DATA!H13</f>
        <v>Development and Improvement of National Bridges Program</v>
      </c>
      <c r="G23" s="10" t="str">
        <f>DATA!I13</f>
        <v>B</v>
      </c>
      <c r="H23" s="10" t="str">
        <f>DATA!J13</f>
        <v xml:space="preserve">Program Pembangunan / Peningkatan Jembatan </v>
      </c>
      <c r="I23" s="10">
        <f>DATA!K13</f>
        <v>4</v>
      </c>
      <c r="J23" s="33"/>
      <c r="K23" s="34"/>
      <c r="L23" s="34"/>
      <c r="M23" s="36">
        <f>DATA!K13</f>
        <v>4</v>
      </c>
      <c r="N23" s="37" t="str">
        <f>DATA!L13</f>
        <v>Balinka - Matur - Ngarai Sianok Tunnel Construction</v>
      </c>
      <c r="O23" s="20">
        <f>DATA!Q13</f>
        <v>1</v>
      </c>
      <c r="P23" s="20">
        <f>DATA!R13</f>
        <v>1</v>
      </c>
      <c r="Q23" s="20">
        <f>DATA!S13</f>
        <v>9</v>
      </c>
      <c r="R23" s="77">
        <f>DATA!T13</f>
        <v>175000000</v>
      </c>
      <c r="S23" s="83">
        <f>DATA!U13</f>
        <v>175000000</v>
      </c>
      <c r="T23" s="77">
        <f>DATA!V13</f>
        <v>8750000</v>
      </c>
      <c r="U23" s="77">
        <f>DATA!W13</f>
        <v>0</v>
      </c>
      <c r="V23" s="77">
        <f>DATA!X13</f>
        <v>183750000</v>
      </c>
      <c r="W23" s="78" t="str">
        <f>DATA!Y13</f>
        <v>Korea/RRT</v>
      </c>
      <c r="X23" s="20" t="str">
        <f>DATA!Z13</f>
        <v>Multi Lender</v>
      </c>
      <c r="Y23" s="77">
        <f>DATA!AA13</f>
        <v>175000000</v>
      </c>
      <c r="Z23" s="77">
        <f>DATA!AG13</f>
        <v>0</v>
      </c>
      <c r="AA23" s="20">
        <f>DATA!AH13</f>
        <v>2017</v>
      </c>
      <c r="AB23" s="37" t="str">
        <f>DATA!AI13</f>
        <v>-</v>
      </c>
      <c r="AC23" s="37"/>
      <c r="AD23" s="37"/>
      <c r="AE23" s="37"/>
      <c r="AF23" s="37"/>
      <c r="AG23" s="37"/>
      <c r="AH23" s="37"/>
      <c r="AI23" s="37"/>
      <c r="AJ23" s="37" t="str">
        <f>DATA!AJ13</f>
        <v>FS, DED, SP2LP</v>
      </c>
      <c r="AK23" s="37" t="str">
        <f>DATA!AK13</f>
        <v>-</v>
      </c>
      <c r="AL23" s="37" t="str">
        <f>DATA!AL13</f>
        <v>-</v>
      </c>
      <c r="AM23" s="20" t="str">
        <f>DATA!AR13</f>
        <v>belum ada dokumen R/C</v>
      </c>
      <c r="AN23" s="20" t="str">
        <f>DATA!AN13</f>
        <v>dalam proses
(memiliki FS dan DED)</v>
      </c>
      <c r="AO23" s="20" t="str">
        <f>DATA!AO13</f>
        <v>belum ada keterangan</v>
      </c>
      <c r="AP23" s="20" t="str">
        <f>DATA!AP13</f>
        <v>belum ada proses tender/lelang</v>
      </c>
      <c r="AQ23" s="20" t="str">
        <f>DATA!AY13</f>
        <v>Konfirmasi melalui surat Sekjen nomor KU.01.12-Sj/636 tgl 23 Oktober 2015</v>
      </c>
      <c r="AR23" s="20" t="e">
        <f>DATA!#REF!</f>
        <v>#REF!</v>
      </c>
      <c r="AS23" s="20">
        <f>DATA!AZ13</f>
        <v>0</v>
      </c>
      <c r="AT23" s="37" t="str">
        <f>DATA!BA13</f>
        <v xml:space="preserve">Pembangunan terowongan, jembatan dan jalan sepanjang 5 km di daerah Balinka-Ngarai Sianok, Sumatera Barat </v>
      </c>
    </row>
    <row r="24" spans="1:46" ht="58.5" customHeight="1">
      <c r="A24" s="10">
        <f>DATA!A14</f>
        <v>12</v>
      </c>
      <c r="B24" s="10">
        <f>DATA!B14</f>
        <v>0</v>
      </c>
      <c r="C24" s="10" t="str">
        <f>DATA!D14</f>
        <v>INFRASTRUKTUR</v>
      </c>
      <c r="D24" s="10">
        <f>DATA!E14</f>
        <v>1</v>
      </c>
      <c r="E24" s="10" t="str">
        <f>DATA!F14</f>
        <v>Kementerian Pekerjaan Umum dan Perumahan Rakyat</v>
      </c>
      <c r="F24" s="10" t="str">
        <f>DATA!H14</f>
        <v>Development and Improvement of National Bridges Program</v>
      </c>
      <c r="G24" s="10" t="str">
        <f>DATA!I14</f>
        <v>B</v>
      </c>
      <c r="H24" s="10" t="str">
        <f>DATA!J14</f>
        <v xml:space="preserve">Program Pembangunan / Peningkatan Jembatan </v>
      </c>
      <c r="I24" s="10">
        <f>DATA!K14</f>
        <v>5</v>
      </c>
      <c r="J24" s="33"/>
      <c r="K24" s="34"/>
      <c r="L24" s="54"/>
      <c r="M24" s="36">
        <f>DATA!K14</f>
        <v>5</v>
      </c>
      <c r="N24" s="37" t="str">
        <f>DATA!L14</f>
        <v>Long Span Bridge Development for Selected Area</v>
      </c>
      <c r="O24" s="20">
        <f>DATA!Q14</f>
        <v>1</v>
      </c>
      <c r="P24" s="20">
        <f>DATA!R14</f>
        <v>1</v>
      </c>
      <c r="Q24" s="20">
        <f>DATA!S14</f>
        <v>10</v>
      </c>
      <c r="R24" s="77">
        <f>DATA!T14</f>
        <v>355000000</v>
      </c>
      <c r="S24" s="83">
        <f>DATA!U14</f>
        <v>355000000</v>
      </c>
      <c r="T24" s="77">
        <f>DATA!V14</f>
        <v>17750000</v>
      </c>
      <c r="U24" s="77">
        <f>DATA!W14</f>
        <v>0</v>
      </c>
      <c r="V24" s="77">
        <f>DATA!X14</f>
        <v>372750000</v>
      </c>
      <c r="W24" s="78" t="str">
        <f>DATA!Y14</f>
        <v>Korea/RRT</v>
      </c>
      <c r="X24" s="20" t="str">
        <f>DATA!Z14</f>
        <v>Multi Lender</v>
      </c>
      <c r="Y24" s="77">
        <f>DATA!AA14</f>
        <v>355000000</v>
      </c>
      <c r="Z24" s="77">
        <f>DATA!AG14</f>
        <v>0</v>
      </c>
      <c r="AA24" s="20" t="str">
        <f>DATA!AH14</f>
        <v>Tanpa keterangan</v>
      </c>
      <c r="AB24" s="37" t="str">
        <f>DATA!AI14</f>
        <v>-</v>
      </c>
      <c r="AC24" s="37"/>
      <c r="AD24" s="37"/>
      <c r="AE24" s="37"/>
      <c r="AF24" s="37"/>
      <c r="AG24" s="37"/>
      <c r="AH24" s="37"/>
      <c r="AI24" s="37"/>
      <c r="AJ24" s="37" t="str">
        <f>DATA!AJ14</f>
        <v>-</v>
      </c>
      <c r="AK24" s="37" t="str">
        <f>DATA!AK14</f>
        <v>-</v>
      </c>
      <c r="AL24" s="37" t="str">
        <f>DATA!AL14</f>
        <v>-</v>
      </c>
      <c r="AM24" s="20" t="str">
        <f>DATA!AR14</f>
        <v>belum ada dokumen R/C</v>
      </c>
      <c r="AN24" s="20" t="str">
        <f>DATA!AN14</f>
        <v>belum ada keterangan</v>
      </c>
      <c r="AO24" s="20" t="str">
        <f>DATA!AO14</f>
        <v>belum ada keterangan</v>
      </c>
      <c r="AP24" s="20" t="str">
        <f>DATA!AP14</f>
        <v>belum ada proses tender/lelang</v>
      </c>
      <c r="AQ24" s="20" t="str">
        <f>DATA!AY14</f>
        <v>Konfirmasi melalui surat Sekjen nomor KU.01.12-Sj/636 tgl 23 Oktober 2015</v>
      </c>
      <c r="AR24" s="20" t="e">
        <f>DATA!#REF!</f>
        <v>#REF!</v>
      </c>
      <c r="AS24" s="20">
        <f>DATA!AZ14</f>
        <v>0</v>
      </c>
      <c r="AT24" s="37" t="str">
        <f>DATA!BA14</f>
        <v>Pembangunan jembatan bentang panjang 5.000 m (pada area tertentu) di wilayah Pulau Jawa dan Sumatera yang dipisahkan oleh oleh sungai, rawa, danau, selat, saluran besar.</v>
      </c>
    </row>
    <row r="25" spans="1:46" s="5" customFormat="1" ht="33.75" customHeight="1">
      <c r="J25" s="28"/>
      <c r="K25" s="50"/>
      <c r="L25" s="30" t="str">
        <f>DATA!I15</f>
        <v>C</v>
      </c>
      <c r="M25" s="31" t="str">
        <f>DATA!J16</f>
        <v>Program Pembangunan / Peningkatan Jalan</v>
      </c>
      <c r="N25" s="51"/>
      <c r="O25" s="31"/>
      <c r="P25" s="31"/>
      <c r="Q25" s="31"/>
      <c r="R25" s="81">
        <f>SUM(R26:R33)</f>
        <v>2000000000</v>
      </c>
      <c r="S25" s="81"/>
      <c r="T25" s="81">
        <f>SUM(T27:T33)</f>
        <v>350000000</v>
      </c>
      <c r="U25" s="81">
        <f>SUM(U27:U33)</f>
        <v>0</v>
      </c>
      <c r="V25" s="81">
        <f>SUM(V27:V33)</f>
        <v>2100000000</v>
      </c>
      <c r="W25" s="81"/>
      <c r="X25" s="81">
        <f>SUM(X27:X33)</f>
        <v>0</v>
      </c>
      <c r="Y25" s="81">
        <f>SUM(Y27:Y33)</f>
        <v>1750000000</v>
      </c>
      <c r="Z25" s="81">
        <f>SUM(Z27:Z33)</f>
        <v>0</v>
      </c>
      <c r="AA25" s="31"/>
      <c r="AB25" s="32"/>
      <c r="AC25" s="32"/>
      <c r="AD25" s="32"/>
      <c r="AE25" s="32"/>
      <c r="AF25" s="32"/>
      <c r="AG25" s="32"/>
      <c r="AH25" s="32"/>
      <c r="AI25" s="32"/>
      <c r="AJ25" s="32"/>
      <c r="AK25" s="32"/>
      <c r="AL25" s="32"/>
      <c r="AM25" s="31"/>
      <c r="AN25" s="31"/>
      <c r="AO25" s="31"/>
      <c r="AP25" s="31"/>
      <c r="AQ25" s="31"/>
      <c r="AR25" s="31"/>
      <c r="AS25" s="31"/>
      <c r="AT25" s="32"/>
    </row>
    <row r="26" spans="1:46" s="5" customFormat="1" ht="33.75" customHeight="1">
      <c r="J26" s="28"/>
      <c r="K26" s="50"/>
      <c r="L26" s="55"/>
      <c r="M26" s="36">
        <f>DATA!K15</f>
        <v>1</v>
      </c>
      <c r="N26" s="37" t="str">
        <f>DATA!L15</f>
        <v>Urban Arterial Road Improvement Project</v>
      </c>
      <c r="O26" s="37">
        <f>DATA!Q15</f>
        <v>1</v>
      </c>
      <c r="P26" s="37">
        <f>DATA!R15</f>
        <v>1</v>
      </c>
      <c r="Q26" s="37">
        <f>DATA!S15</f>
        <v>0</v>
      </c>
      <c r="R26" s="87">
        <f>DATA!T15</f>
        <v>250000000</v>
      </c>
      <c r="S26" s="87">
        <f>DATA!U15</f>
        <v>205000000</v>
      </c>
      <c r="T26" s="87">
        <f>DATA!V15</f>
        <v>50000000</v>
      </c>
      <c r="U26" s="87">
        <f>DATA!W15</f>
        <v>0</v>
      </c>
      <c r="V26" s="87">
        <f>DATA!X15</f>
        <v>300000000</v>
      </c>
      <c r="W26" s="78" t="str">
        <f>DATA!Y15</f>
        <v>JICA</v>
      </c>
      <c r="X26" s="37" t="str">
        <f>DATA!Z15</f>
        <v>Multilateral</v>
      </c>
      <c r="Y26" s="87">
        <f>DATA!AA15</f>
        <v>205000000</v>
      </c>
      <c r="Z26" s="87">
        <f>DATA!AG15</f>
        <v>0</v>
      </c>
      <c r="AA26" s="37">
        <f>DATA!AH15</f>
        <v>2016</v>
      </c>
      <c r="AB26" s="56" t="str">
        <f>DATA!AI15</f>
        <v>-</v>
      </c>
      <c r="AC26" s="56"/>
      <c r="AD26" s="56"/>
      <c r="AE26" s="56"/>
      <c r="AF26" s="56"/>
      <c r="AG26" s="56"/>
      <c r="AH26" s="56"/>
      <c r="AI26" s="56"/>
      <c r="AJ26" s="56" t="str">
        <f>DATA!AJ15</f>
        <v>Sebagian telah ada FS, DED dan AMDAL</v>
      </c>
      <c r="AK26" s="56" t="str">
        <f>DATA!AK15</f>
        <v>-</v>
      </c>
      <c r="AL26" s="56" t="str">
        <f>DATA!AL15</f>
        <v>-</v>
      </c>
      <c r="AM26" s="31"/>
      <c r="AN26" s="31"/>
      <c r="AO26" s="31"/>
      <c r="AP26" s="31"/>
      <c r="AQ26" s="31"/>
      <c r="AR26" s="31"/>
      <c r="AS26" s="31"/>
      <c r="AT26" s="32"/>
    </row>
    <row r="27" spans="1:46" ht="37.5" customHeight="1">
      <c r="A27" s="10">
        <f>DATA!A16</f>
        <v>14</v>
      </c>
      <c r="B27" s="10">
        <f>DATA!B16</f>
        <v>0</v>
      </c>
      <c r="C27" s="10" t="str">
        <f>DATA!D16</f>
        <v>INFRASTRUKTUR</v>
      </c>
      <c r="D27" s="10">
        <f>DATA!E16</f>
        <v>1</v>
      </c>
      <c r="E27" s="10" t="str">
        <f>DATA!F16</f>
        <v>Kementerian Pekerjaan Umum dan Perumahan Rakyat</v>
      </c>
      <c r="F27" s="10" t="str">
        <f>DATA!H16</f>
        <v>Development and Improvement of National Roads Program</v>
      </c>
      <c r="G27" s="10" t="str">
        <f>DATA!I16</f>
        <v>C</v>
      </c>
      <c r="H27" s="10" t="str">
        <f>DATA!J16</f>
        <v>Program Pembangunan / Peningkatan Jalan</v>
      </c>
      <c r="I27" s="10">
        <f>DATA!K16</f>
        <v>2</v>
      </c>
      <c r="J27" s="33"/>
      <c r="K27" s="34"/>
      <c r="L27" s="34"/>
      <c r="M27" s="36">
        <f>DATA!K16</f>
        <v>2</v>
      </c>
      <c r="N27" s="37" t="str">
        <f>DATA!L16</f>
        <v>Construction of Development of Trans South-South, Eastern Java</v>
      </c>
      <c r="O27" s="20">
        <f>DATA!Q16</f>
        <v>1</v>
      </c>
      <c r="P27" s="20">
        <f>DATA!R16</f>
        <v>1</v>
      </c>
      <c r="Q27" s="20">
        <f>DATA!S16</f>
        <v>12</v>
      </c>
      <c r="R27" s="77">
        <f>DATA!T16</f>
        <v>250000000</v>
      </c>
      <c r="S27" s="77">
        <f>DATA!U16</f>
        <v>250000000</v>
      </c>
      <c r="T27" s="77">
        <f>DATA!V16</f>
        <v>50000000</v>
      </c>
      <c r="U27" s="77">
        <f>DATA!W16</f>
        <v>0</v>
      </c>
      <c r="V27" s="77">
        <f>DATA!X16</f>
        <v>300000000</v>
      </c>
      <c r="W27" s="88" t="str">
        <f>DATA!Y16</f>
        <v>IDB</v>
      </c>
      <c r="X27" s="77" t="str">
        <f>DATA!Z16</f>
        <v>Multilateral</v>
      </c>
      <c r="Y27" s="77">
        <f>DATA!AA16</f>
        <v>250000000</v>
      </c>
      <c r="Z27" s="77">
        <f>DATA!AG16</f>
        <v>0</v>
      </c>
      <c r="AA27" s="100">
        <f>DATA!AH16</f>
        <v>2016</v>
      </c>
      <c r="AB27" s="101" t="str">
        <f>DATA!AI16</f>
        <v>-</v>
      </c>
      <c r="AC27" s="101"/>
      <c r="AD27" s="101"/>
      <c r="AE27" s="101"/>
      <c r="AF27" s="101"/>
      <c r="AG27" s="101"/>
      <c r="AH27" s="101"/>
      <c r="AI27" s="101"/>
      <c r="AJ27" s="101" t="str">
        <f>DATA!AJ16</f>
        <v>FS ada, DED dan AMDAL sebagian</v>
      </c>
      <c r="AK27" s="101" t="str">
        <f>DATA!AK16</f>
        <v>-</v>
      </c>
      <c r="AL27" s="56" t="str">
        <f>DATA!AL16</f>
        <v>-</v>
      </c>
      <c r="AM27" s="20" t="str">
        <f>DATA!AM16</f>
        <v>Rev. 2016</v>
      </c>
      <c r="AN27" s="20" t="str">
        <f>DATA!AN16</f>
        <v>siap</v>
      </c>
      <c r="AO27" s="20" t="str">
        <f>DATA!AO16</f>
        <v>belum ada keterangan</v>
      </c>
      <c r="AP27" s="20" t="str">
        <f>DATA!AP16</f>
        <v>belum ada proses tender/lelang</v>
      </c>
      <c r="AQ27" s="20" t="str">
        <f>DATA!AY16</f>
        <v>Konfirmasi melalui surat Sekjen nomor KU.01.12-Sj/636 tgl 23 Oktober 2015</v>
      </c>
      <c r="AR27" s="20" t="e">
        <f>DATA!#REF!</f>
        <v>#REF!</v>
      </c>
      <c r="AS27" s="20">
        <f>DATA!AZ16</f>
        <v>0</v>
      </c>
      <c r="AT27" s="37" t="str">
        <f>DATA!BA16</f>
        <v>Pembangunan dan peningkatan 200 km jalan Trans Selatan Selatan Pulau Jawa</v>
      </c>
    </row>
    <row r="28" spans="1:46" ht="45.75" customHeight="1">
      <c r="A28" s="10">
        <f>DATA!A17</f>
        <v>15</v>
      </c>
      <c r="B28" s="10">
        <f>DATA!B17</f>
        <v>0</v>
      </c>
      <c r="C28" s="10" t="str">
        <f>DATA!D17</f>
        <v>INFRASTRUKTUR</v>
      </c>
      <c r="D28" s="10">
        <f>DATA!E17</f>
        <v>1</v>
      </c>
      <c r="E28" s="10" t="str">
        <f>DATA!F17</f>
        <v>Kementerian Pekerjaan Umum dan Perumahan Rakyat</v>
      </c>
      <c r="F28" s="10" t="str">
        <f>DATA!H17</f>
        <v>Development and Improvement of National Roads Program</v>
      </c>
      <c r="G28" s="10" t="str">
        <f>DATA!I17</f>
        <v>C</v>
      </c>
      <c r="H28" s="10" t="str">
        <f>DATA!J17</f>
        <v>Program Pembangunan / Peningkatan Jalan</v>
      </c>
      <c r="I28" s="10">
        <f>DATA!K17</f>
        <v>3</v>
      </c>
      <c r="J28" s="33"/>
      <c r="K28" s="34"/>
      <c r="L28" s="34"/>
      <c r="M28" s="36">
        <f>DATA!K17</f>
        <v>3</v>
      </c>
      <c r="N28" s="37" t="str">
        <f>DATA!L17</f>
        <v>Road Improvement Project to Support Integrated Land and Sea Toll Way - Northern Area</v>
      </c>
      <c r="O28" s="20">
        <f>DATA!Q17</f>
        <v>1</v>
      </c>
      <c r="P28" s="20">
        <f>DATA!R17</f>
        <v>1</v>
      </c>
      <c r="Q28" s="20">
        <f>DATA!S17</f>
        <v>13</v>
      </c>
      <c r="R28" s="77">
        <f>DATA!T17</f>
        <v>250000000</v>
      </c>
      <c r="S28" s="83">
        <f>DATA!U16</f>
        <v>250000000</v>
      </c>
      <c r="T28" s="77">
        <f>DATA!V17</f>
        <v>50000000</v>
      </c>
      <c r="U28" s="77">
        <f>DATA!W17</f>
        <v>0</v>
      </c>
      <c r="V28" s="77">
        <f>DATA!X17</f>
        <v>300000000</v>
      </c>
      <c r="W28" s="78" t="str">
        <f>DATA!Y17</f>
        <v>Bank Dunia</v>
      </c>
      <c r="X28" s="20" t="str">
        <f>DATA!Z17</f>
        <v>Multilateral</v>
      </c>
      <c r="Y28" s="77">
        <f>DATA!AA17</f>
        <v>250000000</v>
      </c>
      <c r="Z28" s="77">
        <f>DATA!AG17</f>
        <v>0</v>
      </c>
      <c r="AA28" s="20" t="str">
        <f>DATA!AH17</f>
        <v>Tanpa keterangan</v>
      </c>
      <c r="AB28" s="56" t="str">
        <f>DATA!AI17</f>
        <v>-</v>
      </c>
      <c r="AC28" s="56"/>
      <c r="AD28" s="56"/>
      <c r="AE28" s="56"/>
      <c r="AF28" s="56"/>
      <c r="AG28" s="56"/>
      <c r="AH28" s="56"/>
      <c r="AI28" s="56"/>
      <c r="AJ28" s="56" t="str">
        <f>DATA!AJ17</f>
        <v>-</v>
      </c>
      <c r="AK28" s="56" t="str">
        <f>DATA!AK17</f>
        <v>-</v>
      </c>
      <c r="AL28" s="56" t="str">
        <f>DATA!AL17</f>
        <v>-</v>
      </c>
      <c r="AM28" s="20">
        <f>DATA!AM17</f>
        <v>0</v>
      </c>
      <c r="AN28" s="20" t="str">
        <f>DATA!AN17</f>
        <v>belum ada keterangan</v>
      </c>
      <c r="AO28" s="20" t="str">
        <f>DATA!AO17</f>
        <v>belum ada keterangan</v>
      </c>
      <c r="AP28" s="20" t="str">
        <f>DATA!AP17</f>
        <v>belum ada proses tender/lelang</v>
      </c>
      <c r="AQ28" s="20" t="str">
        <f>DATA!AY17</f>
        <v>Konfirmasi melalui surat Sekjen nomor KU.01.12-Sj/636 tgl 23 Oktober 2015</v>
      </c>
      <c r="AR28" s="20" t="e">
        <f>DATA!#REF!</f>
        <v>#REF!</v>
      </c>
      <c r="AS28" s="20" t="str">
        <f>DATA!AZ17</f>
        <v>termasuk ES (akan dipecah?) -&gt; konfirmasi tgl 15 Okt' 15</v>
      </c>
      <c r="AT28" s="37" t="str">
        <f>DATA!BA17</f>
        <v>Pembangunan/peningkatan 200 km jalan untuk mendukung tol laut bagian utara termasuk (i) koridor Aceh - Medan - Riau dan (ii) Medan - Sibolga</v>
      </c>
    </row>
    <row r="29" spans="1:46" ht="84" customHeight="1">
      <c r="A29" s="10">
        <f>DATA!A18</f>
        <v>16</v>
      </c>
      <c r="B29" s="10">
        <f>DATA!B18</f>
        <v>0</v>
      </c>
      <c r="C29" s="10" t="str">
        <f>DATA!D18</f>
        <v>INFRASTRUKTUR</v>
      </c>
      <c r="D29" s="10">
        <f>DATA!E18</f>
        <v>1</v>
      </c>
      <c r="E29" s="10" t="str">
        <f>DATA!F18</f>
        <v>Kementerian Pekerjaan Umum dan Perumahan Rakyat</v>
      </c>
      <c r="F29" s="10" t="str">
        <f>DATA!H18</f>
        <v>Development and Improvement of National Roads Program</v>
      </c>
      <c r="G29" s="10" t="str">
        <f>DATA!I18</f>
        <v>C</v>
      </c>
      <c r="H29" s="10" t="str">
        <f>DATA!J18</f>
        <v>Program Pembangunan / Peningkatan Jalan</v>
      </c>
      <c r="I29" s="10">
        <f>DATA!K18</f>
        <v>4</v>
      </c>
      <c r="J29" s="33"/>
      <c r="K29" s="34"/>
      <c r="L29" s="34"/>
      <c r="M29" s="36">
        <f>DATA!K18</f>
        <v>4</v>
      </c>
      <c r="N29" s="37" t="str">
        <f>DATA!L18</f>
        <v>Road Improvement Project to Support Integrated Land and Sea Toll Way - Southern Area</v>
      </c>
      <c r="O29" s="20">
        <f>DATA!Q18</f>
        <v>1</v>
      </c>
      <c r="P29" s="20">
        <f>DATA!R18</f>
        <v>1</v>
      </c>
      <c r="Q29" s="20">
        <f>DATA!S18</f>
        <v>14</v>
      </c>
      <c r="R29" s="77">
        <f>DATA!T18</f>
        <v>250000000</v>
      </c>
      <c r="S29" s="83">
        <f>DATA!U17</f>
        <v>250000000</v>
      </c>
      <c r="T29" s="77">
        <f>DATA!V18</f>
        <v>50000000</v>
      </c>
      <c r="U29" s="77">
        <f>DATA!W18</f>
        <v>0</v>
      </c>
      <c r="V29" s="77">
        <f>DATA!X18</f>
        <v>300000000</v>
      </c>
      <c r="W29" s="78" t="str">
        <f>DATA!Y18</f>
        <v>Bank Dunia/ADB</v>
      </c>
      <c r="X29" s="20" t="str">
        <f>DATA!Z18</f>
        <v>Multi Lender</v>
      </c>
      <c r="Y29" s="77">
        <f>DATA!AA18</f>
        <v>250000000</v>
      </c>
      <c r="Z29" s="77">
        <f>DATA!AG18</f>
        <v>0</v>
      </c>
      <c r="AA29" s="20" t="str">
        <f>DATA!AH18</f>
        <v>Tanpa keterangan</v>
      </c>
      <c r="AB29" s="56" t="str">
        <f>DATA!AI18</f>
        <v>-</v>
      </c>
      <c r="AC29" s="56"/>
      <c r="AD29" s="56"/>
      <c r="AE29" s="56"/>
      <c r="AF29" s="56"/>
      <c r="AG29" s="56"/>
      <c r="AH29" s="56"/>
      <c r="AI29" s="56"/>
      <c r="AJ29" s="56" t="str">
        <f>DATA!AJ18</f>
        <v>-</v>
      </c>
      <c r="AK29" s="56" t="str">
        <f>DATA!AK18</f>
        <v>-</v>
      </c>
      <c r="AL29" s="56" t="str">
        <f>DATA!AL18</f>
        <v>-</v>
      </c>
      <c r="AM29" s="20" t="str">
        <f>DATA!AR18</f>
        <v>belum ada dokumen R/C</v>
      </c>
      <c r="AN29" s="20" t="str">
        <f>DATA!AN18</f>
        <v>belum ada keterangan</v>
      </c>
      <c r="AO29" s="20" t="str">
        <f>DATA!AO18</f>
        <v>belum ada keterangan</v>
      </c>
      <c r="AP29" s="20" t="str">
        <f>DATA!AP18</f>
        <v>belum ada proses tender/lelang</v>
      </c>
      <c r="AQ29" s="20" t="str">
        <f>DATA!AY18</f>
        <v>Konfirmasi melalui surat Sekjen nomor KU.01.12-Sj/636 tgl 23 Oktober 2015</v>
      </c>
      <c r="AR29" s="20" t="e">
        <f>DATA!#REF!</f>
        <v>#REF!</v>
      </c>
      <c r="AS29" s="20">
        <f>DATA!AZ18</f>
        <v>0</v>
      </c>
      <c r="AT29" s="37"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row>
    <row r="30" spans="1:46" ht="46.5" customHeight="1">
      <c r="A30" s="10">
        <f>DATA!A19</f>
        <v>17</v>
      </c>
      <c r="B30" s="10">
        <f>DATA!B19</f>
        <v>0</v>
      </c>
      <c r="C30" s="10" t="str">
        <f>DATA!D19</f>
        <v>INFRASTRUKTUR</v>
      </c>
      <c r="D30" s="10">
        <f>DATA!E19</f>
        <v>1</v>
      </c>
      <c r="E30" s="10" t="str">
        <f>DATA!F19</f>
        <v>Kementerian Pekerjaan Umum dan Perumahan Rakyat</v>
      </c>
      <c r="F30" s="10" t="str">
        <f>DATA!H19</f>
        <v>Development and Improvement of National Roads Program</v>
      </c>
      <c r="G30" s="10" t="str">
        <f>DATA!I19</f>
        <v>C</v>
      </c>
      <c r="H30" s="10" t="str">
        <f>DATA!J19</f>
        <v>Program Pembangunan / Peningkatan Jalan</v>
      </c>
      <c r="I30" s="10">
        <f>DATA!K19</f>
        <v>5</v>
      </c>
      <c r="J30" s="33"/>
      <c r="K30" s="34"/>
      <c r="L30" s="34"/>
      <c r="M30" s="36">
        <f>DATA!K19</f>
        <v>5</v>
      </c>
      <c r="N30" s="37" t="str">
        <f>DATA!L19</f>
        <v>National Road Improvement in West and South Kalimantan</v>
      </c>
      <c r="O30" s="20">
        <f>DATA!Q19</f>
        <v>1</v>
      </c>
      <c r="P30" s="20">
        <f>DATA!R19</f>
        <v>1</v>
      </c>
      <c r="Q30" s="20">
        <f>DATA!S19</f>
        <v>15</v>
      </c>
      <c r="R30" s="77">
        <f>DATA!T19</f>
        <v>250000000</v>
      </c>
      <c r="S30" s="83">
        <f>DATA!U18</f>
        <v>250000000</v>
      </c>
      <c r="T30" s="77">
        <f>DATA!V19</f>
        <v>50000000</v>
      </c>
      <c r="U30" s="77">
        <f>DATA!W19</f>
        <v>0</v>
      </c>
      <c r="V30" s="77">
        <f>DATA!X19</f>
        <v>300000000</v>
      </c>
      <c r="W30" s="78" t="str">
        <f>DATA!Y19</f>
        <v>IDB</v>
      </c>
      <c r="X30" s="20" t="str">
        <f>DATA!Z19</f>
        <v>Multilateral</v>
      </c>
      <c r="Y30" s="77">
        <f>DATA!AA19</f>
        <v>250000000</v>
      </c>
      <c r="Z30" s="77">
        <f>DATA!AG19</f>
        <v>0</v>
      </c>
      <c r="AA30" s="20">
        <f>DATA!AH19</f>
        <v>2017</v>
      </c>
      <c r="AB30" s="56" t="str">
        <f>DATA!AI19</f>
        <v>-</v>
      </c>
      <c r="AC30" s="56"/>
      <c r="AD30" s="56"/>
      <c r="AE30" s="56"/>
      <c r="AF30" s="56"/>
      <c r="AG30" s="56"/>
      <c r="AH30" s="56"/>
      <c r="AI30" s="56"/>
      <c r="AJ30" s="56" t="str">
        <f>DATA!AJ19</f>
        <v>-</v>
      </c>
      <c r="AK30" s="56" t="str">
        <f>DATA!AK19</f>
        <v>-</v>
      </c>
      <c r="AL30" s="56" t="str">
        <f>DATA!AL19</f>
        <v>-</v>
      </c>
      <c r="AM30" s="20" t="str">
        <f>DATA!AR19</f>
        <v>belum ada dokumen R/C</v>
      </c>
      <c r="AN30" s="20" t="str">
        <f>DATA!AN19</f>
        <v>belum ada keterangan</v>
      </c>
      <c r="AO30" s="20" t="str">
        <f>DATA!AO19</f>
        <v>belum ada keterangan</v>
      </c>
      <c r="AP30" s="20" t="str">
        <f>DATA!AP19</f>
        <v>belum ada proses tender/lelang</v>
      </c>
      <c r="AQ30" s="20" t="str">
        <f>DATA!AY19</f>
        <v>Konfirmasi melalui surat Sekjen nomor KU.01.12-Sj/636 tgl 23 Oktober 2015</v>
      </c>
      <c r="AR30" s="20" t="e">
        <f>DATA!#REF!</f>
        <v>#REF!</v>
      </c>
      <c r="AS30" s="20">
        <f>DATA!AZ19</f>
        <v>0</v>
      </c>
      <c r="AT30" s="37" t="str">
        <f>DATA!BA19</f>
        <v>Pembangunan/peningkatan 200 km jalan di daerah koridor perbatasan di Kalimantan Barat dan jalan internasional di Kalimantan Selatan</v>
      </c>
    </row>
    <row r="31" spans="1:46" ht="36.75" customHeight="1">
      <c r="A31" s="10">
        <f>DATA!A20</f>
        <v>18</v>
      </c>
      <c r="B31" s="10">
        <f>DATA!B20</f>
        <v>0</v>
      </c>
      <c r="C31" s="10" t="str">
        <f>DATA!D20</f>
        <v>INFRASTRUKTUR</v>
      </c>
      <c r="D31" s="10">
        <f>DATA!E20</f>
        <v>1</v>
      </c>
      <c r="E31" s="10" t="str">
        <f>DATA!F20</f>
        <v>Kementerian Pekerjaan Umum dan Perumahan Rakyat</v>
      </c>
      <c r="F31" s="10" t="str">
        <f>DATA!H20</f>
        <v>Development and Improvement of National Roads Program</v>
      </c>
      <c r="G31" s="10" t="str">
        <f>DATA!I20</f>
        <v>C</v>
      </c>
      <c r="H31" s="10" t="str">
        <f>DATA!J20</f>
        <v>Program Pembangunan / Peningkatan Jalan</v>
      </c>
      <c r="I31" s="10">
        <f>DATA!K20</f>
        <v>6</v>
      </c>
      <c r="J31" s="33"/>
      <c r="K31" s="34"/>
      <c r="L31" s="34"/>
      <c r="M31" s="36">
        <f>DATA!K20</f>
        <v>6</v>
      </c>
      <c r="N31" s="37" t="str">
        <f>DATA!L20</f>
        <v>National Road Improvement in Central Kalimantan</v>
      </c>
      <c r="O31" s="20">
        <f>DATA!Q20</f>
        <v>1</v>
      </c>
      <c r="P31" s="20">
        <f>DATA!R20</f>
        <v>1</v>
      </c>
      <c r="Q31" s="20">
        <f>DATA!S20</f>
        <v>16</v>
      </c>
      <c r="R31" s="77">
        <f>DATA!T20</f>
        <v>250000000</v>
      </c>
      <c r="S31" s="83">
        <f>DATA!U19</f>
        <v>250000000</v>
      </c>
      <c r="T31" s="77">
        <f>DATA!V20</f>
        <v>50000000</v>
      </c>
      <c r="U31" s="77">
        <f>DATA!W20</f>
        <v>0</v>
      </c>
      <c r="V31" s="77">
        <f>DATA!X20</f>
        <v>300000000</v>
      </c>
      <c r="W31" s="78" t="str">
        <f>DATA!Y20</f>
        <v>Bank Dunia/ADB</v>
      </c>
      <c r="X31" s="20" t="str">
        <f>DATA!Z20</f>
        <v>Multi Lender</v>
      </c>
      <c r="Y31" s="77">
        <f>DATA!AA20</f>
        <v>250000000</v>
      </c>
      <c r="Z31" s="77">
        <f>DATA!AG20</f>
        <v>0</v>
      </c>
      <c r="AA31" s="20" t="str">
        <f>DATA!AH20</f>
        <v>Tanpa keterangan</v>
      </c>
      <c r="AB31" s="56" t="str">
        <f>DATA!AI20</f>
        <v>-</v>
      </c>
      <c r="AC31" s="56"/>
      <c r="AD31" s="56"/>
      <c r="AE31" s="56"/>
      <c r="AF31" s="56"/>
      <c r="AG31" s="56"/>
      <c r="AH31" s="56"/>
      <c r="AI31" s="56"/>
      <c r="AJ31" s="56" t="str">
        <f>DATA!AJ20</f>
        <v xml:space="preserve">FS, BD, AMDAL, Penyusunan DED, SP2LP </v>
      </c>
      <c r="AK31" s="56" t="str">
        <f>DATA!AK20</f>
        <v>-</v>
      </c>
      <c r="AL31" s="56" t="str">
        <f>DATA!AL20</f>
        <v>-</v>
      </c>
      <c r="AM31" s="20" t="str">
        <f>DATA!AR20</f>
        <v>belum ada dokumen R/C</v>
      </c>
      <c r="AN31" s="20" t="str">
        <f>DATA!AN20</f>
        <v>siap</v>
      </c>
      <c r="AO31" s="20" t="str">
        <f>DATA!AO20</f>
        <v>belum ada keterangan</v>
      </c>
      <c r="AP31" s="20" t="str">
        <f>DATA!AP20</f>
        <v>belum ada proses tender/lelang</v>
      </c>
      <c r="AQ31" s="20" t="str">
        <f>DATA!AY20</f>
        <v>Konfirmasi melalui surat Sekjen nomor KU.01.12-Sj/636 tgl 23 Oktober 2015</v>
      </c>
      <c r="AR31" s="20" t="e">
        <f>DATA!#REF!</f>
        <v>#REF!</v>
      </c>
      <c r="AS31" s="20">
        <f>DATA!AZ20</f>
        <v>0</v>
      </c>
      <c r="AT31" s="37" t="str">
        <f>DATA!BA20</f>
        <v>Pembangunan 200 km jalan di wilayah Kalimantan Tengah</v>
      </c>
    </row>
    <row r="32" spans="1:46" ht="31.5" customHeight="1">
      <c r="A32" s="10">
        <f>DATA!A21</f>
        <v>19</v>
      </c>
      <c r="B32" s="10">
        <f>DATA!B21</f>
        <v>0</v>
      </c>
      <c r="C32" s="10" t="str">
        <f>DATA!D21</f>
        <v>INFRASTRUKTUR</v>
      </c>
      <c r="D32" s="10">
        <f>DATA!E21</f>
        <v>1</v>
      </c>
      <c r="E32" s="10" t="str">
        <f>DATA!F21</f>
        <v>Kementerian Pekerjaan Umum dan Perumahan Rakyat</v>
      </c>
      <c r="F32" s="10" t="str">
        <f>DATA!H21</f>
        <v>Development and Improvement of National Roads Program</v>
      </c>
      <c r="G32" s="10" t="str">
        <f>DATA!I21</f>
        <v>C</v>
      </c>
      <c r="H32" s="10" t="str">
        <f>DATA!J21</f>
        <v>Program Pembangunan / Peningkatan Jalan</v>
      </c>
      <c r="I32" s="10">
        <f>DATA!K21</f>
        <v>7</v>
      </c>
      <c r="J32" s="33"/>
      <c r="K32" s="34"/>
      <c r="L32" s="34"/>
      <c r="M32" s="36">
        <f>DATA!K21</f>
        <v>7</v>
      </c>
      <c r="N32" s="37" t="str">
        <f>DATA!L21</f>
        <v>National Road Improvement in North and East Kalimantan</v>
      </c>
      <c r="O32" s="20">
        <f>DATA!Q21</f>
        <v>1</v>
      </c>
      <c r="P32" s="20">
        <f>DATA!R21</f>
        <v>1</v>
      </c>
      <c r="Q32" s="20">
        <f>DATA!S21</f>
        <v>17</v>
      </c>
      <c r="R32" s="77">
        <f>DATA!T21</f>
        <v>250000000</v>
      </c>
      <c r="S32" s="83">
        <f>DATA!U20</f>
        <v>250000000</v>
      </c>
      <c r="T32" s="77">
        <f>DATA!V21</f>
        <v>50000000</v>
      </c>
      <c r="U32" s="77">
        <f>DATA!W21</f>
        <v>0</v>
      </c>
      <c r="V32" s="77">
        <f>DATA!X21</f>
        <v>300000000</v>
      </c>
      <c r="W32" s="78" t="str">
        <f>DATA!Y21</f>
        <v>IDB</v>
      </c>
      <c r="X32" s="20" t="str">
        <f>DATA!Z21</f>
        <v>Multilateral</v>
      </c>
      <c r="Y32" s="77">
        <f>DATA!AA21</f>
        <v>250000000</v>
      </c>
      <c r="Z32" s="77">
        <f>DATA!AG21</f>
        <v>0</v>
      </c>
      <c r="AA32" s="20">
        <f>DATA!AH21</f>
        <v>2016</v>
      </c>
      <c r="AB32" s="56" t="str">
        <f>DATA!AI21</f>
        <v>-</v>
      </c>
      <c r="AC32" s="56"/>
      <c r="AD32" s="56"/>
      <c r="AE32" s="56"/>
      <c r="AF32" s="56"/>
      <c r="AG32" s="56"/>
      <c r="AH32" s="56"/>
      <c r="AI32" s="56"/>
      <c r="AJ32" s="56" t="str">
        <f>DATA!AJ21</f>
        <v>FS dan BD ada, DED dan AMDAL sebagian</v>
      </c>
      <c r="AK32" s="56" t="str">
        <f>DATA!AK21</f>
        <v>-</v>
      </c>
      <c r="AL32" s="56" t="str">
        <f>DATA!AL21</f>
        <v>-</v>
      </c>
      <c r="AM32" s="20" t="str">
        <f>DATA!AR21</f>
        <v>belum ada dokumen R/C</v>
      </c>
      <c r="AN32" s="20" t="str">
        <f>DATA!AN21</f>
        <v>siap</v>
      </c>
      <c r="AO32" s="20" t="str">
        <f>DATA!AO21</f>
        <v>belum ada keterangan</v>
      </c>
      <c r="AP32" s="20" t="str">
        <f>DATA!AP21</f>
        <v>belum ada proses tender/lelang</v>
      </c>
      <c r="AQ32" s="20" t="str">
        <f>DATA!AY21</f>
        <v>Konfirmasi melalui surat Sekjen nomor KU.01.12-Sj/636 tgl 23 Oktober 201515</v>
      </c>
      <c r="AR32" s="20" t="e">
        <f>DATA!#REF!</f>
        <v>#REF!</v>
      </c>
      <c r="AS32" s="20">
        <f>DATA!AZ21</f>
        <v>0</v>
      </c>
      <c r="AT32" s="37" t="str">
        <f>DATA!BA21</f>
        <v>Pembangunan 200 km jalan di wilayah Kalimantan Utara dan Kalimantan Timur</v>
      </c>
    </row>
    <row r="33" spans="1:46" ht="48" customHeight="1">
      <c r="A33" s="10">
        <f>DATA!A22</f>
        <v>20</v>
      </c>
      <c r="B33" s="10">
        <f>DATA!B22</f>
        <v>0</v>
      </c>
      <c r="C33" s="10" t="str">
        <f>DATA!D22</f>
        <v>INFRASTRUKTUR</v>
      </c>
      <c r="D33" s="10">
        <f>DATA!E22</f>
        <v>1</v>
      </c>
      <c r="E33" s="10" t="str">
        <f>DATA!F22</f>
        <v>Kementerian Pekerjaan Umum dan Perumahan Rakyat</v>
      </c>
      <c r="F33" s="10" t="str">
        <f>DATA!H22</f>
        <v>Development and Improvement of National Roads Program</v>
      </c>
      <c r="G33" s="10" t="str">
        <f>DATA!I22</f>
        <v>C</v>
      </c>
      <c r="H33" s="10" t="str">
        <f>DATA!J22</f>
        <v>Program Pembangunan / Peningkatan Jalan</v>
      </c>
      <c r="I33" s="10">
        <f>DATA!K22</f>
        <v>8</v>
      </c>
      <c r="J33" s="33"/>
      <c r="K33" s="34"/>
      <c r="L33" s="54"/>
      <c r="M33" s="36">
        <f>DATA!K22</f>
        <v>8</v>
      </c>
      <c r="N33" s="37" t="str">
        <f>DATA!L22</f>
        <v>Road Improvement Project in Sulawesi Island and Major Cities</v>
      </c>
      <c r="O33" s="20">
        <f>DATA!Q22</f>
        <v>1</v>
      </c>
      <c r="P33" s="20">
        <f>DATA!R22</f>
        <v>1</v>
      </c>
      <c r="Q33" s="20">
        <f>DATA!S22</f>
        <v>18</v>
      </c>
      <c r="R33" s="77">
        <f>DATA!T22</f>
        <v>250000000</v>
      </c>
      <c r="S33" s="83">
        <f>DATA!U21</f>
        <v>250000000</v>
      </c>
      <c r="T33" s="77">
        <f>DATA!V22</f>
        <v>50000000</v>
      </c>
      <c r="U33" s="77">
        <f>DATA!W22</f>
        <v>0</v>
      </c>
      <c r="V33" s="77">
        <f>DATA!X22</f>
        <v>300000000</v>
      </c>
      <c r="W33" s="78" t="str">
        <f>DATA!Y22</f>
        <v>IDB</v>
      </c>
      <c r="X33" s="20" t="str">
        <f>DATA!Z22</f>
        <v>Multilateral</v>
      </c>
      <c r="Y33" s="77">
        <f>DATA!AA22</f>
        <v>250000000</v>
      </c>
      <c r="Z33" s="77">
        <f>DATA!AG22</f>
        <v>0</v>
      </c>
      <c r="AA33" s="20">
        <f>DATA!AH22</f>
        <v>2016</v>
      </c>
      <c r="AB33" s="56" t="str">
        <f>DATA!AI22</f>
        <v>-</v>
      </c>
      <c r="AC33" s="56"/>
      <c r="AD33" s="56"/>
      <c r="AE33" s="56"/>
      <c r="AF33" s="56"/>
      <c r="AG33" s="56"/>
      <c r="AH33" s="56"/>
      <c r="AI33" s="56"/>
      <c r="AJ33" s="56" t="str">
        <f>DATA!AJ22</f>
        <v>FS, AMDAL</v>
      </c>
      <c r="AK33" s="56" t="str">
        <f>DATA!AK22</f>
        <v>-</v>
      </c>
      <c r="AL33" s="56" t="str">
        <f>DATA!AL22</f>
        <v>-</v>
      </c>
      <c r="AM33" s="20" t="str">
        <f>DATA!AR22</f>
        <v>belum ada dokumen R/C</v>
      </c>
      <c r="AN33" s="20" t="str">
        <f>DATA!AN22</f>
        <v>siap</v>
      </c>
      <c r="AO33" s="20" t="str">
        <f>DATA!AO22</f>
        <v>belum ada keterangan</v>
      </c>
      <c r="AP33" s="20" t="str">
        <f>DATA!AP22</f>
        <v>belum ada proses tender/lelang</v>
      </c>
      <c r="AQ33" s="20" t="str">
        <f>DATA!AY22</f>
        <v xml:space="preserve">Konfirmasi melalui surat Sekjen nomor KU.01.12-Sj/636 tgl 23 Oktober 2015
</v>
      </c>
      <c r="AR33" s="20" t="e">
        <f>DATA!#REF!</f>
        <v>#REF!</v>
      </c>
      <c r="AS33" s="20" t="str">
        <f>DATA!AZ22</f>
        <v xml:space="preserve">Lender kembali IDB berdasarkan hasil konfirmasi rapat dgn Dit,Multilateral tgl 15 Okt'15 </v>
      </c>
      <c r="AT33" s="37" t="str">
        <f>DATA!BA22</f>
        <v xml:space="preserve">Pembangunan jalan (ringroad dan bypass) sepanjang sekitar 200 km di wilayah metropolitan Mamminasata dan Gorontalo Outer Ring Road </v>
      </c>
    </row>
    <row r="34" spans="1:46" ht="48" customHeight="1">
      <c r="J34" s="33"/>
      <c r="K34" s="34"/>
      <c r="L34" s="54"/>
      <c r="M34" s="36">
        <f>DATA!K23</f>
        <v>9</v>
      </c>
      <c r="N34" s="56" t="str">
        <f>DATA!L23</f>
        <v>Engineering Service for National Roads Development Project</v>
      </c>
      <c r="O34" s="36">
        <f>DATA!Q23</f>
        <v>0</v>
      </c>
      <c r="P34" s="36">
        <f>DATA!R23</f>
        <v>1</v>
      </c>
      <c r="Q34" s="36">
        <f>DATA!S23</f>
        <v>0</v>
      </c>
      <c r="R34" s="88">
        <f>DATA!T23</f>
        <v>0</v>
      </c>
      <c r="S34" s="88">
        <f>DATA!U23</f>
        <v>45000000</v>
      </c>
      <c r="T34" s="88">
        <f>DATA!V23</f>
        <v>0</v>
      </c>
      <c r="U34" s="88">
        <f>DATA!W23</f>
        <v>0</v>
      </c>
      <c r="V34" s="88">
        <f>DATA!X23</f>
        <v>0</v>
      </c>
      <c r="W34" s="88" t="str">
        <f>DATA!Y23</f>
        <v>ADB</v>
      </c>
      <c r="X34" s="88" t="str">
        <f>DATA!Z23</f>
        <v>Multilateral</v>
      </c>
      <c r="Y34" s="88">
        <f>DATA!AA23</f>
        <v>45000000</v>
      </c>
      <c r="Z34" s="88">
        <f>DATA!AG23</f>
        <v>0</v>
      </c>
      <c r="AA34" s="102">
        <f>DATA!AH23</f>
        <v>2016</v>
      </c>
      <c r="AB34" s="56" t="str">
        <f>DATA!AI23</f>
        <v>- Sudah ada R/C
- Green Book 2015</v>
      </c>
      <c r="AC34" s="56"/>
      <c r="AD34" s="56"/>
      <c r="AE34" s="56"/>
      <c r="AF34" s="56"/>
      <c r="AG34" s="56"/>
      <c r="AH34" s="56"/>
      <c r="AI34" s="56"/>
      <c r="AJ34" s="56" t="str">
        <f>DATA!AJ23</f>
        <v>-</v>
      </c>
      <c r="AK34" s="56" t="str">
        <f>DATA!AK23</f>
        <v>-</v>
      </c>
      <c r="AL34" s="56" t="str">
        <f>DATA!AL23</f>
        <v>-</v>
      </c>
      <c r="AM34" s="20"/>
      <c r="AN34" s="20"/>
      <c r="AO34" s="20"/>
      <c r="AP34" s="20"/>
      <c r="AQ34" s="20"/>
      <c r="AR34" s="20"/>
      <c r="AS34" s="20"/>
      <c r="AT34" s="37"/>
    </row>
    <row r="35" spans="1:46" s="5" customFormat="1" ht="33.75" customHeight="1">
      <c r="J35" s="28"/>
      <c r="K35" s="50"/>
      <c r="L35" s="30" t="str">
        <f>DATA!I24</f>
        <v>D</v>
      </c>
      <c r="M35" s="31" t="str">
        <f>DATA!J24</f>
        <v>Program Pembangunan Air Minum</v>
      </c>
      <c r="N35" s="51"/>
      <c r="O35" s="31"/>
      <c r="P35" s="31"/>
      <c r="Q35" s="31"/>
      <c r="R35" s="81">
        <f>+R36+R37+R38+R47</f>
        <v>1197680000</v>
      </c>
      <c r="S35" s="81"/>
      <c r="T35" s="81">
        <f>+T36+T37+T38+T47</f>
        <v>59434000</v>
      </c>
      <c r="U35" s="81">
        <f>+U36+U37+U38+U47</f>
        <v>0</v>
      </c>
      <c r="V35" s="81">
        <f>+V36+V37+V38+V47</f>
        <v>1257114000</v>
      </c>
      <c r="W35" s="81"/>
      <c r="X35" s="81" t="e">
        <f>+X36+X37+X38+X47</f>
        <v>#VALUE!</v>
      </c>
      <c r="Y35" s="81">
        <f>+Y36+Y37+Y38+Y47</f>
        <v>1197680000</v>
      </c>
      <c r="Z35" s="81">
        <f>+Z36+Z37+Z38+Z47</f>
        <v>0</v>
      </c>
      <c r="AA35" s="31"/>
      <c r="AB35" s="32"/>
      <c r="AC35" s="32"/>
      <c r="AD35" s="32"/>
      <c r="AE35" s="32"/>
      <c r="AF35" s="32"/>
      <c r="AG35" s="32"/>
      <c r="AH35" s="32"/>
      <c r="AI35" s="32"/>
      <c r="AJ35" s="32"/>
      <c r="AK35" s="32"/>
      <c r="AL35" s="32"/>
      <c r="AM35" s="31"/>
      <c r="AN35" s="31"/>
      <c r="AO35" s="31"/>
      <c r="AP35" s="31"/>
      <c r="AQ35" s="31"/>
      <c r="AR35" s="31"/>
      <c r="AS35" s="31"/>
      <c r="AT35" s="32"/>
    </row>
    <row r="36" spans="1:46" ht="42" customHeight="1">
      <c r="A36" s="10">
        <f>DATA!A24</f>
        <v>21</v>
      </c>
      <c r="B36" s="10">
        <f>DATA!B24</f>
        <v>0</v>
      </c>
      <c r="C36" s="10" t="str">
        <f>DATA!D24</f>
        <v>INFRASTRUKTUR</v>
      </c>
      <c r="D36" s="10">
        <f>DATA!E24</f>
        <v>1</v>
      </c>
      <c r="E36" s="10" t="str">
        <f>DATA!F24</f>
        <v>Kementerian Pekerjaan Umum dan Perumahan Rakyat</v>
      </c>
      <c r="F36" s="10" t="str">
        <f>DATA!H24</f>
        <v>Drinking Water Development Program</v>
      </c>
      <c r="G36" s="10" t="str">
        <f>DATA!I24</f>
        <v>D</v>
      </c>
      <c r="H36" s="10" t="str">
        <f>DATA!J24</f>
        <v>Program Pembangunan Air Minum</v>
      </c>
      <c r="I36" s="10">
        <f>DATA!K24</f>
        <v>1</v>
      </c>
      <c r="J36" s="33"/>
      <c r="K36" s="34"/>
      <c r="L36" s="35"/>
      <c r="M36" s="36">
        <f>DATA!K24</f>
        <v>1</v>
      </c>
      <c r="N36" s="37" t="str">
        <f>DATA!L24</f>
        <v>Community Based Water and Sanitation Program  (PAMSIMAS)</v>
      </c>
      <c r="O36" s="20">
        <f>DATA!Q24</f>
        <v>1</v>
      </c>
      <c r="P36" s="20">
        <f>DATA!R24</f>
        <v>1</v>
      </c>
      <c r="Q36" s="20">
        <f>DATA!S24</f>
        <v>19</v>
      </c>
      <c r="R36" s="77">
        <f>DATA!T24</f>
        <v>300000000</v>
      </c>
      <c r="S36" s="77"/>
      <c r="T36" s="77">
        <f>DATA!V24</f>
        <v>15000000</v>
      </c>
      <c r="U36" s="77">
        <f>DATA!W24</f>
        <v>0</v>
      </c>
      <c r="V36" s="77">
        <f>DATA!X24</f>
        <v>315000000</v>
      </c>
      <c r="W36" s="78" t="str">
        <f>DATA!Y24</f>
        <v>Bank Dunia</v>
      </c>
      <c r="X36" s="20" t="str">
        <f>DATA!Z24</f>
        <v>Multilateral</v>
      </c>
      <c r="Y36" s="77">
        <f>DATA!AA24</f>
        <v>300000000</v>
      </c>
      <c r="Z36" s="77">
        <f>DATA!AG24</f>
        <v>0</v>
      </c>
      <c r="AA36" s="20">
        <f>DATA!AH24</f>
        <v>2016</v>
      </c>
      <c r="AB36" s="37" t="str">
        <f>DATA!AI24</f>
        <v xml:space="preserve">- Green Book 2015
- Sudah negosiasi
- Tender konsultan </v>
      </c>
      <c r="AC36" s="37"/>
      <c r="AD36" s="37"/>
      <c r="AE36" s="37"/>
      <c r="AF36" s="37"/>
      <c r="AG36" s="37"/>
      <c r="AH36" s="37"/>
      <c r="AI36" s="37"/>
      <c r="AJ36" s="37" t="str">
        <f>DATA!AJ24</f>
        <v xml:space="preserve">FS, DED
</v>
      </c>
      <c r="AK36" s="37" t="str">
        <f>DATA!AK24</f>
        <v>-</v>
      </c>
      <c r="AL36" s="37" t="str">
        <f>DATA!AL24</f>
        <v>-</v>
      </c>
      <c r="AM36" s="20" t="str">
        <f>DATA!AR24</f>
        <v>-</v>
      </c>
      <c r="AN36" s="20" t="str">
        <f>DATA!AN24</f>
        <v>dalam proses
(memiliki FS dan DED)</v>
      </c>
      <c r="AO36" s="20" t="str">
        <f>DATA!AO24</f>
        <v>belum ada keterangan</v>
      </c>
      <c r="AP36" s="20" t="str">
        <f>DATA!AP24</f>
        <v>belum ada proses tender/lelang</v>
      </c>
      <c r="AQ36"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R36" s="20" t="e">
        <f>DATA!#REF!</f>
        <v>#REF!</v>
      </c>
      <c r="AS36" s="20">
        <f>DATA!AZ24</f>
        <v>0</v>
      </c>
      <c r="AT36" s="37" t="str">
        <f>DATA!BA24</f>
        <v>Peningkatan kualitas pemukiman dan penyediaan air bersih berkelanjutan yang melayani 719.500 Sambungan Rumah (SR).</v>
      </c>
    </row>
    <row r="37" spans="1:46" ht="75" customHeight="1">
      <c r="A37" s="10">
        <f>DATA!A25</f>
        <v>22</v>
      </c>
      <c r="B37" s="10">
        <f>DATA!B25</f>
        <v>0</v>
      </c>
      <c r="C37" s="10" t="str">
        <f>DATA!D25</f>
        <v>INFRASTRUKTUR</v>
      </c>
      <c r="D37" s="10">
        <f>DATA!E25</f>
        <v>1</v>
      </c>
      <c r="E37" s="10" t="str">
        <f>DATA!F25</f>
        <v>Kementerian Pekerjaan Umum dan Perumahan Rakyat</v>
      </c>
      <c r="F37" s="10" t="str">
        <f>DATA!H25</f>
        <v>Drinking Water Development Program</v>
      </c>
      <c r="G37" s="10" t="str">
        <f>DATA!I25</f>
        <v>D</v>
      </c>
      <c r="H37" s="10" t="str">
        <f>DATA!J25</f>
        <v>Program Pembangunan Air Minum</v>
      </c>
      <c r="I37" s="10">
        <f>DATA!K25</f>
        <v>2</v>
      </c>
      <c r="J37" s="33"/>
      <c r="K37" s="34"/>
      <c r="L37" s="34"/>
      <c r="M37" s="36">
        <f>DATA!K25</f>
        <v>2</v>
      </c>
      <c r="N37" s="37" t="str">
        <f>DATA!L25</f>
        <v>National Urban Water Supply</v>
      </c>
      <c r="O37" s="20">
        <f>DATA!Q25</f>
        <v>1</v>
      </c>
      <c r="P37" s="20">
        <f>DATA!R25</f>
        <v>1</v>
      </c>
      <c r="Q37" s="20">
        <f>DATA!S25</f>
        <v>20</v>
      </c>
      <c r="R37" s="77">
        <f>DATA!T25</f>
        <v>100000000</v>
      </c>
      <c r="S37" s="77"/>
      <c r="T37" s="77">
        <f>DATA!V25</f>
        <v>5000000</v>
      </c>
      <c r="U37" s="77">
        <f>DATA!W25</f>
        <v>0</v>
      </c>
      <c r="V37" s="77">
        <f>DATA!X25</f>
        <v>105000000</v>
      </c>
      <c r="W37" s="78" t="str">
        <f>DATA!Y25</f>
        <v>Bank Dunia</v>
      </c>
      <c r="X37" s="20" t="str">
        <f>DATA!Z25</f>
        <v>Multilateral</v>
      </c>
      <c r="Y37" s="77">
        <f>DATA!AA25</f>
        <v>100000000</v>
      </c>
      <c r="Z37" s="77">
        <f>DATA!AG25</f>
        <v>0</v>
      </c>
      <c r="AA37" s="20">
        <f>DATA!AH25</f>
        <v>2017</v>
      </c>
      <c r="AB37" s="37">
        <f>DATA!AI25</f>
        <v>0</v>
      </c>
      <c r="AC37" s="37"/>
      <c r="AD37" s="37"/>
      <c r="AE37" s="37"/>
      <c r="AF37" s="37"/>
      <c r="AG37" s="37"/>
      <c r="AH37" s="37"/>
      <c r="AI37" s="37"/>
      <c r="AJ37" s="37" t="str">
        <f>DATA!AJ25</f>
        <v>-</v>
      </c>
      <c r="AK37" s="37" t="str">
        <f>DATA!AK25</f>
        <v>-</v>
      </c>
      <c r="AL37" s="37" t="str">
        <f>DATA!AL25</f>
        <v>-</v>
      </c>
      <c r="AM37" s="20" t="str">
        <f>DATA!AR25</f>
        <v>belum ada dokumen R/C</v>
      </c>
      <c r="AN37" s="20" t="str">
        <f>DATA!AN25</f>
        <v>belum ada keterangan</v>
      </c>
      <c r="AO37" s="20" t="str">
        <f>DATA!AO25</f>
        <v>belum ada keterangan</v>
      </c>
      <c r="AP37" s="20" t="str">
        <f>DATA!AP25</f>
        <v>belum ada proses tender/lelang</v>
      </c>
      <c r="AQ37" s="20" t="str">
        <f>DATA!AY25</f>
        <v>Konfirmasi melalui surat Sekjen nomor KU.01.12-Sj/636 tgl 23 Oktober 2015</v>
      </c>
      <c r="AR37" s="20" t="e">
        <f>DATA!#REF!</f>
        <v>#REF!</v>
      </c>
      <c r="AS37" s="20">
        <f>DATA!AZ25</f>
        <v>0</v>
      </c>
      <c r="AT37" s="37" t="str">
        <f>DATA!BA25</f>
        <v>Pembangunan Sistem Pengelolaan Air Mimum (SPAM) perkotaan sebesar 239,808 Sambungan Rumah (SR) untuk perluasan akses pelayanan air minum, termasuk kegiatan penguatan kapasitas pendanaan dan kelembagaan.</v>
      </c>
    </row>
    <row r="38" spans="1:46" s="9" customFormat="1" ht="60.75" customHeight="1">
      <c r="A38" s="9">
        <f>DATA!A26</f>
        <v>23</v>
      </c>
      <c r="B38" s="9">
        <f>DATA!B26</f>
        <v>0</v>
      </c>
      <c r="C38" s="9" t="str">
        <f>DATA!D26</f>
        <v>INFRASTRUKTUR</v>
      </c>
      <c r="D38" s="9">
        <f>DATA!E26</f>
        <v>1</v>
      </c>
      <c r="E38" s="9" t="str">
        <f>DATA!F26</f>
        <v>Kementerian Pekerjaan Umum dan Perumahan Rakyat</v>
      </c>
      <c r="F38" s="9" t="str">
        <f>DATA!H26</f>
        <v>Drinking Water Development Program</v>
      </c>
      <c r="G38" s="9" t="str">
        <f>DATA!I26</f>
        <v>D</v>
      </c>
      <c r="H38" s="9" t="str">
        <f>DATA!J26</f>
        <v>Program Pembangunan Air Minum</v>
      </c>
      <c r="I38" s="9">
        <f>DATA!K26</f>
        <v>3</v>
      </c>
      <c r="J38" s="62"/>
      <c r="K38" s="63"/>
      <c r="L38" s="63"/>
      <c r="M38" s="64">
        <f>DATA!K26</f>
        <v>3</v>
      </c>
      <c r="N38" s="65" t="str">
        <f>DATA!L26</f>
        <v>The Development of Regional Water Supply System in Selected Area:</v>
      </c>
      <c r="O38" s="66">
        <f>DATA!Q26</f>
        <v>0</v>
      </c>
      <c r="P38" s="66">
        <f>DATA!R26</f>
        <v>0</v>
      </c>
      <c r="Q38" s="66">
        <f>DATA!S26</f>
        <v>0</v>
      </c>
      <c r="R38" s="91">
        <f>DATA!T26</f>
        <v>672680000</v>
      </c>
      <c r="S38" s="91"/>
      <c r="T38" s="91">
        <f>DATA!V26</f>
        <v>33634000</v>
      </c>
      <c r="U38" s="91">
        <f>DATA!W26</f>
        <v>0</v>
      </c>
      <c r="V38" s="91">
        <f>DATA!X26</f>
        <v>706314000</v>
      </c>
      <c r="W38" s="92" t="str">
        <f>DATA!Y26</f>
        <v>-</v>
      </c>
      <c r="X38" s="66">
        <f>DATA!Z26</f>
        <v>0</v>
      </c>
      <c r="Y38" s="91">
        <f>DATA!AA26</f>
        <v>672680000</v>
      </c>
      <c r="Z38" s="91">
        <f>DATA!AG26</f>
        <v>0</v>
      </c>
      <c r="AA38" s="66" t="str">
        <f>DATA!AH26</f>
        <v>-</v>
      </c>
      <c r="AB38" s="65" t="str">
        <f>DATA!AI26</f>
        <v>-</v>
      </c>
      <c r="AC38" s="65"/>
      <c r="AD38" s="65"/>
      <c r="AE38" s="65"/>
      <c r="AF38" s="65"/>
      <c r="AG38" s="65"/>
      <c r="AH38" s="65"/>
      <c r="AI38" s="65"/>
      <c r="AJ38" s="65" t="str">
        <f>DATA!AJ26</f>
        <v>-</v>
      </c>
      <c r="AK38" s="65" t="str">
        <f>DATA!AK26</f>
        <v>-</v>
      </c>
      <c r="AL38" s="65" t="str">
        <f>DATA!AL26</f>
        <v>-</v>
      </c>
      <c r="AM38" s="66">
        <f>DATA!AM26</f>
        <v>0</v>
      </c>
      <c r="AN38" s="66" t="str">
        <f>DATA!AN26</f>
        <v>-</v>
      </c>
      <c r="AO38" s="66" t="str">
        <f>DATA!AO26</f>
        <v>-</v>
      </c>
      <c r="AP38" s="66">
        <f>DATA!AP26</f>
        <v>0</v>
      </c>
      <c r="AQ38" s="66" t="str">
        <f>DATA!AY26</f>
        <v>Konfirmasi melalui surat Sekjen nomor KU.01.12-Sj/636 tgl 23 Oktober 2015</v>
      </c>
      <c r="AR38" s="66" t="e">
        <f>DATA!#REF!</f>
        <v>#REF!</v>
      </c>
      <c r="AS38" s="66">
        <f>DATA!AZ26</f>
        <v>0</v>
      </c>
      <c r="AT38" s="65" t="str">
        <f>DATA!BA26</f>
        <v>Pembangunan Instalasi Pengolahan Air (IPA) di 8 wilayah dengan total kapasitas 20.450 lt/dt dan pembangunan jaringan transmisi air minum untuk 882.441 Sambungan Rumah (SR)</v>
      </c>
    </row>
    <row r="39" spans="1:46" s="6" customFormat="1" ht="60.75" customHeight="1">
      <c r="A39" s="6">
        <f>DATA!A27</f>
        <v>24</v>
      </c>
      <c r="B39" s="6">
        <f>DATA!B27</f>
        <v>0</v>
      </c>
      <c r="C39" s="6" t="str">
        <f>DATA!D27</f>
        <v>INFRASTRUKTUR</v>
      </c>
      <c r="D39" s="6">
        <f>DATA!E27</f>
        <v>1</v>
      </c>
      <c r="E39" s="6" t="str">
        <f>DATA!F27</f>
        <v>Kementerian Pekerjaan Umum dan Perumahan Rakyat</v>
      </c>
      <c r="F39" s="6" t="str">
        <f>DATA!H27</f>
        <v>Drinking Water Development Program</v>
      </c>
      <c r="G39" s="6" t="str">
        <f>DATA!I27</f>
        <v>D</v>
      </c>
      <c r="H39" s="6" t="str">
        <f>DATA!J27</f>
        <v>Program Pembangunan Air Minum</v>
      </c>
      <c r="I39" s="6">
        <f>DATA!K27</f>
        <v>3</v>
      </c>
      <c r="J39" s="38"/>
      <c r="K39" s="39"/>
      <c r="L39" s="39"/>
      <c r="M39" s="40"/>
      <c r="N39" s="67" t="str">
        <f>DATA!L27</f>
        <v xml:space="preserve">Mamminasata Water Supply Development Project </v>
      </c>
      <c r="O39" s="42">
        <f>DATA!Q27</f>
        <v>1</v>
      </c>
      <c r="P39" s="42">
        <f>DATA!R27</f>
        <v>1</v>
      </c>
      <c r="Q39" s="42">
        <f>DATA!S27</f>
        <v>21</v>
      </c>
      <c r="R39" s="83">
        <f>DATA!T27</f>
        <v>100000000</v>
      </c>
      <c r="S39" s="83"/>
      <c r="T39" s="83">
        <f>DATA!V27</f>
        <v>5000000</v>
      </c>
      <c r="U39" s="83">
        <f>DATA!W27</f>
        <v>0</v>
      </c>
      <c r="V39" s="83">
        <f>DATA!X27</f>
        <v>105000000</v>
      </c>
      <c r="W39" s="84" t="str">
        <f>DATA!Y27</f>
        <v>JICA</v>
      </c>
      <c r="X39" s="42" t="str">
        <f>DATA!Z27</f>
        <v>Bilateral</v>
      </c>
      <c r="Y39" s="83">
        <f>DATA!AA27</f>
        <v>100000000</v>
      </c>
      <c r="Z39" s="83">
        <f>DATA!AG27</f>
        <v>0</v>
      </c>
      <c r="AA39" s="42">
        <f>DATA!AH27</f>
        <v>2016</v>
      </c>
      <c r="AB39" s="67" t="str">
        <f>DATA!AI27</f>
        <v>-</v>
      </c>
      <c r="AC39" s="67"/>
      <c r="AD39" s="67"/>
      <c r="AE39" s="67"/>
      <c r="AF39" s="67"/>
      <c r="AG39" s="67"/>
      <c r="AH39" s="67"/>
      <c r="AI39" s="67"/>
      <c r="AJ39" s="67" t="str">
        <f>DATA!AJ27</f>
        <v>FS , AMDAL, DED</v>
      </c>
      <c r="AK39" s="67" t="str">
        <f>DATA!AK27</f>
        <v>Proses pembebasan lahan oleh Pemda</v>
      </c>
      <c r="AL39" s="67" t="str">
        <f>DATA!AL27</f>
        <v>-</v>
      </c>
      <c r="AM39" s="42">
        <f>DATA!AM27</f>
        <v>0</v>
      </c>
      <c r="AN39" s="42" t="str">
        <f>DATA!AN27</f>
        <v>siap</v>
      </c>
      <c r="AO39" s="42" t="str">
        <f>DATA!AO27</f>
        <v>dalam proses
(persiapan)</v>
      </c>
      <c r="AP39" s="42" t="str">
        <f>DATA!AP27</f>
        <v>belum ada proses tender/lelang</v>
      </c>
      <c r="AQ39" s="42" t="str">
        <f>DATA!AY27</f>
        <v>Konfirmasi melalui surat Sekjen nomor KU.01.12-Sj/636 tgl 23 Oktober 2015</v>
      </c>
      <c r="AR39" s="42" t="e">
        <f>DATA!#REF!</f>
        <v>#REF!</v>
      </c>
      <c r="AS39" s="42">
        <f>DATA!AZ27</f>
        <v>0</v>
      </c>
      <c r="AT39" s="67" t="str">
        <f>DATA!BA27</f>
        <v>Pembangunan IPA Somba Opu Tahap II, kap. 1.000 lt/dt dan pembangunan jaringan pipa transmisi air minum untuk melayani 149.925 SR di wilayah Makassar, Maros, Gowa dan Takalar.</v>
      </c>
    </row>
    <row r="40" spans="1:46" s="6" customFormat="1" ht="88.5" customHeight="1">
      <c r="A40" s="6">
        <f>DATA!A28</f>
        <v>25</v>
      </c>
      <c r="B40" s="6">
        <f>DATA!B28</f>
        <v>0</v>
      </c>
      <c r="C40" s="6" t="str">
        <f>DATA!D28</f>
        <v>INFRASTRUKTUR</v>
      </c>
      <c r="D40" s="6">
        <f>DATA!E28</f>
        <v>1</v>
      </c>
      <c r="E40" s="6" t="str">
        <f>DATA!F28</f>
        <v>Kementerian Pekerjaan Umum dan Perumahan Rakyat</v>
      </c>
      <c r="F40" s="6" t="str">
        <f>DATA!H28</f>
        <v>Drinking Water Development Program</v>
      </c>
      <c r="G40" s="6" t="str">
        <f>DATA!I28</f>
        <v>D</v>
      </c>
      <c r="H40" s="6" t="str">
        <f>DATA!J28</f>
        <v>Program Pembangunan Air Minum</v>
      </c>
      <c r="I40" s="6">
        <f>DATA!K28</f>
        <v>3</v>
      </c>
      <c r="J40" s="38"/>
      <c r="K40" s="39"/>
      <c r="L40" s="39"/>
      <c r="M40" s="38"/>
      <c r="N40" s="67" t="str">
        <f>DATA!L28</f>
        <v xml:space="preserve">The Development of Regional Water Supply System in Benteng Kobema </v>
      </c>
      <c r="O40" s="42">
        <f>DATA!Q28</f>
        <v>1</v>
      </c>
      <c r="P40" s="42">
        <f>DATA!R28</f>
        <v>1</v>
      </c>
      <c r="Q40" s="42">
        <f>DATA!S28</f>
        <v>22</v>
      </c>
      <c r="R40" s="83">
        <f>DATA!T28</f>
        <v>74300000</v>
      </c>
      <c r="S40" s="83"/>
      <c r="T40" s="83">
        <f>DATA!V28</f>
        <v>3715000</v>
      </c>
      <c r="U40" s="83">
        <f>DATA!W28</f>
        <v>0</v>
      </c>
      <c r="V40" s="83">
        <f>DATA!X28</f>
        <v>78015000</v>
      </c>
      <c r="W40" s="84" t="str">
        <f>DATA!Y28</f>
        <v>Bank Dunia/JICA/ADB</v>
      </c>
      <c r="X40" s="42" t="str">
        <f>DATA!Z28</f>
        <v>Multi Lender</v>
      </c>
      <c r="Y40" s="83">
        <f>DATA!AA28</f>
        <v>74300000</v>
      </c>
      <c r="Z40" s="83">
        <f>DATA!AG28</f>
        <v>0</v>
      </c>
      <c r="AA40" s="42">
        <f>DATA!AH28</f>
        <v>2017</v>
      </c>
      <c r="AB40" s="67" t="str">
        <f>DATA!AI28</f>
        <v>-</v>
      </c>
      <c r="AC40" s="67"/>
      <c r="AD40" s="67"/>
      <c r="AE40" s="67"/>
      <c r="AF40" s="67"/>
      <c r="AG40" s="67"/>
      <c r="AH40" s="67"/>
      <c r="AI40" s="67"/>
      <c r="AJ40" s="67" t="str">
        <f>DATA!AJ28</f>
        <v>RISPAM, DED, SIPA, Organisasi Pelaksana, DDUB</v>
      </c>
      <c r="AK40" s="67" t="str">
        <f>DATA!AK28</f>
        <v>Proses pembebasan lahan oleh Pemda</v>
      </c>
      <c r="AL40" s="67" t="str">
        <f>DATA!AL28</f>
        <v>-</v>
      </c>
      <c r="AM40" s="42">
        <f>DATA!AM28</f>
        <v>0</v>
      </c>
      <c r="AN40" s="42" t="str">
        <f>DATA!AN28</f>
        <v>dalam proses
(penyusunan FS)</v>
      </c>
      <c r="AO40" s="42" t="str">
        <f>DATA!AO28</f>
        <v>dalam proses
(persiapan)</v>
      </c>
      <c r="AP40" s="42" t="str">
        <f>DATA!AP28</f>
        <v>belum ada proses tender/lelang</v>
      </c>
      <c r="AQ40" s="42" t="str">
        <f>DATA!AY28</f>
        <v>Konfirmasi melalui surat Sekjen nomor KU.01.12-Sj/636 tgl 23 Oktober 2015</v>
      </c>
      <c r="AR40" s="42" t="e">
        <f>DATA!#REF!</f>
        <v>#REF!</v>
      </c>
      <c r="AS40" s="42" t="str">
        <f>DATA!AZ28</f>
        <v>JICA &amp; ADB juga diindikasikan akan mendanai kegiatan ini meskipun belum ada pembicaraan</v>
      </c>
      <c r="AT40" s="67"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row>
    <row r="41" spans="1:46" s="6" customFormat="1" ht="87" customHeight="1">
      <c r="A41" s="6">
        <f>DATA!A29</f>
        <v>26</v>
      </c>
      <c r="B41" s="6">
        <f>DATA!B29</f>
        <v>0</v>
      </c>
      <c r="C41" s="6" t="str">
        <f>DATA!D29</f>
        <v>INFRASTRUKTUR</v>
      </c>
      <c r="D41" s="6">
        <f>DATA!E29</f>
        <v>1</v>
      </c>
      <c r="E41" s="6" t="str">
        <f>DATA!F29</f>
        <v>Kementerian Pekerjaan Umum dan Perumahan Rakyat</v>
      </c>
      <c r="F41" s="6" t="str">
        <f>DATA!H29</f>
        <v>Drinking Water Development Program</v>
      </c>
      <c r="G41" s="6" t="str">
        <f>DATA!I29</f>
        <v>D</v>
      </c>
      <c r="H41" s="6" t="str">
        <f>DATA!J29</f>
        <v>Program Pembangunan Air Minum</v>
      </c>
      <c r="I41" s="6">
        <f>DATA!K29</f>
        <v>3</v>
      </c>
      <c r="J41" s="38"/>
      <c r="K41" s="39"/>
      <c r="L41" s="39"/>
      <c r="M41" s="38"/>
      <c r="N41" s="67" t="str">
        <f>DATA!L29</f>
        <v xml:space="preserve">The Development of Regional Water Supply System in Wosusokas </v>
      </c>
      <c r="O41" s="42">
        <f>DATA!Q29</f>
        <v>1</v>
      </c>
      <c r="P41" s="42">
        <f>DATA!R29</f>
        <v>1</v>
      </c>
      <c r="Q41" s="42">
        <f>DATA!S29</f>
        <v>23</v>
      </c>
      <c r="R41" s="83">
        <f>DATA!T29</f>
        <v>106200000</v>
      </c>
      <c r="S41" s="83"/>
      <c r="T41" s="83">
        <f>DATA!V29</f>
        <v>5310000</v>
      </c>
      <c r="U41" s="83">
        <f>DATA!W29</f>
        <v>0</v>
      </c>
      <c r="V41" s="83">
        <f>DATA!X29</f>
        <v>111510000</v>
      </c>
      <c r="W41" s="84" t="str">
        <f>DATA!Y29</f>
        <v>Jerman (KfW)</v>
      </c>
      <c r="X41" s="42" t="str">
        <f>DATA!Z29</f>
        <v>Bilateral</v>
      </c>
      <c r="Y41" s="83">
        <f>DATA!AA29</f>
        <v>106200000</v>
      </c>
      <c r="Z41" s="83">
        <f>DATA!AG29</f>
        <v>0</v>
      </c>
      <c r="AA41" s="42">
        <f>DATA!AH29</f>
        <v>2017</v>
      </c>
      <c r="AB41" s="67" t="str">
        <f>DATA!AI29</f>
        <v>-</v>
      </c>
      <c r="AC41" s="67"/>
      <c r="AD41" s="67"/>
      <c r="AE41" s="67"/>
      <c r="AF41" s="67"/>
      <c r="AG41" s="67"/>
      <c r="AH41" s="67"/>
      <c r="AI41" s="67"/>
      <c r="AJ41" s="67" t="str">
        <f>DATA!AJ29</f>
        <v>RISPAM, DED, SIPA, Organisasi Pelaksana, DDUB</v>
      </c>
      <c r="AK41" s="67" t="str">
        <f>DATA!AK29</f>
        <v>Proses pembebasan lahan oleh Pemda</v>
      </c>
      <c r="AL41" s="67" t="str">
        <f>DATA!AL29</f>
        <v>-</v>
      </c>
      <c r="AM41" s="42">
        <f>DATA!AM29</f>
        <v>0</v>
      </c>
      <c r="AN41" s="42" t="str">
        <f>DATA!AN29</f>
        <v>dalam proses
(penyusunan FS)</v>
      </c>
      <c r="AO41" s="42" t="str">
        <f>DATA!AO29</f>
        <v>dalam proses
(persiapan)</v>
      </c>
      <c r="AP41" s="42" t="str">
        <f>DATA!AP29</f>
        <v>belum ada proses tender/lelang</v>
      </c>
      <c r="AQ41" s="42" t="str">
        <f>DATA!AY29</f>
        <v>Konfirmasi melalui surat Sekjen nomor KU.01.12-Sj/636 tgl 23 Oktober 2015</v>
      </c>
      <c r="AR41" s="42" t="e">
        <f>DATA!#REF!</f>
        <v>#REF!</v>
      </c>
      <c r="AS41" s="42">
        <f>DATA!AZ29</f>
        <v>0</v>
      </c>
      <c r="AT41" s="67"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row>
    <row r="42" spans="1:46" s="6" customFormat="1" ht="89.25">
      <c r="A42" s="6">
        <f>DATA!A30</f>
        <v>27</v>
      </c>
      <c r="B42" s="6">
        <f>DATA!B30</f>
        <v>0</v>
      </c>
      <c r="C42" s="6" t="str">
        <f>DATA!D30</f>
        <v>INFRASTRUKTUR</v>
      </c>
      <c r="D42" s="6">
        <f>DATA!E30</f>
        <v>1</v>
      </c>
      <c r="E42" s="6" t="str">
        <f>DATA!F30</f>
        <v>Kementerian Pekerjaan Umum dan Perumahan Rakyat</v>
      </c>
      <c r="F42" s="6" t="str">
        <f>DATA!H30</f>
        <v>Drinking Water Development Program</v>
      </c>
      <c r="G42" s="6" t="str">
        <f>DATA!I30</f>
        <v>D</v>
      </c>
      <c r="H42" s="6" t="str">
        <f>DATA!J30</f>
        <v>Program Pembangunan Air Minum</v>
      </c>
      <c r="I42" s="6">
        <f>DATA!K30</f>
        <v>3</v>
      </c>
      <c r="J42" s="38"/>
      <c r="K42" s="39"/>
      <c r="L42" s="39"/>
      <c r="M42" s="38"/>
      <c r="N42" s="67" t="str">
        <f>DATA!L30</f>
        <v xml:space="preserve">The Development of Regional Water Supply System of Jatigede </v>
      </c>
      <c r="O42" s="42">
        <f>DATA!Q30</f>
        <v>1</v>
      </c>
      <c r="P42" s="42">
        <f>DATA!R30</f>
        <v>1</v>
      </c>
      <c r="Q42" s="42">
        <f>DATA!S30</f>
        <v>24</v>
      </c>
      <c r="R42" s="83">
        <f>DATA!T30</f>
        <v>167000000</v>
      </c>
      <c r="S42" s="83"/>
      <c r="T42" s="83">
        <f>DATA!V30</f>
        <v>8350000</v>
      </c>
      <c r="U42" s="83">
        <f>DATA!W30</f>
        <v>0</v>
      </c>
      <c r="V42" s="83">
        <f>DATA!X30</f>
        <v>175350000</v>
      </c>
      <c r="W42" s="84" t="str">
        <f>DATA!Y30</f>
        <v>Bank Dunia/JICA/ADB</v>
      </c>
      <c r="X42" s="42" t="str">
        <f>DATA!Z30</f>
        <v>Multi Lender</v>
      </c>
      <c r="Y42" s="83">
        <f>DATA!AA30</f>
        <v>140620000</v>
      </c>
      <c r="Z42" s="83">
        <f>DATA!AG30</f>
        <v>0</v>
      </c>
      <c r="AA42" s="42">
        <f>DATA!AH30</f>
        <v>2017</v>
      </c>
      <c r="AB42" s="67" t="str">
        <f>DATA!AI30</f>
        <v>-</v>
      </c>
      <c r="AC42" s="67"/>
      <c r="AD42" s="67"/>
      <c r="AE42" s="67"/>
      <c r="AF42" s="67"/>
      <c r="AG42" s="67"/>
      <c r="AH42" s="67"/>
      <c r="AI42" s="67"/>
      <c r="AJ42" s="67" t="str">
        <f>DATA!AJ30</f>
        <v>-</v>
      </c>
      <c r="AK42" s="67" t="str">
        <f>DATA!AK30</f>
        <v>-</v>
      </c>
      <c r="AL42" s="67" t="str">
        <f>DATA!AL30</f>
        <v>-</v>
      </c>
      <c r="AM42" s="42">
        <f>DATA!AM30</f>
        <v>0</v>
      </c>
      <c r="AN42" s="42" t="str">
        <f>DATA!AN30</f>
        <v>belum ada keterangan</v>
      </c>
      <c r="AO42" s="42" t="str">
        <f>DATA!AO30</f>
        <v>belum ada keterangan</v>
      </c>
      <c r="AP42" s="42" t="str">
        <f>DATA!AP30</f>
        <v>belum ada proses tender/lelang</v>
      </c>
      <c r="AQ42" s="42" t="str">
        <f>DATA!AY30</f>
        <v>Konfirmasi melalui surat Sekjen nomor KU.01.12-Sj/636 tgl 23 Oktober 2015</v>
      </c>
      <c r="AR42" s="42" t="e">
        <f>DATA!#REF!</f>
        <v>#REF!</v>
      </c>
      <c r="AS42" s="42">
        <f>DATA!AZ30</f>
        <v>0</v>
      </c>
      <c r="AT42" s="67"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row>
    <row r="43" spans="1:46" s="6" customFormat="1" ht="88.5" customHeight="1">
      <c r="A43" s="6">
        <f>DATA!A31</f>
        <v>28</v>
      </c>
      <c r="B43" s="6">
        <f>DATA!B31</f>
        <v>0</v>
      </c>
      <c r="C43" s="6" t="str">
        <f>DATA!D31</f>
        <v>INFRASTRUKTUR</v>
      </c>
      <c r="D43" s="6">
        <f>DATA!E31</f>
        <v>1</v>
      </c>
      <c r="E43" s="6" t="str">
        <f>DATA!F31</f>
        <v>Kementerian Pekerjaan Umum dan Perumahan Rakyat</v>
      </c>
      <c r="F43" s="6" t="str">
        <f>DATA!H31</f>
        <v>Drinking Water Development Program</v>
      </c>
      <c r="G43" s="6" t="str">
        <f>DATA!I31</f>
        <v>D</v>
      </c>
      <c r="H43" s="6" t="str">
        <f>DATA!J31</f>
        <v>Program Pembangunan Air Minum</v>
      </c>
      <c r="I43" s="6">
        <f>DATA!K31</f>
        <v>3</v>
      </c>
      <c r="J43" s="38"/>
      <c r="K43" s="39"/>
      <c r="L43" s="39"/>
      <c r="M43" s="38"/>
      <c r="N43" s="67" t="str">
        <f>DATA!L31</f>
        <v>The Development of Regional Water Supply System of Petanglong</v>
      </c>
      <c r="O43" s="42">
        <f>DATA!Q31</f>
        <v>1</v>
      </c>
      <c r="P43" s="42">
        <f>DATA!R31</f>
        <v>1</v>
      </c>
      <c r="Q43" s="42">
        <f>DATA!S31</f>
        <v>25</v>
      </c>
      <c r="R43" s="83">
        <f>DATA!T31</f>
        <v>95380000</v>
      </c>
      <c r="S43" s="83"/>
      <c r="T43" s="83">
        <f>DATA!V31</f>
        <v>4769000</v>
      </c>
      <c r="U43" s="83">
        <f>DATA!W31</f>
        <v>0</v>
      </c>
      <c r="V43" s="83">
        <f>DATA!X31</f>
        <v>100149000</v>
      </c>
      <c r="W43" s="84" t="str">
        <f>DATA!Y31</f>
        <v>Bank Dunia/JICA/ADB</v>
      </c>
      <c r="X43" s="42" t="str">
        <f>DATA!Z31</f>
        <v>Multi Lender</v>
      </c>
      <c r="Y43" s="83">
        <f>DATA!AA31</f>
        <v>95380000</v>
      </c>
      <c r="Z43" s="83">
        <f>DATA!AG31</f>
        <v>0</v>
      </c>
      <c r="AA43" s="42">
        <f>DATA!AH31</f>
        <v>2017</v>
      </c>
      <c r="AB43" s="67" t="str">
        <f>DATA!AI31</f>
        <v>Tahap persiapan project</v>
      </c>
      <c r="AC43" s="67"/>
      <c r="AD43" s="67"/>
      <c r="AE43" s="67"/>
      <c r="AF43" s="67"/>
      <c r="AG43" s="67"/>
      <c r="AH43" s="67"/>
      <c r="AI43" s="67"/>
      <c r="AJ43" s="67" t="str">
        <f>DATA!AJ31</f>
        <v>-</v>
      </c>
      <c r="AK43" s="67" t="str">
        <f>DATA!AK31</f>
        <v>-</v>
      </c>
      <c r="AL43" s="67" t="str">
        <f>DATA!AL31</f>
        <v>-</v>
      </c>
      <c r="AM43" s="42">
        <f>DATA!AM31</f>
        <v>0</v>
      </c>
      <c r="AN43" s="42" t="str">
        <f>DATA!AN31</f>
        <v>belum ada keterangan</v>
      </c>
      <c r="AO43" s="42" t="str">
        <f>DATA!AO31</f>
        <v>belum ada keterangan</v>
      </c>
      <c r="AP43" s="42" t="str">
        <f>DATA!AP31</f>
        <v>belum ada proses tender/lelang</v>
      </c>
      <c r="AQ43" s="42" t="str">
        <f>DATA!AY31</f>
        <v>Konfirmasi melalui surat Sekjen nomor KU.01.12-Sj/636 tgl 23 Oktober 2015</v>
      </c>
      <c r="AR43" s="42" t="e">
        <f>DATA!#REF!</f>
        <v>#REF!</v>
      </c>
      <c r="AS43" s="42">
        <f>DATA!AZ31</f>
        <v>0</v>
      </c>
      <c r="AT43" s="67" t="str">
        <f>DATA!BA31</f>
        <v>Pembangunan intake dan transmisi air baku, pembangunan IPA dengan kapasitas 1.100 lt/dt untuk sistem pengelolaan air minum yang berkapasitas 1.100 lt/dt, dan untuk penyediaan SPAM yang melayani 142.999 SR  di wilayah Kab. Batang, Kota Pekalongan, Kab. Pekalongan</v>
      </c>
    </row>
    <row r="44" spans="1:46" s="6" customFormat="1" ht="63.75">
      <c r="A44" s="6">
        <f>DATA!A32</f>
        <v>29</v>
      </c>
      <c r="B44" s="6">
        <f>DATA!B32</f>
        <v>0</v>
      </c>
      <c r="C44" s="6" t="str">
        <f>DATA!D32</f>
        <v>INFRASTRUKTUR</v>
      </c>
      <c r="D44" s="6">
        <f>DATA!E32</f>
        <v>1</v>
      </c>
      <c r="E44" s="6" t="str">
        <f>DATA!F32</f>
        <v>Kementerian Pekerjaan Umum dan Perumahan Rakyat</v>
      </c>
      <c r="F44" s="6" t="str">
        <f>DATA!H32</f>
        <v>Drinking Water Development Program</v>
      </c>
      <c r="G44" s="6" t="str">
        <f>DATA!I32</f>
        <v>D</v>
      </c>
      <c r="H44" s="6" t="str">
        <f>DATA!J32</f>
        <v>Program Pembangunan Air Minum</v>
      </c>
      <c r="I44" s="6">
        <f>DATA!K32</f>
        <v>3</v>
      </c>
      <c r="J44" s="38"/>
      <c r="K44" s="39"/>
      <c r="L44" s="39"/>
      <c r="M44" s="38"/>
      <c r="N44" s="67" t="str">
        <f>DATA!L32</f>
        <v xml:space="preserve">The Development of Regional Water Supply System of Durolis </v>
      </c>
      <c r="O44" s="42">
        <f>DATA!Q32</f>
        <v>1</v>
      </c>
      <c r="P44" s="42">
        <f>DATA!R32</f>
        <v>1</v>
      </c>
      <c r="Q44" s="42">
        <f>DATA!S32</f>
        <v>26</v>
      </c>
      <c r="R44" s="83">
        <f>DATA!T32</f>
        <v>33400000</v>
      </c>
      <c r="S44" s="83"/>
      <c r="T44" s="83">
        <f>DATA!V32</f>
        <v>1670000</v>
      </c>
      <c r="U44" s="83">
        <f>DATA!W32</f>
        <v>0</v>
      </c>
      <c r="V44" s="83">
        <f>DATA!X32</f>
        <v>35070000</v>
      </c>
      <c r="W44" s="84" t="str">
        <f>DATA!Y32</f>
        <v>Bank Dunia/JICA/ADB</v>
      </c>
      <c r="X44" s="42" t="str">
        <f>DATA!Z32</f>
        <v>Multi Lender</v>
      </c>
      <c r="Y44" s="83">
        <f>DATA!AA32</f>
        <v>33400000</v>
      </c>
      <c r="Z44" s="83">
        <f>DATA!AG32</f>
        <v>0</v>
      </c>
      <c r="AA44" s="42">
        <f>DATA!AH32</f>
        <v>2017</v>
      </c>
      <c r="AB44" s="67" t="str">
        <f>DATA!AI32</f>
        <v>-</v>
      </c>
      <c r="AC44" s="67"/>
      <c r="AD44" s="67"/>
      <c r="AE44" s="67"/>
      <c r="AF44" s="67"/>
      <c r="AG44" s="67"/>
      <c r="AH44" s="67"/>
      <c r="AI44" s="67"/>
      <c r="AJ44" s="67" t="str">
        <f>DATA!AJ32</f>
        <v>FS, DED, AMDAL</v>
      </c>
      <c r="AK44" s="67" t="str">
        <f>DATA!AK32</f>
        <v xml:space="preserve"> Lahan sudah tersedia </v>
      </c>
      <c r="AL44" s="67" t="str">
        <f>DATA!AL32</f>
        <v>-</v>
      </c>
      <c r="AM44" s="42">
        <f>DATA!AM32</f>
        <v>0</v>
      </c>
      <c r="AN44" s="42" t="str">
        <f>DATA!AN32</f>
        <v>siap</v>
      </c>
      <c r="AO44" s="42" t="str">
        <f>DATA!AO32</f>
        <v>siap</v>
      </c>
      <c r="AP44" s="42" t="str">
        <f>DATA!AP32</f>
        <v>belum ada proses tender/lelang</v>
      </c>
      <c r="AQ44" s="42" t="str">
        <f>DATA!AY32</f>
        <v>Konfirmasi melalui surat Sekjen nomor KU.01.12-Sj/636 tgl 23 Oktober 2015</v>
      </c>
      <c r="AR44" s="42" t="e">
        <f>DATA!#REF!</f>
        <v>#REF!</v>
      </c>
      <c r="AS44" s="42" t="str">
        <f>DATA!AZ32</f>
        <v>ADB juga diindikasikan akan mendanai kegiatan ini</v>
      </c>
      <c r="AT44" s="67" t="str">
        <f>DATA!BA32</f>
        <v>Pembangunan unit air baku, unit produksi dan distribusi utama, unit pelayanan dan unit pengelolaan untuk sistem pengelolaan air minum yang berkapasitas 500 lt/dt dan untuk melayani masyarakat sebesar 24.000 SR di wilayah Dumai, Rokan Hilir dan Bengkalis</v>
      </c>
    </row>
    <row r="45" spans="1:46" s="6" customFormat="1" ht="86.25" customHeight="1">
      <c r="A45" s="6">
        <f>DATA!A33</f>
        <v>30</v>
      </c>
      <c r="B45" s="6">
        <f>DATA!B33</f>
        <v>0</v>
      </c>
      <c r="C45" s="6" t="str">
        <f>DATA!D33</f>
        <v>INFRASTRUKTUR</v>
      </c>
      <c r="D45" s="6">
        <f>DATA!E33</f>
        <v>1</v>
      </c>
      <c r="E45" s="6" t="str">
        <f>DATA!F33</f>
        <v>Kementerian Pekerjaan Umum dan Perumahan Rakyat</v>
      </c>
      <c r="F45" s="6" t="str">
        <f>DATA!H33</f>
        <v>Drinking Water Development Program</v>
      </c>
      <c r="G45" s="6" t="str">
        <f>DATA!I33</f>
        <v>D</v>
      </c>
      <c r="H45" s="6" t="str">
        <f>DATA!J33</f>
        <v>Program Pembangunan Air Minum</v>
      </c>
      <c r="I45" s="6">
        <f>DATA!K33</f>
        <v>3</v>
      </c>
      <c r="J45" s="38"/>
      <c r="K45" s="39"/>
      <c r="L45" s="39"/>
      <c r="M45" s="38"/>
      <c r="N45" s="67" t="str">
        <f>DATA!L33</f>
        <v xml:space="preserve">The Development of Regional Water Supply System of  Banten - Jakarta from Karian Dam </v>
      </c>
      <c r="O45" s="42">
        <f>DATA!Q33</f>
        <v>1</v>
      </c>
      <c r="P45" s="42">
        <f>DATA!R33</f>
        <v>1</v>
      </c>
      <c r="Q45" s="42">
        <f>DATA!S33</f>
        <v>27</v>
      </c>
      <c r="R45" s="83">
        <f>DATA!T33</f>
        <v>40000000</v>
      </c>
      <c r="S45" s="83"/>
      <c r="T45" s="83">
        <f>DATA!V33</f>
        <v>2000000</v>
      </c>
      <c r="U45" s="83">
        <f>DATA!W33</f>
        <v>0</v>
      </c>
      <c r="V45" s="83">
        <f>DATA!X33</f>
        <v>42000000</v>
      </c>
      <c r="W45" s="84" t="str">
        <f>DATA!Y33</f>
        <v>Korea</v>
      </c>
      <c r="X45" s="42" t="str">
        <f>DATA!Z33</f>
        <v>Bilateral</v>
      </c>
      <c r="Y45" s="83">
        <f>DATA!AA33</f>
        <v>40000000</v>
      </c>
      <c r="Z45" s="83">
        <f>DATA!AG33</f>
        <v>0</v>
      </c>
      <c r="AA45" s="42">
        <f>DATA!AH33</f>
        <v>2017</v>
      </c>
      <c r="AB45" s="67" t="str">
        <f>DATA!AI33</f>
        <v>-</v>
      </c>
      <c r="AC45" s="67"/>
      <c r="AD45" s="67"/>
      <c r="AE45" s="67"/>
      <c r="AF45" s="67"/>
      <c r="AG45" s="67"/>
      <c r="AH45" s="67"/>
      <c r="AI45" s="67"/>
      <c r="AJ45" s="67" t="str">
        <f>DATA!AJ33</f>
        <v>FS</v>
      </c>
      <c r="AK45" s="67" t="str">
        <f>DATA!AK33</f>
        <v>Proses pembebasan lahan oleh Pemda</v>
      </c>
      <c r="AL45" s="67" t="str">
        <f>DATA!AL33</f>
        <v>-</v>
      </c>
      <c r="AM45" s="42">
        <f>DATA!AM33</f>
        <v>0</v>
      </c>
      <c r="AN45" s="42" t="str">
        <f>DATA!AN33</f>
        <v>dalam proses
(memiliki FS)</v>
      </c>
      <c r="AO45" s="42" t="str">
        <f>DATA!AO33</f>
        <v>dalam proses
(persiapan)</v>
      </c>
      <c r="AP45" s="42" t="str">
        <f>DATA!AP33</f>
        <v>belum ada proses tender/lelang</v>
      </c>
      <c r="AQ45" s="42" t="str">
        <f>DATA!AY33</f>
        <v>Konfirmasi melalui surat Sekjen nomor KU.01.12-Sj/636 tgl 23 Oktober 2015</v>
      </c>
      <c r="AR45" s="42" t="e">
        <f>DATA!#REF!</f>
        <v>#REF!</v>
      </c>
      <c r="AS45" s="42">
        <f>DATA!AZ33</f>
        <v>0</v>
      </c>
      <c r="AT45" s="67"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row>
    <row r="46" spans="1:46" s="6" customFormat="1" ht="56.25" customHeight="1">
      <c r="A46" s="6">
        <f>DATA!A34</f>
        <v>31</v>
      </c>
      <c r="B46" s="6">
        <f>DATA!B34</f>
        <v>0</v>
      </c>
      <c r="C46" s="6" t="str">
        <f>DATA!D34</f>
        <v>INFRASTRUKTUR</v>
      </c>
      <c r="D46" s="6">
        <f>DATA!E34</f>
        <v>1</v>
      </c>
      <c r="E46" s="6" t="str">
        <f>DATA!F34</f>
        <v>Kementerian Pekerjaan Umum dan Perumahan Rakyat</v>
      </c>
      <c r="F46" s="6" t="str">
        <f>DATA!H34</f>
        <v>Drinking Water Development Program</v>
      </c>
      <c r="G46" s="6" t="str">
        <f>DATA!I34</f>
        <v>D</v>
      </c>
      <c r="H46" s="6" t="str">
        <f>DATA!J34</f>
        <v>Program Pembangunan Air Minum</v>
      </c>
      <c r="I46" s="6">
        <f>DATA!K34</f>
        <v>3</v>
      </c>
      <c r="J46" s="38"/>
      <c r="K46" s="39"/>
      <c r="L46" s="39"/>
      <c r="M46" s="43"/>
      <c r="N46" s="67" t="str">
        <f>DATA!L34</f>
        <v xml:space="preserve">The Development of Regional Water Supply System of Mebidang </v>
      </c>
      <c r="O46" s="42">
        <f>DATA!Q34</f>
        <v>1</v>
      </c>
      <c r="P46" s="42">
        <f>DATA!R34</f>
        <v>1</v>
      </c>
      <c r="Q46" s="42">
        <f>DATA!S34</f>
        <v>28</v>
      </c>
      <c r="R46" s="83">
        <f>DATA!T34</f>
        <v>56400000</v>
      </c>
      <c r="S46" s="83"/>
      <c r="T46" s="83">
        <f>DATA!V34</f>
        <v>2820000</v>
      </c>
      <c r="U46" s="83">
        <f>DATA!W34</f>
        <v>0</v>
      </c>
      <c r="V46" s="83">
        <f>DATA!X34</f>
        <v>59220000</v>
      </c>
      <c r="W46" s="84" t="str">
        <f>DATA!Y34</f>
        <v>Jerman (KfW)</v>
      </c>
      <c r="X46" s="42" t="str">
        <f>DATA!Z34</f>
        <v>Bilateral</v>
      </c>
      <c r="Y46" s="83">
        <f>DATA!AA34</f>
        <v>56400000</v>
      </c>
      <c r="Z46" s="83">
        <f>DATA!AG34</f>
        <v>0</v>
      </c>
      <c r="AA46" s="42">
        <f>DATA!AH34</f>
        <v>2017</v>
      </c>
      <c r="AB46" s="67" t="str">
        <f>DATA!AI34</f>
        <v>-</v>
      </c>
      <c r="AC46" s="67"/>
      <c r="AD46" s="67"/>
      <c r="AE46" s="67"/>
      <c r="AF46" s="67"/>
      <c r="AG46" s="67"/>
      <c r="AH46" s="67"/>
      <c r="AI46" s="67"/>
      <c r="AJ46" s="67" t="str">
        <f>DATA!AJ34</f>
        <v>FS, DED</v>
      </c>
      <c r="AK46" s="67" t="str">
        <f>DATA!AK34</f>
        <v>Proses pembebasan lahan oleh Pemda</v>
      </c>
      <c r="AL46" s="67" t="str">
        <f>DATA!AL34</f>
        <v>-</v>
      </c>
      <c r="AM46" s="42">
        <f>DATA!AM34</f>
        <v>0</v>
      </c>
      <c r="AN46" s="42" t="str">
        <f>DATA!AN34</f>
        <v>dalam proses
(memiliki FS dan DED)</v>
      </c>
      <c r="AO46" s="42" t="str">
        <f>DATA!AO34</f>
        <v>dalam proses
(persiapan)</v>
      </c>
      <c r="AP46" s="42" t="str">
        <f>DATA!AP34</f>
        <v>belum ada proses tender/lelang</v>
      </c>
      <c r="AQ46" s="42" t="str">
        <f>DATA!AY34</f>
        <v>Konfirmasi melalui surat Sekjen nomor KU.01.12-Sj/636 tgl 23 Oktober 2015</v>
      </c>
      <c r="AR46" s="42" t="e">
        <f>DATA!#REF!</f>
        <v>#REF!</v>
      </c>
      <c r="AS46" s="42">
        <f>DATA!AZ34</f>
        <v>0</v>
      </c>
      <c r="AT46" s="67" t="str">
        <f>DATA!BA34</f>
        <v>Pembangunan IPA dengan kapasitas 1.250 lt/dt, pembangunan jaringan pipa transmisi untuk penyediaan air minum yang melayani 84.558 SR di wilayah Medan, Binjai, dan Deli Serdang.</v>
      </c>
    </row>
    <row r="47" spans="1:46" ht="48.75" customHeight="1">
      <c r="A47" s="10">
        <f>DATA!A35</f>
        <v>32</v>
      </c>
      <c r="B47" s="10">
        <f>DATA!B35</f>
        <v>0</v>
      </c>
      <c r="C47" s="10" t="str">
        <f>DATA!D35</f>
        <v>INFRASTRUKTUR</v>
      </c>
      <c r="D47" s="10">
        <f>DATA!E35</f>
        <v>1</v>
      </c>
      <c r="E47" s="10" t="str">
        <f>DATA!F35</f>
        <v>Kementerian Pekerjaan Umum dan Perumahan Rakyat</v>
      </c>
      <c r="F47" s="10" t="str">
        <f>DATA!H35</f>
        <v>Drinking Water Development Program</v>
      </c>
      <c r="G47" s="10" t="str">
        <f>DATA!I35</f>
        <v>D</v>
      </c>
      <c r="H47" s="10" t="str">
        <f>DATA!J35</f>
        <v>Program Pembangunan Air Minum</v>
      </c>
      <c r="I47" s="10">
        <f>DATA!K35</f>
        <v>4</v>
      </c>
      <c r="J47" s="33"/>
      <c r="K47" s="34"/>
      <c r="L47" s="34"/>
      <c r="M47" s="36">
        <f>DATA!K35</f>
        <v>4</v>
      </c>
      <c r="N47" s="37" t="str">
        <f>DATA!L35</f>
        <v>Water Supply System and Small Scale Water Treatment:</v>
      </c>
      <c r="O47" s="20">
        <f>DATA!Q35</f>
        <v>0</v>
      </c>
      <c r="P47" s="20">
        <f>DATA!R35</f>
        <v>0</v>
      </c>
      <c r="Q47" s="20">
        <f>DATA!S35</f>
        <v>0</v>
      </c>
      <c r="R47" s="77">
        <f>DATA!T35</f>
        <v>125000000</v>
      </c>
      <c r="S47" s="77"/>
      <c r="T47" s="77">
        <f>DATA!V35</f>
        <v>5800000</v>
      </c>
      <c r="U47" s="77">
        <f>DATA!W35</f>
        <v>0</v>
      </c>
      <c r="V47" s="77">
        <f>DATA!X35</f>
        <v>130800000</v>
      </c>
      <c r="W47" s="78" t="str">
        <f>DATA!Y35</f>
        <v>-</v>
      </c>
      <c r="X47" s="20">
        <f>DATA!Z35</f>
        <v>0</v>
      </c>
      <c r="Y47" s="77">
        <f>DATA!AA35</f>
        <v>125000000</v>
      </c>
      <c r="Z47" s="77">
        <f>DATA!AG35</f>
        <v>0</v>
      </c>
      <c r="AA47" s="20" t="str">
        <f>DATA!AH35</f>
        <v>-</v>
      </c>
      <c r="AB47" s="37" t="str">
        <f>DATA!AI35</f>
        <v>-</v>
      </c>
      <c r="AC47" s="37"/>
      <c r="AD47" s="37"/>
      <c r="AE47" s="37"/>
      <c r="AF47" s="37"/>
      <c r="AG47" s="37"/>
      <c r="AH47" s="37"/>
      <c r="AI47" s="37"/>
      <c r="AJ47" s="37" t="str">
        <f>DATA!AJ35</f>
        <v>-</v>
      </c>
      <c r="AK47" s="37" t="str">
        <f>DATA!AK35</f>
        <v>-</v>
      </c>
      <c r="AL47" s="37" t="str">
        <f>DATA!AL35</f>
        <v>-</v>
      </c>
      <c r="AM47" s="20">
        <f>DATA!AM35</f>
        <v>0</v>
      </c>
      <c r="AN47" s="20" t="str">
        <f>DATA!AN35</f>
        <v>-</v>
      </c>
      <c r="AO47" s="20" t="str">
        <f>DATA!AO35</f>
        <v>-</v>
      </c>
      <c r="AP47" s="20">
        <f>DATA!AP35</f>
        <v>0</v>
      </c>
      <c r="AQ47" s="20" t="str">
        <f>DATA!AY35</f>
        <v>Konfirmasi melalui surat Sekjen nomor KU.01.12-Sj/636 tgl 23 Oktober 2015</v>
      </c>
      <c r="AR47" s="20" t="e">
        <f>DATA!#REF!</f>
        <v>#REF!</v>
      </c>
      <c r="AS47" s="20">
        <f>DATA!AZ35</f>
        <v>0</v>
      </c>
      <c r="AT47" s="37" t="str">
        <f>DATA!BA35</f>
        <v>Pengadaan dan pembangunan Instalasi Pengolahan Air Minum skala kecil untuk penanganan keadaan darurat dan Ibu Kota Kecamatan (IKK) terpilih</v>
      </c>
    </row>
    <row r="48" spans="1:46" s="6" customFormat="1" ht="66.75" customHeight="1">
      <c r="A48" s="6">
        <f>DATA!A36</f>
        <v>33</v>
      </c>
      <c r="B48" s="6">
        <f>DATA!B36</f>
        <v>0</v>
      </c>
      <c r="C48" s="6" t="str">
        <f>DATA!D36</f>
        <v>INFRASTRUKTUR</v>
      </c>
      <c r="D48" s="6">
        <f>DATA!E36</f>
        <v>1</v>
      </c>
      <c r="E48" s="6" t="str">
        <f>DATA!F36</f>
        <v>Kementerian Pekerjaan Umum dan Perumahan Rakyat</v>
      </c>
      <c r="F48" s="6" t="str">
        <f>DATA!H36</f>
        <v>Drinking Water Development Program</v>
      </c>
      <c r="G48" s="6" t="str">
        <f>DATA!I36</f>
        <v>D</v>
      </c>
      <c r="H48" s="6" t="str">
        <f>DATA!J36</f>
        <v>Program Pembangunan Air Minum</v>
      </c>
      <c r="I48" s="6">
        <f>DATA!K36</f>
        <v>4</v>
      </c>
      <c r="J48" s="38"/>
      <c r="K48" s="39"/>
      <c r="L48" s="39"/>
      <c r="M48" s="40"/>
      <c r="N48" s="67" t="str">
        <f>DATA!L36</f>
        <v xml:space="preserve">Small Scale Water Treatment Plants for Emergency Relief </v>
      </c>
      <c r="O48" s="42">
        <f>DATA!Q36</f>
        <v>1</v>
      </c>
      <c r="P48" s="42">
        <f>DATA!R36</f>
        <v>1</v>
      </c>
      <c r="Q48" s="42">
        <f>DATA!S36</f>
        <v>29</v>
      </c>
      <c r="R48" s="83">
        <f>DATA!T36</f>
        <v>25000000</v>
      </c>
      <c r="S48" s="83"/>
      <c r="T48" s="83">
        <f>DATA!V36</f>
        <v>800000</v>
      </c>
      <c r="U48" s="83">
        <f>DATA!W36</f>
        <v>0</v>
      </c>
      <c r="V48" s="83">
        <f>DATA!X36</f>
        <v>25800000</v>
      </c>
      <c r="W48" s="84" t="str">
        <f>DATA!Y36</f>
        <v>Spanyol</v>
      </c>
      <c r="X48" s="42" t="str">
        <f>DATA!Z36</f>
        <v>Bilateral</v>
      </c>
      <c r="Y48" s="83">
        <f>DATA!AA36</f>
        <v>25000000</v>
      </c>
      <c r="Z48" s="83">
        <f>DATA!AG36</f>
        <v>0</v>
      </c>
      <c r="AA48" s="42">
        <f>DATA!AH36</f>
        <v>2016</v>
      </c>
      <c r="AB48" s="67" t="str">
        <f>DATA!AI36</f>
        <v>- Sudah ada R/C
- Green Book 2015
 - Proses Loan Agreement</v>
      </c>
      <c r="AC48" s="67"/>
      <c r="AD48" s="67"/>
      <c r="AE48" s="67"/>
      <c r="AF48" s="67"/>
      <c r="AG48" s="67"/>
      <c r="AH48" s="67"/>
      <c r="AI48" s="67"/>
      <c r="AJ48" s="67" t="str">
        <f>DATA!AJ36</f>
        <v>FS</v>
      </c>
      <c r="AK48" s="67" t="str">
        <f>DATA!AK36</f>
        <v>-</v>
      </c>
      <c r="AL48" s="67" t="str">
        <f>DATA!AL36</f>
        <v>-</v>
      </c>
      <c r="AM48" s="42" t="str">
        <f>DATA!AM36</f>
        <v>2016; 2015</v>
      </c>
      <c r="AN48" s="42" t="str">
        <f>DATA!AN36</f>
        <v>siap</v>
      </c>
      <c r="AO48" s="42" t="str">
        <f>DATA!AO36</f>
        <v>dalam proses
(persiapan)</v>
      </c>
      <c r="AP48" s="42" t="str">
        <f>DATA!AP36</f>
        <v>belum ada proses tender/lelang</v>
      </c>
      <c r="AQ48" s="42" t="str">
        <f>DATA!AY36</f>
        <v>Konfirmasi melalui surat Sekjen nomor KU.01.12-Sj/636 tgl 23 Oktober 2015</v>
      </c>
      <c r="AR48" s="42" t="e">
        <f>DATA!#REF!</f>
        <v>#REF!</v>
      </c>
      <c r="AS48" s="42">
        <f>DATA!AZ36</f>
        <v>0</v>
      </c>
      <c r="AT48" s="67" t="str">
        <f>DATA!BA36</f>
        <v>Pengadaan Instalasi Pengolahan Air (IPA) yang dapat dipindahkan (mobile) untuk penanganan keadaan darurat,  yang dilengkapi dengan alat pendukung, truk, dan sistem komunikasi di 4 lokasi (kota Medan, Bekasi, Makassar, dan Surabaya)</v>
      </c>
    </row>
    <row r="49" spans="1:46" ht="35.25" customHeight="1">
      <c r="J49" s="33"/>
      <c r="K49" s="34"/>
      <c r="L49" s="34"/>
      <c r="M49" s="33"/>
      <c r="N49" s="37" t="str">
        <f>DATA!L37</f>
        <v>IKK Water Supply Program and Small Water Treatment Plant for Water Scarcity Area</v>
      </c>
      <c r="O49" s="20">
        <f>DATA!Q37</f>
        <v>0</v>
      </c>
      <c r="P49" s="20">
        <f>DATA!R37</f>
        <v>1</v>
      </c>
      <c r="Q49" s="20">
        <f>DATA!S37</f>
        <v>30</v>
      </c>
      <c r="R49" s="77">
        <f>DATA!T37</f>
        <v>100000000</v>
      </c>
      <c r="S49" s="77"/>
      <c r="T49" s="77">
        <f>DATA!V37</f>
        <v>5000000</v>
      </c>
      <c r="U49" s="77">
        <f>DATA!W37</f>
        <v>0</v>
      </c>
      <c r="V49" s="77">
        <f>DATA!X37</f>
        <v>105000000</v>
      </c>
      <c r="W49" s="78" t="str">
        <f>DATA!Y37</f>
        <v>-</v>
      </c>
      <c r="X49" s="20">
        <f>DATA!Z37</f>
        <v>0</v>
      </c>
      <c r="Y49" s="77">
        <f>DATA!AA37</f>
        <v>100000000</v>
      </c>
      <c r="Z49" s="77">
        <f>DATA!AG37</f>
        <v>0</v>
      </c>
      <c r="AA49" s="104" t="str">
        <f>DATA!AH37</f>
        <v>-</v>
      </c>
      <c r="AB49" s="105" t="str">
        <f>DATA!AI37</f>
        <v>-</v>
      </c>
      <c r="AC49" s="105"/>
      <c r="AD49" s="105"/>
      <c r="AE49" s="105"/>
      <c r="AF49" s="105"/>
      <c r="AG49" s="105"/>
      <c r="AH49" s="105"/>
      <c r="AI49" s="105"/>
      <c r="AJ49" s="105" t="str">
        <f>DATA!AJ37</f>
        <v>-</v>
      </c>
      <c r="AK49" s="105" t="str">
        <f>DATA!AK37</f>
        <v>-</v>
      </c>
      <c r="AL49" s="105" t="str">
        <f>DATA!AL37</f>
        <v>-</v>
      </c>
      <c r="AM49" s="104" t="str">
        <f>DATA!AM37</f>
        <v>-</v>
      </c>
      <c r="AN49" s="104" t="str">
        <f>DATA!AN37</f>
        <v>-</v>
      </c>
      <c r="AO49" s="104" t="str">
        <f>DATA!AO37</f>
        <v>-</v>
      </c>
      <c r="AP49" s="104" t="str">
        <f>DATA!AP37</f>
        <v>-</v>
      </c>
      <c r="AQ49" s="104" t="str">
        <f>DATA!AY37</f>
        <v>Konfirmasi melalui surat Sekjen nomor KU.01.12-Sj/636 tgl 23 Oktober 2015</v>
      </c>
      <c r="AR49" s="104" t="e">
        <f>DATA!#REF!</f>
        <v>#REF!</v>
      </c>
      <c r="AS49" s="104" t="str">
        <f>DATA!AZ37</f>
        <v>-</v>
      </c>
      <c r="AT49" s="105" t="str">
        <f>DATA!BA37</f>
        <v>-</v>
      </c>
    </row>
    <row r="50" spans="1:46" s="6" customFormat="1" ht="89.25">
      <c r="A50" s="6">
        <f>DATA!A38</f>
        <v>34</v>
      </c>
      <c r="B50" s="6">
        <f>DATA!B38</f>
        <v>0</v>
      </c>
      <c r="C50" s="6" t="str">
        <f>DATA!D38</f>
        <v>INFRASTRUKTUR</v>
      </c>
      <c r="D50" s="6">
        <f>DATA!E38</f>
        <v>1</v>
      </c>
      <c r="E50" s="6" t="str">
        <f>DATA!F38</f>
        <v>Kementerian Pekerjaan Umum dan Perumahan Rakyat</v>
      </c>
      <c r="F50" s="6" t="str">
        <f>DATA!H38</f>
        <v>Drinking Water Development Program</v>
      </c>
      <c r="G50" s="6" t="str">
        <f>DATA!I38</f>
        <v>D</v>
      </c>
      <c r="H50" s="6" t="str">
        <f>DATA!J38</f>
        <v>Program Pembangunan Air Minum</v>
      </c>
      <c r="I50" s="6">
        <f>DATA!K38</f>
        <v>4</v>
      </c>
      <c r="J50" s="38"/>
      <c r="K50" s="39"/>
      <c r="L50" s="71"/>
      <c r="M50" s="43"/>
      <c r="N50" s="67" t="str">
        <f>DATA!L38</f>
        <v>IKK Water Supply Program and Small Water Treatment Plant for Water Scarcity Area</v>
      </c>
      <c r="O50" s="42">
        <f>DATA!Q38</f>
        <v>0.5</v>
      </c>
      <c r="P50" s="42">
        <f>DATA!R38</f>
        <v>0</v>
      </c>
      <c r="Q50" s="42">
        <f>DATA!S38</f>
        <v>0</v>
      </c>
      <c r="R50" s="83">
        <f>DATA!T38</f>
        <v>0</v>
      </c>
      <c r="S50" s="83"/>
      <c r="T50" s="83">
        <f>DATA!V38</f>
        <v>0</v>
      </c>
      <c r="U50" s="83">
        <f>DATA!W38</f>
        <v>0</v>
      </c>
      <c r="V50" s="83">
        <f>DATA!X38</f>
        <v>0</v>
      </c>
      <c r="W50" s="84" t="str">
        <f>DATA!Y38</f>
        <v>Hungaria</v>
      </c>
      <c r="X50" s="42" t="str">
        <f>DATA!Z38</f>
        <v>Bilateral</v>
      </c>
      <c r="Y50" s="83">
        <f>DATA!AA38</f>
        <v>50000000</v>
      </c>
      <c r="Z50" s="83">
        <f>DATA!AG38</f>
        <v>0</v>
      </c>
      <c r="AA50" s="42">
        <f>DATA!AH38</f>
        <v>2016</v>
      </c>
      <c r="AB50" s="67" t="str">
        <f>DATA!AI38</f>
        <v>- Sudah ada R/C
- Green Book 2015
- Proses LA</v>
      </c>
      <c r="AC50" s="67"/>
      <c r="AD50" s="67"/>
      <c r="AE50" s="67"/>
      <c r="AF50" s="67"/>
      <c r="AG50" s="67"/>
      <c r="AH50" s="67"/>
      <c r="AI50" s="67"/>
      <c r="AJ50" s="67" t="str">
        <f>DATA!AJ38</f>
        <v>Surat minat, RISPAM, DED, SIPA, Organisasi Pelaksana, DDUB</v>
      </c>
      <c r="AK50" s="67" t="str">
        <f>DATA!AK38</f>
        <v>Sebagian lokasi dalam proses pembebasan lahan oleh Pemda</v>
      </c>
      <c r="AL50" s="67" t="str">
        <f>DATA!AL38</f>
        <v>Dalam proses pengadaan</v>
      </c>
      <c r="AM50" s="42" t="str">
        <f>DATA!AM38</f>
        <v>2016; 2015</v>
      </c>
      <c r="AN50" s="42" t="str">
        <f>DATA!AN38</f>
        <v>siap</v>
      </c>
      <c r="AO50" s="42" t="str">
        <f>DATA!AO38</f>
        <v>dalam proses
(pelaksanaan &lt;50%)</v>
      </c>
      <c r="AP50" s="42" t="str">
        <f>DATA!AP38</f>
        <v>dalam proses tender/lelang</v>
      </c>
      <c r="AQ50" s="42" t="str">
        <f>DATA!AY38</f>
        <v>Konfirmasi melalui surat Sekjen nomor KU.01.12-Sj/636 tgl 23 Oktober 2015</v>
      </c>
      <c r="AR50" s="42" t="e">
        <f>DATA!#REF!</f>
        <v>#REF!</v>
      </c>
      <c r="AS50" s="42"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T50" s="67"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row>
    <row r="51" spans="1:46" s="6" customFormat="1" ht="30" customHeight="1">
      <c r="J51" s="38"/>
      <c r="K51" s="39"/>
      <c r="L51" s="71"/>
      <c r="M51" s="43"/>
      <c r="N51" s="67" t="str">
        <f>DATA!L39</f>
        <v>IKK Water Supply Program and Small Water Treatment Plant for Water Scarcity Area</v>
      </c>
      <c r="O51" s="42">
        <f>DATA!Q39</f>
        <v>0.5</v>
      </c>
      <c r="P51" s="42">
        <f>DATA!R39</f>
        <v>0</v>
      </c>
      <c r="Q51" s="42">
        <f>DATA!S39</f>
        <v>0</v>
      </c>
      <c r="R51" s="83">
        <f>DATA!T39</f>
        <v>0</v>
      </c>
      <c r="S51" s="83"/>
      <c r="T51" s="83">
        <f>DATA!V39</f>
        <v>0</v>
      </c>
      <c r="U51" s="83">
        <f>DATA!W39</f>
        <v>0</v>
      </c>
      <c r="V51" s="83">
        <f>DATA!X39</f>
        <v>0</v>
      </c>
      <c r="W51" s="84" t="str">
        <f>DATA!Y39</f>
        <v>IDB</v>
      </c>
      <c r="X51" s="42" t="str">
        <f>DATA!Z39</f>
        <v>Multilateral</v>
      </c>
      <c r="Y51" s="83">
        <f>DATA!AA39</f>
        <v>50000000</v>
      </c>
      <c r="Z51" s="83">
        <f>DATA!AG39</f>
        <v>0</v>
      </c>
      <c r="AA51" s="42">
        <f>DATA!AH39</f>
        <v>2017</v>
      </c>
      <c r="AB51" s="67" t="str">
        <f>DATA!AI39</f>
        <v>-</v>
      </c>
      <c r="AC51" s="67"/>
      <c r="AD51" s="67"/>
      <c r="AE51" s="67"/>
      <c r="AF51" s="67"/>
      <c r="AG51" s="67"/>
      <c r="AH51" s="67"/>
      <c r="AI51" s="67"/>
      <c r="AJ51" s="67" t="str">
        <f>DATA!AJ39</f>
        <v>-</v>
      </c>
      <c r="AK51" s="67" t="str">
        <f>DATA!AK39</f>
        <v>-</v>
      </c>
      <c r="AL51" s="67" t="str">
        <f>DATA!AL39</f>
        <v>-</v>
      </c>
      <c r="AM51" s="42">
        <f>DATA!AM39</f>
        <v>0</v>
      </c>
      <c r="AN51" s="42" t="str">
        <f>DATA!AN39</f>
        <v>siap</v>
      </c>
      <c r="AO51" s="42" t="str">
        <f>DATA!AO39</f>
        <v>dalam proses
(pelaksanaan &lt;50%)</v>
      </c>
      <c r="AP51" s="42" t="str">
        <f>DATA!AP39</f>
        <v>belum ada proses tender/lelang</v>
      </c>
      <c r="AQ51" s="42" t="str">
        <f>DATA!AY39</f>
        <v>Konfirmasi melalui surat Sekjen nomor KU.01.12-Sj/636 tgl 23 Oktober 2015</v>
      </c>
      <c r="AR51" s="42" t="e">
        <f>DATA!#REF!</f>
        <v>#REF!</v>
      </c>
      <c r="AS51" s="42">
        <f>DATA!AZ39</f>
        <v>0</v>
      </c>
      <c r="AT51" s="67">
        <f>DATA!BA39</f>
        <v>0</v>
      </c>
    </row>
    <row r="52" spans="1:46" s="6" customFormat="1" ht="37.5" customHeight="1">
      <c r="J52" s="38"/>
      <c r="K52" s="39"/>
      <c r="L52" s="71"/>
      <c r="M52" s="36">
        <f>DATA!K40</f>
        <v>5</v>
      </c>
      <c r="N52" s="37" t="str">
        <f>DATA!L40</f>
        <v>Engineering Service for Water Supply Development Project</v>
      </c>
      <c r="O52" s="20">
        <f>DATA!Q40</f>
        <v>0</v>
      </c>
      <c r="P52" s="20">
        <f>DATA!R40</f>
        <v>1</v>
      </c>
      <c r="Q52" s="20">
        <f>DATA!S40</f>
        <v>0</v>
      </c>
      <c r="R52" s="77">
        <f>DATA!T40</f>
        <v>0</v>
      </c>
      <c r="S52" s="77"/>
      <c r="T52" s="77">
        <f>DATA!V40</f>
        <v>0</v>
      </c>
      <c r="U52" s="77">
        <f>DATA!W40</f>
        <v>0</v>
      </c>
      <c r="V52" s="77">
        <f>DATA!X40</f>
        <v>0</v>
      </c>
      <c r="W52" s="78" t="str">
        <f>DATA!Y40</f>
        <v>ADB</v>
      </c>
      <c r="X52" s="20" t="str">
        <f>DATA!Z40</f>
        <v>Multilateral</v>
      </c>
      <c r="Y52" s="77">
        <f>DATA!AA40</f>
        <v>26380000</v>
      </c>
      <c r="Z52" s="77">
        <f>DATA!AG40</f>
        <v>0</v>
      </c>
      <c r="AA52" s="20">
        <f>DATA!AH40</f>
        <v>2016</v>
      </c>
      <c r="AB52" s="37" t="str">
        <f>DATA!AI40</f>
        <v>- Green Book 2015</v>
      </c>
      <c r="AC52" s="37"/>
      <c r="AD52" s="37"/>
      <c r="AE52" s="37"/>
      <c r="AF52" s="37"/>
      <c r="AG52" s="37"/>
      <c r="AH52" s="37"/>
      <c r="AI52" s="37"/>
      <c r="AJ52" s="37" t="str">
        <f>DATA!AJ40</f>
        <v>-</v>
      </c>
      <c r="AK52" s="37" t="str">
        <f>DATA!AK40</f>
        <v>-</v>
      </c>
      <c r="AL52" s="37" t="str">
        <f>DATA!AL40</f>
        <v>-</v>
      </c>
      <c r="AM52" s="42"/>
      <c r="AN52" s="42"/>
      <c r="AO52" s="42"/>
      <c r="AP52" s="42"/>
      <c r="AQ52" s="42"/>
      <c r="AR52" s="42"/>
      <c r="AS52" s="42"/>
      <c r="AT52" s="67"/>
    </row>
    <row r="53" spans="1:46" s="5" customFormat="1" ht="33.75" customHeight="1">
      <c r="J53" s="28"/>
      <c r="K53" s="50"/>
      <c r="L53" s="30" t="str">
        <f>DATA!I41</f>
        <v>E</v>
      </c>
      <c r="M53" s="31" t="str">
        <f>DATA!J41</f>
        <v xml:space="preserve">Program Pembangunan Sistem Pengelolaan Air Limbah </v>
      </c>
      <c r="N53" s="51"/>
      <c r="O53" s="31"/>
      <c r="P53" s="31"/>
      <c r="Q53" s="31"/>
      <c r="R53" s="81">
        <f>+R54+R57+R58+R59+R63+R64</f>
        <v>3583000000</v>
      </c>
      <c r="S53" s="81"/>
      <c r="T53" s="81">
        <f t="shared" ref="T53:Z53" si="1">+T54+T57+T58+T59+T63+T64</f>
        <v>179150000</v>
      </c>
      <c r="U53" s="81">
        <f t="shared" si="1"/>
        <v>0</v>
      </c>
      <c r="V53" s="81">
        <f t="shared" si="1"/>
        <v>3762150000</v>
      </c>
      <c r="W53" s="81"/>
      <c r="X53" s="81" t="e">
        <f t="shared" si="1"/>
        <v>#VALUE!</v>
      </c>
      <c r="Y53" s="81">
        <f t="shared" si="1"/>
        <v>3583000000</v>
      </c>
      <c r="Z53" s="81">
        <f t="shared" si="1"/>
        <v>0</v>
      </c>
      <c r="AA53" s="31"/>
      <c r="AB53" s="32"/>
      <c r="AC53" s="32"/>
      <c r="AD53" s="32"/>
      <c r="AE53" s="32"/>
      <c r="AF53" s="32"/>
      <c r="AG53" s="32"/>
      <c r="AH53" s="32"/>
      <c r="AI53" s="32"/>
      <c r="AJ53" s="32"/>
      <c r="AK53" s="32"/>
      <c r="AL53" s="32"/>
      <c r="AM53" s="31"/>
      <c r="AN53" s="31"/>
      <c r="AO53" s="31"/>
      <c r="AP53" s="31"/>
      <c r="AQ53" s="31"/>
      <c r="AR53" s="31"/>
      <c r="AS53" s="31"/>
      <c r="AT53" s="32"/>
    </row>
    <row r="54" spans="1:46" ht="57.75" customHeight="1">
      <c r="A54" s="10">
        <f>DATA!A41</f>
        <v>35</v>
      </c>
      <c r="B54" s="10">
        <f>DATA!B41</f>
        <v>0</v>
      </c>
      <c r="C54" s="10" t="str">
        <f>DATA!D41</f>
        <v>INFRASTRUKTUR</v>
      </c>
      <c r="D54" s="10">
        <f>DATA!E41</f>
        <v>1</v>
      </c>
      <c r="E54" s="10" t="str">
        <f>DATA!F41</f>
        <v>Kementerian Pekerjaan Umum dan Perumahan Rakyat</v>
      </c>
      <c r="F54" s="10" t="str">
        <f>DATA!H41</f>
        <v>Development of Waste Water Management Program</v>
      </c>
      <c r="G54" s="10" t="str">
        <f>DATA!I41</f>
        <v>E</v>
      </c>
      <c r="H54" s="10" t="str">
        <f>DATA!J41</f>
        <v xml:space="preserve">Program Pembangunan Sistem Pengelolaan Air Limbah </v>
      </c>
      <c r="I54" s="10">
        <f>DATA!K41</f>
        <v>1</v>
      </c>
      <c r="J54" s="33"/>
      <c r="K54" s="34"/>
      <c r="L54" s="35"/>
      <c r="M54" s="36">
        <f>DATA!K41</f>
        <v>1</v>
      </c>
      <c r="N54" s="37" t="str">
        <f>DATA!L41</f>
        <v>Community Based Sanitation Program (SANIMAS)</v>
      </c>
      <c r="O54" s="37">
        <f>DATA!Q41</f>
        <v>0</v>
      </c>
      <c r="P54" s="37">
        <f>DATA!R41</f>
        <v>1</v>
      </c>
      <c r="Q54" s="37">
        <f>DATA!S41</f>
        <v>31</v>
      </c>
      <c r="R54" s="87">
        <f>DATA!T41</f>
        <v>250000000</v>
      </c>
      <c r="S54" s="87"/>
      <c r="T54" s="87">
        <f>DATA!V41</f>
        <v>12500000</v>
      </c>
      <c r="U54" s="87">
        <f>DATA!W41</f>
        <v>0</v>
      </c>
      <c r="V54" s="87">
        <f>DATA!X41</f>
        <v>262500000</v>
      </c>
      <c r="W54" s="37" t="str">
        <f>DATA!Y41</f>
        <v>-</v>
      </c>
      <c r="X54" s="37">
        <f>DATA!Z41</f>
        <v>0</v>
      </c>
      <c r="Y54" s="37">
        <f>DATA!AA41</f>
        <v>250000000</v>
      </c>
      <c r="Z54" s="87">
        <f>DATA!AG41</f>
        <v>0</v>
      </c>
      <c r="AA54" s="37" t="str">
        <f>DATA!AH41</f>
        <v>-</v>
      </c>
      <c r="AB54" s="37" t="str">
        <f>DATA!AI41</f>
        <v>-</v>
      </c>
      <c r="AC54" s="37"/>
      <c r="AD54" s="37"/>
      <c r="AE54" s="37"/>
      <c r="AF54" s="37"/>
      <c r="AG54" s="37"/>
      <c r="AH54" s="37"/>
      <c r="AI54" s="37"/>
      <c r="AJ54" s="37" t="str">
        <f>DATA!AJ41</f>
        <v>-</v>
      </c>
      <c r="AK54" s="37" t="str">
        <f>DATA!AK41</f>
        <v>-</v>
      </c>
      <c r="AL54" s="37" t="str">
        <f>DATA!AL41</f>
        <v>-</v>
      </c>
      <c r="AM54" s="37" t="str">
        <f>DATA!AM41</f>
        <v>-</v>
      </c>
      <c r="AN54" s="37" t="str">
        <f>DATA!AN41</f>
        <v>-</v>
      </c>
      <c r="AO54" s="37" t="str">
        <f>DATA!AO41</f>
        <v>-</v>
      </c>
      <c r="AP54" s="37" t="str">
        <f>DATA!AP41</f>
        <v>belum ada proses tender/lelang</v>
      </c>
      <c r="AQ54" s="37" t="str">
        <f>DATA!AY41</f>
        <v>- Merupakan kelanjutan dari kegiatan Urban Sanitation and Rural Infrastructure Support to PNPM Mandiri Projrct (USRI) yang telah berakhir pada tanggal 30 Juni 2015
- Konfirmasi melalui surat Sekjen nomor KU.01.12-Sj/636 tgl 23 Oktober 2015</v>
      </c>
      <c r="AR54" s="37" t="e">
        <f>DATA!#REF!</f>
        <v>#REF!</v>
      </c>
      <c r="AS54" s="37" t="str">
        <f>DATA!AZ41</f>
        <v>- ADB akan co-financing dengan IDB dan diindikasikan akan mendanai kegiatan ini sebesar USD 125 juta untuk wilayah Indonesia Timur
'- IDB akan co-financing dengan ADB dan diindikasikan akan mendanai kegiatan ini sebesar USD 25 juta untuk wilayah Indonesia Barat</v>
      </c>
      <c r="AT54" s="37" t="str">
        <f>DATA!BA41</f>
        <v>Bantuan langsung masyarakat, penguatan institusi pengelola, dan jasa konsultasi.</v>
      </c>
    </row>
    <row r="55" spans="1:46" s="6" customFormat="1" ht="55.5" customHeight="1">
      <c r="J55" s="38"/>
      <c r="K55" s="39"/>
      <c r="L55" s="39"/>
      <c r="M55" s="72"/>
      <c r="N55" s="67" t="str">
        <f>DATA!L42</f>
        <v>Community Based Sanitation Program (SANIMAS)</v>
      </c>
      <c r="O55" s="67">
        <f>DATA!Q42</f>
        <v>0.5</v>
      </c>
      <c r="P55" s="67">
        <f>DATA!R42</f>
        <v>1</v>
      </c>
      <c r="Q55" s="67">
        <f>DATA!S42</f>
        <v>31</v>
      </c>
      <c r="R55" s="93">
        <f>DATA!T42</f>
        <v>0</v>
      </c>
      <c r="S55" s="93"/>
      <c r="T55" s="93">
        <f>DATA!V42</f>
        <v>0</v>
      </c>
      <c r="U55" s="93">
        <f>DATA!W42</f>
        <v>0</v>
      </c>
      <c r="V55" s="93">
        <f>DATA!X42</f>
        <v>0</v>
      </c>
      <c r="W55" s="84" t="str">
        <f>DATA!Y42</f>
        <v>ADB</v>
      </c>
      <c r="X55" s="67" t="str">
        <f>DATA!Z42</f>
        <v>Multilateral</v>
      </c>
      <c r="Y55" s="67">
        <f>DATA!AA42</f>
        <v>125000000</v>
      </c>
      <c r="Z55" s="93">
        <f>DATA!AG42</f>
        <v>0</v>
      </c>
      <c r="AA55" s="67">
        <f>DATA!AH42</f>
        <v>2016</v>
      </c>
      <c r="AB55" s="67" t="str">
        <f>DATA!AI42</f>
        <v>-</v>
      </c>
      <c r="AC55" s="67"/>
      <c r="AD55" s="67"/>
      <c r="AE55" s="67"/>
      <c r="AF55" s="67"/>
      <c r="AG55" s="67"/>
      <c r="AH55" s="67"/>
      <c r="AI55" s="67"/>
      <c r="AJ55" s="67" t="str">
        <f>DATA!AJ42</f>
        <v>-</v>
      </c>
      <c r="AK55" s="67" t="str">
        <f>DATA!AK42</f>
        <v>Tidak ada kegiatan pengadaan lahan, lahan akan diperoleh dari masyarakat</v>
      </c>
      <c r="AL55" s="67" t="str">
        <f>DATA!AL42</f>
        <v>-</v>
      </c>
      <c r="AM55" s="67">
        <f>DATA!AM42</f>
        <v>0</v>
      </c>
      <c r="AN55" s="67" t="str">
        <f>DATA!AN42</f>
        <v>belum ada keterangan</v>
      </c>
      <c r="AO55" s="67" t="str">
        <f>DATA!AO42</f>
        <v>tidak butuh lahan</v>
      </c>
      <c r="AP55" s="67" t="str">
        <f>DATA!AP42</f>
        <v>belum ada proses tender/lelang</v>
      </c>
      <c r="AQ55" s="67" t="str">
        <f>DATA!AY42</f>
        <v>- Merupakan kelanjutan dari kegiatan Urban Sanitation and Rural Infrastructure Support to PNPM Mandiri Projrct (USRI) yang telah berakhir pada tanggal 30 Juni 2015
- Konfirmasi melalui e-mail tanggal 17, 18, dan 21 Sept 2015</v>
      </c>
      <c r="AR55" s="67" t="e">
        <f>DATA!#REF!</f>
        <v>#REF!</v>
      </c>
      <c r="AS55" s="6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T55" s="67" t="str">
        <f>DATA!BA42</f>
        <v>Bantuan langsung masyarakat, penguatan institusi pengelola, dan jasa konsultasi.</v>
      </c>
    </row>
    <row r="56" spans="1:46" s="6" customFormat="1" ht="46.5" customHeight="1">
      <c r="J56" s="38"/>
      <c r="K56" s="39"/>
      <c r="L56" s="39"/>
      <c r="M56" s="72"/>
      <c r="N56" s="67" t="str">
        <f>DATA!L43</f>
        <v>Community Based Sanitation Program (SANIMAS)</v>
      </c>
      <c r="O56" s="67">
        <f>DATA!Q43</f>
        <v>0.5</v>
      </c>
      <c r="P56" s="67">
        <f>DATA!R43</f>
        <v>1</v>
      </c>
      <c r="Q56" s="67">
        <f>DATA!S43</f>
        <v>31</v>
      </c>
      <c r="R56" s="93">
        <f>DATA!T43</f>
        <v>0</v>
      </c>
      <c r="S56" s="93"/>
      <c r="T56" s="93">
        <f>DATA!V43</f>
        <v>0</v>
      </c>
      <c r="U56" s="93">
        <f>DATA!W43</f>
        <v>0</v>
      </c>
      <c r="V56" s="93">
        <f>DATA!X43</f>
        <v>0</v>
      </c>
      <c r="W56" s="84" t="str">
        <f>DATA!Y43</f>
        <v>IDB</v>
      </c>
      <c r="X56" s="67" t="str">
        <f>DATA!Z43</f>
        <v>Multilateral</v>
      </c>
      <c r="Y56" s="67">
        <f>DATA!AA43</f>
        <v>125000000</v>
      </c>
      <c r="Z56" s="93">
        <f>DATA!AG43</f>
        <v>0</v>
      </c>
      <c r="AA56" s="67">
        <f>DATA!AH43</f>
        <v>2017</v>
      </c>
      <c r="AB56" s="67" t="str">
        <f>DATA!AI43</f>
        <v>-</v>
      </c>
      <c r="AC56" s="67"/>
      <c r="AD56" s="67"/>
      <c r="AE56" s="67"/>
      <c r="AF56" s="67"/>
      <c r="AG56" s="67"/>
      <c r="AH56" s="67"/>
      <c r="AI56" s="67"/>
      <c r="AJ56" s="67" t="str">
        <f>DATA!AJ43</f>
        <v>-</v>
      </c>
      <c r="AK56" s="67" t="str">
        <f>DATA!AK43</f>
        <v>Tidak ada kegiatan pengadaan lahan, lahan akan diperoleh dari masyarakat</v>
      </c>
      <c r="AL56" s="67" t="str">
        <f>DATA!AL43</f>
        <v>-</v>
      </c>
      <c r="AM56" s="67">
        <f>DATA!AM43</f>
        <v>0</v>
      </c>
      <c r="AN56" s="67" t="str">
        <f>DATA!AN43</f>
        <v>belum ada keterangan</v>
      </c>
      <c r="AO56" s="67" t="str">
        <f>DATA!AO43</f>
        <v>tidak butuh lahan</v>
      </c>
      <c r="AP56" s="67" t="str">
        <f>DATA!AP43</f>
        <v>belum ada proses tender/lelang</v>
      </c>
      <c r="AQ56" s="67" t="str">
        <f>DATA!AY43</f>
        <v>- Merupakan kelanjutan dari kegiatan Urban Sanitation and Rural Infrastructure Support to PNPM Mandiri Projrct (USRI) yang telah berakhir pada tanggal 30 Juni 2015
- Konfirmasi melalui surat Sekjen nomor KU.01.12-Sj/636 tgl 23 Oktober 2015</v>
      </c>
      <c r="AR56" s="67" t="e">
        <f>DATA!#REF!</f>
        <v>#REF!</v>
      </c>
      <c r="AS56" s="6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T56" s="67" t="str">
        <f>DATA!BA43</f>
        <v>Bantuan langsung masyarakat, penguatan institusi pengelola, dan jasa konsultasi.</v>
      </c>
    </row>
    <row r="57" spans="1:46" ht="80.25" customHeight="1">
      <c r="A57" s="10">
        <f>DATA!A44</f>
        <v>36</v>
      </c>
      <c r="B57" s="10">
        <f>DATA!B44</f>
        <v>0</v>
      </c>
      <c r="C57" s="10" t="str">
        <f>DATA!D44</f>
        <v>INFRASTRUKTUR</v>
      </c>
      <c r="D57" s="10">
        <f>DATA!E44</f>
        <v>1</v>
      </c>
      <c r="E57" s="10" t="str">
        <f>DATA!F44</f>
        <v>Kementerian Pekerjaan Umum dan Perumahan Rakyat</v>
      </c>
      <c r="F57" s="10" t="str">
        <f>DATA!H44</f>
        <v>Development of Waste Water Management Program</v>
      </c>
      <c r="G57" s="10" t="str">
        <f>DATA!I44</f>
        <v>E</v>
      </c>
      <c r="H57" s="10" t="str">
        <f>DATA!J44</f>
        <v xml:space="preserve">Program Pembangunan Sistem Pengelolaan Air Limbah </v>
      </c>
      <c r="I57" s="10">
        <f>DATA!K44</f>
        <v>2</v>
      </c>
      <c r="J57" s="33"/>
      <c r="K57" s="34"/>
      <c r="L57" s="34"/>
      <c r="M57" s="36">
        <f>DATA!K44</f>
        <v>2</v>
      </c>
      <c r="N57" s="37" t="str">
        <f>DATA!L44</f>
        <v>Jakarta Sewerage Development Project - Zone 1 and Zone 6</v>
      </c>
      <c r="O57" s="20">
        <f>DATA!Q44</f>
        <v>1</v>
      </c>
      <c r="P57" s="20">
        <f>DATA!R44</f>
        <v>1</v>
      </c>
      <c r="Q57" s="20">
        <f>DATA!S44</f>
        <v>32</v>
      </c>
      <c r="R57" s="77">
        <f>DATA!T44</f>
        <v>1950000000</v>
      </c>
      <c r="S57" s="77"/>
      <c r="T57" s="77">
        <f>DATA!V44</f>
        <v>97500000</v>
      </c>
      <c r="U57" s="77">
        <f>DATA!W44</f>
        <v>0</v>
      </c>
      <c r="V57" s="77">
        <f>DATA!X44</f>
        <v>2047500000</v>
      </c>
      <c r="W57" s="78" t="str">
        <f>DATA!Y44</f>
        <v>JICA</v>
      </c>
      <c r="X57" s="20" t="str">
        <f>DATA!Z44</f>
        <v>Bilateral</v>
      </c>
      <c r="Y57" s="77">
        <f>DATA!AA44</f>
        <v>1950000000</v>
      </c>
      <c r="Z57" s="77">
        <f>DATA!AG44</f>
        <v>0</v>
      </c>
      <c r="AA57" s="20">
        <f>DATA!AH44</f>
        <v>2017</v>
      </c>
      <c r="AB57" s="37" t="str">
        <f>DATA!AI44</f>
        <v>-</v>
      </c>
      <c r="AC57" s="37"/>
      <c r="AD57" s="37"/>
      <c r="AE57" s="37"/>
      <c r="AF57" s="37"/>
      <c r="AG57" s="37"/>
      <c r="AH57" s="37"/>
      <c r="AI57" s="37"/>
      <c r="AJ57" s="37" t="str">
        <f>DATA!AJ44</f>
        <v>- FS
- Penyusunan DED</v>
      </c>
      <c r="AK57" s="37" t="str">
        <f>DATA!AK44</f>
        <v>Lahan untuk IPAL sudah dibebaskan</v>
      </c>
      <c r="AL57" s="37" t="str">
        <f>DATA!AL44</f>
        <v>-</v>
      </c>
      <c r="AM57" s="20">
        <f>DATA!AM44</f>
        <v>0</v>
      </c>
      <c r="AN57" s="20" t="str">
        <f>DATA!AN44</f>
        <v>dalam proses
(memiliki FS)</v>
      </c>
      <c r="AO57" s="20" t="str">
        <f>DATA!AO44</f>
        <v>dalam proses</v>
      </c>
      <c r="AP57" s="20" t="str">
        <f>DATA!AP44</f>
        <v>belum ada proses tender/lelang</v>
      </c>
      <c r="AQ57" s="20" t="str">
        <f>DATA!AY44</f>
        <v>Konfirmasi melalui surat Sekjen nomor KU.01.12-Sj/636 tgl 23 Oktober 2015</v>
      </c>
      <c r="AR57" s="20" t="e">
        <f>DATA!#REF!</f>
        <v>#REF!</v>
      </c>
      <c r="AS57" s="20">
        <f>DATA!AZ44</f>
        <v>0</v>
      </c>
      <c r="AT57" s="37" t="str">
        <f>DATA!BA44</f>
        <v>Pembangunan jaringan perpipaan dan Instalasi Pengolahan Air Limbah (IPAL) terpusat di Zona-1 dan Zona-6, pembangunan unit stasiun pompa, serta penyusunan Detail Engineering Design (DED) untuk IPAL Terpusat Zona 6</v>
      </c>
    </row>
    <row r="58" spans="1:46" ht="51" customHeight="1">
      <c r="A58" s="10">
        <f>DATA!A45</f>
        <v>37</v>
      </c>
      <c r="B58" s="10">
        <f>DATA!B45</f>
        <v>0</v>
      </c>
      <c r="C58" s="10" t="str">
        <f>DATA!D45</f>
        <v>INFRASTRUKTUR</v>
      </c>
      <c r="D58" s="10">
        <f>DATA!E45</f>
        <v>1</v>
      </c>
      <c r="E58" s="10" t="str">
        <f>DATA!F45</f>
        <v>Kementerian Pekerjaan Umum dan Perumahan Rakyat</v>
      </c>
      <c r="F58" s="10" t="str">
        <f>DATA!H45</f>
        <v>Development of Waste Water Management Program</v>
      </c>
      <c r="G58" s="10" t="str">
        <f>DATA!I45</f>
        <v>E</v>
      </c>
      <c r="H58" s="10" t="str">
        <f>DATA!J45</f>
        <v xml:space="preserve">Program Pembangunan Sistem Pengelolaan Air Limbah </v>
      </c>
      <c r="I58" s="10">
        <f>DATA!K45</f>
        <v>3</v>
      </c>
      <c r="J58" s="33"/>
      <c r="K58" s="34"/>
      <c r="L58" s="34"/>
      <c r="M58" s="36">
        <f>DATA!K45</f>
        <v>3</v>
      </c>
      <c r="N58" s="37" t="str">
        <f>DATA!L45</f>
        <v>The Development of Sewage Treatment Plant Facility in Priority Area</v>
      </c>
      <c r="O58" s="20">
        <f>DATA!Q45</f>
        <v>1</v>
      </c>
      <c r="P58" s="20">
        <f>DATA!R45</f>
        <v>1</v>
      </c>
      <c r="Q58" s="20">
        <f>DATA!S45</f>
        <v>33</v>
      </c>
      <c r="R58" s="77">
        <f>DATA!T45</f>
        <v>75000000</v>
      </c>
      <c r="S58" s="77"/>
      <c r="T58" s="77">
        <f>DATA!V45</f>
        <v>3750000</v>
      </c>
      <c r="U58" s="77">
        <f>DATA!W45</f>
        <v>0</v>
      </c>
      <c r="V58" s="77">
        <f>DATA!X45</f>
        <v>78750000</v>
      </c>
      <c r="W58" s="78" t="str">
        <f>DATA!Y45</f>
        <v>Bank Dunia/JICA</v>
      </c>
      <c r="X58" s="20" t="str">
        <f>DATA!Z45</f>
        <v>Multi Lender</v>
      </c>
      <c r="Y58" s="77">
        <f>DATA!AA45</f>
        <v>75000000</v>
      </c>
      <c r="Z58" s="77">
        <f>DATA!AG45</f>
        <v>0</v>
      </c>
      <c r="AA58" s="20">
        <f>DATA!AH45</f>
        <v>2018</v>
      </c>
      <c r="AB58" s="37" t="str">
        <f>DATA!AI45</f>
        <v>-</v>
      </c>
      <c r="AC58" s="37"/>
      <c r="AD58" s="37"/>
      <c r="AE58" s="37"/>
      <c r="AF58" s="37"/>
      <c r="AG58" s="37"/>
      <c r="AH58" s="37"/>
      <c r="AI58" s="37"/>
      <c r="AJ58" s="37" t="str">
        <f>DATA!AJ45</f>
        <v>FS disiapkan melalui APBN TA 2015</v>
      </c>
      <c r="AK58" s="37" t="str">
        <f>DATA!AK45</f>
        <v>-</v>
      </c>
      <c r="AL58" s="37" t="str">
        <f>DATA!AL45</f>
        <v>-</v>
      </c>
      <c r="AM58" s="20">
        <f>DATA!AM45</f>
        <v>0</v>
      </c>
      <c r="AN58" s="20" t="str">
        <f>DATA!AN45</f>
        <v>dalam proses
(memiliki FS)</v>
      </c>
      <c r="AO58" s="20" t="str">
        <f>DATA!AO45</f>
        <v>belum ada keterangan</v>
      </c>
      <c r="AP58" s="20" t="str">
        <f>DATA!AP45</f>
        <v>belum ada proses tender/lelang</v>
      </c>
      <c r="AQ58" s="20" t="str">
        <f>DATA!AY45</f>
        <v>- Sedang dalam konsep desain bentuk kegiatan
- 'Konfirmasi melalui surat Sekjen nomor KU.01.12-Sj/636 tgl 23 Oktober 2015</v>
      </c>
      <c r="AR58" s="20" t="e">
        <f>DATA!#REF!</f>
        <v>#REF!</v>
      </c>
      <c r="AS58" s="20" t="str">
        <f>DATA!AZ45</f>
        <v>JICA diindikasikan juga akan mendanai kegaiatan ini</v>
      </c>
      <c r="AT58" s="37" t="str">
        <f>DATA!BA45</f>
        <v>Penyediaan sarana prasarana Instalasi Pengolahan Lumpur Tinja (IPLT), seperti mobil tinja, pompa penyedot dan unit IPLT.</v>
      </c>
    </row>
    <row r="59" spans="1:46" ht="22.5" customHeight="1">
      <c r="A59" s="10">
        <f>DATA!A46</f>
        <v>38</v>
      </c>
      <c r="B59" s="10">
        <f>DATA!B46</f>
        <v>0</v>
      </c>
      <c r="C59" s="10" t="str">
        <f>DATA!D46</f>
        <v>INFRASTRUKTUR</v>
      </c>
      <c r="D59" s="10">
        <f>DATA!E46</f>
        <v>1</v>
      </c>
      <c r="E59" s="10" t="str">
        <f>DATA!F46</f>
        <v>Kementerian Pekerjaan Umum dan Perumahan Rakyat</v>
      </c>
      <c r="F59" s="10" t="str">
        <f>DATA!H46</f>
        <v>Development of Waste Water Management Program</v>
      </c>
      <c r="G59" s="10" t="str">
        <f>DATA!I46</f>
        <v>E</v>
      </c>
      <c r="H59" s="10" t="str">
        <f>DATA!J46</f>
        <v xml:space="preserve">Program Pembangunan Sistem Pengelolaan Air Limbah </v>
      </c>
      <c r="I59" s="10">
        <f>DATA!K46</f>
        <v>4</v>
      </c>
      <c r="J59" s="33"/>
      <c r="K59" s="34"/>
      <c r="L59" s="34"/>
      <c r="M59" s="36">
        <f>DATA!K46</f>
        <v>4</v>
      </c>
      <c r="N59" s="37" t="str">
        <f>DATA!L46</f>
        <v>Sewerage System Development in Indonesia</v>
      </c>
      <c r="O59" s="20">
        <f>DATA!Q46</f>
        <v>0</v>
      </c>
      <c r="P59" s="20">
        <f>DATA!R46</f>
        <v>1</v>
      </c>
      <c r="Q59" s="20">
        <f>DATA!S46</f>
        <v>34</v>
      </c>
      <c r="R59" s="77">
        <f>DATA!T46</f>
        <v>975000000</v>
      </c>
      <c r="S59" s="77"/>
      <c r="T59" s="77">
        <f>DATA!V46</f>
        <v>48750000</v>
      </c>
      <c r="U59" s="77">
        <f>DATA!W46</f>
        <v>0</v>
      </c>
      <c r="V59" s="77">
        <f>DATA!X46</f>
        <v>1023750000</v>
      </c>
      <c r="W59" s="78" t="str">
        <f>DATA!Y46</f>
        <v>-</v>
      </c>
      <c r="X59" s="20">
        <f>DATA!Z46</f>
        <v>0</v>
      </c>
      <c r="Y59" s="77">
        <f>DATA!AA46</f>
        <v>975000000</v>
      </c>
      <c r="Z59" s="77">
        <f>DATA!AG46</f>
        <v>0</v>
      </c>
      <c r="AA59" s="20"/>
      <c r="AB59" s="37" t="str">
        <f>DATA!AI46</f>
        <v>-</v>
      </c>
      <c r="AC59" s="37"/>
      <c r="AD59" s="37"/>
      <c r="AE59" s="37"/>
      <c r="AF59" s="37"/>
      <c r="AG59" s="37"/>
      <c r="AH59" s="37"/>
      <c r="AI59" s="37"/>
      <c r="AJ59" s="37" t="str">
        <f>DATA!AJ46</f>
        <v>-</v>
      </c>
      <c r="AK59" s="37" t="str">
        <f>DATA!AK46</f>
        <v>-</v>
      </c>
      <c r="AL59" s="37" t="str">
        <f>DATA!AL46</f>
        <v>-</v>
      </c>
      <c r="AM59" s="20" t="str">
        <f>DATA!AM46</f>
        <v>-</v>
      </c>
      <c r="AN59" s="20" t="str">
        <f>DATA!AN46</f>
        <v>-</v>
      </c>
      <c r="AO59" s="20" t="str">
        <f>DATA!AO46</f>
        <v>-</v>
      </c>
      <c r="AP59" s="20" t="str">
        <f>DATA!AP46</f>
        <v>-</v>
      </c>
      <c r="AQ59" s="20" t="str">
        <f>DATA!AY46</f>
        <v>Konfirmasi melalui surat Sekjen nomor KU.01.12-Sj/636 tgl 23 Oktober 2015</v>
      </c>
      <c r="AR59" s="20" t="e">
        <f>DATA!#REF!</f>
        <v>#REF!</v>
      </c>
      <c r="AS59" s="20" t="str">
        <f>DATA!AZ46</f>
        <v>-</v>
      </c>
      <c r="AT59" s="37" t="str">
        <f>DATA!BA46</f>
        <v>-</v>
      </c>
    </row>
    <row r="60" spans="1:46" s="6" customFormat="1" ht="48.75" customHeight="1">
      <c r="A60" s="6">
        <f>DATA!A47</f>
        <v>38</v>
      </c>
      <c r="B60" s="6">
        <f>DATA!B47</f>
        <v>0</v>
      </c>
      <c r="C60" s="6" t="str">
        <f>DATA!D47</f>
        <v>INFRASTRUKTUR</v>
      </c>
      <c r="D60" s="6">
        <f>DATA!E47</f>
        <v>1</v>
      </c>
      <c r="E60" s="6" t="str">
        <f>DATA!F47</f>
        <v>Kementerian Pekerjaan Umum dan Perumahan Rakyat</v>
      </c>
      <c r="F60" s="6" t="str">
        <f>DATA!H47</f>
        <v>Development of Waste Water Management Program</v>
      </c>
      <c r="G60" s="6" t="str">
        <f>DATA!I47</f>
        <v>E</v>
      </c>
      <c r="H60" s="6" t="str">
        <f>DATA!J47</f>
        <v xml:space="preserve">Program Pembangunan Sistem Pengelolaan Air Limbah </v>
      </c>
      <c r="I60" s="6">
        <f>DATA!K47</f>
        <v>4</v>
      </c>
      <c r="J60" s="38"/>
      <c r="K60" s="39"/>
      <c r="L60" s="39"/>
      <c r="M60" s="40"/>
      <c r="N60" s="67" t="str">
        <f>DATA!L47</f>
        <v>Sewerage System Development in Indonesia</v>
      </c>
      <c r="O60" s="42">
        <f>DATA!Q47</f>
        <v>0.25</v>
      </c>
      <c r="P60" s="42">
        <f>DATA!R47</f>
        <v>0</v>
      </c>
      <c r="Q60" s="42">
        <f>DATA!S47</f>
        <v>0</v>
      </c>
      <c r="R60" s="83">
        <f>DATA!T47</f>
        <v>0</v>
      </c>
      <c r="S60" s="83"/>
      <c r="T60" s="83">
        <f>DATA!V47</f>
        <v>0</v>
      </c>
      <c r="U60" s="83">
        <f>DATA!W47</f>
        <v>0</v>
      </c>
      <c r="V60" s="83">
        <f>DATA!X47</f>
        <v>0</v>
      </c>
      <c r="W60" s="84" t="str">
        <f>DATA!Y47</f>
        <v>ADB</v>
      </c>
      <c r="X60" s="42" t="str">
        <f>DATA!Z47</f>
        <v>Multilateral</v>
      </c>
      <c r="Y60" s="83">
        <f>DATA!AA47</f>
        <v>424800000</v>
      </c>
      <c r="Z60" s="83">
        <f>DATA!AG47</f>
        <v>0</v>
      </c>
      <c r="AA60" s="42">
        <f>DATA!AH47</f>
        <v>2017</v>
      </c>
      <c r="AB60" s="67" t="str">
        <f>DATA!AI47</f>
        <v>-</v>
      </c>
      <c r="AC60" s="67"/>
      <c r="AD60" s="67"/>
      <c r="AE60" s="67"/>
      <c r="AF60" s="67"/>
      <c r="AG60" s="67"/>
      <c r="AH60" s="67"/>
      <c r="AI60" s="67"/>
      <c r="AJ60" s="67" t="str">
        <f>DATA!AJ47</f>
        <v>-</v>
      </c>
      <c r="AK60" s="67" t="str">
        <f>DATA!AK47</f>
        <v>-</v>
      </c>
      <c r="AL60" s="67" t="str">
        <f>DATA!AL47</f>
        <v>-</v>
      </c>
      <c r="AM60" s="42">
        <f>DATA!AM47</f>
        <v>0</v>
      </c>
      <c r="AN60" s="42" t="str">
        <f>DATA!AN47</f>
        <v>belum ada keterangan</v>
      </c>
      <c r="AO60" s="42" t="str">
        <f>DATA!AO47</f>
        <v>belum ada keterangan</v>
      </c>
      <c r="AP60" s="42" t="str">
        <f>DATA!AP47</f>
        <v>belum ada proses tender/lelang</v>
      </c>
      <c r="AQ60" s="42" t="str">
        <f>DATA!AY47</f>
        <v>- termasuk ESP senilai USD 26,38 juta, indikasi Lender ADB
- belum ada proses penyiapan
- Konfirmasi melalui surat Sekjen nomor KU.01.12-Sj/636 tgl 23 Oktober 2015</v>
      </c>
      <c r="AR60" s="42" t="e">
        <f>DATA!#REF!</f>
        <v>#REF!</v>
      </c>
      <c r="AS60" s="42" t="str">
        <f>DATA!AZ47</f>
        <v>Sudah ada pembicaraan awal</v>
      </c>
      <c r="AT60" s="67" t="str">
        <f>DATA!BA47</f>
        <v>Pembangunan fisik sarana dan prasarana sanitasi serta Instalasi Pengolahan Air Limbah (IPAL) dan penguatan kapasitas lembaga pengelola</v>
      </c>
    </row>
    <row r="61" spans="1:46" s="6" customFormat="1" ht="43.5" customHeight="1">
      <c r="A61" s="6">
        <f>DATA!A48</f>
        <v>39</v>
      </c>
      <c r="B61" s="6">
        <f>DATA!B48</f>
        <v>0</v>
      </c>
      <c r="C61" s="6" t="str">
        <f>DATA!D48</f>
        <v>INFRASTRUKTUR</v>
      </c>
      <c r="D61" s="6">
        <f>DATA!E48</f>
        <v>1</v>
      </c>
      <c r="E61" s="6" t="str">
        <f>DATA!F48</f>
        <v>Kementerian Pekerjaan Umum dan Perumahan Rakyat</v>
      </c>
      <c r="F61" s="6" t="str">
        <f>DATA!H48</f>
        <v>Development of Waste Water Management Program</v>
      </c>
      <c r="G61" s="6" t="str">
        <f>DATA!I48</f>
        <v>E</v>
      </c>
      <c r="H61" s="6" t="str">
        <f>DATA!J48</f>
        <v xml:space="preserve">Program Pembangunan Sistem Pengelolaan Air Limbah </v>
      </c>
      <c r="I61" s="6">
        <f>DATA!K48</f>
        <v>4</v>
      </c>
      <c r="J61" s="38"/>
      <c r="K61" s="39"/>
      <c r="L61" s="39"/>
      <c r="M61" s="38"/>
      <c r="N61" s="67" t="str">
        <f>DATA!L48</f>
        <v>Sewerage System Development in Indonesia</v>
      </c>
      <c r="O61" s="42">
        <f>DATA!Q48</f>
        <v>0.25</v>
      </c>
      <c r="P61" s="42">
        <f>DATA!R48</f>
        <v>0</v>
      </c>
      <c r="Q61" s="42">
        <f>DATA!S48</f>
        <v>0</v>
      </c>
      <c r="R61" s="83">
        <f>DATA!T48</f>
        <v>0</v>
      </c>
      <c r="S61" s="83"/>
      <c r="T61" s="83">
        <f>DATA!V48</f>
        <v>0</v>
      </c>
      <c r="U61" s="83">
        <f>DATA!W48</f>
        <v>0</v>
      </c>
      <c r="V61" s="83">
        <f>DATA!X48</f>
        <v>0</v>
      </c>
      <c r="W61" s="84" t="str">
        <f>DATA!Y48</f>
        <v>IDB</v>
      </c>
      <c r="X61" s="42" t="str">
        <f>DATA!Z48</f>
        <v>Multilateral</v>
      </c>
      <c r="Y61" s="83">
        <f>DATA!AA48</f>
        <v>325000000</v>
      </c>
      <c r="Z61" s="83">
        <f>DATA!AG48</f>
        <v>0</v>
      </c>
      <c r="AA61" s="42">
        <f>DATA!AH48</f>
        <v>2017</v>
      </c>
      <c r="AB61" s="67" t="str">
        <f>DATA!AI48</f>
        <v>-</v>
      </c>
      <c r="AC61" s="67"/>
      <c r="AD61" s="67"/>
      <c r="AE61" s="67"/>
      <c r="AF61" s="67"/>
      <c r="AG61" s="67"/>
      <c r="AH61" s="67"/>
      <c r="AI61" s="67"/>
      <c r="AJ61" s="67" t="str">
        <f>DATA!AJ48</f>
        <v>-</v>
      </c>
      <c r="AK61" s="67" t="str">
        <f>DATA!AK48</f>
        <v>-</v>
      </c>
      <c r="AL61" s="67" t="str">
        <f>DATA!AL48</f>
        <v>-</v>
      </c>
      <c r="AM61" s="42">
        <f>DATA!AM48</f>
        <v>0</v>
      </c>
      <c r="AN61" s="42" t="str">
        <f>DATA!AN48</f>
        <v>belum ada keterangan</v>
      </c>
      <c r="AO61" s="42" t="str">
        <f>DATA!AO48</f>
        <v>belum ada keterangan</v>
      </c>
      <c r="AP61" s="42" t="str">
        <f>DATA!AP48</f>
        <v>belum ada proses tender/lelang</v>
      </c>
      <c r="AQ61" s="42" t="str">
        <f>DATA!AY48</f>
        <v>- belum ada proses penyiapan
- Konfirmasi melalui surat Sekjen nomor KU.01.12-Sj/636 tgl 23 Oktober 2015</v>
      </c>
      <c r="AR61" s="42" t="e">
        <f>DATA!#REF!</f>
        <v>#REF!</v>
      </c>
      <c r="AS61" s="42" t="str">
        <f>DATA!AZ48</f>
        <v>Sudah ada pembicaraan awal</v>
      </c>
      <c r="AT61" s="67" t="str">
        <f>DATA!BA48</f>
        <v>Pembangunan fisik sarana dan prasarana sanitasi serta Instalasi Pengolahan Air Limbah (IPAL) dan penguatan kapasitas lembaga pengelola</v>
      </c>
    </row>
    <row r="62" spans="1:46" s="6" customFormat="1" ht="45.75" customHeight="1">
      <c r="A62" s="6">
        <f>DATA!A49</f>
        <v>40</v>
      </c>
      <c r="B62" s="6">
        <f>DATA!B49</f>
        <v>0</v>
      </c>
      <c r="C62" s="6" t="str">
        <f>DATA!D49</f>
        <v>INFRASTRUKTUR</v>
      </c>
      <c r="D62" s="6">
        <f>DATA!E49</f>
        <v>1</v>
      </c>
      <c r="E62" s="6" t="str">
        <f>DATA!F49</f>
        <v>Kementerian Pekerjaan Umum dan Perumahan Rakyat</v>
      </c>
      <c r="F62" s="6" t="str">
        <f>DATA!H49</f>
        <v>Development of Waste Water Management Program</v>
      </c>
      <c r="G62" s="6" t="str">
        <f>DATA!I49</f>
        <v>E</v>
      </c>
      <c r="H62" s="6" t="str">
        <f>DATA!J49</f>
        <v xml:space="preserve">Program Pembangunan Sistem Pengelolaan Air Limbah </v>
      </c>
      <c r="I62" s="6">
        <f>DATA!K49</f>
        <v>4</v>
      </c>
      <c r="J62" s="38"/>
      <c r="K62" s="39"/>
      <c r="L62" s="39"/>
      <c r="M62" s="43"/>
      <c r="N62" s="67" t="str">
        <f>DATA!L49</f>
        <v>Sewerage System Development in Indonesia</v>
      </c>
      <c r="O62" s="42">
        <f>DATA!Q49</f>
        <v>0.25</v>
      </c>
      <c r="P62" s="42">
        <f>DATA!R49</f>
        <v>0</v>
      </c>
      <c r="Q62" s="42">
        <f>DATA!S49</f>
        <v>0</v>
      </c>
      <c r="R62" s="83">
        <f>DATA!T49</f>
        <v>0</v>
      </c>
      <c r="S62" s="83"/>
      <c r="T62" s="83">
        <f>DATA!V49</f>
        <v>0</v>
      </c>
      <c r="U62" s="83">
        <f>DATA!W49</f>
        <v>0</v>
      </c>
      <c r="V62" s="83">
        <f>DATA!X49</f>
        <v>0</v>
      </c>
      <c r="W62" s="84" t="str">
        <f>DATA!Y49</f>
        <v>Bank Dunia</v>
      </c>
      <c r="X62" s="42" t="str">
        <f>DATA!Z49</f>
        <v>Multilateral</v>
      </c>
      <c r="Y62" s="83">
        <f>DATA!AA49</f>
        <v>200000000</v>
      </c>
      <c r="Z62" s="83">
        <f>DATA!AG49</f>
        <v>0</v>
      </c>
      <c r="AA62" s="42">
        <f>DATA!AH49</f>
        <v>2017</v>
      </c>
      <c r="AB62" s="67" t="str">
        <f>DATA!AI49</f>
        <v>-</v>
      </c>
      <c r="AC62" s="67"/>
      <c r="AD62" s="67"/>
      <c r="AE62" s="67"/>
      <c r="AF62" s="67"/>
      <c r="AG62" s="67"/>
      <c r="AH62" s="67"/>
      <c r="AI62" s="67"/>
      <c r="AJ62" s="67" t="str">
        <f>DATA!AJ49</f>
        <v>-</v>
      </c>
      <c r="AK62" s="67" t="str">
        <f>DATA!AK49</f>
        <v>-</v>
      </c>
      <c r="AL62" s="67" t="str">
        <f>DATA!AL49</f>
        <v>-</v>
      </c>
      <c r="AM62" s="42">
        <f>DATA!AM49</f>
        <v>0</v>
      </c>
      <c r="AN62" s="42" t="str">
        <f>DATA!AN49</f>
        <v>belum ada keterangan</v>
      </c>
      <c r="AO62" s="42" t="str">
        <f>DATA!AO49</f>
        <v>belum ada keterangan</v>
      </c>
      <c r="AP62" s="42" t="str">
        <f>DATA!AP49</f>
        <v>belum ada proses tender/lelang</v>
      </c>
      <c r="AQ62" s="42" t="str">
        <f>DATA!AY49</f>
        <v>- belum ada proses penyiapan
- Konfirmasi melalui surat Sekjen nomor KU.01.12-Sj/636 tgl 23 Oktober 2015</v>
      </c>
      <c r="AR62" s="42" t="e">
        <f>DATA!#REF!</f>
        <v>#REF!</v>
      </c>
      <c r="AS62" s="42" t="str">
        <f>DATA!AZ49</f>
        <v>Sudah ada pembicaraan awal</v>
      </c>
      <c r="AT62" s="67" t="str">
        <f>DATA!BA49</f>
        <v>Pembangunan fisik sarana dan prasarana sanitasi serta Instalasi Pengolahan Air Limbah (IPAL) dan penguatan kapasitas lembaga pengelola</v>
      </c>
    </row>
    <row r="63" spans="1:46" ht="43.5" customHeight="1">
      <c r="A63" s="10">
        <f>DATA!A51</f>
        <v>41</v>
      </c>
      <c r="B63" s="10">
        <f>DATA!B51</f>
        <v>0</v>
      </c>
      <c r="C63" s="10" t="str">
        <f>DATA!D51</f>
        <v>INFRASTRUKTUR</v>
      </c>
      <c r="D63" s="10">
        <f>DATA!E51</f>
        <v>1</v>
      </c>
      <c r="E63" s="10" t="str">
        <f>DATA!F51</f>
        <v>Kementerian Pekerjaan Umum dan Perumahan Rakyat</v>
      </c>
      <c r="F63" s="10" t="str">
        <f>DATA!H51</f>
        <v>Development of Waste Water Management Program</v>
      </c>
      <c r="G63" s="10" t="str">
        <f>DATA!I51</f>
        <v>E</v>
      </c>
      <c r="H63" s="10" t="str">
        <f>DATA!J51</f>
        <v xml:space="preserve">Program Pembangunan Sistem Pengelolaan Air Limbah </v>
      </c>
      <c r="I63" s="10">
        <f>DATA!K51</f>
        <v>5</v>
      </c>
      <c r="J63" s="33"/>
      <c r="K63" s="34"/>
      <c r="L63" s="34"/>
      <c r="M63" s="36">
        <f>DATA!K51</f>
        <v>5</v>
      </c>
      <c r="N63" s="37" t="str">
        <f>DATA!L51</f>
        <v>Denpasar Sewerage Development Project - Phase III</v>
      </c>
      <c r="O63" s="20">
        <f>DATA!Q51</f>
        <v>1</v>
      </c>
      <c r="P63" s="20">
        <f>DATA!R51</f>
        <v>1</v>
      </c>
      <c r="Q63" s="20">
        <f>DATA!S51</f>
        <v>35</v>
      </c>
      <c r="R63" s="77">
        <f>DATA!T51</f>
        <v>233000000</v>
      </c>
      <c r="S63" s="77"/>
      <c r="T63" s="77">
        <f>DATA!V51</f>
        <v>11650000</v>
      </c>
      <c r="U63" s="77">
        <f>DATA!W51</f>
        <v>0</v>
      </c>
      <c r="V63" s="77">
        <f>DATA!X51</f>
        <v>244650000</v>
      </c>
      <c r="W63" s="78" t="str">
        <f>DATA!Y51</f>
        <v>JICA</v>
      </c>
      <c r="X63" s="20" t="str">
        <f>DATA!Z51</f>
        <v>Bilateral</v>
      </c>
      <c r="Y63" s="77">
        <f>DATA!AA51</f>
        <v>233000000</v>
      </c>
      <c r="Z63" s="77">
        <f>DATA!AG51</f>
        <v>0</v>
      </c>
      <c r="AA63" s="20">
        <f>DATA!AH51</f>
        <v>2018</v>
      </c>
      <c r="AB63" s="37" t="str">
        <f>DATA!AI51</f>
        <v>-</v>
      </c>
      <c r="AC63" s="37"/>
      <c r="AD63" s="37"/>
      <c r="AE63" s="37"/>
      <c r="AF63" s="37"/>
      <c r="AG63" s="37"/>
      <c r="AH63" s="37"/>
      <c r="AI63" s="37"/>
      <c r="AJ63" s="37" t="str">
        <f>DATA!AJ51</f>
        <v>Penyusunan DED</v>
      </c>
      <c r="AK63" s="37" t="str">
        <f>DATA!AK51</f>
        <v>-</v>
      </c>
      <c r="AL63" s="37" t="str">
        <f>DATA!AL51</f>
        <v>-</v>
      </c>
      <c r="AM63" s="20">
        <f>DATA!AM51</f>
        <v>0</v>
      </c>
      <c r="AN63" s="20" t="str">
        <f>DATA!AN51</f>
        <v>dalam proses
(memiliki FS)</v>
      </c>
      <c r="AO63" s="20" t="str">
        <f>DATA!AO51</f>
        <v>belum ada keterangan</v>
      </c>
      <c r="AP63" s="20" t="str">
        <f>DATA!AP51</f>
        <v>belum ada proses tender/lelang</v>
      </c>
      <c r="AQ63" s="20" t="str">
        <f>DATA!AY51</f>
        <v>Konfirmasi melalui surat Sekjen nomor KU.01.12-Sj/636 tgl 23 Oktober 2015</v>
      </c>
      <c r="AR63" s="20" t="e">
        <f>DATA!#REF!</f>
        <v>#REF!</v>
      </c>
      <c r="AS63" s="20">
        <f>DATA!AZ51</f>
        <v>0</v>
      </c>
      <c r="AT63" s="37" t="str">
        <f>DATA!BA51</f>
        <v>Pembangunan jaringan perpipaan dengan area pelayanan 2.200 Ha, stasiun pompa sejumlah 2 unit, dan instalasi pengolahan air limbah.</v>
      </c>
    </row>
    <row r="64" spans="1:46" ht="36.75" customHeight="1">
      <c r="A64" s="10">
        <f>DATA!A52</f>
        <v>42</v>
      </c>
      <c r="B64" s="10">
        <f>DATA!B52</f>
        <v>0</v>
      </c>
      <c r="C64" s="10" t="str">
        <f>DATA!D52</f>
        <v>INFRASTRUKTUR</v>
      </c>
      <c r="D64" s="10">
        <f>DATA!E52</f>
        <v>1</v>
      </c>
      <c r="E64" s="10" t="str">
        <f>DATA!F52</f>
        <v>Kementerian Pekerjaan Umum dan Perumahan Rakyat</v>
      </c>
      <c r="F64" s="10" t="str">
        <f>DATA!H52</f>
        <v>Development of Waste Water Management Program</v>
      </c>
      <c r="G64" s="10" t="str">
        <f>DATA!I52</f>
        <v>E</v>
      </c>
      <c r="H64" s="10" t="str">
        <f>DATA!J52</f>
        <v xml:space="preserve">Program Pembangunan Sistem Pengelolaan Air Limbah </v>
      </c>
      <c r="I64" s="10">
        <f>DATA!K52</f>
        <v>6</v>
      </c>
      <c r="J64" s="33"/>
      <c r="K64" s="34"/>
      <c r="L64" s="54"/>
      <c r="M64" s="36">
        <f>DATA!K52</f>
        <v>6</v>
      </c>
      <c r="N64" s="37" t="str">
        <f>DATA!L52</f>
        <v>The Development and Optimization of Wastewater Treatment in Greater Bandung</v>
      </c>
      <c r="O64" s="20">
        <f>DATA!Q52</f>
        <v>1</v>
      </c>
      <c r="P64" s="20">
        <f>DATA!R52</f>
        <v>1</v>
      </c>
      <c r="Q64" s="20">
        <f>DATA!S52</f>
        <v>36</v>
      </c>
      <c r="R64" s="77">
        <f>DATA!T52</f>
        <v>100000000</v>
      </c>
      <c r="S64" s="77"/>
      <c r="T64" s="77">
        <f>DATA!V52</f>
        <v>5000000</v>
      </c>
      <c r="U64" s="77">
        <f>DATA!W52</f>
        <v>0</v>
      </c>
      <c r="V64" s="77">
        <f>DATA!X52</f>
        <v>105000000</v>
      </c>
      <c r="W64" s="78" t="str">
        <f>DATA!Y52</f>
        <v>Jerman (KfW)</v>
      </c>
      <c r="X64" s="20" t="str">
        <f>DATA!Z52</f>
        <v>Bilateral</v>
      </c>
      <c r="Y64" s="77">
        <f>DATA!AA52</f>
        <v>100000000</v>
      </c>
      <c r="Z64" s="77">
        <f>DATA!AG52</f>
        <v>0</v>
      </c>
      <c r="AA64" s="20">
        <f>DATA!AH52</f>
        <v>2017</v>
      </c>
      <c r="AB64" s="37" t="str">
        <f>DATA!AI52</f>
        <v>Master Plan</v>
      </c>
      <c r="AC64" s="37"/>
      <c r="AD64" s="37"/>
      <c r="AE64" s="37"/>
      <c r="AF64" s="37"/>
      <c r="AG64" s="37"/>
      <c r="AH64" s="37"/>
      <c r="AI64" s="37"/>
      <c r="AJ64" s="37" t="str">
        <f>DATA!AJ52</f>
        <v>Pra FS</v>
      </c>
      <c r="AK64" s="37" t="str">
        <f>DATA!AK52</f>
        <v>-</v>
      </c>
      <c r="AL64" s="37" t="str">
        <f>DATA!AL52</f>
        <v>-</v>
      </c>
      <c r="AM64" s="20">
        <f>DATA!AM52</f>
        <v>0</v>
      </c>
      <c r="AN64" s="20" t="str">
        <f>DATA!AN52</f>
        <v>dalam proses
(penyusunan FS)</v>
      </c>
      <c r="AO64" s="20" t="str">
        <f>DATA!AO52</f>
        <v>belum ada keterangan</v>
      </c>
      <c r="AP64" s="20" t="str">
        <f>DATA!AP52</f>
        <v>belum ada proses tender/lelang</v>
      </c>
      <c r="AQ64" s="20" t="str">
        <f>DATA!AY52</f>
        <v>Konfirmasi melalui surat Sekjen nomor KU.01.12-Sj/636 tgl 23 Oktober 2015</v>
      </c>
      <c r="AR64" s="20" t="e">
        <f>DATA!#REF!</f>
        <v>#REF!</v>
      </c>
      <c r="AS64" s="20">
        <f>DATA!AZ52</f>
        <v>0</v>
      </c>
      <c r="AT64" s="37" t="str">
        <f>DATA!BA52</f>
        <v>Review master plan air limbah dan optimalisasi Instalasi Pengolahan Air Limbah (IPAL) Bojongsoang.</v>
      </c>
    </row>
    <row r="65" spans="1:46" ht="36.75" customHeight="1">
      <c r="J65" s="33"/>
      <c r="K65" s="34"/>
      <c r="L65" s="54"/>
      <c r="M65" s="36">
        <f>DATA!K53</f>
        <v>7</v>
      </c>
      <c r="N65" s="56" t="str">
        <f>DATA!L53</f>
        <v>Engineering Service for Sanitation Improvement Project</v>
      </c>
      <c r="O65" s="36">
        <f>DATA!Q53</f>
        <v>0</v>
      </c>
      <c r="P65" s="36">
        <f>DATA!R53</f>
        <v>0</v>
      </c>
      <c r="Q65" s="36">
        <f>DATA!S53</f>
        <v>0</v>
      </c>
      <c r="R65" s="88">
        <f>DATA!T53</f>
        <v>0</v>
      </c>
      <c r="S65" s="88">
        <f>DATA!U53</f>
        <v>25200000</v>
      </c>
      <c r="T65" s="88">
        <f>DATA!V53</f>
        <v>0</v>
      </c>
      <c r="U65" s="88">
        <f>DATA!W53</f>
        <v>0</v>
      </c>
      <c r="V65" s="88">
        <f>DATA!X53</f>
        <v>25200000</v>
      </c>
      <c r="W65" s="88" t="str">
        <f>DATA!Y53</f>
        <v>ADB</v>
      </c>
      <c r="X65" s="88" t="str">
        <f>DATA!Z53</f>
        <v>Multilateral</v>
      </c>
      <c r="Y65" s="88">
        <f>DATA!AA53</f>
        <v>25200000</v>
      </c>
      <c r="Z65" s="88">
        <f>DATA!AG53</f>
        <v>0</v>
      </c>
      <c r="AA65" s="102">
        <f>DATA!AH53</f>
        <v>2016</v>
      </c>
      <c r="AB65" s="110" t="str">
        <f>DATA!AI53</f>
        <v>- Green Book 2015</v>
      </c>
      <c r="AC65" s="110"/>
      <c r="AD65" s="110"/>
      <c r="AE65" s="110"/>
      <c r="AF65" s="110"/>
      <c r="AG65" s="110"/>
      <c r="AH65" s="110"/>
      <c r="AI65" s="110"/>
      <c r="AJ65" s="110" t="str">
        <f>DATA!AJ53</f>
        <v>-</v>
      </c>
      <c r="AK65" s="110" t="str">
        <f>DATA!AK53</f>
        <v>-</v>
      </c>
      <c r="AL65" s="110" t="str">
        <f>DATA!AL53</f>
        <v>-</v>
      </c>
      <c r="AM65" s="20"/>
      <c r="AN65" s="20"/>
      <c r="AO65" s="20"/>
      <c r="AP65" s="20"/>
      <c r="AQ65" s="20"/>
      <c r="AR65" s="20"/>
      <c r="AS65" s="20"/>
      <c r="AT65" s="37"/>
    </row>
    <row r="66" spans="1:46" s="5" customFormat="1" ht="33.75" customHeight="1">
      <c r="J66" s="28"/>
      <c r="K66" s="50"/>
      <c r="L66" s="30" t="str">
        <f>DATA!I54</f>
        <v>F</v>
      </c>
      <c r="M66" s="31" t="str">
        <f>DATA!J54</f>
        <v xml:space="preserve">Program Pembangunan Sistem Pengelolaan Persampahan </v>
      </c>
      <c r="N66" s="51"/>
      <c r="O66" s="31"/>
      <c r="P66" s="31"/>
      <c r="Q66" s="31"/>
      <c r="R66" s="81">
        <f>+R67+R68</f>
        <v>250000000</v>
      </c>
      <c r="S66" s="81"/>
      <c r="T66" s="81">
        <f>+T67+T68</f>
        <v>12500000</v>
      </c>
      <c r="U66" s="81">
        <f>+U67+U68</f>
        <v>0</v>
      </c>
      <c r="V66" s="81">
        <f>+V67+V68</f>
        <v>262500000</v>
      </c>
      <c r="W66" s="81"/>
      <c r="X66" s="81" t="e">
        <f>+X67+X68</f>
        <v>#VALUE!</v>
      </c>
      <c r="Y66" s="81">
        <f>+Y67+Y68</f>
        <v>250000000</v>
      </c>
      <c r="Z66" s="81">
        <f>+Z67+Z68</f>
        <v>0</v>
      </c>
      <c r="AA66" s="31"/>
      <c r="AB66" s="32"/>
      <c r="AC66" s="32"/>
      <c r="AD66" s="32"/>
      <c r="AE66" s="32"/>
      <c r="AF66" s="32"/>
      <c r="AG66" s="32"/>
      <c r="AH66" s="32"/>
      <c r="AI66" s="32"/>
      <c r="AJ66" s="32"/>
      <c r="AK66" s="32"/>
      <c r="AL66" s="32"/>
      <c r="AM66" s="31"/>
      <c r="AN66" s="31"/>
      <c r="AO66" s="31"/>
      <c r="AP66" s="31"/>
      <c r="AQ66" s="31"/>
      <c r="AR66" s="31"/>
      <c r="AS66" s="31"/>
      <c r="AT66" s="32"/>
    </row>
    <row r="67" spans="1:46" ht="69.75" customHeight="1">
      <c r="A67" s="10">
        <f>DATA!A54</f>
        <v>43</v>
      </c>
      <c r="B67" s="10">
        <f>DATA!B54</f>
        <v>0</v>
      </c>
      <c r="C67" s="10" t="str">
        <f>DATA!D54</f>
        <v>INFRASTRUKTUR</v>
      </c>
      <c r="D67" s="10">
        <f>DATA!E54</f>
        <v>1</v>
      </c>
      <c r="E67" s="10" t="str">
        <f>DATA!F54</f>
        <v>Kementerian Pekerjaan Umum dan Perumahan Rakyat</v>
      </c>
      <c r="F67" s="10" t="str">
        <f>DATA!H54</f>
        <v>Development of Solid Waste Management Program</v>
      </c>
      <c r="G67" s="10" t="str">
        <f>DATA!I54</f>
        <v>F</v>
      </c>
      <c r="H67" s="10" t="str">
        <f>DATA!J54</f>
        <v xml:space="preserve">Program Pembangunan Sistem Pengelolaan Persampahan </v>
      </c>
      <c r="I67" s="10">
        <f>DATA!K54</f>
        <v>1</v>
      </c>
      <c r="J67" s="33"/>
      <c r="K67" s="34"/>
      <c r="L67" s="35"/>
      <c r="M67" s="36">
        <f>DATA!K54</f>
        <v>1</v>
      </c>
      <c r="N67" s="37" t="str">
        <f>DATA!L54</f>
        <v xml:space="preserve">Advanced Solid Waste Management for Sustainable Urban Development (Advance SWM-SUD) </v>
      </c>
      <c r="O67" s="20">
        <f>DATA!Q54</f>
        <v>1</v>
      </c>
      <c r="P67" s="20">
        <f>DATA!R54</f>
        <v>1</v>
      </c>
      <c r="Q67" s="20">
        <f>DATA!S54</f>
        <v>37</v>
      </c>
      <c r="R67" s="77">
        <f>DATA!T54</f>
        <v>150000000</v>
      </c>
      <c r="S67" s="77"/>
      <c r="T67" s="77">
        <f>DATA!V54</f>
        <v>7500000</v>
      </c>
      <c r="U67" s="77">
        <f>DATA!W54</f>
        <v>0</v>
      </c>
      <c r="V67" s="77">
        <f>DATA!X54</f>
        <v>157500000</v>
      </c>
      <c r="W67" s="78" t="str">
        <f>DATA!Y54</f>
        <v>Jerman (KfW)</v>
      </c>
      <c r="X67" s="20" t="str">
        <f>DATA!Z54</f>
        <v>Bilateral</v>
      </c>
      <c r="Y67" s="77">
        <f>DATA!AA54</f>
        <v>150000000</v>
      </c>
      <c r="Z67" s="77">
        <f>DATA!AG54</f>
        <v>0</v>
      </c>
      <c r="AA67" s="20">
        <f>DATA!AH54</f>
        <v>2017</v>
      </c>
      <c r="AB67" s="37" t="str">
        <f>DATA!AI54</f>
        <v>-</v>
      </c>
      <c r="AC67" s="37"/>
      <c r="AD67" s="37"/>
      <c r="AE67" s="37"/>
      <c r="AF67" s="37"/>
      <c r="AG67" s="37"/>
      <c r="AH67" s="37"/>
      <c r="AI67" s="37"/>
      <c r="AJ67" s="37" t="str">
        <f>DATA!AJ54</f>
        <v>Telah dilakukan kajian awal oleh tim FFM KfW</v>
      </c>
      <c r="AK67" s="37" t="str">
        <f>DATA!AK54</f>
        <v>-</v>
      </c>
      <c r="AL67" s="37" t="str">
        <f>DATA!AL54</f>
        <v>-</v>
      </c>
      <c r="AM67" s="20">
        <f>DATA!AM54</f>
        <v>0</v>
      </c>
      <c r="AN67" s="20" t="str">
        <f>DATA!AN54</f>
        <v>dalam proses
(penyusunan FS)</v>
      </c>
      <c r="AO67" s="20" t="str">
        <f>DATA!AO54</f>
        <v>belum ada keterangan</v>
      </c>
      <c r="AP67" s="20" t="str">
        <f>DATA!AP54</f>
        <v>belum ada proses tender/lelang</v>
      </c>
      <c r="AQ67" s="20" t="str">
        <f>DATA!AY54</f>
        <v>- belum ada proses penyiapan
- Konfirmasi melalui surat Sekjen nomor KU.01.12-Sj/636 tgl 23 Oktober 2015</v>
      </c>
      <c r="AR67" s="20" t="e">
        <f>DATA!#REF!</f>
        <v>#REF!</v>
      </c>
      <c r="AS67" s="20">
        <f>DATA!AZ54</f>
        <v>0</v>
      </c>
      <c r="AT67" s="37" t="str">
        <f>DATA!BA54</f>
        <v>Pembangunan TPA baru, pembangunan unit sistem teknologi pengolahan sampah, pembangunan Intermediete Treatment Facility (ITF), infrastruktur penunjang, buffer zone, dan supervisi kegiatan konstruksi.</v>
      </c>
    </row>
    <row r="68" spans="1:46" ht="51">
      <c r="A68" s="10">
        <f>DATA!A55</f>
        <v>44</v>
      </c>
      <c r="B68" s="10">
        <f>DATA!B55</f>
        <v>0</v>
      </c>
      <c r="C68" s="10" t="str">
        <f>DATA!D55</f>
        <v>INFRASTRUKTUR</v>
      </c>
      <c r="D68" s="10">
        <f>DATA!E55</f>
        <v>1</v>
      </c>
      <c r="E68" s="10" t="str">
        <f>DATA!F55</f>
        <v>Kementerian Pekerjaan Umum dan Perumahan Rakyat</v>
      </c>
      <c r="F68" s="10" t="str">
        <f>DATA!H55</f>
        <v>Development of Solid Waste Management Program</v>
      </c>
      <c r="G68" s="10" t="str">
        <f>DATA!I55</f>
        <v>F</v>
      </c>
      <c r="H68" s="10" t="str">
        <f>DATA!J55</f>
        <v xml:space="preserve">Program Pembangunan Sistem Pengelolaan Persampahan </v>
      </c>
      <c r="I68" s="10">
        <f>DATA!K55</f>
        <v>2</v>
      </c>
      <c r="J68" s="33"/>
      <c r="K68" s="34"/>
      <c r="L68" s="54"/>
      <c r="M68" s="36">
        <f>DATA!K55</f>
        <v>2</v>
      </c>
      <c r="N68" s="37" t="str">
        <f>DATA!L55</f>
        <v>The Improvement of Solid Waste Management to Support Regional Area and Metropolitan Cities</v>
      </c>
      <c r="O68" s="20">
        <f>DATA!Q55</f>
        <v>1</v>
      </c>
      <c r="P68" s="20">
        <f>DATA!R55</f>
        <v>1</v>
      </c>
      <c r="Q68" s="20">
        <f>DATA!S55</f>
        <v>38</v>
      </c>
      <c r="R68" s="77">
        <f>DATA!T55</f>
        <v>100000000</v>
      </c>
      <c r="S68" s="77"/>
      <c r="T68" s="77">
        <f>DATA!V55</f>
        <v>5000000</v>
      </c>
      <c r="U68" s="77">
        <f>DATA!W55</f>
        <v>0</v>
      </c>
      <c r="V68" s="77">
        <f>DATA!X55</f>
        <v>105000000</v>
      </c>
      <c r="W68" s="78" t="str">
        <f>DATA!Y55</f>
        <v>Bank Dunia</v>
      </c>
      <c r="X68" s="20" t="str">
        <f>DATA!Z55</f>
        <v>Multilateral</v>
      </c>
      <c r="Y68" s="77">
        <f>DATA!AA55</f>
        <v>100000000</v>
      </c>
      <c r="Z68" s="77">
        <f>DATA!AG55</f>
        <v>0</v>
      </c>
      <c r="AA68" s="20">
        <f>DATA!AH55</f>
        <v>2016</v>
      </c>
      <c r="AB68" s="37" t="str">
        <f>DATA!AI55</f>
        <v>-</v>
      </c>
      <c r="AC68" s="37"/>
      <c r="AD68" s="37"/>
      <c r="AE68" s="37"/>
      <c r="AF68" s="37"/>
      <c r="AG68" s="37"/>
      <c r="AH68" s="37"/>
      <c r="AI68" s="37"/>
      <c r="AJ68" s="37" t="str">
        <f>DATA!AJ55</f>
        <v>DED dalam proses finalisasi</v>
      </c>
      <c r="AK68" s="37" t="str">
        <f>DATA!AK55</f>
        <v>Dalam proses kepemilikan lahan</v>
      </c>
      <c r="AL68" s="37" t="str">
        <f>DATA!AL55</f>
        <v>Belum ada tindak lanjut</v>
      </c>
      <c r="AM68" s="20">
        <f>DATA!AM55</f>
        <v>0</v>
      </c>
      <c r="AN68" s="20" t="str">
        <f>DATA!AN55</f>
        <v>dalam proses
(memiliki FS)</v>
      </c>
      <c r="AO68" s="20" t="str">
        <f>DATA!AO55</f>
        <v>dalam proses
(persiapan)</v>
      </c>
      <c r="AP68" s="20" t="str">
        <f>DATA!AP55</f>
        <v>belum ada proses tender/lelang</v>
      </c>
      <c r="AQ68" s="20" t="str">
        <f>DATA!AY55</f>
        <v xml:space="preserve">- Konfirmasi melalui surat Sekjen nomor KU.01.12-Sj/636 tgl 23 Oktober 2015
- Bank Dunia membantu proses studi, DED, FS (CDIA, INDII Facility) </v>
      </c>
      <c r="AR68" s="20" t="e">
        <f>DATA!#REF!</f>
        <v>#REF!</v>
      </c>
      <c r="AS68" s="20" t="str">
        <f>DATA!AZ55</f>
        <v>- FS
- Diusulkan untuk masuk Green Book 2016</v>
      </c>
      <c r="AT68" s="37" t="str">
        <f>DATA!BA55</f>
        <v>Pembangunan TPA Sanitary Landfill  baru, pembangunan Intermediete Treatment Facility (ITF), dan pengembangan konsep Reuse, Reduce, and Recycle (3R).</v>
      </c>
    </row>
    <row r="69" spans="1:46" s="5" customFormat="1" ht="33.75" customHeight="1">
      <c r="J69" s="28"/>
      <c r="K69" s="50"/>
      <c r="L69" s="30" t="str">
        <f>DATA!I56</f>
        <v>G</v>
      </c>
      <c r="M69" s="31" t="str">
        <f>DATA!J56</f>
        <v>Program Penanganan Kumuh</v>
      </c>
      <c r="N69" s="51"/>
      <c r="O69" s="31"/>
      <c r="P69" s="31"/>
      <c r="Q69" s="31"/>
      <c r="R69" s="81">
        <f>+R70+R71+R74+R75</f>
        <v>3614740000</v>
      </c>
      <c r="S69" s="81"/>
      <c r="T69" s="81">
        <f t="shared" ref="T69:Z69" si="2">+T70+T71+T74+T75</f>
        <v>180737000</v>
      </c>
      <c r="U69" s="81">
        <f t="shared" si="2"/>
        <v>0</v>
      </c>
      <c r="V69" s="81">
        <f t="shared" si="2"/>
        <v>3795477000</v>
      </c>
      <c r="W69" s="81"/>
      <c r="X69" s="81" t="e">
        <f t="shared" si="2"/>
        <v>#VALUE!</v>
      </c>
      <c r="Y69" s="81">
        <f t="shared" si="2"/>
        <v>3614740000</v>
      </c>
      <c r="Z69" s="81">
        <f t="shared" si="2"/>
        <v>0</v>
      </c>
      <c r="AA69" s="31"/>
      <c r="AB69" s="32"/>
      <c r="AC69" s="32"/>
      <c r="AD69" s="32"/>
      <c r="AE69" s="32"/>
      <c r="AF69" s="32"/>
      <c r="AG69" s="32"/>
      <c r="AH69" s="32"/>
      <c r="AI69" s="32"/>
      <c r="AJ69" s="32"/>
      <c r="AK69" s="32"/>
      <c r="AL69" s="32"/>
      <c r="AM69" s="31"/>
      <c r="AN69" s="31"/>
      <c r="AO69" s="31"/>
      <c r="AP69" s="31"/>
      <c r="AQ69" s="31"/>
      <c r="AR69" s="31"/>
      <c r="AS69" s="31"/>
      <c r="AT69" s="32"/>
    </row>
    <row r="70" spans="1:46" ht="180.75" customHeight="1">
      <c r="A70" s="10">
        <f>DATA!A56</f>
        <v>45</v>
      </c>
      <c r="B70" s="10">
        <f>DATA!B56</f>
        <v>0</v>
      </c>
      <c r="C70" s="10" t="str">
        <f>DATA!D56</f>
        <v>INFRASTRUKTUR</v>
      </c>
      <c r="D70" s="10">
        <f>DATA!E56</f>
        <v>1</v>
      </c>
      <c r="E70" s="10" t="str">
        <f>DATA!F56</f>
        <v>Kementerian Pekerjaan Umum dan Perumahan Rakyat</v>
      </c>
      <c r="F70" s="10" t="str">
        <f>DATA!H56</f>
        <v>Slum Alleviation Program</v>
      </c>
      <c r="G70" s="10" t="str">
        <f>DATA!I56</f>
        <v>G</v>
      </c>
      <c r="H70" s="10" t="str">
        <f>DATA!J56</f>
        <v>Program Penanganan Kumuh</v>
      </c>
      <c r="I70" s="10">
        <f>DATA!K56</f>
        <v>1</v>
      </c>
      <c r="J70" s="33"/>
      <c r="K70" s="34"/>
      <c r="L70" s="35"/>
      <c r="M70" s="36">
        <f>DATA!K56</f>
        <v>1</v>
      </c>
      <c r="N70" s="37" t="str">
        <f>DATA!L56</f>
        <v>Slum Improvement in Strategic Human Settlements Area (SISHA)</v>
      </c>
      <c r="O70" s="20">
        <f>DATA!Q56</f>
        <v>1</v>
      </c>
      <c r="P70" s="20">
        <f>DATA!R56</f>
        <v>1</v>
      </c>
      <c r="Q70" s="20">
        <f>DATA!S56</f>
        <v>39</v>
      </c>
      <c r="R70" s="77">
        <f>DATA!T56</f>
        <v>2100000000</v>
      </c>
      <c r="S70" s="77"/>
      <c r="T70" s="77">
        <f>DATA!V56</f>
        <v>105000000</v>
      </c>
      <c r="U70" s="77">
        <f>DATA!W56</f>
        <v>0</v>
      </c>
      <c r="V70" s="77">
        <f>DATA!X56</f>
        <v>2205000000</v>
      </c>
      <c r="W70" s="109" t="str">
        <f>DATA!Y56</f>
        <v>Bank Dunia/JICA/ADB</v>
      </c>
      <c r="X70" s="20" t="str">
        <f>DATA!Z56</f>
        <v>Multi Lender</v>
      </c>
      <c r="Y70" s="77">
        <f>DATA!AA56</f>
        <v>2100000000</v>
      </c>
      <c r="Z70" s="77">
        <f>DATA!AG56</f>
        <v>0</v>
      </c>
      <c r="AA70" s="20">
        <f>DATA!AH56</f>
        <v>2017</v>
      </c>
      <c r="AB70" s="37" t="str">
        <f>DATA!AI56</f>
        <v>-</v>
      </c>
      <c r="AC70" s="37"/>
      <c r="AD70" s="37"/>
      <c r="AE70" s="37"/>
      <c r="AF70" s="37"/>
      <c r="AG70" s="37"/>
      <c r="AH70" s="37"/>
      <c r="AI70" s="37"/>
      <c r="AJ70" s="37" t="str">
        <f>DATA!AJ56</f>
        <v>117 kab/kota telah terfasilitasi pendampingan penyusunan rencana kawasan permukiman kumuh perkotaan (RKPKP) tahun 2015 sebagai rencana pencegahan dan peningkatan kualitas permukiman dan perumahan kumuh perkotaan.</v>
      </c>
      <c r="AK70" s="37" t="str">
        <f>DATA!AK56</f>
        <v xml:space="preserve">Pemerintah Daerah sudah menetapkan SK Bupati / Walikota untuk Penetapan Lokasi Perumahan Kumuh dan Permukiman Kumuh. </v>
      </c>
      <c r="AL70" s="37" t="str">
        <f>DATA!AL56</f>
        <v>-</v>
      </c>
      <c r="AM70" s="20">
        <f>DATA!AM56</f>
        <v>0</v>
      </c>
      <c r="AN70" s="20" t="str">
        <f>DATA!AN56</f>
        <v>dalam proses
(penyusunan FS)</v>
      </c>
      <c r="AO70" s="20" t="str">
        <f>DATA!AO56</f>
        <v>dalam proses
(perencanaan)</v>
      </c>
      <c r="AP70" s="20" t="str">
        <f>DATA!AP56</f>
        <v>belum ada proses tender/lelang</v>
      </c>
      <c r="AQ70" s="20" t="str">
        <f>DATA!AY56</f>
        <v>- Konsep kegiatan belum siap
- Konfirmasi melalui surat Sekjen nomor KU.01.12-Sj/636 tgl 23 Oktober 2015</v>
      </c>
      <c r="AR70" s="20" t="e">
        <f>DATA!#REF!</f>
        <v>#REF!</v>
      </c>
      <c r="AS70" s="20">
        <f>DATA!AZ56</f>
        <v>0</v>
      </c>
      <c r="AT70" s="37" t="str">
        <f>DATA!BA56</f>
        <v>Penanganan kawasan kumuh sebesar 4.400 ha</v>
      </c>
    </row>
    <row r="71" spans="1:46" ht="30" customHeight="1">
      <c r="A71" s="10">
        <f>DATA!A57</f>
        <v>46</v>
      </c>
      <c r="B71" s="10">
        <f>DATA!B57</f>
        <v>0</v>
      </c>
      <c r="C71" s="10" t="str">
        <f>DATA!D57</f>
        <v>INFRASTRUKTUR</v>
      </c>
      <c r="D71" s="10">
        <f>DATA!E57</f>
        <v>1</v>
      </c>
      <c r="E71" s="10" t="str">
        <f>DATA!F57</f>
        <v>Kementerian Pekerjaan Umum dan Perumahan Rakyat</v>
      </c>
      <c r="F71" s="10" t="str">
        <f>DATA!H57</f>
        <v>Slum Alleviation Program</v>
      </c>
      <c r="G71" s="10" t="str">
        <f>DATA!I57</f>
        <v>G</v>
      </c>
      <c r="H71" s="10" t="str">
        <f>DATA!J57</f>
        <v>Program Penanganan Kumuh</v>
      </c>
      <c r="I71" s="10">
        <f>DATA!K57</f>
        <v>2</v>
      </c>
      <c r="J71" s="33"/>
      <c r="K71" s="34"/>
      <c r="L71" s="34"/>
      <c r="M71" s="36">
        <f>DATA!K57</f>
        <v>2</v>
      </c>
      <c r="N71" s="37" t="str">
        <f>DATA!L57</f>
        <v>National Slum Upgrading</v>
      </c>
      <c r="O71" s="20">
        <f>DATA!Q57</f>
        <v>0</v>
      </c>
      <c r="P71" s="20">
        <f>DATA!R57</f>
        <v>1</v>
      </c>
      <c r="Q71" s="20">
        <f>DATA!S57</f>
        <v>40</v>
      </c>
      <c r="R71" s="77">
        <f>DATA!T57</f>
        <v>1052640000</v>
      </c>
      <c r="S71" s="77"/>
      <c r="T71" s="77">
        <f>DATA!V57</f>
        <v>52632000</v>
      </c>
      <c r="U71" s="77">
        <f>DATA!W57</f>
        <v>0</v>
      </c>
      <c r="V71" s="77">
        <f>DATA!X57</f>
        <v>1105272000</v>
      </c>
      <c r="W71" s="78" t="str">
        <f>DATA!Y57</f>
        <v>-</v>
      </c>
      <c r="X71" s="20">
        <f>DATA!Z57</f>
        <v>0</v>
      </c>
      <c r="Y71" s="77">
        <f>DATA!AA57</f>
        <v>1052640000</v>
      </c>
      <c r="Z71" s="77">
        <f>DATA!AG57</f>
        <v>0</v>
      </c>
      <c r="AA71" s="20" t="str">
        <f>DATA!AH57</f>
        <v>-</v>
      </c>
      <c r="AB71" s="37" t="str">
        <f>DATA!AI57</f>
        <v>-</v>
      </c>
      <c r="AC71" s="37"/>
      <c r="AD71" s="37"/>
      <c r="AE71" s="37"/>
      <c r="AF71" s="37"/>
      <c r="AG71" s="37"/>
      <c r="AH71" s="37"/>
      <c r="AI71" s="37"/>
      <c r="AJ71" s="37" t="str">
        <f>DATA!AJ57</f>
        <v>-</v>
      </c>
      <c r="AK71" s="37" t="str">
        <f>DATA!AK57</f>
        <v>-</v>
      </c>
      <c r="AL71" s="37" t="str">
        <f>DATA!AL57</f>
        <v>-</v>
      </c>
      <c r="AM71" s="20" t="str">
        <f>DATA!AM57</f>
        <v>-</v>
      </c>
      <c r="AN71" s="20" t="str">
        <f>DATA!AN57</f>
        <v>-</v>
      </c>
      <c r="AO71" s="20" t="str">
        <f>DATA!AO57</f>
        <v>-</v>
      </c>
      <c r="AP71" s="20" t="str">
        <f>DATA!AP57</f>
        <v>-</v>
      </c>
      <c r="AQ71" s="20" t="str">
        <f>DATA!AY57</f>
        <v>Konfirmasi melalui surat Sekjen nomor KU.01.12-Sj/636 tgl 23 Oktober 2015</v>
      </c>
      <c r="AR71" s="20" t="e">
        <f>DATA!#REF!</f>
        <v>#REF!</v>
      </c>
      <c r="AS71" s="20" t="str">
        <f>DATA!AZ57</f>
        <v>-</v>
      </c>
      <c r="AT71" s="37" t="str">
        <f>DATA!BA57</f>
        <v>-</v>
      </c>
    </row>
    <row r="72" spans="1:46" s="6" customFormat="1" ht="209.25" customHeight="1">
      <c r="A72" s="6">
        <f>DATA!A58</f>
        <v>46</v>
      </c>
      <c r="B72" s="6">
        <f>DATA!B58</f>
        <v>0</v>
      </c>
      <c r="C72" s="6" t="str">
        <f>DATA!D58</f>
        <v>INFRASTRUKTUR</v>
      </c>
      <c r="D72" s="6">
        <f>DATA!E58</f>
        <v>1</v>
      </c>
      <c r="E72" s="6" t="str">
        <f>DATA!F58</f>
        <v>Kementerian Pekerjaan Umum dan Perumahan Rakyat</v>
      </c>
      <c r="F72" s="6" t="str">
        <f>DATA!H58</f>
        <v>Slum Alleviation Program</v>
      </c>
      <c r="G72" s="6" t="str">
        <f>DATA!I58</f>
        <v>G</v>
      </c>
      <c r="H72" s="6" t="str">
        <f>DATA!J58</f>
        <v>Program Penanganan Kumuh</v>
      </c>
      <c r="I72" s="6">
        <f>DATA!K58</f>
        <v>2</v>
      </c>
      <c r="J72" s="38"/>
      <c r="K72" s="39"/>
      <c r="L72" s="39"/>
      <c r="M72" s="40"/>
      <c r="N72" s="67" t="str">
        <f>DATA!L58</f>
        <v>National Slum Upgrading</v>
      </c>
      <c r="O72" s="42">
        <f>DATA!Q58</f>
        <v>0.25</v>
      </c>
      <c r="P72" s="42">
        <f>DATA!R58</f>
        <v>0</v>
      </c>
      <c r="Q72" s="42">
        <f>DATA!S58</f>
        <v>0</v>
      </c>
      <c r="R72" s="83">
        <f>DATA!T58</f>
        <v>0</v>
      </c>
      <c r="S72" s="83"/>
      <c r="T72" s="83">
        <f>DATA!V58</f>
        <v>0</v>
      </c>
      <c r="U72" s="83">
        <f>DATA!W58</f>
        <v>0</v>
      </c>
      <c r="V72" s="83">
        <f>DATA!X58</f>
        <v>0</v>
      </c>
      <c r="W72" s="84" t="str">
        <f>DATA!Y58</f>
        <v>IDB</v>
      </c>
      <c r="X72" s="42" t="str">
        <f>DATA!Z58</f>
        <v>Multilateral</v>
      </c>
      <c r="Y72" s="83">
        <f>DATA!AA58</f>
        <v>329760000</v>
      </c>
      <c r="Z72" s="83">
        <f>DATA!AG58</f>
        <v>0</v>
      </c>
      <c r="AA72" s="42">
        <f>DATA!AH58</f>
        <v>2016</v>
      </c>
      <c r="AB72" s="67" t="str">
        <f>DATA!AI58</f>
        <v>Green Book 2016</v>
      </c>
      <c r="AC72" s="67"/>
      <c r="AD72" s="67"/>
      <c r="AE72" s="67"/>
      <c r="AF72" s="67"/>
      <c r="AG72" s="67"/>
      <c r="AH72" s="67"/>
      <c r="AI72" s="67"/>
      <c r="AJ72" s="67" t="str">
        <f>DATA!AJ58</f>
        <v>- Concept Paper, Baseline Survey, Draft Guidelines.
- Surat Komitmen Pemda untuk penanganan kumuh.</v>
      </c>
      <c r="AK72" s="67"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L72" s="67" t="str">
        <f>DATA!AL58</f>
        <v>-</v>
      </c>
      <c r="AM72" s="42">
        <f>DATA!AM58</f>
        <v>2016</v>
      </c>
      <c r="AN72" s="42" t="str">
        <f>DATA!AN58</f>
        <v>dalam proses
(penyusunan FS)</v>
      </c>
      <c r="AO72" s="42" t="str">
        <f>DATA!AO58</f>
        <v>tidak butuh lahan</v>
      </c>
      <c r="AP72" s="42" t="str">
        <f>DATA!AP58</f>
        <v>belum ada proses tender/lelang</v>
      </c>
      <c r="AQ72" s="42"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R72" s="42" t="e">
        <f>DATA!#REF!</f>
        <v>#REF!</v>
      </c>
      <c r="AS72" s="42" t="str">
        <f>DATA!AZ58</f>
        <v>Sudah ada R/C</v>
      </c>
      <c r="AT72" s="67" t="str">
        <f>DATA!BA58</f>
        <v>Peningkatan kualitas permukiman di 21 provinsi, 257 kabupaten/kota,  6.626 kelurahan</v>
      </c>
    </row>
    <row r="73" spans="1:46" s="6" customFormat="1" ht="201" customHeight="1">
      <c r="A73" s="6">
        <f>DATA!A59</f>
        <v>47</v>
      </c>
      <c r="B73" s="6">
        <f>DATA!B59</f>
        <v>0</v>
      </c>
      <c r="C73" s="6" t="str">
        <f>DATA!D59</f>
        <v>INFRASTRUKTUR</v>
      </c>
      <c r="D73" s="6">
        <f>DATA!E59</f>
        <v>1</v>
      </c>
      <c r="E73" s="6" t="str">
        <f>DATA!F59</f>
        <v>Kementerian Pekerjaan Umum dan Perumahan Rakyat</v>
      </c>
      <c r="F73" s="6" t="str">
        <f>DATA!H59</f>
        <v>Slum Alleviation Program</v>
      </c>
      <c r="G73" s="6" t="str">
        <f>DATA!I59</f>
        <v>G</v>
      </c>
      <c r="H73" s="6" t="str">
        <f>DATA!J59</f>
        <v>Program Penanganan Kumuh</v>
      </c>
      <c r="I73" s="6">
        <f>DATA!K59</f>
        <v>2</v>
      </c>
      <c r="J73" s="38"/>
      <c r="K73" s="39"/>
      <c r="L73" s="39"/>
      <c r="M73" s="43"/>
      <c r="N73" s="67" t="str">
        <f>DATA!L59</f>
        <v>National Slum Upgrading</v>
      </c>
      <c r="O73" s="42">
        <f>DATA!Q59</f>
        <v>0.25</v>
      </c>
      <c r="P73" s="42">
        <f>DATA!R59</f>
        <v>0</v>
      </c>
      <c r="Q73" s="42">
        <f>DATA!S59</f>
        <v>0</v>
      </c>
      <c r="R73" s="83">
        <f>DATA!T59</f>
        <v>0</v>
      </c>
      <c r="S73" s="83"/>
      <c r="T73" s="83">
        <f>DATA!V59</f>
        <v>0</v>
      </c>
      <c r="U73" s="83">
        <f>DATA!W59</f>
        <v>0</v>
      </c>
      <c r="V73" s="83">
        <f>DATA!X59</f>
        <v>0</v>
      </c>
      <c r="W73" s="84" t="str">
        <f>DATA!Y59</f>
        <v>Bank Dunia</v>
      </c>
      <c r="X73" s="42" t="str">
        <f>DATA!Z59</f>
        <v>Multilateral</v>
      </c>
      <c r="Y73" s="83">
        <f>DATA!AA59</f>
        <v>216500000</v>
      </c>
      <c r="Z73" s="83">
        <f>DATA!AG59</f>
        <v>0</v>
      </c>
      <c r="AA73" s="42">
        <f>DATA!AH59</f>
        <v>2016</v>
      </c>
      <c r="AB73" s="67" t="str">
        <f>DATA!AI59</f>
        <v>Green Book 2016</v>
      </c>
      <c r="AC73" s="67"/>
      <c r="AD73" s="67"/>
      <c r="AE73" s="67"/>
      <c r="AF73" s="67"/>
      <c r="AG73" s="67"/>
      <c r="AH73" s="67"/>
      <c r="AI73" s="67"/>
      <c r="AJ73" s="67" t="str">
        <f>DATA!AJ59</f>
        <v>- Concept Paper, Baseline Survey, Draft Guidelines.
- Surat Komitmen Pemda untuk penanganan kumuh.</v>
      </c>
      <c r="AK73" s="67"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L73" s="67" t="str">
        <f>DATA!AL59</f>
        <v>-</v>
      </c>
      <c r="AM73" s="42">
        <f>DATA!AM59</f>
        <v>2016</v>
      </c>
      <c r="AN73" s="42" t="str">
        <f>DATA!AN59</f>
        <v>dalam proses
(penyusunan FS)</v>
      </c>
      <c r="AO73" s="42" t="str">
        <f>DATA!AO59</f>
        <v>tidak butuh lahan</v>
      </c>
      <c r="AP73" s="42" t="str">
        <f>DATA!AP59</f>
        <v>belum ada proses tender/lelang</v>
      </c>
      <c r="AQ73" s="42"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R73" s="42" t="e">
        <f>DATA!#REF!</f>
        <v>#REF!</v>
      </c>
      <c r="AS73" s="42" t="str">
        <f>DATA!AZ59</f>
        <v>Sudah ada R/C</v>
      </c>
      <c r="AT73" s="67" t="str">
        <f>DATA!BA59</f>
        <v>Peningkatan kualitas permukiman di 21 provinsi, 257 kabupaten/kota,  6.626 kelurahan</v>
      </c>
    </row>
    <row r="74" spans="1:46" ht="89.25" customHeight="1">
      <c r="A74" s="10">
        <f>DATA!A62</f>
        <v>48</v>
      </c>
      <c r="B74" s="10">
        <f>DATA!B62</f>
        <v>0</v>
      </c>
      <c r="C74" s="10" t="str">
        <f>DATA!D62</f>
        <v>INFRASTRUKTUR</v>
      </c>
      <c r="D74" s="10">
        <f>DATA!E62</f>
        <v>1</v>
      </c>
      <c r="E74" s="10" t="str">
        <f>DATA!F62</f>
        <v>Kementerian Pekerjaan Umum dan Perumahan Rakyat</v>
      </c>
      <c r="F74" s="10" t="str">
        <f>DATA!H62</f>
        <v>Slum Alleviation Program</v>
      </c>
      <c r="G74" s="10" t="str">
        <f>DATA!I62</f>
        <v>G</v>
      </c>
      <c r="H74" s="10" t="str">
        <f>DATA!J62</f>
        <v>Program Penanganan Kumuh</v>
      </c>
      <c r="I74" s="10">
        <f>DATA!K62</f>
        <v>3</v>
      </c>
      <c r="J74" s="33"/>
      <c r="K74" s="34"/>
      <c r="L74" s="34"/>
      <c r="M74" s="36">
        <f>DATA!K62</f>
        <v>3</v>
      </c>
      <c r="N74" s="37" t="str">
        <f>DATA!L62</f>
        <v>Rural Settlement Infrastructure Development (RSID)</v>
      </c>
      <c r="O74" s="20">
        <f>DATA!Q62</f>
        <v>1</v>
      </c>
      <c r="P74" s="20">
        <f>DATA!R62</f>
        <v>1</v>
      </c>
      <c r="Q74" s="20">
        <f>DATA!S62</f>
        <v>41</v>
      </c>
      <c r="R74" s="77">
        <f>DATA!T62</f>
        <v>201000000</v>
      </c>
      <c r="S74" s="77"/>
      <c r="T74" s="77">
        <f>DATA!V62</f>
        <v>10050000</v>
      </c>
      <c r="U74" s="77">
        <f>DATA!W62</f>
        <v>0</v>
      </c>
      <c r="V74" s="77">
        <f>DATA!X62</f>
        <v>211050000</v>
      </c>
      <c r="W74" s="78" t="str">
        <f>DATA!Y62</f>
        <v>JICA</v>
      </c>
      <c r="X74" s="20" t="str">
        <f>DATA!Z62</f>
        <v>Bilateral</v>
      </c>
      <c r="Y74" s="77">
        <f>DATA!AA62</f>
        <v>201000000</v>
      </c>
      <c r="Z74" s="77">
        <f>DATA!AG62</f>
        <v>0</v>
      </c>
      <c r="AA74" s="20">
        <f>DATA!AH62</f>
        <v>2016</v>
      </c>
      <c r="AB74" s="37" t="str">
        <f>DATA!AI62</f>
        <v>-</v>
      </c>
      <c r="AC74" s="37"/>
      <c r="AD74" s="37"/>
      <c r="AE74" s="37"/>
      <c r="AF74" s="37"/>
      <c r="AG74" s="37"/>
      <c r="AH74" s="37"/>
      <c r="AI74" s="37"/>
      <c r="AJ74" s="37" t="str">
        <f>DATA!AJ62</f>
        <v>30 (tiga puluh) kabupaten yang sudah mempunyai Perda RTRW dan mempunyai Perda Kawasan Strategis Kabupaten (KSK)</v>
      </c>
      <c r="AK74" s="37" t="str">
        <f>DATA!AK62</f>
        <v>belum ada pedoman teknis untuk pemenuhan lahan.</v>
      </c>
      <c r="AL74" s="37" t="str">
        <f>DATA!AL62</f>
        <v>belum ada</v>
      </c>
      <c r="AM74" s="20">
        <f>DATA!AM62</f>
        <v>0</v>
      </c>
      <c r="AN74" s="20" t="str">
        <f>DATA!AN62</f>
        <v>dalam proses
(penyusunan FS)</v>
      </c>
      <c r="AO74" s="20" t="str">
        <f>DATA!AO62</f>
        <v>dalam proses
(perencanaan)</v>
      </c>
      <c r="AP74" s="20" t="str">
        <f>DATA!AP62</f>
        <v>belum ada proses tender/lelang</v>
      </c>
      <c r="AQ74" s="20" t="str">
        <f>DATA!AY62</f>
        <v>- semula Lender adalah IDB, namun berdasarkan hasil konfirmasi Kem. PUPR, Lender keg ini adalah JICA
- konsep kegiatan belum siap
- Konfirmasi melalui surat Sekjen nomor KU.01.12-Sj/636 tgl 23 Oktober 2015</v>
      </c>
      <c r="AR74" s="20" t="e">
        <f>DATA!#REF!</f>
        <v>#REF!</v>
      </c>
      <c r="AS74" s="20">
        <f>DATA!AZ62</f>
        <v>0</v>
      </c>
      <c r="AT74" s="37" t="str">
        <f>DATA!BA62</f>
        <v xml:space="preserve">Pembangunan infrastruktur perdesaan seluas 18.589 ha </v>
      </c>
    </row>
    <row r="75" spans="1:46" ht="80.25" customHeight="1">
      <c r="A75" s="10">
        <f>DATA!A63</f>
        <v>49</v>
      </c>
      <c r="B75" s="10">
        <f>DATA!B63</f>
        <v>0</v>
      </c>
      <c r="C75" s="10" t="str">
        <f>DATA!D63</f>
        <v>INFRASTRUKTUR</v>
      </c>
      <c r="D75" s="10">
        <f>DATA!E63</f>
        <v>1</v>
      </c>
      <c r="E75" s="10" t="str">
        <f>DATA!F63</f>
        <v>Kementerian Pekerjaan Umum dan Perumahan Rakyat</v>
      </c>
      <c r="F75" s="10" t="str">
        <f>DATA!H63</f>
        <v>Slum Alleviation Program</v>
      </c>
      <c r="G75" s="10" t="str">
        <f>DATA!I63</f>
        <v>G</v>
      </c>
      <c r="H75" s="10" t="str">
        <f>DATA!J63</f>
        <v>Program Penanganan Kumuh</v>
      </c>
      <c r="I75" s="10">
        <f>DATA!K63</f>
        <v>4</v>
      </c>
      <c r="J75" s="33"/>
      <c r="K75" s="34"/>
      <c r="L75" s="54"/>
      <c r="M75" s="36">
        <f>DATA!K63</f>
        <v>4</v>
      </c>
      <c r="N75" s="37" t="str">
        <f>DATA!L63</f>
        <v>Building Administration and Capacity Enforcement Development for Seismic Resilience</v>
      </c>
      <c r="O75" s="20">
        <f>DATA!Q63</f>
        <v>1</v>
      </c>
      <c r="P75" s="20">
        <f>DATA!R63</f>
        <v>1</v>
      </c>
      <c r="Q75" s="20">
        <f>DATA!S63</f>
        <v>42</v>
      </c>
      <c r="R75" s="77">
        <f>DATA!T63</f>
        <v>261100000</v>
      </c>
      <c r="S75" s="77"/>
      <c r="T75" s="77">
        <f>DATA!V63</f>
        <v>13055000</v>
      </c>
      <c r="U75" s="77">
        <f>DATA!W63</f>
        <v>0</v>
      </c>
      <c r="V75" s="77">
        <f>DATA!X63</f>
        <v>274155000</v>
      </c>
      <c r="W75" s="78" t="str">
        <f>DATA!Y63</f>
        <v>JICA</v>
      </c>
      <c r="X75" s="20" t="str">
        <f>DATA!Z63</f>
        <v>Bilateral</v>
      </c>
      <c r="Y75" s="77">
        <f>DATA!AA63</f>
        <v>261100000</v>
      </c>
      <c r="Z75" s="77">
        <f>DATA!AG63</f>
        <v>0</v>
      </c>
      <c r="AA75" s="20">
        <f>DATA!AH63</f>
        <v>2016</v>
      </c>
      <c r="AB75" s="37" t="str">
        <f>DATA!AI63</f>
        <v>-</v>
      </c>
      <c r="AC75" s="37"/>
      <c r="AD75" s="37"/>
      <c r="AE75" s="37"/>
      <c r="AF75" s="37"/>
      <c r="AG75" s="37"/>
      <c r="AH75" s="37"/>
      <c r="AI75" s="37"/>
      <c r="AJ75" s="37" t="str">
        <f>DATA!AJ63</f>
        <v>246 dari total 514 kota / kabupaten telah mengeluarkan Peraturan Daerah Bangunan Gedung).</v>
      </c>
      <c r="AK75" s="37" t="str">
        <f>DATA!AK63</f>
        <v>tidak ada kegiatan pengadaan lahan.</v>
      </c>
      <c r="AL75" s="37" t="str">
        <f>DATA!AL63</f>
        <v>belum ada</v>
      </c>
      <c r="AM75" s="20">
        <f>DATA!AM63</f>
        <v>0</v>
      </c>
      <c r="AN75" s="20" t="str">
        <f>DATA!AN63</f>
        <v>dalam proses
(penyusunan FS)</v>
      </c>
      <c r="AO75" s="20" t="str">
        <f>DATA!AO63</f>
        <v>tidak butuh lahan</v>
      </c>
      <c r="AP75" s="20" t="str">
        <f>DATA!AP63</f>
        <v>belum ada proses tender/lelang</v>
      </c>
      <c r="AQ75" s="20" t="str">
        <f>DATA!AY63</f>
        <v>- konsep kegiatan belum siap
- Konfirmasi melalui surat Sekjen nomor KU.01.12-Sj/636 tgl 23 Oktober 2015</v>
      </c>
      <c r="AR75" s="20" t="e">
        <f>DATA!#REF!</f>
        <v>#REF!</v>
      </c>
      <c r="AS75" s="20" t="str">
        <f>DATA!AZ63</f>
        <v>- JICA diindikasikan akan mendanai kegiatan ini dan sudah ada kajian dengan pihak JICA</v>
      </c>
      <c r="AT75" s="37" t="str">
        <f>DATA!BA63</f>
        <v>Pengembangan panduan/guidelines untuk 455 kota/kabupaten mengenai bangunan tahan gempa dan sosialisasi metode perkuatan/retrofitting untuk bangunan tahan gempa.</v>
      </c>
    </row>
    <row r="76" spans="1:46" s="5" customFormat="1" ht="33.75" customHeight="1">
      <c r="J76" s="28"/>
      <c r="K76" s="50"/>
      <c r="L76" s="30" t="str">
        <f>DATA!I67</f>
        <v>I</v>
      </c>
      <c r="M76" s="31" t="str">
        <f>DATA!J67</f>
        <v>Program Pengembangan dan Pengelolaan Irigasi</v>
      </c>
      <c r="N76" s="51"/>
      <c r="O76" s="31"/>
      <c r="P76" s="31"/>
      <c r="Q76" s="31"/>
      <c r="R76" s="81">
        <f>SUM(R77,R81:R89)</f>
        <v>3257531000</v>
      </c>
      <c r="S76" s="81"/>
      <c r="T76" s="81">
        <f t="shared" ref="T76:Z76" si="3">SUM(T77,T81:T89)</f>
        <v>345159500</v>
      </c>
      <c r="U76" s="81">
        <f t="shared" si="3"/>
        <v>0</v>
      </c>
      <c r="V76" s="81">
        <f t="shared" si="3"/>
        <v>3602690500</v>
      </c>
      <c r="W76" s="81"/>
      <c r="X76" s="81">
        <f t="shared" si="3"/>
        <v>0</v>
      </c>
      <c r="Y76" s="81">
        <f t="shared" si="3"/>
        <v>3257531000</v>
      </c>
      <c r="Z76" s="81">
        <f t="shared" si="3"/>
        <v>0</v>
      </c>
      <c r="AA76" s="31"/>
      <c r="AB76" s="32"/>
      <c r="AC76" s="32"/>
      <c r="AD76" s="32"/>
      <c r="AE76" s="32"/>
      <c r="AF76" s="32"/>
      <c r="AG76" s="32"/>
      <c r="AH76" s="32"/>
      <c r="AI76" s="32"/>
      <c r="AJ76" s="32"/>
      <c r="AK76" s="32"/>
      <c r="AL76" s="32"/>
      <c r="AM76" s="31"/>
      <c r="AN76" s="31"/>
      <c r="AO76" s="31"/>
      <c r="AP76" s="31"/>
      <c r="AQ76" s="31"/>
      <c r="AR76" s="31"/>
      <c r="AS76" s="31"/>
      <c r="AT76" s="32"/>
    </row>
    <row r="77" spans="1:46" ht="51">
      <c r="A77" s="10">
        <f>DATA!A65</f>
        <v>50</v>
      </c>
      <c r="B77" s="10">
        <f>DATA!B65</f>
        <v>0</v>
      </c>
      <c r="C77" s="10" t="str">
        <f>DATA!D65</f>
        <v>INFRASTRUKTUR</v>
      </c>
      <c r="D77" s="10">
        <f>DATA!E65</f>
        <v>1</v>
      </c>
      <c r="E77" s="10" t="str">
        <f>DATA!F65</f>
        <v>Kementerian Pekerjaan Umum dan Perumahan Rakyat</v>
      </c>
      <c r="F77" s="10" t="str">
        <f>DATA!H65</f>
        <v>Slum Alleviation Program</v>
      </c>
      <c r="G77" s="10" t="str">
        <f>DATA!I65</f>
        <v>I</v>
      </c>
      <c r="H77" s="10" t="str">
        <f>DATA!J65</f>
        <v>Program Pengembangan dan Pengelolaan Irigasi</v>
      </c>
      <c r="I77" s="10">
        <f>DATA!K65</f>
        <v>1</v>
      </c>
      <c r="J77" s="33"/>
      <c r="K77" s="34"/>
      <c r="L77" s="35"/>
      <c r="M77" s="36">
        <f>DATA!K65</f>
        <v>1</v>
      </c>
      <c r="N77" s="37" t="str">
        <f>DATA!L65</f>
        <v>Integrated Participatory Development and Management of Irrigation Project:</v>
      </c>
      <c r="O77" s="20">
        <f>DATA!Q65</f>
        <v>0</v>
      </c>
      <c r="P77" s="20">
        <f>DATA!R65</f>
        <v>0</v>
      </c>
      <c r="Q77" s="20">
        <f>DATA!S65</f>
        <v>0</v>
      </c>
      <c r="R77" s="77">
        <f>DATA!T65</f>
        <v>1200000000</v>
      </c>
      <c r="S77" s="77"/>
      <c r="T77" s="77">
        <f>DATA!V65</f>
        <v>120000000</v>
      </c>
      <c r="U77" s="77">
        <f>DATA!W65</f>
        <v>0</v>
      </c>
      <c r="V77" s="77">
        <f>DATA!X65</f>
        <v>1320000000</v>
      </c>
      <c r="W77" s="78" t="str">
        <f>DATA!Y65</f>
        <v>-</v>
      </c>
      <c r="X77" s="20">
        <f>DATA!Z65</f>
        <v>0</v>
      </c>
      <c r="Y77" s="77">
        <f>DATA!AA65</f>
        <v>1200000000</v>
      </c>
      <c r="Z77" s="77">
        <f>DATA!AG65</f>
        <v>0</v>
      </c>
      <c r="AA77" s="20" t="str">
        <f>DATA!AH65</f>
        <v>-</v>
      </c>
      <c r="AB77" s="37" t="str">
        <f>DATA!AI65</f>
        <v>-</v>
      </c>
      <c r="AC77" s="37"/>
      <c r="AD77" s="37"/>
      <c r="AE77" s="37"/>
      <c r="AF77" s="37"/>
      <c r="AG77" s="37"/>
      <c r="AH77" s="37"/>
      <c r="AI77" s="37"/>
      <c r="AJ77" s="37" t="str">
        <f>DATA!AJ65</f>
        <v>-</v>
      </c>
      <c r="AK77" s="37" t="str">
        <f>DATA!AK65</f>
        <v>-</v>
      </c>
      <c r="AL77" s="37" t="str">
        <f>DATA!AL65</f>
        <v>-</v>
      </c>
      <c r="AM77" s="20" t="str">
        <f>DATA!AM65</f>
        <v>-</v>
      </c>
      <c r="AN77" s="20" t="str">
        <f>DATA!AN65</f>
        <v>-</v>
      </c>
      <c r="AO77" s="20" t="str">
        <f>DATA!AO65</f>
        <v>-</v>
      </c>
      <c r="AP77" s="20" t="str">
        <f>DATA!AP65</f>
        <v>-</v>
      </c>
      <c r="AQ77" s="20" t="str">
        <f>DATA!AY65</f>
        <v>Konfirmasi melalui surat Sekjen nomor KU.01.12-Sj/636 tgl 23 Oktober 2015</v>
      </c>
      <c r="AR77" s="20" t="e">
        <f>DATA!#REF!</f>
        <v>#REF!</v>
      </c>
      <c r="AS77" s="20">
        <f>DATA!AZ65</f>
        <v>0</v>
      </c>
      <c r="AT77" s="37" t="str">
        <f>DATA!BA65</f>
        <v>Pembangunan lanjutan proyek irigasi dengan total seluas 193.858 Ha dan pembangunan irigasi baru seluas 10.000 Ha yang tersebar di berbagai wilayah di Indonesia</v>
      </c>
    </row>
    <row r="78" spans="1:46" s="6" customFormat="1" ht="88.5" customHeight="1">
      <c r="A78" s="6">
        <f>DATA!A67</f>
        <v>51</v>
      </c>
      <c r="B78" s="6">
        <f>DATA!B67</f>
        <v>0</v>
      </c>
      <c r="C78" s="6" t="str">
        <f>DATA!D67</f>
        <v>INFRASTRUKTUR</v>
      </c>
      <c r="D78" s="6">
        <f>DATA!E67</f>
        <v>1</v>
      </c>
      <c r="E78" s="6" t="str">
        <f>DATA!F67</f>
        <v>Kementerian Pekerjaan Umum dan Perumahan Rakyat</v>
      </c>
      <c r="F78" s="6" t="str">
        <f>DATA!H67</f>
        <v xml:space="preserve">Development and Management of Irrigation Program </v>
      </c>
      <c r="G78" s="6" t="str">
        <f>DATA!I67</f>
        <v>I</v>
      </c>
      <c r="H78" s="6" t="str">
        <f>DATA!J67</f>
        <v>Program Pengembangan dan Pengelolaan Irigasi</v>
      </c>
      <c r="I78" s="6">
        <f>DATA!K67</f>
        <v>1</v>
      </c>
      <c r="J78" s="38"/>
      <c r="K78" s="39"/>
      <c r="L78" s="39"/>
      <c r="M78" s="40"/>
      <c r="N78" s="67" t="str">
        <f>DATA!L67</f>
        <v>Integrated Participatory Development and Management of Irrigation Project - Phase I</v>
      </c>
      <c r="O78" s="42">
        <f>DATA!Q67</f>
        <v>0.5</v>
      </c>
      <c r="P78" s="42">
        <f>DATA!R67</f>
        <v>0</v>
      </c>
      <c r="Q78" s="42">
        <f>DATA!S67</f>
        <v>43</v>
      </c>
      <c r="R78" s="83">
        <f>DATA!T67</f>
        <v>0</v>
      </c>
      <c r="S78" s="83"/>
      <c r="T78" s="83">
        <f>DATA!V67</f>
        <v>0</v>
      </c>
      <c r="U78" s="83">
        <f>DATA!W67</f>
        <v>0</v>
      </c>
      <c r="V78" s="83">
        <f>DATA!X67</f>
        <v>0</v>
      </c>
      <c r="W78" s="84" t="str">
        <f>DATA!Y67</f>
        <v>ADB</v>
      </c>
      <c r="X78" s="42" t="str">
        <f>DATA!Z67</f>
        <v>Multilateral</v>
      </c>
      <c r="Y78" s="83">
        <f>DATA!AA67</f>
        <v>600000000</v>
      </c>
      <c r="Z78" s="83">
        <f>DATA!AG67</f>
        <v>0</v>
      </c>
      <c r="AA78" s="42">
        <f>DATA!AH67</f>
        <v>2016</v>
      </c>
      <c r="AB78" s="67" t="str">
        <f>DATA!AI67</f>
        <v>- Sudah ada RC
- Green Book 2015
- Dalam proses pembahasan skema pinjaman</v>
      </c>
      <c r="AC78" s="67"/>
      <c r="AD78" s="67"/>
      <c r="AE78" s="67"/>
      <c r="AF78" s="67"/>
      <c r="AG78" s="67"/>
      <c r="AH78" s="67"/>
      <c r="AI78" s="67"/>
      <c r="AJ78" s="67" t="str">
        <f>DATA!AJ67</f>
        <v>FS, DED, AMDAL, LARAP</v>
      </c>
      <c r="AK78" s="67" t="str">
        <f>DATA!AK67</f>
        <v>-</v>
      </c>
      <c r="AL78" s="67" t="str">
        <f>DATA!AL67</f>
        <v>Belum ada tender/lelang</v>
      </c>
      <c r="AM78" s="42" t="str">
        <f>DATA!AM67</f>
        <v>2016; 2015</v>
      </c>
      <c r="AN78" s="42" t="str">
        <f>DATA!AN67</f>
        <v>siap</v>
      </c>
      <c r="AO78" s="42" t="str">
        <f>DATA!AO67</f>
        <v>belum ada keterangan</v>
      </c>
      <c r="AP78" s="42" t="str">
        <f>DATA!AP67</f>
        <v>belum ada proses tender/lelang</v>
      </c>
      <c r="AQ78" s="42" t="str">
        <f>DATA!AY67</f>
        <v>- Cofinancing ADB USD 600 juta dan IFAD USD 100 juta
- Konfirmasi melalui surat Sekjen nomor KU.01.12-Sj/636 tgl 23 Oktober 2015</v>
      </c>
      <c r="AR78" s="42" t="e">
        <f>DATA!#REF!</f>
        <v>#REF!</v>
      </c>
      <c r="AS78" s="42" t="str">
        <f>DATA!AZ67</f>
        <v>termasuk RBL</v>
      </c>
      <c r="AT78" s="67"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79" spans="1:46" s="6" customFormat="1" ht="86.25" customHeight="1">
      <c r="A79" s="6">
        <f>DATA!A68</f>
        <v>52</v>
      </c>
      <c r="B79" s="6">
        <f>DATA!B68</f>
        <v>0</v>
      </c>
      <c r="C79" s="6" t="str">
        <f>DATA!D68</f>
        <v>INFRASTRUKTUR</v>
      </c>
      <c r="D79" s="6">
        <f>DATA!E68</f>
        <v>1</v>
      </c>
      <c r="E79" s="6" t="str">
        <f>DATA!F68</f>
        <v>Kementerian Pekerjaan Umum dan Perumahan Rakyat</v>
      </c>
      <c r="F79" s="6" t="str">
        <f>DATA!H68</f>
        <v xml:space="preserve">Development and Management of Irrigation Program </v>
      </c>
      <c r="G79" s="6" t="str">
        <f>DATA!I68</f>
        <v>I</v>
      </c>
      <c r="H79" s="6" t="str">
        <f>DATA!J68</f>
        <v>Program Pengembangan dan Pengelolaan Irigasi</v>
      </c>
      <c r="I79" s="6">
        <f>DATA!K68</f>
        <v>1</v>
      </c>
      <c r="J79" s="38"/>
      <c r="K79" s="39"/>
      <c r="L79" s="39"/>
      <c r="M79" s="38"/>
      <c r="N79" s="67" t="str">
        <f>DATA!L68</f>
        <v>Integrated Participatory Development and Management of Irrigation Project - Phase I</v>
      </c>
      <c r="O79" s="42">
        <f>DATA!Q68</f>
        <v>0.5</v>
      </c>
      <c r="P79" s="42">
        <f>DATA!R68</f>
        <v>0</v>
      </c>
      <c r="Q79" s="42">
        <f>DATA!S68</f>
        <v>0</v>
      </c>
      <c r="R79" s="83">
        <f>DATA!T68</f>
        <v>0</v>
      </c>
      <c r="S79" s="83"/>
      <c r="T79" s="83">
        <f>DATA!V68</f>
        <v>0</v>
      </c>
      <c r="U79" s="83">
        <f>DATA!W68</f>
        <v>0</v>
      </c>
      <c r="V79" s="83">
        <f>DATA!X68</f>
        <v>0</v>
      </c>
      <c r="W79" s="84" t="str">
        <f>DATA!Y68</f>
        <v>IFAD</v>
      </c>
      <c r="X79" s="42" t="str">
        <f>DATA!Z68</f>
        <v>Multilateral</v>
      </c>
      <c r="Y79" s="83">
        <f>DATA!AA68</f>
        <v>100000000</v>
      </c>
      <c r="Z79" s="83">
        <f>DATA!AG68</f>
        <v>0</v>
      </c>
      <c r="AA79" s="42">
        <f>DATA!AH68</f>
        <v>2015</v>
      </c>
      <c r="AB79" s="67" t="str">
        <f>DATA!AI68</f>
        <v>- Sudah ada RC
- Green Book 2015
- Dalam proses pembahasan skema pinjaman</v>
      </c>
      <c r="AC79" s="67"/>
      <c r="AD79" s="67"/>
      <c r="AE79" s="67"/>
      <c r="AF79" s="67"/>
      <c r="AG79" s="67"/>
      <c r="AH79" s="67"/>
      <c r="AI79" s="67"/>
      <c r="AJ79" s="67" t="str">
        <f>DATA!AJ68</f>
        <v>FS, DED, AMDAL, LARAP</v>
      </c>
      <c r="AK79" s="67" t="str">
        <f>DATA!AK68</f>
        <v>-</v>
      </c>
      <c r="AL79" s="67" t="str">
        <f>DATA!AL68</f>
        <v>Belum ada tender/lelang</v>
      </c>
      <c r="AM79" s="42" t="str">
        <f>DATA!AM68</f>
        <v>2016; 2015</v>
      </c>
      <c r="AN79" s="42" t="str">
        <f>DATA!AN68</f>
        <v>siap</v>
      </c>
      <c r="AO79" s="42" t="str">
        <f>DATA!AO68</f>
        <v>belum ada keterangan</v>
      </c>
      <c r="AP79" s="42" t="str">
        <f>DATA!AP68</f>
        <v>belum ada proses tender/lelang</v>
      </c>
      <c r="AQ79" s="42" t="str">
        <f>DATA!AY68</f>
        <v>- Cofinancing ADB USD 600 juta dan IFAD USD 100 juta
- Konfirmasi melalui surat Sekjen nomor KU.01.12-Sj/636 tgl 23 Oktober 2015</v>
      </c>
      <c r="AR79" s="42" t="e">
        <f>DATA!#REF!</f>
        <v>#REF!</v>
      </c>
      <c r="AS79" s="42">
        <f>DATA!AZ68</f>
        <v>0</v>
      </c>
      <c r="AT79" s="67"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0" spans="1:46" s="6" customFormat="1" ht="52.5" customHeight="1">
      <c r="A80" s="6">
        <f>DATA!A70</f>
        <v>53</v>
      </c>
      <c r="B80" s="6">
        <f>DATA!B70</f>
        <v>0</v>
      </c>
      <c r="C80" s="6" t="str">
        <f>DATA!D70</f>
        <v>INFRASTRUKTUR</v>
      </c>
      <c r="D80" s="6">
        <f>DATA!E70</f>
        <v>1</v>
      </c>
      <c r="E80" s="6" t="str">
        <f>DATA!F70</f>
        <v>Kementerian Pekerjaan Umum dan Perumahan Rakyat</v>
      </c>
      <c r="F80" s="6" t="str">
        <f>DATA!H70</f>
        <v xml:space="preserve">Development and Management of Irrigation Program </v>
      </c>
      <c r="G80" s="6" t="str">
        <f>DATA!I70</f>
        <v>I</v>
      </c>
      <c r="H80" s="6" t="str">
        <f>DATA!J70</f>
        <v>Program Pengembangan dan Pengelolaan Irigasi</v>
      </c>
      <c r="I80" s="6">
        <f>DATA!K70</f>
        <v>1</v>
      </c>
      <c r="J80" s="38"/>
      <c r="K80" s="39"/>
      <c r="L80" s="39"/>
      <c r="M80" s="43"/>
      <c r="N80" s="67" t="str">
        <f>DATA!L70</f>
        <v>Integrated Participatory Development and Management of Irrigation Project - Phase II</v>
      </c>
      <c r="O80" s="42">
        <f>DATA!Q70</f>
        <v>1</v>
      </c>
      <c r="P80" s="42">
        <f>DATA!R70</f>
        <v>0</v>
      </c>
      <c r="Q80" s="42">
        <f>DATA!S70</f>
        <v>44</v>
      </c>
      <c r="R80" s="83">
        <f>DATA!T70</f>
        <v>500000000</v>
      </c>
      <c r="S80" s="83"/>
      <c r="T80" s="83">
        <f>DATA!V70</f>
        <v>50000000</v>
      </c>
      <c r="U80" s="83">
        <f>DATA!W70</f>
        <v>0</v>
      </c>
      <c r="V80" s="83">
        <f>DATA!X70</f>
        <v>550000000</v>
      </c>
      <c r="W80" s="84" t="str">
        <f>DATA!Y70</f>
        <v>ADB</v>
      </c>
      <c r="X80" s="42" t="str">
        <f>DATA!Z70</f>
        <v>Multilateral</v>
      </c>
      <c r="Y80" s="83">
        <f>DATA!AA70</f>
        <v>500000000</v>
      </c>
      <c r="Z80" s="83">
        <f>DATA!AG70</f>
        <v>0</v>
      </c>
      <c r="AA80" s="42" t="str">
        <f>DATA!AH70</f>
        <v>Tanpa keterangan</v>
      </c>
      <c r="AB80" s="67" t="str">
        <f>DATA!AI70</f>
        <v>-</v>
      </c>
      <c r="AC80" s="67"/>
      <c r="AD80" s="67"/>
      <c r="AE80" s="67"/>
      <c r="AF80" s="67"/>
      <c r="AG80" s="67"/>
      <c r="AH80" s="67"/>
      <c r="AI80" s="67"/>
      <c r="AJ80" s="67" t="str">
        <f>DATA!AJ70</f>
        <v>-</v>
      </c>
      <c r="AK80" s="67" t="str">
        <f>DATA!AK70</f>
        <v>-</v>
      </c>
      <c r="AL80" s="67" t="str">
        <f>DATA!AL70</f>
        <v>-</v>
      </c>
      <c r="AM80" s="42" t="str">
        <f>DATA!AR70</f>
        <v>- untuk yang Phase II: belum ada penyiapan
- belum ada dokumen R/C</v>
      </c>
      <c r="AN80" s="42" t="str">
        <f>DATA!AN70</f>
        <v>belum ada keterangan</v>
      </c>
      <c r="AO80" s="42" t="str">
        <f>DATA!AO70</f>
        <v>belum ada keterangan</v>
      </c>
      <c r="AP80" s="42" t="str">
        <f>DATA!AP70</f>
        <v>belum ada proses tender/lelang</v>
      </c>
      <c r="AQ80" s="42" t="str">
        <f>DATA!AY70</f>
        <v>Konfirmasi melalui surat Sekjen nomor KU.01.12-Sj/636 tgl 23 Oktober 2015</v>
      </c>
      <c r="AR80" s="42" t="e">
        <f>DATA!#REF!</f>
        <v>#REF!</v>
      </c>
      <c r="AS80" s="42">
        <f>DATA!AZ70</f>
        <v>0</v>
      </c>
      <c r="AT80" s="67" t="str">
        <f>DATA!BA70</f>
        <v xml:space="preserve">Pembangunan irigasi baru dengan luas lebih dari 10.000 Ha, perbaikan sistem irigasi seluas 172.880 Ha yang tersebar di seluruh Indonesia. </v>
      </c>
    </row>
    <row r="81" spans="1:46" ht="45.75" customHeight="1">
      <c r="A81" s="10">
        <f>DATA!A72</f>
        <v>54</v>
      </c>
      <c r="B81" s="10">
        <f>DATA!B72</f>
        <v>0</v>
      </c>
      <c r="C81" s="10" t="str">
        <f>DATA!D72</f>
        <v>INFRASTRUKTUR</v>
      </c>
      <c r="D81" s="10">
        <f>DATA!E72</f>
        <v>1</v>
      </c>
      <c r="E81" s="10" t="str">
        <f>DATA!F72</f>
        <v>Kementerian Pekerjaan Umum dan Perumahan Rakyat</v>
      </c>
      <c r="F81" s="10" t="str">
        <f>DATA!H72</f>
        <v xml:space="preserve">Development and Management of Irrigation Program </v>
      </c>
      <c r="G81" s="10" t="str">
        <f>DATA!I72</f>
        <v>I</v>
      </c>
      <c r="H81" s="10" t="str">
        <f>DATA!J72</f>
        <v>Program Pengembangan dan Pengelolaan Irigasi</v>
      </c>
      <c r="I81" s="10">
        <f>DATA!K72</f>
        <v>2</v>
      </c>
      <c r="J81" s="33"/>
      <c r="K81" s="34"/>
      <c r="L81" s="34"/>
      <c r="M81" s="36">
        <f>DATA!K72</f>
        <v>2</v>
      </c>
      <c r="N81" s="37" t="str">
        <f>DATA!L72</f>
        <v>The Urgent Rehabilitation of Strategic Irrigation for Western Region of Indonesia</v>
      </c>
      <c r="O81" s="20">
        <f>DATA!Q72</f>
        <v>1</v>
      </c>
      <c r="P81" s="20">
        <f>DATA!R72</f>
        <v>1</v>
      </c>
      <c r="Q81" s="20">
        <f>DATA!S72</f>
        <v>45</v>
      </c>
      <c r="R81" s="77">
        <f>DATA!T72</f>
        <v>195778000</v>
      </c>
      <c r="S81" s="77"/>
      <c r="T81" s="77">
        <f>DATA!V72</f>
        <v>27149500</v>
      </c>
      <c r="U81" s="77">
        <f>DATA!W72</f>
        <v>0</v>
      </c>
      <c r="V81" s="77">
        <f>DATA!X72</f>
        <v>222927500</v>
      </c>
      <c r="W81" s="78" t="str">
        <f>DATA!Y72</f>
        <v>Korea</v>
      </c>
      <c r="X81" s="20" t="str">
        <f>DATA!Z72</f>
        <v>Bilateral</v>
      </c>
      <c r="Y81" s="77">
        <f>DATA!AA72</f>
        <v>195778000</v>
      </c>
      <c r="Z81" s="77">
        <f>DATA!AG72</f>
        <v>0</v>
      </c>
      <c r="AA81" s="20">
        <f>DATA!AH72</f>
        <v>2016</v>
      </c>
      <c r="AB81" s="37" t="str">
        <f>DATA!AI72</f>
        <v>- Sudah ada R/C
- Green Book 2015</v>
      </c>
      <c r="AC81" s="37"/>
      <c r="AD81" s="37"/>
      <c r="AE81" s="37"/>
      <c r="AF81" s="37"/>
      <c r="AG81" s="37"/>
      <c r="AH81" s="37"/>
      <c r="AI81" s="37"/>
      <c r="AJ81" s="37" t="str">
        <f>DATA!AJ72</f>
        <v>FS, DED, AMDAL, LARAP</v>
      </c>
      <c r="AK81" s="37" t="str">
        <f>DATA!AK72</f>
        <v>Tidak dibutuhkan lahan</v>
      </c>
      <c r="AL81" s="37" t="str">
        <f>DATA!AL72</f>
        <v>Belum ada tender/lelang</v>
      </c>
      <c r="AM81" s="20" t="str">
        <f>DATA!AR72</f>
        <v>-</v>
      </c>
      <c r="AN81" s="20" t="str">
        <f>DATA!AN72</f>
        <v>belum ada keterangan</v>
      </c>
      <c r="AO81" s="20" t="str">
        <f>DATA!AO72</f>
        <v>belum ada keterangan</v>
      </c>
      <c r="AP81" s="20" t="str">
        <f>DATA!AP72</f>
        <v>belum ada proses tender/lelang</v>
      </c>
      <c r="AQ81" s="20" t="str">
        <f>DATA!AY72</f>
        <v>Konfirmasi melalui surat Sekjen nomor KU.01.12-Sj/636 tgl 23 Oktober 2015</v>
      </c>
      <c r="AR81" s="20" t="e">
        <f>DATA!#REF!</f>
        <v>#REF!</v>
      </c>
      <c r="AS81" s="20">
        <f>DATA!AZ72</f>
        <v>0</v>
      </c>
      <c r="AT81" s="37" t="str">
        <f>DATA!BA72</f>
        <v xml:space="preserve">Melakukan rehabilitasi fasilitas irigasi, meningkatkan sistem irigasi dan drainase dan peningkatan kapasitas O&amp;P seluas 38,523 Ha </v>
      </c>
    </row>
    <row r="82" spans="1:46" ht="111" customHeight="1">
      <c r="A82" s="10">
        <f>DATA!A73</f>
        <v>55</v>
      </c>
      <c r="B82" s="10">
        <f>DATA!B73</f>
        <v>0</v>
      </c>
      <c r="C82" s="10" t="str">
        <f>DATA!D73</f>
        <v>INFRASTRUKTUR</v>
      </c>
      <c r="D82" s="10">
        <f>DATA!E73</f>
        <v>1</v>
      </c>
      <c r="E82" s="10" t="str">
        <f>DATA!F73</f>
        <v>Kementerian Pekerjaan Umum dan Perumahan Rakyat</v>
      </c>
      <c r="F82" s="10" t="str">
        <f>DATA!H73</f>
        <v xml:space="preserve">Development and Management of Irrigation Program </v>
      </c>
      <c r="G82" s="10" t="str">
        <f>DATA!I73</f>
        <v>I</v>
      </c>
      <c r="H82" s="10" t="str">
        <f>DATA!J73</f>
        <v>Program Pengembangan dan Pengelolaan Irigasi</v>
      </c>
      <c r="I82" s="10">
        <f>DATA!K73</f>
        <v>3</v>
      </c>
      <c r="J82" s="33"/>
      <c r="K82" s="34"/>
      <c r="L82" s="34"/>
      <c r="M82" s="36">
        <f>DATA!K73</f>
        <v>3</v>
      </c>
      <c r="N82" s="37" t="str">
        <f>DATA!L73</f>
        <v>Rentang Modernization Strategic Irrigation (RIMP)</v>
      </c>
      <c r="O82" s="20">
        <f>DATA!Q73</f>
        <v>1</v>
      </c>
      <c r="P82" s="20">
        <f>DATA!R73</f>
        <v>1</v>
      </c>
      <c r="Q82" s="20">
        <f>DATA!S73</f>
        <v>46</v>
      </c>
      <c r="R82" s="77">
        <f>DATA!T73</f>
        <v>480000000</v>
      </c>
      <c r="S82" s="77"/>
      <c r="T82" s="77">
        <f>DATA!V73</f>
        <v>48000000</v>
      </c>
      <c r="U82" s="77">
        <f>DATA!W73</f>
        <v>0</v>
      </c>
      <c r="V82" s="77">
        <f>DATA!X73</f>
        <v>528000000</v>
      </c>
      <c r="W82" s="78" t="str">
        <f>DATA!Y73</f>
        <v>JICA</v>
      </c>
      <c r="X82" s="20" t="str">
        <f>DATA!Z73</f>
        <v>Bilateral</v>
      </c>
      <c r="Y82" s="77">
        <f>DATA!AA73</f>
        <v>480000000</v>
      </c>
      <c r="Z82" s="77">
        <f>DATA!AG73</f>
        <v>0</v>
      </c>
      <c r="AA82" s="20">
        <f>DATA!AH73</f>
        <v>2017</v>
      </c>
      <c r="AB82" s="37" t="str">
        <f>DATA!AI73</f>
        <v>Sudah ada R/C</v>
      </c>
      <c r="AC82" s="37"/>
      <c r="AD82" s="37"/>
      <c r="AE82" s="37"/>
      <c r="AF82" s="37"/>
      <c r="AG82" s="37"/>
      <c r="AH82" s="37"/>
      <c r="AI82" s="37"/>
      <c r="AJ82" s="37" t="str">
        <f>DATA!AJ73</f>
        <v>FS, DED, AMDAL</v>
      </c>
      <c r="AK82" s="37" t="str">
        <f>DATA!AK73</f>
        <v>Tidak dibutuhkan lahan</v>
      </c>
      <c r="AL82" s="37" t="str">
        <f>DATA!AL73</f>
        <v>-</v>
      </c>
      <c r="AM82" s="20" t="str">
        <f>DATA!AR73</f>
        <v>-</v>
      </c>
      <c r="AN82" s="20" t="str">
        <f>DATA!AN73</f>
        <v>siap</v>
      </c>
      <c r="AO82" s="20" t="str">
        <f>DATA!AO73</f>
        <v>tidak butuh lahan</v>
      </c>
      <c r="AP82" s="20" t="str">
        <f>DATA!AP73</f>
        <v>belum ada proses tender/lelang</v>
      </c>
      <c r="AQ82" s="20" t="str">
        <f>DATA!AY73</f>
        <v>Konfirmasi melalui surat Sekjen nomor KU.01.12-Sj/636 tgl 23 Oktober 2015</v>
      </c>
      <c r="AR82" s="20" t="e">
        <f>DATA!#REF!</f>
        <v>#REF!</v>
      </c>
      <c r="AS82" s="20">
        <f>DATA!AZ73</f>
        <v>0</v>
      </c>
      <c r="AT82" s="37"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row>
    <row r="83" spans="1:46" ht="76.5">
      <c r="A83" s="10">
        <f>DATA!A74</f>
        <v>56</v>
      </c>
      <c r="B83" s="10">
        <f>DATA!B74</f>
        <v>0</v>
      </c>
      <c r="C83" s="10" t="str">
        <f>DATA!D74</f>
        <v>INFRASTRUKTUR</v>
      </c>
      <c r="D83" s="10">
        <f>DATA!E74</f>
        <v>1</v>
      </c>
      <c r="E83" s="10" t="str">
        <f>DATA!F74</f>
        <v>Kementerian Pekerjaan Umum dan Perumahan Rakyat</v>
      </c>
      <c r="F83" s="10" t="str">
        <f>DATA!H74</f>
        <v xml:space="preserve">Development and Management of Irrigation Program </v>
      </c>
      <c r="G83" s="10" t="str">
        <f>DATA!I74</f>
        <v>I</v>
      </c>
      <c r="H83" s="10" t="str">
        <f>DATA!J74</f>
        <v>Program Pengembangan dan Pengelolaan Irigasi</v>
      </c>
      <c r="I83" s="10">
        <f>DATA!K74</f>
        <v>4</v>
      </c>
      <c r="J83" s="33"/>
      <c r="K83" s="34"/>
      <c r="L83" s="34"/>
      <c r="M83" s="36">
        <f>DATA!K74</f>
        <v>4</v>
      </c>
      <c r="N83" s="37" t="str">
        <f>DATA!L74</f>
        <v>Komering Irrigation Project Stage III</v>
      </c>
      <c r="O83" s="20">
        <f>DATA!Q74</f>
        <v>1</v>
      </c>
      <c r="P83" s="20">
        <f>DATA!R74</f>
        <v>1</v>
      </c>
      <c r="Q83" s="20">
        <f>DATA!S74</f>
        <v>47</v>
      </c>
      <c r="R83" s="77">
        <f>DATA!T74</f>
        <v>120000000</v>
      </c>
      <c r="S83" s="77"/>
      <c r="T83" s="77">
        <f>DATA!V74</f>
        <v>12000000</v>
      </c>
      <c r="U83" s="77">
        <f>DATA!W74</f>
        <v>0</v>
      </c>
      <c r="V83" s="77">
        <f>DATA!X74</f>
        <v>132000000</v>
      </c>
      <c r="W83" s="78" t="str">
        <f>DATA!Y74</f>
        <v>JICA</v>
      </c>
      <c r="X83" s="20" t="str">
        <f>DATA!Z74</f>
        <v>Bilateral</v>
      </c>
      <c r="Y83" s="77">
        <f>DATA!AA74</f>
        <v>120000000</v>
      </c>
      <c r="Z83" s="77">
        <f>DATA!AG74</f>
        <v>0</v>
      </c>
      <c r="AA83" s="20">
        <f>DATA!AH74</f>
        <v>2017</v>
      </c>
      <c r="AB83" s="37" t="str">
        <f>DATA!AI74</f>
        <v xml:space="preserve">Sudah ada R/C
</v>
      </c>
      <c r="AC83" s="37"/>
      <c r="AD83" s="37"/>
      <c r="AE83" s="37"/>
      <c r="AF83" s="37"/>
      <c r="AG83" s="37"/>
      <c r="AH83" s="37"/>
      <c r="AI83" s="37"/>
      <c r="AJ83" s="37" t="str">
        <f>DATA!AJ74</f>
        <v>FS, DED, AMDAL, LARAP</v>
      </c>
      <c r="AK83" s="37" t="str">
        <f>DATA!AK74</f>
        <v>-</v>
      </c>
      <c r="AL83" s="37" t="str">
        <f>DATA!AL74</f>
        <v>-</v>
      </c>
      <c r="AM83" s="20" t="str">
        <f>DATA!AR74</f>
        <v>Nilai pinjaman di:
- Rev. GB 16 USD 145.568 ribu
- GB 16 USD 120.000 ribu</v>
      </c>
      <c r="AN83" s="20" t="str">
        <f>DATA!AN74</f>
        <v>siap</v>
      </c>
      <c r="AO83" s="20" t="str">
        <f>DATA!AO74</f>
        <v>belum ada keterangan</v>
      </c>
      <c r="AP83" s="20" t="str">
        <f>DATA!AP74</f>
        <v>belum ada proses tender/lelang</v>
      </c>
      <c r="AQ83" s="20" t="str">
        <f>DATA!AY74</f>
        <v>Konfirmasi melalui surat Sekjen nomor KU.01.12-Sj/636 tgl 23 Oktober 2015</v>
      </c>
      <c r="AR83" s="20" t="e">
        <f>DATA!#REF!</f>
        <v>#REF!</v>
      </c>
      <c r="AS83" s="20">
        <f>DATA!AZ74</f>
        <v>0</v>
      </c>
      <c r="AT83" s="37"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row>
    <row r="84" spans="1:46" ht="57.75" customHeight="1">
      <c r="A84" s="10">
        <f>DATA!A75</f>
        <v>57</v>
      </c>
      <c r="B84" s="10">
        <f>DATA!B75</f>
        <v>0</v>
      </c>
      <c r="C84" s="10" t="str">
        <f>DATA!D75</f>
        <v>INFRASTRUKTUR</v>
      </c>
      <c r="D84" s="10">
        <f>DATA!E75</f>
        <v>1</v>
      </c>
      <c r="E84" s="10" t="str">
        <f>DATA!F75</f>
        <v>Kementerian Pekerjaan Umum dan Perumahan Rakyat</v>
      </c>
      <c r="F84" s="10" t="str">
        <f>DATA!H75</f>
        <v xml:space="preserve">Development and Management of Irrigation Program </v>
      </c>
      <c r="G84" s="10" t="str">
        <f>DATA!I75</f>
        <v>I</v>
      </c>
      <c r="H84" s="10" t="str">
        <f>DATA!J75</f>
        <v>Program Pengembangan dan Pengelolaan Irigasi</v>
      </c>
      <c r="I84" s="10">
        <f>DATA!K75</f>
        <v>5</v>
      </c>
      <c r="J84" s="33"/>
      <c r="K84" s="34"/>
      <c r="L84" s="34"/>
      <c r="M84" s="36">
        <f>DATA!K75</f>
        <v>5</v>
      </c>
      <c r="N84" s="37" t="str">
        <f>DATA!L75</f>
        <v>Irrigation Development in North Sumatera</v>
      </c>
      <c r="O84" s="20">
        <f>DATA!Q75</f>
        <v>1</v>
      </c>
      <c r="P84" s="20">
        <f>DATA!R75</f>
        <v>1</v>
      </c>
      <c r="Q84" s="20">
        <f>DATA!S75</f>
        <v>48</v>
      </c>
      <c r="R84" s="77">
        <f>DATA!T75</f>
        <v>350000000</v>
      </c>
      <c r="S84" s="77"/>
      <c r="T84" s="77">
        <f>DATA!V75</f>
        <v>35000000</v>
      </c>
      <c r="U84" s="77">
        <f>DATA!W75</f>
        <v>0</v>
      </c>
      <c r="V84" s="77">
        <f>DATA!X75</f>
        <v>385000000</v>
      </c>
      <c r="W84" s="78" t="str">
        <f>DATA!Y75</f>
        <v>ADB</v>
      </c>
      <c r="X84" s="20" t="str">
        <f>DATA!Z75</f>
        <v>Multilateral</v>
      </c>
      <c r="Y84" s="77">
        <f>DATA!AA75</f>
        <v>350000000</v>
      </c>
      <c r="Z84" s="77">
        <f>DATA!AG75</f>
        <v>0</v>
      </c>
      <c r="AA84" s="20" t="str">
        <f>DATA!AH75</f>
        <v>Tanpa keterangan</v>
      </c>
      <c r="AB84" s="37" t="str">
        <f>DATA!AI75</f>
        <v>-</v>
      </c>
      <c r="AC84" s="37"/>
      <c r="AD84" s="37"/>
      <c r="AE84" s="37"/>
      <c r="AF84" s="37"/>
      <c r="AG84" s="37"/>
      <c r="AH84" s="37"/>
      <c r="AI84" s="37"/>
      <c r="AJ84" s="37" t="str">
        <f>DATA!AJ75</f>
        <v>FS, DED, LARAP</v>
      </c>
      <c r="AK84" s="37" t="str">
        <f>DATA!AK75</f>
        <v>-</v>
      </c>
      <c r="AL84" s="37" t="str">
        <f>DATA!AL75</f>
        <v>-</v>
      </c>
      <c r="AM84" s="20" t="str">
        <f>DATA!AR75</f>
        <v>belum ada dokumen R/C</v>
      </c>
      <c r="AN84" s="20" t="str">
        <f>DATA!AN75</f>
        <v>dalam proses
(memiliki FS dan DED)</v>
      </c>
      <c r="AO84" s="20" t="str">
        <f>DATA!AO75</f>
        <v>belum ada keterangan</v>
      </c>
      <c r="AP84" s="20" t="str">
        <f>DATA!AP75</f>
        <v>belum ada proses tender/lelang</v>
      </c>
      <c r="AQ84" s="20" t="str">
        <f>DATA!AY75</f>
        <v>- dengan skema RBL
- Konfirmasi melalui surat Sekjen nomor KU.01.12-Sj/636 tgl 23 Oktober 2015</v>
      </c>
      <c r="AR84" s="20" t="e">
        <f>DATA!#REF!</f>
        <v>#REF!</v>
      </c>
      <c r="AS84" s="20" t="str">
        <f>DATA!AZ75</f>
        <v>JICA&amp;IDB diindikasikan akan mendanai kegiatan ini namun belum ada keputusan</v>
      </c>
      <c r="AT84" s="37" t="str">
        <f>DATA!BA75</f>
        <v>Pembahasan lahan dan relokasi, pengadaan, pembangunan bangunan utama, pembangunan jaringan irigasi seluas ±100.000 Ha, pencetakan lahan sawah, dan penyusunan O&amp;P</v>
      </c>
    </row>
    <row r="85" spans="1:46" ht="51">
      <c r="A85" s="10">
        <f>DATA!A76</f>
        <v>58</v>
      </c>
      <c r="B85" s="10">
        <f>DATA!B76</f>
        <v>0</v>
      </c>
      <c r="C85" s="10" t="str">
        <f>DATA!D76</f>
        <v>INFRASTRUKTUR</v>
      </c>
      <c r="D85" s="10">
        <f>DATA!E76</f>
        <v>1</v>
      </c>
      <c r="E85" s="10" t="str">
        <f>DATA!F76</f>
        <v>Kementerian Pekerjaan Umum dan Perumahan Rakyat</v>
      </c>
      <c r="F85" s="10" t="str">
        <f>DATA!H76</f>
        <v xml:space="preserve">Development and Management of Irrigation Program </v>
      </c>
      <c r="G85" s="10" t="str">
        <f>DATA!I76</f>
        <v>I</v>
      </c>
      <c r="H85" s="10" t="str">
        <f>DATA!J76</f>
        <v>Program Pengembangan dan Pengelolaan Irigasi</v>
      </c>
      <c r="I85" s="10">
        <f>DATA!K76</f>
        <v>6</v>
      </c>
      <c r="J85" s="33"/>
      <c r="K85" s="34"/>
      <c r="L85" s="34"/>
      <c r="M85" s="36">
        <f>DATA!K76</f>
        <v>6</v>
      </c>
      <c r="N85" s="37" t="str">
        <f>DATA!L76</f>
        <v>Integrated Participatory Development and Management of Lhok Guci and Peureulak Irrigation Project</v>
      </c>
      <c r="O85" s="20">
        <f>DATA!Q76</f>
        <v>1</v>
      </c>
      <c r="P85" s="20">
        <f>DATA!R76</f>
        <v>1</v>
      </c>
      <c r="Q85" s="20">
        <f>DATA!S76</f>
        <v>49</v>
      </c>
      <c r="R85" s="77">
        <f>DATA!T76</f>
        <v>161298000</v>
      </c>
      <c r="S85" s="77"/>
      <c r="T85" s="77">
        <f>DATA!V76</f>
        <v>24195000</v>
      </c>
      <c r="U85" s="77">
        <f>DATA!W76</f>
        <v>0</v>
      </c>
      <c r="V85" s="77">
        <f>DATA!X76</f>
        <v>185493000</v>
      </c>
      <c r="W85" s="78" t="str">
        <f>DATA!Y76</f>
        <v>ADB</v>
      </c>
      <c r="X85" s="20" t="str">
        <f>DATA!Z76</f>
        <v>Multilateral</v>
      </c>
      <c r="Y85" s="77">
        <f>DATA!AA76</f>
        <v>161298000</v>
      </c>
      <c r="Z85" s="77">
        <f>DATA!AG76</f>
        <v>0</v>
      </c>
      <c r="AA85" s="20" t="str">
        <f>DATA!AH76</f>
        <v>Tanpa keterangan</v>
      </c>
      <c r="AB85" s="37" t="str">
        <f>DATA!AI76</f>
        <v>-</v>
      </c>
      <c r="AC85" s="37"/>
      <c r="AD85" s="37"/>
      <c r="AE85" s="37"/>
      <c r="AF85" s="37"/>
      <c r="AG85" s="37"/>
      <c r="AH85" s="37"/>
      <c r="AI85" s="37"/>
      <c r="AJ85" s="37" t="str">
        <f>DATA!AJ76</f>
        <v>FS, DED, LARAP</v>
      </c>
      <c r="AK85" s="37" t="str">
        <f>DATA!AK76</f>
        <v>-</v>
      </c>
      <c r="AL85" s="37" t="str">
        <f>DATA!AL76</f>
        <v>-</v>
      </c>
      <c r="AM85" s="20" t="str">
        <f>DATA!AR76</f>
        <v>belum ada dokumen R/C</v>
      </c>
      <c r="AN85" s="20" t="str">
        <f>DATA!AN76</f>
        <v>dalam proses
(memiliki FS dan DED)</v>
      </c>
      <c r="AO85" s="20" t="str">
        <f>DATA!AO76</f>
        <v>belum ada keterangan</v>
      </c>
      <c r="AP85" s="20" t="str">
        <f>DATA!AP76</f>
        <v>belum ada proses tender/lelang</v>
      </c>
      <c r="AQ85" s="20" t="str">
        <f>DATA!AY76</f>
        <v>- dengan skema RBL
- Konfirmasi melalui surat Sekjen nomor KU.01.12-Sj/636 tgl 23 Oktober 2015</v>
      </c>
      <c r="AR85" s="20" t="e">
        <f>DATA!#REF!</f>
        <v>#REF!</v>
      </c>
      <c r="AS85" s="20" t="str">
        <f>DATA!AZ76</f>
        <v>JICA&amp;IDB diindikasikan akan mendanai kegiatan ini namun belum ada keputusan</v>
      </c>
      <c r="AT85" s="37" t="str">
        <f>DATA!BA76</f>
        <v>Mendukung pengembangan terpadu fasilitas irigasi 18.542 Ha (lhok guci)  dan 5.000 Ha (peureulak) dengan SID partisipatif, konstruksi, dan operasi pemeliharaan.</v>
      </c>
    </row>
    <row r="86" spans="1:46" ht="88.5" customHeight="1">
      <c r="A86" s="10">
        <f>DATA!A77</f>
        <v>59</v>
      </c>
      <c r="B86" s="10">
        <f>DATA!B77</f>
        <v>0</v>
      </c>
      <c r="C86" s="10" t="str">
        <f>DATA!D77</f>
        <v>INFRASTRUKTUR</v>
      </c>
      <c r="D86" s="10">
        <f>DATA!E77</f>
        <v>1</v>
      </c>
      <c r="E86" s="10" t="str">
        <f>DATA!F77</f>
        <v>Kementerian Pekerjaan Umum dan Perumahan Rakyat</v>
      </c>
      <c r="F86" s="10" t="str">
        <f>DATA!H77</f>
        <v xml:space="preserve">Development and Management of Irrigation Program </v>
      </c>
      <c r="G86" s="10" t="str">
        <f>DATA!I77</f>
        <v>I</v>
      </c>
      <c r="H86" s="10" t="str">
        <f>DATA!J77</f>
        <v>Program Pengembangan dan Pengelolaan Irigasi</v>
      </c>
      <c r="I86" s="10">
        <f>DATA!K77</f>
        <v>7</v>
      </c>
      <c r="J86" s="33"/>
      <c r="K86" s="34"/>
      <c r="L86" s="34"/>
      <c r="M86" s="36">
        <f>DATA!K77</f>
        <v>7</v>
      </c>
      <c r="N86" s="37" t="str">
        <f>DATA!L77</f>
        <v>Modernization Strategic Irrigation Project (MSIP)</v>
      </c>
      <c r="O86" s="20">
        <f>DATA!Q77</f>
        <v>1</v>
      </c>
      <c r="P86" s="20">
        <f>DATA!R77</f>
        <v>1</v>
      </c>
      <c r="Q86" s="20">
        <f>DATA!S77</f>
        <v>50</v>
      </c>
      <c r="R86" s="77">
        <f>DATA!T77</f>
        <v>278355000</v>
      </c>
      <c r="S86" s="77"/>
      <c r="T86" s="77">
        <f>DATA!V77</f>
        <v>28000000</v>
      </c>
      <c r="U86" s="77">
        <f>DATA!W77</f>
        <v>0</v>
      </c>
      <c r="V86" s="77">
        <f>DATA!X77</f>
        <v>306355000</v>
      </c>
      <c r="W86" s="78" t="str">
        <f>DATA!Y77</f>
        <v>JICA</v>
      </c>
      <c r="X86" s="20" t="str">
        <f>DATA!Z77</f>
        <v>Bilateral</v>
      </c>
      <c r="Y86" s="77">
        <f>DATA!AA77</f>
        <v>278355000</v>
      </c>
      <c r="Z86" s="77">
        <f>DATA!AG77</f>
        <v>0</v>
      </c>
      <c r="AA86" s="20">
        <f>DATA!AH77</f>
        <v>2017</v>
      </c>
      <c r="AB86" s="37" t="str">
        <f>DATA!AI77</f>
        <v>-</v>
      </c>
      <c r="AC86" s="37"/>
      <c r="AD86" s="37"/>
      <c r="AE86" s="37"/>
      <c r="AF86" s="37"/>
      <c r="AG86" s="37"/>
      <c r="AH86" s="37"/>
      <c r="AI86" s="37"/>
      <c r="AJ86" s="37" t="str">
        <f>DATA!AJ77</f>
        <v>-</v>
      </c>
      <c r="AK86" s="37" t="str">
        <f>DATA!AK77</f>
        <v>-</v>
      </c>
      <c r="AL86" s="37" t="str">
        <f>DATA!AL77</f>
        <v>-</v>
      </c>
      <c r="AM86" s="20" t="str">
        <f>DATA!AR77</f>
        <v>belum ada dokumen R/C</v>
      </c>
      <c r="AN86" s="20" t="str">
        <f>DATA!AN77</f>
        <v>belum ada keterangan</v>
      </c>
      <c r="AO86" s="20" t="str">
        <f>DATA!AO77</f>
        <v>belum ada keterangan</v>
      </c>
      <c r="AP86" s="20" t="str">
        <f>DATA!AP77</f>
        <v>belum ada proses tender/lelang</v>
      </c>
      <c r="AQ86" s="20" t="str">
        <f>DATA!AY77</f>
        <v>Konfirmasi melalui surat Sekjen nomor KU.01.12-Sj/636 tgl 23 Oktober 2015</v>
      </c>
      <c r="AR86" s="20" t="e">
        <f>DATA!#REF!</f>
        <v>#REF!</v>
      </c>
      <c r="AS86" s="20">
        <f>DATA!AZ77</f>
        <v>0</v>
      </c>
      <c r="AT86" s="37"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row>
    <row r="87" spans="1:46" ht="102">
      <c r="A87" s="10">
        <f>DATA!A78</f>
        <v>60</v>
      </c>
      <c r="B87" s="10">
        <f>DATA!B78</f>
        <v>0</v>
      </c>
      <c r="C87" s="10" t="str">
        <f>DATA!D78</f>
        <v>INFRASTRUKTUR</v>
      </c>
      <c r="D87" s="10">
        <f>DATA!E78</f>
        <v>1</v>
      </c>
      <c r="E87" s="10" t="str">
        <f>DATA!F78</f>
        <v>Kementerian Pekerjaan Umum dan Perumahan Rakyat</v>
      </c>
      <c r="F87" s="10" t="str">
        <f>DATA!H78</f>
        <v xml:space="preserve">Development and Management of Irrigation Program </v>
      </c>
      <c r="G87" s="10" t="str">
        <f>DATA!I78</f>
        <v>I</v>
      </c>
      <c r="H87" s="10" t="str">
        <f>DATA!J78</f>
        <v>Program Pengembangan dan Pengelolaan Irigasi</v>
      </c>
      <c r="I87" s="10">
        <f>DATA!K78</f>
        <v>8</v>
      </c>
      <c r="J87" s="33"/>
      <c r="K87" s="34"/>
      <c r="L87" s="34"/>
      <c r="M87" s="36">
        <f>DATA!K78</f>
        <v>8</v>
      </c>
      <c r="N87" s="37" t="str">
        <f>DATA!L78</f>
        <v>Urgent Rehabilitation of  Irrigation Project in Indonesia (URIP)</v>
      </c>
      <c r="O87" s="20">
        <f>DATA!Q78</f>
        <v>1</v>
      </c>
      <c r="P87" s="20">
        <f>DATA!R78</f>
        <v>1</v>
      </c>
      <c r="Q87" s="20">
        <f>DATA!S78</f>
        <v>51</v>
      </c>
      <c r="R87" s="77">
        <f>DATA!T78</f>
        <v>272100000</v>
      </c>
      <c r="S87" s="77"/>
      <c r="T87" s="77">
        <f>DATA!V78</f>
        <v>40815000</v>
      </c>
      <c r="U87" s="77">
        <f>DATA!W78</f>
        <v>0</v>
      </c>
      <c r="V87" s="77">
        <f>DATA!X78</f>
        <v>312915000</v>
      </c>
      <c r="W87" s="78" t="str">
        <f>DATA!Y78</f>
        <v>Bank Dunia</v>
      </c>
      <c r="X87" s="20" t="str">
        <f>DATA!Z78</f>
        <v>Multilateral</v>
      </c>
      <c r="Y87" s="77">
        <f>DATA!AA78</f>
        <v>272100000</v>
      </c>
      <c r="Z87" s="77">
        <f>DATA!AG78</f>
        <v>0</v>
      </c>
      <c r="AA87" s="20" t="str">
        <f>DATA!AH78</f>
        <v>Tanpa keterangan</v>
      </c>
      <c r="AB87" s="37" t="str">
        <f>DATA!AI78</f>
        <v>-</v>
      </c>
      <c r="AC87" s="37"/>
      <c r="AD87" s="37"/>
      <c r="AE87" s="37"/>
      <c r="AF87" s="37"/>
      <c r="AG87" s="37"/>
      <c r="AH87" s="37"/>
      <c r="AI87" s="37"/>
      <c r="AJ87" s="37" t="str">
        <f>DATA!AJ78</f>
        <v>-</v>
      </c>
      <c r="AK87" s="37" t="str">
        <f>DATA!AK78</f>
        <v>-</v>
      </c>
      <c r="AL87" s="37" t="str">
        <f>DATA!AL78</f>
        <v>-</v>
      </c>
      <c r="AM87" s="20" t="str">
        <f>DATA!AR78</f>
        <v>belum ada dokumen R/C</v>
      </c>
      <c r="AN87" s="20" t="str">
        <f>DATA!AN78</f>
        <v>belum ada keterangan</v>
      </c>
      <c r="AO87" s="20" t="str">
        <f>DATA!AO78</f>
        <v>belum ada keterangan</v>
      </c>
      <c r="AP87" s="20" t="str">
        <f>DATA!AP78</f>
        <v>belum ada proses tender/lelang</v>
      </c>
      <c r="AQ87" s="20" t="str">
        <f>DATA!AY78</f>
        <v>Konfirmasi melalui surat Sekjen nomor KU.01.12-Sj/636 tgl 23 Oktober 2015</v>
      </c>
      <c r="AR87" s="20" t="e">
        <f>DATA!#REF!</f>
        <v>#REF!</v>
      </c>
      <c r="AS87" s="20" t="str">
        <f>DATA!AZ78</f>
        <v xml:space="preserve">Belum ada pembicaraan dgn Bank Dunia </v>
      </c>
      <c r="AT87" s="37"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row>
    <row r="88" spans="1:46" ht="69" customHeight="1">
      <c r="A88" s="10">
        <f>DATA!A79</f>
        <v>61</v>
      </c>
      <c r="B88" s="10">
        <f>DATA!B79</f>
        <v>0</v>
      </c>
      <c r="C88" s="10" t="str">
        <f>DATA!D79</f>
        <v>INFRASTRUKTUR</v>
      </c>
      <c r="D88" s="10">
        <f>DATA!E79</f>
        <v>1</v>
      </c>
      <c r="E88" s="10" t="str">
        <f>DATA!F79</f>
        <v>Kementerian Pekerjaan Umum dan Perumahan Rakyat</v>
      </c>
      <c r="F88" s="10" t="str">
        <f>DATA!H79</f>
        <v xml:space="preserve">Development and Management of Irrigation Program </v>
      </c>
      <c r="G88" s="10" t="str">
        <f>DATA!I79</f>
        <v>I</v>
      </c>
      <c r="H88" s="10" t="str">
        <f>DATA!J79</f>
        <v>Program Pengembangan dan Pengelolaan Irigasi</v>
      </c>
      <c r="I88" s="10">
        <f>DATA!K79</f>
        <v>9</v>
      </c>
      <c r="J88" s="33"/>
      <c r="K88" s="34"/>
      <c r="L88" s="34"/>
      <c r="M88" s="36">
        <f>DATA!K79</f>
        <v>9</v>
      </c>
      <c r="N88" s="37" t="str">
        <f>DATA!L79</f>
        <v>Revitalization Groundwater Irrigation in Indonesia</v>
      </c>
      <c r="O88" s="20">
        <f>DATA!Q79</f>
        <v>1</v>
      </c>
      <c r="P88" s="20">
        <f>DATA!R79</f>
        <v>1</v>
      </c>
      <c r="Q88" s="20">
        <f>DATA!S79</f>
        <v>52</v>
      </c>
      <c r="R88" s="77">
        <f>DATA!T79</f>
        <v>100000000</v>
      </c>
      <c r="S88" s="77"/>
      <c r="T88" s="77">
        <f>DATA!V79</f>
        <v>10000000</v>
      </c>
      <c r="U88" s="77">
        <f>DATA!W79</f>
        <v>0</v>
      </c>
      <c r="V88" s="77">
        <f>DATA!X79</f>
        <v>110000000</v>
      </c>
      <c r="W88" s="78" t="str">
        <f>DATA!Y79</f>
        <v>JICA</v>
      </c>
      <c r="X88" s="20" t="str">
        <f>DATA!Z79</f>
        <v>Bilateral</v>
      </c>
      <c r="Y88" s="77">
        <f>DATA!AA79</f>
        <v>100000000</v>
      </c>
      <c r="Z88" s="77">
        <f>DATA!AG79</f>
        <v>0</v>
      </c>
      <c r="AA88" s="20">
        <f>DATA!AH79</f>
        <v>2017</v>
      </c>
      <c r="AB88" s="37" t="str">
        <f>DATA!AI79</f>
        <v>-</v>
      </c>
      <c r="AC88" s="37"/>
      <c r="AD88" s="37"/>
      <c r="AE88" s="37"/>
      <c r="AF88" s="37"/>
      <c r="AG88" s="37"/>
      <c r="AH88" s="37"/>
      <c r="AI88" s="37"/>
      <c r="AJ88" s="37" t="str">
        <f>DATA!AJ79</f>
        <v>-</v>
      </c>
      <c r="AK88" s="37" t="str">
        <f>DATA!AK79</f>
        <v>-</v>
      </c>
      <c r="AL88" s="37" t="str">
        <f>DATA!AL79</f>
        <v>-</v>
      </c>
      <c r="AM88" s="20" t="str">
        <f>DATA!AR79</f>
        <v>belum ada dokumen R/C</v>
      </c>
      <c r="AN88" s="20" t="str">
        <f>DATA!AN79</f>
        <v>belum ada keterangan</v>
      </c>
      <c r="AO88" s="20" t="str">
        <f>DATA!AO79</f>
        <v>belum ada keterangan</v>
      </c>
      <c r="AP88" s="20" t="str">
        <f>DATA!AP79</f>
        <v>belum ada proses tender/lelang</v>
      </c>
      <c r="AQ88" s="20" t="str">
        <f>DATA!AY79</f>
        <v>Konfirmasi melalui surat Sekjen nomor KU.01.12-Sj/636 tgl 23 Oktober 2015</v>
      </c>
      <c r="AR88" s="20" t="e">
        <f>DATA!#REF!</f>
        <v>#REF!</v>
      </c>
      <c r="AS88" s="20">
        <f>DATA!AZ79</f>
        <v>0</v>
      </c>
      <c r="AT88" s="37" t="str">
        <f>DATA!BA79</f>
        <v>Kegiatan review desain dan kegiatan konstruksi  meliputi: rehabilitasi 772 sumur, perbaikan pipa distribusi air tanah 1.618 km, perbaikan bangunan rumah pompa, penggantian mesin pompa dan atau penggerak</v>
      </c>
    </row>
    <row r="89" spans="1:46" ht="96" customHeight="1">
      <c r="A89" s="10">
        <f>DATA!A80</f>
        <v>62</v>
      </c>
      <c r="B89" s="10">
        <f>DATA!B80</f>
        <v>0</v>
      </c>
      <c r="C89" s="10" t="str">
        <f>DATA!D80</f>
        <v>INFRASTRUKTUR</v>
      </c>
      <c r="D89" s="10">
        <f>DATA!E80</f>
        <v>1</v>
      </c>
      <c r="E89" s="10" t="str">
        <f>DATA!F80</f>
        <v>Kementerian Pekerjaan Umum dan Perumahan Rakyat</v>
      </c>
      <c r="F89" s="10" t="str">
        <f>DATA!H80</f>
        <v xml:space="preserve">Development and Management of Irrigation Program </v>
      </c>
      <c r="G89" s="10" t="str">
        <f>DATA!I80</f>
        <v>I</v>
      </c>
      <c r="H89" s="10" t="str">
        <f>DATA!J80</f>
        <v>Program Pengembangan dan Pengelolaan Irigasi</v>
      </c>
      <c r="I89" s="10">
        <f>DATA!K80</f>
        <v>10</v>
      </c>
      <c r="J89" s="33"/>
      <c r="K89" s="34"/>
      <c r="L89" s="54"/>
      <c r="M89" s="36">
        <f>DATA!K80</f>
        <v>10</v>
      </c>
      <c r="N89" s="37" t="str">
        <f>DATA!L80</f>
        <v>Engineering Service for Irrigation and Low Land Development Project</v>
      </c>
      <c r="O89" s="20">
        <f>DATA!Q80</f>
        <v>1</v>
      </c>
      <c r="P89" s="20">
        <f>DATA!R80</f>
        <v>1</v>
      </c>
      <c r="Q89" s="20">
        <f>DATA!S80</f>
        <v>53</v>
      </c>
      <c r="R89" s="77">
        <f>DATA!T80</f>
        <v>100000000</v>
      </c>
      <c r="S89" s="77"/>
      <c r="T89" s="77">
        <f>DATA!V80</f>
        <v>0</v>
      </c>
      <c r="U89" s="77">
        <f>DATA!W80</f>
        <v>0</v>
      </c>
      <c r="V89" s="77">
        <f>DATA!X80</f>
        <v>100000000</v>
      </c>
      <c r="W89" s="78" t="str">
        <f>DATA!Y80</f>
        <v>ADB</v>
      </c>
      <c r="X89" s="20" t="str">
        <f>DATA!Z80</f>
        <v>Multilateral</v>
      </c>
      <c r="Y89" s="77">
        <f>DATA!AA80</f>
        <v>100000000</v>
      </c>
      <c r="Z89" s="77">
        <f>DATA!AG80</f>
        <v>0</v>
      </c>
      <c r="AA89" s="20">
        <f>DATA!AH80</f>
        <v>2016</v>
      </c>
      <c r="AB89" s="37" t="str">
        <f>DATA!AI80</f>
        <v>- Sudah ada RC- Green Book 2015</v>
      </c>
      <c r="AC89" s="37"/>
      <c r="AD89" s="37"/>
      <c r="AE89" s="37"/>
      <c r="AF89" s="37"/>
      <c r="AG89" s="37"/>
      <c r="AH89" s="37"/>
      <c r="AI89" s="37"/>
      <c r="AJ89" s="37" t="str">
        <f>DATA!AJ80</f>
        <v>FS, DED</v>
      </c>
      <c r="AK89" s="37" t="str">
        <f>DATA!AK80</f>
        <v>Tidak membutuhkan lahan</v>
      </c>
      <c r="AL89" s="37" t="str">
        <f>DATA!AL80</f>
        <v>Belum ada tender/lelang</v>
      </c>
      <c r="AM89" s="20" t="str">
        <f>DATA!AR80</f>
        <v>- sudah GB 2016  
- Nilai pinjaman di GB 38.100 ribu</v>
      </c>
      <c r="AN89" s="20" t="str">
        <f>DATA!AN80</f>
        <v>siap</v>
      </c>
      <c r="AO89" s="20" t="str">
        <f>DATA!AO80</f>
        <v>tidak butuh lahan</v>
      </c>
      <c r="AP89" s="20" t="str">
        <f>DATA!AP80</f>
        <v>belum ada proses tender/lelang</v>
      </c>
      <c r="AQ89"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R89" s="20" t="e">
        <f>DATA!#REF!</f>
        <v>#REF!</v>
      </c>
      <c r="AS89" s="20">
        <f>DATA!AZ80</f>
        <v>0</v>
      </c>
      <c r="AT89" s="37"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row>
    <row r="90" spans="1:46" s="5" customFormat="1" ht="33.75" customHeight="1">
      <c r="J90" s="28"/>
      <c r="K90" s="50"/>
      <c r="L90" s="30" t="str">
        <f>DATA!I81</f>
        <v>J</v>
      </c>
      <c r="M90" s="31" t="str">
        <f>DATA!J81</f>
        <v xml:space="preserve">Program Penyediaan dan Pengelolaan Air Baku </v>
      </c>
      <c r="N90" s="51"/>
      <c r="O90" s="31"/>
      <c r="P90" s="31"/>
      <c r="Q90" s="31"/>
      <c r="R90" s="81">
        <f>SUM(R91:R93)</f>
        <v>623862000</v>
      </c>
      <c r="S90" s="81"/>
      <c r="T90" s="81">
        <f t="shared" ref="T90:Z90" si="4">SUM(T91:T93)</f>
        <v>201074000</v>
      </c>
      <c r="U90" s="81">
        <f t="shared" si="4"/>
        <v>0</v>
      </c>
      <c r="V90" s="81">
        <f t="shared" si="4"/>
        <v>824936000</v>
      </c>
      <c r="W90" s="81"/>
      <c r="X90" s="81">
        <f t="shared" si="4"/>
        <v>0</v>
      </c>
      <c r="Y90" s="81">
        <f t="shared" si="4"/>
        <v>623862000</v>
      </c>
      <c r="Z90" s="81">
        <f t="shared" si="4"/>
        <v>0</v>
      </c>
      <c r="AA90" s="31"/>
      <c r="AB90" s="32"/>
      <c r="AC90" s="32"/>
      <c r="AD90" s="32"/>
      <c r="AE90" s="32"/>
      <c r="AF90" s="32"/>
      <c r="AG90" s="32"/>
      <c r="AH90" s="32"/>
      <c r="AI90" s="32"/>
      <c r="AJ90" s="32"/>
      <c r="AK90" s="32"/>
      <c r="AL90" s="32"/>
      <c r="AM90" s="31"/>
      <c r="AN90" s="31"/>
      <c r="AO90" s="31"/>
      <c r="AP90" s="31"/>
      <c r="AQ90" s="31"/>
      <c r="AR90" s="31"/>
      <c r="AS90" s="31"/>
      <c r="AT90" s="32"/>
    </row>
    <row r="91" spans="1:46" ht="58.5" customHeight="1">
      <c r="A91" s="10">
        <f>DATA!A81</f>
        <v>63</v>
      </c>
      <c r="B91" s="10">
        <f>DATA!B81</f>
        <v>0</v>
      </c>
      <c r="C91" s="10" t="str">
        <f>DATA!D81</f>
        <v>INFRASTRUKTUR</v>
      </c>
      <c r="D91" s="10">
        <f>DATA!E81</f>
        <v>1</v>
      </c>
      <c r="E91" s="10" t="str">
        <f>DATA!F81</f>
        <v>Kementerian Pekerjaan Umum dan Perumahan Rakyat</v>
      </c>
      <c r="F91" s="10" t="str">
        <f>DATA!H81</f>
        <v>Provision and Management of Bulk Water Supply Program</v>
      </c>
      <c r="G91" s="10" t="str">
        <f>DATA!I81</f>
        <v>J</v>
      </c>
      <c r="H91" s="10" t="str">
        <f>DATA!J81</f>
        <v xml:space="preserve">Program Penyediaan dan Pengelolaan Air Baku </v>
      </c>
      <c r="I91" s="10">
        <f>DATA!K81</f>
        <v>1</v>
      </c>
      <c r="J91" s="33"/>
      <c r="K91" s="34"/>
      <c r="L91" s="35"/>
      <c r="M91" s="36">
        <f>DATA!K81</f>
        <v>1</v>
      </c>
      <c r="N91" s="37" t="str">
        <f>DATA!L81</f>
        <v>Integrated Citarum Water Resources Management Investment Program II</v>
      </c>
      <c r="O91" s="20">
        <f>DATA!Q81</f>
        <v>1</v>
      </c>
      <c r="P91" s="20">
        <f>DATA!R81</f>
        <v>1</v>
      </c>
      <c r="Q91" s="20">
        <f>DATA!S81</f>
        <v>54</v>
      </c>
      <c r="R91" s="77">
        <f>DATA!T81</f>
        <v>200000000</v>
      </c>
      <c r="S91" s="77"/>
      <c r="T91" s="77">
        <f>DATA!V81</f>
        <v>20000000</v>
      </c>
      <c r="U91" s="77">
        <f>DATA!W81</f>
        <v>0</v>
      </c>
      <c r="V91" s="77">
        <f>DATA!X81</f>
        <v>220000000</v>
      </c>
      <c r="W91" s="78" t="str">
        <f>DATA!Y81</f>
        <v>ADB</v>
      </c>
      <c r="X91" s="20" t="str">
        <f>DATA!Z81</f>
        <v>Multilateral</v>
      </c>
      <c r="Y91" s="77">
        <f>DATA!AA81</f>
        <v>200000000</v>
      </c>
      <c r="Z91" s="77">
        <f>DATA!AG81</f>
        <v>0</v>
      </c>
      <c r="AA91" s="20" t="str">
        <f>DATA!AH81</f>
        <v>Tanpa keterangan</v>
      </c>
      <c r="AB91" s="37" t="str">
        <f>DATA!AI81</f>
        <v>-</v>
      </c>
      <c r="AC91" s="37"/>
      <c r="AD91" s="37"/>
      <c r="AE91" s="37"/>
      <c r="AF91" s="37"/>
      <c r="AG91" s="37"/>
      <c r="AH91" s="37"/>
      <c r="AI91" s="37"/>
      <c r="AJ91" s="37" t="str">
        <f>DATA!AJ81</f>
        <v>FS, DED</v>
      </c>
      <c r="AK91" s="37" t="str">
        <f>DATA!AK81</f>
        <v>Penyusunan dokumen LARAP</v>
      </c>
      <c r="AL91" s="37" t="str">
        <f>DATA!AL81</f>
        <v>-</v>
      </c>
      <c r="AM91" s="20" t="str">
        <f>DATA!AR81</f>
        <v>belum ada dokumen R/C</v>
      </c>
      <c r="AN91" s="20" t="str">
        <f>DATA!AN81</f>
        <v>dalam proses
(memiliki FS dan DED)</v>
      </c>
      <c r="AO91" s="20" t="str">
        <f>DATA!AO81</f>
        <v>dalam proses
(perencanaan)</v>
      </c>
      <c r="AP91" s="20" t="str">
        <f>DATA!AP81</f>
        <v>belum ada proses tender/lelang</v>
      </c>
      <c r="AQ91" s="20" t="str">
        <f>DATA!AY81</f>
        <v>Konfirmasi melalui surat Sekjen nomor KU.01.12-Sj/636 tgl 23 Oktober 2015</v>
      </c>
      <c r="AR91" s="20" t="e">
        <f>DATA!#REF!</f>
        <v>#REF!</v>
      </c>
      <c r="AS91" s="20" t="str">
        <f>DATA!AZ81</f>
        <v>ada penolakan dari ADB untuk membiayai kegiatan ini (info P'Dewo)</v>
      </c>
      <c r="AT91" s="37" t="str">
        <f>DATA!BA81</f>
        <v>Pengembangan air baku di sungai citarum dan sekeliling bandung untuk memenuhi kebutuhan air baku lebih kurang 1,5 m3/det di Bandung serta menghindari erosi sungai Citarum</v>
      </c>
    </row>
    <row r="92" spans="1:46" ht="46.5" customHeight="1">
      <c r="A92" s="10">
        <f>DATA!A82</f>
        <v>64</v>
      </c>
      <c r="B92" s="10">
        <f>DATA!B82</f>
        <v>0</v>
      </c>
      <c r="C92" s="10" t="str">
        <f>DATA!D82</f>
        <v>INFRASTRUKTUR</v>
      </c>
      <c r="D92" s="10">
        <f>DATA!E82</f>
        <v>1</v>
      </c>
      <c r="E92" s="10" t="str">
        <f>DATA!F82</f>
        <v>Kementerian Pekerjaan Umum dan Perumahan Rakyat</v>
      </c>
      <c r="F92" s="10" t="str">
        <f>DATA!H82</f>
        <v>Provision and Management of Bulk Water Supply Program</v>
      </c>
      <c r="G92" s="10" t="str">
        <f>DATA!I82</f>
        <v>I</v>
      </c>
      <c r="H92" s="10" t="str">
        <f>DATA!J82</f>
        <v xml:space="preserve">Program Penyediaan dan Pengelolaan Air Baku </v>
      </c>
      <c r="I92" s="10">
        <f>DATA!K82</f>
        <v>2</v>
      </c>
      <c r="J92" s="33"/>
      <c r="K92" s="34"/>
      <c r="L92" s="34"/>
      <c r="M92" s="36">
        <f>DATA!K82</f>
        <v>2</v>
      </c>
      <c r="N92" s="37" t="str">
        <f>DATA!L82</f>
        <v>Karian Dam-Serpong Water Conveyance and Supply System Project</v>
      </c>
      <c r="O92" s="20">
        <f>DATA!Q82</f>
        <v>1</v>
      </c>
      <c r="P92" s="20">
        <f>DATA!R82</f>
        <v>1</v>
      </c>
      <c r="Q92" s="20">
        <f>DATA!S82</f>
        <v>55</v>
      </c>
      <c r="R92" s="77">
        <f>DATA!T82</f>
        <v>373862000</v>
      </c>
      <c r="S92" s="77"/>
      <c r="T92" s="77">
        <f>DATA!V82</f>
        <v>181074000</v>
      </c>
      <c r="U92" s="77">
        <f>DATA!W82</f>
        <v>0</v>
      </c>
      <c r="V92" s="77">
        <f>DATA!X82</f>
        <v>554936000</v>
      </c>
      <c r="W92" s="78" t="str">
        <f>DATA!Y82</f>
        <v>Korea</v>
      </c>
      <c r="X92" s="20" t="str">
        <f>DATA!Z82</f>
        <v>Bilateral</v>
      </c>
      <c r="Y92" s="77">
        <f>DATA!AA82</f>
        <v>373862000</v>
      </c>
      <c r="Z92" s="77">
        <f>DATA!AG82</f>
        <v>0</v>
      </c>
      <c r="AA92" s="20" t="str">
        <f>DATA!AH82</f>
        <v>Tanpa keterangan</v>
      </c>
      <c r="AB92" s="37" t="str">
        <f>DATA!AI82</f>
        <v>-</v>
      </c>
      <c r="AC92" s="37"/>
      <c r="AD92" s="37"/>
      <c r="AE92" s="37"/>
      <c r="AF92" s="37"/>
      <c r="AG92" s="37"/>
      <c r="AH92" s="37"/>
      <c r="AI92" s="37"/>
      <c r="AJ92" s="37" t="str">
        <f>DATA!AJ82</f>
        <v>FS</v>
      </c>
      <c r="AK92" s="37" t="str">
        <f>DATA!AK82</f>
        <v>Persiapan penyusunan dokumen LARAP</v>
      </c>
      <c r="AL92" s="37" t="str">
        <f>DATA!AL82</f>
        <v>-</v>
      </c>
      <c r="AM92" s="20" t="str">
        <f>DATA!AR82</f>
        <v>belum ada dokumen R/C</v>
      </c>
      <c r="AN92" s="20" t="str">
        <f>DATA!AN82</f>
        <v>dalam proses
(memiliki FS)</v>
      </c>
      <c r="AO92" s="20" t="str">
        <f>DATA!AO82</f>
        <v>dalam proses
(perencanaan)</v>
      </c>
      <c r="AP92" s="20" t="str">
        <f>DATA!AP82</f>
        <v>belum ada proses tender/lelang</v>
      </c>
      <c r="AQ92" s="20" t="str">
        <f>DATA!AY82</f>
        <v>Konfirmasi melalui surat Sekjen nomor KU.01.12-Sj/636 tgl 23 Oktober 2015</v>
      </c>
      <c r="AR92" s="20" t="e">
        <f>DATA!#REF!</f>
        <v>#REF!</v>
      </c>
      <c r="AS92" s="20">
        <f>DATA!AZ82</f>
        <v>0</v>
      </c>
      <c r="AT92" s="37" t="str">
        <f>DATA!BA82</f>
        <v>Pembangunan sistem air baku sepanjang 47,9 km dari Bendungan Karian ke Serpong untuk meningkatkan pasokan air di Banten dan Jakarta</v>
      </c>
    </row>
    <row r="93" spans="1:46" ht="57.75" customHeight="1">
      <c r="A93" s="10">
        <f>DATA!A83</f>
        <v>65</v>
      </c>
      <c r="B93" s="10">
        <f>DATA!B83</f>
        <v>0</v>
      </c>
      <c r="C93" s="10" t="str">
        <f>DATA!D83</f>
        <v>INFRASTRUKTUR</v>
      </c>
      <c r="D93" s="10">
        <f>DATA!E83</f>
        <v>1</v>
      </c>
      <c r="E93" s="10" t="str">
        <f>DATA!F83</f>
        <v>Kementerian Pekerjaan Umum dan Perumahan Rakyat</v>
      </c>
      <c r="F93" s="10" t="str">
        <f>DATA!H83</f>
        <v>Provision and Management of Bulk Water Supply Program</v>
      </c>
      <c r="G93" s="10" t="str">
        <f>DATA!I83</f>
        <v>I</v>
      </c>
      <c r="H93" s="10" t="str">
        <f>DATA!J83</f>
        <v xml:space="preserve">Program Penyediaan dan Pengelolaan Air Baku </v>
      </c>
      <c r="I93" s="10">
        <f>DATA!K83</f>
        <v>3</v>
      </c>
      <c r="J93" s="33"/>
      <c r="K93" s="34"/>
      <c r="L93" s="54"/>
      <c r="M93" s="36">
        <f>DATA!K83</f>
        <v>3</v>
      </c>
      <c r="N93" s="37" t="str">
        <f>DATA!L83</f>
        <v>Engineering Service for Bulk Water and Water Supply Development Project</v>
      </c>
      <c r="O93" s="20">
        <f>DATA!Q83</f>
        <v>1</v>
      </c>
      <c r="P93" s="20">
        <f>DATA!R83</f>
        <v>1</v>
      </c>
      <c r="Q93" s="20">
        <f>DATA!S83</f>
        <v>56</v>
      </c>
      <c r="R93" s="77">
        <f>DATA!T83</f>
        <v>50000000</v>
      </c>
      <c r="S93" s="77"/>
      <c r="T93" s="77">
        <f>DATA!V83</f>
        <v>0</v>
      </c>
      <c r="U93" s="77">
        <f>DATA!W83</f>
        <v>0</v>
      </c>
      <c r="V93" s="77">
        <f>DATA!X83</f>
        <v>50000000</v>
      </c>
      <c r="W93" s="78" t="str">
        <f>DATA!Y83</f>
        <v>ADB</v>
      </c>
      <c r="X93" s="20" t="str">
        <f>DATA!Z83</f>
        <v>Multilateral</v>
      </c>
      <c r="Y93" s="77">
        <f>DATA!AA83</f>
        <v>50000000</v>
      </c>
      <c r="Z93" s="77">
        <f>DATA!AG83</f>
        <v>0</v>
      </c>
      <c r="AA93" s="20">
        <f>DATA!AH83</f>
        <v>2016</v>
      </c>
      <c r="AB93" s="37" t="str">
        <f>DATA!AI83</f>
        <v>- Sudah ada RC
- Green Book 2015</v>
      </c>
      <c r="AC93" s="37"/>
      <c r="AD93" s="37"/>
      <c r="AE93" s="37"/>
      <c r="AF93" s="37"/>
      <c r="AG93" s="37"/>
      <c r="AH93" s="37"/>
      <c r="AI93" s="37"/>
      <c r="AJ93" s="37" t="str">
        <f>DATA!AJ83</f>
        <v>FS, DED</v>
      </c>
      <c r="AK93" s="37" t="str">
        <f>DATA!AK83</f>
        <v>Tidak membutuhkan lahan</v>
      </c>
      <c r="AL93" s="37" t="str">
        <f>DATA!AL83</f>
        <v>Belum ada tender/lelang</v>
      </c>
      <c r="AM93" s="20" t="str">
        <f>DATA!AR83</f>
        <v>- sudah GB 2016  
- Nilai pinjaman di GB USD 2.000 ribu</v>
      </c>
      <c r="AN93" s="20" t="str">
        <f>DATA!AN83</f>
        <v>siap</v>
      </c>
      <c r="AO93" s="20" t="str">
        <f>DATA!AO83</f>
        <v>tidak butuh lahan</v>
      </c>
      <c r="AP93" s="20" t="str">
        <f>DATA!AP83</f>
        <v>belum ada proses tender/lelang</v>
      </c>
      <c r="AQ93"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R93" s="20" t="e">
        <f>DATA!#REF!</f>
        <v>#REF!</v>
      </c>
      <c r="AS93" s="20">
        <f>DATA!AZ83</f>
        <v>0</v>
      </c>
      <c r="AT93" s="37" t="str">
        <f>DATA!BA83</f>
        <v>Membuat perencanaan dan analisis untuk mendukung pembangunan sistem air baku dan menyediakan fasilitas pendukung pengembangan air baku masyarakat</v>
      </c>
    </row>
    <row r="94" spans="1:46" s="5" customFormat="1" ht="33.75" customHeight="1">
      <c r="J94" s="28"/>
      <c r="K94" s="50"/>
      <c r="L94" s="30" t="str">
        <f>DATA!I84</f>
        <v>J</v>
      </c>
      <c r="M94" s="31" t="str">
        <f>DATA!J84</f>
        <v xml:space="preserve">Program Pembangunan Waduk </v>
      </c>
      <c r="N94" s="51"/>
      <c r="O94" s="31"/>
      <c r="P94" s="31"/>
      <c r="Q94" s="31"/>
      <c r="R94" s="81">
        <f>SUM(R95:R108)</f>
        <v>2133750000</v>
      </c>
      <c r="S94" s="81"/>
      <c r="T94" s="81">
        <f t="shared" ref="T94:Y94" si="5">SUM(T95:T108)</f>
        <v>963200000</v>
      </c>
      <c r="U94" s="81">
        <f t="shared" si="5"/>
        <v>0</v>
      </c>
      <c r="V94" s="81">
        <f t="shared" si="5"/>
        <v>3096950000</v>
      </c>
      <c r="W94" s="81"/>
      <c r="X94" s="81">
        <f t="shared" si="5"/>
        <v>0</v>
      </c>
      <c r="Y94" s="81">
        <f t="shared" si="5"/>
        <v>2233750000</v>
      </c>
      <c r="Z94" s="81">
        <f>SUM(Z95:Z104)</f>
        <v>-76391404</v>
      </c>
      <c r="AA94" s="31"/>
      <c r="AB94" s="32"/>
      <c r="AC94" s="32"/>
      <c r="AD94" s="32"/>
      <c r="AE94" s="32"/>
      <c r="AF94" s="32"/>
      <c r="AG94" s="32"/>
      <c r="AH94" s="32"/>
      <c r="AI94" s="32"/>
      <c r="AJ94" s="32"/>
      <c r="AK94" s="32"/>
      <c r="AL94" s="32"/>
      <c r="AM94" s="31"/>
      <c r="AN94" s="31"/>
      <c r="AO94" s="31"/>
      <c r="AP94" s="31"/>
      <c r="AQ94" s="31"/>
      <c r="AR94" s="31"/>
      <c r="AS94" s="31"/>
      <c r="AT94" s="32"/>
    </row>
    <row r="95" spans="1:46" ht="76.5">
      <c r="A95" s="10">
        <f>DATA!A84</f>
        <v>66</v>
      </c>
      <c r="B95" s="10">
        <f>DATA!B84</f>
        <v>0</v>
      </c>
      <c r="C95" s="10" t="str">
        <f>DATA!D84</f>
        <v>INFRASTRUKTUR</v>
      </c>
      <c r="D95" s="10">
        <f>DATA!E84</f>
        <v>1</v>
      </c>
      <c r="E95" s="10" t="str">
        <f>DATA!F84</f>
        <v>Kementerian Pekerjaan Umum dan Perumahan Rakyat</v>
      </c>
      <c r="F95" s="10" t="str">
        <f>DATA!H84</f>
        <v>Dam Development Program</v>
      </c>
      <c r="G95" s="10" t="str">
        <f>DATA!I84</f>
        <v>J</v>
      </c>
      <c r="H95" s="10" t="str">
        <f>DATA!J84</f>
        <v xml:space="preserve">Program Pembangunan Waduk </v>
      </c>
      <c r="I95" s="10">
        <f>DATA!K84</f>
        <v>1</v>
      </c>
      <c r="J95" s="33"/>
      <c r="K95" s="34"/>
      <c r="L95" s="35"/>
      <c r="M95" s="36">
        <f>DATA!K84</f>
        <v>1</v>
      </c>
      <c r="N95" s="37" t="str">
        <f>DATA!L84</f>
        <v>Jambo Aye Multipurpose Dam Project</v>
      </c>
      <c r="O95" s="20">
        <f>DATA!Q84</f>
        <v>1</v>
      </c>
      <c r="P95" s="20">
        <f>DATA!R84</f>
        <v>1</v>
      </c>
      <c r="Q95" s="20">
        <f>DATA!S84</f>
        <v>57</v>
      </c>
      <c r="R95" s="77">
        <f>DATA!T84</f>
        <v>662200000</v>
      </c>
      <c r="S95" s="77"/>
      <c r="T95" s="77">
        <f>DATA!V84</f>
        <v>460700000</v>
      </c>
      <c r="U95" s="77">
        <f>DATA!W84</f>
        <v>0</v>
      </c>
      <c r="V95" s="77">
        <f>DATA!X84</f>
        <v>1122900000</v>
      </c>
      <c r="W95" s="78" t="str">
        <f>DATA!Y84</f>
        <v>Rupiah Murni</v>
      </c>
      <c r="X95" s="20" t="str">
        <f>DATA!Z84</f>
        <v>Pendanaan Dengan Rupiah Murni</v>
      </c>
      <c r="Y95" s="77">
        <f>DATA!AA84</f>
        <v>662200000</v>
      </c>
      <c r="Z95" s="77">
        <f>DATA!AG84</f>
        <v>0</v>
      </c>
      <c r="AA95" s="20">
        <f>DATA!AH84</f>
        <v>2018</v>
      </c>
      <c r="AB95" s="37" t="str">
        <f>DATA!AI84</f>
        <v>-</v>
      </c>
      <c r="AC95" s="37"/>
      <c r="AD95" s="37"/>
      <c r="AE95" s="37"/>
      <c r="AF95" s="37"/>
      <c r="AG95" s="37"/>
      <c r="AH95" s="37"/>
      <c r="AI95" s="37"/>
      <c r="AJ95" s="37" t="str">
        <f>DATA!AJ84</f>
        <v xml:space="preserve">AMDAL siap dan penyiapan Review DED </v>
      </c>
      <c r="AK95" s="37" t="str">
        <f>DATA!AK84</f>
        <v>LARAP</v>
      </c>
      <c r="AL95" s="37" t="str">
        <f>DATA!AL84</f>
        <v>-</v>
      </c>
      <c r="AM95" s="20" t="str">
        <f>DATA!AR84</f>
        <v>belum ada dokumen R/C</v>
      </c>
      <c r="AN95" s="20" t="str">
        <f>DATA!AN84</f>
        <v>belum ada keterangan</v>
      </c>
      <c r="AO95" s="20" t="str">
        <f>DATA!AO84</f>
        <v>dalam proses
(perencanaan)</v>
      </c>
      <c r="AP95" s="20" t="str">
        <f>DATA!AP84</f>
        <v>belum ada proses tender/lelang</v>
      </c>
      <c r="AQ95" s="20" t="str">
        <f>DATA!AY84</f>
        <v>- Konfirmasi melalui surat Sekjen nomor KU.01.12-Sj/636 tgl 23 Oktober 2015
- Kegiatan akan dilaksanakan oleh pendanaan rupiah murni APBN</v>
      </c>
      <c r="AR95" s="20" t="e">
        <f>DATA!#REF!</f>
        <v>#REF!</v>
      </c>
      <c r="AS95" s="20">
        <f>DATA!AZ84</f>
        <v>0</v>
      </c>
      <c r="AT95" s="37" t="str">
        <f>DATA!BA84</f>
        <v>Meningkatkan luas areal irigasi sebesar ± 10.000 Ha dengan perbaikan akses jalan, relokasi penduduk, pembebasan lahan, pekerajaan pengelakan sungai jambo aye dan reubek, pembangunan bendungan dan pendukung lainnya, pembangunan fasilitas PLTA 106 MW</v>
      </c>
    </row>
    <row r="96" spans="1:46" ht="84" customHeight="1">
      <c r="A96" s="10">
        <f>DATA!A85</f>
        <v>67</v>
      </c>
      <c r="B96" s="10">
        <f>DATA!B85</f>
        <v>0</v>
      </c>
      <c r="C96" s="10" t="str">
        <f>DATA!D85</f>
        <v>INFRASTRUKTUR</v>
      </c>
      <c r="D96" s="10">
        <f>DATA!E85</f>
        <v>1</v>
      </c>
      <c r="E96" s="10" t="str">
        <f>DATA!F85</f>
        <v>Kementerian Pekerjaan Umum dan Perumahan Rakyat</v>
      </c>
      <c r="F96" s="10" t="str">
        <f>DATA!H85</f>
        <v>Dam Development Program</v>
      </c>
      <c r="G96" s="10" t="str">
        <f>DATA!I85</f>
        <v>J</v>
      </c>
      <c r="H96" s="10" t="str">
        <f>DATA!J85</f>
        <v xml:space="preserve">Program Pembangunan Waduk </v>
      </c>
      <c r="I96" s="10">
        <f>DATA!K85</f>
        <v>2</v>
      </c>
      <c r="J96" s="33"/>
      <c r="K96" s="34"/>
      <c r="L96" s="34"/>
      <c r="M96" s="36">
        <f>DATA!K85</f>
        <v>2</v>
      </c>
      <c r="N96" s="37" t="str">
        <f>DATA!L85</f>
        <v>Komering Multipurpose Dam Project - Phase II</v>
      </c>
      <c r="O96" s="20">
        <f>DATA!Q85</f>
        <v>1</v>
      </c>
      <c r="P96" s="20">
        <f>DATA!R85</f>
        <v>1</v>
      </c>
      <c r="Q96" s="20">
        <f>DATA!S85</f>
        <v>58</v>
      </c>
      <c r="R96" s="77">
        <f>DATA!T85</f>
        <v>200000000</v>
      </c>
      <c r="S96" s="77"/>
      <c r="T96" s="77">
        <f>DATA!V85</f>
        <v>20000000</v>
      </c>
      <c r="U96" s="77">
        <f>DATA!W85</f>
        <v>0</v>
      </c>
      <c r="V96" s="77">
        <f>DATA!X85</f>
        <v>220000000</v>
      </c>
      <c r="W96" s="78" t="str">
        <f>DATA!Y85</f>
        <v>Rupiah Murni</v>
      </c>
      <c r="X96" s="20" t="str">
        <f>DATA!Z85</f>
        <v>Pendanaan Dengan Rupiah Murni</v>
      </c>
      <c r="Y96" s="77">
        <f>DATA!AA85</f>
        <v>200000000</v>
      </c>
      <c r="Z96" s="77">
        <f>DATA!AG85</f>
        <v>0</v>
      </c>
      <c r="AA96" s="20">
        <f>DATA!AH85</f>
        <v>2016</v>
      </c>
      <c r="AB96" s="37" t="str">
        <f>DATA!AI85</f>
        <v>-</v>
      </c>
      <c r="AC96" s="37"/>
      <c r="AD96" s="37"/>
      <c r="AE96" s="37"/>
      <c r="AF96" s="37"/>
      <c r="AG96" s="37"/>
      <c r="AH96" s="37"/>
      <c r="AI96" s="37"/>
      <c r="AJ96" s="37" t="str">
        <f>DATA!AJ85</f>
        <v>FS, DED, AMDAL</v>
      </c>
      <c r="AK96" s="37" t="str">
        <f>DATA!AK85</f>
        <v>Revisi RTRW Kabupaten, LARAP</v>
      </c>
      <c r="AL96" s="37" t="str">
        <f>DATA!AL85</f>
        <v>-</v>
      </c>
      <c r="AM96" s="20" t="str">
        <f>DATA!AR85</f>
        <v>belum ada dokumen R/C</v>
      </c>
      <c r="AN96" s="20" t="str">
        <f>DATA!AN85</f>
        <v>dalam proses
(penyusunan FS)</v>
      </c>
      <c r="AO96" s="20" t="str">
        <f>DATA!AO85</f>
        <v>dalam proses
(perencanaan)</v>
      </c>
      <c r="AP96" s="20" t="str">
        <f>DATA!AP85</f>
        <v>belum ada proses tender/lelang</v>
      </c>
      <c r="AQ96" s="20" t="str">
        <f>DATA!AY85</f>
        <v>- Konfirmasi melalui surat Sekjen nomor KU.01.12-Sj/636 tgl 23 Oktober 2015
- Kegiatan akan dilaksanakan oleh pendanaan rupiah murni APBN</v>
      </c>
      <c r="AR96" s="20" t="e">
        <f>DATA!#REF!</f>
        <v>#REF!</v>
      </c>
      <c r="AS96" s="20">
        <f>DATA!AZ85</f>
        <v>0</v>
      </c>
      <c r="AT96" s="37" t="str">
        <f>DATA!BA85</f>
        <v>Pembangunan bendungan komering 110 juta cm3, pembangunan fasilitas tenaga hidrolik, komponen lunak untuk memperkuat O&amp;P, Hydropower 20,80 MW, pembangunan sistem irigasi utama dan tersier skema Lempuing untuk 8.500 Ha, dan perbaikan fasilitas irigasi yang ada</v>
      </c>
    </row>
    <row r="97" spans="1:46" ht="102">
      <c r="A97" s="10">
        <f>DATA!A86</f>
        <v>68</v>
      </c>
      <c r="B97" s="10">
        <f>DATA!B86</f>
        <v>0</v>
      </c>
      <c r="C97" s="10" t="str">
        <f>DATA!D86</f>
        <v>INFRASTRUKTUR</v>
      </c>
      <c r="D97" s="10">
        <f>DATA!E86</f>
        <v>1</v>
      </c>
      <c r="E97" s="10" t="str">
        <f>DATA!F86</f>
        <v>Kementerian Pekerjaan Umum dan Perumahan Rakyat</v>
      </c>
      <c r="F97" s="10" t="str">
        <f>DATA!H86</f>
        <v>Dam Development Program</v>
      </c>
      <c r="G97" s="10" t="str">
        <f>DATA!I86</f>
        <v>J</v>
      </c>
      <c r="H97" s="10" t="str">
        <f>DATA!J86</f>
        <v xml:space="preserve">Program Pembangunan Waduk </v>
      </c>
      <c r="I97" s="10">
        <f>DATA!K86</f>
        <v>3</v>
      </c>
      <c r="J97" s="33"/>
      <c r="K97" s="34"/>
      <c r="L97" s="34"/>
      <c r="M97" s="36">
        <f>DATA!K86</f>
        <v>3</v>
      </c>
      <c r="N97" s="37" t="str">
        <f>DATA!L86</f>
        <v>Pelosika Multipurpose Dam Construction Project</v>
      </c>
      <c r="O97" s="20">
        <f>DATA!Q86</f>
        <v>1</v>
      </c>
      <c r="P97" s="20">
        <f>DATA!R86</f>
        <v>1</v>
      </c>
      <c r="Q97" s="20">
        <f>DATA!S86</f>
        <v>59</v>
      </c>
      <c r="R97" s="77">
        <f>DATA!T86</f>
        <v>200000000</v>
      </c>
      <c r="S97" s="77"/>
      <c r="T97" s="77">
        <f>DATA!V86</f>
        <v>170000000</v>
      </c>
      <c r="U97" s="77">
        <f>DATA!W86</f>
        <v>0</v>
      </c>
      <c r="V97" s="77">
        <f>DATA!X86</f>
        <v>370000000</v>
      </c>
      <c r="W97" s="78" t="str">
        <f>DATA!Y86</f>
        <v>Rupiah Murni</v>
      </c>
      <c r="X97" s="20" t="str">
        <f>DATA!Z86</f>
        <v>Pendanaan Dengan Rupiah Murni</v>
      </c>
      <c r="Y97" s="77">
        <f>DATA!AA86</f>
        <v>200000000</v>
      </c>
      <c r="Z97" s="77">
        <f>DATA!AG86</f>
        <v>0</v>
      </c>
      <c r="AA97" s="20">
        <f>DATA!AH86</f>
        <v>2017</v>
      </c>
      <c r="AB97" s="37" t="str">
        <f>DATA!AI86</f>
        <v>-</v>
      </c>
      <c r="AC97" s="37"/>
      <c r="AD97" s="37"/>
      <c r="AE97" s="37"/>
      <c r="AF97" s="37"/>
      <c r="AG97" s="37"/>
      <c r="AH97" s="37"/>
      <c r="AI97" s="37"/>
      <c r="AJ97" s="37" t="str">
        <f>DATA!AJ86</f>
        <v>AMDAL, geologi detail 2015 dan Penyiapan Review DED</v>
      </c>
      <c r="AK97" s="37" t="str">
        <f>DATA!AK86</f>
        <v>LARAP</v>
      </c>
      <c r="AL97" s="37" t="str">
        <f>DATA!AL86</f>
        <v>-</v>
      </c>
      <c r="AM97" s="20" t="str">
        <f>DATA!AR86</f>
        <v>belum ada dokumen R/C</v>
      </c>
      <c r="AN97" s="20" t="str">
        <f>DATA!AN86</f>
        <v>dalam proses
(penyusunan FS)</v>
      </c>
      <c r="AO97" s="20" t="str">
        <f>DATA!AO86</f>
        <v>dalam proses
(perencanaan)</v>
      </c>
      <c r="AP97" s="20" t="str">
        <f>DATA!AP86</f>
        <v>belum ada proses tender/lelang</v>
      </c>
      <c r="AQ97" s="20" t="str">
        <f>DATA!AY86</f>
        <v>- Konfirmasi melalui surat Sekjen nomor KU.01.12-Sj/636 tgl 23 Oktober 2015
- Kegiatan akan dilaksanakan oleh pendanaan rupiah murni APBN</v>
      </c>
      <c r="AR97" s="20" t="e">
        <f>DATA!#REF!</f>
        <v>#REF!</v>
      </c>
      <c r="AS97" s="20">
        <f>DATA!AZ86</f>
        <v>0</v>
      </c>
      <c r="AT97" s="37"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row>
    <row r="98" spans="1:46" ht="90.75" customHeight="1">
      <c r="A98" s="10">
        <f>DATA!A87</f>
        <v>69</v>
      </c>
      <c r="B98" s="10">
        <f>DATA!B87</f>
        <v>0</v>
      </c>
      <c r="C98" s="10" t="str">
        <f>DATA!D87</f>
        <v>INFRASTRUKTUR</v>
      </c>
      <c r="D98" s="10">
        <f>DATA!E87</f>
        <v>1</v>
      </c>
      <c r="E98" s="10" t="str">
        <f>DATA!F87</f>
        <v>Kementerian Pekerjaan Umum dan Perumahan Rakyat</v>
      </c>
      <c r="F98" s="10" t="str">
        <f>DATA!H87</f>
        <v>Dam Development Program</v>
      </c>
      <c r="G98" s="10" t="str">
        <f>DATA!I87</f>
        <v>J</v>
      </c>
      <c r="H98" s="10" t="str">
        <f>DATA!J87</f>
        <v xml:space="preserve">Program Pembangunan Waduk </v>
      </c>
      <c r="I98" s="10">
        <f>DATA!K87</f>
        <v>4</v>
      </c>
      <c r="J98" s="33"/>
      <c r="K98" s="34"/>
      <c r="L98" s="34"/>
      <c r="M98" s="36">
        <f>DATA!K87</f>
        <v>4</v>
      </c>
      <c r="N98" s="37" t="str">
        <f>DATA!L87</f>
        <v>Lambakan  Dam Project</v>
      </c>
      <c r="O98" s="20">
        <f>DATA!Q87</f>
        <v>1</v>
      </c>
      <c r="P98" s="20">
        <f>DATA!R87</f>
        <v>1</v>
      </c>
      <c r="Q98" s="20">
        <f>DATA!S87</f>
        <v>60</v>
      </c>
      <c r="R98" s="77">
        <f>DATA!T87</f>
        <v>258000000</v>
      </c>
      <c r="S98" s="77"/>
      <c r="T98" s="77">
        <f>DATA!V87</f>
        <v>227000000</v>
      </c>
      <c r="U98" s="77">
        <f>DATA!W87</f>
        <v>0</v>
      </c>
      <c r="V98" s="77">
        <f>DATA!X87</f>
        <v>485000000</v>
      </c>
      <c r="W98" s="78" t="str">
        <f>DATA!Y87</f>
        <v>IDB</v>
      </c>
      <c r="X98" s="20" t="str">
        <f>DATA!Z87</f>
        <v>Multilateral</v>
      </c>
      <c r="Y98" s="77">
        <f>DATA!AA87</f>
        <v>258000000</v>
      </c>
      <c r="Z98" s="77">
        <f>DATA!AG87</f>
        <v>0</v>
      </c>
      <c r="AA98" s="20" t="str">
        <f>DATA!AH87</f>
        <v>Tanpa keterangan</v>
      </c>
      <c r="AB98" s="37" t="str">
        <f>DATA!AI87</f>
        <v>-</v>
      </c>
      <c r="AC98" s="37"/>
      <c r="AD98" s="37"/>
      <c r="AE98" s="37"/>
      <c r="AF98" s="37"/>
      <c r="AG98" s="37"/>
      <c r="AH98" s="37"/>
      <c r="AI98" s="37"/>
      <c r="AJ98" s="37" t="str">
        <f>DATA!AJ87</f>
        <v>AMDAL (2017), geologi detail 2015 dan Penyiapan Review DED</v>
      </c>
      <c r="AK98" s="37" t="str">
        <f>DATA!AK87</f>
        <v>LARAP (2016)</v>
      </c>
      <c r="AL98" s="37" t="str">
        <f>DATA!AL87</f>
        <v>-</v>
      </c>
      <c r="AM98" s="20" t="str">
        <f>DATA!AR87</f>
        <v>belum ada dokumen R/C</v>
      </c>
      <c r="AN98" s="20" t="str">
        <f>DATA!AN87</f>
        <v>dalam proses
(penyusunan FS)</v>
      </c>
      <c r="AO98" s="20" t="str">
        <f>DATA!AO87</f>
        <v>dalam proses
(perencanaan)</v>
      </c>
      <c r="AP98" s="20" t="str">
        <f>DATA!AP87</f>
        <v>belum ada proses tender/lelang</v>
      </c>
      <c r="AQ98" s="20" t="str">
        <f>DATA!AY87</f>
        <v>Konfirmasi melalui surat Sekjen nomor KU.01.12-Sj/636 tgl 23 Oktober 2015</v>
      </c>
      <c r="AR98" s="20" t="e">
        <f>DATA!#REF!</f>
        <v>#REF!</v>
      </c>
      <c r="AS98" s="20">
        <f>DATA!AZ87</f>
        <v>0</v>
      </c>
      <c r="AT98" s="37" t="str">
        <f>DATA!BA87</f>
        <v>Pembangunan PLTA sebesar 15 MW, pembangunan sistem irigasi untuk mengairi 18.000 Ha, menyediakan air baku 12 m3/det untuk Kabupaten pasir, Kabupaten  Penajam Pasir Utara dan Kota Balikpapan, 4. Pembangunan tanggul penahan banjir di DAS Telake sampai 30%</v>
      </c>
    </row>
    <row r="99" spans="1:46" ht="60.75" customHeight="1">
      <c r="A99" s="10">
        <f>DATA!A88</f>
        <v>70</v>
      </c>
      <c r="B99" s="10">
        <f>DATA!B88</f>
        <v>0</v>
      </c>
      <c r="C99" s="10" t="str">
        <f>DATA!D88</f>
        <v>INFRASTRUKTUR</v>
      </c>
      <c r="D99" s="10">
        <f>DATA!E88</f>
        <v>1</v>
      </c>
      <c r="E99" s="10" t="str">
        <f>DATA!F88</f>
        <v>Kementerian Pekerjaan Umum dan Perumahan Rakyat</v>
      </c>
      <c r="F99" s="10" t="str">
        <f>DATA!H88</f>
        <v>Dam Development Program</v>
      </c>
      <c r="G99" s="10" t="str">
        <f>DATA!I88</f>
        <v>J</v>
      </c>
      <c r="H99" s="10" t="str">
        <f>DATA!J88</f>
        <v xml:space="preserve">Program Pembangunan Waduk </v>
      </c>
      <c r="I99" s="10">
        <f>DATA!K88</f>
        <v>5</v>
      </c>
      <c r="J99" s="33"/>
      <c r="K99" s="34"/>
      <c r="L99" s="34"/>
      <c r="M99" s="36">
        <f>DATA!K88</f>
        <v>5</v>
      </c>
      <c r="N99" s="37" t="str">
        <f>DATA!L88</f>
        <v>Jenelata Dam Construction Project</v>
      </c>
      <c r="O99" s="20">
        <f>DATA!Q88</f>
        <v>1</v>
      </c>
      <c r="P99" s="20">
        <f>DATA!R88</f>
        <v>1</v>
      </c>
      <c r="Q99" s="20">
        <f>DATA!S88</f>
        <v>61</v>
      </c>
      <c r="R99" s="77">
        <f>DATA!T88</f>
        <v>200000000</v>
      </c>
      <c r="S99" s="77"/>
      <c r="T99" s="77">
        <f>DATA!V88</f>
        <v>20000000</v>
      </c>
      <c r="U99" s="77">
        <f>DATA!W88</f>
        <v>0</v>
      </c>
      <c r="V99" s="77">
        <f>DATA!X88</f>
        <v>220000000</v>
      </c>
      <c r="W99" s="78" t="str">
        <f>DATA!Y88</f>
        <v>RRT</v>
      </c>
      <c r="X99" s="20" t="str">
        <f>DATA!Z88</f>
        <v>Bilateral</v>
      </c>
      <c r="Y99" s="77">
        <f>DATA!AA88</f>
        <v>200000000</v>
      </c>
      <c r="Z99" s="77">
        <f>DATA!AG88</f>
        <v>0</v>
      </c>
      <c r="AA99" s="20">
        <f>DATA!AH88</f>
        <v>2018</v>
      </c>
      <c r="AB99" s="37" t="str">
        <f>DATA!AI88</f>
        <v>-</v>
      </c>
      <c r="AC99" s="37"/>
      <c r="AD99" s="37"/>
      <c r="AE99" s="37"/>
      <c r="AF99" s="37"/>
      <c r="AG99" s="37"/>
      <c r="AH99" s="37"/>
      <c r="AI99" s="37"/>
      <c r="AJ99" s="37" t="str">
        <f>DATA!AJ88</f>
        <v>model test, penyelidikan geologi 2015, AMDAL (2015)</v>
      </c>
      <c r="AK99" s="37" t="str">
        <f>DATA!AK88</f>
        <v>LARAP (2016)</v>
      </c>
      <c r="AL99" s="37" t="str">
        <f>DATA!AL88</f>
        <v>-</v>
      </c>
      <c r="AM99" s="20" t="str">
        <f>DATA!AR88</f>
        <v>belum ada dokumen R/C</v>
      </c>
      <c r="AN99" s="20" t="str">
        <f>DATA!AN88</f>
        <v>siap</v>
      </c>
      <c r="AO99" s="20" t="str">
        <f>DATA!AO88</f>
        <v>dalam proses
(perencanaan)</v>
      </c>
      <c r="AP99" s="20" t="str">
        <f>DATA!AP88</f>
        <v>belum ada proses tender/lelang</v>
      </c>
      <c r="AQ99" s="20" t="str">
        <f>DATA!AY88</f>
        <v>Konfirmasi melalui surat Sekjen nomor KU.01.12-Sj/636 tgl 23 Oktober 2015</v>
      </c>
      <c r="AR99" s="20" t="e">
        <f>DATA!#REF!</f>
        <v>#REF!</v>
      </c>
      <c r="AS99" s="20">
        <f>DATA!AZ88</f>
        <v>0</v>
      </c>
      <c r="AT99" s="37" t="str">
        <f>DATA!BA88</f>
        <v>Membangun bendungan 223 juta m3, melakukan rehabilitasi jalan, membangun fasilitas PLTA ± 10,9 MW untuk kebutuhan energi listrik Kab.Gowa, perbaikan dan peningkatan jaringan irigasi 24.400 ha</v>
      </c>
    </row>
    <row r="100" spans="1:46" ht="48" customHeight="1">
      <c r="A100" s="10">
        <f>DATA!A89</f>
        <v>71</v>
      </c>
      <c r="B100" s="10">
        <f>DATA!B89</f>
        <v>0</v>
      </c>
      <c r="C100" s="10" t="str">
        <f>DATA!D89</f>
        <v>INFRASTRUKTUR</v>
      </c>
      <c r="D100" s="10">
        <f>DATA!E89</f>
        <v>1</v>
      </c>
      <c r="E100" s="10" t="str">
        <f>DATA!F89</f>
        <v>Kementerian Pekerjaan Umum dan Perumahan Rakyat</v>
      </c>
      <c r="F100" s="10" t="str">
        <f>DATA!H89</f>
        <v>Dam Development Program</v>
      </c>
      <c r="G100" s="10" t="str">
        <f>DATA!I89</f>
        <v>J</v>
      </c>
      <c r="H100" s="10" t="str">
        <f>DATA!J89</f>
        <v xml:space="preserve">Program Pembangunan Waduk </v>
      </c>
      <c r="I100" s="10">
        <f>DATA!K89</f>
        <v>6</v>
      </c>
      <c r="J100" s="33"/>
      <c r="K100" s="34"/>
      <c r="L100" s="34"/>
      <c r="M100" s="36">
        <f>DATA!K89</f>
        <v>6</v>
      </c>
      <c r="N100" s="37" t="str">
        <f>DATA!L89</f>
        <v>Bonehulu Dam Construction Project</v>
      </c>
      <c r="O100" s="20">
        <f>DATA!Q89</f>
        <v>1</v>
      </c>
      <c r="P100" s="20">
        <f>DATA!R89</f>
        <v>1</v>
      </c>
      <c r="Q100" s="20">
        <f>DATA!S89</f>
        <v>62</v>
      </c>
      <c r="R100" s="77">
        <f>DATA!T89</f>
        <v>128250000</v>
      </c>
      <c r="S100" s="77"/>
      <c r="T100" s="77">
        <f>DATA!V89</f>
        <v>21000000</v>
      </c>
      <c r="U100" s="77">
        <f>DATA!W89</f>
        <v>0</v>
      </c>
      <c r="V100" s="77">
        <f>DATA!X89</f>
        <v>149250000</v>
      </c>
      <c r="W100" s="78" t="str">
        <f>DATA!Y89</f>
        <v>RRT</v>
      </c>
      <c r="X100" s="20" t="str">
        <f>DATA!Z89</f>
        <v>Bilateral</v>
      </c>
      <c r="Y100" s="77">
        <f>DATA!AA89</f>
        <v>128250000</v>
      </c>
      <c r="Z100" s="77">
        <f>DATA!AG89</f>
        <v>0</v>
      </c>
      <c r="AA100" s="20">
        <f>DATA!AH89</f>
        <v>2019</v>
      </c>
      <c r="AB100" s="37" t="str">
        <f>DATA!AI89</f>
        <v>-</v>
      </c>
      <c r="AC100" s="37"/>
      <c r="AD100" s="37"/>
      <c r="AE100" s="37"/>
      <c r="AF100" s="37"/>
      <c r="AG100" s="37"/>
      <c r="AH100" s="37"/>
      <c r="AI100" s="37"/>
      <c r="AJ100" s="37" t="str">
        <f>DATA!AJ89</f>
        <v>DD, model test, penyelidikan geologi 2015, AMDAL (2017)</v>
      </c>
      <c r="AK100" s="37" t="str">
        <f>DATA!AK89</f>
        <v>LARAP (2015)</v>
      </c>
      <c r="AL100" s="37" t="str">
        <f>DATA!AL89</f>
        <v>-</v>
      </c>
      <c r="AM100" s="20" t="str">
        <f>DATA!AR89</f>
        <v>belum ada dokumen R/C</v>
      </c>
      <c r="AN100" s="20" t="str">
        <f>DATA!AN89</f>
        <v>dalam proses
(penyusunan FS)</v>
      </c>
      <c r="AO100" s="20" t="str">
        <f>DATA!AO89</f>
        <v>dalam proses
(perencanaan)</v>
      </c>
      <c r="AP100" s="20" t="str">
        <f>DATA!AP89</f>
        <v>belum ada proses tender/lelang</v>
      </c>
      <c r="AQ100" s="20" t="str">
        <f>DATA!AY89</f>
        <v>Konfirmasi melalui surat Sekjen nomor KU.01.12-Sj/636 tgl 23 Oktober 2015</v>
      </c>
      <c r="AR100" s="20" t="e">
        <f>DATA!#REF!</f>
        <v>#REF!</v>
      </c>
      <c r="AS100" s="20">
        <f>DATA!AZ89</f>
        <v>0</v>
      </c>
      <c r="AT100" s="37" t="str">
        <f>DATA!BA89</f>
        <v>Pembangunan PLTA sebesar 9,99 MW, Pembangunan sistem irigasi mengairi 6.800 Ha</v>
      </c>
    </row>
    <row r="101" spans="1:46" ht="59.25" customHeight="1">
      <c r="A101" s="10">
        <f>DATA!A90</f>
        <v>72</v>
      </c>
      <c r="B101" s="10">
        <f>DATA!B90</f>
        <v>0</v>
      </c>
      <c r="C101" s="10" t="str">
        <f>DATA!D90</f>
        <v>INFRASTRUKTUR</v>
      </c>
      <c r="D101" s="10">
        <f>DATA!E90</f>
        <v>1</v>
      </c>
      <c r="E101" s="10" t="str">
        <f>DATA!F90</f>
        <v>Kementerian Pekerjaan Umum dan Perumahan Rakyat</v>
      </c>
      <c r="F101" s="10" t="str">
        <f>DATA!H90</f>
        <v>Dam Development Program</v>
      </c>
      <c r="G101" s="10" t="str">
        <f>DATA!I90</f>
        <v>J</v>
      </c>
      <c r="H101" s="10" t="str">
        <f>DATA!J90</f>
        <v xml:space="preserve">Program Pembangunan Waduk </v>
      </c>
      <c r="I101" s="10">
        <f>DATA!K90</f>
        <v>7</v>
      </c>
      <c r="J101" s="33"/>
      <c r="K101" s="34"/>
      <c r="L101" s="34"/>
      <c r="M101" s="36">
        <f>DATA!K90</f>
        <v>7</v>
      </c>
      <c r="N101" s="37" t="str">
        <f>DATA!L90</f>
        <v>Ladongi Dam Construction Project</v>
      </c>
      <c r="O101" s="20">
        <f>DATA!Q90</f>
        <v>1</v>
      </c>
      <c r="P101" s="20">
        <f>DATA!R90</f>
        <v>1</v>
      </c>
      <c r="Q101" s="20">
        <f>DATA!S90</f>
        <v>63</v>
      </c>
      <c r="R101" s="77">
        <f>DATA!T90</f>
        <v>70000000</v>
      </c>
      <c r="S101" s="77"/>
      <c r="T101" s="77">
        <f>DATA!V90</f>
        <v>7000000</v>
      </c>
      <c r="U101" s="77">
        <f>DATA!W90</f>
        <v>0</v>
      </c>
      <c r="V101" s="77">
        <f>DATA!X90</f>
        <v>77000000</v>
      </c>
      <c r="W101" s="78" t="str">
        <f>DATA!Y90</f>
        <v>RRT</v>
      </c>
      <c r="X101" s="20" t="str">
        <f>DATA!Z90</f>
        <v>Bilateral</v>
      </c>
      <c r="Y101" s="77">
        <f>DATA!AA90</f>
        <v>70000000</v>
      </c>
      <c r="Z101" s="77">
        <f>DATA!AG90</f>
        <v>0</v>
      </c>
      <c r="AA101" s="20">
        <f>DATA!AH90</f>
        <v>2017</v>
      </c>
      <c r="AB101" s="37" t="str">
        <f>DATA!AI90</f>
        <v>-</v>
      </c>
      <c r="AC101" s="37"/>
      <c r="AD101" s="37"/>
      <c r="AE101" s="37"/>
      <c r="AF101" s="37"/>
      <c r="AG101" s="37"/>
      <c r="AH101" s="37"/>
      <c r="AI101" s="37"/>
      <c r="AJ101" s="37" t="str">
        <f>DATA!AJ90</f>
        <v>SID, AMDAL (2015), penyelidikan geologi, DD, model test 2015</v>
      </c>
      <c r="AK101" s="37" t="str">
        <f>DATA!AK90</f>
        <v>LARAP (2015)</v>
      </c>
      <c r="AL101" s="37" t="str">
        <f>DATA!AL90</f>
        <v>-</v>
      </c>
      <c r="AM101" s="20" t="str">
        <f>DATA!AR90</f>
        <v>belum ada dokumen R/C</v>
      </c>
      <c r="AN101" s="20" t="str">
        <f>DATA!AN90</f>
        <v>siap</v>
      </c>
      <c r="AO101" s="20" t="str">
        <f>DATA!AO90</f>
        <v>dalam proses
(perencanaan)</v>
      </c>
      <c r="AP101" s="20" t="str">
        <f>DATA!AP90</f>
        <v>belum ada proses tender/lelang</v>
      </c>
      <c r="AQ101" s="20" t="str">
        <f>DATA!AY90</f>
        <v>Konfirmasi melalui surat Sekjen nomor KU.01.12-Sj/636 tgl 23 Oktober 2015</v>
      </c>
      <c r="AR101" s="20" t="e">
        <f>DATA!#REF!</f>
        <v>#REF!</v>
      </c>
      <c r="AS101" s="20">
        <f>DATA!AZ90</f>
        <v>0</v>
      </c>
      <c r="AT101" s="37" t="str">
        <f>DATA!BA90</f>
        <v>Membangun bendungan 25,57 juta m3  dan fasilitas pendukungnya, Melakukan rehabilitasi jalan akses, Membangun PLTA 1,15 MW untuk  Kab.Kolaka Timur dan Perbaikan jaringan irigasi</v>
      </c>
    </row>
    <row r="102" spans="1:46" ht="80.25" customHeight="1">
      <c r="A102" s="10">
        <f>DATA!A91</f>
        <v>73</v>
      </c>
      <c r="B102" s="10">
        <f>DATA!B91</f>
        <v>0</v>
      </c>
      <c r="C102" s="10" t="str">
        <f>DATA!D91</f>
        <v>INFRASTRUKTUR</v>
      </c>
      <c r="D102" s="10">
        <f>DATA!E91</f>
        <v>1</v>
      </c>
      <c r="E102" s="10" t="str">
        <f>DATA!F91</f>
        <v>Kementerian Pekerjaan Umum dan Perumahan Rakyat</v>
      </c>
      <c r="F102" s="10" t="str">
        <f>DATA!H91</f>
        <v>Dam Development Program</v>
      </c>
      <c r="G102" s="10" t="str">
        <f>DATA!I91</f>
        <v>J</v>
      </c>
      <c r="H102" s="10" t="str">
        <f>DATA!J91</f>
        <v xml:space="preserve">Program Pembangunan Waduk </v>
      </c>
      <c r="I102" s="10">
        <f>DATA!K91</f>
        <v>8</v>
      </c>
      <c r="J102" s="33"/>
      <c r="K102" s="34"/>
      <c r="L102" s="34"/>
      <c r="M102" s="36">
        <f>DATA!K91</f>
        <v>8</v>
      </c>
      <c r="N102" s="37" t="str">
        <f>DATA!L91</f>
        <v>Kuwil Kawangkoan Dam Construction Project</v>
      </c>
      <c r="O102" s="20">
        <f>DATA!Q91</f>
        <v>1</v>
      </c>
      <c r="P102" s="20">
        <f>DATA!R91</f>
        <v>1</v>
      </c>
      <c r="Q102" s="20">
        <f>DATA!S91</f>
        <v>64</v>
      </c>
      <c r="R102" s="77">
        <f>DATA!T91</f>
        <v>110000000</v>
      </c>
      <c r="S102" s="77"/>
      <c r="T102" s="77">
        <f>DATA!V91</f>
        <v>11000000</v>
      </c>
      <c r="U102" s="77">
        <f>DATA!W91</f>
        <v>0</v>
      </c>
      <c r="V102" s="77">
        <f>DATA!X91</f>
        <v>121000000</v>
      </c>
      <c r="W102" s="78" t="str">
        <f>DATA!Y91</f>
        <v>Rupiah Murni</v>
      </c>
      <c r="X102" s="20" t="str">
        <f>DATA!Z91</f>
        <v>Pendanaan Dengan Rupiah Murni</v>
      </c>
      <c r="Y102" s="77">
        <f>DATA!AA91</f>
        <v>110000000</v>
      </c>
      <c r="Z102" s="77">
        <f>DATA!AG91</f>
        <v>0</v>
      </c>
      <c r="AA102" s="20">
        <f>DATA!AH91</f>
        <v>2016</v>
      </c>
      <c r="AB102" s="37" t="str">
        <f>DATA!AI91</f>
        <v>-</v>
      </c>
      <c r="AC102" s="37"/>
      <c r="AD102" s="37"/>
      <c r="AE102" s="37"/>
      <c r="AF102" s="37"/>
      <c r="AG102" s="37"/>
      <c r="AH102" s="37"/>
      <c r="AI102" s="37"/>
      <c r="AJ102" s="37" t="str">
        <f>DATA!AJ91</f>
        <v>Sertifikasi desain, penyelidikan geologi, AMDAL</v>
      </c>
      <c r="AK102" s="37" t="str">
        <f>DATA!AK91</f>
        <v>LARAP</v>
      </c>
      <c r="AL102" s="37" t="str">
        <f>DATA!AL91</f>
        <v>Dalam proses tender</v>
      </c>
      <c r="AM102" s="20" t="str">
        <f>DATA!AR91</f>
        <v>belum ada dokumen R/C</v>
      </c>
      <c r="AN102" s="20" t="str">
        <f>DATA!AN91</f>
        <v>dalam proses
(penyusunan FS)</v>
      </c>
      <c r="AO102" s="20" t="str">
        <f>DATA!AO91</f>
        <v>dalam proses
(perencanaan)</v>
      </c>
      <c r="AP102" s="20" t="str">
        <f>DATA!AP91</f>
        <v>belum ada proses tender/lelang</v>
      </c>
      <c r="AQ102" s="20" t="str">
        <f>DATA!AY91</f>
        <v>- Konfirmasi melalui surat Sekjen nomor KU.01.12-Sj/636 tgl 23 Oktober 2015
- Kegiatan akan dilaksanakan oleh pendanaan rupiah murni APBN</v>
      </c>
      <c r="AR102" s="20" t="e">
        <f>DATA!#REF!</f>
        <v>#REF!</v>
      </c>
      <c r="AS102" s="20">
        <f>DATA!AZ91</f>
        <v>0</v>
      </c>
      <c r="AT102" s="37" t="str">
        <f>DATA!BA91</f>
        <v>Melakukan konservasi sumber daya air, pelestarian lingkungan, dan pengendalian banjir, Membangun bendungan dan fasilitas pendukungnya, Melakukan rehabilitasi jalan akses , Membangun fasilitas PLTA ± 1.3 MW untuk provinsi Sulawesi Utara</v>
      </c>
    </row>
    <row r="103" spans="1:46" ht="74.25" customHeight="1">
      <c r="A103" s="10">
        <f>DATA!A92</f>
        <v>74</v>
      </c>
      <c r="B103" s="10">
        <f>DATA!B92</f>
        <v>0</v>
      </c>
      <c r="C103" s="10" t="str">
        <f>DATA!D92</f>
        <v>INFRASTRUKTUR</v>
      </c>
      <c r="D103" s="10">
        <f>DATA!E92</f>
        <v>1</v>
      </c>
      <c r="E103" s="10" t="str">
        <f>DATA!F92</f>
        <v>Kementerian Pekerjaan Umum dan Perumahan Rakyat</v>
      </c>
      <c r="F103" s="10" t="str">
        <f>DATA!H92</f>
        <v>Dam Development Program</v>
      </c>
      <c r="G103" s="10" t="str">
        <f>DATA!I92</f>
        <v>J</v>
      </c>
      <c r="H103" s="10" t="str">
        <f>DATA!J92</f>
        <v xml:space="preserve">Program Pembangunan Waduk </v>
      </c>
      <c r="I103" s="10">
        <f>DATA!K92</f>
        <v>9</v>
      </c>
      <c r="J103" s="33"/>
      <c r="K103" s="34"/>
      <c r="L103" s="34"/>
      <c r="M103" s="36">
        <f>DATA!K92</f>
        <v>9</v>
      </c>
      <c r="N103" s="37" t="str">
        <f>DATA!L92</f>
        <v>Lompatan Harimau Dam Construction Project (Rokan Kiri Dam Construction Project)</v>
      </c>
      <c r="O103" s="20">
        <f>DATA!Q92</f>
        <v>1</v>
      </c>
      <c r="P103" s="20">
        <f>DATA!R92</f>
        <v>1</v>
      </c>
      <c r="Q103" s="20">
        <f>DATA!S92</f>
        <v>65</v>
      </c>
      <c r="R103" s="77">
        <f>DATA!T92</f>
        <v>152100000</v>
      </c>
      <c r="S103" s="77"/>
      <c r="T103" s="77">
        <f>DATA!V92</f>
        <v>26500000</v>
      </c>
      <c r="U103" s="77">
        <f>DATA!W92</f>
        <v>0</v>
      </c>
      <c r="V103" s="77">
        <f>DATA!X92</f>
        <v>178600000</v>
      </c>
      <c r="W103" s="78" t="str">
        <f>DATA!Y92</f>
        <v>RRT</v>
      </c>
      <c r="X103" s="20" t="str">
        <f>DATA!Z92</f>
        <v>Bilateral</v>
      </c>
      <c r="Y103" s="77">
        <f>DATA!AA92</f>
        <v>152100000</v>
      </c>
      <c r="Z103" s="77">
        <f>DATA!AG92</f>
        <v>0</v>
      </c>
      <c r="AA103" s="20">
        <f>DATA!AH92</f>
        <v>2018</v>
      </c>
      <c r="AB103" s="37" t="str">
        <f>DATA!AI92</f>
        <v>-</v>
      </c>
      <c r="AC103" s="37"/>
      <c r="AD103" s="37"/>
      <c r="AE103" s="37"/>
      <c r="AF103" s="37"/>
      <c r="AG103" s="37"/>
      <c r="AH103" s="37"/>
      <c r="AI103" s="37"/>
      <c r="AJ103" s="37" t="str">
        <f>DATA!AJ92</f>
        <v>FS (2015), DED (2016), AMDAL (2016)</v>
      </c>
      <c r="AK103" s="37" t="str">
        <f>DATA!AK92</f>
        <v>LARAP (2015)</v>
      </c>
      <c r="AL103" s="37" t="str">
        <f>DATA!AL92</f>
        <v>-</v>
      </c>
      <c r="AM103" s="20" t="str">
        <f>DATA!AR92</f>
        <v>belum ada dokumen R/C</v>
      </c>
      <c r="AN103" s="20" t="str">
        <f>DATA!AN92</f>
        <v>dalam proses
(memiliki FS)</v>
      </c>
      <c r="AO103" s="20" t="str">
        <f>DATA!AO92</f>
        <v>dalam proses
(perencanaan)</v>
      </c>
      <c r="AP103" s="20" t="str">
        <f>DATA!AP92</f>
        <v>belum ada proses tender/lelang</v>
      </c>
      <c r="AQ103" s="20" t="str">
        <f>DATA!AY92</f>
        <v>- Konfirmasi melalui surat Sekjen nomor KU.01.12-Sj/636 tgl 23 Oktober 2015
- Nama kegiatan diusulkan untuk diubah menjadi Rokan Kiri Dam Construction Project</v>
      </c>
      <c r="AR103" s="20" t="e">
        <f>DATA!#REF!</f>
        <v>#REF!</v>
      </c>
      <c r="AS103" s="20">
        <f>DATA!AZ92</f>
        <v>0</v>
      </c>
      <c r="AT103" s="37" t="str">
        <f>DATA!BA92</f>
        <v>Membangun bendungan dan fasilitas pendukungnya untuk kebutuhan irigasi seluas 4000 Ha, Melakukan konservasi SDA, pelestarian lingkungan, dan pengendalian banjir dan Membangun fasilitas PLTA ± 74,40 MW untuk Kab.Rokan</v>
      </c>
    </row>
    <row r="104" spans="1:46" ht="106.5" customHeight="1">
      <c r="A104" s="10">
        <f>DATA!A93</f>
        <v>75</v>
      </c>
      <c r="B104" s="10">
        <f>DATA!B93</f>
        <v>0</v>
      </c>
      <c r="C104" s="10" t="str">
        <f>DATA!D93</f>
        <v>INFRASTRUKTUR</v>
      </c>
      <c r="D104" s="10">
        <f>DATA!E93</f>
        <v>1</v>
      </c>
      <c r="E104" s="10" t="str">
        <f>DATA!F93</f>
        <v>Kementerian Pekerjaan Umum dan Perumahan Rakyat</v>
      </c>
      <c r="F104" s="10" t="str">
        <f>DATA!H93</f>
        <v>Dam Development Program</v>
      </c>
      <c r="G104" s="10" t="str">
        <f>DATA!I93</f>
        <v>J</v>
      </c>
      <c r="H104" s="10" t="str">
        <f>DATA!J93</f>
        <v xml:space="preserve">Program Pembangunan Waduk </v>
      </c>
      <c r="I104" s="10">
        <f>DATA!K93</f>
        <v>10</v>
      </c>
      <c r="J104" s="33"/>
      <c r="K104" s="34"/>
      <c r="L104" s="34"/>
      <c r="M104" s="36">
        <f>DATA!K93</f>
        <v>10</v>
      </c>
      <c r="N104" s="37" t="str">
        <f>DATA!L93</f>
        <v>Engineering Service for Dam Multipurpose Development Project</v>
      </c>
      <c r="O104" s="20">
        <f>DATA!Q93</f>
        <v>0</v>
      </c>
      <c r="P104" s="20">
        <f>DATA!R93</f>
        <v>1</v>
      </c>
      <c r="Q104" s="20">
        <f>DATA!S93</f>
        <v>66</v>
      </c>
      <c r="R104" s="77">
        <f>DATA!T93</f>
        <v>100000000</v>
      </c>
      <c r="S104" s="77"/>
      <c r="T104" s="77">
        <f>DATA!V93</f>
        <v>0</v>
      </c>
      <c r="U104" s="77">
        <f>DATA!W93</f>
        <v>0</v>
      </c>
      <c r="V104" s="77">
        <f>DATA!X93</f>
        <v>100000000</v>
      </c>
      <c r="W104" s="77">
        <f>DATA!Y93</f>
        <v>0</v>
      </c>
      <c r="X104" s="77">
        <f>DATA!Z93</f>
        <v>0</v>
      </c>
      <c r="Y104" s="77">
        <f>DATA!AA93</f>
        <v>100000000</v>
      </c>
      <c r="Z104" s="77">
        <f>DATA!AG93</f>
        <v>-76391404</v>
      </c>
      <c r="AA104" s="77" t="str">
        <f>DATA!AH93</f>
        <v>-</v>
      </c>
      <c r="AB104" s="77">
        <f>DATA!AI93</f>
        <v>0</v>
      </c>
      <c r="AC104" s="77"/>
      <c r="AD104" s="77"/>
      <c r="AE104" s="77"/>
      <c r="AF104" s="77"/>
      <c r="AG104" s="77"/>
      <c r="AH104" s="77"/>
      <c r="AI104" s="77"/>
      <c r="AJ104" s="77">
        <f>DATA!AJ93</f>
        <v>0</v>
      </c>
      <c r="AK104" s="77">
        <f>DATA!AK93</f>
        <v>0</v>
      </c>
      <c r="AL104" s="77">
        <f>DATA!AL93</f>
        <v>0</v>
      </c>
      <c r="AM104" s="77" t="str">
        <f>DATA!AM93</f>
        <v>-</v>
      </c>
      <c r="AN104" s="104" t="str">
        <f>DATA!AN93</f>
        <v>-</v>
      </c>
      <c r="AO104" s="104" t="str">
        <f>DATA!AO93</f>
        <v>-</v>
      </c>
      <c r="AP104" s="104">
        <f>DATA!AP93</f>
        <v>0</v>
      </c>
      <c r="AQ104" s="20" t="str">
        <f>DATA!AY93</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R104" s="20" t="e">
        <f>DATA!#REF!</f>
        <v>#REF!</v>
      </c>
      <c r="AS104" s="20">
        <f>DATA!AZ93</f>
        <v>0</v>
      </c>
      <c r="AT104" s="37" t="str">
        <f>DATA!BA93</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5" spans="1:46" s="6" customFormat="1" ht="106.5" customHeight="1">
      <c r="J105" s="38"/>
      <c r="K105" s="39"/>
      <c r="L105" s="39"/>
      <c r="M105" s="72"/>
      <c r="N105" s="67" t="str">
        <f>DATA!L94</f>
        <v>Engineering Service for Dam Multipurpose Development Project</v>
      </c>
      <c r="O105" s="42">
        <f>DATA!Q94</f>
        <v>0.33333333333333298</v>
      </c>
      <c r="P105" s="42">
        <f>DATA!R94</f>
        <v>0</v>
      </c>
      <c r="Q105" s="42">
        <f>DATA!S94</f>
        <v>66</v>
      </c>
      <c r="R105" s="83">
        <f>DATA!T94</f>
        <v>0</v>
      </c>
      <c r="S105" s="83"/>
      <c r="T105" s="83">
        <f>DATA!V94</f>
        <v>0</v>
      </c>
      <c r="U105" s="83">
        <f>DATA!W94</f>
        <v>0</v>
      </c>
      <c r="V105" s="83">
        <f>DATA!X94</f>
        <v>0</v>
      </c>
      <c r="W105" s="84" t="str">
        <f>DATA!Y94</f>
        <v>ADB</v>
      </c>
      <c r="X105" s="42" t="str">
        <f>DATA!Z94</f>
        <v>Multilateral</v>
      </c>
      <c r="Y105" s="83">
        <f>DATA!AA94</f>
        <v>1930000</v>
      </c>
      <c r="Z105" s="83">
        <f>DATA!AG94</f>
        <v>0</v>
      </c>
      <c r="AA105" s="42">
        <f>DATA!AH94</f>
        <v>2016</v>
      </c>
      <c r="AB105" s="67" t="str">
        <f>DATA!AI94</f>
        <v>- Sudah ada RC
- Green Book 2015</v>
      </c>
      <c r="AC105" s="67"/>
      <c r="AD105" s="67"/>
      <c r="AE105" s="67"/>
      <c r="AF105" s="67"/>
      <c r="AG105" s="67"/>
      <c r="AH105" s="67"/>
      <c r="AI105" s="67"/>
      <c r="AJ105" s="67" t="str">
        <f>DATA!AJ94</f>
        <v>FS, DED</v>
      </c>
      <c r="AK105" s="67" t="str">
        <f>DATA!AK94</f>
        <v>Tidak membutuhkan lahan</v>
      </c>
      <c r="AL105" s="67" t="str">
        <f>DATA!AL94</f>
        <v>Belum ada tender/lelang</v>
      </c>
      <c r="AM105" s="42" t="str">
        <f>DATA!AM94</f>
        <v>2016; 2015</v>
      </c>
      <c r="AN105" s="42" t="str">
        <f>DATA!AN94</f>
        <v>siap</v>
      </c>
      <c r="AO105" s="42" t="str">
        <f>DATA!AO94</f>
        <v>tidak butuh lahan</v>
      </c>
      <c r="AP105" s="42" t="str">
        <f>DATA!AP94</f>
        <v>belum ada proses tender/lelang</v>
      </c>
      <c r="AQ105" s="42"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R105" s="42" t="e">
        <f>DATA!#REF!</f>
        <v>#REF!</v>
      </c>
      <c r="AS105" s="42">
        <f>DATA!AZ94</f>
        <v>0</v>
      </c>
      <c r="AT105" s="67"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6" spans="1:46" s="6" customFormat="1" ht="106.5" customHeight="1">
      <c r="J106" s="38"/>
      <c r="K106" s="39"/>
      <c r="L106" s="39"/>
      <c r="M106" s="72"/>
      <c r="N106" s="67" t="str">
        <f>DATA!L95</f>
        <v>Engineering Service for Dam Multipurpose Development Project</v>
      </c>
      <c r="O106" s="42">
        <f>DATA!Q95</f>
        <v>0.33333333333333298</v>
      </c>
      <c r="P106" s="42">
        <f>DATA!R95</f>
        <v>0</v>
      </c>
      <c r="Q106" s="42">
        <f>DATA!S95</f>
        <v>66</v>
      </c>
      <c r="R106" s="83">
        <f>DATA!T95</f>
        <v>0</v>
      </c>
      <c r="S106" s="83"/>
      <c r="T106" s="83">
        <f>DATA!V95</f>
        <v>0</v>
      </c>
      <c r="U106" s="83">
        <f>DATA!W95</f>
        <v>0</v>
      </c>
      <c r="V106" s="83">
        <f>DATA!X95</f>
        <v>0</v>
      </c>
      <c r="W106" s="84" t="str">
        <f>DATA!Y95</f>
        <v>Korea</v>
      </c>
      <c r="X106" s="42" t="str">
        <f>DATA!Z95</f>
        <v>Bilateral</v>
      </c>
      <c r="Y106" s="83">
        <f>DATA!AA95</f>
        <v>21678596</v>
      </c>
      <c r="Z106" s="83">
        <f>DATA!AG95</f>
        <v>0</v>
      </c>
      <c r="AA106" s="42">
        <f>DATA!AH95</f>
        <v>2016</v>
      </c>
      <c r="AB106" s="67" t="str">
        <f>DATA!AI95</f>
        <v>- Sudah ada RC
- Diusulkan GB 2016</v>
      </c>
      <c r="AC106" s="67"/>
      <c r="AD106" s="67"/>
      <c r="AE106" s="67"/>
      <c r="AF106" s="67"/>
      <c r="AG106" s="67"/>
      <c r="AH106" s="67"/>
      <c r="AI106" s="67"/>
      <c r="AJ106" s="67" t="str">
        <f>DATA!AJ95</f>
        <v>FS, DED</v>
      </c>
      <c r="AK106" s="67" t="str">
        <f>DATA!AK95</f>
        <v>Tidak membutuhkan lahan</v>
      </c>
      <c r="AL106" s="67" t="str">
        <f>DATA!AL95</f>
        <v>Belum ada tender/lelang</v>
      </c>
      <c r="AM106" s="42">
        <f>DATA!AM95</f>
        <v>2016</v>
      </c>
      <c r="AN106" s="42" t="str">
        <f>DATA!AN95</f>
        <v>siap</v>
      </c>
      <c r="AO106" s="42" t="str">
        <f>DATA!AO95</f>
        <v>tidak butuh lahan</v>
      </c>
      <c r="AP106" s="42" t="str">
        <f>DATA!AP95</f>
        <v>belum ada proses tender/lelang</v>
      </c>
      <c r="AQ106" s="42"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R106" s="42" t="e">
        <f>DATA!#REF!</f>
        <v>#REF!</v>
      </c>
      <c r="AS106" s="42">
        <f>DATA!AZ95</f>
        <v>0</v>
      </c>
      <c r="AT106" s="67"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7" spans="1:46" s="6" customFormat="1" ht="106.5" customHeight="1">
      <c r="J107" s="38"/>
      <c r="K107" s="39"/>
      <c r="L107" s="39"/>
      <c r="M107" s="72"/>
      <c r="N107" s="67" t="str">
        <f>DATA!L96</f>
        <v>Engineering Service for Dam Multipurpose Development Project</v>
      </c>
      <c r="O107" s="42">
        <f>DATA!Q96</f>
        <v>0.33333333333333298</v>
      </c>
      <c r="P107" s="42">
        <f>DATA!R96</f>
        <v>0</v>
      </c>
      <c r="Q107" s="42">
        <f>DATA!S96</f>
        <v>66</v>
      </c>
      <c r="R107" s="83">
        <f>DATA!T96</f>
        <v>0</v>
      </c>
      <c r="S107" s="83"/>
      <c r="T107" s="83">
        <f>DATA!V96</f>
        <v>0</v>
      </c>
      <c r="U107" s="83">
        <f>DATA!W96</f>
        <v>0</v>
      </c>
      <c r="V107" s="83">
        <f>DATA!X96</f>
        <v>0</v>
      </c>
      <c r="W107" s="84" t="str">
        <f>DATA!Y96</f>
        <v>Belum Ada Indikasi</v>
      </c>
      <c r="X107" s="42" t="str">
        <f>DATA!Z96</f>
        <v>Belum Ada Indikasi</v>
      </c>
      <c r="Y107" s="83">
        <f>DATA!AA96</f>
        <v>76391404</v>
      </c>
      <c r="Z107" s="83">
        <f>DATA!AG96</f>
        <v>-76391404</v>
      </c>
      <c r="AA107" s="42" t="str">
        <f>DATA!AH96</f>
        <v>Tanpa keterangan</v>
      </c>
      <c r="AB107" s="67" t="str">
        <f>DATA!AI96</f>
        <v>-</v>
      </c>
      <c r="AC107" s="67"/>
      <c r="AD107" s="67"/>
      <c r="AE107" s="67"/>
      <c r="AF107" s="67"/>
      <c r="AG107" s="67"/>
      <c r="AH107" s="67"/>
      <c r="AI107" s="67"/>
      <c r="AJ107" s="67" t="str">
        <f>DATA!AJ96</f>
        <v>-</v>
      </c>
      <c r="AK107" s="67" t="str">
        <f>DATA!AK96</f>
        <v>-</v>
      </c>
      <c r="AL107" s="67" t="str">
        <f>DATA!AL96</f>
        <v>-</v>
      </c>
      <c r="AM107" s="42"/>
      <c r="AN107" s="42"/>
      <c r="AO107" s="42"/>
      <c r="AP107" s="42"/>
      <c r="AQ107" s="42"/>
      <c r="AR107" s="42"/>
      <c r="AS107" s="42"/>
      <c r="AT107" s="67"/>
    </row>
    <row r="108" spans="1:46" ht="63.75">
      <c r="A108" s="10">
        <f>DATA!A97</f>
        <v>76</v>
      </c>
      <c r="B108" s="10">
        <f>DATA!B97</f>
        <v>0</v>
      </c>
      <c r="C108" s="10" t="str">
        <f>DATA!D97</f>
        <v>INFRASTRUKTUR</v>
      </c>
      <c r="D108" s="10">
        <f>DATA!E97</f>
        <v>1</v>
      </c>
      <c r="E108" s="10" t="str">
        <f>DATA!F97</f>
        <v>Kementerian Pekerjaan Umum dan Perumahan Rakyat</v>
      </c>
      <c r="F108" s="10" t="str">
        <f>DATA!H97</f>
        <v>Dam Development Program</v>
      </c>
      <c r="G108" s="10" t="str">
        <f>DATA!I97</f>
        <v>J</v>
      </c>
      <c r="H108" s="10" t="str">
        <f>DATA!J97</f>
        <v xml:space="preserve">Program Pembangunan Waduk </v>
      </c>
      <c r="I108" s="10">
        <f>DATA!K97</f>
        <v>11</v>
      </c>
      <c r="J108" s="33"/>
      <c r="K108" s="34"/>
      <c r="L108" s="54"/>
      <c r="M108" s="36">
        <f>DATA!K97</f>
        <v>11</v>
      </c>
      <c r="N108" s="37" t="str">
        <f>DATA!L97</f>
        <v>Additional Loan for Jatigede Dam Project 2</v>
      </c>
      <c r="O108" s="20">
        <f>DATA!Q97</f>
        <v>1</v>
      </c>
      <c r="P108" s="20">
        <f>DATA!R97</f>
        <v>1</v>
      </c>
      <c r="Q108" s="20">
        <f>DATA!S97</f>
        <v>67</v>
      </c>
      <c r="R108" s="77">
        <f>DATA!T97</f>
        <v>53200000</v>
      </c>
      <c r="S108" s="77"/>
      <c r="T108" s="77">
        <f>DATA!V97</f>
        <v>0</v>
      </c>
      <c r="U108" s="77">
        <f>DATA!W97</f>
        <v>0</v>
      </c>
      <c r="V108" s="77">
        <f>DATA!X97</f>
        <v>53200000</v>
      </c>
      <c r="W108" s="78" t="str">
        <f>DATA!Y97</f>
        <v>RRT</v>
      </c>
      <c r="X108" s="20" t="str">
        <f>DATA!Z97</f>
        <v>Bilateral</v>
      </c>
      <c r="Y108" s="77">
        <f>DATA!AA97</f>
        <v>53200000</v>
      </c>
      <c r="Z108" s="77">
        <f>DATA!AG97</f>
        <v>0</v>
      </c>
      <c r="AA108" s="20">
        <f>DATA!AH97</f>
        <v>2016</v>
      </c>
      <c r="AB108" s="37" t="str">
        <f>DATA!AI97</f>
        <v>- Sudah ada RC
- Green Book 2015</v>
      </c>
      <c r="AC108" s="37"/>
      <c r="AD108" s="37"/>
      <c r="AE108" s="37"/>
      <c r="AF108" s="37"/>
      <c r="AG108" s="37"/>
      <c r="AH108" s="37"/>
      <c r="AI108" s="37"/>
      <c r="AJ108" s="37" t="str">
        <f>DATA!AJ97</f>
        <v>FS, DED, persiapan impounding 2015</v>
      </c>
      <c r="AK108" s="37" t="str">
        <f>DATA!AK97</f>
        <v>- Proses perijinan penggunaan lahan dari Bupati dan Kemenhut
- Proses administrasi kependudukan</v>
      </c>
      <c r="AL108" s="37" t="str">
        <f>DATA!AL97</f>
        <v>Belum ada tender/lelang</v>
      </c>
      <c r="AM108" s="20" t="str">
        <f>DATA!AR97</f>
        <v>-</v>
      </c>
      <c r="AN108" s="20" t="str">
        <f>DATA!AN97</f>
        <v>dalam proses
(memiliki FS dan DED)</v>
      </c>
      <c r="AO108" s="20" t="str">
        <f>DATA!AO97</f>
        <v>dalam proses
(persiapan)</v>
      </c>
      <c r="AP108" s="20" t="str">
        <f>DATA!AP97</f>
        <v>belum ada proses tender/lelang</v>
      </c>
      <c r="AQ108" s="20" t="str">
        <f>DATA!AY97</f>
        <v>Konfirmasi melalui surat Sekjen nomor KU.01.12-Sj/636 tgl 23 Oktober 2015</v>
      </c>
      <c r="AR108" s="20" t="e">
        <f>DATA!#REF!</f>
        <v>#REF!</v>
      </c>
      <c r="AS108" s="20">
        <f>DATA!AZ97</f>
        <v>0</v>
      </c>
      <c r="AT108" s="37" t="str">
        <f>DATA!BA97</f>
        <v>Menyediakan air untuk keperluan irigasi sebesar 59,63 m3/dt dan membangun infrastruktur untuk PLTA 110 MW.</v>
      </c>
    </row>
    <row r="109" spans="1:46" s="5" customFormat="1" ht="33.75" customHeight="1">
      <c r="J109" s="28"/>
      <c r="K109" s="50"/>
      <c r="L109" s="30" t="str">
        <f>DATA!I98</f>
        <v>K</v>
      </c>
      <c r="M109" s="31" t="str">
        <f>DATA!J98</f>
        <v>Program Mitigasi Terhadap Daya Rusak Air</v>
      </c>
      <c r="N109" s="51"/>
      <c r="O109" s="31"/>
      <c r="P109" s="31"/>
      <c r="Q109" s="31"/>
      <c r="R109" s="81">
        <f>+R110+R111+R112+R113+R114+R115+R116</f>
        <v>1152636000</v>
      </c>
      <c r="S109" s="81"/>
      <c r="T109" s="81">
        <f t="shared" ref="T109:Z109" si="6">+T110+T111+T112+T113+T114+T115+T116</f>
        <v>149840000</v>
      </c>
      <c r="U109" s="81">
        <f t="shared" si="6"/>
        <v>0</v>
      </c>
      <c r="V109" s="81">
        <f t="shared" si="6"/>
        <v>1302476000</v>
      </c>
      <c r="W109" s="81"/>
      <c r="X109" s="81" t="e">
        <f t="shared" si="6"/>
        <v>#VALUE!</v>
      </c>
      <c r="Y109" s="81">
        <f t="shared" si="6"/>
        <v>1112256000</v>
      </c>
      <c r="Z109" s="81">
        <f t="shared" si="6"/>
        <v>0</v>
      </c>
      <c r="AA109" s="31"/>
      <c r="AB109" s="32"/>
      <c r="AC109" s="32"/>
      <c r="AD109" s="32"/>
      <c r="AE109" s="32"/>
      <c r="AF109" s="32"/>
      <c r="AG109" s="32"/>
      <c r="AH109" s="32"/>
      <c r="AI109" s="32"/>
      <c r="AJ109" s="32"/>
      <c r="AK109" s="32"/>
      <c r="AL109" s="32"/>
      <c r="AM109" s="31"/>
      <c r="AN109" s="31"/>
      <c r="AO109" s="31"/>
      <c r="AP109" s="31"/>
      <c r="AQ109" s="31"/>
      <c r="AR109" s="31"/>
      <c r="AS109" s="31"/>
      <c r="AT109" s="32"/>
    </row>
    <row r="110" spans="1:46" ht="51" customHeight="1">
      <c r="A110" s="10">
        <f>DATA!A98</f>
        <v>77</v>
      </c>
      <c r="B110" s="10">
        <f>DATA!B98</f>
        <v>0</v>
      </c>
      <c r="C110" s="10" t="str">
        <f>DATA!D98</f>
        <v>INFRASTRUKTUR</v>
      </c>
      <c r="D110" s="10">
        <f>DATA!E98</f>
        <v>1</v>
      </c>
      <c r="E110" s="10" t="str">
        <f>DATA!F98</f>
        <v>Kementerian Pekerjaan Umum dan Perumahan Rakyat</v>
      </c>
      <c r="F110" s="10" t="str">
        <f>DATA!H98</f>
        <v>Mitigation of Water Hazards Program</v>
      </c>
      <c r="G110" s="10" t="str">
        <f>DATA!I98</f>
        <v>K</v>
      </c>
      <c r="H110" s="10" t="str">
        <f>DATA!J98</f>
        <v>Program Mitigasi Terhadap Daya Rusak Air</v>
      </c>
      <c r="I110" s="10">
        <f>DATA!K98</f>
        <v>1</v>
      </c>
      <c r="J110" s="33"/>
      <c r="K110" s="34"/>
      <c r="L110" s="35"/>
      <c r="M110" s="36">
        <f>DATA!K98</f>
        <v>1</v>
      </c>
      <c r="N110" s="37" t="str">
        <f>DATA!L98</f>
        <v>Lower Solo River Improvement Project - Phase II</v>
      </c>
      <c r="O110" s="20">
        <f>DATA!Q98</f>
        <v>1</v>
      </c>
      <c r="P110" s="20">
        <f>DATA!R98</f>
        <v>1</v>
      </c>
      <c r="Q110" s="20">
        <f>DATA!S98</f>
        <v>68</v>
      </c>
      <c r="R110" s="77">
        <f>DATA!T98</f>
        <v>155836000</v>
      </c>
      <c r="S110" s="77"/>
      <c r="T110" s="77">
        <f>DATA!V98</f>
        <v>22500000</v>
      </c>
      <c r="U110" s="77">
        <f>DATA!W98</f>
        <v>0</v>
      </c>
      <c r="V110" s="77">
        <f>DATA!X98</f>
        <v>178336000</v>
      </c>
      <c r="W110" s="78" t="str">
        <f>DATA!Y98</f>
        <v>JICA</v>
      </c>
      <c r="X110" s="20" t="str">
        <f>DATA!Z98</f>
        <v>Bilateral</v>
      </c>
      <c r="Y110" s="77">
        <f>DATA!AA98</f>
        <v>155836000</v>
      </c>
      <c r="Z110" s="77">
        <f>DATA!AG98</f>
        <v>0</v>
      </c>
      <c r="AA110" s="20">
        <f>DATA!AH98</f>
        <v>2018</v>
      </c>
      <c r="AB110" s="37" t="str">
        <f>DATA!AI98</f>
        <v>-</v>
      </c>
      <c r="AC110" s="37"/>
      <c r="AD110" s="37"/>
      <c r="AE110" s="37"/>
      <c r="AF110" s="37"/>
      <c r="AG110" s="37"/>
      <c r="AH110" s="37"/>
      <c r="AI110" s="37"/>
      <c r="AJ110" s="37" t="str">
        <f>DATA!AJ98</f>
        <v>FS, DED, AMDAL</v>
      </c>
      <c r="AK110" s="37" t="str">
        <f>DATA!AK98</f>
        <v>LARAP</v>
      </c>
      <c r="AL110" s="37" t="str">
        <f>DATA!AL98</f>
        <v>-</v>
      </c>
      <c r="AM110" s="20" t="str">
        <f>DATA!AR98</f>
        <v>belum ada dokumen R/C</v>
      </c>
      <c r="AN110" s="20" t="str">
        <f>DATA!AN98</f>
        <v>siap</v>
      </c>
      <c r="AO110" s="20" t="str">
        <f>DATA!AO98</f>
        <v>dalam proses
(perencanaan)</v>
      </c>
      <c r="AP110" s="20" t="str">
        <f>DATA!AP98</f>
        <v>belum ada proses tender/lelang</v>
      </c>
      <c r="AQ110" s="20" t="str">
        <f>DATA!AY98</f>
        <v>Konfirmasi melalui surat Sekjen nomor KU.01.12-Sj/636 tgl 23 Oktober 2015</v>
      </c>
      <c r="AR110" s="20" t="e">
        <f>DATA!#REF!</f>
        <v>#REF!</v>
      </c>
      <c r="AS110" s="20">
        <f>DATA!AZ98</f>
        <v>0</v>
      </c>
      <c r="AT110" s="37" t="str">
        <f>DATA!BA98</f>
        <v>Pekerjaan konstruksi dan supervisi pelaksanaan tanggul, parapet wall, pelindung tebing, sluiceway, jembatan, alur sudetan dan bangunan sungai lainnya</v>
      </c>
    </row>
    <row r="111" spans="1:46" ht="72.75" customHeight="1">
      <c r="A111" s="10">
        <f>DATA!A99</f>
        <v>78</v>
      </c>
      <c r="B111" s="10">
        <f>DATA!B99</f>
        <v>0</v>
      </c>
      <c r="C111" s="10" t="str">
        <f>DATA!D99</f>
        <v>INFRASTRUKTUR</v>
      </c>
      <c r="D111" s="10">
        <f>DATA!E99</f>
        <v>1</v>
      </c>
      <c r="E111" s="10" t="str">
        <f>DATA!F99</f>
        <v>Kementerian Pekerjaan Umum dan Perumahan Rakyat</v>
      </c>
      <c r="F111" s="10" t="str">
        <f>DATA!H99</f>
        <v>Mitigation of Water Hazards Program</v>
      </c>
      <c r="G111" s="10" t="str">
        <f>DATA!I99</f>
        <v>K</v>
      </c>
      <c r="H111" s="10" t="str">
        <f>DATA!J99</f>
        <v>Program Mitigasi Terhadap Daya Rusak Air</v>
      </c>
      <c r="I111" s="10">
        <f>DATA!K99</f>
        <v>2</v>
      </c>
      <c r="J111" s="33"/>
      <c r="K111" s="34"/>
      <c r="L111" s="34"/>
      <c r="M111" s="36">
        <f>DATA!K99</f>
        <v>2</v>
      </c>
      <c r="N111" s="37" t="str">
        <f>DATA!L99</f>
        <v>Comprehensive Countermeasure for Sediment &amp; Flood Problems in South Sulawesi Province</v>
      </c>
      <c r="O111" s="20">
        <f>DATA!Q99</f>
        <v>1</v>
      </c>
      <c r="P111" s="20">
        <f>DATA!R99</f>
        <v>1</v>
      </c>
      <c r="Q111" s="20">
        <f>DATA!S99</f>
        <v>69</v>
      </c>
      <c r="R111" s="77">
        <f>DATA!T99</f>
        <v>108100000</v>
      </c>
      <c r="S111" s="77"/>
      <c r="T111" s="77">
        <f>DATA!V99</f>
        <v>3900000</v>
      </c>
      <c r="U111" s="77">
        <f>DATA!W99</f>
        <v>0</v>
      </c>
      <c r="V111" s="77">
        <f>DATA!X99</f>
        <v>112000000</v>
      </c>
      <c r="W111" s="78" t="str">
        <f>DATA!Y99</f>
        <v>JICA</v>
      </c>
      <c r="X111" s="20" t="str">
        <f>DATA!Z99</f>
        <v>Bilateral</v>
      </c>
      <c r="Y111" s="77">
        <f>DATA!AA99</f>
        <v>108100000</v>
      </c>
      <c r="Z111" s="77">
        <f>DATA!AG99</f>
        <v>0</v>
      </c>
      <c r="AA111" s="20">
        <f>DATA!AH99</f>
        <v>2018</v>
      </c>
      <c r="AB111" s="37" t="str">
        <f>DATA!AI99</f>
        <v>-</v>
      </c>
      <c r="AC111" s="37"/>
      <c r="AD111" s="37"/>
      <c r="AE111" s="37"/>
      <c r="AF111" s="37"/>
      <c r="AG111" s="37"/>
      <c r="AH111" s="37"/>
      <c r="AI111" s="37"/>
      <c r="AJ111" s="37" t="str">
        <f>DATA!AJ99</f>
        <v>FS, DED</v>
      </c>
      <c r="AK111" s="37" t="str">
        <f>DATA!AK99</f>
        <v>-</v>
      </c>
      <c r="AL111" s="37" t="str">
        <f>DATA!AL99</f>
        <v>-</v>
      </c>
      <c r="AM111" s="20" t="str">
        <f>DATA!AR99</f>
        <v>belum ada dokumen R/C</v>
      </c>
      <c r="AN111" s="20" t="str">
        <f>DATA!AN99</f>
        <v>dalam proses
(memiliki FS dan DED)</v>
      </c>
      <c r="AO111" s="20" t="str">
        <f>DATA!AO99</f>
        <v>belum ada keterangan</v>
      </c>
      <c r="AP111" s="20" t="str">
        <f>DATA!AP99</f>
        <v>belum ada proses tender/lelang</v>
      </c>
      <c r="AQ111" s="20" t="str">
        <f>DATA!AY99</f>
        <v>Konfirmasi melalui surat Sekjen nomor KU.01.12-Sj/636 tgl 23 Oktober 2015</v>
      </c>
      <c r="AR111" s="20" t="e">
        <f>DATA!#REF!</f>
        <v>#REF!</v>
      </c>
      <c r="AS111" s="20">
        <f>DATA!AZ99</f>
        <v>0</v>
      </c>
      <c r="AT111" s="37" t="str">
        <f>DATA!BA99</f>
        <v>Rehabilitasi intake waduk bili-bili (1 buah), konstruksi giant sand trap facility (1 buah) di ujung waduk bili-bili dan konstruksi bangunan pengendali sedimen di luar kaldera untuk antisipasi potensi runtuhan lanjutan Bawakaraeng</v>
      </c>
    </row>
    <row r="112" spans="1:46" ht="38.25">
      <c r="A112" s="10">
        <f>DATA!A100</f>
        <v>79</v>
      </c>
      <c r="B112" s="10">
        <f>DATA!B100</f>
        <v>0</v>
      </c>
      <c r="C112" s="10" t="str">
        <f>DATA!D100</f>
        <v>INFRASTRUKTUR</v>
      </c>
      <c r="D112" s="10">
        <f>DATA!E100</f>
        <v>1</v>
      </c>
      <c r="E112" s="10" t="str">
        <f>DATA!F100</f>
        <v>Kementerian Pekerjaan Umum dan Perumahan Rakyat</v>
      </c>
      <c r="F112" s="10" t="str">
        <f>DATA!H100</f>
        <v>Mitigation of Water Hazards Program</v>
      </c>
      <c r="G112" s="10" t="str">
        <f>DATA!I100</f>
        <v>K</v>
      </c>
      <c r="H112" s="10" t="str">
        <f>DATA!J100</f>
        <v>Program Mitigasi Terhadap Daya Rusak Air</v>
      </c>
      <c r="I112" s="10">
        <f>DATA!K100</f>
        <v>3</v>
      </c>
      <c r="J112" s="33"/>
      <c r="K112" s="34"/>
      <c r="L112" s="34"/>
      <c r="M112" s="36">
        <f>DATA!K100</f>
        <v>3</v>
      </c>
      <c r="N112" s="37" t="str">
        <f>DATA!L100</f>
        <v>Bali Beach Conservation Project - Phase II</v>
      </c>
      <c r="O112" s="20">
        <f>DATA!Q100</f>
        <v>1</v>
      </c>
      <c r="P112" s="20">
        <f>DATA!R100</f>
        <v>1</v>
      </c>
      <c r="Q112" s="20">
        <f>DATA!S100</f>
        <v>70</v>
      </c>
      <c r="R112" s="77">
        <f>DATA!T100</f>
        <v>150000000</v>
      </c>
      <c r="S112" s="77"/>
      <c r="T112" s="77">
        <f>DATA!V100</f>
        <v>15000000</v>
      </c>
      <c r="U112" s="77">
        <f>DATA!W100</f>
        <v>0</v>
      </c>
      <c r="V112" s="77">
        <f>DATA!X100</f>
        <v>165000000</v>
      </c>
      <c r="W112" s="78" t="str">
        <f>DATA!Y100</f>
        <v>JICA</v>
      </c>
      <c r="X112" s="20" t="str">
        <f>DATA!Z100</f>
        <v>Bilateral</v>
      </c>
      <c r="Y112" s="77">
        <f>DATA!AA100</f>
        <v>150000000</v>
      </c>
      <c r="Z112" s="77">
        <f>DATA!AG100</f>
        <v>0</v>
      </c>
      <c r="AA112" s="20">
        <f>DATA!AH100</f>
        <v>2017</v>
      </c>
      <c r="AB112" s="37" t="str">
        <f>DATA!AI100</f>
        <v>-</v>
      </c>
      <c r="AC112" s="37"/>
      <c r="AD112" s="37"/>
      <c r="AE112" s="37"/>
      <c r="AF112" s="37"/>
      <c r="AG112" s="37"/>
      <c r="AH112" s="37"/>
      <c r="AI112" s="37"/>
      <c r="AJ112" s="37" t="str">
        <f>DATA!AJ100</f>
        <v>FS</v>
      </c>
      <c r="AK112" s="37" t="str">
        <f>DATA!AK100</f>
        <v>-</v>
      </c>
      <c r="AL112" s="37" t="str">
        <f>DATA!AL100</f>
        <v>-</v>
      </c>
      <c r="AM112" s="20" t="str">
        <f>DATA!AR100</f>
        <v>Nilai pinjaman di GB USD 90.247 ribu</v>
      </c>
      <c r="AN112" s="20" t="str">
        <f>DATA!AN100</f>
        <v>dalam proses
(memiliki FS)</v>
      </c>
      <c r="AO112" s="20" t="str">
        <f>DATA!AO100</f>
        <v>belum ada keterangan</v>
      </c>
      <c r="AP112" s="20" t="str">
        <f>DATA!AP100</f>
        <v>belum ada proses tender/lelang</v>
      </c>
      <c r="AQ112" s="20" t="str">
        <f>DATA!AY100</f>
        <v>- Konfirmasi melalui surat Sekjen nomor KU.01.12-Sj/636 tgl 23 Oktober 2015
- MoD Fact Finding belum dapat ditandatangani dan ditentukan kemudian</v>
      </c>
      <c r="AR112" s="20" t="e">
        <f>DATA!#REF!</f>
        <v>#REF!</v>
      </c>
      <c r="AS112" s="20">
        <f>DATA!AZ100</f>
        <v>0</v>
      </c>
      <c r="AT112" s="37" t="str">
        <f>DATA!BA100</f>
        <v>Pengamanan dan konservasi pantai timur bali (sanur utara ~ candidasa) dan Pantai Kuta Utara – Legian – Seminyak dan Canggu</v>
      </c>
    </row>
    <row r="113" spans="1:46" ht="33" customHeight="1">
      <c r="A113" s="10">
        <f>DATA!A101</f>
        <v>80</v>
      </c>
      <c r="B113" s="10">
        <f>DATA!B101</f>
        <v>0</v>
      </c>
      <c r="C113" s="10" t="str">
        <f>DATA!D101</f>
        <v>INFRASTRUKTUR</v>
      </c>
      <c r="D113" s="10">
        <f>DATA!E101</f>
        <v>1</v>
      </c>
      <c r="E113" s="10" t="str">
        <f>DATA!F101</f>
        <v>Kementerian Pekerjaan Umum dan Perumahan Rakyat</v>
      </c>
      <c r="F113" s="10" t="str">
        <f>DATA!H101</f>
        <v>Mitigation of Water Hazards Program</v>
      </c>
      <c r="G113" s="10" t="str">
        <f>DATA!I101</f>
        <v>K</v>
      </c>
      <c r="H113" s="10" t="str">
        <f>DATA!J101</f>
        <v>Program Mitigasi Terhadap Daya Rusak Air</v>
      </c>
      <c r="I113" s="10">
        <f>DATA!K101</f>
        <v>4</v>
      </c>
      <c r="J113" s="33"/>
      <c r="K113" s="34"/>
      <c r="L113" s="34"/>
      <c r="M113" s="36">
        <f>DATA!K101</f>
        <v>4</v>
      </c>
      <c r="N113" s="37" t="str">
        <f>DATA!L101</f>
        <v xml:space="preserve">Urgent Disaster Reduction of Mt. Sinabung, Mt. Semeru, Mt. Kelud Mt. Lokon, and Mt. Gamalama </v>
      </c>
      <c r="O113" s="20">
        <f>DATA!Q101</f>
        <v>1</v>
      </c>
      <c r="P113" s="20">
        <f>DATA!R101</f>
        <v>1</v>
      </c>
      <c r="Q113" s="20">
        <f>DATA!S101</f>
        <v>71</v>
      </c>
      <c r="R113" s="77">
        <f>DATA!T101</f>
        <v>260000000</v>
      </c>
      <c r="S113" s="77"/>
      <c r="T113" s="77">
        <f>DATA!V101</f>
        <v>26000000</v>
      </c>
      <c r="U113" s="77">
        <f>DATA!W101</f>
        <v>0</v>
      </c>
      <c r="V113" s="77">
        <f>DATA!X101</f>
        <v>286000000</v>
      </c>
      <c r="W113" s="78" t="str">
        <f>DATA!Y101</f>
        <v>JICA</v>
      </c>
      <c r="X113" s="20" t="str">
        <f>DATA!Z101</f>
        <v>Bilateral</v>
      </c>
      <c r="Y113" s="77">
        <f>DATA!AA101</f>
        <v>260000000</v>
      </c>
      <c r="Z113" s="77">
        <f>DATA!AG101</f>
        <v>0</v>
      </c>
      <c r="AA113" s="20">
        <f>DATA!AH101</f>
        <v>2017</v>
      </c>
      <c r="AB113" s="37" t="str">
        <f>DATA!AI101</f>
        <v>-</v>
      </c>
      <c r="AC113" s="37"/>
      <c r="AD113" s="37"/>
      <c r="AE113" s="37"/>
      <c r="AF113" s="37"/>
      <c r="AG113" s="37"/>
      <c r="AH113" s="37"/>
      <c r="AI113" s="37"/>
      <c r="AJ113" s="37" t="str">
        <f>DATA!AJ101</f>
        <v>FS, DED, AMDAL</v>
      </c>
      <c r="AK113" s="37" t="str">
        <f>DATA!AK101</f>
        <v>LARAP</v>
      </c>
      <c r="AL113" s="37" t="str">
        <f>DATA!AL101</f>
        <v>-</v>
      </c>
      <c r="AM113" s="20" t="str">
        <f>DATA!AR101</f>
        <v>belum ada dokumen R/C</v>
      </c>
      <c r="AN113" s="20" t="str">
        <f>DATA!AN101</f>
        <v>siap</v>
      </c>
      <c r="AO113" s="20" t="str">
        <f>DATA!AO101</f>
        <v>dalam proses
(persiapan)</v>
      </c>
      <c r="AP113" s="20" t="str">
        <f>DATA!AP101</f>
        <v>belum ada proses tender/lelang</v>
      </c>
      <c r="AQ113" s="20" t="str">
        <f>DATA!AY101</f>
        <v>Konfirmasi melalui surat Sekjen nomor KU.01.12-Sj/636 tgl 23 Oktober 2015</v>
      </c>
      <c r="AR113" s="20" t="e">
        <f>DATA!#REF!</f>
        <v>#REF!</v>
      </c>
      <c r="AS113" s="20">
        <f>DATA!AZ101</f>
        <v>0</v>
      </c>
      <c r="AT113" s="37" t="str">
        <f>DATA!BA101</f>
        <v>Tersedianya fasilitas Sabo dan bangunan pengontrol sedimen lainnya.</v>
      </c>
    </row>
    <row r="114" spans="1:46" ht="53.25" customHeight="1">
      <c r="A114" s="10">
        <f>DATA!A102</f>
        <v>81</v>
      </c>
      <c r="B114" s="10">
        <f>DATA!B102</f>
        <v>0</v>
      </c>
      <c r="C114" s="10" t="str">
        <f>DATA!D102</f>
        <v>INFRASTRUKTUR</v>
      </c>
      <c r="D114" s="10">
        <f>DATA!E102</f>
        <v>1</v>
      </c>
      <c r="E114" s="10" t="str">
        <f>DATA!F102</f>
        <v>Kementerian Pekerjaan Umum dan Perumahan Rakyat</v>
      </c>
      <c r="F114" s="10" t="str">
        <f>DATA!H102</f>
        <v>Mitigation of Water Hazards Program</v>
      </c>
      <c r="G114" s="10" t="str">
        <f>DATA!I102</f>
        <v>K</v>
      </c>
      <c r="H114" s="10" t="str">
        <f>DATA!J102</f>
        <v>Program Mitigasi Terhadap Daya Rusak Air</v>
      </c>
      <c r="I114" s="10">
        <f>DATA!K102</f>
        <v>5</v>
      </c>
      <c r="J114" s="33"/>
      <c r="K114" s="34"/>
      <c r="L114" s="34"/>
      <c r="M114" s="36">
        <f>DATA!K102</f>
        <v>5</v>
      </c>
      <c r="N114" s="37" t="str">
        <f>DATA!L102</f>
        <v xml:space="preserve">Urban Flood Control System Improvement in Selected Cities -Phase II  </v>
      </c>
      <c r="O114" s="20">
        <f>DATA!Q102</f>
        <v>1</v>
      </c>
      <c r="P114" s="20">
        <f>DATA!R102</f>
        <v>1</v>
      </c>
      <c r="Q114" s="20">
        <f>DATA!S102</f>
        <v>72</v>
      </c>
      <c r="R114" s="77">
        <f>DATA!T102</f>
        <v>120000000</v>
      </c>
      <c r="S114" s="77"/>
      <c r="T114" s="77">
        <f>DATA!V102</f>
        <v>12000000</v>
      </c>
      <c r="U114" s="77">
        <f>DATA!W102</f>
        <v>0</v>
      </c>
      <c r="V114" s="77">
        <f>DATA!X102</f>
        <v>132000000</v>
      </c>
      <c r="W114" s="78" t="str">
        <f>DATA!Y102</f>
        <v>JICA</v>
      </c>
      <c r="X114" s="20" t="str">
        <f>DATA!Z102</f>
        <v>Bilateral</v>
      </c>
      <c r="Y114" s="77">
        <f>DATA!AA102</f>
        <v>120000000</v>
      </c>
      <c r="Z114" s="77">
        <f>DATA!AG102</f>
        <v>0</v>
      </c>
      <c r="AA114" s="20">
        <f>DATA!AH102</f>
        <v>2018</v>
      </c>
      <c r="AB114" s="37" t="str">
        <f>DATA!AI102</f>
        <v>-</v>
      </c>
      <c r="AC114" s="37"/>
      <c r="AD114" s="37"/>
      <c r="AE114" s="37"/>
      <c r="AF114" s="37"/>
      <c r="AG114" s="37"/>
      <c r="AH114" s="37"/>
      <c r="AI114" s="37"/>
      <c r="AJ114" s="37" t="str">
        <f>DATA!AJ102</f>
        <v>FS, DED, AMDAL</v>
      </c>
      <c r="AK114" s="37" t="str">
        <f>DATA!AK102</f>
        <v>LARAP</v>
      </c>
      <c r="AL114" s="37" t="str">
        <f>DATA!AL102</f>
        <v>-</v>
      </c>
      <c r="AM114" s="20" t="str">
        <f>DATA!AR102</f>
        <v>belum ada dokumen R/C</v>
      </c>
      <c r="AN114" s="20" t="str">
        <f>DATA!AN102</f>
        <v>siap</v>
      </c>
      <c r="AO114" s="20" t="str">
        <f>DATA!AO102</f>
        <v>dalam proses
(perencanaan)</v>
      </c>
      <c r="AP114" s="20" t="str">
        <f>DATA!AP102</f>
        <v>belum ada proses tender/lelang</v>
      </c>
      <c r="AQ114" s="20" t="str">
        <f>DATA!AY102</f>
        <v>Konfirmasi melalui surat Sekjen nomor KU.01.12-Sj/636 tgl 23 Oktober 2015</v>
      </c>
      <c r="AR114" s="20" t="e">
        <f>DATA!#REF!</f>
        <v>#REF!</v>
      </c>
      <c r="AS114" s="20">
        <f>DATA!AZ102</f>
        <v>0</v>
      </c>
      <c r="AT114" s="37" t="str">
        <f>DATA!BA102</f>
        <v>Meningkatkan kapasitas sistem sungai dengan total panjang 4.35 km dan drainase di kota-kota untuk mengalirkan air hujan dengan pembangunan tanggul 6,5 Km</v>
      </c>
    </row>
    <row r="115" spans="1:46" ht="46.5" customHeight="1">
      <c r="A115" s="10">
        <f>DATA!A104</f>
        <v>0</v>
      </c>
      <c r="B115" s="10">
        <f>DATA!B104</f>
        <v>0</v>
      </c>
      <c r="C115" s="10" t="str">
        <f>DATA!D104</f>
        <v>INFRASTRUKTUR</v>
      </c>
      <c r="D115" s="10">
        <f>DATA!E104</f>
        <v>1</v>
      </c>
      <c r="E115" s="10" t="str">
        <f>DATA!F104</f>
        <v>Kementerian Pekerjaan Umum dan Perumahan Rakyat</v>
      </c>
      <c r="F115" s="10" t="str">
        <f>DATA!H104</f>
        <v>Mitigation of Water Hazards Program</v>
      </c>
      <c r="G115" s="10" t="str">
        <f>DATA!I104</f>
        <v>K</v>
      </c>
      <c r="H115" s="10" t="str">
        <f>DATA!J104</f>
        <v>Program Mitigasi Terhadap Daya Rusak Air</v>
      </c>
      <c r="I115" s="10">
        <f>DATA!K104</f>
        <v>6</v>
      </c>
      <c r="J115" s="33"/>
      <c r="K115" s="34"/>
      <c r="L115" s="34"/>
      <c r="M115" s="36">
        <f>DATA!K104</f>
        <v>6</v>
      </c>
      <c r="N115" s="37" t="str">
        <f>DATA!L104</f>
        <v>Engineering Service for Coastal and River Development Project</v>
      </c>
      <c r="O115" s="20">
        <f>DATA!Q104</f>
        <v>1</v>
      </c>
      <c r="P115" s="20">
        <f>DATA!R104</f>
        <v>1</v>
      </c>
      <c r="Q115" s="20">
        <f>DATA!S104</f>
        <v>73</v>
      </c>
      <c r="R115" s="77">
        <f>DATA!T104</f>
        <v>50000000</v>
      </c>
      <c r="S115" s="77"/>
      <c r="T115" s="77">
        <f>DATA!V104</f>
        <v>0</v>
      </c>
      <c r="U115" s="77">
        <f>DATA!W104</f>
        <v>0</v>
      </c>
      <c r="V115" s="77">
        <f>DATA!X104</f>
        <v>50000000</v>
      </c>
      <c r="W115" s="78" t="str">
        <f>DATA!Y104</f>
        <v>ADB</v>
      </c>
      <c r="X115" s="20" t="str">
        <f>DATA!Z104</f>
        <v>Multilateral</v>
      </c>
      <c r="Y115" s="77">
        <f>DATA!AA104</f>
        <v>9620000</v>
      </c>
      <c r="Z115" s="77">
        <f>DATA!AG104</f>
        <v>0</v>
      </c>
      <c r="AA115" s="20">
        <f>DATA!AH104</f>
        <v>2016</v>
      </c>
      <c r="AB115" s="37" t="str">
        <f>DATA!AI104</f>
        <v>- Sudah ada RC
- Green Book 2016</v>
      </c>
      <c r="AC115" s="37"/>
      <c r="AD115" s="37"/>
      <c r="AE115" s="37"/>
      <c r="AF115" s="37"/>
      <c r="AG115" s="37"/>
      <c r="AH115" s="37"/>
      <c r="AI115" s="37"/>
      <c r="AJ115" s="37" t="str">
        <f>DATA!AJ104</f>
        <v>FS, DED</v>
      </c>
      <c r="AK115" s="37" t="str">
        <f>DATA!AK104</f>
        <v>Tidak membutuhkan lahan</v>
      </c>
      <c r="AL115" s="37" t="str">
        <f>DATA!AL104</f>
        <v>Belum ada tender/lelang</v>
      </c>
      <c r="AM115" s="20" t="str">
        <f>DATA!AM104</f>
        <v>2016; 2015</v>
      </c>
      <c r="AN115" s="20" t="str">
        <f>DATA!AN104</f>
        <v>siap</v>
      </c>
      <c r="AO115" s="20" t="str">
        <f>DATA!AO104</f>
        <v>tidak butuh lahan</v>
      </c>
      <c r="AP115" s="20" t="str">
        <f>DATA!AP104</f>
        <v>belum ada proses tender/lelang</v>
      </c>
      <c r="AQ115"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R115" s="20" t="e">
        <f>DATA!#REF!</f>
        <v>#REF!</v>
      </c>
      <c r="AS115" s="20">
        <f>DATA!AZ104</f>
        <v>0</v>
      </c>
      <c r="AT115" s="37" t="str">
        <f>DATA!BA104</f>
        <v>Analisis rencana teknis pembangunan infrastruktur sungai di 33 balai wilayah sungai  dan pantai beserta fasilitasnya, O&amp;P dan pengadaan barang dan jasa</v>
      </c>
    </row>
    <row r="116" spans="1:46" ht="49.5" customHeight="1">
      <c r="A116" s="10">
        <f>DATA!A107</f>
        <v>80</v>
      </c>
      <c r="B116" s="10">
        <f>DATA!B107</f>
        <v>0</v>
      </c>
      <c r="C116" s="10" t="str">
        <f>DATA!D107</f>
        <v>INFRASTRUKTUR</v>
      </c>
      <c r="D116" s="10">
        <f>DATA!E107</f>
        <v>1</v>
      </c>
      <c r="E116" s="10" t="str">
        <f>DATA!F107</f>
        <v>Kementerian Pekerjaan Umum dan Perumahan Rakyat</v>
      </c>
      <c r="F116" s="10" t="str">
        <f>DATA!H107</f>
        <v>Mitigation of Water Hazards Program</v>
      </c>
      <c r="G116" s="10" t="str">
        <f>DATA!I107</f>
        <v>K</v>
      </c>
      <c r="H116" s="10" t="str">
        <f>DATA!J107</f>
        <v>Program Mitigasi Terhadap Daya Rusak Air</v>
      </c>
      <c r="I116" s="10">
        <f>DATA!K107</f>
        <v>7</v>
      </c>
      <c r="J116" s="33"/>
      <c r="K116" s="34"/>
      <c r="L116" s="34"/>
      <c r="M116" s="36">
        <f>DATA!K107</f>
        <v>7</v>
      </c>
      <c r="N116" s="37" t="str">
        <f>DATA!L107</f>
        <v>Flood Management in Selected River Basins:</v>
      </c>
      <c r="O116" s="20">
        <f>DATA!Q107</f>
        <v>0</v>
      </c>
      <c r="P116" s="20">
        <f>DATA!R107</f>
        <v>0</v>
      </c>
      <c r="Q116" s="20">
        <f>DATA!S107</f>
        <v>0</v>
      </c>
      <c r="R116" s="77">
        <f>DATA!T107</f>
        <v>308700000</v>
      </c>
      <c r="S116" s="77"/>
      <c r="T116" s="77">
        <f>DATA!V107</f>
        <v>70440000</v>
      </c>
      <c r="U116" s="77">
        <f>DATA!W107</f>
        <v>0</v>
      </c>
      <c r="V116" s="77">
        <f>DATA!X107</f>
        <v>379140000</v>
      </c>
      <c r="W116" s="78" t="str">
        <f>DATA!Y107</f>
        <v>-</v>
      </c>
      <c r="X116" s="20">
        <f>DATA!Z107</f>
        <v>0</v>
      </c>
      <c r="Y116" s="77">
        <f>DATA!AA107</f>
        <v>308700000</v>
      </c>
      <c r="Z116" s="77">
        <f>DATA!AG107</f>
        <v>0</v>
      </c>
      <c r="AA116" s="20" t="str">
        <f>DATA!AH107</f>
        <v>-</v>
      </c>
      <c r="AB116" s="37" t="str">
        <f>DATA!AI107</f>
        <v>-</v>
      </c>
      <c r="AC116" s="37"/>
      <c r="AD116" s="37"/>
      <c r="AE116" s="37"/>
      <c r="AF116" s="37"/>
      <c r="AG116" s="37"/>
      <c r="AH116" s="37"/>
      <c r="AI116" s="37"/>
      <c r="AJ116" s="37" t="str">
        <f>DATA!AJ107</f>
        <v>-</v>
      </c>
      <c r="AK116" s="37" t="str">
        <f>DATA!AK107</f>
        <v>-</v>
      </c>
      <c r="AL116" s="37" t="str">
        <f>DATA!AL107</f>
        <v>-</v>
      </c>
      <c r="AM116" s="20" t="str">
        <f>DATA!AM107</f>
        <v>-</v>
      </c>
      <c r="AN116" s="20">
        <f>DATA!AN107</f>
        <v>0</v>
      </c>
      <c r="AO116" s="20" t="str">
        <f>DATA!AO107</f>
        <v>-</v>
      </c>
      <c r="AP116" s="20">
        <f>DATA!AP107</f>
        <v>0</v>
      </c>
      <c r="AQ116" s="20" t="str">
        <f>DATA!AY107</f>
        <v>Konfirmasi melalui surat Sekjen nomor KU.01.12-Sj/636 tgl 23 Oktober 2015</v>
      </c>
      <c r="AR116" s="20" t="e">
        <f>DATA!#REF!</f>
        <v>#REF!</v>
      </c>
      <c r="AS116" s="20">
        <f>DATA!AZ107</f>
        <v>0</v>
      </c>
      <c r="AT116" s="37" t="str">
        <f>DATA!BA107</f>
        <v>Meningkatkan kesiapan untuk mengelola dan memitigasi banjir melalui pendekatan pengelolaan banjir terpadu di DAS terpilih yang tersebar di seluruh Indonesia</v>
      </c>
    </row>
    <row r="117" spans="1:46" s="6" customFormat="1" ht="38.25">
      <c r="A117" s="6">
        <f>DATA!A108</f>
        <v>83</v>
      </c>
      <c r="B117" s="6">
        <f>DATA!B108</f>
        <v>0</v>
      </c>
      <c r="C117" s="6" t="str">
        <f>DATA!D108</f>
        <v>INFRASTRUKTUR</v>
      </c>
      <c r="D117" s="6">
        <f>DATA!E108</f>
        <v>1</v>
      </c>
      <c r="E117" s="6" t="str">
        <f>DATA!F108</f>
        <v>Kementerian Pekerjaan Umum dan Perumahan Rakyat</v>
      </c>
      <c r="F117" s="6" t="str">
        <f>DATA!H108</f>
        <v>Mitigation of Water Hazards Program</v>
      </c>
      <c r="G117" s="6" t="str">
        <f>DATA!I108</f>
        <v>K</v>
      </c>
      <c r="H117" s="6" t="str">
        <f>DATA!J108</f>
        <v>Program Mitigasi Terhadap Daya Rusak Air</v>
      </c>
      <c r="I117" s="6">
        <f>DATA!K108</f>
        <v>7</v>
      </c>
      <c r="J117" s="38"/>
      <c r="K117" s="39"/>
      <c r="L117" s="39"/>
      <c r="M117" s="72"/>
      <c r="N117" s="67" t="str">
        <f>DATA!L108</f>
        <v>Flood Management in Selected River Basins Sector Project (Additional Financing)</v>
      </c>
      <c r="O117" s="42">
        <f>DATA!Q108</f>
        <v>1</v>
      </c>
      <c r="P117" s="42">
        <f>DATA!R108</f>
        <v>1</v>
      </c>
      <c r="Q117" s="42">
        <f>DATA!S108</f>
        <v>74</v>
      </c>
      <c r="R117" s="83">
        <f>DATA!T108</f>
        <v>200000000</v>
      </c>
      <c r="S117" s="83"/>
      <c r="T117" s="83">
        <f>DATA!V108</f>
        <v>20000000</v>
      </c>
      <c r="U117" s="83">
        <f>DATA!W108</f>
        <v>0</v>
      </c>
      <c r="V117" s="83">
        <f>DATA!X108</f>
        <v>220000000</v>
      </c>
      <c r="W117" s="84" t="str">
        <f>DATA!Y108</f>
        <v>Belum Ada Indikasi</v>
      </c>
      <c r="X117" s="42" t="str">
        <f>DATA!Z108</f>
        <v>Multilateral</v>
      </c>
      <c r="Y117" s="83">
        <f>DATA!AA108</f>
        <v>200000000</v>
      </c>
      <c r="Z117" s="83">
        <f>DATA!AG108</f>
        <v>0</v>
      </c>
      <c r="AA117" s="42" t="str">
        <f>DATA!AH108</f>
        <v>Tanpa keterangan</v>
      </c>
      <c r="AB117" s="67" t="str">
        <f>DATA!AI108</f>
        <v>-</v>
      </c>
      <c r="AC117" s="67"/>
      <c r="AD117" s="67"/>
      <c r="AE117" s="67"/>
      <c r="AF117" s="67"/>
      <c r="AG117" s="67"/>
      <c r="AH117" s="67"/>
      <c r="AI117" s="67"/>
      <c r="AJ117" s="67" t="str">
        <f>DATA!AJ108</f>
        <v>-</v>
      </c>
      <c r="AK117" s="67" t="str">
        <f>DATA!AK108</f>
        <v>-</v>
      </c>
      <c r="AL117" s="67" t="str">
        <f>DATA!AL108</f>
        <v>-</v>
      </c>
      <c r="AM117" s="42" t="str">
        <f>DATA!AR108</f>
        <v>belum ada dokumen R/C</v>
      </c>
      <c r="AN117" s="42" t="str">
        <f>DATA!AN108</f>
        <v>belum ada keterangan</v>
      </c>
      <c r="AO117" s="42" t="str">
        <f>DATA!AO108</f>
        <v>belum ada keterangan</v>
      </c>
      <c r="AP117" s="42" t="str">
        <f>DATA!AP108</f>
        <v>belum ada proses tender/lelang</v>
      </c>
      <c r="AQ117" s="42" t="str">
        <f>DATA!AY108</f>
        <v>Konfirmasi melalui surat Sekjen nomor KU.01.12-Sj/636 tgl 23 Oktober 2015</v>
      </c>
      <c r="AR117" s="42" t="e">
        <f>DATA!#REF!</f>
        <v>#REF!</v>
      </c>
      <c r="AS117" s="42" t="str">
        <f>DATA!AZ108</f>
        <v>untuk wilayah Banten</v>
      </c>
      <c r="AT117" s="67" t="str">
        <f>DATA!BA108</f>
        <v>Meningkatkan kesiapan untuk mengelola dan memitigasi banjir melalui pendekatan pengelolaan banjir terpadu di DAS terpilih</v>
      </c>
    </row>
    <row r="118" spans="1:46" s="6" customFormat="1" ht="87" customHeight="1">
      <c r="A118" s="6">
        <f>DATA!A109</f>
        <v>84</v>
      </c>
      <c r="B118" s="6">
        <f>DATA!B109</f>
        <v>0</v>
      </c>
      <c r="C118" s="6" t="str">
        <f>DATA!D109</f>
        <v>INFRASTRUKTUR</v>
      </c>
      <c r="D118" s="6">
        <f>DATA!E109</f>
        <v>1</v>
      </c>
      <c r="E118" s="6" t="str">
        <f>DATA!F109</f>
        <v>Kementerian Pekerjaan Umum dan Perumahan Rakyat</v>
      </c>
      <c r="F118" s="6" t="str">
        <f>DATA!H109</f>
        <v>Mitigation of Water Hazards Program</v>
      </c>
      <c r="G118" s="6" t="str">
        <f>DATA!I109</f>
        <v>K</v>
      </c>
      <c r="H118" s="6" t="str">
        <f>DATA!J109</f>
        <v>Program Mitigasi Terhadap Daya Rusak Air</v>
      </c>
      <c r="I118" s="6">
        <f>DATA!K109</f>
        <v>7</v>
      </c>
      <c r="J118" s="38"/>
      <c r="K118" s="39"/>
      <c r="L118" s="71"/>
      <c r="M118" s="72"/>
      <c r="N118" s="67" t="str">
        <f>DATA!L109</f>
        <v>Flood Management in Selected River Basins</v>
      </c>
      <c r="O118" s="42">
        <f>DATA!Q109</f>
        <v>1</v>
      </c>
      <c r="P118" s="42">
        <f>DATA!R109</f>
        <v>1</v>
      </c>
      <c r="Q118" s="42">
        <f>DATA!S109</f>
        <v>75</v>
      </c>
      <c r="R118" s="83">
        <f>DATA!T109</f>
        <v>108700000</v>
      </c>
      <c r="S118" s="83"/>
      <c r="T118" s="83">
        <f>DATA!V109</f>
        <v>50440000</v>
      </c>
      <c r="U118" s="83">
        <f>DATA!W109</f>
        <v>0</v>
      </c>
      <c r="V118" s="83">
        <f>DATA!X109</f>
        <v>159140000</v>
      </c>
      <c r="W118" s="84" t="str">
        <f>DATA!Y109</f>
        <v>ADB</v>
      </c>
      <c r="X118" s="42" t="str">
        <f>DATA!Z109</f>
        <v>Multilateral</v>
      </c>
      <c r="Y118" s="83">
        <f>DATA!AA109</f>
        <v>108700000</v>
      </c>
      <c r="Z118" s="83">
        <f>DATA!AG109</f>
        <v>0</v>
      </c>
      <c r="AA118" s="42" t="str">
        <f>DATA!AH109</f>
        <v>Tanpa keterangan</v>
      </c>
      <c r="AB118" s="67" t="str">
        <f>DATA!AI109</f>
        <v>- Sudah ada RC
- Green Book 2015</v>
      </c>
      <c r="AC118" s="67"/>
      <c r="AD118" s="67"/>
      <c r="AE118" s="67"/>
      <c r="AF118" s="67"/>
      <c r="AG118" s="67"/>
      <c r="AH118" s="67"/>
      <c r="AI118" s="67"/>
      <c r="AJ118" s="67" t="str">
        <f>DATA!AJ109</f>
        <v>FS, DED</v>
      </c>
      <c r="AK118" s="67" t="str">
        <f>DATA!AK109</f>
        <v>- Penetapan lokasi dengan SK Gubernur Banten dan Gubernur Maluku
- Izin AMDAL dengan SK Walikota Ambon</v>
      </c>
      <c r="AL118" s="67" t="str">
        <f>DATA!AL109</f>
        <v>Belum ada tender/lelang</v>
      </c>
      <c r="AM118" s="42" t="str">
        <f>DATA!AR109</f>
        <v>-</v>
      </c>
      <c r="AN118" s="42" t="str">
        <f>DATA!AN109</f>
        <v>dalam proses
(memiliki FS dan DED)</v>
      </c>
      <c r="AO118" s="42" t="str">
        <f>DATA!AO109</f>
        <v>dalam proses
(persiapan)</v>
      </c>
      <c r="AP118" s="42" t="str">
        <f>DATA!AP109</f>
        <v>belum ada proses tender/lelang</v>
      </c>
      <c r="AQ118" s="42" t="str">
        <f>DATA!AY109</f>
        <v>Konfirmasi melalui surat Sekjen nomor KU.01.12-Sj/636 tgl 23 Oktober 2015</v>
      </c>
      <c r="AR118" s="42" t="e">
        <f>DATA!#REF!</f>
        <v>#REF!</v>
      </c>
      <c r="AS118" s="42" t="str">
        <f>DATA!AZ109</f>
        <v>Ambon appraisal MoU 2015</v>
      </c>
      <c r="AT118" s="67" t="str">
        <f>DATA!BA109</f>
        <v>Meningkatkan kesiapan untuk mengelola dan memitigasi banjir melalui pendekatan pengelolaan banjir terpadu di DAS Ciujung, DAS Batu Merah, dan DAS Way Ruhu</v>
      </c>
    </row>
    <row r="119" spans="1:46" s="5" customFormat="1" ht="33.75" customHeight="1">
      <c r="J119" s="28"/>
      <c r="K119" s="50"/>
      <c r="L119" s="30" t="str">
        <f>DATA!I110</f>
        <v>L</v>
      </c>
      <c r="M119" s="31" t="str">
        <f>DATA!J110</f>
        <v xml:space="preserve">Program Pengelolaan Infrastruktur Sumber Daya Air </v>
      </c>
      <c r="N119" s="51"/>
      <c r="O119" s="31"/>
      <c r="P119" s="31"/>
      <c r="Q119" s="31"/>
      <c r="R119" s="81">
        <f>+R120+R121+R122</f>
        <v>650000000</v>
      </c>
      <c r="S119" s="81"/>
      <c r="T119" s="81">
        <f t="shared" ref="T119:Z119" si="7">+T120+T121+T122</f>
        <v>130000000</v>
      </c>
      <c r="U119" s="81">
        <f t="shared" si="7"/>
        <v>0</v>
      </c>
      <c r="V119" s="81">
        <f t="shared" si="7"/>
        <v>780000000</v>
      </c>
      <c r="W119" s="81"/>
      <c r="X119" s="81" t="e">
        <f t="shared" si="7"/>
        <v>#VALUE!</v>
      </c>
      <c r="Y119" s="81">
        <f t="shared" si="7"/>
        <v>650000000</v>
      </c>
      <c r="Z119" s="81">
        <f t="shared" si="7"/>
        <v>-50000000</v>
      </c>
      <c r="AA119" s="31"/>
      <c r="AB119" s="32"/>
      <c r="AC119" s="32"/>
      <c r="AD119" s="32"/>
      <c r="AE119" s="32"/>
      <c r="AF119" s="32"/>
      <c r="AG119" s="32"/>
      <c r="AH119" s="32"/>
      <c r="AI119" s="32"/>
      <c r="AJ119" s="32"/>
      <c r="AK119" s="32"/>
      <c r="AL119" s="32"/>
      <c r="AM119" s="31"/>
      <c r="AN119" s="31"/>
      <c r="AO119" s="31"/>
      <c r="AP119" s="31"/>
      <c r="AQ119" s="31"/>
      <c r="AR119" s="31"/>
      <c r="AS119" s="31"/>
      <c r="AT119" s="32"/>
    </row>
    <row r="120" spans="1:46" ht="58.5" customHeight="1">
      <c r="A120" s="10">
        <f>DATA!A110</f>
        <v>85</v>
      </c>
      <c r="B120" s="10">
        <f>DATA!B110</f>
        <v>0</v>
      </c>
      <c r="C120" s="10" t="str">
        <f>DATA!D110</f>
        <v>INFRASTRUKTUR</v>
      </c>
      <c r="D120" s="10">
        <f>DATA!E110</f>
        <v>1</v>
      </c>
      <c r="E120" s="10" t="str">
        <f>DATA!F110</f>
        <v>Kementerian Pekerjaan Umum dan Perumahan Rakyat</v>
      </c>
      <c r="F120" s="10" t="str">
        <f>DATA!H110</f>
        <v>Management of Water Resources Infrastructure Program</v>
      </c>
      <c r="G120" s="10" t="str">
        <f>DATA!I110</f>
        <v>L</v>
      </c>
      <c r="H120" s="10" t="str">
        <f>DATA!J110</f>
        <v xml:space="preserve">Program Pengelolaan Infrastruktur Sumber Daya Air </v>
      </c>
      <c r="I120" s="10">
        <f>DATA!K110</f>
        <v>1</v>
      </c>
      <c r="J120" s="33"/>
      <c r="K120" s="34"/>
      <c r="L120" s="35"/>
      <c r="M120" s="36">
        <f>DATA!K110</f>
        <v>1</v>
      </c>
      <c r="N120" s="37" t="str">
        <f>DATA!L110</f>
        <v xml:space="preserve">Dam Operational Improvement and Safety Project (DOISP) - Phase II </v>
      </c>
      <c r="O120" s="20">
        <f>DATA!Q110</f>
        <v>1</v>
      </c>
      <c r="P120" s="20">
        <f>DATA!R110</f>
        <v>1</v>
      </c>
      <c r="Q120" s="20">
        <f>DATA!S110</f>
        <v>76</v>
      </c>
      <c r="R120" s="77">
        <f>DATA!T110</f>
        <v>250000000</v>
      </c>
      <c r="S120" s="77"/>
      <c r="T120" s="77">
        <f>DATA!V110</f>
        <v>50000000</v>
      </c>
      <c r="U120" s="77">
        <f>DATA!W110</f>
        <v>0</v>
      </c>
      <c r="V120" s="77">
        <f>DATA!X110</f>
        <v>300000000</v>
      </c>
      <c r="W120" s="78" t="str">
        <f>DATA!Y110</f>
        <v>Bank Dunia</v>
      </c>
      <c r="X120" s="20" t="str">
        <f>DATA!Z110</f>
        <v>Multilateral</v>
      </c>
      <c r="Y120" s="77">
        <f>DATA!AA110</f>
        <v>250000000</v>
      </c>
      <c r="Z120" s="77">
        <f>DATA!AG110</f>
        <v>0</v>
      </c>
      <c r="AA120" s="20" t="str">
        <f>DATA!AH110</f>
        <v>Tanpa keterangan</v>
      </c>
      <c r="AB120" s="37" t="str">
        <f>DATA!AI110</f>
        <v>-</v>
      </c>
      <c r="AC120" s="37"/>
      <c r="AD120" s="37"/>
      <c r="AE120" s="37"/>
      <c r="AF120" s="37"/>
      <c r="AG120" s="37"/>
      <c r="AH120" s="37"/>
      <c r="AI120" s="37"/>
      <c r="AJ120" s="37" t="str">
        <f>DATA!AJ110</f>
        <v>FS</v>
      </c>
      <c r="AK120" s="37" t="str">
        <f>DATA!AK110</f>
        <v>-</v>
      </c>
      <c r="AL120" s="37" t="str">
        <f>DATA!AL110</f>
        <v>-</v>
      </c>
      <c r="AM120" s="20" t="str">
        <f>DATA!AR110</f>
        <v>-</v>
      </c>
      <c r="AN120" s="20" t="str">
        <f>DATA!AN110</f>
        <v>dalam proses
(memiliki FS)</v>
      </c>
      <c r="AO120" s="20" t="str">
        <f>DATA!AO110</f>
        <v>belum ada keterangan</v>
      </c>
      <c r="AP120" s="20" t="str">
        <f>DATA!AP110</f>
        <v>belum ada proses tender/lelang</v>
      </c>
      <c r="AQ120" s="20" t="str">
        <f>DATA!AY110</f>
        <v>Konfirmasi melalui surat Sekjen nomor KU.01.12-Sj/636 tgl 23 Oktober 2015</v>
      </c>
      <c r="AR120" s="20" t="e">
        <f>DATA!#REF!</f>
        <v>#REF!</v>
      </c>
      <c r="AS120" s="20">
        <f>DATA!AZ110</f>
        <v>0</v>
      </c>
      <c r="AT120" s="37" t="str">
        <f>DATA!BA110</f>
        <v>Peningkatan operasi dan keamanan 63 bendungan, peningkatan OP dan kapasitas SDM, mitigasi sedimentasi waduk, peningkatan institusi keamanan bendungan dan manajemen proyek</v>
      </c>
    </row>
    <row r="121" spans="1:46" ht="50.25" customHeight="1">
      <c r="A121" s="10">
        <f>DATA!A113</f>
        <v>86</v>
      </c>
      <c r="B121" s="10">
        <f>DATA!B113</f>
        <v>0</v>
      </c>
      <c r="C121" s="10" t="str">
        <f>DATA!D113</f>
        <v>INFRASTRUKTUR</v>
      </c>
      <c r="D121" s="10">
        <f>DATA!E113</f>
        <v>1</v>
      </c>
      <c r="E121" s="10" t="str">
        <f>DATA!F113</f>
        <v>Kementerian Pekerjaan Umum dan Perumahan Rakyat</v>
      </c>
      <c r="F121" s="10" t="str">
        <f>DATA!H113</f>
        <v>Management of Water Resources Infrastructure Program</v>
      </c>
      <c r="G121" s="10" t="str">
        <f>DATA!I113</f>
        <v>L</v>
      </c>
      <c r="H121" s="10" t="str">
        <f>DATA!J113</f>
        <v xml:space="preserve">Program Pengelolaan Infrastruktur Sumber Daya Air </v>
      </c>
      <c r="I121" s="10">
        <f>DATA!K113</f>
        <v>2</v>
      </c>
      <c r="J121" s="33"/>
      <c r="K121" s="34"/>
      <c r="L121" s="34"/>
      <c r="M121" s="36">
        <f>DATA!K113</f>
        <v>2</v>
      </c>
      <c r="N121" s="37" t="str">
        <f>DATA!L113</f>
        <v xml:space="preserve">Enhanced Water Security Investment Program    </v>
      </c>
      <c r="O121" s="20">
        <f>DATA!Q113</f>
        <v>1</v>
      </c>
      <c r="P121" s="20">
        <f>DATA!R113</f>
        <v>1</v>
      </c>
      <c r="Q121" s="20">
        <f>DATA!S113</f>
        <v>77</v>
      </c>
      <c r="R121" s="77">
        <f>DATA!T113</f>
        <v>350000000</v>
      </c>
      <c r="S121" s="77"/>
      <c r="T121" s="77">
        <f>DATA!V113</f>
        <v>70000000</v>
      </c>
      <c r="U121" s="77">
        <f>DATA!W113</f>
        <v>0</v>
      </c>
      <c r="V121" s="77">
        <f>DATA!X113</f>
        <v>420000000</v>
      </c>
      <c r="W121" s="78" t="str">
        <f>DATA!Y113</f>
        <v>ADB</v>
      </c>
      <c r="X121" s="20" t="str">
        <f>DATA!Z113</f>
        <v>Multilateral</v>
      </c>
      <c r="Y121" s="77">
        <f>DATA!AA113</f>
        <v>350000000</v>
      </c>
      <c r="Z121" s="77">
        <f>DATA!AG113</f>
        <v>0</v>
      </c>
      <c r="AA121" s="20" t="str">
        <f>DATA!AH113</f>
        <v>Tanpa keterangan</v>
      </c>
      <c r="AB121" s="37" t="str">
        <f>DATA!AI113</f>
        <v>-</v>
      </c>
      <c r="AC121" s="37"/>
      <c r="AD121" s="37"/>
      <c r="AE121" s="37"/>
      <c r="AF121" s="37"/>
      <c r="AG121" s="37"/>
      <c r="AH121" s="37"/>
      <c r="AI121" s="37"/>
      <c r="AJ121" s="37" t="str">
        <f>DATA!AJ113</f>
        <v>-</v>
      </c>
      <c r="AK121" s="37" t="str">
        <f>DATA!AK113</f>
        <v>-</v>
      </c>
      <c r="AL121" s="37" t="str">
        <f>DATA!AL113</f>
        <v>-</v>
      </c>
      <c r="AM121" s="20" t="str">
        <f>DATA!AR113</f>
        <v>belum ada dokumen R/C</v>
      </c>
      <c r="AN121" s="20" t="str">
        <f>DATA!AN113</f>
        <v>belum ada keterangan</v>
      </c>
      <c r="AO121" s="20" t="str">
        <f>DATA!AO113</f>
        <v>belum ada keterangan</v>
      </c>
      <c r="AP121" s="20" t="str">
        <f>DATA!AP113</f>
        <v>belum ada proses tender/lelang</v>
      </c>
      <c r="AQ121" s="20" t="str">
        <f>DATA!AY113</f>
        <v>Konfirmasi melalui surat Sekjen nomor KU.01.12-Sj/636 tgl 23 Oktober 2015</v>
      </c>
      <c r="AR121" s="20" t="e">
        <f>DATA!#REF!</f>
        <v>#REF!</v>
      </c>
      <c r="AS121" s="20" t="str">
        <f>DATA!AZ113</f>
        <v>Belum ada pembicaraan dgn ADB</v>
      </c>
      <c r="AT121" s="37" t="str">
        <f>DATA!BA113</f>
        <v>Peningkatan kapasitas waduk, pemanfaatan potensi bendungan untuk pembangkit listrik dan manajemen proyek</v>
      </c>
    </row>
    <row r="122" spans="1:46" ht="32.25" customHeight="1">
      <c r="A122" s="10">
        <f>DATA!A114</f>
        <v>87</v>
      </c>
      <c r="B122" s="10">
        <f>DATA!B114</f>
        <v>0</v>
      </c>
      <c r="C122" s="10" t="str">
        <f>DATA!D114</f>
        <v>INFRASTRUKTUR</v>
      </c>
      <c r="D122" s="10">
        <f>DATA!E114</f>
        <v>1</v>
      </c>
      <c r="E122" s="10" t="str">
        <f>DATA!F114</f>
        <v>Kementerian Pekerjaan Umum dan Perumahan Rakyat</v>
      </c>
      <c r="F122" s="10" t="str">
        <f>DATA!H114</f>
        <v>Management of Water Resources Infrastructure Program</v>
      </c>
      <c r="G122" s="10" t="str">
        <f>DATA!I114</f>
        <v>L</v>
      </c>
      <c r="H122" s="10" t="str">
        <f>DATA!J114</f>
        <v xml:space="preserve">Program Pengelolaan Infrastruktur Sumber Daya Air </v>
      </c>
      <c r="I122" s="10">
        <f>DATA!K114</f>
        <v>3</v>
      </c>
      <c r="J122" s="33"/>
      <c r="K122" s="34"/>
      <c r="L122" s="54"/>
      <c r="M122" s="36">
        <f>DATA!K114</f>
        <v>3</v>
      </c>
      <c r="N122" s="37" t="str">
        <f>DATA!L114</f>
        <v>Engineering Service for Water Resources Infrastructure Management</v>
      </c>
      <c r="O122" s="20">
        <f>DATA!Q114</f>
        <v>1</v>
      </c>
      <c r="P122" s="20">
        <f>DATA!R114</f>
        <v>1</v>
      </c>
      <c r="Q122" s="20">
        <f>DATA!S114</f>
        <v>78</v>
      </c>
      <c r="R122" s="77">
        <f>DATA!T114</f>
        <v>50000000</v>
      </c>
      <c r="S122" s="77"/>
      <c r="T122" s="77">
        <f>DATA!V114</f>
        <v>10000000</v>
      </c>
      <c r="U122" s="77">
        <f>DATA!W114</f>
        <v>0</v>
      </c>
      <c r="V122" s="77">
        <f>DATA!X114</f>
        <v>60000000</v>
      </c>
      <c r="W122" s="78" t="str">
        <f>DATA!Y114</f>
        <v>Belum Ada Indikasi</v>
      </c>
      <c r="X122" s="20" t="str">
        <f>DATA!Z114</f>
        <v>Multilateral</v>
      </c>
      <c r="Y122" s="77">
        <f>DATA!AA114</f>
        <v>50000000</v>
      </c>
      <c r="Z122" s="77">
        <f>DATA!AG114</f>
        <v>-50000000</v>
      </c>
      <c r="AA122" s="20" t="str">
        <f>DATA!AH114</f>
        <v>Tanpa keterangan</v>
      </c>
      <c r="AB122" s="37" t="str">
        <f>DATA!AI114</f>
        <v>-</v>
      </c>
      <c r="AC122" s="37"/>
      <c r="AD122" s="37"/>
      <c r="AE122" s="37"/>
      <c r="AF122" s="37"/>
      <c r="AG122" s="37"/>
      <c r="AH122" s="37"/>
      <c r="AI122" s="37"/>
      <c r="AJ122" s="37" t="str">
        <f>DATA!AJ114</f>
        <v>-</v>
      </c>
      <c r="AK122" s="37" t="str">
        <f>DATA!AK114</f>
        <v>-</v>
      </c>
      <c r="AL122" s="37" t="str">
        <f>DATA!AL114</f>
        <v>-</v>
      </c>
      <c r="AM122" s="20" t="str">
        <f>DATA!AR114</f>
        <v>belum ada dokumen R/C</v>
      </c>
      <c r="AN122" s="20" t="str">
        <f>DATA!AN114</f>
        <v>siap</v>
      </c>
      <c r="AO122" s="20" t="str">
        <f>DATA!AO114</f>
        <v>tidak butuh lahan</v>
      </c>
      <c r="AP122" s="20" t="str">
        <f>DATA!AP114</f>
        <v>belum ada proses tender/lelang</v>
      </c>
      <c r="AQ122" s="20" t="str">
        <f>DATA!AY114</f>
        <v>Konfirmasi melalui surat Sekjen nomor KU.01.12-Sj/636 tgl 23 Oktober 2015</v>
      </c>
      <c r="AR122" s="20" t="e">
        <f>DATA!#REF!</f>
        <v>#REF!</v>
      </c>
      <c r="AS122" s="20" t="str">
        <f>DATA!AZ114</f>
        <v>Belum ada pembicaraan dgn ADB</v>
      </c>
      <c r="AT122" s="37" t="str">
        <f>DATA!BA114</f>
        <v>Engineering services dan management project untuk pengelolaan infrastruktur sumber daya air</v>
      </c>
    </row>
    <row r="123" spans="1:46" s="5" customFormat="1" ht="33.75" customHeight="1">
      <c r="J123" s="28"/>
      <c r="K123" s="50"/>
      <c r="L123" s="30" t="str">
        <f>DATA!I117</f>
        <v>M</v>
      </c>
      <c r="M123" s="31" t="str">
        <f>DATA!J117</f>
        <v>Program Penyediaaan Perumahan Bagi MBR</v>
      </c>
      <c r="N123" s="51"/>
      <c r="O123" s="31"/>
      <c r="P123" s="31"/>
      <c r="Q123" s="31"/>
      <c r="R123" s="81">
        <f>+R124</f>
        <v>300000000</v>
      </c>
      <c r="S123" s="81"/>
      <c r="T123" s="81">
        <f t="shared" ref="T123:Z123" si="8">+T124</f>
        <v>15000000</v>
      </c>
      <c r="U123" s="81">
        <f t="shared" si="8"/>
        <v>7000000</v>
      </c>
      <c r="V123" s="81">
        <f t="shared" si="8"/>
        <v>322000000</v>
      </c>
      <c r="W123" s="81"/>
      <c r="X123" s="81" t="str">
        <f t="shared" si="8"/>
        <v>Multilateral</v>
      </c>
      <c r="Y123" s="81">
        <f t="shared" si="8"/>
        <v>300000000</v>
      </c>
      <c r="Z123" s="81">
        <f t="shared" si="8"/>
        <v>0</v>
      </c>
      <c r="AA123" s="31"/>
      <c r="AB123" s="32"/>
      <c r="AC123" s="32"/>
      <c r="AD123" s="32"/>
      <c r="AE123" s="32"/>
      <c r="AF123" s="32"/>
      <c r="AG123" s="32"/>
      <c r="AH123" s="32"/>
      <c r="AI123" s="32"/>
      <c r="AJ123" s="32"/>
      <c r="AK123" s="32"/>
      <c r="AL123" s="32"/>
      <c r="AM123" s="31"/>
      <c r="AN123" s="31"/>
      <c r="AO123" s="31"/>
      <c r="AP123" s="31"/>
      <c r="AQ123" s="31"/>
      <c r="AR123" s="31"/>
      <c r="AS123" s="31"/>
      <c r="AT123" s="32"/>
    </row>
    <row r="124" spans="1:46" ht="45.75" customHeight="1">
      <c r="A124" s="10">
        <f>DATA!A117</f>
        <v>88</v>
      </c>
      <c r="B124" s="10">
        <f>DATA!B117</f>
        <v>0</v>
      </c>
      <c r="C124" s="10" t="str">
        <f>DATA!D117</f>
        <v>INFRASTRUKTUR</v>
      </c>
      <c r="D124" s="10">
        <f>DATA!E117</f>
        <v>1</v>
      </c>
      <c r="E124" s="10" t="str">
        <f>DATA!F117</f>
        <v>Kementerian Pekerjaan Umum dan Perumahan Rakyat</v>
      </c>
      <c r="F124" s="10" t="str">
        <f>DATA!H117</f>
        <v>Program for Provision of Housing For Low-Income Households</v>
      </c>
      <c r="G124" s="10" t="str">
        <f>DATA!I117</f>
        <v>M</v>
      </c>
      <c r="H124" s="10" t="str">
        <f>DATA!J117</f>
        <v>Program Penyediaaan Perumahan Bagi MBR</v>
      </c>
      <c r="I124" s="10">
        <f>DATA!K117</f>
        <v>1</v>
      </c>
      <c r="J124" s="33"/>
      <c r="K124" s="54"/>
      <c r="L124" s="20"/>
      <c r="M124" s="36">
        <f>DATA!K117</f>
        <v>1</v>
      </c>
      <c r="N124" s="37" t="str">
        <f>DATA!L117</f>
        <v xml:space="preserve">Financial Support for Low Income Households </v>
      </c>
      <c r="O124" s="20">
        <f>DATA!Q117</f>
        <v>0</v>
      </c>
      <c r="P124" s="20">
        <f>DATA!R117</f>
        <v>0</v>
      </c>
      <c r="Q124" s="20">
        <f>DATA!S117</f>
        <v>79</v>
      </c>
      <c r="R124" s="77">
        <f>DATA!T117</f>
        <v>300000000</v>
      </c>
      <c r="S124" s="77"/>
      <c r="T124" s="77">
        <f>DATA!V117</f>
        <v>15000000</v>
      </c>
      <c r="U124" s="77">
        <f>DATA!W117</f>
        <v>7000000</v>
      </c>
      <c r="V124" s="77">
        <f>DATA!X117</f>
        <v>322000000</v>
      </c>
      <c r="W124" s="78" t="str">
        <f>DATA!Y117</f>
        <v>Bank Dunia</v>
      </c>
      <c r="X124" s="20" t="str">
        <f>DATA!Z117</f>
        <v>Multilateral</v>
      </c>
      <c r="Y124" s="77">
        <f>DATA!AA117</f>
        <v>300000000</v>
      </c>
      <c r="Z124" s="77">
        <f>DATA!AG117</f>
        <v>0</v>
      </c>
      <c r="AA124" s="20">
        <f>DATA!AH117</f>
        <v>2017</v>
      </c>
      <c r="AB124" s="37" t="str">
        <f>DATA!AI117</f>
        <v>Penyusunan R/C</v>
      </c>
      <c r="AC124" s="37"/>
      <c r="AD124" s="37"/>
      <c r="AE124" s="37"/>
      <c r="AF124" s="37"/>
      <c r="AG124" s="37"/>
      <c r="AH124" s="37"/>
      <c r="AI124" s="37"/>
      <c r="AJ124" s="37" t="str">
        <f>DATA!AJ117</f>
        <v>-</v>
      </c>
      <c r="AK124" s="37" t="str">
        <f>DATA!AK117</f>
        <v>-</v>
      </c>
      <c r="AL124" s="37" t="str">
        <f>DATA!AL117</f>
        <v>-</v>
      </c>
      <c r="AM124" s="20" t="str">
        <f>DATA!AR117</f>
        <v>belum ada dokumen R/C</v>
      </c>
      <c r="AN124" s="20" t="str">
        <f>DATA!AN117</f>
        <v>belum ada keterangan</v>
      </c>
      <c r="AO124" s="20" t="str">
        <f>DATA!AO117</f>
        <v>belum ada keterangan</v>
      </c>
      <c r="AP124" s="20" t="str">
        <f>DATA!AP117</f>
        <v>belum ada proses tender/lelang</v>
      </c>
      <c r="AQ124" s="20" t="str">
        <f>DATA!AY117</f>
        <v>Konfirmasi melalui surat Sekjen nomor KU.01.12-Sj/636 tgl 23 Oktober 2015</v>
      </c>
      <c r="AR124" s="20" t="e">
        <f>DATA!#REF!</f>
        <v>#REF!</v>
      </c>
      <c r="AS124" s="20" t="str">
        <f>DATA!AZ117</f>
        <v>Tujuan kegiatan ini adalah untuk membantu uang muka pembangunan rumah</v>
      </c>
      <c r="AT124" s="37" t="str">
        <f>DATA!BA117</f>
        <v>Peningkatan kapasitas lembaga pembiayaan, pengembangan sistem pembiayaan perumahan mikro, dan pengembangan  sistem pembiayaan perumahan</v>
      </c>
    </row>
    <row r="125" spans="1:46" s="4" customFormat="1" ht="24.95" customHeight="1">
      <c r="J125" s="107"/>
      <c r="K125" s="25">
        <f>DATA!E118</f>
        <v>2</v>
      </c>
      <c r="L125" s="108" t="str">
        <f>DATA!F118</f>
        <v>PERUMNAS</v>
      </c>
      <c r="M125" s="26"/>
      <c r="N125" s="27"/>
      <c r="O125" s="26"/>
      <c r="P125" s="26"/>
      <c r="Q125" s="26"/>
      <c r="R125" s="80">
        <f>+R126</f>
        <v>200000000</v>
      </c>
      <c r="S125" s="80"/>
      <c r="T125" s="80">
        <f t="shared" ref="T125:Z126" si="9">+T126</f>
        <v>20000000</v>
      </c>
      <c r="U125" s="80">
        <f t="shared" si="9"/>
        <v>0</v>
      </c>
      <c r="V125" s="80">
        <f t="shared" si="9"/>
        <v>220000000</v>
      </c>
      <c r="W125" s="80"/>
      <c r="X125" s="80" t="str">
        <f t="shared" si="9"/>
        <v>Bilateral</v>
      </c>
      <c r="Y125" s="80">
        <f t="shared" si="9"/>
        <v>200000000</v>
      </c>
      <c r="Z125" s="80">
        <f t="shared" si="9"/>
        <v>0</v>
      </c>
      <c r="AA125" s="26"/>
      <c r="AB125" s="27"/>
      <c r="AC125" s="27"/>
      <c r="AD125" s="27"/>
      <c r="AE125" s="27"/>
      <c r="AF125" s="27"/>
      <c r="AG125" s="27"/>
      <c r="AH125" s="27"/>
      <c r="AI125" s="27"/>
      <c r="AJ125" s="27"/>
      <c r="AK125" s="27"/>
      <c r="AL125" s="27"/>
      <c r="AM125" s="26"/>
      <c r="AN125" s="26"/>
      <c r="AO125" s="26"/>
      <c r="AP125" s="26"/>
      <c r="AQ125" s="26"/>
      <c r="AR125" s="26"/>
      <c r="AS125" s="26"/>
      <c r="AT125" s="27"/>
    </row>
    <row r="126" spans="1:46" s="5" customFormat="1" ht="33.75" customHeight="1">
      <c r="J126" s="28"/>
      <c r="K126" s="29"/>
      <c r="L126" s="30" t="str">
        <f>DATA!I118</f>
        <v>A</v>
      </c>
      <c r="M126" s="31" t="str">
        <f>DATA!J118</f>
        <v>Program Penyediaaan Perumahan Bagi MBR</v>
      </c>
      <c r="N126" s="51"/>
      <c r="O126" s="31"/>
      <c r="P126" s="31"/>
      <c r="Q126" s="31"/>
      <c r="R126" s="81">
        <f>+R127</f>
        <v>200000000</v>
      </c>
      <c r="S126" s="81"/>
      <c r="T126" s="81">
        <f t="shared" si="9"/>
        <v>20000000</v>
      </c>
      <c r="U126" s="81">
        <f t="shared" si="9"/>
        <v>0</v>
      </c>
      <c r="V126" s="81">
        <f t="shared" si="9"/>
        <v>220000000</v>
      </c>
      <c r="W126" s="81"/>
      <c r="X126" s="81" t="str">
        <f t="shared" si="9"/>
        <v>Bilateral</v>
      </c>
      <c r="Y126" s="81">
        <f t="shared" si="9"/>
        <v>200000000</v>
      </c>
      <c r="Z126" s="81">
        <f t="shared" si="9"/>
        <v>0</v>
      </c>
      <c r="AA126" s="31"/>
      <c r="AB126" s="32"/>
      <c r="AC126" s="32"/>
      <c r="AD126" s="32"/>
      <c r="AE126" s="32"/>
      <c r="AF126" s="32"/>
      <c r="AG126" s="32"/>
      <c r="AH126" s="32"/>
      <c r="AI126" s="32"/>
      <c r="AJ126" s="32"/>
      <c r="AK126" s="32"/>
      <c r="AL126" s="32"/>
      <c r="AM126" s="31"/>
      <c r="AN126" s="31"/>
      <c r="AO126" s="31"/>
      <c r="AP126" s="31"/>
      <c r="AQ126" s="31"/>
      <c r="AR126" s="31"/>
      <c r="AS126" s="31"/>
      <c r="AT126" s="32"/>
    </row>
    <row r="127" spans="1:46" ht="63.75">
      <c r="A127" s="10">
        <f>DATA!A118</f>
        <v>89</v>
      </c>
      <c r="B127" s="10">
        <f>DATA!B118</f>
        <v>0</v>
      </c>
      <c r="C127" s="10" t="str">
        <f>DATA!D118</f>
        <v>INFRASTRUKTUR</v>
      </c>
      <c r="D127" s="10">
        <f>DATA!E118</f>
        <v>2</v>
      </c>
      <c r="E127" s="10" t="str">
        <f>DATA!F118</f>
        <v>PERUMNAS</v>
      </c>
      <c r="F127" s="10" t="str">
        <f>DATA!H118</f>
        <v>Program for Provision of Housing For Low-Income Households</v>
      </c>
      <c r="G127" s="10" t="str">
        <f>DATA!I118</f>
        <v>A</v>
      </c>
      <c r="H127" s="10" t="str">
        <f>DATA!J118</f>
        <v>Program Penyediaaan Perumahan Bagi MBR</v>
      </c>
      <c r="I127" s="10">
        <f>DATA!K118</f>
        <v>1</v>
      </c>
      <c r="J127" s="33"/>
      <c r="K127" s="54"/>
      <c r="L127" s="20"/>
      <c r="M127" s="36">
        <f>DATA!K118</f>
        <v>1</v>
      </c>
      <c r="N127" s="37" t="str">
        <f>DATA!L118</f>
        <v>Support for National Housing and Urban Development Cooperation</v>
      </c>
      <c r="O127" s="20">
        <f>DATA!Q118</f>
        <v>1</v>
      </c>
      <c r="P127" s="20">
        <f>DATA!R118</f>
        <v>1</v>
      </c>
      <c r="Q127" s="20">
        <f>DATA!S118</f>
        <v>80</v>
      </c>
      <c r="R127" s="77">
        <f>DATA!T118</f>
        <v>200000000</v>
      </c>
      <c r="S127" s="77"/>
      <c r="T127" s="77">
        <f>DATA!V118</f>
        <v>20000000</v>
      </c>
      <c r="U127" s="77">
        <f>DATA!W118</f>
        <v>0</v>
      </c>
      <c r="V127" s="77">
        <f>DATA!X118</f>
        <v>220000000</v>
      </c>
      <c r="W127" s="78" t="str">
        <f>DATA!Y118</f>
        <v>JICA</v>
      </c>
      <c r="X127" s="20" t="str">
        <f>DATA!Z118</f>
        <v>Bilateral</v>
      </c>
      <c r="Y127" s="77">
        <f>DATA!AA118</f>
        <v>200000000</v>
      </c>
      <c r="Z127" s="77">
        <f>DATA!AG118</f>
        <v>0</v>
      </c>
      <c r="AA127" s="20">
        <f>DATA!AH118</f>
        <v>2017</v>
      </c>
      <c r="AB127" s="37" t="str">
        <f>DATA!AI118</f>
        <v>Penyusunan R/C</v>
      </c>
      <c r="AC127" s="37"/>
      <c r="AD127" s="37"/>
      <c r="AE127" s="37"/>
      <c r="AF127" s="37"/>
      <c r="AG127" s="37"/>
      <c r="AH127" s="37"/>
      <c r="AI127" s="37"/>
      <c r="AJ127" s="37" t="str">
        <f>DATA!AJ118</f>
        <v>FS, DED</v>
      </c>
      <c r="AK127" s="37" t="str">
        <f>DATA!AK118</f>
        <v>100% (lahan milik PERUMNAS)</v>
      </c>
      <c r="AL127" s="37" t="str">
        <f>DATA!AL118</f>
        <v>Mengikuti tahapan setiap project sesuai Standart Operational Procedure (SOP) Perumnas</v>
      </c>
      <c r="AM127" s="20" t="str">
        <f>DATA!AR118</f>
        <v>belum ada dokumen R/C</v>
      </c>
      <c r="AN127" s="20" t="str">
        <f>DATA!AN118</f>
        <v>dalam proses
(memiliki FS dan DED)</v>
      </c>
      <c r="AO127" s="20" t="str">
        <f>DATA!AO118</f>
        <v>siap</v>
      </c>
      <c r="AP127" s="20" t="str">
        <f>DATA!AP118</f>
        <v>belum ada proses tender/lelang</v>
      </c>
      <c r="AQ127"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R127" s="20" t="e">
        <f>DATA!#REF!</f>
        <v>#REF!</v>
      </c>
      <c r="AS127" s="20">
        <f>DATA!AZ118</f>
        <v>0</v>
      </c>
      <c r="AT127" s="37" t="str">
        <f>DATA!BA118</f>
        <v>Membangun 69.784 unit rumah (35.438 unit rumah sederhana tapak dan 34.346 unit rumah susun), meremajakan 3.816 unit rumah susun, dan mengelola perumahan umum (property management)</v>
      </c>
    </row>
    <row r="128" spans="1:46" s="4" customFormat="1" ht="24.95" customHeight="1">
      <c r="J128" s="107"/>
      <c r="K128" s="25">
        <f>DATA!E119</f>
        <v>3</v>
      </c>
      <c r="L128" s="108" t="str">
        <f>DATA!F119</f>
        <v>Kementerian Perhubungan</v>
      </c>
      <c r="M128" s="25"/>
      <c r="N128" s="27"/>
      <c r="O128" s="26"/>
      <c r="P128" s="26"/>
      <c r="Q128" s="26"/>
      <c r="R128" s="80">
        <f>+R129</f>
        <v>5765336700</v>
      </c>
      <c r="S128" s="80"/>
      <c r="T128" s="80">
        <f t="shared" ref="T128:Z128" si="10">+T129</f>
        <v>647453200</v>
      </c>
      <c r="U128" s="80">
        <f t="shared" si="10"/>
        <v>0</v>
      </c>
      <c r="V128" s="80">
        <f t="shared" si="10"/>
        <v>6412789900</v>
      </c>
      <c r="W128" s="80"/>
      <c r="X128" s="80" t="e">
        <f t="shared" si="10"/>
        <v>#VALUE!</v>
      </c>
      <c r="Y128" s="80">
        <f t="shared" si="10"/>
        <v>5765336700</v>
      </c>
      <c r="Z128" s="80">
        <f t="shared" si="10"/>
        <v>0</v>
      </c>
      <c r="AA128" s="26"/>
      <c r="AB128" s="27"/>
      <c r="AC128" s="27"/>
      <c r="AD128" s="27"/>
      <c r="AE128" s="27"/>
      <c r="AF128" s="27"/>
      <c r="AG128" s="27"/>
      <c r="AH128" s="27"/>
      <c r="AI128" s="27"/>
      <c r="AJ128" s="27"/>
      <c r="AK128" s="27"/>
      <c r="AL128" s="27"/>
      <c r="AM128" s="26"/>
      <c r="AN128" s="26"/>
      <c r="AO128" s="26"/>
      <c r="AP128" s="26"/>
      <c r="AQ128" s="26"/>
      <c r="AR128" s="26"/>
      <c r="AS128" s="26"/>
      <c r="AT128" s="27"/>
    </row>
    <row r="129" spans="1:46" s="5" customFormat="1" ht="33.75" customHeight="1">
      <c r="J129" s="28"/>
      <c r="K129" s="29"/>
      <c r="L129" s="30" t="str">
        <f>DATA!I119</f>
        <v>A</v>
      </c>
      <c r="M129" s="31" t="str">
        <f>DATA!J119</f>
        <v>Program Pengembangan Perkeretaapian</v>
      </c>
      <c r="N129" s="51"/>
      <c r="O129" s="31"/>
      <c r="P129" s="31"/>
      <c r="Q129" s="31"/>
      <c r="R129" s="81">
        <f>+R130+R133+R134+R135</f>
        <v>5765336700</v>
      </c>
      <c r="S129" s="81"/>
      <c r="T129" s="81">
        <f t="shared" ref="T129:Z129" si="11">+T130+T133+T134+T135</f>
        <v>647453200</v>
      </c>
      <c r="U129" s="81">
        <f t="shared" si="11"/>
        <v>0</v>
      </c>
      <c r="V129" s="81">
        <f t="shared" si="11"/>
        <v>6412789900</v>
      </c>
      <c r="W129" s="81"/>
      <c r="X129" s="81" t="e">
        <f t="shared" si="11"/>
        <v>#VALUE!</v>
      </c>
      <c r="Y129" s="81">
        <f t="shared" si="11"/>
        <v>5765336700</v>
      </c>
      <c r="Z129" s="81">
        <f t="shared" si="11"/>
        <v>0</v>
      </c>
      <c r="AA129" s="31"/>
      <c r="AB129" s="32"/>
      <c r="AC129" s="32"/>
      <c r="AD129" s="32"/>
      <c r="AE129" s="32"/>
      <c r="AF129" s="32"/>
      <c r="AG129" s="32"/>
      <c r="AH129" s="32"/>
      <c r="AI129" s="32"/>
      <c r="AJ129" s="32"/>
      <c r="AK129" s="32"/>
      <c r="AL129" s="32"/>
      <c r="AM129" s="31"/>
      <c r="AN129" s="31"/>
      <c r="AO129" s="31"/>
      <c r="AP129" s="31"/>
      <c r="AQ129" s="31"/>
      <c r="AR129" s="31"/>
      <c r="AS129" s="31"/>
      <c r="AT129" s="32"/>
    </row>
    <row r="130" spans="1:46" ht="27.75" customHeight="1">
      <c r="A130" s="10">
        <f>DATA!A119</f>
        <v>90</v>
      </c>
      <c r="B130" s="10">
        <f>DATA!B119</f>
        <v>0</v>
      </c>
      <c r="C130" s="10" t="str">
        <f>DATA!D119</f>
        <v>INFRASTRUKTUR</v>
      </c>
      <c r="D130" s="10">
        <f>DATA!E119</f>
        <v>3</v>
      </c>
      <c r="E130" s="10" t="str">
        <f>DATA!F119</f>
        <v>Kementerian Perhubungan</v>
      </c>
      <c r="F130" s="10" t="str">
        <f>DATA!H119</f>
        <v>Railway Development Program</v>
      </c>
      <c r="G130" s="10" t="str">
        <f>DATA!I119</f>
        <v>A</v>
      </c>
      <c r="H130" s="10" t="str">
        <f>DATA!J119</f>
        <v>Program Pengembangan Perkeretaapian</v>
      </c>
      <c r="I130" s="10">
        <f>DATA!K119</f>
        <v>1</v>
      </c>
      <c r="J130" s="33"/>
      <c r="K130" s="34"/>
      <c r="L130" s="35"/>
      <c r="M130" s="36">
        <f>DATA!K119</f>
        <v>1</v>
      </c>
      <c r="N130" s="37" t="str">
        <f>DATA!L119</f>
        <v>Procurement of Track Material and Turn Out:</v>
      </c>
      <c r="O130" s="20">
        <f>DATA!Q119</f>
        <v>0</v>
      </c>
      <c r="P130" s="20">
        <f>DATA!R119</f>
        <v>0</v>
      </c>
      <c r="Q130" s="20">
        <f>DATA!S119</f>
        <v>0</v>
      </c>
      <c r="R130" s="77">
        <f>DATA!T119</f>
        <v>492336700</v>
      </c>
      <c r="S130" s="77"/>
      <c r="T130" s="77">
        <f>DATA!V119</f>
        <v>119453200</v>
      </c>
      <c r="U130" s="77">
        <f>DATA!W119</f>
        <v>0</v>
      </c>
      <c r="V130" s="77">
        <f>DATA!X119</f>
        <v>611789900</v>
      </c>
      <c r="W130" s="78" t="str">
        <f>DATA!Y119</f>
        <v>-</v>
      </c>
      <c r="X130" s="20">
        <f>DATA!Z119</f>
        <v>0</v>
      </c>
      <c r="Y130" s="77">
        <f>DATA!AA119</f>
        <v>492336700</v>
      </c>
      <c r="Z130" s="77">
        <f>DATA!AG119</f>
        <v>0</v>
      </c>
      <c r="AA130" s="20" t="str">
        <f>DATA!AH119</f>
        <v>-</v>
      </c>
      <c r="AB130" s="37" t="str">
        <f>DATA!AI119</f>
        <v>-</v>
      </c>
      <c r="AC130" s="37"/>
      <c r="AD130" s="37"/>
      <c r="AE130" s="37"/>
      <c r="AF130" s="37"/>
      <c r="AG130" s="37"/>
      <c r="AH130" s="37"/>
      <c r="AI130" s="37"/>
      <c r="AJ130" s="37" t="str">
        <f>DATA!AJ119</f>
        <v>-</v>
      </c>
      <c r="AK130" s="37" t="str">
        <f>DATA!AK119</f>
        <v>-</v>
      </c>
      <c r="AL130" s="37" t="str">
        <f>DATA!AL119</f>
        <v>-</v>
      </c>
      <c r="AM130" s="20" t="str">
        <f>DATA!AM119</f>
        <v>-</v>
      </c>
      <c r="AN130" s="20">
        <f>DATA!AN119</f>
        <v>0</v>
      </c>
      <c r="AO130" s="20" t="str">
        <f>DATA!AO119</f>
        <v>-</v>
      </c>
      <c r="AP130" s="20">
        <f>DATA!AP119</f>
        <v>0</v>
      </c>
      <c r="AQ130" s="20" t="str">
        <f>DATA!AY119</f>
        <v>Surat Kepala Biro Perencanaan nomor 548/BI/SRT/IX/2015 tgl 10 September 2015</v>
      </c>
      <c r="AR130" s="20" t="e">
        <f>DATA!#REF!</f>
        <v>#REF!</v>
      </c>
      <c r="AS130" s="20">
        <f>DATA!AZ119</f>
        <v>0</v>
      </c>
      <c r="AT130" s="37" t="str">
        <f>DATA!BA119</f>
        <v>Pengadaan 4.500 km track material dan pengadaan 650 unit wesel</v>
      </c>
    </row>
    <row r="131" spans="1:46" s="6" customFormat="1" ht="89.25">
      <c r="A131" s="6">
        <f>DATA!A120</f>
        <v>91</v>
      </c>
      <c r="B131" s="6">
        <f>DATA!B120</f>
        <v>0</v>
      </c>
      <c r="C131" s="6" t="str">
        <f>DATA!D120</f>
        <v>INFRASTRUKTUR</v>
      </c>
      <c r="D131" s="6">
        <f>DATA!E120</f>
        <v>3</v>
      </c>
      <c r="E131" s="6" t="str">
        <f>DATA!F120</f>
        <v>Kementerian Perhubungan</v>
      </c>
      <c r="F131" s="6" t="str">
        <f>DATA!H120</f>
        <v>Railway Development Program</v>
      </c>
      <c r="G131" s="6" t="str">
        <f>DATA!I120</f>
        <v>A</v>
      </c>
      <c r="H131" s="6" t="str">
        <f>DATA!J120</f>
        <v>Program Pengembangan Perkeretaapian</v>
      </c>
      <c r="I131" s="6">
        <f>DATA!K120</f>
        <v>1</v>
      </c>
      <c r="J131" s="38"/>
      <c r="K131" s="39"/>
      <c r="L131" s="39"/>
      <c r="M131" s="40"/>
      <c r="N131" s="67" t="str">
        <f>DATA!L120</f>
        <v>Procurement of Track Material and Turn Out - Phase II</v>
      </c>
      <c r="O131" s="42">
        <f>DATA!Q120</f>
        <v>1</v>
      </c>
      <c r="P131" s="42">
        <f>DATA!R120</f>
        <v>1</v>
      </c>
      <c r="Q131" s="42">
        <f>DATA!S120</f>
        <v>81</v>
      </c>
      <c r="R131" s="83">
        <f>DATA!T120</f>
        <v>200000000</v>
      </c>
      <c r="S131" s="83"/>
      <c r="T131" s="83">
        <f>DATA!V120</f>
        <v>46369000</v>
      </c>
      <c r="U131" s="83">
        <f>DATA!W120</f>
        <v>0</v>
      </c>
      <c r="V131" s="83">
        <f>DATA!X120</f>
        <v>246369000</v>
      </c>
      <c r="W131" s="84" t="str">
        <f>DATA!Y120</f>
        <v>RRT</v>
      </c>
      <c r="X131" s="42" t="str">
        <f>DATA!Z120</f>
        <v>Bilateral</v>
      </c>
      <c r="Y131" s="83">
        <f>DATA!AA120</f>
        <v>200000000</v>
      </c>
      <c r="Z131" s="83">
        <f>DATA!AG120</f>
        <v>0</v>
      </c>
      <c r="AA131" s="42">
        <f>DATA!AH120</f>
        <v>2016</v>
      </c>
      <c r="AB131" s="67" t="str">
        <f>DATA!AI120</f>
        <v>- Sudah ada R/C
- Green Book 2015
- Proses E/N dan LA
- Dalam proses persiapan penandatanganan Loan Agreement</v>
      </c>
      <c r="AC131" s="67"/>
      <c r="AD131" s="67"/>
      <c r="AE131" s="67"/>
      <c r="AF131" s="67"/>
      <c r="AG131" s="67"/>
      <c r="AH131" s="67"/>
      <c r="AI131" s="67"/>
      <c r="AJ131" s="67" t="str">
        <f>DATA!AJ120</f>
        <v>- TOR
- RAB</v>
      </c>
      <c r="AK131" s="67" t="str">
        <f>DATA!AK120</f>
        <v xml:space="preserve">Tidak butuh pengadaan lahan </v>
      </c>
      <c r="AL131" s="67" t="str">
        <f>DATA!AL120</f>
        <v>Proses persetujuan draft kontrak oleh Menteri Perhubungan</v>
      </c>
      <c r="AM131" s="42" t="str">
        <f>DATA!AR120</f>
        <v>Nilai pinjaman di:
- GB 16 USD 175.056 ribu
- GB 15 USD 185.470 ribu</v>
      </c>
      <c r="AN131" s="42" t="str">
        <f>DATA!AN120</f>
        <v>dalam proses</v>
      </c>
      <c r="AO131" s="42" t="str">
        <f>DATA!AO120</f>
        <v>tidak butuh lahan</v>
      </c>
      <c r="AP131" s="42" t="str">
        <f>DATA!AP120</f>
        <v>belum ada proses tender/lelang</v>
      </c>
      <c r="AQ131" s="42" t="str">
        <f>DATA!AY120</f>
        <v>Surat Kepala Biro Perencanaan nomor 548/BI/SRT/IX/2015 tgl 10 September 2015</v>
      </c>
      <c r="AR131" s="42" t="e">
        <f>DATA!#REF!</f>
        <v>#REF!</v>
      </c>
      <c r="AS131" s="42">
        <f>DATA!AZ120</f>
        <v>0</v>
      </c>
      <c r="AT131" s="67" t="str">
        <f>DATA!BA120</f>
        <v>Pengadaan 1.500 km track material tipe UIC-54 dan pengadaan 300 unit wesel</v>
      </c>
    </row>
    <row r="132" spans="1:46" s="6" customFormat="1" ht="35.25" customHeight="1">
      <c r="A132" s="6">
        <f>DATA!A121</f>
        <v>92</v>
      </c>
      <c r="B132" s="6">
        <f>DATA!B121</f>
        <v>0</v>
      </c>
      <c r="C132" s="6" t="str">
        <f>DATA!D121</f>
        <v>INFRASTRUKTUR</v>
      </c>
      <c r="D132" s="6">
        <f>DATA!E121</f>
        <v>3</v>
      </c>
      <c r="E132" s="6" t="str">
        <f>DATA!F121</f>
        <v>Kementerian Perhubungan</v>
      </c>
      <c r="F132" s="6" t="str">
        <f>DATA!H121</f>
        <v>Railway Development Program</v>
      </c>
      <c r="G132" s="6" t="str">
        <f>DATA!I121</f>
        <v>A</v>
      </c>
      <c r="H132" s="6" t="str">
        <f>DATA!J121</f>
        <v>Program Pengembangan Perkeretaapian</v>
      </c>
      <c r="I132" s="6">
        <f>DATA!K121</f>
        <v>1</v>
      </c>
      <c r="J132" s="38"/>
      <c r="K132" s="39"/>
      <c r="L132" s="39"/>
      <c r="M132" s="43"/>
      <c r="N132" s="67" t="str">
        <f>DATA!L121</f>
        <v>Procurement of Track Material and Turn Out - Phase III</v>
      </c>
      <c r="O132" s="42">
        <f>DATA!Q121</f>
        <v>1</v>
      </c>
      <c r="P132" s="42">
        <f>DATA!R121</f>
        <v>1</v>
      </c>
      <c r="Q132" s="42">
        <f>DATA!S121</f>
        <v>82</v>
      </c>
      <c r="R132" s="83">
        <f>DATA!T121</f>
        <v>292336700</v>
      </c>
      <c r="S132" s="83"/>
      <c r="T132" s="83">
        <f>DATA!V121</f>
        <v>73084200</v>
      </c>
      <c r="U132" s="83">
        <f>DATA!W121</f>
        <v>0</v>
      </c>
      <c r="V132" s="83">
        <f>DATA!X121</f>
        <v>365420900</v>
      </c>
      <c r="W132" s="84" t="str">
        <f>DATA!Y121</f>
        <v>Belum Ada Indikasi</v>
      </c>
      <c r="X132" s="42" t="str">
        <f>DATA!Z121</f>
        <v>Belum Ada Indikasi</v>
      </c>
      <c r="Y132" s="83">
        <f>DATA!AA121</f>
        <v>292336700</v>
      </c>
      <c r="Z132" s="83">
        <f>DATA!AG121</f>
        <v>0</v>
      </c>
      <c r="AA132" s="42">
        <f>DATA!AH121</f>
        <v>2016</v>
      </c>
      <c r="AB132" s="67" t="str">
        <f>DATA!AI121</f>
        <v>-</v>
      </c>
      <c r="AC132" s="67"/>
      <c r="AD132" s="67"/>
      <c r="AE132" s="67"/>
      <c r="AF132" s="67"/>
      <c r="AG132" s="67"/>
      <c r="AH132" s="67"/>
      <c r="AI132" s="67"/>
      <c r="AJ132" s="67" t="str">
        <f>DATA!AJ121</f>
        <v>-</v>
      </c>
      <c r="AK132" s="67" t="str">
        <f>DATA!AK121</f>
        <v xml:space="preserve">Tidak butuh pengadaan lahan </v>
      </c>
      <c r="AL132" s="67" t="str">
        <f>DATA!AL121</f>
        <v>-</v>
      </c>
      <c r="AM132" s="42" t="str">
        <f>DATA!AR121</f>
        <v>belum ada dokumen R/C</v>
      </c>
      <c r="AN132" s="42" t="str">
        <f>DATA!AN121</f>
        <v>belum ada keterangan</v>
      </c>
      <c r="AO132" s="42" t="str">
        <f>DATA!AO121</f>
        <v>tidak butuh lahan</v>
      </c>
      <c r="AP132" s="42" t="str">
        <f>DATA!AP121</f>
        <v>belum ada proses tender/lelang</v>
      </c>
      <c r="AQ132" s="42" t="str">
        <f>DATA!AY121</f>
        <v xml:space="preserve">- Menunggu kepastian Lender
- Surat Kepala Biro Perencanaan nomor 548/BI/SRT/IX/2015 tgl 10 September 2015
</v>
      </c>
      <c r="AR132" s="42" t="e">
        <f>DATA!#REF!</f>
        <v>#REF!</v>
      </c>
      <c r="AS132" s="42">
        <f>DATA!AZ121</f>
        <v>0</v>
      </c>
      <c r="AT132" s="67" t="str">
        <f>DATA!BA121</f>
        <v>Pengadaan 3.000 km track material tipe R 60 dan pengadaan 350 unit wesel</v>
      </c>
    </row>
    <row r="133" spans="1:46" ht="75.75" customHeight="1">
      <c r="A133" s="10">
        <f>DATA!A123</f>
        <v>93</v>
      </c>
      <c r="B133" s="10">
        <f>DATA!B123</f>
        <v>0</v>
      </c>
      <c r="C133" s="10" t="str">
        <f>DATA!D123</f>
        <v>INFRASTRUKTUR</v>
      </c>
      <c r="D133" s="10">
        <f>DATA!E123</f>
        <v>3</v>
      </c>
      <c r="E133" s="10" t="str">
        <f>DATA!F123</f>
        <v>Kementerian Perhubungan</v>
      </c>
      <c r="F133" s="10" t="str">
        <f>DATA!H123</f>
        <v>Railway Development Program</v>
      </c>
      <c r="G133" s="10" t="str">
        <f>DATA!I123</f>
        <v>A</v>
      </c>
      <c r="H133" s="10" t="str">
        <f>DATA!J123</f>
        <v>Program Pengembangan Perkeretaapian</v>
      </c>
      <c r="I133" s="10">
        <f>DATA!K123</f>
        <v>2</v>
      </c>
      <c r="J133" s="33"/>
      <c r="K133" s="34"/>
      <c r="L133" s="34"/>
      <c r="M133" s="36">
        <f>DATA!K123</f>
        <v>2</v>
      </c>
      <c r="N133" s="37" t="str">
        <f>DATA!L123</f>
        <v xml:space="preserve">Construction of Jakarta Mass Rapid Transit Project - Phase II </v>
      </c>
      <c r="O133" s="20">
        <f>DATA!Q123</f>
        <v>1</v>
      </c>
      <c r="P133" s="20">
        <f>DATA!R123</f>
        <v>1</v>
      </c>
      <c r="Q133" s="20">
        <f>DATA!S123</f>
        <v>83</v>
      </c>
      <c r="R133" s="77">
        <f>DATA!T123</f>
        <v>1678000000</v>
      </c>
      <c r="S133" s="77"/>
      <c r="T133" s="77">
        <f>DATA!V123</f>
        <v>167800000</v>
      </c>
      <c r="U133" s="77">
        <f>DATA!W123</f>
        <v>0</v>
      </c>
      <c r="V133" s="77">
        <f>DATA!X123</f>
        <v>1845800000</v>
      </c>
      <c r="W133" s="78" t="str">
        <f>DATA!Y123</f>
        <v>JICA</v>
      </c>
      <c r="X133" s="20" t="str">
        <f>DATA!Z123</f>
        <v>Bilateral</v>
      </c>
      <c r="Y133" s="77">
        <f>DATA!AA123</f>
        <v>1678000000</v>
      </c>
      <c r="Z133" s="77">
        <f>DATA!AG123</f>
        <v>0</v>
      </c>
      <c r="AA133" s="20">
        <f>DATA!AH123</f>
        <v>2016</v>
      </c>
      <c r="AB133" s="37" t="str">
        <f>DATA!AI123</f>
        <v>-</v>
      </c>
      <c r="AC133" s="37"/>
      <c r="AD133" s="37"/>
      <c r="AE133" s="37"/>
      <c r="AF133" s="37"/>
      <c r="AG133" s="37"/>
      <c r="AH133" s="37"/>
      <c r="AI133" s="37"/>
      <c r="AJ133" s="37" t="str">
        <f>DATA!AJ123</f>
        <v>- FS
- TOR (Disusun oleh Pemda DKI Jakarta)
-  RAB (Disusun oleh Pemda DKI Jakarta)</v>
      </c>
      <c r="AK133" s="37" t="str">
        <f>DATA!AK123</f>
        <v>Indikasi kebutuhan lahan menunggu hasil desain</v>
      </c>
      <c r="AL133" s="37" t="str">
        <f>DATA!AL123</f>
        <v>- Dilaksanakan oleh Pemda DKI Jakarta (Implementing Agency)</v>
      </c>
      <c r="AM133" s="20" t="str">
        <f>DATA!AR123</f>
        <v>belum ada dokumen R/C</v>
      </c>
      <c r="AN133" s="20" t="str">
        <f>DATA!AN123</f>
        <v>dalam proses
(memiliki FS)</v>
      </c>
      <c r="AO133" s="20" t="str">
        <f>DATA!AO123</f>
        <v>dalam proses
(perencanaan)</v>
      </c>
      <c r="AP133" s="20" t="str">
        <f>DATA!AP123</f>
        <v>belum ada proses tender/lelang</v>
      </c>
      <c r="AQ133" s="20" t="str">
        <f>DATA!AY123</f>
        <v>Surat Kepala Biro Perencanaan nomor 548/BI/SRT/IX/2015 tgl 10 September 2015</v>
      </c>
      <c r="AR133" s="20" t="e">
        <f>DATA!#REF!</f>
        <v>#REF!</v>
      </c>
      <c r="AS133" s="20">
        <f>DATA!AZ123</f>
        <v>0</v>
      </c>
      <c r="AT133" s="37" t="str">
        <f>DATA!BA123</f>
        <v>Terbangunnya jaringan MRT dari bundaran HI ke Kampung Bandan</v>
      </c>
    </row>
    <row r="134" spans="1:46" ht="74.25" customHeight="1">
      <c r="A134" s="10">
        <f>DATA!A124</f>
        <v>94</v>
      </c>
      <c r="B134" s="10">
        <f>DATA!B124</f>
        <v>0</v>
      </c>
      <c r="C134" s="10" t="str">
        <f>DATA!D124</f>
        <v>INFRASTRUKTUR</v>
      </c>
      <c r="D134" s="10">
        <f>DATA!E124</f>
        <v>3</v>
      </c>
      <c r="E134" s="10" t="str">
        <f>DATA!F124</f>
        <v>Kementerian Perhubungan</v>
      </c>
      <c r="F134" s="10" t="str">
        <f>DATA!H124</f>
        <v>Railway Development Program</v>
      </c>
      <c r="G134" s="10" t="str">
        <f>DATA!I124</f>
        <v>A</v>
      </c>
      <c r="H134" s="10" t="str">
        <f>DATA!J124</f>
        <v>Program Pengembangan Perkeretaapian</v>
      </c>
      <c r="I134" s="10">
        <f>DATA!K124</f>
        <v>3</v>
      </c>
      <c r="J134" s="33"/>
      <c r="K134" s="34"/>
      <c r="L134" s="34"/>
      <c r="M134" s="36">
        <f>DATA!K124</f>
        <v>3</v>
      </c>
      <c r="N134" s="37" t="str">
        <f>DATA!L124</f>
        <v>Construction of Jakarta Mass Rapid Transit East-West Line Project - Phase I</v>
      </c>
      <c r="O134" s="20">
        <f>DATA!Q124</f>
        <v>1</v>
      </c>
      <c r="P134" s="20">
        <f>DATA!R124</f>
        <v>1</v>
      </c>
      <c r="Q134" s="20">
        <f>DATA!S124</f>
        <v>84</v>
      </c>
      <c r="R134" s="77">
        <f>DATA!T124</f>
        <v>3572000000</v>
      </c>
      <c r="S134" s="77"/>
      <c r="T134" s="77">
        <f>DATA!V124</f>
        <v>357200000</v>
      </c>
      <c r="U134" s="77">
        <f>DATA!W124</f>
        <v>0</v>
      </c>
      <c r="V134" s="77">
        <f>DATA!X124</f>
        <v>3929200000</v>
      </c>
      <c r="W134" s="78" t="str">
        <f>DATA!Y124</f>
        <v>JICA</v>
      </c>
      <c r="X134" s="20" t="str">
        <f>DATA!Z124</f>
        <v>Bilateral</v>
      </c>
      <c r="Y134" s="77">
        <f>DATA!AA124</f>
        <v>3572000000</v>
      </c>
      <c r="Z134" s="77">
        <f>DATA!AG124</f>
        <v>0</v>
      </c>
      <c r="AA134" s="20">
        <f>DATA!AH124</f>
        <v>2018</v>
      </c>
      <c r="AB134" s="37" t="str">
        <f>DATA!AI124</f>
        <v>-</v>
      </c>
      <c r="AC134" s="37"/>
      <c r="AD134" s="37"/>
      <c r="AE134" s="37"/>
      <c r="AF134" s="37"/>
      <c r="AG134" s="37"/>
      <c r="AH134" s="37"/>
      <c r="AI134" s="37"/>
      <c r="AJ134" s="37" t="str">
        <f>DATA!AJ124</f>
        <v>- FS
- TOR (Disusun oleh Pemda DKI Jakarta)
-  RAB (Disusun oleh Pemda DKI Jakarta)</v>
      </c>
      <c r="AK134" s="37" t="str">
        <f>DATA!AK124</f>
        <v>Indikasi kebutuhan lahan menunggu hasil desain</v>
      </c>
      <c r="AL134" s="37" t="str">
        <f>DATA!AL124</f>
        <v>- Dilaksanakan oleh Pemda DKI Jakarta (Implementing Agency)</v>
      </c>
      <c r="AM134" s="20" t="str">
        <f>DATA!AR124</f>
        <v>belum ada dokumen R/C</v>
      </c>
      <c r="AN134" s="20" t="str">
        <f>DATA!AN124</f>
        <v>dalam proses
(memiliki FS)</v>
      </c>
      <c r="AO134" s="20" t="str">
        <f>DATA!AO124</f>
        <v>dalam proses
(perencanaan)</v>
      </c>
      <c r="AP134" s="20" t="str">
        <f>DATA!AP124</f>
        <v>belum ada proses tender/lelang</v>
      </c>
      <c r="AQ134" s="20" t="str">
        <f>DATA!AY124</f>
        <v>Surat Kepala Biro Perencanaan nomor 548/BI/SRT/IX/2015 tgl 10 September 2015</v>
      </c>
      <c r="AR134" s="20" t="e">
        <f>DATA!#REF!</f>
        <v>#REF!</v>
      </c>
      <c r="AS134" s="20">
        <f>DATA!AZ124</f>
        <v>0</v>
      </c>
      <c r="AT134" s="37" t="str">
        <f>DATA!BA124</f>
        <v>Terbangunnya jaringan MRT dari Jakarta Timur ke Jakarta Barat</v>
      </c>
    </row>
    <row r="135" spans="1:46" ht="51">
      <c r="A135" s="10">
        <f>DATA!A125</f>
        <v>95</v>
      </c>
      <c r="B135" s="10">
        <f>DATA!B125</f>
        <v>0</v>
      </c>
      <c r="C135" s="10" t="str">
        <f>DATA!D125</f>
        <v>INFRASTRUKTUR</v>
      </c>
      <c r="D135" s="10">
        <f>DATA!E125</f>
        <v>3</v>
      </c>
      <c r="E135" s="10" t="str">
        <f>DATA!F125</f>
        <v>Kementerian Perhubungan</v>
      </c>
      <c r="F135" s="10" t="str">
        <f>DATA!H125</f>
        <v>Railway Development Program</v>
      </c>
      <c r="G135" s="10" t="str">
        <f>DATA!I125</f>
        <v>A</v>
      </c>
      <c r="H135" s="10" t="str">
        <f>DATA!J125</f>
        <v>Program Pengembangan Perkeretaapian</v>
      </c>
      <c r="I135" s="10">
        <f>DATA!K125</f>
        <v>4</v>
      </c>
      <c r="J135" s="33"/>
      <c r="K135" s="54"/>
      <c r="L135" s="54"/>
      <c r="M135" s="36">
        <f>DATA!K125</f>
        <v>4</v>
      </c>
      <c r="N135" s="37" t="str">
        <f>DATA!L125</f>
        <v xml:space="preserve">Engineering Services Jakarta Mass Rapid Transit (MRT) East West Line Project - Phase I </v>
      </c>
      <c r="O135" s="20">
        <f>DATA!Q125</f>
        <v>1</v>
      </c>
      <c r="P135" s="20">
        <f>DATA!R125</f>
        <v>1</v>
      </c>
      <c r="Q135" s="20">
        <f>DATA!S125</f>
        <v>86</v>
      </c>
      <c r="R135" s="77">
        <f>DATA!T125</f>
        <v>23000000</v>
      </c>
      <c r="S135" s="77"/>
      <c r="T135" s="77">
        <f>DATA!V125</f>
        <v>3000000</v>
      </c>
      <c r="U135" s="77">
        <f>DATA!W125</f>
        <v>0</v>
      </c>
      <c r="V135" s="77">
        <f>DATA!X125</f>
        <v>26000000</v>
      </c>
      <c r="W135" s="78" t="str">
        <f>DATA!Y125</f>
        <v>JICA</v>
      </c>
      <c r="X135" s="20" t="str">
        <f>DATA!Z125</f>
        <v>Bilateral</v>
      </c>
      <c r="Y135" s="77">
        <f>DATA!AA125</f>
        <v>23000000</v>
      </c>
      <c r="Z135" s="77">
        <f>DATA!AG125</f>
        <v>0</v>
      </c>
      <c r="AA135" s="20">
        <f>DATA!AH125</f>
        <v>2015</v>
      </c>
      <c r="AB135" s="37" t="str">
        <f>DATA!AI125</f>
        <v>- Sudah ada R/C
- Green Book 2015
- Loan Agreement tgl 4 Des'15</v>
      </c>
      <c r="AC135" s="37"/>
      <c r="AD135" s="37"/>
      <c r="AE135" s="37"/>
      <c r="AF135" s="37"/>
      <c r="AG135" s="37"/>
      <c r="AH135" s="37"/>
      <c r="AI135" s="37"/>
      <c r="AJ135" s="37" t="str">
        <f>DATA!AJ125</f>
        <v>- TOR
- RAB</v>
      </c>
      <c r="AK135" s="37" t="str">
        <f>DATA!AK125</f>
        <v>Tidak membutuhkan pengadaan lahan</v>
      </c>
      <c r="AL135" s="37" t="str">
        <f>DATA!AL125</f>
        <v xml:space="preserve">- </v>
      </c>
      <c r="AM135" s="20" t="str">
        <f>DATA!AR125</f>
        <v>Nilai pinjaman di GB 19.200 ribu</v>
      </c>
      <c r="AN135" s="20" t="str">
        <f>DATA!AN125</f>
        <v>siap</v>
      </c>
      <c r="AO135" s="20" t="str">
        <f>DATA!AO125</f>
        <v>tidak butuh lahan</v>
      </c>
      <c r="AP135" s="20" t="str">
        <f>DATA!AP125</f>
        <v>belum ada proses tender/lelang</v>
      </c>
      <c r="AQ135" s="20" t="str">
        <f>DATA!AY125</f>
        <v>Surat Kepala Biro Perencanaan nomor 548/BI/SRT/IX/2015 tgl 10 September 2015</v>
      </c>
      <c r="AR135" s="20" t="e">
        <f>DATA!#REF!</f>
        <v>#REF!</v>
      </c>
      <c r="AS135" s="20">
        <f>DATA!AZ125</f>
        <v>0</v>
      </c>
      <c r="AT135" s="37" t="str">
        <f>DATA!BA125</f>
        <v xml:space="preserve">Tersedianya DED dan dokumen tender </v>
      </c>
    </row>
    <row r="136" spans="1:46" s="4" customFormat="1" ht="24.95" customHeight="1">
      <c r="J136" s="107"/>
      <c r="K136" s="25">
        <f>DATA!E130</f>
        <v>4</v>
      </c>
      <c r="L136" s="108" t="str">
        <f>DATA!F130</f>
        <v>Pemprov. DKI Jakarta</v>
      </c>
      <c r="M136" s="25"/>
      <c r="N136" s="27"/>
      <c r="O136" s="26"/>
      <c r="P136" s="26"/>
      <c r="Q136" s="26"/>
      <c r="R136" s="80">
        <f>+R137</f>
        <v>1050000000</v>
      </c>
      <c r="S136" s="80"/>
      <c r="T136" s="80">
        <f t="shared" ref="T136:Z137" si="12">+T137</f>
        <v>150000000</v>
      </c>
      <c r="U136" s="80">
        <f t="shared" si="12"/>
        <v>0</v>
      </c>
      <c r="V136" s="80">
        <f t="shared" si="12"/>
        <v>1200000000</v>
      </c>
      <c r="W136" s="80"/>
      <c r="X136" s="80" t="str">
        <f t="shared" si="12"/>
        <v>Bilateral</v>
      </c>
      <c r="Y136" s="80">
        <f t="shared" si="12"/>
        <v>1050000000</v>
      </c>
      <c r="Z136" s="80">
        <f t="shared" si="12"/>
        <v>0</v>
      </c>
      <c r="AA136" s="26"/>
      <c r="AB136" s="27"/>
      <c r="AC136" s="27"/>
      <c r="AD136" s="27"/>
      <c r="AE136" s="27"/>
      <c r="AF136" s="27"/>
      <c r="AG136" s="27"/>
      <c r="AH136" s="27"/>
      <c r="AI136" s="27"/>
      <c r="AJ136" s="27"/>
      <c r="AK136" s="27"/>
      <c r="AL136" s="27"/>
      <c r="AM136" s="26"/>
      <c r="AN136" s="26"/>
      <c r="AO136" s="26"/>
      <c r="AP136" s="26"/>
      <c r="AQ136" s="26"/>
      <c r="AR136" s="26"/>
      <c r="AS136" s="26"/>
      <c r="AT136" s="27"/>
    </row>
    <row r="137" spans="1:46" s="5" customFormat="1" ht="33.75" customHeight="1">
      <c r="J137" s="28"/>
      <c r="K137" s="29"/>
      <c r="L137" s="30" t="str">
        <f>DATA!I130</f>
        <v>A</v>
      </c>
      <c r="M137" s="31" t="str">
        <f>DATA!J130</f>
        <v>Program Pengembangan Perkeretaapian</v>
      </c>
      <c r="N137" s="51"/>
      <c r="O137" s="31"/>
      <c r="P137" s="31"/>
      <c r="Q137" s="31"/>
      <c r="R137" s="81">
        <f>+R138</f>
        <v>1050000000</v>
      </c>
      <c r="S137" s="81"/>
      <c r="T137" s="81">
        <f t="shared" si="12"/>
        <v>150000000</v>
      </c>
      <c r="U137" s="81">
        <f t="shared" si="12"/>
        <v>0</v>
      </c>
      <c r="V137" s="81">
        <f t="shared" si="12"/>
        <v>1200000000</v>
      </c>
      <c r="W137" s="81"/>
      <c r="X137" s="81" t="str">
        <f t="shared" si="12"/>
        <v>Bilateral</v>
      </c>
      <c r="Y137" s="81">
        <f t="shared" si="12"/>
        <v>1050000000</v>
      </c>
      <c r="Z137" s="81">
        <f t="shared" si="12"/>
        <v>0</v>
      </c>
      <c r="AA137" s="31"/>
      <c r="AB137" s="32"/>
      <c r="AC137" s="32"/>
      <c r="AD137" s="32"/>
      <c r="AE137" s="32"/>
      <c r="AF137" s="32"/>
      <c r="AG137" s="32"/>
      <c r="AH137" s="32"/>
      <c r="AI137" s="32"/>
      <c r="AJ137" s="32"/>
      <c r="AK137" s="32"/>
      <c r="AL137" s="32"/>
      <c r="AM137" s="31"/>
      <c r="AN137" s="31"/>
      <c r="AO137" s="31"/>
      <c r="AP137" s="31"/>
      <c r="AQ137" s="31"/>
      <c r="AR137" s="31"/>
      <c r="AS137" s="31"/>
      <c r="AT137" s="32"/>
    </row>
    <row r="138" spans="1:46" ht="45.75" customHeight="1">
      <c r="A138" s="10">
        <f>DATA!A130</f>
        <v>96</v>
      </c>
      <c r="B138" s="10">
        <f>DATA!B130</f>
        <v>0</v>
      </c>
      <c r="C138" s="10" t="str">
        <f>DATA!D130</f>
        <v>INFRASTRUKTUR</v>
      </c>
      <c r="D138" s="10">
        <f>DATA!E130</f>
        <v>4</v>
      </c>
      <c r="E138" s="10" t="str">
        <f>DATA!F130</f>
        <v>Pemprov. DKI Jakarta</v>
      </c>
      <c r="F138" s="10" t="str">
        <f>DATA!H130</f>
        <v>Railway Development Program</v>
      </c>
      <c r="G138" s="10" t="str">
        <f>DATA!I130</f>
        <v>A</v>
      </c>
      <c r="H138" s="10" t="str">
        <f>DATA!J130</f>
        <v>Program Pengembangan Perkeretaapian</v>
      </c>
      <c r="I138" s="10">
        <f>DATA!K130</f>
        <v>1</v>
      </c>
      <c r="J138" s="33"/>
      <c r="K138" s="54"/>
      <c r="L138" s="20"/>
      <c r="M138" s="20">
        <f>DATA!K130</f>
        <v>1</v>
      </c>
      <c r="N138" s="37" t="str">
        <f>DATA!L130</f>
        <v>Construction of Jakarta Mass Rapid Transit Project</v>
      </c>
      <c r="O138" s="20">
        <f>DATA!Q130</f>
        <v>1</v>
      </c>
      <c r="P138" s="20">
        <f>DATA!R130</f>
        <v>1</v>
      </c>
      <c r="Q138" s="20">
        <f>DATA!S130</f>
        <v>85</v>
      </c>
      <c r="R138" s="77">
        <f>DATA!T130</f>
        <v>1050000000</v>
      </c>
      <c r="S138" s="77"/>
      <c r="T138" s="77">
        <f>DATA!V130</f>
        <v>150000000</v>
      </c>
      <c r="U138" s="77">
        <f>DATA!W130</f>
        <v>0</v>
      </c>
      <c r="V138" s="77">
        <f>DATA!X130</f>
        <v>1200000000</v>
      </c>
      <c r="W138" s="78" t="str">
        <f>DATA!Y130</f>
        <v>JICA</v>
      </c>
      <c r="X138" s="20" t="str">
        <f>DATA!Z130</f>
        <v>Bilateral</v>
      </c>
      <c r="Y138" s="77">
        <f>DATA!AA130</f>
        <v>1050000000</v>
      </c>
      <c r="Z138" s="77">
        <f>DATA!AG130</f>
        <v>0</v>
      </c>
      <c r="AA138" s="20">
        <f>DATA!AH130</f>
        <v>2016</v>
      </c>
      <c r="AB138" s="37" t="str">
        <f>DATA!AI130</f>
        <v>- Sudah ada R/C
- Green Book 2015
- Loan Agreement tgl 4 Des'15</v>
      </c>
      <c r="AC138" s="37"/>
      <c r="AD138" s="37"/>
      <c r="AE138" s="37"/>
      <c r="AF138" s="37"/>
      <c r="AG138" s="37"/>
      <c r="AH138" s="37"/>
      <c r="AI138" s="37"/>
      <c r="AJ138" s="37" t="str">
        <f>DATA!AJ130</f>
        <v>- TOR
- RAB</v>
      </c>
      <c r="AK138" s="114">
        <f>DATA!AK130</f>
        <v>1</v>
      </c>
      <c r="AL138" s="37" t="str">
        <f>DATA!AL130</f>
        <v>- Menunggu penandatanganan Loan Agreement</v>
      </c>
      <c r="AM138" s="20" t="str">
        <f>DATA!AR130</f>
        <v>Nilai pinjaman di GB USD 752.200 ribu</v>
      </c>
      <c r="AN138" s="20" t="str">
        <f>DATA!AN130</f>
        <v>siap</v>
      </c>
      <c r="AO138" s="20" t="str">
        <f>DATA!AO130</f>
        <v>siap</v>
      </c>
      <c r="AP138" s="20" t="str">
        <f>DATA!AP130</f>
        <v>dalam proses tender/lelang</v>
      </c>
      <c r="AQ138" s="20" t="str">
        <f>DATA!AY130</f>
        <v>Belum ada konfirmasi. Berdasarkan data dokumen kesiapan (RC)</v>
      </c>
      <c r="AR138" s="20" t="e">
        <f>DATA!#REF!</f>
        <v>#REF!</v>
      </c>
      <c r="AS138" s="20">
        <f>DATA!AZ130</f>
        <v>0</v>
      </c>
      <c r="AT138" s="37" t="str">
        <f>DATA!BA130</f>
        <v>Terbangunnya jaringan MRT dari Utara ke Selatan</v>
      </c>
    </row>
    <row r="139" spans="1:46" s="4" customFormat="1" ht="24.95" customHeight="1">
      <c r="J139" s="107"/>
      <c r="K139" s="25">
        <f>DATA!E135</f>
        <v>5</v>
      </c>
      <c r="L139" s="108" t="str">
        <f>DATA!F135</f>
        <v>Kementerian Komunikasi dan Informatika</v>
      </c>
      <c r="M139" s="25"/>
      <c r="N139" s="27"/>
      <c r="O139" s="26"/>
      <c r="P139" s="26"/>
      <c r="Q139" s="26"/>
      <c r="R139" s="80">
        <f>+R140</f>
        <v>1056000000</v>
      </c>
      <c r="S139" s="80"/>
      <c r="T139" s="80">
        <f t="shared" ref="T139:Z139" si="13">+T140</f>
        <v>86000000</v>
      </c>
      <c r="U139" s="80">
        <f t="shared" si="13"/>
        <v>10000000</v>
      </c>
      <c r="V139" s="80">
        <f t="shared" si="13"/>
        <v>1152000000</v>
      </c>
      <c r="W139" s="80"/>
      <c r="X139" s="80" t="e">
        <f t="shared" si="13"/>
        <v>#VALUE!</v>
      </c>
      <c r="Y139" s="80">
        <f t="shared" si="13"/>
        <v>1056000000</v>
      </c>
      <c r="Z139" s="80">
        <f t="shared" si="13"/>
        <v>-411000000</v>
      </c>
      <c r="AA139" s="26"/>
      <c r="AB139" s="27"/>
      <c r="AC139" s="27"/>
      <c r="AD139" s="27"/>
      <c r="AE139" s="27"/>
      <c r="AF139" s="27"/>
      <c r="AG139" s="27"/>
      <c r="AH139" s="27"/>
      <c r="AI139" s="27"/>
      <c r="AJ139" s="27"/>
      <c r="AK139" s="27"/>
      <c r="AL139" s="27"/>
      <c r="AM139" s="26"/>
      <c r="AN139" s="26"/>
      <c r="AO139" s="26"/>
      <c r="AP139" s="26"/>
      <c r="AQ139" s="26"/>
      <c r="AR139" s="26"/>
      <c r="AS139" s="26"/>
      <c r="AT139" s="27"/>
    </row>
    <row r="140" spans="1:46" s="5" customFormat="1" ht="33.75" customHeight="1">
      <c r="J140" s="28"/>
      <c r="K140" s="29"/>
      <c r="L140" s="30" t="str">
        <f>DATA!I135</f>
        <v>A</v>
      </c>
      <c r="M140" s="31" t="str">
        <f>DATA!J135</f>
        <v>Program Pengembangan Infrastruktur TIK dan Penyiaran</v>
      </c>
      <c r="N140" s="51"/>
      <c r="O140" s="31"/>
      <c r="P140" s="31"/>
      <c r="Q140" s="31"/>
      <c r="R140" s="81">
        <f>+R141+R142+R143</f>
        <v>1056000000</v>
      </c>
      <c r="S140" s="81"/>
      <c r="T140" s="81">
        <f t="shared" ref="T140:Z140" si="14">+T141+T142+T143</f>
        <v>86000000</v>
      </c>
      <c r="U140" s="81">
        <f t="shared" si="14"/>
        <v>10000000</v>
      </c>
      <c r="V140" s="81">
        <f t="shared" si="14"/>
        <v>1152000000</v>
      </c>
      <c r="W140" s="81"/>
      <c r="X140" s="81" t="e">
        <f t="shared" si="14"/>
        <v>#VALUE!</v>
      </c>
      <c r="Y140" s="81">
        <f t="shared" si="14"/>
        <v>1056000000</v>
      </c>
      <c r="Z140" s="81">
        <f t="shared" si="14"/>
        <v>-411000000</v>
      </c>
      <c r="AA140" s="31"/>
      <c r="AB140" s="32"/>
      <c r="AC140" s="32"/>
      <c r="AD140" s="32"/>
      <c r="AE140" s="32"/>
      <c r="AF140" s="32"/>
      <c r="AG140" s="32"/>
      <c r="AH140" s="32"/>
      <c r="AI140" s="32"/>
      <c r="AJ140" s="32"/>
      <c r="AK140" s="32"/>
      <c r="AL140" s="32"/>
      <c r="AM140" s="31"/>
      <c r="AN140" s="31"/>
      <c r="AO140" s="31"/>
      <c r="AP140" s="31"/>
      <c r="AQ140" s="31"/>
      <c r="AR140" s="31"/>
      <c r="AS140" s="31"/>
      <c r="AT140" s="32"/>
    </row>
    <row r="141" spans="1:46" ht="71.25" customHeight="1">
      <c r="A141" s="10">
        <f>DATA!A135</f>
        <v>97</v>
      </c>
      <c r="B141" s="10">
        <f>DATA!B135</f>
        <v>0</v>
      </c>
      <c r="C141" s="10" t="str">
        <f>DATA!D135</f>
        <v>INFRASTRUKTUR</v>
      </c>
      <c r="D141" s="10">
        <f>DATA!E135</f>
        <v>5</v>
      </c>
      <c r="E141" s="10" t="str">
        <f>DATA!F135</f>
        <v>Kementerian Komunikasi dan Informatika</v>
      </c>
      <c r="F141" s="10" t="str">
        <f>DATA!H135</f>
        <v>Information Communication And Technology (ICT) And Broadcasting Infrastructure Development Program</v>
      </c>
      <c r="G141" s="10" t="str">
        <f>DATA!I135</f>
        <v>A</v>
      </c>
      <c r="H141" s="10" t="str">
        <f>DATA!J135</f>
        <v>Program Pengembangan Infrastruktur TIK dan Penyiaran</v>
      </c>
      <c r="I141" s="10">
        <f>DATA!K135</f>
        <v>1</v>
      </c>
      <c r="J141" s="33"/>
      <c r="K141" s="34"/>
      <c r="L141" s="35"/>
      <c r="M141" s="36">
        <f>DATA!K135</f>
        <v>1</v>
      </c>
      <c r="N141" s="37" t="str">
        <f>DATA!L135</f>
        <v>Improvement on TV Transmitting Stations (Digitalization of TVRI) - Phase III</v>
      </c>
      <c r="O141" s="20">
        <f>DATA!Q135</f>
        <v>1</v>
      </c>
      <c r="P141" s="20">
        <f>DATA!R135</f>
        <v>1</v>
      </c>
      <c r="Q141" s="20">
        <f>DATA!S135</f>
        <v>87</v>
      </c>
      <c r="R141" s="77">
        <f>DATA!T135</f>
        <v>411000000</v>
      </c>
      <c r="S141" s="77"/>
      <c r="T141" s="77">
        <f>DATA!V135</f>
        <v>41000000</v>
      </c>
      <c r="U141" s="77">
        <f>DATA!W135</f>
        <v>0</v>
      </c>
      <c r="V141" s="77">
        <f>DATA!X135</f>
        <v>452000000</v>
      </c>
      <c r="W141" s="78" t="str">
        <f>DATA!Y135</f>
        <v>Belum Ada Indikasi</v>
      </c>
      <c r="X141" s="20" t="str">
        <f>DATA!Z135</f>
        <v>Belum Ada Indikasi</v>
      </c>
      <c r="Y141" s="77">
        <f>DATA!AA135</f>
        <v>411000000</v>
      </c>
      <c r="Z141" s="77">
        <f>DATA!AG135</f>
        <v>-411000000</v>
      </c>
      <c r="AA141" s="20" t="str">
        <f>DATA!AH135</f>
        <v>Tanpa keterangan</v>
      </c>
      <c r="AB141" s="37" t="str">
        <f>DATA!AI135</f>
        <v>(tidak ada data)</v>
      </c>
      <c r="AC141" s="37"/>
      <c r="AD141" s="37"/>
      <c r="AE141" s="37"/>
      <c r="AF141" s="37"/>
      <c r="AG141" s="37"/>
      <c r="AH141" s="37"/>
      <c r="AI141" s="37"/>
      <c r="AJ141" s="37" t="str">
        <f>DATA!AJ135</f>
        <v>Persiapan penyusunan FS</v>
      </c>
      <c r="AK141" s="37" t="str">
        <f>DATA!AK135</f>
        <v>Menggunakan lahan milik TVRI</v>
      </c>
      <c r="AL141" s="37" t="str">
        <f>DATA!AL135</f>
        <v>Belum ada lelang/tender</v>
      </c>
      <c r="AM141" s="20" t="str">
        <f>DATA!AR135</f>
        <v>belum ada dokumen R/C</v>
      </c>
      <c r="AN141" s="20" t="str">
        <f>DATA!AN135</f>
        <v>dalam proses
(penyusunan FS)</v>
      </c>
      <c r="AO141" s="20" t="str">
        <f>DATA!AO135</f>
        <v>siap</v>
      </c>
      <c r="AP141" s="20" t="str">
        <f>DATA!AP135</f>
        <v>belum ada proses tender/lelang</v>
      </c>
      <c r="AQ141" s="20" t="str">
        <f>DATA!AY135</f>
        <v xml:space="preserve">- Belum ada indikasi Lender, Dit. Telsus sedang melakukan penjajakan, belum bisa diidentifikasikan sampai proses penjajakan selesai
- Surat Karoren Kem. Kominfo nomor S-1075/KOMINFO/SJ.1/PR.01.01/09/2015 tgl 9 September 2015
</v>
      </c>
      <c r="AR141" s="20" t="e">
        <f>DATA!#REF!</f>
        <v>#REF!</v>
      </c>
      <c r="AS141" s="20">
        <f>DATA!AZ135</f>
        <v>0</v>
      </c>
      <c r="AT141" s="37" t="str">
        <f>DATA!BA135</f>
        <v>Pengadaan peralatan dan mesin untuk rehabilitasi fasilitas produksi dan pemancar TVRI dari sistem analog ke digital untuk: 29 studio (7 di pusat dan 22 di daerah), 250 stasiun transmisi, 30 lokasi untuk ICT Broadcast</v>
      </c>
    </row>
    <row r="142" spans="1:46" ht="81" customHeight="1">
      <c r="A142" s="10">
        <f>DATA!A136</f>
        <v>98</v>
      </c>
      <c r="B142" s="10">
        <f>DATA!B136</f>
        <v>0</v>
      </c>
      <c r="C142" s="10" t="str">
        <f>DATA!D136</f>
        <v>INFRASTRUKTUR</v>
      </c>
      <c r="D142" s="10">
        <f>DATA!E136</f>
        <v>5</v>
      </c>
      <c r="E142" s="10" t="str">
        <f>DATA!F136</f>
        <v>Kementerian Komunikasi dan Informatika</v>
      </c>
      <c r="F142" s="10" t="str">
        <f>DATA!H136</f>
        <v>Information Communication And Technology (ICT) And Broadcasting Infrastructure Development Program</v>
      </c>
      <c r="G142" s="10" t="str">
        <f>DATA!I136</f>
        <v>A</v>
      </c>
      <c r="H142" s="10" t="str">
        <f>DATA!J136</f>
        <v>Program Pengembangan Infrastruktur TIK dan Penyiaran</v>
      </c>
      <c r="I142" s="10">
        <f>DATA!K136</f>
        <v>2</v>
      </c>
      <c r="J142" s="33"/>
      <c r="K142" s="34"/>
      <c r="L142" s="34"/>
      <c r="M142" s="36">
        <f>DATA!K136</f>
        <v>2</v>
      </c>
      <c r="N142" s="37" t="str">
        <f>DATA!L136</f>
        <v>Strengthening of e-Government Infrastructure</v>
      </c>
      <c r="O142" s="20">
        <f>DATA!Q136</f>
        <v>1</v>
      </c>
      <c r="P142" s="20">
        <f>DATA!R136</f>
        <v>1</v>
      </c>
      <c r="Q142" s="20">
        <f>DATA!S136</f>
        <v>88</v>
      </c>
      <c r="R142" s="77">
        <f>DATA!T136</f>
        <v>145000000</v>
      </c>
      <c r="S142" s="77"/>
      <c r="T142" s="77">
        <f>DATA!V136</f>
        <v>20000000</v>
      </c>
      <c r="U142" s="77">
        <f>DATA!W136</f>
        <v>10000000</v>
      </c>
      <c r="V142" s="77">
        <f>DATA!X136</f>
        <v>175000000</v>
      </c>
      <c r="W142" s="78" t="str">
        <f>DATA!Y136</f>
        <v>Korea</v>
      </c>
      <c r="X142" s="20" t="str">
        <f>DATA!Z136</f>
        <v>Bilateral</v>
      </c>
      <c r="Y142" s="77">
        <f>DATA!AA136</f>
        <v>145000000</v>
      </c>
      <c r="Z142" s="77">
        <f>DATA!AG136</f>
        <v>0</v>
      </c>
      <c r="AA142" s="20" t="str">
        <f>DATA!AH136</f>
        <v>Tanpa keterangan</v>
      </c>
      <c r="AB142" s="37" t="str">
        <f>DATA!AI136</f>
        <v>Persiapan penyusunan R/C</v>
      </c>
      <c r="AC142" s="37"/>
      <c r="AD142" s="37"/>
      <c r="AE142" s="37"/>
      <c r="AF142" s="37"/>
      <c r="AG142" s="37"/>
      <c r="AH142" s="37"/>
      <c r="AI142" s="37"/>
      <c r="AJ142" s="37" t="str">
        <f>DATA!AJ136</f>
        <v>Persiapan penyusunan FS dan DED</v>
      </c>
      <c r="AK142" s="37" t="str">
        <f>DATA!AK136</f>
        <v>Permohonan ijin lokasi kepada Gubernur Kaltim telah direspon persetujuan menunggu survey</v>
      </c>
      <c r="AL142" s="37" t="str">
        <f>DATA!AL136</f>
        <v>Belum ada lelang/tender</v>
      </c>
      <c r="AM142" s="20" t="str">
        <f>DATA!AR136</f>
        <v>penyiapan dokumen R/C</v>
      </c>
      <c r="AN142" s="20" t="str">
        <f>DATA!AN136</f>
        <v>dalam proses
(penyusunan FS)</v>
      </c>
      <c r="AO142" s="20" t="str">
        <f>DATA!AO136</f>
        <v>dalam proses
(persiapan)</v>
      </c>
      <c r="AP142" s="20" t="str">
        <f>DATA!AP136</f>
        <v>belum ada proses tender/lelang</v>
      </c>
      <c r="AQ142"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R142" s="20" t="e">
        <f>DATA!#REF!</f>
        <v>#REF!</v>
      </c>
      <c r="AS142" s="20">
        <f>DATA!AZ136</f>
        <v>0</v>
      </c>
      <c r="AT142" s="37" t="str">
        <f>DATA!BA136</f>
        <v>Pembangunan Data Center (DC) Nasional, pembangunan Disaster Recovery Center (DRC), pembangunan National Network Operation Center (NNOC),  sistem Government-Certification of Authority (Govt-CA),  dan penyediaan bandwidth selama 3 tahun.</v>
      </c>
    </row>
    <row r="143" spans="1:46" ht="38.25" customHeight="1">
      <c r="A143" s="10">
        <f>DATA!A137</f>
        <v>99</v>
      </c>
      <c r="B143" s="10">
        <f>DATA!B137</f>
        <v>0</v>
      </c>
      <c r="C143" s="10" t="str">
        <f>DATA!D137</f>
        <v>INFRASTRUKTUR</v>
      </c>
      <c r="D143" s="10">
        <f>DATA!E137</f>
        <v>5</v>
      </c>
      <c r="E143" s="10" t="str">
        <f>DATA!F137</f>
        <v>Kementerian Komunikasi dan Informatika</v>
      </c>
      <c r="F143" s="10" t="str">
        <f>DATA!H137</f>
        <v>Information Communication And Technology (ICT) And Broadcasting Infrastructure Development Program</v>
      </c>
      <c r="G143" s="10" t="str">
        <f>DATA!I137</f>
        <v>A</v>
      </c>
      <c r="H143" s="10" t="str">
        <f>DATA!J137</f>
        <v>Program Pengembangan Infrastruktur TIK dan Penyiaran</v>
      </c>
      <c r="I143" s="10">
        <f>DATA!K137</f>
        <v>3</v>
      </c>
      <c r="J143" s="33"/>
      <c r="K143" s="54"/>
      <c r="L143" s="54"/>
      <c r="M143" s="36">
        <f>DATA!K137</f>
        <v>3</v>
      </c>
      <c r="N143" s="37" t="str">
        <f>DATA!L137</f>
        <v>National Fiber Optic Backbone (Palapa Ring)</v>
      </c>
      <c r="O143" s="20">
        <f>DATA!Q137</f>
        <v>1</v>
      </c>
      <c r="P143" s="20">
        <f>DATA!R137</f>
        <v>1</v>
      </c>
      <c r="Q143" s="20">
        <f>DATA!S137</f>
        <v>89</v>
      </c>
      <c r="R143" s="77">
        <f>DATA!T137</f>
        <v>500000000</v>
      </c>
      <c r="S143" s="77"/>
      <c r="T143" s="77">
        <f>DATA!V137</f>
        <v>25000000</v>
      </c>
      <c r="U143" s="77">
        <f>DATA!W137</f>
        <v>0</v>
      </c>
      <c r="V143" s="77">
        <f>DATA!X137</f>
        <v>525000000</v>
      </c>
      <c r="W143" s="78" t="str">
        <f>DATA!Y137</f>
        <v>KPS</v>
      </c>
      <c r="X143" s="20" t="str">
        <f>DATA!Z137</f>
        <v>Dipindahkan ke KPS</v>
      </c>
      <c r="Y143" s="77">
        <f>DATA!AA137</f>
        <v>500000000</v>
      </c>
      <c r="Z143" s="77">
        <f>DATA!AG137</f>
        <v>0</v>
      </c>
      <c r="AA143" s="20" t="str">
        <f>DATA!AH137</f>
        <v>Tanpa keterangan</v>
      </c>
      <c r="AB143" s="37" t="str">
        <f>DATA!AI137</f>
        <v>-</v>
      </c>
      <c r="AC143" s="37"/>
      <c r="AD143" s="37"/>
      <c r="AE143" s="37"/>
      <c r="AF143" s="37"/>
      <c r="AG143" s="37"/>
      <c r="AH143" s="37"/>
      <c r="AI143" s="37"/>
      <c r="AJ143" s="37" t="str">
        <f>DATA!AJ137</f>
        <v>-</v>
      </c>
      <c r="AK143" s="37" t="str">
        <f>DATA!AK137</f>
        <v>-</v>
      </c>
      <c r="AL143" s="37" t="str">
        <f>DATA!AL137</f>
        <v>-</v>
      </c>
      <c r="AM143" s="20">
        <f>DATA!AM137</f>
        <v>0</v>
      </c>
      <c r="AN143" s="20" t="str">
        <f>DATA!AN137</f>
        <v>belum ada keterangan</v>
      </c>
      <c r="AO143" s="20" t="str">
        <f>DATA!AO137</f>
        <v>belum ada keterangan</v>
      </c>
      <c r="AP143" s="20" t="str">
        <f>DATA!AP137</f>
        <v>belum ada proses tender/lelang</v>
      </c>
      <c r="AQ143"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R143" s="20" t="e">
        <f>DATA!#REF!</f>
        <v>#REF!</v>
      </c>
      <c r="AS143" s="20">
        <f>DATA!AZ137</f>
        <v>0</v>
      </c>
      <c r="AT143" s="37" t="str">
        <f>DATA!BA137</f>
        <v>Pembangunan jaringan telekomunikasi pitalebar/broadband Palapa Ring di 51 kabupaten/kota.</v>
      </c>
    </row>
    <row r="144" spans="1:46" s="4" customFormat="1" ht="24.95" customHeight="1">
      <c r="J144" s="107"/>
      <c r="K144" s="25">
        <f>DATA!E138</f>
        <v>6</v>
      </c>
      <c r="L144" s="108" t="str">
        <f>DATA!F138</f>
        <v>Kepolisian RI</v>
      </c>
      <c r="M144" s="25"/>
      <c r="N144" s="27"/>
      <c r="O144" s="26"/>
      <c r="P144" s="26"/>
      <c r="Q144" s="26"/>
      <c r="R144" s="80">
        <f>+R145</f>
        <v>20000000</v>
      </c>
      <c r="S144" s="80"/>
      <c r="T144" s="80">
        <f t="shared" ref="T144:Z145" si="15">+T145</f>
        <v>3500000</v>
      </c>
      <c r="U144" s="80">
        <f t="shared" si="15"/>
        <v>0</v>
      </c>
      <c r="V144" s="80">
        <f t="shared" si="15"/>
        <v>23500000</v>
      </c>
      <c r="W144" s="80"/>
      <c r="X144" s="80" t="str">
        <f t="shared" si="15"/>
        <v>Bilateral</v>
      </c>
      <c r="Y144" s="80">
        <f t="shared" si="15"/>
        <v>20000000</v>
      </c>
      <c r="Z144" s="80">
        <f t="shared" si="15"/>
        <v>0</v>
      </c>
      <c r="AA144" s="26"/>
      <c r="AB144" s="27"/>
      <c r="AC144" s="27"/>
      <c r="AD144" s="27"/>
      <c r="AE144" s="27"/>
      <c r="AF144" s="27"/>
      <c r="AG144" s="27"/>
      <c r="AH144" s="27"/>
      <c r="AI144" s="27"/>
      <c r="AJ144" s="27"/>
      <c r="AK144" s="27"/>
      <c r="AL144" s="27"/>
      <c r="AM144" s="26"/>
      <c r="AN144" s="26"/>
      <c r="AO144" s="26"/>
      <c r="AP144" s="26"/>
      <c r="AQ144" s="26"/>
      <c r="AR144" s="26"/>
      <c r="AS144" s="26"/>
      <c r="AT144" s="27"/>
    </row>
    <row r="145" spans="1:46" s="5" customFormat="1" ht="33.75" customHeight="1">
      <c r="J145" s="28"/>
      <c r="K145" s="29"/>
      <c r="L145" s="30" t="str">
        <f>DATA!I138</f>
        <v>A</v>
      </c>
      <c r="M145" s="31" t="str">
        <f>DATA!J138</f>
        <v>Program Pengembangan Infrastruktur TIK dan Penyiaran</v>
      </c>
      <c r="N145" s="51"/>
      <c r="O145" s="31"/>
      <c r="P145" s="31"/>
      <c r="Q145" s="31"/>
      <c r="R145" s="81">
        <f>+R146</f>
        <v>20000000</v>
      </c>
      <c r="S145" s="81"/>
      <c r="T145" s="81">
        <f t="shared" si="15"/>
        <v>3500000</v>
      </c>
      <c r="U145" s="81">
        <f t="shared" si="15"/>
        <v>0</v>
      </c>
      <c r="V145" s="81">
        <f t="shared" si="15"/>
        <v>23500000</v>
      </c>
      <c r="W145" s="81"/>
      <c r="X145" s="81" t="str">
        <f t="shared" si="15"/>
        <v>Bilateral</v>
      </c>
      <c r="Y145" s="81">
        <f t="shared" si="15"/>
        <v>20000000</v>
      </c>
      <c r="Z145" s="81">
        <f t="shared" si="15"/>
        <v>0</v>
      </c>
      <c r="AA145" s="31"/>
      <c r="AB145" s="32"/>
      <c r="AC145" s="32"/>
      <c r="AD145" s="32"/>
      <c r="AE145" s="32"/>
      <c r="AF145" s="32"/>
      <c r="AG145" s="32"/>
      <c r="AH145" s="32"/>
      <c r="AI145" s="32"/>
      <c r="AJ145" s="32"/>
      <c r="AK145" s="32"/>
      <c r="AL145" s="32"/>
      <c r="AM145" s="31"/>
      <c r="AN145" s="31"/>
      <c r="AO145" s="31"/>
      <c r="AP145" s="31"/>
      <c r="AQ145" s="31"/>
      <c r="AR145" s="31"/>
      <c r="AS145" s="31"/>
      <c r="AT145" s="32"/>
    </row>
    <row r="146" spans="1:46" ht="47.25" customHeight="1">
      <c r="A146" s="10">
        <f>DATA!A138</f>
        <v>100</v>
      </c>
      <c r="B146" s="10">
        <f>DATA!B138</f>
        <v>0</v>
      </c>
      <c r="C146" s="10" t="str">
        <f>DATA!D138</f>
        <v>INFRASTRUKTUR</v>
      </c>
      <c r="D146" s="10">
        <f>DATA!E138</f>
        <v>6</v>
      </c>
      <c r="E146" s="10" t="str">
        <f>DATA!F138</f>
        <v>Kepolisian RI</v>
      </c>
      <c r="F146" s="10" t="str">
        <f>DATA!H138</f>
        <v>Information Communication And Technology (ICT) And Broadcasting Infrastructure Development Program</v>
      </c>
      <c r="G146" s="10" t="str">
        <f>DATA!I138</f>
        <v>A</v>
      </c>
      <c r="H146" s="10" t="str">
        <f>DATA!J138</f>
        <v>Program Pengembangan Infrastruktur TIK dan Penyiaran</v>
      </c>
      <c r="I146" s="10">
        <f>DATA!K138</f>
        <v>1</v>
      </c>
      <c r="J146" s="33"/>
      <c r="K146" s="54"/>
      <c r="L146" s="20"/>
      <c r="M146" s="36">
        <f>DATA!K138</f>
        <v>1</v>
      </c>
      <c r="N146" s="37" t="str">
        <f>DATA!L138</f>
        <v>National Criminal Information Center for Indonesian National Police - Phase II</v>
      </c>
      <c r="O146" s="20">
        <f>DATA!Q138</f>
        <v>1</v>
      </c>
      <c r="P146" s="20">
        <f>DATA!R138</f>
        <v>1</v>
      </c>
      <c r="Q146" s="20">
        <f>DATA!S138</f>
        <v>90</v>
      </c>
      <c r="R146" s="77">
        <f>DATA!T138</f>
        <v>20000000</v>
      </c>
      <c r="S146" s="77"/>
      <c r="T146" s="77">
        <f>DATA!V138</f>
        <v>3500000</v>
      </c>
      <c r="U146" s="77">
        <f>DATA!W138</f>
        <v>0</v>
      </c>
      <c r="V146" s="77">
        <f>DATA!X138</f>
        <v>23500000</v>
      </c>
      <c r="W146" s="78" t="str">
        <f>DATA!Y138</f>
        <v>Korea</v>
      </c>
      <c r="X146" s="20" t="str">
        <f>DATA!Z138</f>
        <v>Bilateral</v>
      </c>
      <c r="Y146" s="77">
        <f>DATA!AA138</f>
        <v>20000000</v>
      </c>
      <c r="Z146" s="77">
        <f>DATA!AG138</f>
        <v>0</v>
      </c>
      <c r="AA146" s="20" t="str">
        <f>DATA!AH138</f>
        <v>Tanpa keterangan</v>
      </c>
      <c r="AB146" s="37" t="str">
        <f>DATA!AI138</f>
        <v xml:space="preserve">- Sudah ada R/C
- Green Book 2015
</v>
      </c>
      <c r="AC146" s="37"/>
      <c r="AD146" s="37"/>
      <c r="AE146" s="37"/>
      <c r="AF146" s="37"/>
      <c r="AG146" s="37"/>
      <c r="AH146" s="37"/>
      <c r="AI146" s="37"/>
      <c r="AJ146" s="37" t="str">
        <f>DATA!AJ138</f>
        <v>FS, AMDAL</v>
      </c>
      <c r="AK146" s="37" t="str">
        <f>DATA!AK138</f>
        <v>Tidak butuh lahan</v>
      </c>
      <c r="AL146" s="37" t="str">
        <f>DATA!AL138</f>
        <v>- Dalam proses penandatanganan perjanjian pinjaman</v>
      </c>
      <c r="AM146" s="20">
        <f>DATA!AM138</f>
        <v>2015</v>
      </c>
      <c r="AN146" s="20" t="str">
        <f>DATA!AN138</f>
        <v>siap</v>
      </c>
      <c r="AO146" s="20" t="str">
        <f>DATA!AO138</f>
        <v>tidak butuh lahan</v>
      </c>
      <c r="AP146" s="20" t="str">
        <f>DATA!AP138</f>
        <v>dalam proses tender/lelang</v>
      </c>
      <c r="AQ146" s="20" t="str">
        <f>DATA!AY138</f>
        <v>Belum ada konfirmasi. Berdasarkan data dokumen kesiapan (RC)</v>
      </c>
      <c r="AR146" s="20" t="e">
        <f>DATA!#REF!</f>
        <v>#REF!</v>
      </c>
      <c r="AS146" s="20">
        <f>DATA!AZ138</f>
        <v>0</v>
      </c>
      <c r="AT146" s="37" t="str">
        <f>DATA!BA138</f>
        <v>Pengembangan proyek PIKNAS tahap I mulai dari perencanaan pengembangan sampai dengan implementasi proyek</v>
      </c>
    </row>
    <row r="147" spans="1:46" s="4" customFormat="1" ht="24.95" customHeight="1">
      <c r="J147" s="107"/>
      <c r="K147" s="25">
        <f>DATA!E139</f>
        <v>7</v>
      </c>
      <c r="L147" s="108" t="str">
        <f>DATA!F139</f>
        <v xml:space="preserve">PT. PLN    </v>
      </c>
      <c r="M147" s="25"/>
      <c r="N147" s="27"/>
      <c r="O147" s="26"/>
      <c r="P147" s="26"/>
      <c r="Q147" s="26"/>
      <c r="R147" s="80">
        <f>+R148</f>
        <v>4906600000</v>
      </c>
      <c r="S147" s="80"/>
      <c r="T147" s="80">
        <f t="shared" ref="T147:Z147" si="16">+T148</f>
        <v>931600000</v>
      </c>
      <c r="U147" s="80">
        <f t="shared" si="16"/>
        <v>0</v>
      </c>
      <c r="V147" s="80">
        <f t="shared" si="16"/>
        <v>5838200000</v>
      </c>
      <c r="W147" s="80"/>
      <c r="X147" s="80" t="e">
        <f t="shared" si="16"/>
        <v>#VALUE!</v>
      </c>
      <c r="Y147" s="80">
        <f t="shared" si="16"/>
        <v>4906600000</v>
      </c>
      <c r="Z147" s="80">
        <f t="shared" si="16"/>
        <v>0</v>
      </c>
      <c r="AA147" s="26"/>
      <c r="AB147" s="27"/>
      <c r="AC147" s="27"/>
      <c r="AD147" s="27"/>
      <c r="AE147" s="27"/>
      <c r="AF147" s="27"/>
      <c r="AG147" s="27"/>
      <c r="AH147" s="27"/>
      <c r="AI147" s="27"/>
      <c r="AJ147" s="27"/>
      <c r="AK147" s="27"/>
      <c r="AL147" s="27"/>
      <c r="AM147" s="26"/>
      <c r="AN147" s="26"/>
      <c r="AO147" s="26"/>
      <c r="AP147" s="26"/>
      <c r="AQ147" s="26"/>
      <c r="AR147" s="26"/>
      <c r="AS147" s="26"/>
      <c r="AT147" s="27"/>
    </row>
    <row r="148" spans="1:46" s="5" customFormat="1" ht="33.75" customHeight="1">
      <c r="J148" s="28"/>
      <c r="K148" s="29"/>
      <c r="L148" s="30" t="str">
        <f>DATA!I139</f>
        <v>A</v>
      </c>
      <c r="M148" s="31" t="str">
        <f>DATA!J139</f>
        <v>Program Pembangunan Infrastruktur Ketenagalistrikan</v>
      </c>
      <c r="N148" s="51"/>
      <c r="O148" s="31"/>
      <c r="P148" s="31"/>
      <c r="Q148" s="31"/>
      <c r="R148" s="81">
        <f>+R149+R152+R155+R156+R157+R158+R159+R160</f>
        <v>4906600000</v>
      </c>
      <c r="S148" s="81"/>
      <c r="T148" s="81">
        <f t="shared" ref="T148:Z148" si="17">+T149+T152+T155+T156+T157+T158+T159+T160</f>
        <v>931600000</v>
      </c>
      <c r="U148" s="81">
        <f t="shared" si="17"/>
        <v>0</v>
      </c>
      <c r="V148" s="81">
        <f t="shared" si="17"/>
        <v>5838200000</v>
      </c>
      <c r="W148" s="81"/>
      <c r="X148" s="81" t="e">
        <f t="shared" si="17"/>
        <v>#VALUE!</v>
      </c>
      <c r="Y148" s="81">
        <f t="shared" si="17"/>
        <v>4906600000</v>
      </c>
      <c r="Z148" s="81">
        <f t="shared" si="17"/>
        <v>0</v>
      </c>
      <c r="AA148" s="31"/>
      <c r="AB148" s="32"/>
      <c r="AC148" s="32"/>
      <c r="AD148" s="32"/>
      <c r="AE148" s="32"/>
      <c r="AF148" s="32"/>
      <c r="AG148" s="32"/>
      <c r="AH148" s="32"/>
      <c r="AI148" s="32"/>
      <c r="AJ148" s="32"/>
      <c r="AK148" s="32"/>
      <c r="AL148" s="32"/>
      <c r="AM148" s="31"/>
      <c r="AN148" s="31"/>
      <c r="AO148" s="31"/>
      <c r="AP148" s="31"/>
      <c r="AQ148" s="31"/>
      <c r="AR148" s="31"/>
      <c r="AS148" s="31"/>
      <c r="AT148" s="32"/>
    </row>
    <row r="149" spans="1:46" ht="35.25" customHeight="1">
      <c r="A149" s="10">
        <f>DATA!A139</f>
        <v>101</v>
      </c>
      <c r="B149" s="10">
        <f>DATA!B139</f>
        <v>0</v>
      </c>
      <c r="C149" s="10" t="str">
        <f>DATA!D139</f>
        <v>INFRASTRUKTUR</v>
      </c>
      <c r="D149" s="10">
        <f>DATA!E139</f>
        <v>7</v>
      </c>
      <c r="E149" s="10" t="str">
        <f>DATA!F139</f>
        <v xml:space="preserve">PT. PLN    </v>
      </c>
      <c r="F149" s="10" t="str">
        <f>DATA!H139</f>
        <v>Electricity Infrastructure Development Program</v>
      </c>
      <c r="G149" s="10" t="str">
        <f>DATA!I139</f>
        <v>A</v>
      </c>
      <c r="H149" s="10" t="str">
        <f>DATA!J139</f>
        <v>Program Pembangunan Infrastruktur Ketenagalistrikan</v>
      </c>
      <c r="I149" s="10">
        <f>DATA!K139</f>
        <v>1</v>
      </c>
      <c r="J149" s="33"/>
      <c r="K149" s="34"/>
      <c r="L149" s="35"/>
      <c r="M149" s="36">
        <f>DATA!K139</f>
        <v>1</v>
      </c>
      <c r="N149" s="37" t="str">
        <f>DATA!L139</f>
        <v>Construction of Java Sumatera Interconnection 500 kV (HVDC):</v>
      </c>
      <c r="O149" s="20">
        <f>DATA!Q139</f>
        <v>0</v>
      </c>
      <c r="P149" s="20">
        <f>DATA!R139</f>
        <v>0</v>
      </c>
      <c r="Q149" s="20">
        <f>DATA!S139</f>
        <v>0</v>
      </c>
      <c r="R149" s="77">
        <f>DATA!T139</f>
        <v>1562000000</v>
      </c>
      <c r="S149" s="77"/>
      <c r="T149" s="77">
        <f>DATA!V139</f>
        <v>253000000</v>
      </c>
      <c r="U149" s="77">
        <f>DATA!W139</f>
        <v>0</v>
      </c>
      <c r="V149" s="77">
        <f>DATA!X139</f>
        <v>1815000000</v>
      </c>
      <c r="W149" s="78" t="str">
        <f>DATA!Y139</f>
        <v>-</v>
      </c>
      <c r="X149" s="20">
        <f>DATA!Z139</f>
        <v>0</v>
      </c>
      <c r="Y149" s="77">
        <f>DATA!AA139</f>
        <v>1562000000</v>
      </c>
      <c r="Z149" s="77">
        <f>DATA!AG139</f>
        <v>0</v>
      </c>
      <c r="AA149" s="20" t="str">
        <f>DATA!AH139</f>
        <v>-</v>
      </c>
      <c r="AB149" s="37" t="str">
        <f>DATA!AI139</f>
        <v>-</v>
      </c>
      <c r="AC149" s="37"/>
      <c r="AD149" s="37"/>
      <c r="AE149" s="37"/>
      <c r="AF149" s="37"/>
      <c r="AG149" s="37"/>
      <c r="AH149" s="37"/>
      <c r="AI149" s="37"/>
      <c r="AJ149" s="37" t="str">
        <f>DATA!AJ139</f>
        <v>-</v>
      </c>
      <c r="AK149" s="37" t="str">
        <f>DATA!AK139</f>
        <v>-</v>
      </c>
      <c r="AL149" s="37" t="str">
        <f>DATA!AL139</f>
        <v>-</v>
      </c>
      <c r="AM149" s="20" t="str">
        <f>DATA!AM139</f>
        <v>-</v>
      </c>
      <c r="AN149" s="20" t="str">
        <f>DATA!AN139</f>
        <v>-</v>
      </c>
      <c r="AO149" s="20" t="str">
        <f>DATA!AO139</f>
        <v>-</v>
      </c>
      <c r="AP149" s="20">
        <f>DATA!AP139</f>
        <v>0</v>
      </c>
      <c r="AQ149" s="20" t="str">
        <f>DATA!AY139</f>
        <v>Surat Dirut PT. PLN nomor 716/REN.08.01/DIR/2015 tgl 9 September 2015</v>
      </c>
      <c r="AR149" s="20" t="e">
        <f>DATA!#REF!</f>
        <v>#REF!</v>
      </c>
      <c r="AS149" s="20">
        <f>DATA!AZ139</f>
        <v>0</v>
      </c>
      <c r="AT149" s="37" t="str">
        <f>DATA!BA139</f>
        <v>Pembangunan dan instalasi: 500 kV AC Overhead line</v>
      </c>
    </row>
    <row r="150" spans="1:46" s="6" customFormat="1" ht="142.5" customHeight="1">
      <c r="A150" s="6">
        <f>DATA!A140</f>
        <v>102</v>
      </c>
      <c r="B150" s="6">
        <f>DATA!B140</f>
        <v>0</v>
      </c>
      <c r="C150" s="6" t="str">
        <f>DATA!D140</f>
        <v>INFRASTRUKTUR</v>
      </c>
      <c r="D150" s="6">
        <f>DATA!E140</f>
        <v>7</v>
      </c>
      <c r="E150" s="6" t="str">
        <f>DATA!F140</f>
        <v xml:space="preserve">PT. PLN    </v>
      </c>
      <c r="F150" s="6" t="str">
        <f>DATA!H140</f>
        <v>Electricity Infrastructure Development Program</v>
      </c>
      <c r="G150" s="6" t="str">
        <f>DATA!I140</f>
        <v>A</v>
      </c>
      <c r="H150" s="6" t="str">
        <f>DATA!J140</f>
        <v>Program Pembangunan Infrastruktur Ketenagalistrikan</v>
      </c>
      <c r="I150" s="6">
        <f>DATA!K140</f>
        <v>1</v>
      </c>
      <c r="J150" s="38"/>
      <c r="K150" s="39"/>
      <c r="L150" s="39"/>
      <c r="M150" s="40"/>
      <c r="N150" s="67" t="str">
        <f>DATA!L140</f>
        <v>Java-Sumatera Interconnection Transmission Line (HVDC) 500 kV (Phase II)</v>
      </c>
      <c r="O150" s="42">
        <f>DATA!Q140</f>
        <v>1</v>
      </c>
      <c r="P150" s="42">
        <f>DATA!R140</f>
        <v>1</v>
      </c>
      <c r="Q150" s="42">
        <f>DATA!S140</f>
        <v>91</v>
      </c>
      <c r="R150" s="83">
        <f>DATA!T140</f>
        <v>629000000</v>
      </c>
      <c r="S150" s="83"/>
      <c r="T150" s="83">
        <f>DATA!V140</f>
        <v>88000000</v>
      </c>
      <c r="U150" s="83">
        <f>DATA!W140</f>
        <v>0</v>
      </c>
      <c r="V150" s="83">
        <f>DATA!X140</f>
        <v>717000000</v>
      </c>
      <c r="W150" s="84" t="str">
        <f>DATA!Y140</f>
        <v>JICA</v>
      </c>
      <c r="X150" s="42" t="str">
        <f>DATA!Z140</f>
        <v>Bilateral</v>
      </c>
      <c r="Y150" s="83">
        <f>DATA!AA140</f>
        <v>629000000</v>
      </c>
      <c r="Z150" s="83">
        <f>DATA!AG140</f>
        <v>0</v>
      </c>
      <c r="AA150" s="42">
        <f>DATA!AH140</f>
        <v>2015</v>
      </c>
      <c r="AB150" s="67" t="str">
        <f>DATA!AI140</f>
        <v>- Sudah ada R/C
- Green Book 2015
- Loan Agreement tgl 18 Des'15</v>
      </c>
      <c r="AC150" s="67"/>
      <c r="AD150" s="67"/>
      <c r="AE150" s="67"/>
      <c r="AF150" s="67"/>
      <c r="AG150" s="67"/>
      <c r="AH150" s="67"/>
      <c r="AI150" s="67"/>
      <c r="AJ150" s="67" t="str">
        <f>DATA!AJ140</f>
        <v>FS, AMDAL</v>
      </c>
      <c r="AK150" s="115">
        <f>DATA!AK140</f>
        <v>0.3</v>
      </c>
      <c r="AL150" s="67" t="str">
        <f>DATA!AL140</f>
        <v>- Paket 1 = Proses lelang, evaluasi tahap I 
- Paket 2 = Proses lelang, akhir proses tahap I 
- Paket 3 = Kontrak 29 Okt 2014 
- Paket 4 = Proses lelang, RFP 2 Sept 2015 
- Paket 5 = Penyusunan Dokumen Tender</v>
      </c>
      <c r="AM150" s="42" t="str">
        <f>DATA!AR140</f>
        <v>Nilai pinjaman di GB USD 629.140 ribu</v>
      </c>
      <c r="AN150" s="42" t="str">
        <f>DATA!AN140</f>
        <v>siap</v>
      </c>
      <c r="AO150" s="42" t="str">
        <f>DATA!AO140</f>
        <v>dalam proses
(pelaksanaan 30%)</v>
      </c>
      <c r="AP150" s="42" t="str">
        <f>DATA!AP140</f>
        <v>dalam proses tender/lelang</v>
      </c>
      <c r="AQ150" s="42"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R150" s="42" t="e">
        <f>DATA!#REF!</f>
        <v>#REF!</v>
      </c>
      <c r="AS150" s="42">
        <f>DATA!AZ140</f>
        <v>0</v>
      </c>
      <c r="AT150" s="67" t="str">
        <f>DATA!BA140</f>
        <v>Pembangunan dan instalasi: 500 kV AC Overhead line; 500 IW DC Overhead line; kabel bawah laut HVDC; Stasiun converter HVDC; 275 kV Overhead line (OHL)</v>
      </c>
    </row>
    <row r="151" spans="1:46" s="6" customFormat="1" ht="48.75" customHeight="1">
      <c r="A151" s="6">
        <f>DATA!A141</f>
        <v>103</v>
      </c>
      <c r="B151" s="6">
        <f>DATA!B141</f>
        <v>0</v>
      </c>
      <c r="C151" s="6" t="str">
        <f>DATA!D141</f>
        <v>INFRASTRUKTUR</v>
      </c>
      <c r="D151" s="6">
        <f>DATA!E141</f>
        <v>7</v>
      </c>
      <c r="E151" s="6" t="str">
        <f>DATA!F141</f>
        <v xml:space="preserve">PT. PLN    </v>
      </c>
      <c r="F151" s="6" t="str">
        <f>DATA!H141</f>
        <v>Electricity Infrastructure Development Program</v>
      </c>
      <c r="G151" s="6" t="str">
        <f>DATA!I141</f>
        <v>A</v>
      </c>
      <c r="H151" s="6" t="str">
        <f>DATA!J141</f>
        <v>Program Pembangunan Infrastruktur Ketenagalistrikan</v>
      </c>
      <c r="I151" s="6">
        <f>DATA!K141</f>
        <v>1</v>
      </c>
      <c r="J151" s="38"/>
      <c r="K151" s="39"/>
      <c r="L151" s="39"/>
      <c r="M151" s="43"/>
      <c r="N151" s="67" t="str">
        <f>DATA!L141</f>
        <v>Construction of Java Sumatera Interconnection 500 kV (HVDC-Phase 3 &amp; 4)</v>
      </c>
      <c r="O151" s="42">
        <f>DATA!Q141</f>
        <v>1</v>
      </c>
      <c r="P151" s="42">
        <f>DATA!R141</f>
        <v>1</v>
      </c>
      <c r="Q151" s="42">
        <f>DATA!S141</f>
        <v>92</v>
      </c>
      <c r="R151" s="83">
        <f>DATA!T141</f>
        <v>933000000</v>
      </c>
      <c r="S151" s="83"/>
      <c r="T151" s="83">
        <f>DATA!V141</f>
        <v>165000000</v>
      </c>
      <c r="U151" s="83">
        <f>DATA!W141</f>
        <v>0</v>
      </c>
      <c r="V151" s="83">
        <f>DATA!X141</f>
        <v>1098000000</v>
      </c>
      <c r="W151" s="84" t="str">
        <f>DATA!Y141</f>
        <v>JICA</v>
      </c>
      <c r="X151" s="42" t="str">
        <f>DATA!Z141</f>
        <v>Bilateral</v>
      </c>
      <c r="Y151" s="83">
        <f>DATA!AA141</f>
        <v>933000000</v>
      </c>
      <c r="Z151" s="83">
        <f>DATA!AG141</f>
        <v>0</v>
      </c>
      <c r="AA151" s="42">
        <f>DATA!AH141</f>
        <v>2015</v>
      </c>
      <c r="AB151" s="67" t="str">
        <f>DATA!AI141</f>
        <v xml:space="preserve">Penyiapan R/C
</v>
      </c>
      <c r="AC151" s="67"/>
      <c r="AD151" s="67"/>
      <c r="AE151" s="67"/>
      <c r="AF151" s="67"/>
      <c r="AG151" s="67"/>
      <c r="AH151" s="67"/>
      <c r="AI151" s="67"/>
      <c r="AJ151" s="67" t="str">
        <f>DATA!AJ141</f>
        <v>-</v>
      </c>
      <c r="AK151" s="67" t="str">
        <f>DATA!AK141</f>
        <v>-</v>
      </c>
      <c r="AL151" s="67" t="str">
        <f>DATA!AL141</f>
        <v>-</v>
      </c>
      <c r="AM151" s="42" t="str">
        <f>DATA!AR141</f>
        <v>penyiapan dokumen R/C</v>
      </c>
      <c r="AN151" s="42" t="str">
        <f>DATA!AN141</f>
        <v>belum ada keterangan</v>
      </c>
      <c r="AO151" s="42" t="str">
        <f>DATA!AO141</f>
        <v>belum ada keterangan</v>
      </c>
      <c r="AP151" s="42" t="str">
        <f>DATA!AP141</f>
        <v>belum ada proses tender/lelang</v>
      </c>
      <c r="AQ151" s="42" t="str">
        <f>DATA!AY141</f>
        <v>Surat Dirut PT. PLN nomor 716/REN.08.01/DIR/2015 tgl 9 September 2015</v>
      </c>
      <c r="AR151" s="42" t="e">
        <f>DATA!#REF!</f>
        <v>#REF!</v>
      </c>
      <c r="AS151" s="42">
        <f>DATA!AZ141</f>
        <v>0</v>
      </c>
      <c r="AT151" s="67" t="str">
        <f>DATA!BA141</f>
        <v>Pembangunan dan instalasi: 500 kV AC Overhead line; 500 IW DC Overhead line; kabel bawah laut HVDC; Stasiun converter HVDC; 275 kV Overhead line (OHL)</v>
      </c>
    </row>
    <row r="152" spans="1:46" ht="43.5" customHeight="1">
      <c r="A152" s="10">
        <f>DATA!A142</f>
        <v>104</v>
      </c>
      <c r="B152" s="10">
        <f>DATA!B142</f>
        <v>0</v>
      </c>
      <c r="C152" s="10" t="str">
        <f>DATA!D142</f>
        <v>INFRASTRUKTUR</v>
      </c>
      <c r="D152" s="10">
        <f>DATA!E142</f>
        <v>7</v>
      </c>
      <c r="E152" s="10" t="str">
        <f>DATA!F142</f>
        <v xml:space="preserve">PT. PLN    </v>
      </c>
      <c r="F152" s="10" t="str">
        <f>DATA!H142</f>
        <v>Electricity Infrastructure Development Program</v>
      </c>
      <c r="G152" s="10" t="str">
        <f>DATA!I142</f>
        <v>A</v>
      </c>
      <c r="H152" s="10" t="str">
        <f>DATA!J142</f>
        <v>Program Pembangunan Infrastruktur Ketenagalistrikan</v>
      </c>
      <c r="I152" s="10">
        <f>DATA!K142</f>
        <v>2</v>
      </c>
      <c r="J152" s="33"/>
      <c r="K152" s="34"/>
      <c r="L152" s="34"/>
      <c r="M152" s="36">
        <f>DATA!K142</f>
        <v>2</v>
      </c>
      <c r="N152" s="37" t="str">
        <f>DATA!L142</f>
        <v>Hululais Geothermal Power Plant 1&amp;2 (2x55MW):</v>
      </c>
      <c r="O152" s="20">
        <f>DATA!Q142</f>
        <v>0</v>
      </c>
      <c r="P152" s="20">
        <f>DATA!R142</f>
        <v>0</v>
      </c>
      <c r="Q152" s="20">
        <f>DATA!S142</f>
        <v>0</v>
      </c>
      <c r="R152" s="77">
        <f>DATA!T142</f>
        <v>210600000</v>
      </c>
      <c r="S152" s="77"/>
      <c r="T152" s="77">
        <f>DATA!V142</f>
        <v>42600000</v>
      </c>
      <c r="U152" s="77">
        <f>DATA!W142</f>
        <v>0</v>
      </c>
      <c r="V152" s="77">
        <f>DATA!X142</f>
        <v>253200000</v>
      </c>
      <c r="W152" s="78" t="str">
        <f>DATA!Y142</f>
        <v>-</v>
      </c>
      <c r="X152" s="20">
        <f>DATA!Z142</f>
        <v>0</v>
      </c>
      <c r="Y152" s="77">
        <f>DATA!AA142</f>
        <v>210600000</v>
      </c>
      <c r="Z152" s="77">
        <f>DATA!AG142</f>
        <v>0</v>
      </c>
      <c r="AA152" s="20" t="str">
        <f>DATA!AH142</f>
        <v>-</v>
      </c>
      <c r="AB152" s="37" t="str">
        <f>DATA!AI142</f>
        <v>-</v>
      </c>
      <c r="AC152" s="37"/>
      <c r="AD152" s="37"/>
      <c r="AE152" s="37"/>
      <c r="AF152" s="37"/>
      <c r="AG152" s="37"/>
      <c r="AH152" s="37"/>
      <c r="AI152" s="37"/>
      <c r="AJ152" s="37" t="str">
        <f>DATA!AJ142</f>
        <v>-</v>
      </c>
      <c r="AK152" s="37" t="str">
        <f>DATA!AK142</f>
        <v>-</v>
      </c>
      <c r="AL152" s="37" t="str">
        <f>DATA!AL142</f>
        <v>-</v>
      </c>
      <c r="AM152" s="20" t="str">
        <f>DATA!AM142</f>
        <v>-</v>
      </c>
      <c r="AN152" s="20" t="str">
        <f>DATA!AN142</f>
        <v>-</v>
      </c>
      <c r="AO152" s="20" t="str">
        <f>DATA!AO142</f>
        <v>-</v>
      </c>
      <c r="AP152" s="20">
        <f>DATA!AP142</f>
        <v>0</v>
      </c>
      <c r="AQ152" s="20" t="str">
        <f>DATA!AY142</f>
        <v>Surat Dirut PT. PLN nomor 716/REN.08.01/DIR/2015 tgl 9 September 2015</v>
      </c>
      <c r="AR152" s="20" t="e">
        <f>DATA!#REF!</f>
        <v>#REF!</v>
      </c>
      <c r="AS152" s="20">
        <f>DATA!AZ142</f>
        <v>0</v>
      </c>
      <c r="AT152" s="37" t="str">
        <f>DATA!BA142</f>
        <v>Pembangunan PLTP Hululais 2x55 MW, pembangunan jaringan transmisi 150 kV, termasuk engineering desainnya</v>
      </c>
    </row>
    <row r="153" spans="1:46" s="6" customFormat="1" ht="74.25" customHeight="1">
      <c r="A153" s="6">
        <f>DATA!A143</f>
        <v>105</v>
      </c>
      <c r="B153" s="6">
        <f>DATA!B143</f>
        <v>0</v>
      </c>
      <c r="C153" s="6" t="str">
        <f>DATA!D143</f>
        <v>INFRASTRUKTUR</v>
      </c>
      <c r="D153" s="6">
        <f>DATA!E143</f>
        <v>7</v>
      </c>
      <c r="E153" s="6" t="str">
        <f>DATA!F143</f>
        <v xml:space="preserve">PT. PLN    </v>
      </c>
      <c r="F153" s="6" t="str">
        <f>DATA!H143</f>
        <v>Electricity Infrastructure Development Program</v>
      </c>
      <c r="G153" s="6" t="str">
        <f>DATA!I143</f>
        <v>A</v>
      </c>
      <c r="H153" s="6" t="str">
        <f>DATA!J143</f>
        <v>Program Pembangunan Infrastruktur Ketenagalistrikan</v>
      </c>
      <c r="I153" s="6">
        <f>DATA!K143</f>
        <v>2</v>
      </c>
      <c r="J153" s="38"/>
      <c r="K153" s="39"/>
      <c r="L153" s="39"/>
      <c r="M153" s="40"/>
      <c r="N153" s="67" t="str">
        <f>DATA!L143</f>
        <v>Engineering Service for Hululais 1&amp;2 Geothermal Power Plant Project (2x55 MW)</v>
      </c>
      <c r="O153" s="42">
        <f>DATA!Q143</f>
        <v>1</v>
      </c>
      <c r="P153" s="42">
        <f>DATA!R143</f>
        <v>1</v>
      </c>
      <c r="Q153" s="42">
        <f>DATA!S143</f>
        <v>93</v>
      </c>
      <c r="R153" s="83">
        <f>DATA!T143</f>
        <v>6600000</v>
      </c>
      <c r="S153" s="83"/>
      <c r="T153" s="83">
        <f>DATA!V143</f>
        <v>600000</v>
      </c>
      <c r="U153" s="83">
        <f>DATA!W143</f>
        <v>0</v>
      </c>
      <c r="V153" s="83">
        <f>DATA!X143</f>
        <v>7200000</v>
      </c>
      <c r="W153" s="84" t="str">
        <f>DATA!Y143</f>
        <v>JICA</v>
      </c>
      <c r="X153" s="42" t="str">
        <f>DATA!Z143</f>
        <v>Bilateral</v>
      </c>
      <c r="Y153" s="83">
        <f>DATA!AA143</f>
        <v>6600000</v>
      </c>
      <c r="Z153" s="83">
        <f>DATA!AG143</f>
        <v>0</v>
      </c>
      <c r="AA153" s="42">
        <f>DATA!AH143</f>
        <v>2015</v>
      </c>
      <c r="AB153" s="67" t="str">
        <f>DATA!AI143</f>
        <v>- Sudah ada R/C0
- Green Book 2015
- Loan Agreement tgl 18 Des'15</v>
      </c>
      <c r="AC153" s="67"/>
      <c r="AD153" s="67"/>
      <c r="AE153" s="67"/>
      <c r="AF153" s="67"/>
      <c r="AG153" s="67"/>
      <c r="AH153" s="67"/>
      <c r="AI153" s="67"/>
      <c r="AJ153" s="67" t="str">
        <f>DATA!AJ143</f>
        <v>- AMDAL sedang di proses
- Pengeboran eksplorasi sedang di proses</v>
      </c>
      <c r="AK153" s="67" t="str">
        <f>DATA!AK143</f>
        <v>Belum</v>
      </c>
      <c r="AL153" s="67" t="str">
        <f>DATA!AL143</f>
        <v>Dalam proses persiapan pengadaan konsultan</v>
      </c>
      <c r="AM153" s="42" t="str">
        <f>DATA!AR143</f>
        <v>Nilai pinjaman di GB USD 6.570 ribu</v>
      </c>
      <c r="AN153" s="42" t="str">
        <f>DATA!AN143</f>
        <v>siap</v>
      </c>
      <c r="AO153" s="42" t="str">
        <f>DATA!AO143</f>
        <v>tidak butuh lahan</v>
      </c>
      <c r="AP153" s="42" t="str">
        <f>DATA!AP143</f>
        <v>belum ada proses tender/lelang</v>
      </c>
      <c r="AQ153" s="42" t="str">
        <f>DATA!AY143</f>
        <v>Surat Dirut PT. PLN nomor 716/REN.08.01/DIR/2015 tgl 9 September 2015</v>
      </c>
      <c r="AR153" s="42" t="e">
        <f>DATA!#REF!</f>
        <v>#REF!</v>
      </c>
      <c r="AS153" s="42">
        <f>DATA!AZ143</f>
        <v>0</v>
      </c>
      <c r="AT153" s="67" t="str">
        <f>DATA!BA143</f>
        <v>Memfasilitasi penyusunan DED, tender dokumen, dan pengawasan konstruksi untuk PLTP Hululais 1 dan 2 (2x55 MW)</v>
      </c>
    </row>
    <row r="154" spans="1:46" s="6" customFormat="1" ht="31.5" customHeight="1">
      <c r="A154" s="6">
        <f>DATA!A144</f>
        <v>106</v>
      </c>
      <c r="B154" s="6">
        <f>DATA!B144</f>
        <v>0</v>
      </c>
      <c r="C154" s="6" t="str">
        <f>DATA!D144</f>
        <v>INFRASTRUKTUR</v>
      </c>
      <c r="D154" s="6">
        <f>DATA!E144</f>
        <v>7</v>
      </c>
      <c r="E154" s="6" t="str">
        <f>DATA!F144</f>
        <v xml:space="preserve">PT. PLN    </v>
      </c>
      <c r="F154" s="6" t="str">
        <f>DATA!H144</f>
        <v>Electricity Infrastructure Development Program</v>
      </c>
      <c r="G154" s="6" t="str">
        <f>DATA!I144</f>
        <v>A</v>
      </c>
      <c r="H154" s="6" t="str">
        <f>DATA!J144</f>
        <v>Program Pembangunan Infrastruktur Ketenagalistrikan</v>
      </c>
      <c r="I154" s="6">
        <f>DATA!K144</f>
        <v>2</v>
      </c>
      <c r="J154" s="38"/>
      <c r="K154" s="39"/>
      <c r="L154" s="39"/>
      <c r="M154" s="43"/>
      <c r="N154" s="67" t="str">
        <f>DATA!L144</f>
        <v>Hululais Geothermal Power Plant  1&amp;2 (2x55MW)</v>
      </c>
      <c r="O154" s="42">
        <f>DATA!Q144</f>
        <v>1</v>
      </c>
      <c r="P154" s="42">
        <f>DATA!R144</f>
        <v>1</v>
      </c>
      <c r="Q154" s="42">
        <f>DATA!S144</f>
        <v>94</v>
      </c>
      <c r="R154" s="83">
        <f>DATA!T144</f>
        <v>204000000</v>
      </c>
      <c r="S154" s="83"/>
      <c r="T154" s="83">
        <f>DATA!V144</f>
        <v>42000000</v>
      </c>
      <c r="U154" s="83">
        <f>DATA!W144</f>
        <v>0</v>
      </c>
      <c r="V154" s="83">
        <f>DATA!X144</f>
        <v>246000000</v>
      </c>
      <c r="W154" s="84" t="str">
        <f>DATA!Y144</f>
        <v>JICA</v>
      </c>
      <c r="X154" s="42" t="str">
        <f>DATA!Z144</f>
        <v>Bilateral</v>
      </c>
      <c r="Y154" s="83">
        <f>DATA!AA144</f>
        <v>204000000</v>
      </c>
      <c r="Z154" s="83">
        <f>DATA!AG144</f>
        <v>0</v>
      </c>
      <c r="AA154" s="42">
        <f>DATA!AH144</f>
        <v>2015</v>
      </c>
      <c r="AB154" s="67" t="str">
        <f>DATA!AI144</f>
        <v>-</v>
      </c>
      <c r="AC154" s="67"/>
      <c r="AD154" s="67"/>
      <c r="AE154" s="67"/>
      <c r="AF154" s="67"/>
      <c r="AG154" s="67"/>
      <c r="AH154" s="67"/>
      <c r="AI154" s="67"/>
      <c r="AJ154" s="67" t="str">
        <f>DATA!AJ144</f>
        <v>-</v>
      </c>
      <c r="AK154" s="67" t="str">
        <f>DATA!AK144</f>
        <v>-</v>
      </c>
      <c r="AL154" s="67" t="str">
        <f>DATA!AL144</f>
        <v>-</v>
      </c>
      <c r="AM154" s="42" t="str">
        <f>DATA!AR144</f>
        <v>belum ada dokumen R/C</v>
      </c>
      <c r="AN154" s="42" t="str">
        <f>DATA!AN144</f>
        <v>belum ada keterangan</v>
      </c>
      <c r="AO154" s="42" t="str">
        <f>DATA!AO144</f>
        <v>belum ada keterangan</v>
      </c>
      <c r="AP154" s="42" t="str">
        <f>DATA!AP144</f>
        <v>belum ada proses tender/lelang</v>
      </c>
      <c r="AQ154" s="42" t="str">
        <f>DATA!AY144</f>
        <v>Surat Dirut PT. PLN nomor 716/REN.08.01/DIR/2015 tgl 9 September 2015</v>
      </c>
      <c r="AR154" s="42" t="e">
        <f>DATA!#REF!</f>
        <v>#REF!</v>
      </c>
      <c r="AS154" s="42">
        <f>DATA!AZ144</f>
        <v>0</v>
      </c>
      <c r="AT154" s="67" t="str">
        <f>DATA!BA144</f>
        <v>Pembangunan PLTP Hululais 2x55 MW dan pembangunan jaringan transmisi 150 kV</v>
      </c>
    </row>
    <row r="155" spans="1:46" ht="51">
      <c r="A155" s="10">
        <f>DATA!A145</f>
        <v>107</v>
      </c>
      <c r="B155" s="10">
        <f>DATA!B145</f>
        <v>0</v>
      </c>
      <c r="C155" s="10" t="str">
        <f>DATA!D145</f>
        <v>INFRASTRUKTUR</v>
      </c>
      <c r="D155" s="10">
        <f>DATA!E145</f>
        <v>7</v>
      </c>
      <c r="E155" s="10" t="str">
        <f>DATA!F145</f>
        <v xml:space="preserve">PT. PLN    </v>
      </c>
      <c r="F155" s="10" t="str">
        <f>DATA!H145</f>
        <v>Electricity Infrastructure Development Program</v>
      </c>
      <c r="G155" s="10" t="str">
        <f>DATA!I145</f>
        <v>A</v>
      </c>
      <c r="H155" s="10" t="str">
        <f>DATA!J145</f>
        <v>Program Pembangunan Infrastruktur Ketenagalistrikan</v>
      </c>
      <c r="I155" s="10">
        <f>DATA!K145</f>
        <v>3</v>
      </c>
      <c r="J155" s="33"/>
      <c r="K155" s="34"/>
      <c r="L155" s="34"/>
      <c r="M155" s="36">
        <f>DATA!K145</f>
        <v>3</v>
      </c>
      <c r="N155" s="37" t="str">
        <f>DATA!L145</f>
        <v>Bakaru II Hydro Electrical Power Plant (2x63MW)</v>
      </c>
      <c r="O155" s="20">
        <f>DATA!Q145</f>
        <v>1</v>
      </c>
      <c r="P155" s="20">
        <f>DATA!R145</f>
        <v>1</v>
      </c>
      <c r="Q155" s="20">
        <f>DATA!S145</f>
        <v>95</v>
      </c>
      <c r="R155" s="77">
        <f>DATA!T145</f>
        <v>280000000</v>
      </c>
      <c r="S155" s="77"/>
      <c r="T155" s="77">
        <f>DATA!V145</f>
        <v>20000000</v>
      </c>
      <c r="U155" s="77">
        <f>DATA!W145</f>
        <v>0</v>
      </c>
      <c r="V155" s="77">
        <f>DATA!X145</f>
        <v>300000000</v>
      </c>
      <c r="W155" s="78" t="str">
        <f>DATA!Y145</f>
        <v>Jerman (KfW)</v>
      </c>
      <c r="X155" s="20" t="str">
        <f>DATA!Z145</f>
        <v>Bilateral</v>
      </c>
      <c r="Y155" s="77">
        <f>DATA!AA145</f>
        <v>280000000</v>
      </c>
      <c r="Z155" s="77">
        <f>DATA!AG145</f>
        <v>0</v>
      </c>
      <c r="AA155" s="20">
        <f>DATA!AH145</f>
        <v>2016</v>
      </c>
      <c r="AB155" s="37" t="str">
        <f>DATA!AI145</f>
        <v>-</v>
      </c>
      <c r="AC155" s="37"/>
      <c r="AD155" s="37"/>
      <c r="AE155" s="37"/>
      <c r="AF155" s="37"/>
      <c r="AG155" s="37"/>
      <c r="AH155" s="37"/>
      <c r="AI155" s="37"/>
      <c r="AJ155" s="37" t="str">
        <f>DATA!AJ145</f>
        <v>Dalam tahap reviu FS, Penyusunan AMDAL</v>
      </c>
      <c r="AK155" s="37" t="str">
        <f>DATA!AK145</f>
        <v>Pembebasan lahan menunggu hasil reviu FS</v>
      </c>
      <c r="AL155" s="37" t="str">
        <f>DATA!AL145</f>
        <v>Belum ada lelang/tender</v>
      </c>
      <c r="AM155" s="20">
        <f>DATA!AM145</f>
        <v>0</v>
      </c>
      <c r="AN155" s="20" t="str">
        <f>DATA!AN145</f>
        <v>dalam proses</v>
      </c>
      <c r="AO155" s="20" t="str">
        <f>DATA!AO145</f>
        <v>dalam proses
(perencanaan)</v>
      </c>
      <c r="AP155" s="20" t="str">
        <f>DATA!AP145</f>
        <v>belum ada proses tender/lelang</v>
      </c>
      <c r="AQ155"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R155" s="20" t="e">
        <f>DATA!#REF!</f>
        <v>#REF!</v>
      </c>
      <c r="AS155" s="20">
        <f>DATA!AZ145</f>
        <v>0</v>
      </c>
      <c r="AT155" s="37" t="str">
        <f>DATA!BA145</f>
        <v xml:space="preserve"> Pembangunan PLTA Bakaru II (2x63 MW), rehabilitasi bendungan dan turbin PLTA Bakaru I, sedimentasi penanggulangan dan Engineering Services PLTA Bakaru II</v>
      </c>
    </row>
    <row r="156" spans="1:46" ht="76.5">
      <c r="A156" s="10">
        <f>DATA!A146</f>
        <v>108</v>
      </c>
      <c r="B156" s="10">
        <f>DATA!B146</f>
        <v>0</v>
      </c>
      <c r="C156" s="10" t="str">
        <f>DATA!D146</f>
        <v>INFRASTRUKTUR</v>
      </c>
      <c r="D156" s="10">
        <f>DATA!E146</f>
        <v>7</v>
      </c>
      <c r="E156" s="10" t="str">
        <f>DATA!F146</f>
        <v xml:space="preserve">PT. PLN    </v>
      </c>
      <c r="F156" s="10" t="str">
        <f>DATA!H146</f>
        <v>Electricity Infrastructure Development Program</v>
      </c>
      <c r="G156" s="10" t="str">
        <f>DATA!I146</f>
        <v>A</v>
      </c>
      <c r="H156" s="10" t="str">
        <f>DATA!J146</f>
        <v>Program Pembangunan Infrastruktur Ketenagalistrikan</v>
      </c>
      <c r="I156" s="10">
        <f>DATA!K146</f>
        <v>4</v>
      </c>
      <c r="J156" s="33"/>
      <c r="K156" s="34"/>
      <c r="L156" s="34"/>
      <c r="M156" s="36">
        <f>DATA!K146</f>
        <v>4</v>
      </c>
      <c r="N156" s="37" t="str">
        <f>DATA!L146</f>
        <v>Tulehu Geothermal Power Plant Project Unit 1&amp;2 (2x10MW)</v>
      </c>
      <c r="O156" s="20">
        <f>DATA!Q146</f>
        <v>1</v>
      </c>
      <c r="P156" s="20">
        <f>DATA!R146</f>
        <v>1</v>
      </c>
      <c r="Q156" s="20">
        <f>DATA!S146</f>
        <v>96</v>
      </c>
      <c r="R156" s="77">
        <f>DATA!T146</f>
        <v>104000000</v>
      </c>
      <c r="S156" s="77"/>
      <c r="T156" s="77">
        <f>DATA!V146</f>
        <v>18000000</v>
      </c>
      <c r="U156" s="77">
        <f>DATA!W146</f>
        <v>0</v>
      </c>
      <c r="V156" s="77">
        <f>DATA!X146</f>
        <v>122000000</v>
      </c>
      <c r="W156" s="78" t="str">
        <f>DATA!Y146</f>
        <v>JICA</v>
      </c>
      <c r="X156" s="20" t="str">
        <f>DATA!Z146</f>
        <v>Bilateral</v>
      </c>
      <c r="Y156" s="77">
        <f>DATA!AA146</f>
        <v>104000000</v>
      </c>
      <c r="Z156" s="77">
        <f>DATA!AG146</f>
        <v>0</v>
      </c>
      <c r="AA156" s="20">
        <f>DATA!AH146</f>
        <v>2018</v>
      </c>
      <c r="AB156" s="37" t="str">
        <f>DATA!AI146</f>
        <v>-</v>
      </c>
      <c r="AC156" s="37"/>
      <c r="AD156" s="37"/>
      <c r="AE156" s="37"/>
      <c r="AF156" s="37"/>
      <c r="AG156" s="37"/>
      <c r="AH156" s="37"/>
      <c r="AI156" s="37"/>
      <c r="AJ156" s="37" t="str">
        <f>DATA!AJ146</f>
        <v>Dalam proses reviu oleh BLH</v>
      </c>
      <c r="AK156" s="114">
        <f>DATA!AK146</f>
        <v>0.63</v>
      </c>
      <c r="AL156" s="37" t="str">
        <f>DATA!AL146</f>
        <v>- Direncanakan PQ IPM Drilling Sumur Produksi/Injeksi dimulai akhir Sept 2015
- Proses finalisasi dokumen lelang</v>
      </c>
      <c r="AM156" s="20" t="str">
        <f>DATA!AR146</f>
        <v>belum ada dokumen R/C</v>
      </c>
      <c r="AN156" s="20" t="str">
        <f>DATA!AN146</f>
        <v>dalam proses
(penyusunan FS)</v>
      </c>
      <c r="AO156" s="20" t="str">
        <f>DATA!AO146</f>
        <v>dalam proses
(pelaksanaan 63%)</v>
      </c>
      <c r="AP156" s="20" t="str">
        <f>DATA!AP146</f>
        <v>belum ada proses tender/lelang</v>
      </c>
      <c r="AQ156" s="20" t="str">
        <f>DATA!AY146</f>
        <v>- Pembebasan lahan untuk lokasi power plant dan pad B masih terkendala batas wilayah antara dua desa
- Surat Dirut PT. PLN nomor 716/REN.08.01/DIR/2015 tgl 9 September 2015</v>
      </c>
      <c r="AR156" s="20" t="e">
        <f>DATA!#REF!</f>
        <v>#REF!</v>
      </c>
      <c r="AS156" s="20">
        <f>DATA!AZ146</f>
        <v>0</v>
      </c>
      <c r="AT156" s="37" t="str">
        <f>DATA!BA146</f>
        <v>Pembangunan PLTP Tulehu 2x10 MW dan tambahan pengeboran untuk 3 sumur produksi/injeksi</v>
      </c>
    </row>
    <row r="157" spans="1:46" ht="89.25">
      <c r="A157" s="10">
        <f>DATA!A147</f>
        <v>109</v>
      </c>
      <c r="B157" s="10">
        <f>DATA!B147</f>
        <v>0</v>
      </c>
      <c r="C157" s="10" t="str">
        <f>DATA!D147</f>
        <v>INFRASTRUKTUR</v>
      </c>
      <c r="D157" s="10">
        <f>DATA!E147</f>
        <v>7</v>
      </c>
      <c r="E157" s="10" t="str">
        <f>DATA!F147</f>
        <v xml:space="preserve">PT. PLN    </v>
      </c>
      <c r="F157" s="10" t="str">
        <f>DATA!H147</f>
        <v>Electricity Infrastructure Development Program</v>
      </c>
      <c r="G157" s="10" t="str">
        <f>DATA!I147</f>
        <v>A</v>
      </c>
      <c r="H157" s="10" t="str">
        <f>DATA!J147</f>
        <v>Program Pembangunan Infrastruktur Ketenagalistrikan</v>
      </c>
      <c r="I157" s="10">
        <f>DATA!K147</f>
        <v>5</v>
      </c>
      <c r="J157" s="33"/>
      <c r="K157" s="34"/>
      <c r="L157" s="34"/>
      <c r="M157" s="36">
        <f>DATA!K147</f>
        <v>5</v>
      </c>
      <c r="N157" s="37" t="str">
        <f>DATA!L147</f>
        <v>Indramayu Coal Fired Power Plant  #4 (1x1000MW)</v>
      </c>
      <c r="O157" s="20">
        <f>DATA!Q147</f>
        <v>1</v>
      </c>
      <c r="P157" s="20">
        <f>DATA!R147</f>
        <v>1</v>
      </c>
      <c r="Q157" s="20">
        <f>DATA!S147</f>
        <v>97</v>
      </c>
      <c r="R157" s="77">
        <f>DATA!T147</f>
        <v>1845000000</v>
      </c>
      <c r="S157" s="77"/>
      <c r="T157" s="77">
        <f>DATA!V147</f>
        <v>333000000</v>
      </c>
      <c r="U157" s="77">
        <f>DATA!W147</f>
        <v>0</v>
      </c>
      <c r="V157" s="77">
        <f>DATA!X147</f>
        <v>2178000000</v>
      </c>
      <c r="W157" s="78" t="str">
        <f>DATA!Y147</f>
        <v>JICA</v>
      </c>
      <c r="X157" s="20" t="str">
        <f>DATA!Z147</f>
        <v>Bilateral</v>
      </c>
      <c r="Y157" s="77">
        <f>DATA!AA147</f>
        <v>1845000000</v>
      </c>
      <c r="Z157" s="77">
        <f>DATA!AG147</f>
        <v>0</v>
      </c>
      <c r="AA157" s="20">
        <f>DATA!AH147</f>
        <v>2017</v>
      </c>
      <c r="AB157" s="37" t="str">
        <f>DATA!AI147</f>
        <v>-</v>
      </c>
      <c r="AC157" s="37"/>
      <c r="AD157" s="37"/>
      <c r="AE157" s="37"/>
      <c r="AF157" s="37"/>
      <c r="AG157" s="37"/>
      <c r="AH157" s="37"/>
      <c r="AI157" s="37"/>
      <c r="AJ157" s="37" t="str">
        <f>DATA!AJ147</f>
        <v>FS, AMDAL</v>
      </c>
      <c r="AK157" s="37" t="str">
        <f>DATA!AK147</f>
        <v>Pembebasan lahan tahun 2016</v>
      </c>
      <c r="AL157" s="37" t="str">
        <f>DATA!AL147</f>
        <v>Rencana pengadaan konsultan ES selesai Nov 2015</v>
      </c>
      <c r="AM157" s="20" t="str">
        <f>DATA!AR147</f>
        <v>belum ada dokumen R/C</v>
      </c>
      <c r="AN157" s="20" t="str">
        <f>DATA!AN147</f>
        <v>siap</v>
      </c>
      <c r="AO157" s="20" t="str">
        <f>DATA!AO147</f>
        <v>dalam proses
(perencanaan)</v>
      </c>
      <c r="AP157" s="20" t="str">
        <f>DATA!AP147</f>
        <v>belum ada proses tender/lelang</v>
      </c>
      <c r="AQ157" s="20" t="str">
        <f>DATA!AY147</f>
        <v>Surat Dirut PT. PLN nomor 716/REN.08.01/DIR/2015 tgl 9 September 2015</v>
      </c>
      <c r="AR157" s="20" t="e">
        <f>DATA!#REF!</f>
        <v>#REF!</v>
      </c>
      <c r="AS157" s="20">
        <f>DATA!AZ147</f>
        <v>0</v>
      </c>
      <c r="AT157" s="37"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row>
    <row r="158" spans="1:46" ht="203.25" customHeight="1">
      <c r="A158" s="10">
        <f>DATA!A148</f>
        <v>110</v>
      </c>
      <c r="B158" s="10">
        <f>DATA!B148</f>
        <v>0</v>
      </c>
      <c r="C158" s="10" t="str">
        <f>DATA!D148</f>
        <v>INFRASTRUKTUR</v>
      </c>
      <c r="D158" s="10">
        <f>DATA!E148</f>
        <v>7</v>
      </c>
      <c r="E158" s="10" t="str">
        <f>DATA!F148</f>
        <v xml:space="preserve">PT. PLN    </v>
      </c>
      <c r="F158" s="10" t="str">
        <f>DATA!H148</f>
        <v>Electricity Infrastructure Development Program</v>
      </c>
      <c r="G158" s="10" t="str">
        <f>DATA!I148</f>
        <v>A</v>
      </c>
      <c r="H158" s="10" t="str">
        <f>DATA!J148</f>
        <v>Program Pembangunan Infrastruktur Ketenagalistrikan</v>
      </c>
      <c r="I158" s="10">
        <f>DATA!K148</f>
        <v>6</v>
      </c>
      <c r="J158" s="33"/>
      <c r="K158" s="34"/>
      <c r="L158" s="34"/>
      <c r="M158" s="36">
        <f>DATA!K148</f>
        <v>6</v>
      </c>
      <c r="N158" s="37" t="str">
        <f>DATA!L148</f>
        <v>Additional Loan for Upper Cisokan Pumped Storage Hydro Electrical Power Plant (4x260MW)</v>
      </c>
      <c r="O158" s="20">
        <f>DATA!Q148</f>
        <v>1</v>
      </c>
      <c r="P158" s="20">
        <f>DATA!R148</f>
        <v>1</v>
      </c>
      <c r="Q158" s="20">
        <f>DATA!S148</f>
        <v>98</v>
      </c>
      <c r="R158" s="77">
        <f>DATA!T148</f>
        <v>200000000</v>
      </c>
      <c r="S158" s="77"/>
      <c r="T158" s="77">
        <f>DATA!V148</f>
        <v>0</v>
      </c>
      <c r="U158" s="77">
        <f>DATA!W148</f>
        <v>0</v>
      </c>
      <c r="V158" s="77">
        <f>DATA!X148</f>
        <v>200000000</v>
      </c>
      <c r="W158" s="78" t="str">
        <f>DATA!Y148</f>
        <v>Bank Dunia</v>
      </c>
      <c r="X158" s="20" t="str">
        <f>DATA!Z148</f>
        <v>Multilateral</v>
      </c>
      <c r="Y158" s="77">
        <f>DATA!AA148</f>
        <v>200000000</v>
      </c>
      <c r="Z158" s="77">
        <f>DATA!AG148</f>
        <v>0</v>
      </c>
      <c r="AA158" s="20">
        <f>DATA!AH148</f>
        <v>2017</v>
      </c>
      <c r="AB158" s="37" t="str">
        <f>DATA!AI148</f>
        <v>-</v>
      </c>
      <c r="AC158" s="37"/>
      <c r="AD158" s="37"/>
      <c r="AE158" s="37"/>
      <c r="AF158" s="37"/>
      <c r="AG158" s="37"/>
      <c r="AH158" s="37"/>
      <c r="AI158" s="37"/>
      <c r="AJ158" s="37" t="str">
        <f>DATA!AJ148</f>
        <v>FS, AMDAL</v>
      </c>
      <c r="AK158" s="114">
        <f>DATA!AK148</f>
        <v>0.95</v>
      </c>
      <c r="AL158" s="37"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M158" s="20" t="str">
        <f>DATA!AR148</f>
        <v>belum ada dokumen R/C</v>
      </c>
      <c r="AN158" s="20" t="str">
        <f>DATA!AN148</f>
        <v>siap</v>
      </c>
      <c r="AO158" s="20" t="str">
        <f>DATA!AO148</f>
        <v>dalam proses
(pelaksanaan 95%)</v>
      </c>
      <c r="AP158" s="20" t="str">
        <f>DATA!AP148</f>
        <v>belum ada proses tender/lelang</v>
      </c>
      <c r="AQ158"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R158" s="20" t="e">
        <f>DATA!#REF!</f>
        <v>#REF!</v>
      </c>
      <c r="AS158" s="20">
        <f>DATA!AZ148</f>
        <v>0</v>
      </c>
      <c r="AT158" s="37"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row>
    <row r="159" spans="1:46" ht="35.25" customHeight="1">
      <c r="A159" s="10">
        <f>DATA!A149</f>
        <v>111</v>
      </c>
      <c r="B159" s="10">
        <f>DATA!B149</f>
        <v>0</v>
      </c>
      <c r="C159" s="10" t="str">
        <f>DATA!D149</f>
        <v>INFRASTRUKTUR</v>
      </c>
      <c r="D159" s="10">
        <f>DATA!E149</f>
        <v>7</v>
      </c>
      <c r="E159" s="10" t="str">
        <f>DATA!F149</f>
        <v xml:space="preserve">PT. PLN    </v>
      </c>
      <c r="F159" s="10" t="str">
        <f>DATA!H149</f>
        <v>Electricity Infrastructure Development Program</v>
      </c>
      <c r="G159" s="10" t="str">
        <f>DATA!I149</f>
        <v>A</v>
      </c>
      <c r="H159" s="10" t="str">
        <f>DATA!J149</f>
        <v>Program Pembangunan Infrastruktur Ketenagalistrikan</v>
      </c>
      <c r="I159" s="10">
        <f>DATA!K149</f>
        <v>7</v>
      </c>
      <c r="J159" s="33"/>
      <c r="K159" s="34"/>
      <c r="L159" s="34"/>
      <c r="M159" s="36">
        <f>DATA!K149</f>
        <v>7</v>
      </c>
      <c r="N159" s="37" t="str">
        <f>DATA!L149</f>
        <v>Sungai Penuh Geothermal Power Plant 1&amp;2 (2x55MW)</v>
      </c>
      <c r="O159" s="20">
        <f>DATA!Q149</f>
        <v>1</v>
      </c>
      <c r="P159" s="20">
        <f>DATA!R149</f>
        <v>1</v>
      </c>
      <c r="Q159" s="20">
        <f>DATA!S149</f>
        <v>99</v>
      </c>
      <c r="R159" s="77">
        <f>DATA!T149</f>
        <v>205000000</v>
      </c>
      <c r="S159" s="77"/>
      <c r="T159" s="77">
        <f>DATA!V149</f>
        <v>45000000</v>
      </c>
      <c r="U159" s="77">
        <f>DATA!W149</f>
        <v>0</v>
      </c>
      <c r="V159" s="77">
        <f>DATA!X149</f>
        <v>250000000</v>
      </c>
      <c r="W159" s="78" t="str">
        <f>DATA!Y149</f>
        <v>ADB</v>
      </c>
      <c r="X159" s="20" t="str">
        <f>DATA!Z149</f>
        <v>Multilateral</v>
      </c>
      <c r="Y159" s="77">
        <f>DATA!AA149</f>
        <v>205000000</v>
      </c>
      <c r="Z159" s="77">
        <f>DATA!AG149</f>
        <v>0</v>
      </c>
      <c r="AA159" s="20" t="str">
        <f>DATA!AH149</f>
        <v>Tanpa keterangan</v>
      </c>
      <c r="AB159" s="37" t="str">
        <f>DATA!AI149</f>
        <v>-</v>
      </c>
      <c r="AC159" s="37"/>
      <c r="AD159" s="37"/>
      <c r="AE159" s="37"/>
      <c r="AF159" s="37"/>
      <c r="AG159" s="37"/>
      <c r="AH159" s="37"/>
      <c r="AI159" s="37"/>
      <c r="AJ159" s="37" t="str">
        <f>DATA!AJ149</f>
        <v>AMDAL</v>
      </c>
      <c r="AK159" s="37" t="str">
        <f>DATA!AK149</f>
        <v>-</v>
      </c>
      <c r="AL159" s="37" t="str">
        <f>DATA!AL149</f>
        <v>-</v>
      </c>
      <c r="AM159" s="20" t="str">
        <f>DATA!AR149</f>
        <v>belum ada dokumen R/C</v>
      </c>
      <c r="AN159" s="20" t="str">
        <f>DATA!AN149</f>
        <v>siap</v>
      </c>
      <c r="AO159" s="20" t="str">
        <f>DATA!AO149</f>
        <v>belum ada keterangan</v>
      </c>
      <c r="AP159" s="20" t="str">
        <f>DATA!AP149</f>
        <v>belum ada proses tender/lelang</v>
      </c>
      <c r="AQ159" s="20" t="str">
        <f>DATA!AY149</f>
        <v xml:space="preserve">- FS report terkait resource confirmation dari PGE belum ada
- Surat Dirut PT. PLN nomor 716/REN.08.01/DIR/2015 tgl 9 September 2015
</v>
      </c>
      <c r="AR159" s="20" t="e">
        <f>DATA!#REF!</f>
        <v>#REF!</v>
      </c>
      <c r="AS159" s="20">
        <f>DATA!AZ149</f>
        <v>0</v>
      </c>
      <c r="AT159" s="37" t="str">
        <f>DATA!BA149</f>
        <v>Pengembangan PLTP Sungai Penuh dengan kapasitas 2x55 MW dan jaringan transmisi terkait</v>
      </c>
    </row>
    <row r="160" spans="1:46" ht="36" customHeight="1">
      <c r="A160" s="10">
        <f>DATA!A150</f>
        <v>112</v>
      </c>
      <c r="B160" s="10">
        <f>DATA!B150</f>
        <v>0</v>
      </c>
      <c r="C160" s="10" t="str">
        <f>DATA!D150</f>
        <v>INFRASTRUKTUR</v>
      </c>
      <c r="D160" s="10">
        <f>DATA!E150</f>
        <v>7</v>
      </c>
      <c r="E160" s="10" t="str">
        <f>DATA!F150</f>
        <v xml:space="preserve">PT. PLN    </v>
      </c>
      <c r="F160" s="10" t="str">
        <f>DATA!H150</f>
        <v>Electricity Infrastructure Development Program</v>
      </c>
      <c r="G160" s="10" t="str">
        <f>DATA!I150</f>
        <v>A</v>
      </c>
      <c r="H160" s="10" t="str">
        <f>DATA!J150</f>
        <v>Program Pembangunan Infrastruktur Ketenagalistrikan</v>
      </c>
      <c r="I160" s="10">
        <f>DATA!K150</f>
        <v>8</v>
      </c>
      <c r="J160" s="52"/>
      <c r="K160" s="54"/>
      <c r="L160" s="54"/>
      <c r="M160" s="36">
        <f>DATA!K150</f>
        <v>8</v>
      </c>
      <c r="N160" s="37" t="str">
        <f>DATA!L150</f>
        <v>Matenggeng Pumped Storage Hydro Electrical Power Plant (4x225MW)</v>
      </c>
      <c r="O160" s="20">
        <f>DATA!Q150</f>
        <v>1</v>
      </c>
      <c r="P160" s="20">
        <f>DATA!R150</f>
        <v>1</v>
      </c>
      <c r="Q160" s="20">
        <f>DATA!S150</f>
        <v>100</v>
      </c>
      <c r="R160" s="77">
        <f>DATA!T150</f>
        <v>500000000</v>
      </c>
      <c r="S160" s="77"/>
      <c r="T160" s="77">
        <f>DATA!V150</f>
        <v>220000000</v>
      </c>
      <c r="U160" s="77">
        <f>DATA!W150</f>
        <v>0</v>
      </c>
      <c r="V160" s="77">
        <f>DATA!X150</f>
        <v>720000000</v>
      </c>
      <c r="W160" s="78" t="str">
        <f>DATA!Y150</f>
        <v>Bank Dunia</v>
      </c>
      <c r="X160" s="20" t="str">
        <f>DATA!Z150</f>
        <v>Multilateral</v>
      </c>
      <c r="Y160" s="77">
        <f>DATA!AA150</f>
        <v>500000000</v>
      </c>
      <c r="Z160" s="77">
        <f>DATA!AG150</f>
        <v>0</v>
      </c>
      <c r="AA160" s="20">
        <f>DATA!AH150</f>
        <v>2017</v>
      </c>
      <c r="AB160" s="37" t="str">
        <f>DATA!AI150</f>
        <v>-</v>
      </c>
      <c r="AC160" s="37"/>
      <c r="AD160" s="37"/>
      <c r="AE160" s="37"/>
      <c r="AF160" s="37"/>
      <c r="AG160" s="37"/>
      <c r="AH160" s="37"/>
      <c r="AI160" s="37"/>
      <c r="AJ160" s="37" t="str">
        <f>DATA!AJ150</f>
        <v>Penyusunan FS</v>
      </c>
      <c r="AK160" s="37" t="str">
        <f>DATA!AK150</f>
        <v>-</v>
      </c>
      <c r="AL160" s="37" t="str">
        <f>DATA!AL150</f>
        <v>-</v>
      </c>
      <c r="AM160" s="20" t="str">
        <f>DATA!AR150</f>
        <v>belum ada dokumen R/C</v>
      </c>
      <c r="AN160" s="20" t="str">
        <f>DATA!AN150</f>
        <v>dalam proses
(penyusunan FS)</v>
      </c>
      <c r="AO160" s="20" t="str">
        <f>DATA!AO150</f>
        <v>belum ada keterangan</v>
      </c>
      <c r="AP160" s="20" t="str">
        <f>DATA!AP150</f>
        <v>belum ada proses tender/lelang</v>
      </c>
      <c r="AQ160" s="20" t="str">
        <f>DATA!AY150</f>
        <v>- Direncanakan menggunakan skema direct lending
- AMDAL direncanakan mulai tahun 2016
- Layout terkini tidak terindikasi overlapping dengan bendungan Matenggeng milik PU
- Surat Dirut PT. PLN nomor 716/REN.08.01/DIR/2015 tgl 9 September 2015</v>
      </c>
      <c r="AR160" s="20" t="e">
        <f>DATA!#REF!</f>
        <v>#REF!</v>
      </c>
      <c r="AS160" s="20">
        <f>DATA!AZ150</f>
        <v>0</v>
      </c>
      <c r="AT160" s="37" t="str">
        <f>DATA!BA150</f>
        <v>Pengembangan PLTA Matenggeng dengan kapasitas 4x225 MW dan jaringan transmisi terkait</v>
      </c>
    </row>
    <row r="161" spans="1:46" s="3" customFormat="1" ht="30" customHeight="1">
      <c r="J161" s="21" t="str">
        <f>DATA!B160</f>
        <v>II</v>
      </c>
      <c r="K161" s="112" t="str">
        <f>DATA!D160</f>
        <v>NON-INFRASTRUKTUR</v>
      </c>
      <c r="L161" s="22"/>
      <c r="M161" s="22"/>
      <c r="N161" s="23"/>
      <c r="O161" s="22"/>
      <c r="P161" s="22"/>
      <c r="Q161" s="22"/>
      <c r="R161" s="79">
        <f>+R162+R172+R181+R184+R196+R199+R212+R215+R218+R221</f>
        <v>4590772100</v>
      </c>
      <c r="S161" s="79"/>
      <c r="T161" s="79">
        <f t="shared" ref="T161:Z161" si="18">+T162+T172+T181+T184+T196+T199+T212+T215+T218+T221</f>
        <v>488120200</v>
      </c>
      <c r="U161" s="79">
        <f t="shared" si="18"/>
        <v>2660000</v>
      </c>
      <c r="V161" s="79">
        <f t="shared" si="18"/>
        <v>5308007600</v>
      </c>
      <c r="W161" s="79"/>
      <c r="X161" s="79" t="e">
        <f t="shared" si="18"/>
        <v>#VALUE!</v>
      </c>
      <c r="Y161" s="79">
        <f t="shared" si="18"/>
        <v>4590772100</v>
      </c>
      <c r="Z161" s="79">
        <f t="shared" si="18"/>
        <v>-1609442600</v>
      </c>
      <c r="AA161" s="22"/>
      <c r="AB161" s="23"/>
      <c r="AC161" s="23"/>
      <c r="AD161" s="23"/>
      <c r="AE161" s="23"/>
      <c r="AF161" s="23"/>
      <c r="AG161" s="23"/>
      <c r="AH161" s="23"/>
      <c r="AI161" s="23"/>
      <c r="AJ161" s="23"/>
      <c r="AK161" s="23"/>
      <c r="AL161" s="23"/>
      <c r="AM161" s="22"/>
      <c r="AN161" s="22"/>
      <c r="AO161" s="22"/>
      <c r="AP161" s="22"/>
      <c r="AQ161" s="22"/>
      <c r="AR161" s="22"/>
      <c r="AS161" s="22"/>
      <c r="AT161" s="23"/>
    </row>
    <row r="162" spans="1:46" s="4" customFormat="1" ht="24.95" customHeight="1">
      <c r="J162" s="24"/>
      <c r="K162" s="25">
        <f>DATA!E160</f>
        <v>8</v>
      </c>
      <c r="L162" s="108" t="str">
        <f>DATA!F160</f>
        <v>Kementerian Riset, Teknologi, dan Pendidikan Tinggi</v>
      </c>
      <c r="M162" s="25"/>
      <c r="N162" s="27"/>
      <c r="O162" s="26"/>
      <c r="P162" s="26"/>
      <c r="Q162" s="26"/>
      <c r="R162" s="80">
        <f>+R163</f>
        <v>290311500</v>
      </c>
      <c r="S162" s="80"/>
      <c r="T162" s="80">
        <f t="shared" ref="T162:Z163" si="19">+T163</f>
        <v>54543500</v>
      </c>
      <c r="U162" s="80">
        <f t="shared" si="19"/>
        <v>0</v>
      </c>
      <c r="V162" s="80">
        <f t="shared" si="19"/>
        <v>581714600</v>
      </c>
      <c r="W162" s="80"/>
      <c r="X162" s="80">
        <f t="shared" si="19"/>
        <v>0</v>
      </c>
      <c r="Y162" s="80">
        <f t="shared" si="19"/>
        <v>290311500</v>
      </c>
      <c r="Z162" s="80">
        <f t="shared" si="19"/>
        <v>0</v>
      </c>
      <c r="AA162" s="26"/>
      <c r="AB162" s="27"/>
      <c r="AC162" s="27"/>
      <c r="AD162" s="27"/>
      <c r="AE162" s="27"/>
      <c r="AF162" s="27"/>
      <c r="AG162" s="27"/>
      <c r="AH162" s="27"/>
      <c r="AI162" s="27"/>
      <c r="AJ162" s="27"/>
      <c r="AK162" s="27"/>
      <c r="AL162" s="27"/>
      <c r="AM162" s="26"/>
      <c r="AN162" s="26"/>
      <c r="AO162" s="26"/>
      <c r="AP162" s="26"/>
      <c r="AQ162" s="26"/>
      <c r="AR162" s="26"/>
      <c r="AS162" s="26"/>
      <c r="AT162" s="27"/>
    </row>
    <row r="163" spans="1:46" s="5" customFormat="1" ht="33.75" customHeight="1">
      <c r="J163" s="28"/>
      <c r="K163" s="29"/>
      <c r="L163" s="30" t="str">
        <f>DATA!I160</f>
        <v>A</v>
      </c>
      <c r="M163" s="31" t="str">
        <f>DATA!J160</f>
        <v xml:space="preserve">Program Peningkatan Akses, Kualitas, Relevansi, dan Daya Saing Pendidikan Tinggi </v>
      </c>
      <c r="N163" s="51"/>
      <c r="O163" s="31"/>
      <c r="P163" s="31"/>
      <c r="Q163" s="31"/>
      <c r="R163" s="81">
        <f>+R164</f>
        <v>290311500</v>
      </c>
      <c r="S163" s="81"/>
      <c r="T163" s="81">
        <f t="shared" si="19"/>
        <v>54543500</v>
      </c>
      <c r="U163" s="81">
        <f t="shared" si="19"/>
        <v>0</v>
      </c>
      <c r="V163" s="81">
        <f t="shared" si="19"/>
        <v>581714600</v>
      </c>
      <c r="W163" s="81"/>
      <c r="X163" s="81">
        <f t="shared" si="19"/>
        <v>0</v>
      </c>
      <c r="Y163" s="81">
        <f t="shared" si="19"/>
        <v>290311500</v>
      </c>
      <c r="Z163" s="81">
        <f t="shared" si="19"/>
        <v>0</v>
      </c>
      <c r="AA163" s="31"/>
      <c r="AB163" s="32"/>
      <c r="AC163" s="32"/>
      <c r="AD163" s="32"/>
      <c r="AE163" s="32"/>
      <c r="AF163" s="32"/>
      <c r="AG163" s="32"/>
      <c r="AH163" s="32"/>
      <c r="AI163" s="32"/>
      <c r="AJ163" s="32"/>
      <c r="AK163" s="32"/>
      <c r="AL163" s="32"/>
      <c r="AM163" s="31"/>
      <c r="AN163" s="31"/>
      <c r="AO163" s="31"/>
      <c r="AP163" s="31"/>
      <c r="AQ163" s="31"/>
      <c r="AR163" s="31"/>
      <c r="AS163" s="31"/>
      <c r="AT163" s="32"/>
    </row>
    <row r="164" spans="1:46" ht="48.75" customHeight="1">
      <c r="A164" s="10">
        <f>DATA!A160</f>
        <v>113</v>
      </c>
      <c r="B164" s="10" t="str">
        <f>DATA!B160</f>
        <v>II</v>
      </c>
      <c r="C164" s="10" t="str">
        <f>DATA!D160</f>
        <v>NON-INFRASTRUKTUR</v>
      </c>
      <c r="D164" s="10">
        <f>DATA!E160</f>
        <v>8</v>
      </c>
      <c r="E164" s="10" t="str">
        <f>DATA!F160</f>
        <v>Kementerian Riset, Teknologi, dan Pendidikan Tinggi</v>
      </c>
      <c r="F164" s="10" t="str">
        <f>DATA!H160</f>
        <v>Improving Access, Quality, Relevance, and Competitiveness of Higher Education Program</v>
      </c>
      <c r="G164" s="10" t="str">
        <f>DATA!I160</f>
        <v>A</v>
      </c>
      <c r="H164" s="10" t="str">
        <f>DATA!J160</f>
        <v xml:space="preserve">Program Peningkatan Akses, Kualitas, Relevansi, dan Daya Saing Pendidikan Tinggi </v>
      </c>
      <c r="I164" s="10">
        <f>DATA!K160</f>
        <v>1</v>
      </c>
      <c r="J164" s="33"/>
      <c r="K164" s="34"/>
      <c r="L164" s="35"/>
      <c r="M164" s="36">
        <f>DATA!K160</f>
        <v>1</v>
      </c>
      <c r="N164" s="37" t="str">
        <f>DATA!L160</f>
        <v>Strengthening Capacity of State Higher Education:</v>
      </c>
      <c r="O164" s="20">
        <f>DATA!Q160</f>
        <v>0</v>
      </c>
      <c r="P164" s="20">
        <f>DATA!R160</f>
        <v>1</v>
      </c>
      <c r="Q164" s="20">
        <f>DATA!S160</f>
        <v>101</v>
      </c>
      <c r="R164" s="77">
        <f>DATA!T160</f>
        <v>290311500</v>
      </c>
      <c r="S164" s="77"/>
      <c r="T164" s="77">
        <f>DATA!V160</f>
        <v>54543500</v>
      </c>
      <c r="U164" s="77">
        <f>DATA!W160</f>
        <v>0</v>
      </c>
      <c r="V164" s="77">
        <f>DATA!X160</f>
        <v>581714600</v>
      </c>
      <c r="W164" s="78" t="str">
        <f>DATA!Y160</f>
        <v>-</v>
      </c>
      <c r="X164" s="20">
        <f>DATA!Z160</f>
        <v>0</v>
      </c>
      <c r="Y164" s="77">
        <f>DATA!AA160</f>
        <v>290311500</v>
      </c>
      <c r="Z164" s="77">
        <f>DATA!AG160</f>
        <v>0</v>
      </c>
      <c r="AA164" s="20" t="str">
        <f>DATA!AH160</f>
        <v>-</v>
      </c>
      <c r="AB164" s="37" t="str">
        <f>DATA!AI160</f>
        <v>-</v>
      </c>
      <c r="AC164" s="37"/>
      <c r="AD164" s="37"/>
      <c r="AE164" s="37"/>
      <c r="AF164" s="37"/>
      <c r="AG164" s="37"/>
      <c r="AH164" s="37"/>
      <c r="AI164" s="37"/>
      <c r="AJ164" s="37" t="str">
        <f>DATA!AJ160</f>
        <v>-</v>
      </c>
      <c r="AK164" s="37" t="str">
        <f>DATA!AK160</f>
        <v>-</v>
      </c>
      <c r="AL164" s="37" t="str">
        <f>DATA!AL160</f>
        <v>-</v>
      </c>
      <c r="AM164" s="20" t="str">
        <f>DATA!AM160</f>
        <v>-</v>
      </c>
      <c r="AN164" s="20">
        <f>DATA!AN160</f>
        <v>0</v>
      </c>
      <c r="AO164" s="20" t="str">
        <f>DATA!AO160</f>
        <v>-</v>
      </c>
      <c r="AP164" s="20">
        <f>DATA!AP160</f>
        <v>0</v>
      </c>
      <c r="AQ164" s="20" t="str">
        <f>DATA!AY160</f>
        <v>Surat Sekjen nomor 1532/A.A1/PR/2015 tgl 9 September 2015</v>
      </c>
      <c r="AR164" s="20" t="e">
        <f>DATA!#REF!</f>
        <v>#REF!</v>
      </c>
      <c r="AS164" s="20">
        <f>DATA!AZ160</f>
        <v>0</v>
      </c>
      <c r="AT164" s="37" t="str">
        <f>DATA!BA160</f>
        <v>Pembangunan sarana dan prasarana perkuliahan, pengadaan peralatan, pengembangan SDM, serta jasa konsultan</v>
      </c>
    </row>
    <row r="165" spans="1:46" s="6" customFormat="1" ht="59.25" customHeight="1">
      <c r="A165" s="6">
        <f>DATA!A161</f>
        <v>114</v>
      </c>
      <c r="B165" s="6">
        <f>DATA!B161</f>
        <v>0</v>
      </c>
      <c r="C165" s="6" t="str">
        <f>DATA!D161</f>
        <v>NON-INFRASTRUKTUR</v>
      </c>
      <c r="D165" s="6">
        <f>DATA!E161</f>
        <v>8</v>
      </c>
      <c r="E165" s="6" t="str">
        <f>DATA!F161</f>
        <v>Kementerian Riset, Teknologi, dan Pendidikan Tinggi</v>
      </c>
      <c r="F165" s="6" t="str">
        <f>DATA!H161</f>
        <v>Improving Access, Quality, Relevance, and Competitiveness of Higher Education Program</v>
      </c>
      <c r="G165" s="6" t="str">
        <f>DATA!I161</f>
        <v>A</v>
      </c>
      <c r="H165" s="6" t="str">
        <f>DATA!J161</f>
        <v xml:space="preserve">Program Peningkatan Akses, Kualitas, Relevansi, dan Daya Saing Pendidikan Tinggi </v>
      </c>
      <c r="I165" s="6">
        <f>DATA!K161</f>
        <v>1</v>
      </c>
      <c r="J165" s="38"/>
      <c r="K165" s="39"/>
      <c r="L165" s="39"/>
      <c r="M165" s="40"/>
      <c r="N165" s="67" t="str">
        <f>DATA!L161</f>
        <v>The Development of Sultan Ageng Tirtayasa University (UNTIRTA)</v>
      </c>
      <c r="O165" s="42">
        <f>DATA!Q161</f>
        <v>0.14285714285714285</v>
      </c>
      <c r="P165" s="42">
        <f>DATA!R161</f>
        <v>0</v>
      </c>
      <c r="Q165" s="42">
        <f>DATA!S161</f>
        <v>0</v>
      </c>
      <c r="R165" s="83">
        <f>DATA!T161</f>
        <v>49882300</v>
      </c>
      <c r="S165" s="83"/>
      <c r="T165" s="83">
        <f>DATA!V161</f>
        <v>3797300</v>
      </c>
      <c r="U165" s="83">
        <f>DATA!W161</f>
        <v>0</v>
      </c>
      <c r="V165" s="83">
        <f>DATA!X161</f>
        <v>53679600</v>
      </c>
      <c r="W165" s="84" t="str">
        <f>DATA!Y161</f>
        <v>IDB</v>
      </c>
      <c r="X165" s="42" t="str">
        <f>DATA!Z161</f>
        <v>Multilateral</v>
      </c>
      <c r="Y165" s="83">
        <f>DATA!AA161</f>
        <v>49882300</v>
      </c>
      <c r="Z165" s="83">
        <f>DATA!AG161</f>
        <v>0</v>
      </c>
      <c r="AA165" s="42" t="str">
        <f>DATA!AH161</f>
        <v>Tanpa keterangan</v>
      </c>
      <c r="AB165" s="67" t="str">
        <f>DATA!AI161</f>
        <v xml:space="preserve">Penyusunan R/C
</v>
      </c>
      <c r="AC165" s="67"/>
      <c r="AD165" s="67"/>
      <c r="AE165" s="67"/>
      <c r="AF165" s="67"/>
      <c r="AG165" s="67"/>
      <c r="AH165" s="67"/>
      <c r="AI165" s="67"/>
      <c r="AJ165" s="67" t="str">
        <f>DATA!AJ161</f>
        <v>- Pemrosesan FS
- AMDAL proses lelang</v>
      </c>
      <c r="AK165" s="115">
        <f>DATA!AK161</f>
        <v>1</v>
      </c>
      <c r="AL165" s="67" t="str">
        <f>DATA!AL161</f>
        <v>-</v>
      </c>
      <c r="AM165" s="42" t="str">
        <f>DATA!AR161</f>
        <v>-</v>
      </c>
      <c r="AN165" s="42" t="str">
        <f>DATA!AN161</f>
        <v>siap</v>
      </c>
      <c r="AO165" s="42" t="str">
        <f>DATA!AO161</f>
        <v>siap</v>
      </c>
      <c r="AP165" s="42" t="str">
        <f>DATA!AP161</f>
        <v>belum ada proses tender/lelang</v>
      </c>
      <c r="AQ165" s="42" t="str">
        <f>DATA!AY161</f>
        <v>Surat Sekjen nomor 1532/A.A1/PR/2015 tgl 9 September 2015</v>
      </c>
      <c r="AR165" s="42" t="e">
        <f>DATA!#REF!</f>
        <v>#REF!</v>
      </c>
      <c r="AS165" s="42">
        <f>DATA!AZ161</f>
        <v>0</v>
      </c>
      <c r="AT165" s="67" t="str">
        <f>DATA!BA161</f>
        <v>Pembangunan sarana dan prasarana pendidikan (gedung perkuliahan, laboratorium dan sarana pendukung lainnya)  dan pengembangan landscape dan infrastruktur</v>
      </c>
    </row>
    <row r="166" spans="1:46" s="6" customFormat="1" ht="71.25" customHeight="1">
      <c r="A166" s="6">
        <f>DATA!A162</f>
        <v>115</v>
      </c>
      <c r="B166" s="6">
        <f>DATA!B162</f>
        <v>0</v>
      </c>
      <c r="C166" s="6" t="str">
        <f>DATA!D162</f>
        <v>NON-INFRASTRUKTUR</v>
      </c>
      <c r="D166" s="6">
        <f>DATA!E162</f>
        <v>8</v>
      </c>
      <c r="E166" s="6" t="str">
        <f>DATA!F162</f>
        <v>Kementerian Riset, Teknologi, dan Pendidikan Tinggi</v>
      </c>
      <c r="F166" s="6" t="str">
        <f>DATA!H162</f>
        <v>Improving Access, Quality, Relevance, and Competitiveness of Higher Education Program</v>
      </c>
      <c r="G166" s="6" t="str">
        <f>DATA!I162</f>
        <v>A</v>
      </c>
      <c r="H166" s="6" t="str">
        <f>DATA!J162</f>
        <v xml:space="preserve">Program Peningkatan Akses, Kualitas, Relevansi, dan Daya Saing Pendidikan Tinggi </v>
      </c>
      <c r="I166" s="6">
        <f>DATA!K162</f>
        <v>1</v>
      </c>
      <c r="J166" s="38"/>
      <c r="K166" s="39"/>
      <c r="L166" s="39"/>
      <c r="M166" s="38"/>
      <c r="N166" s="67" t="str">
        <f>DATA!L162</f>
        <v>Development for State University of Malang as The Learning University</v>
      </c>
      <c r="O166" s="42">
        <f>DATA!Q162</f>
        <v>0.14285714285714285</v>
      </c>
      <c r="P166" s="42">
        <f>DATA!R162</f>
        <v>0</v>
      </c>
      <c r="Q166" s="42">
        <f>DATA!S162</f>
        <v>0</v>
      </c>
      <c r="R166" s="83">
        <f>DATA!T162</f>
        <v>38400000</v>
      </c>
      <c r="S166" s="83"/>
      <c r="T166" s="83">
        <f>DATA!V162</f>
        <v>9335300</v>
      </c>
      <c r="U166" s="83">
        <f>DATA!W162</f>
        <v>0</v>
      </c>
      <c r="V166" s="83">
        <f>DATA!X162</f>
        <v>47735300</v>
      </c>
      <c r="W166" s="84" t="str">
        <f>DATA!Y162</f>
        <v>IDB</v>
      </c>
      <c r="X166" s="42" t="str">
        <f>DATA!Z162</f>
        <v>Multilateral</v>
      </c>
      <c r="Y166" s="83">
        <f>DATA!AA162</f>
        <v>38400000</v>
      </c>
      <c r="Z166" s="83">
        <f>DATA!AG162</f>
        <v>0</v>
      </c>
      <c r="AA166" s="42" t="str">
        <f>DATA!AH162</f>
        <v>Tanpa keterangan</v>
      </c>
      <c r="AB166" s="67" t="str">
        <f>DATA!AI162</f>
        <v xml:space="preserve">Penyusunan R/C
</v>
      </c>
      <c r="AC166" s="67"/>
      <c r="AD166" s="67"/>
      <c r="AE166" s="67"/>
      <c r="AF166" s="67"/>
      <c r="AG166" s="67"/>
      <c r="AH166" s="67"/>
      <c r="AI166" s="67"/>
      <c r="AJ166" s="67" t="str">
        <f>DATA!AJ162</f>
        <v>- FS
- AMDAL dalam proses</v>
      </c>
      <c r="AK166" s="115">
        <f>DATA!AK162</f>
        <v>1</v>
      </c>
      <c r="AL166" s="67" t="str">
        <f>DATA!AL162</f>
        <v>-</v>
      </c>
      <c r="AM166" s="42" t="str">
        <f>DATA!AR162</f>
        <v>-</v>
      </c>
      <c r="AN166" s="42" t="str">
        <f>DATA!AN162</f>
        <v>siap</v>
      </c>
      <c r="AO166" s="42" t="str">
        <f>DATA!AO162</f>
        <v>siap</v>
      </c>
      <c r="AP166" s="42" t="str">
        <f>DATA!AP162</f>
        <v>belum ada proses tender/lelang</v>
      </c>
      <c r="AQ166" s="42" t="str">
        <f>DATA!AY162</f>
        <v>Surat Sekjen nomor 1532/A.A1/PR/2015 tgl 9 September 2015</v>
      </c>
      <c r="AR166" s="42" t="e">
        <f>DATA!#REF!</f>
        <v>#REF!</v>
      </c>
      <c r="AS166" s="42">
        <f>DATA!AZ162</f>
        <v>0</v>
      </c>
      <c r="AT166" s="67" t="str">
        <f>DATA!BA162</f>
        <v>Pembangunan sarana dan prasarana perkuliahan (ruang kuliah, ruang dosen, peralatan laboratorium, instalasi jaringan listrik dan telekomunikasi, instalasi air bersih, sanitasi dan mekanikal engineering) dan pengembangan SDM.</v>
      </c>
    </row>
    <row r="167" spans="1:46" s="6" customFormat="1" ht="101.25" customHeight="1">
      <c r="A167" s="6">
        <f>DATA!A163</f>
        <v>116</v>
      </c>
      <c r="B167" s="6">
        <f>DATA!B163</f>
        <v>0</v>
      </c>
      <c r="C167" s="6" t="str">
        <f>DATA!D163</f>
        <v>NON-INFRASTRUKTUR</v>
      </c>
      <c r="D167" s="6">
        <f>DATA!E163</f>
        <v>8</v>
      </c>
      <c r="E167" s="6" t="str">
        <f>DATA!F163</f>
        <v>Kementerian Riset, Teknologi, dan Pendidikan Tinggi</v>
      </c>
      <c r="F167" s="6" t="str">
        <f>DATA!H163</f>
        <v>Improving Access, Quality, Relevance, and Competitiveness of Higher Education Program</v>
      </c>
      <c r="G167" s="6" t="str">
        <f>DATA!I163</f>
        <v>A</v>
      </c>
      <c r="H167" s="6" t="str">
        <f>DATA!J163</f>
        <v xml:space="preserve">Program Peningkatan Akses, Kualitas, Relevansi, dan Daya Saing Pendidikan Tinggi </v>
      </c>
      <c r="I167" s="6">
        <f>DATA!K163</f>
        <v>1</v>
      </c>
      <c r="J167" s="38"/>
      <c r="K167" s="39"/>
      <c r="L167" s="39"/>
      <c r="M167" s="38"/>
      <c r="N167" s="67" t="str">
        <f>DATA!L163</f>
        <v>The Development and Upgrading Mulawarman University</v>
      </c>
      <c r="O167" s="42">
        <f>DATA!Q163</f>
        <v>0.14285714285714285</v>
      </c>
      <c r="P167" s="42">
        <f>DATA!R163</f>
        <v>0</v>
      </c>
      <c r="Q167" s="42">
        <f>DATA!S163</f>
        <v>0</v>
      </c>
      <c r="R167" s="83">
        <f>DATA!T163</f>
        <v>44400000</v>
      </c>
      <c r="S167" s="83"/>
      <c r="T167" s="83">
        <f>DATA!V163</f>
        <v>485800</v>
      </c>
      <c r="U167" s="83">
        <f>DATA!W163</f>
        <v>0</v>
      </c>
      <c r="V167" s="83">
        <f>DATA!X163</f>
        <v>44885800</v>
      </c>
      <c r="W167" s="84" t="str">
        <f>DATA!Y163</f>
        <v>IDB</v>
      </c>
      <c r="X167" s="42" t="str">
        <f>DATA!Z163</f>
        <v>Multilateral</v>
      </c>
      <c r="Y167" s="83">
        <f>DATA!AA163</f>
        <v>44400000</v>
      </c>
      <c r="Z167" s="83">
        <f>DATA!AG163</f>
        <v>0</v>
      </c>
      <c r="AA167" s="42" t="str">
        <f>DATA!AH163</f>
        <v>Tanpa keterangan</v>
      </c>
      <c r="AB167" s="67" t="str">
        <f>DATA!AI163</f>
        <v xml:space="preserve">Penyusunan R/C
</v>
      </c>
      <c r="AC167" s="67"/>
      <c r="AD167" s="67"/>
      <c r="AE167" s="67"/>
      <c r="AF167" s="67"/>
      <c r="AG167" s="67"/>
      <c r="AH167" s="67"/>
      <c r="AI167" s="67"/>
      <c r="AJ167" s="67" t="str">
        <f>DATA!AJ163</f>
        <v>FS dan AMDAL target Desember 2015</v>
      </c>
      <c r="AK167" s="115">
        <f>DATA!AK163</f>
        <v>1</v>
      </c>
      <c r="AL167" s="67" t="str">
        <f>DATA!AL163</f>
        <v>-</v>
      </c>
      <c r="AM167" s="42" t="str">
        <f>DATA!AR163</f>
        <v>-</v>
      </c>
      <c r="AN167" s="42" t="str">
        <f>DATA!AN163</f>
        <v>siap</v>
      </c>
      <c r="AO167" s="42" t="str">
        <f>DATA!AO163</f>
        <v>siap</v>
      </c>
      <c r="AP167" s="42" t="str">
        <f>DATA!AP163</f>
        <v>belum ada proses tender/lelang</v>
      </c>
      <c r="AQ167" s="42" t="str">
        <f>DATA!AY163</f>
        <v>Surat Sekjen nomor 1532/A.A1/PR/2015 tgl 9 September 2015</v>
      </c>
      <c r="AR167" s="42" t="e">
        <f>DATA!#REF!</f>
        <v>#REF!</v>
      </c>
      <c r="AS167" s="42">
        <f>DATA!AZ163</f>
        <v>0</v>
      </c>
      <c r="AT167" s="67"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row>
    <row r="168" spans="1:46" s="6" customFormat="1" ht="54" customHeight="1">
      <c r="A168" s="6">
        <f>DATA!A164</f>
        <v>117</v>
      </c>
      <c r="B168" s="6">
        <f>DATA!B164</f>
        <v>0</v>
      </c>
      <c r="C168" s="6" t="str">
        <f>DATA!D164</f>
        <v>NON-INFRASTRUKTUR</v>
      </c>
      <c r="D168" s="6">
        <f>DATA!E164</f>
        <v>8</v>
      </c>
      <c r="E168" s="6" t="str">
        <f>DATA!F164</f>
        <v>Kementerian Riset, Teknologi, dan Pendidikan Tinggi</v>
      </c>
      <c r="F168" s="6" t="str">
        <f>DATA!H164</f>
        <v>Improving Access, Quality, Relevance, and Competitiveness of Higher Education Program</v>
      </c>
      <c r="G168" s="6" t="str">
        <f>DATA!I164</f>
        <v>A</v>
      </c>
      <c r="H168" s="6" t="str">
        <f>DATA!J164</f>
        <v xml:space="preserve">Program Peningkatan Akses, Kualitas, Relevansi, dan Daya Saing Pendidikan Tinggi </v>
      </c>
      <c r="I168" s="6">
        <f>DATA!K164</f>
        <v>1</v>
      </c>
      <c r="J168" s="38"/>
      <c r="K168" s="39"/>
      <c r="L168" s="39"/>
      <c r="M168" s="38"/>
      <c r="N168" s="67" t="str">
        <f>DATA!L164</f>
        <v>Improvement of The Capacity and Contribution of The University of Jember on Standardized and Excellent Tridharma Implementation in South East Asia Region</v>
      </c>
      <c r="O168" s="42">
        <f>DATA!Q164</f>
        <v>0.14285714285714285</v>
      </c>
      <c r="P168" s="42">
        <f>DATA!R164</f>
        <v>0</v>
      </c>
      <c r="Q168" s="42">
        <f>DATA!S164</f>
        <v>0</v>
      </c>
      <c r="R168" s="83">
        <f>DATA!T164</f>
        <v>44091200</v>
      </c>
      <c r="S168" s="83"/>
      <c r="T168" s="83">
        <f>DATA!V164</f>
        <v>1992700</v>
      </c>
      <c r="U168" s="83">
        <f>DATA!W164</f>
        <v>0</v>
      </c>
      <c r="V168" s="83">
        <f>DATA!X164</f>
        <v>46083900</v>
      </c>
      <c r="W168" s="84" t="str">
        <f>DATA!Y164</f>
        <v>IDB</v>
      </c>
      <c r="X168" s="42" t="str">
        <f>DATA!Z164</f>
        <v>Multilateral</v>
      </c>
      <c r="Y168" s="83">
        <f>DATA!AA164</f>
        <v>44091200</v>
      </c>
      <c r="Z168" s="83">
        <f>DATA!AG164</f>
        <v>0</v>
      </c>
      <c r="AA168" s="42" t="str">
        <f>DATA!AH164</f>
        <v>Tanpa keterangan</v>
      </c>
      <c r="AB168" s="67" t="str">
        <f>DATA!AI164</f>
        <v xml:space="preserve">Penyusunan R/C
</v>
      </c>
      <c r="AC168" s="67"/>
      <c r="AD168" s="67"/>
      <c r="AE168" s="67"/>
      <c r="AF168" s="67"/>
      <c r="AG168" s="67"/>
      <c r="AH168" s="67"/>
      <c r="AI168" s="67"/>
      <c r="AJ168" s="67" t="str">
        <f>DATA!AJ164</f>
        <v>- Penyusunan AMDAL dan DED</v>
      </c>
      <c r="AK168" s="115">
        <f>DATA!AK164</f>
        <v>1</v>
      </c>
      <c r="AL168" s="67" t="str">
        <f>DATA!AL164</f>
        <v>-</v>
      </c>
      <c r="AM168" s="42" t="str">
        <f>DATA!AR164</f>
        <v>-</v>
      </c>
      <c r="AN168" s="42" t="str">
        <f>DATA!AN164</f>
        <v>siap</v>
      </c>
      <c r="AO168" s="42" t="str">
        <f>DATA!AO164</f>
        <v>siap</v>
      </c>
      <c r="AP168" s="42" t="str">
        <f>DATA!AP164</f>
        <v>belum ada proses tender/lelang</v>
      </c>
      <c r="AQ168" s="42" t="str">
        <f>DATA!AY164</f>
        <v>Surat Sekjen nomor 1532/A.A1/PR/2015 tgl 9 September 2015</v>
      </c>
      <c r="AR168" s="42" t="e">
        <f>DATA!#REF!</f>
        <v>#REF!</v>
      </c>
      <c r="AS168" s="42">
        <f>DATA!AZ164</f>
        <v>0</v>
      </c>
      <c r="AT168" s="67" t="str">
        <f>DATA!BA164</f>
        <v>Pembangunan sarana dan prasarana perkuliahan, pengadaan peralatan, pengembangan SDM, dan jasa konsultan</v>
      </c>
    </row>
    <row r="169" spans="1:46" s="6" customFormat="1" ht="43.5" customHeight="1">
      <c r="A169" s="6">
        <f>DATA!A165</f>
        <v>118</v>
      </c>
      <c r="B169" s="6">
        <f>DATA!B165</f>
        <v>0</v>
      </c>
      <c r="C169" s="6" t="str">
        <f>DATA!D165</f>
        <v>NON-INFRASTRUKTUR</v>
      </c>
      <c r="D169" s="6">
        <f>DATA!E165</f>
        <v>8</v>
      </c>
      <c r="E169" s="6" t="str">
        <f>DATA!F165</f>
        <v>Kementerian Riset, Teknologi, dan Pendidikan Tinggi</v>
      </c>
      <c r="F169" s="6" t="str">
        <f>DATA!H165</f>
        <v>Improving Access, Quality, Relevance, and Competitiveness of Higher Education Program</v>
      </c>
      <c r="G169" s="6" t="str">
        <f>DATA!I165</f>
        <v>A</v>
      </c>
      <c r="H169" s="6" t="str">
        <f>DATA!J165</f>
        <v xml:space="preserve">Program Peningkatan Akses, Kualitas, Relevansi, dan Daya Saing Pendidikan Tinggi </v>
      </c>
      <c r="I169" s="6">
        <f>DATA!K165</f>
        <v>1</v>
      </c>
      <c r="J169" s="38"/>
      <c r="K169" s="39"/>
      <c r="L169" s="39"/>
      <c r="M169" s="38"/>
      <c r="N169" s="67" t="str">
        <f>DATA!L165</f>
        <v>The Plan of Hasanuddin University Hospital Development</v>
      </c>
      <c r="O169" s="42">
        <f>DATA!Q165</f>
        <v>0.14285714285714285</v>
      </c>
      <c r="P169" s="42">
        <f>DATA!R165</f>
        <v>0</v>
      </c>
      <c r="Q169" s="42">
        <f>DATA!S165</f>
        <v>0</v>
      </c>
      <c r="R169" s="83">
        <f>DATA!T165</f>
        <v>31565800</v>
      </c>
      <c r="S169" s="83"/>
      <c r="T169" s="83">
        <f>DATA!V165</f>
        <v>2586200</v>
      </c>
      <c r="U169" s="83">
        <f>DATA!W165</f>
        <v>0</v>
      </c>
      <c r="V169" s="83">
        <f>DATA!X165</f>
        <v>34152000</v>
      </c>
      <c r="W169" s="84" t="str">
        <f>DATA!Y165</f>
        <v>Jerman (KfW)</v>
      </c>
      <c r="X169" s="42" t="str">
        <f>DATA!Z165</f>
        <v>Bilateral</v>
      </c>
      <c r="Y169" s="83">
        <f>DATA!AA165</f>
        <v>31565800</v>
      </c>
      <c r="Z169" s="83">
        <f>DATA!AG165</f>
        <v>0</v>
      </c>
      <c r="AA169" s="42" t="str">
        <f>DATA!AH165</f>
        <v>Tanpa keterangan</v>
      </c>
      <c r="AB169" s="67" t="str">
        <f>DATA!AI165</f>
        <v xml:space="preserve">Penyusunan R/C
</v>
      </c>
      <c r="AC169" s="67"/>
      <c r="AD169" s="67"/>
      <c r="AE169" s="67"/>
      <c r="AF169" s="67"/>
      <c r="AG169" s="67"/>
      <c r="AH169" s="67"/>
      <c r="AI169" s="67"/>
      <c r="AJ169" s="67" t="str">
        <f>DATA!AJ165</f>
        <v>AMDAL</v>
      </c>
      <c r="AK169" s="115">
        <f>DATA!AK165</f>
        <v>1</v>
      </c>
      <c r="AL169" s="67" t="str">
        <f>DATA!AL165</f>
        <v>-</v>
      </c>
      <c r="AM169" s="42" t="str">
        <f>DATA!AR165</f>
        <v>-</v>
      </c>
      <c r="AN169" s="42" t="str">
        <f>DATA!AN165</f>
        <v>siap</v>
      </c>
      <c r="AO169" s="42" t="str">
        <f>DATA!AO165</f>
        <v>siap</v>
      </c>
      <c r="AP169" s="42" t="str">
        <f>DATA!AP165</f>
        <v>belum ada proses tender/lelang</v>
      </c>
      <c r="AQ169" s="42" t="str">
        <f>DATA!AY165</f>
        <v>Surat Sekjen nomor 1532/A.A1/PR/2015 tgl 9 September 2015</v>
      </c>
      <c r="AR169" s="42" t="e">
        <f>DATA!#REF!</f>
        <v>#REF!</v>
      </c>
      <c r="AS169" s="42">
        <f>DATA!AZ165</f>
        <v>0</v>
      </c>
      <c r="AT169" s="67" t="str">
        <f>DATA!BA165</f>
        <v>Pengadaan peralatan, pengembangan SDM, pengembangan telemedicine dan sistem manajemen informasi, dan manajemen dan jasa konsultasi</v>
      </c>
    </row>
    <row r="170" spans="1:46" s="6" customFormat="1" ht="57.75" customHeight="1">
      <c r="A170" s="6">
        <f>DATA!A166</f>
        <v>119</v>
      </c>
      <c r="B170" s="6">
        <f>DATA!B166</f>
        <v>0</v>
      </c>
      <c r="C170" s="6" t="str">
        <f>DATA!D166</f>
        <v>NON-INFRASTRUKTUR</v>
      </c>
      <c r="D170" s="6">
        <f>DATA!E166</f>
        <v>8</v>
      </c>
      <c r="E170" s="6" t="str">
        <f>DATA!F166</f>
        <v>Kementerian Riset, Teknologi, dan Pendidikan Tinggi</v>
      </c>
      <c r="F170" s="6" t="str">
        <f>DATA!H166</f>
        <v>Improving Access, Quality, Relevance, and Competitiveness of Higher Education Program</v>
      </c>
      <c r="G170" s="6" t="str">
        <f>DATA!I166</f>
        <v>A</v>
      </c>
      <c r="H170" s="6" t="str">
        <f>DATA!J166</f>
        <v xml:space="preserve">Program Peningkatan Akses, Kualitas, Relevansi, dan Daya Saing Pendidikan Tinggi </v>
      </c>
      <c r="I170" s="6">
        <f>DATA!K166</f>
        <v>1</v>
      </c>
      <c r="J170" s="38"/>
      <c r="K170" s="39"/>
      <c r="L170" s="39"/>
      <c r="M170" s="38"/>
      <c r="N170" s="67" t="str">
        <f>DATA!L166</f>
        <v>Establishment of University of Bengkulu’s Hospital</v>
      </c>
      <c r="O170" s="42">
        <f>DATA!Q166</f>
        <v>18000000</v>
      </c>
      <c r="P170" s="42">
        <f>DATA!R166</f>
        <v>0</v>
      </c>
      <c r="Q170" s="42">
        <f>DATA!S166</f>
        <v>0</v>
      </c>
      <c r="R170" s="83">
        <f>DATA!T166</f>
        <v>10278200</v>
      </c>
      <c r="S170" s="83"/>
      <c r="T170" s="83">
        <f>DATA!V166</f>
        <v>182000</v>
      </c>
      <c r="U170" s="83">
        <f>DATA!W166</f>
        <v>0</v>
      </c>
      <c r="V170" s="83">
        <f>DATA!X166</f>
        <v>10460200</v>
      </c>
      <c r="W170" s="84" t="str">
        <f>DATA!Y166</f>
        <v>JICA</v>
      </c>
      <c r="X170" s="42" t="str">
        <f>DATA!Z166</f>
        <v>Bilateral</v>
      </c>
      <c r="Y170" s="83">
        <f>DATA!AA166</f>
        <v>10278200</v>
      </c>
      <c r="Z170" s="83">
        <f>DATA!AG166</f>
        <v>0</v>
      </c>
      <c r="AA170" s="42" t="str">
        <f>DATA!AH166</f>
        <v>Tanpa keterangan</v>
      </c>
      <c r="AB170" s="67" t="str">
        <f>DATA!AI166</f>
        <v xml:space="preserve">Penyusunan R/C
</v>
      </c>
      <c r="AC170" s="67"/>
      <c r="AD170" s="67"/>
      <c r="AE170" s="67"/>
      <c r="AF170" s="67"/>
      <c r="AG170" s="67"/>
      <c r="AH170" s="67"/>
      <c r="AI170" s="67"/>
      <c r="AJ170" s="67" t="str">
        <f>DATA!AJ166</f>
        <v>- FS
- AMDAL</v>
      </c>
      <c r="AK170" s="115">
        <f>DATA!AK166</f>
        <v>1</v>
      </c>
      <c r="AL170" s="67" t="str">
        <f>DATA!AL166</f>
        <v>-</v>
      </c>
      <c r="AM170" s="42" t="str">
        <f>DATA!AR166</f>
        <v>penyiapan dokumen R/C</v>
      </c>
      <c r="AN170" s="42" t="str">
        <f>DATA!AN166</f>
        <v>siap</v>
      </c>
      <c r="AO170" s="42" t="str">
        <f>DATA!AO166</f>
        <v>siap</v>
      </c>
      <c r="AP170" s="42" t="str">
        <f>DATA!AP166</f>
        <v>belum ada proses tender/lelang</v>
      </c>
      <c r="AQ170" s="42" t="str">
        <f>DATA!AY166</f>
        <v>- Lender semula adalah IDB namun pihak Kemristekdikti mengkonfirmasikan  Lender untuk kegiatan ini adalah JICA
- Surat Sekjen nomor 1532/A.A1/PR/2015 tgl 9 September 2015</v>
      </c>
      <c r="AR170" s="42" t="e">
        <f>DATA!#REF!</f>
        <v>#REF!</v>
      </c>
      <c r="AS170" s="42">
        <f>DATA!AZ166</f>
        <v>0</v>
      </c>
      <c r="AT170" s="67" t="str">
        <f>DATA!BA166</f>
        <v>Pembangunan RS Pendidikan di Universitas Bengkulu, pengadaan peralatan medis dan furniture, pengembangan SDM, manajemen proyek, koordinasi, dan pembelajaran</v>
      </c>
    </row>
    <row r="171" spans="1:46" s="6" customFormat="1" ht="50.25" customHeight="1">
      <c r="A171" s="6">
        <f>DATA!A167</f>
        <v>120</v>
      </c>
      <c r="B171" s="6">
        <f>DATA!B167</f>
        <v>0</v>
      </c>
      <c r="C171" s="6" t="str">
        <f>DATA!D167</f>
        <v>NON-INFRASTRUKTUR</v>
      </c>
      <c r="D171" s="6">
        <f>DATA!E167</f>
        <v>8</v>
      </c>
      <c r="E171" s="6" t="str">
        <f>DATA!F167</f>
        <v>Kementerian Riset, Teknologi, dan Pendidikan Tinggi</v>
      </c>
      <c r="F171" s="6" t="str">
        <f>DATA!H167</f>
        <v>Improving Access, Quality, Relevance, and Competitiveness of Higher Education Program</v>
      </c>
      <c r="G171" s="6" t="str">
        <f>DATA!I167</f>
        <v>A</v>
      </c>
      <c r="H171" s="6" t="str">
        <f>DATA!J167</f>
        <v xml:space="preserve">Program Peningkatan Akses, Kualitas, Relevansi, dan Daya Saing Pendidikan Tinggi </v>
      </c>
      <c r="I171" s="6">
        <f>DATA!K167</f>
        <v>1</v>
      </c>
      <c r="J171" s="38"/>
      <c r="K171" s="71"/>
      <c r="L171" s="71"/>
      <c r="M171" s="43"/>
      <c r="N171" s="67" t="str">
        <f>DATA!L167</f>
        <v>University of Gadjah Mada Achieving World Class University with Socio-Entrepreneurial Spirit</v>
      </c>
      <c r="O171" s="42">
        <f>DATA!Q167</f>
        <v>0.14285714285714285</v>
      </c>
      <c r="P171" s="42">
        <f>DATA!R167</f>
        <v>0</v>
      </c>
      <c r="Q171" s="42">
        <f>DATA!S167</f>
        <v>0</v>
      </c>
      <c r="R171" s="83">
        <f>DATA!T167</f>
        <v>71694000</v>
      </c>
      <c r="S171" s="83"/>
      <c r="T171" s="83">
        <f>DATA!V167</f>
        <v>7041900</v>
      </c>
      <c r="U171" s="83">
        <f>DATA!W167</f>
        <v>0</v>
      </c>
      <c r="V171" s="83">
        <f>DATA!X167</f>
        <v>78735900</v>
      </c>
      <c r="W171" s="84" t="str">
        <f>DATA!Y167</f>
        <v>JICA</v>
      </c>
      <c r="X171" s="42" t="str">
        <f>DATA!Z167</f>
        <v>Bilateral</v>
      </c>
      <c r="Y171" s="83">
        <f>DATA!AA167</f>
        <v>71694000</v>
      </c>
      <c r="Z171" s="83">
        <f>DATA!AG167</f>
        <v>0</v>
      </c>
      <c r="AA171" s="42" t="str">
        <f>DATA!AH167</f>
        <v>Tanpa keterangan</v>
      </c>
      <c r="AB171" s="67" t="str">
        <f>DATA!AI167</f>
        <v xml:space="preserve">Penyusunan R/C
</v>
      </c>
      <c r="AC171" s="67"/>
      <c r="AD171" s="67"/>
      <c r="AE171" s="67"/>
      <c r="AF171" s="67"/>
      <c r="AG171" s="67"/>
      <c r="AH171" s="67"/>
      <c r="AI171" s="67"/>
      <c r="AJ171" s="67" t="str">
        <f>DATA!AJ167</f>
        <v>- FS
- AMDAL dan DED dalam proses</v>
      </c>
      <c r="AK171" s="115">
        <f>DATA!AK167</f>
        <v>0.95</v>
      </c>
      <c r="AL171" s="67" t="str">
        <f>DATA!AL167</f>
        <v>-</v>
      </c>
      <c r="AM171" s="42" t="str">
        <f>DATA!AR167</f>
        <v>-</v>
      </c>
      <c r="AN171" s="42" t="str">
        <f>DATA!AN167</f>
        <v>siap</v>
      </c>
      <c r="AO171" s="42" t="str">
        <f>DATA!AO167</f>
        <v>siap</v>
      </c>
      <c r="AP171" s="42" t="str">
        <f>DATA!AP167</f>
        <v>belum ada proses tender/lelang</v>
      </c>
      <c r="AQ171" s="42" t="str">
        <f>DATA!AY167</f>
        <v>- Lender semula adalah IDB namun pihak Kemristekdikti mengkonfirmasikan  Lender untuk kegiatan ini adalah JICA
- Target penyelesaian lahan akhir Desember 2015
- Surat Sekjen nomor 1532/A.A1/PR/2015 tgl 9 September 2015</v>
      </c>
      <c r="AR171" s="42" t="e">
        <f>DATA!#REF!</f>
        <v>#REF!</v>
      </c>
      <c r="AS171" s="42">
        <f>DATA!AZ167</f>
        <v>0</v>
      </c>
      <c r="AT171" s="67" t="str">
        <f>DATA!BA167</f>
        <v>Pembangunan gedung baru, pengadaan peralatan, pengembangan SDM dan desain kurikulum, jasa konsultan, dan manajemen proyek</v>
      </c>
    </row>
    <row r="172" spans="1:46" s="4" customFormat="1" ht="24.95" customHeight="1">
      <c r="J172" s="107"/>
      <c r="K172" s="25">
        <f>DATA!E173</f>
        <v>9</v>
      </c>
      <c r="L172" s="108" t="str">
        <f>DATA!F173</f>
        <v>Kementerian Agama</v>
      </c>
      <c r="M172" s="25"/>
      <c r="N172" s="27"/>
      <c r="O172" s="26"/>
      <c r="P172" s="26"/>
      <c r="Q172" s="26"/>
      <c r="R172" s="80">
        <f>+R173</f>
        <v>238210000</v>
      </c>
      <c r="S172" s="80"/>
      <c r="T172" s="80">
        <f t="shared" ref="T172:Z173" si="20">+T173</f>
        <v>60851400</v>
      </c>
      <c r="U172" s="80">
        <f t="shared" si="20"/>
        <v>0</v>
      </c>
      <c r="V172" s="80">
        <f t="shared" si="20"/>
        <v>288657100</v>
      </c>
      <c r="W172" s="80"/>
      <c r="X172" s="80">
        <f t="shared" si="20"/>
        <v>0</v>
      </c>
      <c r="Y172" s="80">
        <f t="shared" si="20"/>
        <v>238210000</v>
      </c>
      <c r="Z172" s="80">
        <f t="shared" si="20"/>
        <v>0</v>
      </c>
      <c r="AA172" s="26"/>
      <c r="AB172" s="27"/>
      <c r="AC172" s="27"/>
      <c r="AD172" s="27"/>
      <c r="AE172" s="27"/>
      <c r="AF172" s="27"/>
      <c r="AG172" s="27"/>
      <c r="AH172" s="27"/>
      <c r="AI172" s="27"/>
      <c r="AJ172" s="27"/>
      <c r="AK172" s="27"/>
      <c r="AL172" s="27"/>
      <c r="AM172" s="26"/>
      <c r="AN172" s="26"/>
      <c r="AO172" s="26"/>
      <c r="AP172" s="26"/>
      <c r="AQ172" s="26"/>
      <c r="AR172" s="26"/>
      <c r="AS172" s="26"/>
      <c r="AT172" s="27"/>
    </row>
    <row r="173" spans="1:46" s="5" customFormat="1" ht="33.75" customHeight="1">
      <c r="J173" s="28"/>
      <c r="K173" s="29"/>
      <c r="L173" s="30" t="str">
        <f>DATA!I173</f>
        <v>A</v>
      </c>
      <c r="M173" s="31" t="str">
        <f>DATA!J173</f>
        <v>Program Peningkatan Akses, Kualitas, Relevansi, dan Daya Saing Pendidikan Tinggi Islam</v>
      </c>
      <c r="N173" s="51"/>
      <c r="O173" s="31"/>
      <c r="P173" s="31"/>
      <c r="Q173" s="31"/>
      <c r="R173" s="81">
        <f>+R174</f>
        <v>238210000</v>
      </c>
      <c r="S173" s="81"/>
      <c r="T173" s="81">
        <f t="shared" si="20"/>
        <v>60851400</v>
      </c>
      <c r="U173" s="81">
        <f t="shared" si="20"/>
        <v>0</v>
      </c>
      <c r="V173" s="81">
        <f t="shared" si="20"/>
        <v>288657100</v>
      </c>
      <c r="W173" s="81"/>
      <c r="X173" s="81">
        <f t="shared" si="20"/>
        <v>0</v>
      </c>
      <c r="Y173" s="81">
        <f t="shared" si="20"/>
        <v>238210000</v>
      </c>
      <c r="Z173" s="81">
        <f t="shared" si="20"/>
        <v>0</v>
      </c>
      <c r="AA173" s="31"/>
      <c r="AB173" s="32"/>
      <c r="AC173" s="32"/>
      <c r="AD173" s="32"/>
      <c r="AE173" s="32"/>
      <c r="AF173" s="32"/>
      <c r="AG173" s="32"/>
      <c r="AH173" s="32"/>
      <c r="AI173" s="32"/>
      <c r="AJ173" s="32"/>
      <c r="AK173" s="32"/>
      <c r="AL173" s="32"/>
      <c r="AM173" s="31"/>
      <c r="AN173" s="31"/>
      <c r="AO173" s="31"/>
      <c r="AP173" s="31"/>
      <c r="AQ173" s="31"/>
      <c r="AR173" s="31"/>
      <c r="AS173" s="31"/>
      <c r="AT173" s="32"/>
    </row>
    <row r="174" spans="1:46" ht="38.25">
      <c r="A174" s="10">
        <f>DATA!A173</f>
        <v>121</v>
      </c>
      <c r="B174" s="10">
        <f>DATA!B173</f>
        <v>0</v>
      </c>
      <c r="C174" s="10" t="str">
        <f>DATA!D173</f>
        <v>NON-INFRASTRUKTUR</v>
      </c>
      <c r="D174" s="10">
        <f>DATA!E173</f>
        <v>9</v>
      </c>
      <c r="E174" s="10" t="str">
        <f>DATA!F173</f>
        <v>Kementerian Agama</v>
      </c>
      <c r="F174" s="10" t="str">
        <f>DATA!H173</f>
        <v>Improving Access, Quality, Relevance, and Competitiveness of Islamic Higher Education Program</v>
      </c>
      <c r="G174" s="10" t="str">
        <f>DATA!I173</f>
        <v>A</v>
      </c>
      <c r="H174" s="10" t="str">
        <f>DATA!J173</f>
        <v>Program Peningkatan Akses, Kualitas, Relevansi, dan Daya Saing Pendidikan Tinggi Islam</v>
      </c>
      <c r="I174" s="10">
        <f>DATA!K173</f>
        <v>1</v>
      </c>
      <c r="J174" s="33"/>
      <c r="K174" s="34"/>
      <c r="L174" s="35"/>
      <c r="M174" s="36">
        <f>DATA!K173</f>
        <v>1</v>
      </c>
      <c r="N174" s="37" t="str">
        <f>DATA!L173</f>
        <v>Strengthening Capacity of Islamic Higher Education (IAIN and UIN):</v>
      </c>
      <c r="O174" s="20">
        <f>DATA!Q173</f>
        <v>0</v>
      </c>
      <c r="P174" s="20">
        <f>DATA!R173</f>
        <v>1</v>
      </c>
      <c r="Q174" s="20">
        <f>DATA!S173</f>
        <v>102</v>
      </c>
      <c r="R174" s="77">
        <f>DATA!T173</f>
        <v>238210000</v>
      </c>
      <c r="S174" s="77"/>
      <c r="T174" s="77">
        <f>DATA!V173</f>
        <v>60851400</v>
      </c>
      <c r="U174" s="77">
        <f>DATA!W173</f>
        <v>0</v>
      </c>
      <c r="V174" s="77">
        <f>DATA!X173</f>
        <v>288657100</v>
      </c>
      <c r="W174" s="78" t="str">
        <f>DATA!Y173</f>
        <v>-</v>
      </c>
      <c r="X174" s="20">
        <f>DATA!Z173</f>
        <v>0</v>
      </c>
      <c r="Y174" s="77">
        <f>DATA!AA173</f>
        <v>238210000</v>
      </c>
      <c r="Z174" s="77">
        <f>DATA!AG173</f>
        <v>0</v>
      </c>
      <c r="AA174" s="20" t="str">
        <f>DATA!AH173</f>
        <v>-</v>
      </c>
      <c r="AB174" s="37" t="str">
        <f>DATA!AI173</f>
        <v>-</v>
      </c>
      <c r="AC174" s="37"/>
      <c r="AD174" s="37"/>
      <c r="AE174" s="37"/>
      <c r="AF174" s="37"/>
      <c r="AG174" s="37"/>
      <c r="AH174" s="37"/>
      <c r="AI174" s="37"/>
      <c r="AJ174" s="37" t="str">
        <f>DATA!AJ173</f>
        <v>-</v>
      </c>
      <c r="AK174" s="37" t="str">
        <f>DATA!AK173</f>
        <v>-</v>
      </c>
      <c r="AL174" s="37" t="str">
        <f>DATA!AL173</f>
        <v>-</v>
      </c>
      <c r="AM174" s="20" t="str">
        <f>DATA!AM173</f>
        <v>-</v>
      </c>
      <c r="AN174" s="20" t="str">
        <f>DATA!AN173</f>
        <v>-</v>
      </c>
      <c r="AO174" s="20" t="str">
        <f>DATA!AO173</f>
        <v>-</v>
      </c>
      <c r="AP174" s="20">
        <f>DATA!AP173</f>
        <v>0</v>
      </c>
      <c r="AQ174" s="20" t="str">
        <f>DATA!AY173</f>
        <v>Surat Sekjen a/n Menteri Agama nomor SJ/B.I/1/KU.00.2/6260/2015 tanggal 17 September 2015</v>
      </c>
      <c r="AR174" s="20" t="e">
        <f>DATA!#REF!</f>
        <v>#REF!</v>
      </c>
      <c r="AS174" s="20">
        <f>DATA!AZ173</f>
        <v>0</v>
      </c>
      <c r="AT174" s="37" t="str">
        <f>DATA!BA173</f>
        <v>Pembangunan sarana dan prasarana perkuliahan, pengadaan peralatan, pengembangan SDM, serta jasa konsultan</v>
      </c>
    </row>
    <row r="175" spans="1:46" s="6" customFormat="1" ht="61.5" customHeight="1">
      <c r="A175" s="6">
        <f>DATA!A174</f>
        <v>124</v>
      </c>
      <c r="B175" s="6">
        <f>DATA!B174</f>
        <v>0</v>
      </c>
      <c r="C175" s="6" t="str">
        <f>DATA!D174</f>
        <v>NON-INFRASTRUKTUR</v>
      </c>
      <c r="D175" s="6">
        <f>DATA!E174</f>
        <v>9</v>
      </c>
      <c r="E175" s="6" t="str">
        <f>DATA!F174</f>
        <v>Kementerian Agama</v>
      </c>
      <c r="F175" s="6" t="str">
        <f>DATA!H174</f>
        <v>Improving Access, Quality, Relevance, and Competitiveness of Islamic Higher Education Program</v>
      </c>
      <c r="G175" s="6" t="str">
        <f>DATA!I174</f>
        <v>A</v>
      </c>
      <c r="H175" s="6" t="str">
        <f>DATA!J174</f>
        <v>Program Peningkatan Akses, Kualitas, Relevansi, dan Daya Saing Pendidikan Tinggi Islam</v>
      </c>
      <c r="I175" s="6">
        <f>DATA!K174</f>
        <v>1</v>
      </c>
      <c r="J175" s="38"/>
      <c r="K175" s="39"/>
      <c r="L175" s="39"/>
      <c r="M175" s="40"/>
      <c r="N175" s="67" t="str">
        <f>DATA!L174</f>
        <v>Improvement and Optimalization of Sunan Ampel Surabaya State Islamic University</v>
      </c>
      <c r="O175" s="42">
        <f>DATA!Q174</f>
        <v>0.16666666666666666</v>
      </c>
      <c r="P175" s="42">
        <f>DATA!R174</f>
        <v>0</v>
      </c>
      <c r="Q175" s="42">
        <f>DATA!S174</f>
        <v>0</v>
      </c>
      <c r="R175" s="83">
        <f>DATA!T174</f>
        <v>40000000</v>
      </c>
      <c r="S175" s="83"/>
      <c r="T175" s="83">
        <f>DATA!V174</f>
        <v>10000000</v>
      </c>
      <c r="U175" s="83">
        <f>DATA!W174</f>
        <v>0</v>
      </c>
      <c r="V175" s="83">
        <f>DATA!X174</f>
        <v>50000000</v>
      </c>
      <c r="W175" s="84" t="str">
        <f>DATA!Y174</f>
        <v>IDB</v>
      </c>
      <c r="X175" s="42" t="str">
        <f>DATA!Z174</f>
        <v>Multilateral</v>
      </c>
      <c r="Y175" s="83">
        <f>DATA!AA174</f>
        <v>40000000</v>
      </c>
      <c r="Z175" s="83">
        <f>DATA!AG174</f>
        <v>0</v>
      </c>
      <c r="AA175" s="42" t="str">
        <f>DATA!AH174</f>
        <v>Tanpa keterangan</v>
      </c>
      <c r="AB175" s="67" t="str">
        <f>DATA!AI174</f>
        <v>Penyusunan R/C</v>
      </c>
      <c r="AC175" s="67"/>
      <c r="AD175" s="67"/>
      <c r="AE175" s="67"/>
      <c r="AF175" s="67"/>
      <c r="AG175" s="67"/>
      <c r="AH175" s="67"/>
      <c r="AI175" s="67"/>
      <c r="AJ175" s="67" t="str">
        <f>DATA!AJ174</f>
        <v>- FS dan Proposal
- Penyusunan R/C</v>
      </c>
      <c r="AK175" s="115">
        <f>DATA!AK174</f>
        <v>0.85</v>
      </c>
      <c r="AL175" s="67" t="str">
        <f>DATA!AL174</f>
        <v>-</v>
      </c>
      <c r="AM175" s="42" t="str">
        <f>DATA!AR174</f>
        <v>-</v>
      </c>
      <c r="AN175" s="42" t="str">
        <f>DATA!AN174</f>
        <v>siap</v>
      </c>
      <c r="AO175" s="42" t="str">
        <f>DATA!AO174</f>
        <v>siap</v>
      </c>
      <c r="AP175" s="42" t="str">
        <f>DATA!AP174</f>
        <v>belum ada proses tender/lelang</v>
      </c>
      <c r="AQ175" s="42" t="str">
        <f>DATA!AY174</f>
        <v xml:space="preserve">- Pembebasan kekurangan lahan dilakukan tahun 2016
- Surat Sekjen a/n Menteri Agama nomor SJ/B.I/1/KU.00.2/6260/2015 tanggal 17 September 2015
</v>
      </c>
      <c r="AR175" s="42" t="e">
        <f>DATA!#REF!</f>
        <v>#REF!</v>
      </c>
      <c r="AS175" s="42">
        <f>DATA!AZ174</f>
        <v>0</v>
      </c>
      <c r="AT175" s="67" t="str">
        <f>DATA!BA174</f>
        <v xml:space="preserve">Pengembangan sarana prasarana perkuliahan (fakultas Saintek, Psikologi dan Kesehatan, Humaniora dan Ilmu Sosial), pengembangan kurikulum dan manajemen akademik, dan pengembangan SDM 
</v>
      </c>
    </row>
    <row r="176" spans="1:46" s="6" customFormat="1" ht="52.5" customHeight="1">
      <c r="A176" s="6">
        <f>DATA!A175</f>
        <v>125</v>
      </c>
      <c r="B176" s="6">
        <f>DATA!B175</f>
        <v>0</v>
      </c>
      <c r="C176" s="6" t="str">
        <f>DATA!D175</f>
        <v>NON-INFRASTRUKTUR</v>
      </c>
      <c r="D176" s="6">
        <f>DATA!E175</f>
        <v>9</v>
      </c>
      <c r="E176" s="6" t="str">
        <f>DATA!F175</f>
        <v>Kementerian Agama</v>
      </c>
      <c r="F176" s="6" t="str">
        <f>DATA!H175</f>
        <v>Improving Access, Quality, Relevance, and Competitiveness of Islamic Higher Education Program</v>
      </c>
      <c r="G176" s="6" t="str">
        <f>DATA!I175</f>
        <v>A</v>
      </c>
      <c r="H176" s="6" t="str">
        <f>DATA!J175</f>
        <v>Program Peningkatan Akses, Kualitas, Relevansi, dan Daya Saing Pendidikan Tinggi Islam</v>
      </c>
      <c r="I176" s="6">
        <f>DATA!K175</f>
        <v>1</v>
      </c>
      <c r="J176" s="38"/>
      <c r="K176" s="39"/>
      <c r="L176" s="39"/>
      <c r="M176" s="38"/>
      <c r="N176" s="67" t="str">
        <f>DATA!L175</f>
        <v>Improvement Access and Quality of State Islamic Institute  Suthan Maulana Hasanuddin Banten</v>
      </c>
      <c r="O176" s="42">
        <f>DATA!Q175</f>
        <v>0.16666666666666666</v>
      </c>
      <c r="P176" s="42">
        <f>DATA!R175</f>
        <v>0</v>
      </c>
      <c r="Q176" s="42">
        <f>DATA!S175</f>
        <v>0</v>
      </c>
      <c r="R176" s="83">
        <f>DATA!T175</f>
        <v>40000000</v>
      </c>
      <c r="S176" s="83"/>
      <c r="T176" s="83">
        <f>DATA!V175</f>
        <v>5985000</v>
      </c>
      <c r="U176" s="83">
        <f>DATA!W175</f>
        <v>0</v>
      </c>
      <c r="V176" s="83">
        <f>DATA!X175</f>
        <v>45985000</v>
      </c>
      <c r="W176" s="84" t="str">
        <f>DATA!Y175</f>
        <v>IDB</v>
      </c>
      <c r="X176" s="42" t="str">
        <f>DATA!Z175</f>
        <v>Multilateral</v>
      </c>
      <c r="Y176" s="83">
        <f>DATA!AA175</f>
        <v>40000000</v>
      </c>
      <c r="Z176" s="83">
        <f>DATA!AG175</f>
        <v>0</v>
      </c>
      <c r="AA176" s="42" t="str">
        <f>DATA!AH175</f>
        <v>Tanpa keterangan</v>
      </c>
      <c r="AB176" s="67" t="str">
        <f>DATA!AI175</f>
        <v>Penyusunan R/C</v>
      </c>
      <c r="AC176" s="67"/>
      <c r="AD176" s="67"/>
      <c r="AE176" s="67"/>
      <c r="AF176" s="67"/>
      <c r="AG176" s="67"/>
      <c r="AH176" s="67"/>
      <c r="AI176" s="67"/>
      <c r="AJ176" s="67" t="str">
        <f>DATA!AJ175</f>
        <v>- Sudah ada Master Plan
- AMDAL</v>
      </c>
      <c r="AK176" s="115">
        <f>DATA!AK175</f>
        <v>1</v>
      </c>
      <c r="AL176" s="67" t="str">
        <f>DATA!AL175</f>
        <v>-</v>
      </c>
      <c r="AM176" s="42" t="str">
        <f>DATA!AR175</f>
        <v>-</v>
      </c>
      <c r="AN176" s="42" t="str">
        <f>DATA!AN175</f>
        <v>siap</v>
      </c>
      <c r="AO176" s="42" t="str">
        <f>DATA!AO175</f>
        <v>siap</v>
      </c>
      <c r="AP176" s="42" t="str">
        <f>DATA!AP175</f>
        <v>belum ada proses tender/lelang</v>
      </c>
      <c r="AQ176" s="42"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R176" s="42" t="e">
        <f>DATA!#REF!</f>
        <v>#REF!</v>
      </c>
      <c r="AS176" s="42">
        <f>DATA!AZ175</f>
        <v>0</v>
      </c>
      <c r="AT176" s="67" t="str">
        <f>DATA!BA175</f>
        <v>Pembangunan gedung dan infrastruktur, pengadaaan mebelair dan peralatan, peningkatan SDM, dan pengembangan kurikulum akademik</v>
      </c>
    </row>
    <row r="177" spans="1:46" s="6" customFormat="1" ht="66.75" customHeight="1">
      <c r="A177" s="6">
        <f>DATA!A176</f>
        <v>126</v>
      </c>
      <c r="B177" s="6">
        <f>DATA!B176</f>
        <v>0</v>
      </c>
      <c r="C177" s="6" t="str">
        <f>DATA!D176</f>
        <v>NON-INFRASTRUKTUR</v>
      </c>
      <c r="D177" s="6">
        <f>DATA!E176</f>
        <v>9</v>
      </c>
      <c r="E177" s="6" t="str">
        <f>DATA!F176</f>
        <v>Kementerian Agama</v>
      </c>
      <c r="F177" s="6" t="str">
        <f>DATA!H176</f>
        <v>Improving Access, Quality, Relevance, and Competitiveness of Islamic Higher Education Program</v>
      </c>
      <c r="G177" s="6" t="str">
        <f>DATA!I176</f>
        <v>A</v>
      </c>
      <c r="H177" s="6" t="str">
        <f>DATA!J176</f>
        <v>Program Peningkatan Akses, Kualitas, Relevansi, dan Daya Saing Pendidikan Tinggi Islam</v>
      </c>
      <c r="I177" s="6">
        <f>DATA!K176</f>
        <v>1</v>
      </c>
      <c r="J177" s="38"/>
      <c r="K177" s="39"/>
      <c r="L177" s="39"/>
      <c r="M177" s="38"/>
      <c r="N177" s="67" t="str">
        <f>DATA!L176</f>
        <v xml:space="preserve">Development and Quality Improvement  of Antasari State Islamic Institute </v>
      </c>
      <c r="O177" s="42">
        <f>DATA!Q176</f>
        <v>0.16666666666666666</v>
      </c>
      <c r="P177" s="42">
        <f>DATA!R176</f>
        <v>0</v>
      </c>
      <c r="Q177" s="42">
        <f>DATA!S176</f>
        <v>0</v>
      </c>
      <c r="R177" s="83">
        <f>DATA!T176</f>
        <v>39908600</v>
      </c>
      <c r="S177" s="83"/>
      <c r="T177" s="83">
        <f>DATA!V176</f>
        <v>10290700</v>
      </c>
      <c r="U177" s="83">
        <f>DATA!W176</f>
        <v>0</v>
      </c>
      <c r="V177" s="83">
        <f>DATA!X176</f>
        <v>50199300</v>
      </c>
      <c r="W177" s="84" t="str">
        <f>DATA!Y176</f>
        <v>IDB</v>
      </c>
      <c r="X177" s="42" t="str">
        <f>DATA!Z176</f>
        <v>Multilateral</v>
      </c>
      <c r="Y177" s="83">
        <f>DATA!AA176</f>
        <v>39900000</v>
      </c>
      <c r="Z177" s="83">
        <f>DATA!AG176</f>
        <v>0</v>
      </c>
      <c r="AA177" s="42" t="str">
        <f>DATA!AH176</f>
        <v>Tanpa keterangan</v>
      </c>
      <c r="AB177" s="67" t="str">
        <f>DATA!AI176</f>
        <v>Penyusunan R/C</v>
      </c>
      <c r="AC177" s="67"/>
      <c r="AD177" s="67"/>
      <c r="AE177" s="67"/>
      <c r="AF177" s="67"/>
      <c r="AG177" s="67"/>
      <c r="AH177" s="67"/>
      <c r="AI177" s="67"/>
      <c r="AJ177" s="67" t="str">
        <f>DATA!AJ176</f>
        <v>Sudah melakukan penyiapan perencanaan</v>
      </c>
      <c r="AK177" s="115">
        <f>DATA!AK176</f>
        <v>1</v>
      </c>
      <c r="AL177" s="67" t="str">
        <f>DATA!AL176</f>
        <v>-</v>
      </c>
      <c r="AM177" s="42" t="str">
        <f>DATA!AR176</f>
        <v>-</v>
      </c>
      <c r="AN177" s="42" t="str">
        <f>DATA!AN176</f>
        <v>siap</v>
      </c>
      <c r="AO177" s="42" t="str">
        <f>DATA!AO176</f>
        <v>siap</v>
      </c>
      <c r="AP177" s="42" t="str">
        <f>DATA!AP176</f>
        <v>belum ada proses tender/lelang</v>
      </c>
      <c r="AQ177" s="42" t="str">
        <f>DATA!AY176</f>
        <v>Surat Sekjen a/n Menteri Agama nomor SJ/B.I/1/KU.00.2/6260/2015 tanggal 17 September 2015</v>
      </c>
      <c r="AR177" s="42" t="e">
        <f>DATA!#REF!</f>
        <v>#REF!</v>
      </c>
      <c r="AS177" s="42">
        <f>DATA!AZ176</f>
        <v>0</v>
      </c>
      <c r="AT177" s="67" t="str">
        <f>DATA!BA176</f>
        <v>Pembangunan gedung dan infrastruktur, penguatan kelembagaan (pengembangan kurikulum, prodi, manajemen dan peningkatan jumlah dan kualitas riset), dan pengembangan SDM</v>
      </c>
    </row>
    <row r="178" spans="1:46" s="6" customFormat="1" ht="87" customHeight="1">
      <c r="A178" s="6">
        <f>DATA!A177</f>
        <v>127</v>
      </c>
      <c r="B178" s="6">
        <f>DATA!B177</f>
        <v>0</v>
      </c>
      <c r="C178" s="6" t="str">
        <f>DATA!D177</f>
        <v>NON-INFRASTRUKTUR</v>
      </c>
      <c r="D178" s="6" t="str">
        <f>DATA!E177</f>
        <v>z</v>
      </c>
      <c r="E178" s="6" t="str">
        <f>DATA!F177</f>
        <v>Kementerian Agama</v>
      </c>
      <c r="F178" s="6" t="str">
        <f>DATA!H177</f>
        <v>Improving Access, Quality, Relevance, and Competitiveness of Islamic Higher Education Program</v>
      </c>
      <c r="G178" s="6" t="str">
        <f>DATA!I177</f>
        <v>A</v>
      </c>
      <c r="H178" s="6" t="str">
        <f>DATA!J177</f>
        <v>Program Peningkatan Akses, Kualitas, Relevansi, dan Daya Saing Pendidikan Tinggi Islam</v>
      </c>
      <c r="I178" s="6">
        <f>DATA!K177</f>
        <v>1</v>
      </c>
      <c r="J178" s="38"/>
      <c r="K178" s="39"/>
      <c r="L178" s="39"/>
      <c r="M178" s="38"/>
      <c r="N178" s="67" t="str">
        <f>DATA!L177</f>
        <v xml:space="preserve">Tranformation of State Islamic Institute  Sulthan Thaha Saifuddin to State Islamic University </v>
      </c>
      <c r="O178" s="42">
        <f>DATA!Q177</f>
        <v>0.16666666666666666</v>
      </c>
      <c r="P178" s="42">
        <f>DATA!R177</f>
        <v>0</v>
      </c>
      <c r="Q178" s="42">
        <f>DATA!S177</f>
        <v>0</v>
      </c>
      <c r="R178" s="83">
        <f>DATA!T177</f>
        <v>40000000</v>
      </c>
      <c r="S178" s="83"/>
      <c r="T178" s="83">
        <f>DATA!V177</f>
        <v>10000000</v>
      </c>
      <c r="U178" s="83">
        <f>DATA!W177</f>
        <v>0</v>
      </c>
      <c r="V178" s="83">
        <f>DATA!X177</f>
        <v>50000000</v>
      </c>
      <c r="W178" s="84" t="str">
        <f>DATA!Y177</f>
        <v>IDB</v>
      </c>
      <c r="X178" s="42" t="str">
        <f>DATA!Z177</f>
        <v>Multilateral</v>
      </c>
      <c r="Y178" s="83">
        <f>DATA!AA177</f>
        <v>40000000</v>
      </c>
      <c r="Z178" s="83">
        <f>DATA!AG177</f>
        <v>0</v>
      </c>
      <c r="AA178" s="42" t="str">
        <f>DATA!AH177</f>
        <v>Tanpa keterangan</v>
      </c>
      <c r="AB178" s="67" t="str">
        <f>DATA!AI177</f>
        <v>Penyusunan R/C</v>
      </c>
      <c r="AC178" s="67"/>
      <c r="AD178" s="67"/>
      <c r="AE178" s="67"/>
      <c r="AF178" s="67"/>
      <c r="AG178" s="67"/>
      <c r="AH178" s="67"/>
      <c r="AI178" s="67"/>
      <c r="AJ178" s="67" t="str">
        <f>DATA!AJ177</f>
        <v>Sedang merinci kegiatan</v>
      </c>
      <c r="AK178" s="115">
        <f>DATA!AK177</f>
        <v>1</v>
      </c>
      <c r="AL178" s="67" t="str">
        <f>DATA!AL177</f>
        <v>-</v>
      </c>
      <c r="AM178" s="42" t="str">
        <f>DATA!AR177</f>
        <v>-</v>
      </c>
      <c r="AN178" s="42" t="str">
        <f>DATA!AN177</f>
        <v>siap</v>
      </c>
      <c r="AO178" s="42" t="str">
        <f>DATA!AO177</f>
        <v>siap</v>
      </c>
      <c r="AP178" s="42" t="str">
        <f>DATA!AP177</f>
        <v>belum ada proses tender/lelang</v>
      </c>
      <c r="AQ178" s="42" t="str">
        <f>DATA!AY177</f>
        <v>Surat Sekjen a/n Menteri Agama nomor SJ/B.I/1/KU.00.2/6260/2015 tanggal 17 September 2015</v>
      </c>
      <c r="AR178" s="42" t="e">
        <f>DATA!#REF!</f>
        <v>#REF!</v>
      </c>
      <c r="AS178" s="42">
        <f>DATA!AZ177</f>
        <v>0</v>
      </c>
      <c r="AT178" s="67"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row>
    <row r="179" spans="1:46" s="6" customFormat="1" ht="93.75" customHeight="1">
      <c r="A179" s="6">
        <f>DATA!A178</f>
        <v>128</v>
      </c>
      <c r="B179" s="6">
        <f>DATA!B178</f>
        <v>0</v>
      </c>
      <c r="C179" s="6" t="str">
        <f>DATA!D178</f>
        <v>NON-INFRASTRUKTUR</v>
      </c>
      <c r="D179" s="6">
        <f>DATA!E178</f>
        <v>9</v>
      </c>
      <c r="E179" s="6" t="str">
        <f>DATA!F178</f>
        <v>Kementerian Agama</v>
      </c>
      <c r="F179" s="6" t="str">
        <f>DATA!H178</f>
        <v>Improving Access, Quality, Relevance, and Competitiveness of Islamic Higher Education Program</v>
      </c>
      <c r="G179" s="6" t="str">
        <f>DATA!I178</f>
        <v>A</v>
      </c>
      <c r="H179" s="6" t="str">
        <f>DATA!J178</f>
        <v>Program Peningkatan Akses, Kualitas, Relevansi, dan Daya Saing Pendidikan Tinggi Islam</v>
      </c>
      <c r="I179" s="6">
        <f>DATA!K178</f>
        <v>1</v>
      </c>
      <c r="J179" s="38"/>
      <c r="K179" s="39"/>
      <c r="L179" s="39"/>
      <c r="M179" s="38"/>
      <c r="N179" s="67" t="str">
        <f>DATA!L178</f>
        <v>Development and Institutional Transformation of State Islamic Institute  Raden Intan Lampung</v>
      </c>
      <c r="O179" s="42">
        <f>DATA!Q178</f>
        <v>0.16666666666666666</v>
      </c>
      <c r="P179" s="42">
        <f>DATA!R178</f>
        <v>0</v>
      </c>
      <c r="Q179" s="42">
        <f>DATA!S178</f>
        <v>0</v>
      </c>
      <c r="R179" s="83">
        <f>DATA!T178</f>
        <v>40000000</v>
      </c>
      <c r="S179" s="83"/>
      <c r="T179" s="83">
        <f>DATA!V178</f>
        <v>10000000</v>
      </c>
      <c r="U179" s="83">
        <f>DATA!W178</f>
        <v>0</v>
      </c>
      <c r="V179" s="83">
        <f>DATA!X178</f>
        <v>50000000</v>
      </c>
      <c r="W179" s="84" t="str">
        <f>DATA!Y178</f>
        <v>IDB</v>
      </c>
      <c r="X179" s="42" t="str">
        <f>DATA!Z178</f>
        <v>Multilateral</v>
      </c>
      <c r="Y179" s="83">
        <f>DATA!AA178</f>
        <v>40000000</v>
      </c>
      <c r="Z179" s="83">
        <f>DATA!AG178</f>
        <v>0</v>
      </c>
      <c r="AA179" s="42" t="str">
        <f>DATA!AH178</f>
        <v>Tanpa keterangan</v>
      </c>
      <c r="AB179" s="67" t="str">
        <f>DATA!AI178</f>
        <v>Penyusunan R/C</v>
      </c>
      <c r="AC179" s="67"/>
      <c r="AD179" s="67"/>
      <c r="AE179" s="67"/>
      <c r="AF179" s="67"/>
      <c r="AG179" s="67"/>
      <c r="AH179" s="67"/>
      <c r="AI179" s="67"/>
      <c r="AJ179" s="67" t="str">
        <f>DATA!AJ178</f>
        <v>- Sudah ada Master Plan</v>
      </c>
      <c r="AK179" s="115">
        <f>DATA!AK178</f>
        <v>1</v>
      </c>
      <c r="AL179" s="67" t="str">
        <f>DATA!AL178</f>
        <v>-</v>
      </c>
      <c r="AM179" s="42" t="str">
        <f>DATA!AR178</f>
        <v>-</v>
      </c>
      <c r="AN179" s="42" t="str">
        <f>DATA!AN178</f>
        <v>siap</v>
      </c>
      <c r="AO179" s="42" t="str">
        <f>DATA!AO178</f>
        <v>siap</v>
      </c>
      <c r="AP179" s="42" t="str">
        <f>DATA!AP178</f>
        <v>belum ada proses tender/lelang</v>
      </c>
      <c r="AQ179" s="42"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R179" s="42" t="e">
        <f>DATA!#REF!</f>
        <v>#REF!</v>
      </c>
      <c r="AS179" s="42">
        <f>DATA!AZ178</f>
        <v>0</v>
      </c>
      <c r="AT179" s="67"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row>
    <row r="180" spans="1:46" s="6" customFormat="1" ht="30.75" customHeight="1">
      <c r="A180" s="6">
        <f>DATA!A179</f>
        <v>123</v>
      </c>
      <c r="B180" s="6">
        <f>DATA!B179</f>
        <v>0</v>
      </c>
      <c r="C180" s="6" t="str">
        <f>DATA!D179</f>
        <v>NON-INFRASTRUKTUR</v>
      </c>
      <c r="D180" s="6">
        <f>DATA!E179</f>
        <v>9</v>
      </c>
      <c r="E180" s="6" t="str">
        <f>DATA!F179</f>
        <v>Kementerian Agama</v>
      </c>
      <c r="F180" s="6" t="str">
        <f>DATA!H179</f>
        <v>Improving Access, Quality, Relevance, and Competitiveness of Islamic Higher Education Program</v>
      </c>
      <c r="G180" s="6" t="str">
        <f>DATA!I179</f>
        <v>A</v>
      </c>
      <c r="H180" s="6" t="str">
        <f>DATA!J179</f>
        <v>Program Peningkatan Akses, Kualitas, Relevansi, dan Daya Saing Pendidikan Tinggi Islam</v>
      </c>
      <c r="I180" s="6">
        <f>DATA!K179</f>
        <v>1</v>
      </c>
      <c r="J180" s="38"/>
      <c r="K180" s="71"/>
      <c r="L180" s="71"/>
      <c r="M180" s="43"/>
      <c r="N180" s="67" t="str">
        <f>DATA!L179</f>
        <v xml:space="preserve">Development of Imam Bonjol State Islamic Institute Project </v>
      </c>
      <c r="O180" s="42">
        <f>DATA!Q179</f>
        <v>0.16666666666666666</v>
      </c>
      <c r="P180" s="42">
        <f>DATA!R179</f>
        <v>0</v>
      </c>
      <c r="Q180" s="42">
        <f>DATA!S179</f>
        <v>0</v>
      </c>
      <c r="R180" s="83">
        <f>DATA!T179</f>
        <v>38301400</v>
      </c>
      <c r="S180" s="83"/>
      <c r="T180" s="83">
        <f>DATA!V179</f>
        <v>4171400</v>
      </c>
      <c r="U180" s="83">
        <f>DATA!W179</f>
        <v>0</v>
      </c>
      <c r="V180" s="83">
        <f>DATA!X179</f>
        <v>42472800</v>
      </c>
      <c r="W180" s="84" t="str">
        <f>DATA!Y179</f>
        <v>IDB</v>
      </c>
      <c r="X180" s="42" t="str">
        <f>DATA!Z179</f>
        <v>Multilateral</v>
      </c>
      <c r="Y180" s="83">
        <f>DATA!AA179</f>
        <v>38310000</v>
      </c>
      <c r="Z180" s="83">
        <f>DATA!AG179</f>
        <v>0</v>
      </c>
      <c r="AA180" s="42" t="str">
        <f>DATA!AH179</f>
        <v>Tanpa keterangan</v>
      </c>
      <c r="AB180" s="67" t="str">
        <f>DATA!AI179</f>
        <v>Penyusunan R/C</v>
      </c>
      <c r="AC180" s="67"/>
      <c r="AD180" s="67"/>
      <c r="AE180" s="67"/>
      <c r="AF180" s="67"/>
      <c r="AG180" s="67"/>
      <c r="AH180" s="67"/>
      <c r="AI180" s="67"/>
      <c r="AJ180" s="67" t="str">
        <f>DATA!AJ179</f>
        <v>Sedang merinci rencana kegiatan</v>
      </c>
      <c r="AK180" s="115">
        <f>DATA!AK179</f>
        <v>1</v>
      </c>
      <c r="AL180" s="67" t="str">
        <f>DATA!AL179</f>
        <v>-</v>
      </c>
      <c r="AM180" s="42" t="str">
        <f>DATA!AR179</f>
        <v>-</v>
      </c>
      <c r="AN180" s="42" t="str">
        <f>DATA!AN179</f>
        <v>siap</v>
      </c>
      <c r="AO180" s="42" t="str">
        <f>DATA!AO179</f>
        <v>siap</v>
      </c>
      <c r="AP180" s="42" t="str">
        <f>DATA!AP179</f>
        <v>belum ada proses tender/lelang</v>
      </c>
      <c r="AQ180" s="42" t="str">
        <f>DATA!AY179</f>
        <v>Surat Sekjen a/n Menteri Agama nomor SJ/B.I/1/KU.00.2/6260/2015 tanggal 17 September 2015</v>
      </c>
      <c r="AR180" s="42" t="e">
        <f>DATA!#REF!</f>
        <v>#REF!</v>
      </c>
      <c r="AS180" s="42">
        <f>DATA!AZ179</f>
        <v>0</v>
      </c>
      <c r="AT180" s="67" t="str">
        <f>DATA!BA179</f>
        <v>Pembangunan sarana dan prasarana perkuliahan,  Peningkatan kualitas SDM, pengembangan kurikulum</v>
      </c>
    </row>
    <row r="181" spans="1:46" s="4" customFormat="1" ht="24.95" customHeight="1">
      <c r="J181" s="107"/>
      <c r="K181" s="25">
        <f>DATA!E181</f>
        <v>10</v>
      </c>
      <c r="L181" s="108" t="str">
        <f>DATA!F181</f>
        <v>Kementerian PPN/Bappenas</v>
      </c>
      <c r="M181" s="25"/>
      <c r="N181" s="27"/>
      <c r="O181" s="26"/>
      <c r="P181" s="26"/>
      <c r="Q181" s="26"/>
      <c r="R181" s="80">
        <f>+R182</f>
        <v>300000000</v>
      </c>
      <c r="S181" s="80"/>
      <c r="T181" s="80">
        <f t="shared" ref="T181:Z182" si="21">+T182</f>
        <v>0</v>
      </c>
      <c r="U181" s="80">
        <f t="shared" si="21"/>
        <v>0</v>
      </c>
      <c r="V181" s="80">
        <f t="shared" si="21"/>
        <v>300000000</v>
      </c>
      <c r="W181" s="80"/>
      <c r="X181" s="80" t="str">
        <f t="shared" si="21"/>
        <v>Multilateral</v>
      </c>
      <c r="Y181" s="80">
        <f t="shared" si="21"/>
        <v>300000000</v>
      </c>
      <c r="Z181" s="80">
        <f t="shared" si="21"/>
        <v>0</v>
      </c>
      <c r="AA181" s="26"/>
      <c r="AB181" s="27"/>
      <c r="AC181" s="27"/>
      <c r="AD181" s="27"/>
      <c r="AE181" s="27"/>
      <c r="AF181" s="27"/>
      <c r="AG181" s="27"/>
      <c r="AH181" s="27"/>
      <c r="AI181" s="27"/>
      <c r="AJ181" s="27"/>
      <c r="AK181" s="27"/>
      <c r="AL181" s="27"/>
      <c r="AM181" s="26"/>
      <c r="AN181" s="26"/>
      <c r="AO181" s="26"/>
      <c r="AP181" s="26"/>
      <c r="AQ181" s="26"/>
      <c r="AR181" s="26"/>
      <c r="AS181" s="26"/>
      <c r="AT181" s="27"/>
    </row>
    <row r="182" spans="1:46" s="5" customFormat="1" ht="33.75" customHeight="1">
      <c r="J182" s="28"/>
      <c r="K182" s="29"/>
      <c r="L182" s="30" t="str">
        <f>DATA!I181</f>
        <v>A</v>
      </c>
      <c r="M182" s="113" t="str">
        <f>DATA!J181</f>
        <v>Program Pengembangan Sumber Daya Aparatur  dalam Rangka Reformasi Birokrasi</v>
      </c>
      <c r="N182" s="51"/>
      <c r="O182" s="31"/>
      <c r="P182" s="31"/>
      <c r="Q182" s="31"/>
      <c r="R182" s="81">
        <f>+R183</f>
        <v>300000000</v>
      </c>
      <c r="S182" s="81"/>
      <c r="T182" s="81">
        <f t="shared" si="21"/>
        <v>0</v>
      </c>
      <c r="U182" s="81">
        <f t="shared" si="21"/>
        <v>0</v>
      </c>
      <c r="V182" s="81">
        <f t="shared" si="21"/>
        <v>300000000</v>
      </c>
      <c r="W182" s="81"/>
      <c r="X182" s="81" t="str">
        <f t="shared" si="21"/>
        <v>Multilateral</v>
      </c>
      <c r="Y182" s="81">
        <f t="shared" si="21"/>
        <v>300000000</v>
      </c>
      <c r="Z182" s="81">
        <f t="shared" si="21"/>
        <v>0</v>
      </c>
      <c r="AA182" s="31"/>
      <c r="AB182" s="32"/>
      <c r="AC182" s="32"/>
      <c r="AD182" s="32"/>
      <c r="AE182" s="32"/>
      <c r="AF182" s="32"/>
      <c r="AG182" s="32"/>
      <c r="AH182" s="32"/>
      <c r="AI182" s="32"/>
      <c r="AJ182" s="32"/>
      <c r="AK182" s="32"/>
      <c r="AL182" s="32"/>
      <c r="AM182" s="31"/>
      <c r="AN182" s="31"/>
      <c r="AO182" s="31"/>
      <c r="AP182" s="31"/>
      <c r="AQ182" s="31"/>
      <c r="AR182" s="31"/>
      <c r="AS182" s="31"/>
      <c r="AT182" s="32"/>
    </row>
    <row r="183" spans="1:46" s="6" customFormat="1" ht="35.25" customHeight="1">
      <c r="A183" s="6">
        <f>DATA!A181</f>
        <v>129</v>
      </c>
      <c r="B183" s="6">
        <f>DATA!B181</f>
        <v>0</v>
      </c>
      <c r="C183" s="6" t="str">
        <f>DATA!D181</f>
        <v>NON-INFRASTRUKTUR</v>
      </c>
      <c r="D183" s="6">
        <f>DATA!E181</f>
        <v>10</v>
      </c>
      <c r="E183" s="6" t="str">
        <f>DATA!F181</f>
        <v>Kementerian PPN/Bappenas</v>
      </c>
      <c r="F183" s="6" t="str">
        <f>DATA!H181</f>
        <v>Human Resources Development for Bureaucracy Reform Program</v>
      </c>
      <c r="G183" s="6" t="str">
        <f>DATA!I181</f>
        <v>A</v>
      </c>
      <c r="H183" s="6" t="str">
        <f>DATA!J181</f>
        <v>Program Pengembangan Sumber Daya Aparatur  dalam Rangka Reformasi Birokrasi</v>
      </c>
      <c r="I183" s="6">
        <f>DATA!K181</f>
        <v>1</v>
      </c>
      <c r="J183" s="38"/>
      <c r="K183" s="71"/>
      <c r="L183" s="39"/>
      <c r="M183" s="38">
        <f>DATA!K181</f>
        <v>1</v>
      </c>
      <c r="N183" s="67" t="str">
        <f>DATA!L181</f>
        <v>Development of Capacity, Quality, and Competency of Human Resources for Government Officer</v>
      </c>
      <c r="O183" s="42">
        <f>DATA!Q181</f>
        <v>1</v>
      </c>
      <c r="P183" s="42">
        <f>DATA!R181</f>
        <v>1</v>
      </c>
      <c r="Q183" s="42">
        <f>DATA!S181</f>
        <v>103</v>
      </c>
      <c r="R183" s="83">
        <f>DATA!T181</f>
        <v>300000000</v>
      </c>
      <c r="S183" s="83"/>
      <c r="T183" s="83">
        <f>DATA!V181</f>
        <v>0</v>
      </c>
      <c r="U183" s="83">
        <f>DATA!W181</f>
        <v>0</v>
      </c>
      <c r="V183" s="83">
        <f>DATA!X181</f>
        <v>300000000</v>
      </c>
      <c r="W183" s="84" t="str">
        <f>DATA!Y181</f>
        <v>Bank Dunia</v>
      </c>
      <c r="X183" s="42" t="str">
        <f>DATA!Z181</f>
        <v>Multilateral</v>
      </c>
      <c r="Y183" s="83">
        <f>DATA!AA181</f>
        <v>300000000</v>
      </c>
      <c r="Z183" s="83">
        <f>DATA!AG181</f>
        <v>0</v>
      </c>
      <c r="AA183" s="42" t="str">
        <f>DATA!AH181</f>
        <v>Tanpa keterangan</v>
      </c>
      <c r="AB183" s="67" t="str">
        <f>DATA!AI181</f>
        <v>Penyusunan R/C</v>
      </c>
      <c r="AC183" s="67"/>
      <c r="AD183" s="67"/>
      <c r="AE183" s="67"/>
      <c r="AF183" s="67"/>
      <c r="AG183" s="67"/>
      <c r="AH183" s="67"/>
      <c r="AI183" s="67"/>
      <c r="AJ183" s="67" t="str">
        <f>DATA!AJ181</f>
        <v>Sedang evaluasi SPIRIT tahap sebelumnya</v>
      </c>
      <c r="AK183" s="67" t="str">
        <f>DATA!AK181</f>
        <v>Tidak membutuhkan lahan</v>
      </c>
      <c r="AL183" s="67" t="str">
        <f>DATA!AL181</f>
        <v>-</v>
      </c>
      <c r="AM183" s="42" t="str">
        <f>DATA!AR181</f>
        <v>belum ada dokumen R/C</v>
      </c>
      <c r="AN183" s="42" t="str">
        <f>DATA!AN181</f>
        <v>dalam proses
(penyusunan FS)</v>
      </c>
      <c r="AO183" s="42" t="str">
        <f>DATA!AO181</f>
        <v>tidak butuh lahan</v>
      </c>
      <c r="AP183" s="42" t="str">
        <f>DATA!AP181</f>
        <v>belum ada proses tender/lelang</v>
      </c>
      <c r="AQ183" s="42" t="str">
        <f>DATA!AY181</f>
        <v>Surat Sesmen PPN/Sestama Bappenas nomor 5877/SES/09/2015 tgl 14 September 2015</v>
      </c>
      <c r="AR183" s="42" t="e">
        <f>DATA!#REF!</f>
        <v>#REF!</v>
      </c>
      <c r="AS183" s="42" t="str">
        <f>DATA!AZ181</f>
        <v>Diusulkan untuk masuk GB 2016</v>
      </c>
      <c r="AT183" s="67" t="str">
        <f>DATA!BA181</f>
        <v>Menghasilkan sekitar 2.109 lulusan gelar dan non gelar</v>
      </c>
    </row>
    <row r="184" spans="1:46" s="4" customFormat="1" ht="24.95" customHeight="1">
      <c r="J184" s="107"/>
      <c r="K184" s="25">
        <f>DATA!E182</f>
        <v>11</v>
      </c>
      <c r="L184" s="108" t="str">
        <f>DATA!F182</f>
        <v>Kementerian Kesehatan</v>
      </c>
      <c r="M184" s="25"/>
      <c r="N184" s="27"/>
      <c r="O184" s="26"/>
      <c r="P184" s="26"/>
      <c r="Q184" s="26"/>
      <c r="R184" s="80">
        <f>+R185+R187+R189+R191</f>
        <v>1746000000</v>
      </c>
      <c r="S184" s="80"/>
      <c r="T184" s="80">
        <f t="shared" ref="T184:Z184" si="22">+T185+T187+T189+T191</f>
        <v>174600000</v>
      </c>
      <c r="U184" s="80">
        <f t="shared" si="22"/>
        <v>0</v>
      </c>
      <c r="V184" s="80">
        <f t="shared" si="22"/>
        <v>1920600000</v>
      </c>
      <c r="W184" s="80"/>
      <c r="X184" s="80" t="e">
        <f t="shared" si="22"/>
        <v>#VALUE!</v>
      </c>
      <c r="Y184" s="80">
        <f t="shared" si="22"/>
        <v>1746000000</v>
      </c>
      <c r="Z184" s="80">
        <f t="shared" si="22"/>
        <v>-755600000</v>
      </c>
      <c r="AA184" s="26"/>
      <c r="AB184" s="27"/>
      <c r="AC184" s="27"/>
      <c r="AD184" s="27"/>
      <c r="AE184" s="27"/>
      <c r="AF184" s="27"/>
      <c r="AG184" s="27"/>
      <c r="AH184" s="27"/>
      <c r="AI184" s="27"/>
      <c r="AJ184" s="27"/>
      <c r="AK184" s="27"/>
      <c r="AL184" s="27"/>
      <c r="AM184" s="26"/>
      <c r="AN184" s="26"/>
      <c r="AO184" s="26"/>
      <c r="AP184" s="26"/>
      <c r="AQ184" s="26"/>
      <c r="AR184" s="26"/>
      <c r="AS184" s="26"/>
      <c r="AT184" s="27"/>
    </row>
    <row r="185" spans="1:46" s="5" customFormat="1" ht="33.75" customHeight="1">
      <c r="J185" s="28"/>
      <c r="K185" s="29"/>
      <c r="L185" s="30" t="str">
        <f>DATA!I181</f>
        <v>A</v>
      </c>
      <c r="M185" s="31" t="str">
        <f>DATA!J182</f>
        <v>Program Pelayanan Kesehatan Dasar</v>
      </c>
      <c r="N185" s="51"/>
      <c r="O185" s="31"/>
      <c r="P185" s="31"/>
      <c r="Q185" s="31"/>
      <c r="R185" s="81">
        <f>+R186</f>
        <v>150000000</v>
      </c>
      <c r="S185" s="81"/>
      <c r="T185" s="81">
        <f>+T186</f>
        <v>15000000</v>
      </c>
      <c r="U185" s="81">
        <f>+U186</f>
        <v>0</v>
      </c>
      <c r="V185" s="81">
        <f>+V186</f>
        <v>165000000</v>
      </c>
      <c r="W185" s="81"/>
      <c r="X185" s="81" t="str">
        <f>+X186</f>
        <v>Multilateral</v>
      </c>
      <c r="Y185" s="81">
        <f>+Y186</f>
        <v>150000000</v>
      </c>
      <c r="Z185" s="81">
        <f>+Z186</f>
        <v>0</v>
      </c>
      <c r="AA185" s="31"/>
      <c r="AB185" s="32"/>
      <c r="AC185" s="32"/>
      <c r="AD185" s="32"/>
      <c r="AE185" s="32"/>
      <c r="AF185" s="32"/>
      <c r="AG185" s="32"/>
      <c r="AH185" s="32"/>
      <c r="AI185" s="32"/>
      <c r="AJ185" s="32"/>
      <c r="AK185" s="32"/>
      <c r="AL185" s="32"/>
      <c r="AM185" s="31"/>
      <c r="AN185" s="31"/>
      <c r="AO185" s="31"/>
      <c r="AP185" s="31"/>
      <c r="AQ185" s="31"/>
      <c r="AR185" s="31"/>
      <c r="AS185" s="31"/>
      <c r="AT185" s="32"/>
    </row>
    <row r="186" spans="1:46" ht="75.75" customHeight="1">
      <c r="A186" s="10">
        <f>DATA!A182</f>
        <v>130</v>
      </c>
      <c r="B186" s="10">
        <f>DATA!B182</f>
        <v>0</v>
      </c>
      <c r="C186" s="10" t="str">
        <f>DATA!D182</f>
        <v>NON-INFRASTRUKTUR</v>
      </c>
      <c r="D186" s="10">
        <f>DATA!E182</f>
        <v>11</v>
      </c>
      <c r="E186" s="10" t="str">
        <f>DATA!F182</f>
        <v>Kementerian Kesehatan</v>
      </c>
      <c r="F186" s="10" t="str">
        <f>DATA!H182</f>
        <v>Basic Health Care Program</v>
      </c>
      <c r="G186" s="10" t="str">
        <f>DATA!I182</f>
        <v>A</v>
      </c>
      <c r="H186" s="10" t="str">
        <f>DATA!J182</f>
        <v>Program Pelayanan Kesehatan Dasar</v>
      </c>
      <c r="I186" s="10">
        <f>DATA!K182</f>
        <v>1</v>
      </c>
      <c r="J186" s="33"/>
      <c r="K186" s="34"/>
      <c r="L186" s="54"/>
      <c r="M186" s="52">
        <f>DATA!K182</f>
        <v>1</v>
      </c>
      <c r="N186" s="37" t="str">
        <f>DATA!L182</f>
        <v>Improvement of Primary Health Care</v>
      </c>
      <c r="O186" s="20">
        <f>DATA!Q182</f>
        <v>1</v>
      </c>
      <c r="P186" s="20">
        <f>DATA!R182</f>
        <v>1</v>
      </c>
      <c r="Q186" s="20">
        <f>DATA!S182</f>
        <v>104</v>
      </c>
      <c r="R186" s="77">
        <f>DATA!T182</f>
        <v>150000000</v>
      </c>
      <c r="S186" s="77"/>
      <c r="T186" s="77">
        <f>DATA!V182</f>
        <v>15000000</v>
      </c>
      <c r="U186" s="77">
        <f>DATA!W182</f>
        <v>0</v>
      </c>
      <c r="V186" s="77">
        <f>DATA!X182</f>
        <v>165000000</v>
      </c>
      <c r="W186" s="78" t="str">
        <f>DATA!Y182</f>
        <v>Bank Dunia</v>
      </c>
      <c r="X186" s="20" t="str">
        <f>DATA!Z182</f>
        <v>Multilateral</v>
      </c>
      <c r="Y186" s="77">
        <f>DATA!AA182</f>
        <v>150000000</v>
      </c>
      <c r="Z186" s="77">
        <f>DATA!AG182</f>
        <v>0</v>
      </c>
      <c r="AA186" s="20" t="str">
        <f>DATA!AH182</f>
        <v>Tanpa keterangan</v>
      </c>
      <c r="AB186" s="37" t="str">
        <f>DATA!AI182</f>
        <v>-</v>
      </c>
      <c r="AC186" s="37"/>
      <c r="AD186" s="37"/>
      <c r="AE186" s="37"/>
      <c r="AF186" s="37"/>
      <c r="AG186" s="37"/>
      <c r="AH186" s="37"/>
      <c r="AI186" s="37"/>
      <c r="AJ186" s="37" t="str">
        <f>DATA!AJ182</f>
        <v>-</v>
      </c>
      <c r="AK186" s="37" t="str">
        <f>DATA!AK182</f>
        <v>Tidak dibutuhkan lahan</v>
      </c>
      <c r="AL186" s="37" t="str">
        <f>DATA!AL182</f>
        <v>-</v>
      </c>
      <c r="AM186" s="20" t="str">
        <f>DATA!AR182</f>
        <v>belum ada dokumen R/C</v>
      </c>
      <c r="AN186" s="20" t="str">
        <f>DATA!AN182</f>
        <v>belum ada keterangan</v>
      </c>
      <c r="AO186" s="20" t="str">
        <f>DATA!AO182</f>
        <v>tidak butuh lahan</v>
      </c>
      <c r="AP186" s="20" t="str">
        <f>DATA!AP182</f>
        <v>belum ada proses tender/lelang</v>
      </c>
      <c r="AQ186" s="20" t="str">
        <f>DATA!AY182</f>
        <v>Surat Sekjen nomor PR.02.03/I/1814/2015 tanggal 9 September 2015</v>
      </c>
      <c r="AR186" s="20" t="e">
        <f>DATA!#REF!</f>
        <v>#REF!</v>
      </c>
      <c r="AS186" s="20">
        <f>DATA!AZ182</f>
        <v>0</v>
      </c>
      <c r="AT186" s="37" t="str">
        <f>DATA!BA182</f>
        <v>Kegiatan akreditasi pusat kesehatan, pengembangan sistem informasi kesehatan, pemenuhan kebutuhan pelayanan kesehatan pada daerah perbatasan, dan memfasilitasi hubungan pusat kesehatan dengan unit transfusi darah</v>
      </c>
    </row>
    <row r="187" spans="1:46" s="5" customFormat="1" ht="33.75" customHeight="1">
      <c r="J187" s="28"/>
      <c r="K187" s="50"/>
      <c r="L187" s="30" t="str">
        <f>DATA!I183</f>
        <v>B</v>
      </c>
      <c r="M187" s="31" t="str">
        <f>DATA!J183</f>
        <v>Program Pengembangan Sumber Daya Manusia Kesehatan</v>
      </c>
      <c r="N187" s="51"/>
      <c r="O187" s="31"/>
      <c r="P187" s="31"/>
      <c r="Q187" s="31"/>
      <c r="R187" s="81">
        <f>+R188</f>
        <v>240000000</v>
      </c>
      <c r="S187" s="81"/>
      <c r="T187" s="81">
        <f t="shared" ref="T187:Z187" si="23">+T188</f>
        <v>24000000</v>
      </c>
      <c r="U187" s="81">
        <f t="shared" si="23"/>
        <v>0</v>
      </c>
      <c r="V187" s="81">
        <f t="shared" si="23"/>
        <v>264000000</v>
      </c>
      <c r="W187" s="81"/>
      <c r="X187" s="81" t="str">
        <f t="shared" si="23"/>
        <v>Multilateral</v>
      </c>
      <c r="Y187" s="81">
        <f t="shared" si="23"/>
        <v>240000000</v>
      </c>
      <c r="Z187" s="81">
        <f t="shared" si="23"/>
        <v>0</v>
      </c>
      <c r="AA187" s="31"/>
      <c r="AB187" s="32"/>
      <c r="AC187" s="32"/>
      <c r="AD187" s="32"/>
      <c r="AE187" s="32"/>
      <c r="AF187" s="32"/>
      <c r="AG187" s="32"/>
      <c r="AH187" s="32"/>
      <c r="AI187" s="32"/>
      <c r="AJ187" s="32"/>
      <c r="AK187" s="32"/>
      <c r="AL187" s="32"/>
      <c r="AM187" s="31"/>
      <c r="AN187" s="31"/>
      <c r="AO187" s="31"/>
      <c r="AP187" s="31"/>
      <c r="AQ187" s="31"/>
      <c r="AR187" s="31"/>
      <c r="AS187" s="31"/>
      <c r="AT187" s="32"/>
    </row>
    <row r="188" spans="1:46" ht="46.5" customHeight="1">
      <c r="A188" s="10">
        <f>DATA!A183</f>
        <v>131</v>
      </c>
      <c r="B188" s="10">
        <f>DATA!B183</f>
        <v>0</v>
      </c>
      <c r="C188" s="10" t="str">
        <f>DATA!D183</f>
        <v>NON-INFRASTRUKTUR</v>
      </c>
      <c r="D188" s="10">
        <f>DATA!E183</f>
        <v>11</v>
      </c>
      <c r="E188" s="10" t="str">
        <f>DATA!F183</f>
        <v>Kementerian Kesehatan</v>
      </c>
      <c r="F188" s="10" t="str">
        <f>DATA!H183</f>
        <v>Program for Human Resources Development in Health Sector</v>
      </c>
      <c r="G188" s="10" t="str">
        <f>DATA!I183</f>
        <v>B</v>
      </c>
      <c r="H188" s="10" t="str">
        <f>DATA!J183</f>
        <v>Program Pengembangan Sumber Daya Manusia Kesehatan</v>
      </c>
      <c r="I188" s="10">
        <f>DATA!K183</f>
        <v>1</v>
      </c>
      <c r="J188" s="33"/>
      <c r="K188" s="34"/>
      <c r="L188" s="20"/>
      <c r="M188" s="36">
        <f>DATA!K183</f>
        <v>1</v>
      </c>
      <c r="N188" s="37" t="str">
        <f>DATA!L183</f>
        <v>Improvement of Facilities and Infrastructure for Teaching and Learning Activities in Health Sector</v>
      </c>
      <c r="O188" s="20">
        <f>DATA!Q183</f>
        <v>1</v>
      </c>
      <c r="P188" s="20">
        <f>DATA!R183</f>
        <v>1</v>
      </c>
      <c r="Q188" s="20">
        <f>DATA!S183</f>
        <v>105</v>
      </c>
      <c r="R188" s="77">
        <f>DATA!T183</f>
        <v>240000000</v>
      </c>
      <c r="S188" s="77"/>
      <c r="T188" s="77">
        <f>DATA!V183</f>
        <v>24000000</v>
      </c>
      <c r="U188" s="77">
        <f>DATA!W183</f>
        <v>0</v>
      </c>
      <c r="V188" s="77">
        <f>DATA!X183</f>
        <v>264000000</v>
      </c>
      <c r="W188" s="78" t="str">
        <f>DATA!Y183</f>
        <v>IDB</v>
      </c>
      <c r="X188" s="20" t="str">
        <f>DATA!Z183</f>
        <v>Multilateral</v>
      </c>
      <c r="Y188" s="77">
        <f>DATA!AA183</f>
        <v>240000000</v>
      </c>
      <c r="Z188" s="77">
        <f>DATA!AG183</f>
        <v>0</v>
      </c>
      <c r="AA188" s="20" t="str">
        <f>DATA!AH183</f>
        <v>Tanpa keterangan</v>
      </c>
      <c r="AB188" s="37" t="str">
        <f>DATA!AI183</f>
        <v>Penyusunan R/C</v>
      </c>
      <c r="AC188" s="37"/>
      <c r="AD188" s="37"/>
      <c r="AE188" s="37"/>
      <c r="AF188" s="37"/>
      <c r="AG188" s="37"/>
      <c r="AH188" s="37"/>
      <c r="AI188" s="37"/>
      <c r="AJ188" s="37" t="str">
        <f>DATA!AJ183</f>
        <v>FS. DED</v>
      </c>
      <c r="AK188" s="114">
        <f>DATA!AK183</f>
        <v>1</v>
      </c>
      <c r="AL188" s="37" t="str">
        <f>DATA!AL183</f>
        <v>Belum ada lelang/tender</v>
      </c>
      <c r="AM188" s="20">
        <f>DATA!AM183</f>
        <v>0</v>
      </c>
      <c r="AN188" s="20" t="str">
        <f>DATA!AN183</f>
        <v>dalam proses
(memiliki FS dan DED)</v>
      </c>
      <c r="AO188" s="20" t="str">
        <f>DATA!AO183</f>
        <v>siap</v>
      </c>
      <c r="AP188" s="20" t="str">
        <f>DATA!AP183</f>
        <v>belum ada proses tender/lelang</v>
      </c>
      <c r="AQ188" s="20" t="str">
        <f>DATA!AY183</f>
        <v>- Pelaksanaan tahun 2017
- Surat Sekjen nomor PR.02.03/I/1814/2015 tanggal 9 September 2015</v>
      </c>
      <c r="AR188" s="20" t="e">
        <f>DATA!#REF!</f>
        <v>#REF!</v>
      </c>
      <c r="AS188" s="20">
        <f>DATA!AZ183</f>
        <v>0</v>
      </c>
      <c r="AT188" s="37" t="str">
        <f>DATA!BA183</f>
        <v>'Peningkatan infrastruktur Poltekkes, BPPK, Bapelkes dan UPT</v>
      </c>
    </row>
    <row r="189" spans="1:46" s="5" customFormat="1" ht="33.75" customHeight="1">
      <c r="J189" s="28"/>
      <c r="K189" s="50"/>
      <c r="L189" s="30" t="str">
        <f>DATA!I184</f>
        <v>C</v>
      </c>
      <c r="M189" s="31" t="str">
        <f>DATA!J184</f>
        <v>Program Pengendalian Penyakit, Penyehatan Lingkungan, dan Penguatan Litbang Kesehatan</v>
      </c>
      <c r="N189" s="51"/>
      <c r="O189" s="31"/>
      <c r="P189" s="31"/>
      <c r="Q189" s="31"/>
      <c r="R189" s="81">
        <f>+R190</f>
        <v>100400000</v>
      </c>
      <c r="S189" s="81"/>
      <c r="T189" s="81">
        <f t="shared" ref="T189:Z189" si="24">+T190</f>
        <v>10040000</v>
      </c>
      <c r="U189" s="81">
        <f t="shared" si="24"/>
        <v>0</v>
      </c>
      <c r="V189" s="81">
        <f t="shared" si="24"/>
        <v>110440000</v>
      </c>
      <c r="W189" s="81"/>
      <c r="X189" s="81" t="str">
        <f t="shared" si="24"/>
        <v>Bilateral</v>
      </c>
      <c r="Y189" s="81">
        <f t="shared" si="24"/>
        <v>100400000</v>
      </c>
      <c r="Z189" s="81">
        <f t="shared" si="24"/>
        <v>0</v>
      </c>
      <c r="AA189" s="31"/>
      <c r="AB189" s="32"/>
      <c r="AC189" s="32"/>
      <c r="AD189" s="32"/>
      <c r="AE189" s="32"/>
      <c r="AF189" s="32"/>
      <c r="AG189" s="32"/>
      <c r="AH189" s="32"/>
      <c r="AI189" s="32"/>
      <c r="AJ189" s="32"/>
      <c r="AK189" s="32"/>
      <c r="AL189" s="32"/>
      <c r="AM189" s="31"/>
      <c r="AN189" s="31"/>
      <c r="AO189" s="31"/>
      <c r="AP189" s="31"/>
      <c r="AQ189" s="31"/>
      <c r="AR189" s="31"/>
      <c r="AS189" s="31"/>
      <c r="AT189" s="32"/>
    </row>
    <row r="190" spans="1:46" ht="74.25" customHeight="1">
      <c r="A190" s="10">
        <f>DATA!A184</f>
        <v>132</v>
      </c>
      <c r="B190" s="10">
        <f>DATA!B184</f>
        <v>0</v>
      </c>
      <c r="C190" s="10" t="str">
        <f>DATA!D184</f>
        <v>NON-INFRASTRUKTUR</v>
      </c>
      <c r="D190" s="10">
        <f>DATA!E184</f>
        <v>11</v>
      </c>
      <c r="E190" s="10" t="str">
        <f>DATA!F184</f>
        <v>Kementerian Kesehatan</v>
      </c>
      <c r="F190" s="10" t="str">
        <f>DATA!H184</f>
        <v>Program for Disease Control, Environmental Health, and Strengthening Health Research and Development</v>
      </c>
      <c r="G190" s="10" t="str">
        <f>DATA!I184</f>
        <v>C</v>
      </c>
      <c r="H190" s="10" t="str">
        <f>DATA!J184</f>
        <v>Program Pengendalian Penyakit, Penyehatan Lingkungan, dan Penguatan Litbang Kesehatan</v>
      </c>
      <c r="I190" s="10">
        <f>DATA!K184</f>
        <v>1</v>
      </c>
      <c r="J190" s="33"/>
      <c r="K190" s="34"/>
      <c r="L190" s="20"/>
      <c r="M190" s="36">
        <f>DATA!K184</f>
        <v>1</v>
      </c>
      <c r="N190" s="37" t="str">
        <f>DATA!L184</f>
        <v>Improvement of Capacity on Disease Control, Environmental Health, and Strengthening Health’s Research and Development</v>
      </c>
      <c r="O190" s="20">
        <f>DATA!Q184</f>
        <v>1</v>
      </c>
      <c r="P190" s="20">
        <f>DATA!R184</f>
        <v>1</v>
      </c>
      <c r="Q190" s="20">
        <f>DATA!S184</f>
        <v>106</v>
      </c>
      <c r="R190" s="77">
        <f>DATA!T184</f>
        <v>100400000</v>
      </c>
      <c r="S190" s="77"/>
      <c r="T190" s="77">
        <f>DATA!V184</f>
        <v>10040000</v>
      </c>
      <c r="U190" s="77">
        <f>DATA!W184</f>
        <v>0</v>
      </c>
      <c r="V190" s="77">
        <f>DATA!X184</f>
        <v>110440000</v>
      </c>
      <c r="W190" s="78" t="str">
        <f>DATA!Y184</f>
        <v>Jerman (KfW)</v>
      </c>
      <c r="X190" s="20" t="str">
        <f>DATA!Z184</f>
        <v>Bilateral</v>
      </c>
      <c r="Y190" s="77">
        <f>DATA!AA184</f>
        <v>100400000</v>
      </c>
      <c r="Z190" s="77">
        <f>DATA!AG184</f>
        <v>0</v>
      </c>
      <c r="AA190" s="20" t="str">
        <f>DATA!AH184</f>
        <v>Tanpa keterangan</v>
      </c>
      <c r="AB190" s="37" t="str">
        <f>DATA!AI184</f>
        <v>Penyusunan R/C</v>
      </c>
      <c r="AC190" s="37"/>
      <c r="AD190" s="37"/>
      <c r="AE190" s="37"/>
      <c r="AF190" s="37"/>
      <c r="AG190" s="37"/>
      <c r="AH190" s="37"/>
      <c r="AI190" s="37"/>
      <c r="AJ190" s="37" t="str">
        <f>DATA!AJ184</f>
        <v>Belum ada DED &amp; AMDAL</v>
      </c>
      <c r="AK190" s="114">
        <f>DATA!AK184</f>
        <v>0.5</v>
      </c>
      <c r="AL190" s="37" t="str">
        <f>DATA!AL184</f>
        <v>Belum ada lelang/tender</v>
      </c>
      <c r="AM190" s="20">
        <f>DATA!AM184</f>
        <v>0</v>
      </c>
      <c r="AN190" s="20" t="str">
        <f>DATA!AN184</f>
        <v>dalam proses
(memiliki)</v>
      </c>
      <c r="AO190" s="20" t="str">
        <f>DATA!AO184</f>
        <v>dalam proses
(pelaksanaan)</v>
      </c>
      <c r="AP190" s="20" t="str">
        <f>DATA!AP184</f>
        <v>belum ada proses tender/lelang</v>
      </c>
      <c r="AQ190" s="20" t="str">
        <f>DATA!AY184</f>
        <v>- Tahap perencanaan selesai tahun 2016, tahap penyiapan dilakukan setelah tahap perencanaan selesai.Pelaksanaan diusulkan mulai tahun 2017.
- Surat Sekjen nomor PR.02.03/I/1814/2015 tanggal 9 September 2015</v>
      </c>
      <c r="AR190" s="20" t="e">
        <f>DATA!#REF!</f>
        <v>#REF!</v>
      </c>
      <c r="AS190" s="20">
        <f>DATA!AZ184</f>
        <v>0</v>
      </c>
      <c r="AT190" s="37" t="str">
        <f>DATA!BA184</f>
        <v>Penguatan lembaga penelitian dan pengembangan kesehatan, melengkapi fasilitas laboratorium untuk mendukung deteksi dan penelitian macam-macam virus dan bakteri, peningkatan kesadaran masyarakat terhadap kesehatan dan Peningkatan SDM kesehatan</v>
      </c>
    </row>
    <row r="191" spans="1:46" s="5" customFormat="1" ht="33.75" customHeight="1">
      <c r="J191" s="28"/>
      <c r="K191" s="50"/>
      <c r="L191" s="30" t="str">
        <f>DATA!I185</f>
        <v>D</v>
      </c>
      <c r="M191" s="31" t="str">
        <f>DATA!J185</f>
        <v>Program Pelayanan Kesehatan Rujukan</v>
      </c>
      <c r="N191" s="51"/>
      <c r="O191" s="31"/>
      <c r="P191" s="31"/>
      <c r="Q191" s="31"/>
      <c r="R191" s="81">
        <f>+R192</f>
        <v>1255600000</v>
      </c>
      <c r="S191" s="81"/>
      <c r="T191" s="81">
        <f t="shared" ref="T191:Z191" si="25">+T192</f>
        <v>125560000</v>
      </c>
      <c r="U191" s="81">
        <f t="shared" si="25"/>
        <v>0</v>
      </c>
      <c r="V191" s="81">
        <f t="shared" si="25"/>
        <v>1381160000</v>
      </c>
      <c r="W191" s="81"/>
      <c r="X191" s="81">
        <f t="shared" si="25"/>
        <v>0</v>
      </c>
      <c r="Y191" s="81">
        <f t="shared" si="25"/>
        <v>1255600000</v>
      </c>
      <c r="Z191" s="81">
        <f t="shared" si="25"/>
        <v>-755600000</v>
      </c>
      <c r="AA191" s="31"/>
      <c r="AB191" s="32"/>
      <c r="AC191" s="32"/>
      <c r="AD191" s="32"/>
      <c r="AE191" s="32"/>
      <c r="AF191" s="32"/>
      <c r="AG191" s="32"/>
      <c r="AH191" s="32"/>
      <c r="AI191" s="32"/>
      <c r="AJ191" s="32"/>
      <c r="AK191" s="32"/>
      <c r="AL191" s="32"/>
      <c r="AM191" s="31"/>
      <c r="AN191" s="31"/>
      <c r="AO191" s="31"/>
      <c r="AP191" s="31"/>
      <c r="AQ191" s="31"/>
      <c r="AR191" s="31"/>
      <c r="AS191" s="31"/>
      <c r="AT191" s="32"/>
    </row>
    <row r="192" spans="1:46" ht="38.25">
      <c r="A192" s="10">
        <f>DATA!A185</f>
        <v>133</v>
      </c>
      <c r="B192" s="10">
        <f>DATA!B185</f>
        <v>0</v>
      </c>
      <c r="C192" s="10" t="str">
        <f>DATA!D185</f>
        <v>NON-INFRASTRUKTUR</v>
      </c>
      <c r="D192" s="10">
        <f>DATA!E185</f>
        <v>11</v>
      </c>
      <c r="E192" s="10" t="str">
        <f>DATA!F185</f>
        <v>Kementerian Kesehatan</v>
      </c>
      <c r="F192" s="10" t="str">
        <f>DATA!H185</f>
        <v>Referral Health Services Program</v>
      </c>
      <c r="G192" s="10" t="str">
        <f>DATA!I185</f>
        <v>D</v>
      </c>
      <c r="H192" s="10" t="str">
        <f>DATA!J185</f>
        <v>Program Pelayanan Kesehatan Rujukan</v>
      </c>
      <c r="I192" s="10">
        <f>DATA!K185</f>
        <v>1</v>
      </c>
      <c r="J192" s="33"/>
      <c r="K192" s="34"/>
      <c r="L192" s="35"/>
      <c r="M192" s="36">
        <f>DATA!K185</f>
        <v>1</v>
      </c>
      <c r="N192" s="37" t="str">
        <f>DATA!L185</f>
        <v>Strengthening of National Referral Hospitals, Province Referral Hospital and Vertical Technical Units</v>
      </c>
      <c r="O192" s="20">
        <f>DATA!Q185</f>
        <v>0</v>
      </c>
      <c r="P192" s="20">
        <f>DATA!R185</f>
        <v>1</v>
      </c>
      <c r="Q192" s="20">
        <f>DATA!S185</f>
        <v>107</v>
      </c>
      <c r="R192" s="77">
        <f>DATA!T185</f>
        <v>1255600000</v>
      </c>
      <c r="S192" s="77"/>
      <c r="T192" s="77">
        <f>DATA!V185</f>
        <v>125560000</v>
      </c>
      <c r="U192" s="77">
        <f>DATA!W185</f>
        <v>0</v>
      </c>
      <c r="V192" s="77">
        <f>DATA!X185</f>
        <v>1381160000</v>
      </c>
      <c r="W192" s="78" t="str">
        <f>DATA!Y185</f>
        <v>-</v>
      </c>
      <c r="X192" s="20">
        <f>DATA!Z185</f>
        <v>0</v>
      </c>
      <c r="Y192" s="77">
        <f>DATA!AA185</f>
        <v>1255600000</v>
      </c>
      <c r="Z192" s="77">
        <f>DATA!AG185</f>
        <v>-755600000</v>
      </c>
      <c r="AA192" s="20" t="str">
        <f>DATA!AH185</f>
        <v>-</v>
      </c>
      <c r="AB192" s="37" t="str">
        <f>DATA!AI185</f>
        <v>-</v>
      </c>
      <c r="AC192" s="37"/>
      <c r="AD192" s="37"/>
      <c r="AE192" s="37"/>
      <c r="AF192" s="37"/>
      <c r="AG192" s="37"/>
      <c r="AH192" s="37"/>
      <c r="AI192" s="37"/>
      <c r="AJ192" s="37" t="str">
        <f>DATA!AJ185</f>
        <v>-</v>
      </c>
      <c r="AK192" s="37" t="str">
        <f>DATA!AK185</f>
        <v>-</v>
      </c>
      <c r="AL192" s="37" t="str">
        <f>DATA!AL185</f>
        <v>-</v>
      </c>
      <c r="AM192" s="20" t="str">
        <f>DATA!AM185</f>
        <v>-</v>
      </c>
      <c r="AN192" s="20" t="str">
        <f>DATA!AN185</f>
        <v>-</v>
      </c>
      <c r="AO192" s="20" t="str">
        <f>DATA!AO185</f>
        <v>-</v>
      </c>
      <c r="AP192" s="20" t="str">
        <f>DATA!AP185</f>
        <v>-</v>
      </c>
      <c r="AQ192" s="20" t="str">
        <f>DATA!AY185</f>
        <v>-</v>
      </c>
      <c r="AR192" s="20" t="e">
        <f>DATA!#REF!</f>
        <v>#REF!</v>
      </c>
      <c r="AS192" s="20" t="str">
        <f>DATA!AZ185</f>
        <v>-</v>
      </c>
      <c r="AT192" s="37" t="str">
        <f>DATA!BA185</f>
        <v>-</v>
      </c>
    </row>
    <row r="193" spans="1:46" s="6" customFormat="1" ht="63.75" customHeight="1">
      <c r="A193" s="6">
        <f>DATA!A186</f>
        <v>133</v>
      </c>
      <c r="B193" s="6">
        <f>DATA!B186</f>
        <v>0</v>
      </c>
      <c r="C193" s="6" t="str">
        <f>DATA!D186</f>
        <v>NON-INFRASTRUKTUR</v>
      </c>
      <c r="D193" s="6">
        <f>DATA!E186</f>
        <v>11</v>
      </c>
      <c r="E193" s="6" t="str">
        <f>DATA!F186</f>
        <v>Kementerian Kesehatan</v>
      </c>
      <c r="F193" s="6" t="str">
        <f>DATA!H186</f>
        <v>Referral Health Services Program</v>
      </c>
      <c r="G193" s="6" t="str">
        <f>DATA!I186</f>
        <v>D</v>
      </c>
      <c r="H193" s="6" t="str">
        <f>DATA!J186</f>
        <v>Program Pelayanan Kesehatan Rujukan</v>
      </c>
      <c r="I193" s="6">
        <f>DATA!K186</f>
        <v>1</v>
      </c>
      <c r="J193" s="38"/>
      <c r="K193" s="39"/>
      <c r="L193" s="39"/>
      <c r="M193" s="40"/>
      <c r="N193" s="67" t="str">
        <f>DATA!L186</f>
        <v>Strengthening of National Referral Hospitals, Province Referral Hospital and Vertical Technical Units</v>
      </c>
      <c r="O193" s="42">
        <f>DATA!Q186</f>
        <v>0.33333333333333331</v>
      </c>
      <c r="P193" s="42">
        <f>DATA!R186</f>
        <v>0</v>
      </c>
      <c r="Q193" s="42">
        <f>DATA!S186</f>
        <v>0</v>
      </c>
      <c r="R193" s="83">
        <f>DATA!T186</f>
        <v>0</v>
      </c>
      <c r="S193" s="83"/>
      <c r="T193" s="83">
        <f>DATA!V186</f>
        <v>0</v>
      </c>
      <c r="U193" s="83">
        <f>DATA!W186</f>
        <v>0</v>
      </c>
      <c r="V193" s="83">
        <f>DATA!X186</f>
        <v>0</v>
      </c>
      <c r="W193" s="84" t="str">
        <f>DATA!Y186</f>
        <v>IDB</v>
      </c>
      <c r="X193" s="42" t="str">
        <f>DATA!Z186</f>
        <v>Multilateral</v>
      </c>
      <c r="Y193" s="83">
        <f>DATA!AA186</f>
        <v>250000000</v>
      </c>
      <c r="Z193" s="83">
        <f>DATA!AG186</f>
        <v>0</v>
      </c>
      <c r="AA193" s="42" t="str">
        <f>DATA!AH186</f>
        <v>Tanpa keterangan</v>
      </c>
      <c r="AB193" s="67" t="str">
        <f>DATA!AI186</f>
        <v>-</v>
      </c>
      <c r="AC193" s="67"/>
      <c r="AD193" s="67"/>
      <c r="AE193" s="67"/>
      <c r="AF193" s="67"/>
      <c r="AG193" s="67"/>
      <c r="AH193" s="67"/>
      <c r="AI193" s="67"/>
      <c r="AJ193" s="67" t="str">
        <f>DATA!AJ186</f>
        <v>-</v>
      </c>
      <c r="AK193" s="124" t="str">
        <f>DATA!AK186</f>
        <v>-</v>
      </c>
      <c r="AL193" s="67" t="str">
        <f>DATA!AL186</f>
        <v>-</v>
      </c>
      <c r="AM193" s="42">
        <f>DATA!AM186</f>
        <v>0</v>
      </c>
      <c r="AN193" s="42" t="str">
        <f>DATA!AN186</f>
        <v>belum ada keterangan</v>
      </c>
      <c r="AO193" s="42" t="str">
        <f>DATA!AO186</f>
        <v>belum ada keterangan</v>
      </c>
      <c r="AP193" s="42" t="str">
        <f>DATA!AP186</f>
        <v>belum ada proses tender/lelang</v>
      </c>
      <c r="AQ193" s="42" t="str">
        <f>DATA!AY186</f>
        <v>- (tidak ada data)
- Surat Sekjen nomor PR.02.03/I/1814/2015 tanggal 9 September 2015</v>
      </c>
      <c r="AR193" s="42" t="e">
        <f>DATA!#REF!</f>
        <v>#REF!</v>
      </c>
      <c r="AS193" s="42">
        <f>DATA!AZ186</f>
        <v>0</v>
      </c>
      <c r="AT193" s="67" t="str">
        <f>DATA!BA186</f>
        <v>Meningkatkan sarana dan prasarana di 14 rumah sakit pusat rujukan nasional, 20 rumah sakit rujukan provinsi dan 39 UPT (unit pelaksana teknis) vertikal sebagai pusat rujukan tersier</v>
      </c>
    </row>
    <row r="194" spans="1:46" s="6" customFormat="1" ht="63.75" customHeight="1">
      <c r="A194" s="6">
        <f>DATA!A187</f>
        <v>134</v>
      </c>
      <c r="B194" s="6">
        <f>DATA!B187</f>
        <v>0</v>
      </c>
      <c r="C194" s="6" t="str">
        <f>DATA!D187</f>
        <v>NON-INFRASTRUKTUR</v>
      </c>
      <c r="D194" s="6">
        <f>DATA!E187</f>
        <v>11</v>
      </c>
      <c r="E194" s="6" t="str">
        <f>DATA!F187</f>
        <v>Kementerian Kesehatan</v>
      </c>
      <c r="F194" s="6" t="str">
        <f>DATA!H187</f>
        <v>Referral Health Services Program</v>
      </c>
      <c r="G194" s="6" t="str">
        <f>DATA!I187</f>
        <v>D</v>
      </c>
      <c r="H194" s="6" t="str">
        <f>DATA!J187</f>
        <v>Program Pelayanan Kesehatan Rujukan</v>
      </c>
      <c r="I194" s="6">
        <f>DATA!K187</f>
        <v>1</v>
      </c>
      <c r="J194" s="38"/>
      <c r="K194" s="39"/>
      <c r="L194" s="39"/>
      <c r="M194" s="38"/>
      <c r="N194" s="67" t="str">
        <f>DATA!L187</f>
        <v>Strengthening of National Referral Hospitals, Province Referral Hospital and Vertical Technical Units</v>
      </c>
      <c r="O194" s="42">
        <f>DATA!Q187</f>
        <v>0.33333333333333331</v>
      </c>
      <c r="P194" s="42">
        <f>DATA!R187</f>
        <v>0</v>
      </c>
      <c r="Q194" s="42">
        <f>DATA!S187</f>
        <v>0</v>
      </c>
      <c r="R194" s="83">
        <f>DATA!T187</f>
        <v>0</v>
      </c>
      <c r="S194" s="83"/>
      <c r="T194" s="83">
        <f>DATA!V187</f>
        <v>0</v>
      </c>
      <c r="U194" s="83">
        <f>DATA!W187</f>
        <v>0</v>
      </c>
      <c r="V194" s="83">
        <f>DATA!X187</f>
        <v>0</v>
      </c>
      <c r="W194" s="84" t="str">
        <f>DATA!Y187</f>
        <v>Jerman (KfW)</v>
      </c>
      <c r="X194" s="42" t="str">
        <f>DATA!Z187</f>
        <v>Bilateral</v>
      </c>
      <c r="Y194" s="83">
        <f>DATA!AA187</f>
        <v>250000000</v>
      </c>
      <c r="Z194" s="83">
        <f>DATA!AG187</f>
        <v>0</v>
      </c>
      <c r="AA194" s="42" t="str">
        <f>DATA!AH187</f>
        <v>Tanpa keterangan</v>
      </c>
      <c r="AB194" s="67" t="str">
        <f>DATA!AI187</f>
        <v>-</v>
      </c>
      <c r="AC194" s="67"/>
      <c r="AD194" s="67"/>
      <c r="AE194" s="67"/>
      <c r="AF194" s="67"/>
      <c r="AG194" s="67"/>
      <c r="AH194" s="67"/>
      <c r="AI194" s="67"/>
      <c r="AJ194" s="67" t="str">
        <f>DATA!AJ187</f>
        <v>-</v>
      </c>
      <c r="AK194" s="67" t="str">
        <f>DATA!AK187</f>
        <v>-</v>
      </c>
      <c r="AL194" s="67" t="str">
        <f>DATA!AL187</f>
        <v>-</v>
      </c>
      <c r="AM194" s="42">
        <f>DATA!AM187</f>
        <v>0</v>
      </c>
      <c r="AN194" s="42" t="str">
        <f>DATA!AN187</f>
        <v>belum ada keterangan</v>
      </c>
      <c r="AO194" s="42" t="str">
        <f>DATA!AO187</f>
        <v>belum ada keterangan</v>
      </c>
      <c r="AP194" s="42" t="str">
        <f>DATA!AP187</f>
        <v>belum ada proses tender/lelang</v>
      </c>
      <c r="AQ194" s="42" t="str">
        <f>DATA!AY187</f>
        <v>- Keg ini bukan area prioritas dari Pem. Jerman
- Surat Sekjen nomor PR.02.03/I/1814/2015 tanggal 9 September 2015</v>
      </c>
      <c r="AR194" s="42" t="e">
        <f>DATA!#REF!</f>
        <v>#REF!</v>
      </c>
      <c r="AS194" s="42">
        <f>DATA!AZ187</f>
        <v>0</v>
      </c>
      <c r="AT194" s="67" t="str">
        <f>DATA!BA187</f>
        <v>Meningkatkan sarana dan prasarana di 14 rumah sakit pusat rujukan nasional, 20 rumah sakit rujukan provinsi dan 39 UPT (unit pelaksana teknis) vertikal sebagai pusat rujukan tersier</v>
      </c>
    </row>
    <row r="195" spans="1:46" s="6" customFormat="1" ht="63.75" customHeight="1">
      <c r="A195" s="6">
        <f>DATA!A188</f>
        <v>135</v>
      </c>
      <c r="B195" s="6">
        <f>DATA!B188</f>
        <v>0</v>
      </c>
      <c r="C195" s="6" t="str">
        <f>DATA!D188</f>
        <v>NON-INFRASTRUKTUR</v>
      </c>
      <c r="D195" s="6">
        <f>DATA!E188</f>
        <v>11</v>
      </c>
      <c r="E195" s="6" t="str">
        <f>DATA!F188</f>
        <v>Kementerian Kesehatan</v>
      </c>
      <c r="F195" s="6" t="str">
        <f>DATA!H188</f>
        <v>Referral Health Services Program</v>
      </c>
      <c r="G195" s="6" t="str">
        <f>DATA!I188</f>
        <v>D</v>
      </c>
      <c r="H195" s="6" t="str">
        <f>DATA!J188</f>
        <v>Program Pelayanan Kesehatan Rujukan</v>
      </c>
      <c r="I195" s="6">
        <f>DATA!K188</f>
        <v>1</v>
      </c>
      <c r="J195" s="38"/>
      <c r="K195" s="71"/>
      <c r="L195" s="71"/>
      <c r="M195" s="43"/>
      <c r="N195" s="67" t="str">
        <f>DATA!L188</f>
        <v>Strengthening of National Referral Hospitals, Province Referral Hospital and Vertical Technical Units</v>
      </c>
      <c r="O195" s="42">
        <f>DATA!Q188</f>
        <v>0.33333333333333331</v>
      </c>
      <c r="P195" s="42">
        <f>DATA!R188</f>
        <v>0</v>
      </c>
      <c r="Q195" s="42">
        <f>DATA!S188</f>
        <v>0</v>
      </c>
      <c r="R195" s="83">
        <f>DATA!T188</f>
        <v>0</v>
      </c>
      <c r="S195" s="83"/>
      <c r="T195" s="83">
        <f>DATA!V188</f>
        <v>0</v>
      </c>
      <c r="U195" s="83">
        <f>DATA!W188</f>
        <v>0</v>
      </c>
      <c r="V195" s="83">
        <f>DATA!X188</f>
        <v>0</v>
      </c>
      <c r="W195" s="84" t="str">
        <f>DATA!Y188</f>
        <v>Belum Ada Indikasi</v>
      </c>
      <c r="X195" s="42" t="str">
        <f>DATA!Z188</f>
        <v>Belum Ada Indikasi</v>
      </c>
      <c r="Y195" s="83">
        <f>DATA!AA188</f>
        <v>755600000</v>
      </c>
      <c r="Z195" s="83">
        <f>DATA!AG188</f>
        <v>-755600000</v>
      </c>
      <c r="AA195" s="42" t="str">
        <f>DATA!AH188</f>
        <v>Tanpa keterangan</v>
      </c>
      <c r="AB195" s="67" t="str">
        <f>DATA!AI188</f>
        <v>-</v>
      </c>
      <c r="AC195" s="67"/>
      <c r="AD195" s="67"/>
      <c r="AE195" s="67"/>
      <c r="AF195" s="67"/>
      <c r="AG195" s="67"/>
      <c r="AH195" s="67"/>
      <c r="AI195" s="67"/>
      <c r="AJ195" s="67" t="str">
        <f>DATA!AJ188</f>
        <v>-</v>
      </c>
      <c r="AK195" s="67" t="str">
        <f>DATA!AK188</f>
        <v>-</v>
      </c>
      <c r="AL195" s="67" t="str">
        <f>DATA!AL188</f>
        <v>-</v>
      </c>
      <c r="AM195" s="42">
        <f>DATA!AM188</f>
        <v>0</v>
      </c>
      <c r="AN195" s="42" t="str">
        <f>DATA!AN188</f>
        <v>belum ada keterangan</v>
      </c>
      <c r="AO195" s="42" t="str">
        <f>DATA!AO188</f>
        <v>belum ada keterangan</v>
      </c>
      <c r="AP195" s="42" t="str">
        <f>DATA!AP188</f>
        <v>belum ada proses tender/lelang</v>
      </c>
      <c r="AQ195" s="42" t="str">
        <f>DATA!AY188</f>
        <v>Surat Sekjen nomor PR.02.03/I/1814/2015 tanggal 9 September 2015</v>
      </c>
      <c r="AR195" s="42" t="e">
        <f>DATA!#REF!</f>
        <v>#REF!</v>
      </c>
      <c r="AS195" s="42">
        <f>DATA!AZ188</f>
        <v>0</v>
      </c>
      <c r="AT195" s="67" t="str">
        <f>DATA!BA188</f>
        <v>Meningkatkan sarana dan prasarana di 14 rumah sakit pusat rujukan nasional, 20 rumah sakit rujukan provinsi dan 39 UPT (unit pelaksana teknis) vertikal sebagai pusat rujukan tersier</v>
      </c>
    </row>
    <row r="196" spans="1:46" s="4" customFormat="1" ht="24.95" customHeight="1">
      <c r="J196" s="107"/>
      <c r="K196" s="25">
        <f>DATA!E189</f>
        <v>12</v>
      </c>
      <c r="L196" s="108" t="str">
        <f>DATA!F189</f>
        <v>Pemprov. Aceh</v>
      </c>
      <c r="M196" s="25"/>
      <c r="N196" s="27"/>
      <c r="O196" s="26"/>
      <c r="P196" s="26"/>
      <c r="Q196" s="26"/>
      <c r="R196" s="80">
        <f>+R197</f>
        <v>106800000</v>
      </c>
      <c r="S196" s="80"/>
      <c r="T196" s="80">
        <f t="shared" ref="T196:Z197" si="26">+T197</f>
        <v>10700000</v>
      </c>
      <c r="U196" s="80">
        <f t="shared" si="26"/>
        <v>0</v>
      </c>
      <c r="V196" s="80">
        <f t="shared" si="26"/>
        <v>117500000</v>
      </c>
      <c r="W196" s="80"/>
      <c r="X196" s="80" t="str">
        <f t="shared" si="26"/>
        <v>Bilateral</v>
      </c>
      <c r="Y196" s="80">
        <f t="shared" si="26"/>
        <v>106800000</v>
      </c>
      <c r="Z196" s="80">
        <f t="shared" si="26"/>
        <v>0</v>
      </c>
      <c r="AA196" s="26"/>
      <c r="AB196" s="27"/>
      <c r="AC196" s="27"/>
      <c r="AD196" s="27"/>
      <c r="AE196" s="27"/>
      <c r="AF196" s="27"/>
      <c r="AG196" s="27"/>
      <c r="AH196" s="27"/>
      <c r="AI196" s="27"/>
      <c r="AJ196" s="27"/>
      <c r="AK196" s="27"/>
      <c r="AL196" s="27"/>
      <c r="AM196" s="26"/>
      <c r="AN196" s="26"/>
      <c r="AO196" s="26"/>
      <c r="AP196" s="26"/>
      <c r="AQ196" s="26"/>
      <c r="AR196" s="26"/>
      <c r="AS196" s="26"/>
      <c r="AT196" s="27"/>
    </row>
    <row r="197" spans="1:46" s="5" customFormat="1" ht="33.75" customHeight="1">
      <c r="J197" s="28"/>
      <c r="K197" s="29"/>
      <c r="L197" s="30" t="str">
        <f>DATA!I189</f>
        <v>A</v>
      </c>
      <c r="M197" s="31" t="str">
        <f>DATA!J189</f>
        <v>Program Pelayanan Kesehatan Rujukan</v>
      </c>
      <c r="N197" s="51"/>
      <c r="O197" s="31"/>
      <c r="P197" s="31"/>
      <c r="Q197" s="31"/>
      <c r="R197" s="81">
        <f>+R198</f>
        <v>106800000</v>
      </c>
      <c r="S197" s="81"/>
      <c r="T197" s="81">
        <f t="shared" si="26"/>
        <v>10700000</v>
      </c>
      <c r="U197" s="81">
        <f t="shared" si="26"/>
        <v>0</v>
      </c>
      <c r="V197" s="81">
        <f t="shared" si="26"/>
        <v>117500000</v>
      </c>
      <c r="W197" s="81"/>
      <c r="X197" s="81" t="str">
        <f t="shared" si="26"/>
        <v>Bilateral</v>
      </c>
      <c r="Y197" s="81">
        <f t="shared" si="26"/>
        <v>106800000</v>
      </c>
      <c r="Z197" s="81">
        <f t="shared" si="26"/>
        <v>0</v>
      </c>
      <c r="AA197" s="31"/>
      <c r="AB197" s="32"/>
      <c r="AC197" s="32"/>
      <c r="AD197" s="32"/>
      <c r="AE197" s="32"/>
      <c r="AF197" s="32"/>
      <c r="AG197" s="32"/>
      <c r="AH197" s="32"/>
      <c r="AI197" s="32"/>
      <c r="AJ197" s="32"/>
      <c r="AK197" s="32"/>
      <c r="AL197" s="32"/>
      <c r="AM197" s="31"/>
      <c r="AN197" s="31"/>
      <c r="AO197" s="31"/>
      <c r="AP197" s="31"/>
      <c r="AQ197" s="31"/>
      <c r="AR197" s="31"/>
      <c r="AS197" s="31"/>
      <c r="AT197" s="32"/>
    </row>
    <row r="198" spans="1:46" ht="63.75" customHeight="1">
      <c r="A198" s="10">
        <f>DATA!A189</f>
        <v>136</v>
      </c>
      <c r="B198" s="10">
        <f>DATA!B189</f>
        <v>0</v>
      </c>
      <c r="C198" s="10" t="str">
        <f>DATA!D189</f>
        <v>NON-INFRASTRUKTUR</v>
      </c>
      <c r="D198" s="10">
        <f>DATA!E189</f>
        <v>12</v>
      </c>
      <c r="E198" s="10" t="str">
        <f>DATA!F189</f>
        <v>Pemprov. Aceh</v>
      </c>
      <c r="F198" s="10" t="str">
        <f>DATA!H189</f>
        <v>Health Services Referral Program</v>
      </c>
      <c r="G198" s="10" t="str">
        <f>DATA!I189</f>
        <v>A</v>
      </c>
      <c r="H198" s="10" t="str">
        <f>DATA!J189</f>
        <v>Program Pelayanan Kesehatan Rujukan</v>
      </c>
      <c r="I198" s="10">
        <f>DATA!K189</f>
        <v>1</v>
      </c>
      <c r="J198" s="33"/>
      <c r="K198" s="54"/>
      <c r="L198" s="20"/>
      <c r="M198" s="36">
        <f>DATA!K189</f>
        <v>1</v>
      </c>
      <c r="N198" s="37" t="str">
        <f>DATA!L189</f>
        <v>Reengineering and Improving The Hospital and Referral System in Selected Aceh Districts</v>
      </c>
      <c r="O198" s="20">
        <f>DATA!Q189</f>
        <v>1</v>
      </c>
      <c r="P198" s="20">
        <f>DATA!R189</f>
        <v>1</v>
      </c>
      <c r="Q198" s="20">
        <f>DATA!S189</f>
        <v>108</v>
      </c>
      <c r="R198" s="77">
        <f>DATA!T189</f>
        <v>106800000</v>
      </c>
      <c r="S198" s="77"/>
      <c r="T198" s="77">
        <f>DATA!V189</f>
        <v>10700000</v>
      </c>
      <c r="U198" s="77">
        <f>DATA!W189</f>
        <v>0</v>
      </c>
      <c r="V198" s="77">
        <f>DATA!X189</f>
        <v>117500000</v>
      </c>
      <c r="W198" s="78" t="str">
        <f>DATA!Y189</f>
        <v>Jerman (KfW)</v>
      </c>
      <c r="X198" s="20" t="str">
        <f>DATA!Z189</f>
        <v>Bilateral</v>
      </c>
      <c r="Y198" s="77">
        <f>DATA!AA189</f>
        <v>106800000</v>
      </c>
      <c r="Z198" s="77">
        <f>DATA!AG189</f>
        <v>0</v>
      </c>
      <c r="AA198" s="20" t="str">
        <f>DATA!AH189</f>
        <v>Tanpa keterangan</v>
      </c>
      <c r="AB198" s="37" t="str">
        <f>DATA!AI189</f>
        <v xml:space="preserve">- Sudah ada R/C
- Green Book 2015
</v>
      </c>
      <c r="AC198" s="37"/>
      <c r="AD198" s="37"/>
      <c r="AE198" s="37"/>
      <c r="AF198" s="37"/>
      <c r="AG198" s="37"/>
      <c r="AH198" s="37"/>
      <c r="AI198" s="37"/>
      <c r="AJ198" s="37" t="str">
        <f>DATA!AJ189</f>
        <v>FS, DED</v>
      </c>
      <c r="AK198" s="114">
        <f>DATA!AK189</f>
        <v>1</v>
      </c>
      <c r="AL198" s="37" t="str">
        <f>DATA!AL189</f>
        <v>-</v>
      </c>
      <c r="AM198" s="20" t="str">
        <f>DATA!AM189</f>
        <v>2016; 2015</v>
      </c>
      <c r="AN198" s="20" t="str">
        <f>DATA!AN189</f>
        <v>dalam proses
(memiliki FS dan DED)</v>
      </c>
      <c r="AO198" s="20" t="str">
        <f>DATA!AO189</f>
        <v>siap</v>
      </c>
      <c r="AP198" s="20" t="str">
        <f>DATA!AP189</f>
        <v>belum ada proses tender/lelang</v>
      </c>
      <c r="AQ198" s="20" t="str">
        <f>DATA!AY189</f>
        <v>Surat Kepala Dinas Kesehatan Prov. Aceh nomor 443.02/998/V/2015 tanggal 27 April 2015 tentang penyampaian dokumen kesiapan (RC)</v>
      </c>
      <c r="AR198" s="20" t="e">
        <f>DATA!#REF!</f>
        <v>#REF!</v>
      </c>
      <c r="AS198" s="20">
        <f>DATA!AZ189</f>
        <v>0</v>
      </c>
      <c r="AT198" s="37" t="str">
        <f>DATA!BA189</f>
        <v xml:space="preserve">Pengembangan infrastruktur (pembangunan rumah sakit baru, rehabilitasi rumah sakit lama, dan kantor dinas kesehatan, pengadaan peralatan dan operasional, dan peningkatan SDM rumah sakit </v>
      </c>
    </row>
    <row r="199" spans="1:46" s="4" customFormat="1" ht="24.95" customHeight="1">
      <c r="J199" s="107"/>
      <c r="K199" s="25">
        <f>DATA!E190</f>
        <v>13</v>
      </c>
      <c r="L199" s="108" t="str">
        <f>DATA!F190</f>
        <v>Kementerian Pertanian</v>
      </c>
      <c r="M199" s="25"/>
      <c r="N199" s="27"/>
      <c r="O199" s="26"/>
      <c r="P199" s="26"/>
      <c r="Q199" s="26"/>
      <c r="R199" s="80">
        <f>+R200+R209</f>
        <v>1445742600</v>
      </c>
      <c r="S199" s="80"/>
      <c r="T199" s="80">
        <f t="shared" ref="T199:Z199" si="27">+T200+T209</f>
        <v>154464300</v>
      </c>
      <c r="U199" s="80">
        <f t="shared" si="27"/>
        <v>500000</v>
      </c>
      <c r="V199" s="80">
        <f t="shared" si="27"/>
        <v>1600706900</v>
      </c>
      <c r="W199" s="80"/>
      <c r="X199" s="80" t="e">
        <f t="shared" si="27"/>
        <v>#VALUE!</v>
      </c>
      <c r="Y199" s="80">
        <f t="shared" si="27"/>
        <v>1445742600</v>
      </c>
      <c r="Z199" s="80">
        <f t="shared" si="27"/>
        <v>-746842600</v>
      </c>
      <c r="AA199" s="26"/>
      <c r="AB199" s="27"/>
      <c r="AC199" s="27"/>
      <c r="AD199" s="27"/>
      <c r="AE199" s="27"/>
      <c r="AF199" s="27"/>
      <c r="AG199" s="27"/>
      <c r="AH199" s="27"/>
      <c r="AI199" s="27"/>
      <c r="AJ199" s="27"/>
      <c r="AK199" s="27"/>
      <c r="AL199" s="27"/>
      <c r="AM199" s="26"/>
      <c r="AN199" s="26"/>
      <c r="AO199" s="26"/>
      <c r="AP199" s="26"/>
      <c r="AQ199" s="26"/>
      <c r="AR199" s="26"/>
      <c r="AS199" s="26"/>
      <c r="AT199" s="27"/>
    </row>
    <row r="200" spans="1:46" s="5" customFormat="1" ht="33.75" customHeight="1">
      <c r="J200" s="28"/>
      <c r="K200" s="29"/>
      <c r="L200" s="30" t="str">
        <f>DATA!I190</f>
        <v>A</v>
      </c>
      <c r="M200" s="31" t="str">
        <f>DATA!J190</f>
        <v>Program Penyediaan dan Pengembangan Prasarana dan Sarana Pertanian</v>
      </c>
      <c r="N200" s="51"/>
      <c r="O200" s="31"/>
      <c r="P200" s="31"/>
      <c r="Q200" s="31"/>
      <c r="R200" s="81">
        <f>+R201+R205</f>
        <v>1346842600</v>
      </c>
      <c r="S200" s="81"/>
      <c r="T200" s="81">
        <f t="shared" ref="T200:Z200" si="28">+T201+T205</f>
        <v>134684300</v>
      </c>
      <c r="U200" s="81">
        <f t="shared" si="28"/>
        <v>0</v>
      </c>
      <c r="V200" s="81">
        <f t="shared" si="28"/>
        <v>1481526900</v>
      </c>
      <c r="W200" s="81"/>
      <c r="X200" s="81">
        <f t="shared" si="28"/>
        <v>0</v>
      </c>
      <c r="Y200" s="81">
        <f t="shared" si="28"/>
        <v>1346842600</v>
      </c>
      <c r="Z200" s="81">
        <f t="shared" si="28"/>
        <v>-746842600</v>
      </c>
      <c r="AA200" s="31"/>
      <c r="AB200" s="32"/>
      <c r="AC200" s="32"/>
      <c r="AD200" s="32"/>
      <c r="AE200" s="32"/>
      <c r="AF200" s="32"/>
      <c r="AG200" s="32"/>
      <c r="AH200" s="32"/>
      <c r="AI200" s="32"/>
      <c r="AJ200" s="32"/>
      <c r="AK200" s="32"/>
      <c r="AL200" s="32"/>
      <c r="AM200" s="31"/>
      <c r="AN200" s="31"/>
      <c r="AO200" s="31"/>
      <c r="AP200" s="31"/>
      <c r="AQ200" s="31"/>
      <c r="AR200" s="31"/>
      <c r="AS200" s="31"/>
      <c r="AT200" s="32"/>
    </row>
    <row r="201" spans="1:46" ht="24.75" customHeight="1">
      <c r="A201" s="10">
        <f>DATA!A190</f>
        <v>137</v>
      </c>
      <c r="B201" s="10">
        <f>DATA!B190</f>
        <v>0</v>
      </c>
      <c r="C201" s="10" t="str">
        <f>DATA!D190</f>
        <v>NON-INFRASTRUKTUR</v>
      </c>
      <c r="D201" s="10">
        <f>DATA!E190</f>
        <v>13</v>
      </c>
      <c r="E201" s="10" t="str">
        <f>DATA!F190</f>
        <v>Kementerian Pertanian</v>
      </c>
      <c r="F201" s="10" t="str">
        <f>DATA!H190</f>
        <v>Provision and Development of Agriculture Infrastructure Program</v>
      </c>
      <c r="G201" s="10" t="str">
        <f>DATA!I190</f>
        <v>A</v>
      </c>
      <c r="H201" s="10" t="str">
        <f>DATA!J190</f>
        <v>Program Penyediaan dan Pengembangan Prasarana dan Sarana Pertanian</v>
      </c>
      <c r="I201" s="10">
        <f>DATA!K190</f>
        <v>1</v>
      </c>
      <c r="J201" s="33"/>
      <c r="K201" s="34"/>
      <c r="L201" s="35"/>
      <c r="M201" s="36">
        <f>DATA!K190</f>
        <v>1</v>
      </c>
      <c r="N201" s="37" t="str">
        <f>DATA!L190</f>
        <v>Extensification of New Paddy Field Area</v>
      </c>
      <c r="O201" s="20">
        <f>DATA!Q190</f>
        <v>0</v>
      </c>
      <c r="P201" s="20">
        <f>DATA!R190</f>
        <v>1</v>
      </c>
      <c r="Q201" s="20">
        <f>DATA!S190</f>
        <v>109</v>
      </c>
      <c r="R201" s="77">
        <f>DATA!T190</f>
        <v>811166600</v>
      </c>
      <c r="S201" s="77"/>
      <c r="T201" s="77">
        <f>DATA!V190</f>
        <v>81116700</v>
      </c>
      <c r="U201" s="77">
        <f>DATA!W190</f>
        <v>0</v>
      </c>
      <c r="V201" s="77">
        <f>DATA!X190</f>
        <v>892283300</v>
      </c>
      <c r="W201" s="78" t="str">
        <f>DATA!Y190</f>
        <v>-</v>
      </c>
      <c r="X201" s="20">
        <f>DATA!Z190</f>
        <v>0</v>
      </c>
      <c r="Y201" s="77">
        <f>DATA!AA190</f>
        <v>811166600</v>
      </c>
      <c r="Z201" s="77">
        <f>DATA!AG190</f>
        <v>-461166600</v>
      </c>
      <c r="AA201" s="20" t="str">
        <f>DATA!AH190</f>
        <v>-</v>
      </c>
      <c r="AB201" s="37" t="str">
        <f>DATA!AI190</f>
        <v>-</v>
      </c>
      <c r="AC201" s="37"/>
      <c r="AD201" s="37"/>
      <c r="AE201" s="37"/>
      <c r="AF201" s="37"/>
      <c r="AG201" s="37"/>
      <c r="AH201" s="37"/>
      <c r="AI201" s="37"/>
      <c r="AJ201" s="37" t="str">
        <f>DATA!AJ190</f>
        <v>-</v>
      </c>
      <c r="AK201" s="37" t="str">
        <f>DATA!AK190</f>
        <v>-</v>
      </c>
      <c r="AL201" s="37" t="str">
        <f>DATA!AL190</f>
        <v>-</v>
      </c>
      <c r="AM201" s="20" t="str">
        <f>DATA!AM190</f>
        <v>-</v>
      </c>
      <c r="AN201" s="20" t="str">
        <f>DATA!AN190</f>
        <v>-</v>
      </c>
      <c r="AO201" s="20" t="str">
        <f>DATA!AO190</f>
        <v>-</v>
      </c>
      <c r="AP201" s="20" t="str">
        <f>DATA!AP190</f>
        <v>-</v>
      </c>
      <c r="AQ201" s="20" t="str">
        <f>DATA!AY190</f>
        <v>-</v>
      </c>
      <c r="AR201" s="20" t="e">
        <f>DATA!#REF!</f>
        <v>#REF!</v>
      </c>
      <c r="AS201" s="20">
        <f>DATA!AZ190</f>
        <v>0</v>
      </c>
      <c r="AT201" s="37" t="str">
        <f>DATA!BA190</f>
        <v>-</v>
      </c>
    </row>
    <row r="202" spans="1:46" s="6" customFormat="1" ht="76.5">
      <c r="A202" s="6">
        <f>DATA!A191</f>
        <v>137</v>
      </c>
      <c r="B202" s="6">
        <f>DATA!B191</f>
        <v>0</v>
      </c>
      <c r="C202" s="6" t="str">
        <f>DATA!D191</f>
        <v>NON-INFRASTRUKTUR</v>
      </c>
      <c r="D202" s="6">
        <f>DATA!E191</f>
        <v>13</v>
      </c>
      <c r="E202" s="6" t="str">
        <f>DATA!F191</f>
        <v>Kementerian Pertanian</v>
      </c>
      <c r="F202" s="6" t="str">
        <f>DATA!H191</f>
        <v>Provision and Development of Agriculture Infrastructure Program</v>
      </c>
      <c r="G202" s="6" t="str">
        <f>DATA!I191</f>
        <v>A</v>
      </c>
      <c r="H202" s="6" t="str">
        <f>DATA!J191</f>
        <v>Program Penyediaan dan Pengembangan Prasarana dan Sarana Pertanian</v>
      </c>
      <c r="I202" s="6">
        <f>DATA!K191</f>
        <v>1</v>
      </c>
      <c r="J202" s="38"/>
      <c r="K202" s="39"/>
      <c r="L202" s="39"/>
      <c r="M202" s="40"/>
      <c r="N202" s="67" t="str">
        <f>DATA!L191</f>
        <v>Extensification of New Paddy Field Area</v>
      </c>
      <c r="O202" s="42">
        <f>DATA!Q191</f>
        <v>0.33333333333333331</v>
      </c>
      <c r="P202" s="42">
        <f>DATA!R191</f>
        <v>0</v>
      </c>
      <c r="Q202" s="42">
        <f>DATA!S191</f>
        <v>0</v>
      </c>
      <c r="R202" s="83">
        <f>DATA!T191</f>
        <v>0</v>
      </c>
      <c r="S202" s="83"/>
      <c r="T202" s="83">
        <f>DATA!V191</f>
        <v>0</v>
      </c>
      <c r="U202" s="83">
        <f>DATA!W191</f>
        <v>0</v>
      </c>
      <c r="V202" s="83">
        <f>DATA!X191</f>
        <v>0</v>
      </c>
      <c r="W202" s="84" t="str">
        <f>DATA!Y191</f>
        <v>Bank Dunia</v>
      </c>
      <c r="X202" s="42" t="str">
        <f>DATA!Z191</f>
        <v>Multilateral</v>
      </c>
      <c r="Y202" s="83">
        <f>DATA!AA191</f>
        <v>225000000</v>
      </c>
      <c r="Z202" s="83">
        <f>DATA!AG191</f>
        <v>0</v>
      </c>
      <c r="AA202" s="42" t="str">
        <f>DATA!AH191</f>
        <v>Tanpa keterangan</v>
      </c>
      <c r="AB202" s="67" t="str">
        <f>DATA!AI191</f>
        <v>-</v>
      </c>
      <c r="AC202" s="67"/>
      <c r="AD202" s="67"/>
      <c r="AE202" s="67"/>
      <c r="AF202" s="67"/>
      <c r="AG202" s="67"/>
      <c r="AH202" s="67"/>
      <c r="AI202" s="67"/>
      <c r="AJ202" s="67" t="str">
        <f>DATA!AJ191</f>
        <v xml:space="preserve">TOR </v>
      </c>
      <c r="AK202" s="115">
        <f>DATA!AK191</f>
        <v>0</v>
      </c>
      <c r="AL202" s="67" t="str">
        <f>DATA!AL191</f>
        <v>-</v>
      </c>
      <c r="AM202" s="42">
        <f>DATA!AM191</f>
        <v>0</v>
      </c>
      <c r="AN202" s="42" t="str">
        <f>DATA!AN191</f>
        <v>dalam proses
(penyusunan FS)</v>
      </c>
      <c r="AO202" s="42" t="str">
        <f>DATA!AO191</f>
        <v>belum ada keterangan</v>
      </c>
      <c r="AP202" s="42" t="str">
        <f>DATA!AP191</f>
        <v>belum ada proses tender/lelang</v>
      </c>
      <c r="AQ202" s="42" t="str">
        <f>DATA!AY191</f>
        <v>Surat Plh. Kepala Pusat Kem.Pertanian nomor 246/KL.230/A.6.3/09/2015 tgl 9 September 2015</v>
      </c>
      <c r="AR202" s="42" t="e">
        <f>DATA!#REF!</f>
        <v>#REF!</v>
      </c>
      <c r="AS202" s="42">
        <f>DATA!AZ191</f>
        <v>0</v>
      </c>
      <c r="AT202" s="67" t="str">
        <f>DATA!BA191</f>
        <v>Pembentukan lahan pertanian padi baru di 34 provinsi, meliputi: identifikasi calon petani dan calon lokasi (CPCL), survey/investigasi, penetapan lokasi, penyiapan lahan (land clearing and land leveling), bantuan sarana produksi, dan pertanian untuk budidaya padi.</v>
      </c>
    </row>
    <row r="203" spans="1:46" s="6" customFormat="1" ht="76.5">
      <c r="A203" s="6">
        <f>DATA!A192</f>
        <v>138</v>
      </c>
      <c r="B203" s="6">
        <f>DATA!B192</f>
        <v>0</v>
      </c>
      <c r="C203" s="6" t="str">
        <f>DATA!D192</f>
        <v>NON-INFRASTRUKTUR</v>
      </c>
      <c r="D203" s="6">
        <f>DATA!E192</f>
        <v>13</v>
      </c>
      <c r="E203" s="6" t="str">
        <f>DATA!F192</f>
        <v>Kementerian Pertanian</v>
      </c>
      <c r="F203" s="6" t="str">
        <f>DATA!H192</f>
        <v>Provision and Development of Agriculture Infrastructure Program</v>
      </c>
      <c r="G203" s="6" t="str">
        <f>DATA!I192</f>
        <v>A</v>
      </c>
      <c r="H203" s="6" t="str">
        <f>DATA!J192</f>
        <v>Program Penyediaan dan Pengembangan Prasarana dan Sarana Pertanian</v>
      </c>
      <c r="I203" s="6">
        <f>DATA!K192</f>
        <v>1</v>
      </c>
      <c r="J203" s="38"/>
      <c r="K203" s="39"/>
      <c r="L203" s="39"/>
      <c r="M203" s="38"/>
      <c r="N203" s="67" t="str">
        <f>DATA!L192</f>
        <v>Extensification of New Paddy Field Area</v>
      </c>
      <c r="O203" s="42">
        <f>DATA!Q192</f>
        <v>0.33333333333333331</v>
      </c>
      <c r="P203" s="42">
        <f>DATA!R192</f>
        <v>0</v>
      </c>
      <c r="Q203" s="42">
        <f>DATA!S192</f>
        <v>0</v>
      </c>
      <c r="R203" s="83">
        <f>DATA!T192</f>
        <v>0</v>
      </c>
      <c r="S203" s="83"/>
      <c r="T203" s="83">
        <f>DATA!V192</f>
        <v>0</v>
      </c>
      <c r="U203" s="83">
        <f>DATA!W192</f>
        <v>0</v>
      </c>
      <c r="V203" s="83">
        <f>DATA!X192</f>
        <v>0</v>
      </c>
      <c r="W203" s="84" t="str">
        <f>DATA!Y192</f>
        <v>IDB</v>
      </c>
      <c r="X203" s="42" t="str">
        <f>DATA!Z192</f>
        <v>Multilateral</v>
      </c>
      <c r="Y203" s="83">
        <f>DATA!AA192</f>
        <v>125000000</v>
      </c>
      <c r="Z203" s="83">
        <f>DATA!AG192</f>
        <v>0</v>
      </c>
      <c r="AA203" s="42" t="str">
        <f>DATA!AH192</f>
        <v>Tanpa keterangan</v>
      </c>
      <c r="AB203" s="67" t="str">
        <f>DATA!AI192</f>
        <v>-</v>
      </c>
      <c r="AC203" s="67"/>
      <c r="AD203" s="67"/>
      <c r="AE203" s="67"/>
      <c r="AF203" s="67"/>
      <c r="AG203" s="67"/>
      <c r="AH203" s="67"/>
      <c r="AI203" s="67"/>
      <c r="AJ203" s="67" t="str">
        <f>DATA!AJ192</f>
        <v>-</v>
      </c>
      <c r="AK203" s="115" t="str">
        <f>DATA!AK192</f>
        <v>-</v>
      </c>
      <c r="AL203" s="67" t="str">
        <f>DATA!AL192</f>
        <v>-</v>
      </c>
      <c r="AM203" s="42">
        <f>DATA!AM192</f>
        <v>0</v>
      </c>
      <c r="AN203" s="42" t="str">
        <f>DATA!AN192</f>
        <v>dalam proses
(penyusunan FS)</v>
      </c>
      <c r="AO203" s="42" t="str">
        <f>DATA!AO192</f>
        <v>belum ada keterangan</v>
      </c>
      <c r="AP203" s="42" t="str">
        <f>DATA!AP192</f>
        <v>belum ada proses tender/lelang</v>
      </c>
      <c r="AQ203" s="42" t="str">
        <f>DATA!AY192</f>
        <v>Surat Plh. Kepala Pusat Kem.Pertanian nomor 246/KL.230/A.6.3/09/2015 tgl 9 September 2015</v>
      </c>
      <c r="AR203" s="42" t="e">
        <f>DATA!#REF!</f>
        <v>#REF!</v>
      </c>
      <c r="AS203" s="42">
        <f>DATA!AZ192</f>
        <v>0</v>
      </c>
      <c r="AT203" s="67" t="str">
        <f>DATA!BA192</f>
        <v>Pembentukan lahan pertanian padi baru di 34 provinsi, meliputi: identifikasi calon petani dan calon lokasi (CPCL), survey/investigasi, penetapan lokasi, penyiapan lahan (land clearing and land leveling), bantuan sarana produksi, dan pertanian untuk budidaya padi.</v>
      </c>
    </row>
    <row r="204" spans="1:46" s="6" customFormat="1" ht="76.5">
      <c r="A204" s="6">
        <f>DATA!A193</f>
        <v>139</v>
      </c>
      <c r="B204" s="6">
        <f>DATA!B193</f>
        <v>0</v>
      </c>
      <c r="C204" s="6" t="str">
        <f>DATA!D193</f>
        <v>NON-INFRASTRUKTUR</v>
      </c>
      <c r="D204" s="6">
        <f>DATA!E193</f>
        <v>13</v>
      </c>
      <c r="E204" s="6" t="str">
        <f>DATA!F193</f>
        <v>Kementerian Pertanian</v>
      </c>
      <c r="F204" s="6" t="str">
        <f>DATA!H193</f>
        <v>Provision and Development of Agriculture Infrastructure Program</v>
      </c>
      <c r="G204" s="6" t="str">
        <f>DATA!I193</f>
        <v>A</v>
      </c>
      <c r="H204" s="6" t="str">
        <f>DATA!J193</f>
        <v>Program Penyediaan dan Pengembangan Prasarana dan Sarana Pertanian</v>
      </c>
      <c r="I204" s="6">
        <f>DATA!K193</f>
        <v>1</v>
      </c>
      <c r="J204" s="38"/>
      <c r="K204" s="39"/>
      <c r="L204" s="39"/>
      <c r="M204" s="43"/>
      <c r="N204" s="67" t="str">
        <f>DATA!L193</f>
        <v>Extensification of New Paddy Field Area</v>
      </c>
      <c r="O204" s="42">
        <f>DATA!Q193</f>
        <v>0.33333333333333331</v>
      </c>
      <c r="P204" s="42">
        <f>DATA!R193</f>
        <v>0</v>
      </c>
      <c r="Q204" s="42">
        <f>DATA!S193</f>
        <v>0</v>
      </c>
      <c r="R204" s="83">
        <f>DATA!T193</f>
        <v>0</v>
      </c>
      <c r="S204" s="83"/>
      <c r="T204" s="83">
        <f>DATA!V193</f>
        <v>0</v>
      </c>
      <c r="U204" s="83">
        <f>DATA!W193</f>
        <v>0</v>
      </c>
      <c r="V204" s="83">
        <f>DATA!X193</f>
        <v>0</v>
      </c>
      <c r="W204" s="84" t="str">
        <f>DATA!Y193</f>
        <v>Belum Ada Indikasi</v>
      </c>
      <c r="X204" s="42" t="str">
        <f>DATA!Z193</f>
        <v>Belum Ada Indikasi</v>
      </c>
      <c r="Y204" s="83">
        <f>DATA!AA193</f>
        <v>461166600</v>
      </c>
      <c r="Z204" s="83">
        <f>DATA!AG193</f>
        <v>-461166600</v>
      </c>
      <c r="AA204" s="42" t="str">
        <f>DATA!AH193</f>
        <v>Tanpa keterangan</v>
      </c>
      <c r="AB204" s="67" t="str">
        <f>DATA!AI193</f>
        <v>-</v>
      </c>
      <c r="AC204" s="67"/>
      <c r="AD204" s="67"/>
      <c r="AE204" s="67"/>
      <c r="AF204" s="67"/>
      <c r="AG204" s="67"/>
      <c r="AH204" s="67"/>
      <c r="AI204" s="67"/>
      <c r="AJ204" s="67" t="str">
        <f>DATA!AJ193</f>
        <v>-</v>
      </c>
      <c r="AK204" s="115" t="str">
        <f>DATA!AK193</f>
        <v>-</v>
      </c>
      <c r="AL204" s="67" t="str">
        <f>DATA!AL193</f>
        <v>-</v>
      </c>
      <c r="AM204" s="42">
        <f>DATA!AM193</f>
        <v>0</v>
      </c>
      <c r="AN204" s="42" t="str">
        <f>DATA!AN193</f>
        <v>belum ada keterangan</v>
      </c>
      <c r="AO204" s="42" t="str">
        <f>DATA!AO193</f>
        <v>belum ada keterangan</v>
      </c>
      <c r="AP204" s="42" t="str">
        <f>DATA!AP193</f>
        <v>belum ada proses tender/lelang</v>
      </c>
      <c r="AQ204" s="42" t="str">
        <f>DATA!AY193</f>
        <v>Surat Plh. Kepala Pusat Kem.Pertanian nomor 246/KL.230/A.6.3/09/2015 tgl 9 September 2015</v>
      </c>
      <c r="AR204" s="42" t="e">
        <f>DATA!#REF!</f>
        <v>#REF!</v>
      </c>
      <c r="AS204" s="42">
        <f>DATA!AZ193</f>
        <v>0</v>
      </c>
      <c r="AT204" s="67" t="str">
        <f>DATA!BA193</f>
        <v>Pembentukan lahan pertanian padi baru di 34 provinsi, meliputi: identifikasi calon petani dan calon lokasi (CPCL), survey/investigasi, penetapan lokasi, penyiapan lahan (land clearing and land leveling), bantuan sarana produksi, dan pertanian untuk budidaya padi.</v>
      </c>
    </row>
    <row r="205" spans="1:46" ht="60.75" customHeight="1">
      <c r="A205" s="10">
        <f>DATA!A194</f>
        <v>140</v>
      </c>
      <c r="B205" s="10">
        <f>DATA!B194</f>
        <v>0</v>
      </c>
      <c r="C205" s="10" t="str">
        <f>DATA!D194</f>
        <v>NON-INFRASTRUKTUR</v>
      </c>
      <c r="D205" s="10">
        <f>DATA!E194</f>
        <v>13</v>
      </c>
      <c r="E205" s="10" t="str">
        <f>DATA!F194</f>
        <v>Kementerian Pertanian</v>
      </c>
      <c r="F205" s="10" t="str">
        <f>DATA!H194</f>
        <v>Provision and Development of Agriculture Infrastructure Program</v>
      </c>
      <c r="G205" s="10" t="str">
        <f>DATA!I194</f>
        <v>A</v>
      </c>
      <c r="H205" s="10" t="str">
        <f>DATA!J194</f>
        <v>Program Penyediaan dan Pengembangan Prasarana dan Sarana Pertanian</v>
      </c>
      <c r="I205" s="10">
        <f>DATA!K194</f>
        <v>2</v>
      </c>
      <c r="J205" s="33"/>
      <c r="K205" s="34"/>
      <c r="L205" s="34"/>
      <c r="M205" s="36">
        <f>DATA!K194</f>
        <v>2</v>
      </c>
      <c r="N205" s="37" t="str">
        <f>DATA!L194</f>
        <v>Upland Development for National Food Security</v>
      </c>
      <c r="O205" s="20">
        <f>DATA!Q194</f>
        <v>0</v>
      </c>
      <c r="P205" s="20">
        <f>DATA!R194</f>
        <v>1</v>
      </c>
      <c r="Q205" s="20">
        <f>DATA!S194</f>
        <v>110</v>
      </c>
      <c r="R205" s="77">
        <f>DATA!T194</f>
        <v>535676000</v>
      </c>
      <c r="S205" s="77"/>
      <c r="T205" s="77">
        <f>DATA!V194</f>
        <v>53567600</v>
      </c>
      <c r="U205" s="77">
        <f>DATA!W194</f>
        <v>0</v>
      </c>
      <c r="V205" s="77">
        <f>DATA!X194</f>
        <v>589243600</v>
      </c>
      <c r="W205" s="78" t="str">
        <f>DATA!Y194</f>
        <v>-</v>
      </c>
      <c r="X205" s="20">
        <f>DATA!Z194</f>
        <v>0</v>
      </c>
      <c r="Y205" s="77">
        <f>DATA!AA194</f>
        <v>535676000</v>
      </c>
      <c r="Z205" s="77">
        <f>DATA!AG194</f>
        <v>-285676000</v>
      </c>
      <c r="AA205" s="20" t="str">
        <f>DATA!AH194</f>
        <v>-</v>
      </c>
      <c r="AB205" s="37" t="str">
        <f>DATA!AI194</f>
        <v>-</v>
      </c>
      <c r="AC205" s="37"/>
      <c r="AD205" s="37"/>
      <c r="AE205" s="37"/>
      <c r="AF205" s="37"/>
      <c r="AG205" s="37"/>
      <c r="AH205" s="37"/>
      <c r="AI205" s="37"/>
      <c r="AJ205" s="37" t="str">
        <f>DATA!AJ194</f>
        <v xml:space="preserve">TOR </v>
      </c>
      <c r="AK205" s="115">
        <f>DATA!AK194</f>
        <v>0</v>
      </c>
      <c r="AL205" s="37" t="str">
        <f>DATA!AL194</f>
        <v>-</v>
      </c>
      <c r="AM205" s="20">
        <f>DATA!AM194</f>
        <v>0</v>
      </c>
      <c r="AN205" s="20" t="str">
        <f>DATA!AN194</f>
        <v>-</v>
      </c>
      <c r="AO205" s="20" t="str">
        <f>DATA!AO194</f>
        <v>tanpa keterangan</v>
      </c>
      <c r="AP205" s="20" t="str">
        <f>DATA!AP194</f>
        <v>belum ada proses tender/lelang</v>
      </c>
      <c r="AQ205" s="20" t="str">
        <f>DATA!AY194</f>
        <v>Surat Plh. Kepala Pusat Kem.Pertanian nomor 246/KL.230/A.6.3/09/2015 tgl 9 September 2015</v>
      </c>
      <c r="AR205" s="20" t="e">
        <f>DATA!#REF!</f>
        <v>#REF!</v>
      </c>
      <c r="AS205" s="20">
        <f>DATA!AZ194</f>
        <v>0</v>
      </c>
      <c r="AT205" s="37" t="str">
        <f>DATA!BA194</f>
        <v>Rencana penggunaan lahan di dataran tinggi berdasarkan kesesuaiannya, konservasi lahan dan air di dataran tinggi, dan budidaya pertanian ramah lingkungan untuk dataran tinggi</v>
      </c>
    </row>
    <row r="206" spans="1:46" s="6" customFormat="1" ht="61.5" customHeight="1">
      <c r="A206" s="6">
        <f>DATA!A195</f>
        <v>140</v>
      </c>
      <c r="B206" s="6">
        <f>DATA!B195</f>
        <v>0</v>
      </c>
      <c r="C206" s="6" t="str">
        <f>DATA!D195</f>
        <v>NON-INFRASTRUKTUR</v>
      </c>
      <c r="D206" s="6">
        <f>DATA!E195</f>
        <v>13</v>
      </c>
      <c r="E206" s="6" t="str">
        <f>DATA!F195</f>
        <v>Kementerian Pertanian</v>
      </c>
      <c r="F206" s="6" t="str">
        <f>DATA!H195</f>
        <v>Provision and Development of Agriculture Infrastructure Program</v>
      </c>
      <c r="G206" s="6" t="str">
        <f>DATA!I195</f>
        <v>A</v>
      </c>
      <c r="H206" s="6" t="str">
        <f>DATA!J195</f>
        <v>Program Penyediaan dan Pengembangan Prasarana dan Sarana Pertanian</v>
      </c>
      <c r="I206" s="6">
        <f>DATA!K195</f>
        <v>2</v>
      </c>
      <c r="J206" s="38"/>
      <c r="K206" s="39"/>
      <c r="L206" s="39"/>
      <c r="M206" s="40"/>
      <c r="N206" s="67" t="str">
        <f>DATA!L195</f>
        <v>Upland Development for National Food Security</v>
      </c>
      <c r="O206" s="42">
        <f>DATA!Q195</f>
        <v>0.33333333333333331</v>
      </c>
      <c r="P206" s="42">
        <f>DATA!R195</f>
        <v>0</v>
      </c>
      <c r="Q206" s="42">
        <f>DATA!S195</f>
        <v>0</v>
      </c>
      <c r="R206" s="83">
        <f>DATA!T195</f>
        <v>0</v>
      </c>
      <c r="S206" s="83"/>
      <c r="T206" s="83">
        <f>DATA!V195</f>
        <v>0</v>
      </c>
      <c r="U206" s="83">
        <f>DATA!W195</f>
        <v>0</v>
      </c>
      <c r="V206" s="83">
        <f>DATA!X195</f>
        <v>0</v>
      </c>
      <c r="W206" s="84" t="str">
        <f>DATA!Y195</f>
        <v>Bank Dunia</v>
      </c>
      <c r="X206" s="42" t="str">
        <f>DATA!Z195</f>
        <v>Multilateral</v>
      </c>
      <c r="Y206" s="83">
        <f>DATA!AA195</f>
        <v>125000000</v>
      </c>
      <c r="Z206" s="83">
        <f>DATA!AG195</f>
        <v>0</v>
      </c>
      <c r="AA206" s="42" t="str">
        <f>DATA!AH195</f>
        <v>Tanpa keterangan</v>
      </c>
      <c r="AB206" s="67" t="str">
        <f>DATA!AI195</f>
        <v>-</v>
      </c>
      <c r="AC206" s="67"/>
      <c r="AD206" s="67"/>
      <c r="AE206" s="67"/>
      <c r="AF206" s="67"/>
      <c r="AG206" s="67"/>
      <c r="AH206" s="67"/>
      <c r="AI206" s="67"/>
      <c r="AJ206" s="67" t="str">
        <f>DATA!AJ195</f>
        <v xml:space="preserve">TOR </v>
      </c>
      <c r="AK206" s="115">
        <f>DATA!AK195</f>
        <v>0</v>
      </c>
      <c r="AL206" s="67" t="str">
        <f>DATA!AL195</f>
        <v>-</v>
      </c>
      <c r="AM206" s="42">
        <f>DATA!AM195</f>
        <v>0</v>
      </c>
      <c r="AN206" s="42" t="str">
        <f>DATA!AN195</f>
        <v>dalam proses
(penyusunan FS)</v>
      </c>
      <c r="AO206" s="42" t="str">
        <f>DATA!AO195</f>
        <v>belum ada keterangan</v>
      </c>
      <c r="AP206" s="42" t="str">
        <f>DATA!AP195</f>
        <v>belum ada proses tender/lelang</v>
      </c>
      <c r="AQ206" s="42" t="str">
        <f>DATA!AY195</f>
        <v>Surat Plh. Kepala Pusat Kem.Pertanian nomor 246/KL.230/A.6.3/09/2015 tgl 9 September 2015</v>
      </c>
      <c r="AR206" s="42" t="e">
        <f>DATA!#REF!</f>
        <v>#REF!</v>
      </c>
      <c r="AS206" s="42">
        <f>DATA!AZ195</f>
        <v>0</v>
      </c>
      <c r="AT206" s="67" t="str">
        <f>DATA!BA195</f>
        <v>Rencana penggunaan lahan di dataran tinggi berdasarkan kesesuaiannya, konservasi lahan dan air di dataran tinggi, dan budidaya pertanian ramah lingkungan untuk dataran tinggi</v>
      </c>
    </row>
    <row r="207" spans="1:46" s="6" customFormat="1" ht="51">
      <c r="A207" s="6">
        <f>DATA!A196</f>
        <v>141</v>
      </c>
      <c r="B207" s="6">
        <f>DATA!B196</f>
        <v>0</v>
      </c>
      <c r="C207" s="6" t="str">
        <f>DATA!D196</f>
        <v>NON-INFRASTRUKTUR</v>
      </c>
      <c r="D207" s="6">
        <f>DATA!E196</f>
        <v>13</v>
      </c>
      <c r="E207" s="6" t="str">
        <f>DATA!F196</f>
        <v>Kementerian Pertanian</v>
      </c>
      <c r="F207" s="6" t="str">
        <f>DATA!H196</f>
        <v>Provision and Development of Agriculture Infrastructure Program</v>
      </c>
      <c r="G207" s="6" t="str">
        <f>DATA!I196</f>
        <v>A</v>
      </c>
      <c r="H207" s="6" t="str">
        <f>DATA!J196</f>
        <v>Program Penyediaan dan Pengembangan Prasarana dan Sarana Pertanian</v>
      </c>
      <c r="I207" s="6">
        <f>DATA!K196</f>
        <v>2</v>
      </c>
      <c r="J207" s="38"/>
      <c r="K207" s="39"/>
      <c r="L207" s="39"/>
      <c r="M207" s="38"/>
      <c r="N207" s="67" t="str">
        <f>DATA!L196</f>
        <v>Upland Development for National Food Security</v>
      </c>
      <c r="O207" s="42">
        <f>DATA!Q196</f>
        <v>0.33333333333333331</v>
      </c>
      <c r="P207" s="42">
        <f>DATA!R196</f>
        <v>0</v>
      </c>
      <c r="Q207" s="42">
        <f>DATA!S196</f>
        <v>0</v>
      </c>
      <c r="R207" s="83">
        <f>DATA!T196</f>
        <v>0</v>
      </c>
      <c r="S207" s="83"/>
      <c r="T207" s="83">
        <f>DATA!V196</f>
        <v>0</v>
      </c>
      <c r="U207" s="83">
        <f>DATA!W196</f>
        <v>0</v>
      </c>
      <c r="V207" s="83">
        <f>DATA!X196</f>
        <v>0</v>
      </c>
      <c r="W207" s="84" t="str">
        <f>DATA!Y196</f>
        <v>IDB</v>
      </c>
      <c r="X207" s="42" t="str">
        <f>DATA!Z196</f>
        <v>Multilateral</v>
      </c>
      <c r="Y207" s="83">
        <f>DATA!AA196</f>
        <v>125000000</v>
      </c>
      <c r="Z207" s="83">
        <f>DATA!AG196</f>
        <v>0</v>
      </c>
      <c r="AA207" s="42" t="str">
        <f>DATA!AH196</f>
        <v>Tanpa keterangan</v>
      </c>
      <c r="AB207" s="67" t="str">
        <f>DATA!AI196</f>
        <v>-</v>
      </c>
      <c r="AC207" s="67"/>
      <c r="AD207" s="67"/>
      <c r="AE207" s="67"/>
      <c r="AF207" s="67"/>
      <c r="AG207" s="67"/>
      <c r="AH207" s="67"/>
      <c r="AI207" s="67"/>
      <c r="AJ207" s="67" t="str">
        <f>DATA!AJ196</f>
        <v>-</v>
      </c>
      <c r="AK207" s="115" t="str">
        <f>DATA!AK196</f>
        <v>-</v>
      </c>
      <c r="AL207" s="67" t="str">
        <f>DATA!AL196</f>
        <v>-</v>
      </c>
      <c r="AM207" s="42">
        <f>DATA!AM196</f>
        <v>0</v>
      </c>
      <c r="AN207" s="42" t="str">
        <f>DATA!AN196</f>
        <v>dalam proses
(penyusunan FS)</v>
      </c>
      <c r="AO207" s="42" t="str">
        <f>DATA!AO196</f>
        <v>belum ada keterangan</v>
      </c>
      <c r="AP207" s="42" t="str">
        <f>DATA!AP196</f>
        <v>belum ada proses tender/lelang</v>
      </c>
      <c r="AQ207" s="42" t="str">
        <f>DATA!AY196</f>
        <v>Surat Plh. Kepala Pusat Kem.Pertanian nomor 246/KL.230/A.6.3/09/2015 tgl 9 September 2015</v>
      </c>
      <c r="AR207" s="42" t="e">
        <f>DATA!#REF!</f>
        <v>#REF!</v>
      </c>
      <c r="AS207" s="42">
        <f>DATA!AZ196</f>
        <v>0</v>
      </c>
      <c r="AT207" s="67" t="str">
        <f>DATA!BA196</f>
        <v>Rencana penggunaan lahan di dataran tinggi berdasarkan kesesuaiannya, konservasi lahan dan air di dataran tinggi, dan budidaya pertanian ramah lingkungan untuk dataran tinggi</v>
      </c>
    </row>
    <row r="208" spans="1:46" s="6" customFormat="1" ht="65.25" customHeight="1">
      <c r="A208" s="6">
        <f>DATA!A197</f>
        <v>142</v>
      </c>
      <c r="B208" s="6">
        <f>DATA!B197</f>
        <v>0</v>
      </c>
      <c r="C208" s="6" t="str">
        <f>DATA!D197</f>
        <v>NON-INFRASTRUKTUR</v>
      </c>
      <c r="D208" s="6">
        <f>DATA!E197</f>
        <v>13</v>
      </c>
      <c r="E208" s="6" t="str">
        <f>DATA!F197</f>
        <v>Kementerian Pertanian</v>
      </c>
      <c r="F208" s="6" t="str">
        <f>DATA!H197</f>
        <v>Provision and Development of Agriculture Infrastructure Program</v>
      </c>
      <c r="G208" s="6" t="str">
        <f>DATA!I197</f>
        <v>A</v>
      </c>
      <c r="H208" s="6" t="str">
        <f>DATA!J197</f>
        <v>Program Penyediaan dan Pengembangan Prasarana dan Sarana Pertanian</v>
      </c>
      <c r="I208" s="6">
        <f>DATA!K197</f>
        <v>2</v>
      </c>
      <c r="J208" s="38"/>
      <c r="K208" s="39"/>
      <c r="L208" s="71"/>
      <c r="M208" s="43"/>
      <c r="N208" s="67" t="str">
        <f>DATA!L197</f>
        <v>Upland Development for National Food Security</v>
      </c>
      <c r="O208" s="42">
        <f>DATA!Q197</f>
        <v>0.33333333333333331</v>
      </c>
      <c r="P208" s="42">
        <f>DATA!R197</f>
        <v>0</v>
      </c>
      <c r="Q208" s="42">
        <f>DATA!S197</f>
        <v>0</v>
      </c>
      <c r="R208" s="83">
        <f>DATA!T197</f>
        <v>0</v>
      </c>
      <c r="S208" s="83"/>
      <c r="T208" s="83">
        <f>DATA!V197</f>
        <v>0</v>
      </c>
      <c r="U208" s="83">
        <f>DATA!W197</f>
        <v>0</v>
      </c>
      <c r="V208" s="83">
        <f>DATA!X197</f>
        <v>0</v>
      </c>
      <c r="W208" s="84" t="str">
        <f>DATA!Y197</f>
        <v>Belum Ada Indikasi</v>
      </c>
      <c r="X208" s="42" t="str">
        <f>DATA!Z197</f>
        <v>Belum Ada Indikasi</v>
      </c>
      <c r="Y208" s="83">
        <f>DATA!AA197</f>
        <v>285676000</v>
      </c>
      <c r="Z208" s="83">
        <f>DATA!AG197</f>
        <v>-285676000</v>
      </c>
      <c r="AA208" s="42" t="str">
        <f>DATA!AH197</f>
        <v>Tanpa keterangan</v>
      </c>
      <c r="AB208" s="67" t="str">
        <f>DATA!AI197</f>
        <v>-</v>
      </c>
      <c r="AC208" s="67"/>
      <c r="AD208" s="67"/>
      <c r="AE208" s="67"/>
      <c r="AF208" s="67"/>
      <c r="AG208" s="67"/>
      <c r="AH208" s="67"/>
      <c r="AI208" s="67"/>
      <c r="AJ208" s="67" t="str">
        <f>DATA!AJ197</f>
        <v>-</v>
      </c>
      <c r="AK208" s="115" t="str">
        <f>DATA!AK197</f>
        <v>-</v>
      </c>
      <c r="AL208" s="67" t="str">
        <f>DATA!AL197</f>
        <v>-</v>
      </c>
      <c r="AM208" s="42">
        <f>DATA!AM197</f>
        <v>0</v>
      </c>
      <c r="AN208" s="42" t="str">
        <f>DATA!AN197</f>
        <v>belum ada keterangan</v>
      </c>
      <c r="AO208" s="42" t="str">
        <f>DATA!AO197</f>
        <v>belum ada keterangan</v>
      </c>
      <c r="AP208" s="42" t="str">
        <f>DATA!AP197</f>
        <v>belum ada proses tender/lelang</v>
      </c>
      <c r="AQ208" s="42" t="str">
        <f>DATA!AY197</f>
        <v>Surat Plh. Kepala Pusat Kem.Pertanian nomor 246/KL.230/A.6.3/09/2015 tgl 9 September 2015</v>
      </c>
      <c r="AR208" s="42" t="e">
        <f>DATA!#REF!</f>
        <v>#REF!</v>
      </c>
      <c r="AS208" s="42">
        <f>DATA!AZ197</f>
        <v>0</v>
      </c>
      <c r="AT208" s="67" t="str">
        <f>DATA!BA197</f>
        <v>Rencana penggunaan lahan di dataran tinggi berdasarkan kesesuaiannya, konservasi lahan dan air di dataran tinggi, dan budidaya pertanian ramah lingkungan untuk dataran tinggi</v>
      </c>
    </row>
    <row r="209" spans="1:46" s="5" customFormat="1" ht="33.75" customHeight="1">
      <c r="J209" s="28"/>
      <c r="K209" s="50"/>
      <c r="L209" s="30" t="str">
        <f>DATA!I198</f>
        <v>B</v>
      </c>
      <c r="M209" s="31" t="str">
        <f>DATA!J198</f>
        <v>Program Peningkatan Penyuluhan, Pendidikan, dan Pelatihan Pertanian</v>
      </c>
      <c r="N209" s="51"/>
      <c r="O209" s="31"/>
      <c r="P209" s="31"/>
      <c r="Q209" s="31"/>
      <c r="R209" s="81">
        <f>+R210+R211</f>
        <v>98900000</v>
      </c>
      <c r="S209" s="81"/>
      <c r="T209" s="81">
        <f t="shared" ref="T209:Z209" si="29">+T210+T211</f>
        <v>19780000</v>
      </c>
      <c r="U209" s="81">
        <f t="shared" si="29"/>
        <v>500000</v>
      </c>
      <c r="V209" s="81">
        <f t="shared" si="29"/>
        <v>119180000</v>
      </c>
      <c r="W209" s="81"/>
      <c r="X209" s="81" t="e">
        <f t="shared" si="29"/>
        <v>#VALUE!</v>
      </c>
      <c r="Y209" s="81">
        <f t="shared" si="29"/>
        <v>98900000</v>
      </c>
      <c r="Z209" s="81">
        <f t="shared" si="29"/>
        <v>0</v>
      </c>
      <c r="AA209" s="31"/>
      <c r="AB209" s="32"/>
      <c r="AC209" s="32"/>
      <c r="AD209" s="32"/>
      <c r="AE209" s="32"/>
      <c r="AF209" s="32"/>
      <c r="AG209" s="32"/>
      <c r="AH209" s="32"/>
      <c r="AI209" s="32"/>
      <c r="AJ209" s="32"/>
      <c r="AK209" s="115" t="str">
        <f>DATA!AK198</f>
        <v>-</v>
      </c>
      <c r="AL209" s="32"/>
      <c r="AM209" s="31"/>
      <c r="AN209" s="31"/>
      <c r="AO209" s="31"/>
      <c r="AP209" s="31"/>
      <c r="AQ209" s="31"/>
      <c r="AR209" s="31"/>
      <c r="AS209" s="31"/>
      <c r="AT209" s="32"/>
    </row>
    <row r="210" spans="1:46" ht="106.5" customHeight="1">
      <c r="A210" s="10">
        <f>DATA!A198</f>
        <v>143</v>
      </c>
      <c r="B210" s="10">
        <f>DATA!B198</f>
        <v>0</v>
      </c>
      <c r="C210" s="10" t="str">
        <f>DATA!D198</f>
        <v>NON-INFRASTRUKTUR</v>
      </c>
      <c r="D210" s="10">
        <f>DATA!E198</f>
        <v>13</v>
      </c>
      <c r="E210" s="10" t="str">
        <f>DATA!F198</f>
        <v>Kementerian Pertanian</v>
      </c>
      <c r="F210" s="10" t="str">
        <f>DATA!H198</f>
        <v>Agriculture Extention, Education, and Training Improvement Program</v>
      </c>
      <c r="G210" s="10" t="str">
        <f>DATA!I198</f>
        <v>B</v>
      </c>
      <c r="H210" s="10" t="str">
        <f>DATA!J198</f>
        <v>Program Peningkatan Penyuluhan, Pendidikan, dan Pelatihan Pertanian</v>
      </c>
      <c r="I210" s="10">
        <f>DATA!K198</f>
        <v>1</v>
      </c>
      <c r="J210" s="33"/>
      <c r="K210" s="34"/>
      <c r="L210" s="35"/>
      <c r="M210" s="36">
        <f>DATA!K198</f>
        <v>1</v>
      </c>
      <c r="N210" s="37" t="str">
        <f>DATA!L198</f>
        <v>Young Enterpreneur Growth and Development for Sustainable Agricultural Development</v>
      </c>
      <c r="O210" s="20">
        <f>DATA!Q198</f>
        <v>1</v>
      </c>
      <c r="P210" s="20">
        <f>DATA!R198</f>
        <v>1</v>
      </c>
      <c r="Q210" s="20">
        <f>DATA!S198</f>
        <v>111</v>
      </c>
      <c r="R210" s="77">
        <f>DATA!T198</f>
        <v>68900000</v>
      </c>
      <c r="S210" s="77"/>
      <c r="T210" s="77">
        <f>DATA!V198</f>
        <v>13780000</v>
      </c>
      <c r="U210" s="77">
        <f>DATA!W198</f>
        <v>0</v>
      </c>
      <c r="V210" s="77">
        <f>DATA!X198</f>
        <v>82680000</v>
      </c>
      <c r="W210" s="78" t="str">
        <f>DATA!Y198</f>
        <v>IFAD</v>
      </c>
      <c r="X210" s="20" t="str">
        <f>DATA!Z198</f>
        <v>Multilateral</v>
      </c>
      <c r="Y210" s="77">
        <f>DATA!AA198</f>
        <v>68900000</v>
      </c>
      <c r="Z210" s="77">
        <f>DATA!AG198</f>
        <v>0</v>
      </c>
      <c r="AA210" s="20" t="str">
        <f>DATA!AH198</f>
        <v>Tanpa keterangan</v>
      </c>
      <c r="AB210" s="37" t="str">
        <f>DATA!AI198</f>
        <v>Dalam tahap diskusi awal dengan pihak lender untuk penyempurnaan proposal</v>
      </c>
      <c r="AC210" s="37"/>
      <c r="AD210" s="37"/>
      <c r="AE210" s="37"/>
      <c r="AF210" s="37"/>
      <c r="AG210" s="37"/>
      <c r="AH210" s="37"/>
      <c r="AI210" s="37"/>
      <c r="AJ210" s="37" t="str">
        <f>DATA!AJ198</f>
        <v>-</v>
      </c>
      <c r="AK210" s="115" t="str">
        <f>DATA!AK199</f>
        <v>-</v>
      </c>
      <c r="AL210" s="37" t="str">
        <f>DATA!AL198</f>
        <v>-</v>
      </c>
      <c r="AM210" s="20">
        <f>DATA!AM198</f>
        <v>0</v>
      </c>
      <c r="AN210" s="20" t="str">
        <f>DATA!AN198</f>
        <v>belum ada keterangan</v>
      </c>
      <c r="AO210" s="20" t="str">
        <f>DATA!AO198</f>
        <v>belum ada keterangan</v>
      </c>
      <c r="AP210" s="20" t="str">
        <f>DATA!AP198</f>
        <v>belum ada proses tender/lelang</v>
      </c>
      <c r="AQ210" s="20" t="str">
        <f>DATA!AY198</f>
        <v>Surat Plh. Kepala Pusat Kem.Pertanian nomor 246/KL.230/A.6.3/09/2015 tgl 9 September 2015</v>
      </c>
      <c r="AR210" s="20" t="e">
        <f>DATA!#REF!</f>
        <v>#REF!</v>
      </c>
      <c r="AS210" s="20">
        <f>DATA!AZ198</f>
        <v>0</v>
      </c>
      <c r="AT210" s="37"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row>
    <row r="211" spans="1:46" ht="63.75">
      <c r="A211" s="10">
        <f>DATA!A199</f>
        <v>144</v>
      </c>
      <c r="B211" s="10">
        <f>DATA!B199</f>
        <v>0</v>
      </c>
      <c r="C211" s="10" t="str">
        <f>DATA!D199</f>
        <v>NON-INFRASTRUKTUR</v>
      </c>
      <c r="D211" s="10">
        <f>DATA!E199</f>
        <v>13</v>
      </c>
      <c r="E211" s="10" t="str">
        <f>DATA!F199</f>
        <v>Kementerian Pertanian</v>
      </c>
      <c r="F211" s="10" t="str">
        <f>DATA!H199</f>
        <v>Agriculture Extention, Education, and Training Improvement Program</v>
      </c>
      <c r="G211" s="10" t="str">
        <f>DATA!I199</f>
        <v>B</v>
      </c>
      <c r="H211" s="10" t="str">
        <f>DATA!J199</f>
        <v>Program Peningkatan Penyuluhan, Pendidikan, dan Pelatihan Pertanian</v>
      </c>
      <c r="I211" s="10">
        <f>DATA!K199</f>
        <v>2</v>
      </c>
      <c r="J211" s="33"/>
      <c r="K211" s="54"/>
      <c r="L211" s="54"/>
      <c r="M211" s="36">
        <f>DATA!K199</f>
        <v>2</v>
      </c>
      <c r="N211" s="37" t="str">
        <f>DATA!L199</f>
        <v>Rural Empowerment and Agricultural Development (READ) Programme in Sulawesi Island – Phase II</v>
      </c>
      <c r="O211" s="20">
        <f>DATA!Q199</f>
        <v>1</v>
      </c>
      <c r="P211" s="20">
        <f>DATA!R199</f>
        <v>1</v>
      </c>
      <c r="Q211" s="20">
        <f>DATA!S199</f>
        <v>112</v>
      </c>
      <c r="R211" s="77">
        <f>DATA!T199</f>
        <v>30000000</v>
      </c>
      <c r="S211" s="77"/>
      <c r="T211" s="77">
        <f>DATA!V199</f>
        <v>6000000</v>
      </c>
      <c r="U211" s="77">
        <f>DATA!W199</f>
        <v>500000</v>
      </c>
      <c r="V211" s="77">
        <f>DATA!X199</f>
        <v>36500000</v>
      </c>
      <c r="W211" s="78" t="str">
        <f>DATA!Y199</f>
        <v>IFAD</v>
      </c>
      <c r="X211" s="20" t="str">
        <f>DATA!Z199</f>
        <v>Multilateral</v>
      </c>
      <c r="Y211" s="77">
        <f>DATA!AA199</f>
        <v>30000000</v>
      </c>
      <c r="Z211" s="77">
        <f>DATA!AG199</f>
        <v>0</v>
      </c>
      <c r="AA211" s="20" t="str">
        <f>DATA!AH199</f>
        <v>Tanpa keterangan</v>
      </c>
      <c r="AB211" s="37" t="str">
        <f>DATA!AI199</f>
        <v>Dalam tahap diskusi awal dengan pihak lender untuk penyempurnaan proposal</v>
      </c>
      <c r="AC211" s="37"/>
      <c r="AD211" s="37"/>
      <c r="AE211" s="37"/>
      <c r="AF211" s="37"/>
      <c r="AG211" s="37"/>
      <c r="AH211" s="37"/>
      <c r="AI211" s="37"/>
      <c r="AJ211" s="37" t="str">
        <f>DATA!AJ199</f>
        <v>-</v>
      </c>
      <c r="AK211" s="115" t="str">
        <f>DATA!AK200</f>
        <v>-</v>
      </c>
      <c r="AL211" s="37" t="str">
        <f>DATA!AL199</f>
        <v>-</v>
      </c>
      <c r="AM211" s="20">
        <f>DATA!AM199</f>
        <v>0</v>
      </c>
      <c r="AN211" s="20" t="str">
        <f>DATA!AN199</f>
        <v>belum ada keterangan</v>
      </c>
      <c r="AO211" s="20" t="str">
        <f>DATA!AO199</f>
        <v>belum ada keterangan</v>
      </c>
      <c r="AP211" s="20" t="str">
        <f>DATA!AP199</f>
        <v>belum ada proses tender/lelang</v>
      </c>
      <c r="AQ211" s="20" t="str">
        <f>DATA!AY199</f>
        <v>Surat Plh. Kepala Pusat Kem.Pertanian nomor 246/KL.230/A.6.3/09/2015 tgl 9 September 2015</v>
      </c>
      <c r="AR211" s="20" t="e">
        <f>DATA!#REF!</f>
        <v>#REF!</v>
      </c>
      <c r="AS211" s="20">
        <f>DATA!AZ199</f>
        <v>0</v>
      </c>
      <c r="AT211" s="37" t="str">
        <f>DATA!BA199</f>
        <v>Pemberdayaan masyarakat petani, peningkatan mata pencaharian, dan pembangunan infrastruktur pertanian</v>
      </c>
    </row>
    <row r="212" spans="1:46" s="4" customFormat="1" ht="24.95" customHeight="1">
      <c r="J212" s="107"/>
      <c r="K212" s="25">
        <f>DATA!E200</f>
        <v>14</v>
      </c>
      <c r="L212" s="108" t="str">
        <f>DATA!F200</f>
        <v>Kementerian Ketenagakerjaan</v>
      </c>
      <c r="M212" s="25"/>
      <c r="N212" s="27"/>
      <c r="O212" s="26"/>
      <c r="P212" s="26"/>
      <c r="Q212" s="26"/>
      <c r="R212" s="80">
        <f>+R213</f>
        <v>92308000</v>
      </c>
      <c r="S212" s="80"/>
      <c r="T212" s="80">
        <f t="shared" ref="T212:Z213" si="30">+T213</f>
        <v>2500000</v>
      </c>
      <c r="U212" s="80">
        <f t="shared" si="30"/>
        <v>0</v>
      </c>
      <c r="V212" s="80">
        <f t="shared" si="30"/>
        <v>94808000</v>
      </c>
      <c r="W212" s="120" t="str">
        <f t="shared" si="30"/>
        <v>-</v>
      </c>
      <c r="X212" s="80" t="str">
        <f t="shared" si="30"/>
        <v>Multi Lender</v>
      </c>
      <c r="Y212" s="80">
        <f t="shared" si="30"/>
        <v>92308000</v>
      </c>
      <c r="Z212" s="80">
        <f t="shared" si="30"/>
        <v>0</v>
      </c>
      <c r="AA212" s="26"/>
      <c r="AB212" s="27"/>
      <c r="AC212" s="27"/>
      <c r="AD212" s="27"/>
      <c r="AE212" s="27"/>
      <c r="AF212" s="27"/>
      <c r="AG212" s="27"/>
      <c r="AH212" s="27"/>
      <c r="AI212" s="27"/>
      <c r="AJ212" s="27"/>
      <c r="AK212" s="27"/>
      <c r="AL212" s="27"/>
      <c r="AM212" s="26"/>
      <c r="AN212" s="26"/>
      <c r="AO212" s="26"/>
      <c r="AP212" s="26"/>
      <c r="AQ212" s="26"/>
      <c r="AR212" s="26"/>
      <c r="AS212" s="26"/>
      <c r="AT212" s="27"/>
    </row>
    <row r="213" spans="1:46" s="5" customFormat="1" ht="33.75" customHeight="1">
      <c r="J213" s="28"/>
      <c r="K213" s="29"/>
      <c r="L213" s="30" t="str">
        <f>DATA!I206</f>
        <v>A</v>
      </c>
      <c r="M213" s="31" t="str">
        <f>DATA!J206</f>
        <v>Program Pengembangan dan Pembinaan Meteorologi, Klimatologi, dan Geofisika</v>
      </c>
      <c r="N213" s="51"/>
      <c r="O213" s="31"/>
      <c r="P213" s="31"/>
      <c r="Q213" s="31"/>
      <c r="R213" s="81">
        <f>+R214</f>
        <v>92308000</v>
      </c>
      <c r="S213" s="81"/>
      <c r="T213" s="81">
        <f t="shared" si="30"/>
        <v>2500000</v>
      </c>
      <c r="U213" s="81">
        <f t="shared" si="30"/>
        <v>0</v>
      </c>
      <c r="V213" s="81">
        <f t="shared" si="30"/>
        <v>94808000</v>
      </c>
      <c r="W213" s="121" t="s">
        <v>21</v>
      </c>
      <c r="X213" s="81" t="str">
        <f t="shared" si="30"/>
        <v>Multi Lender</v>
      </c>
      <c r="Y213" s="81">
        <f t="shared" si="30"/>
        <v>92308000</v>
      </c>
      <c r="Z213" s="81">
        <f t="shared" si="30"/>
        <v>0</v>
      </c>
      <c r="AA213" s="31"/>
      <c r="AB213" s="32"/>
      <c r="AC213" s="32"/>
      <c r="AD213" s="32"/>
      <c r="AE213" s="32"/>
      <c r="AF213" s="32"/>
      <c r="AG213" s="32"/>
      <c r="AH213" s="32"/>
      <c r="AI213" s="32"/>
      <c r="AJ213" s="32"/>
      <c r="AK213" s="32"/>
      <c r="AL213" s="32"/>
      <c r="AM213" s="31"/>
      <c r="AN213" s="31"/>
      <c r="AO213" s="31"/>
      <c r="AP213" s="31"/>
      <c r="AQ213" s="31"/>
      <c r="AR213" s="31"/>
      <c r="AS213" s="31"/>
      <c r="AT213" s="32"/>
    </row>
    <row r="214" spans="1:46" ht="47.25" customHeight="1">
      <c r="A214" s="10">
        <f>DATA!A200</f>
        <v>145</v>
      </c>
      <c r="B214" s="10">
        <f>DATA!B200</f>
        <v>0</v>
      </c>
      <c r="C214" s="10" t="str">
        <f>DATA!D200</f>
        <v>NON-INFRASTRUKTUR</v>
      </c>
      <c r="D214" s="10">
        <f>DATA!E200</f>
        <v>14</v>
      </c>
      <c r="E214" s="10" t="str">
        <f>DATA!F200</f>
        <v>Kementerian Ketenagakerjaan</v>
      </c>
      <c r="F214" s="10" t="str">
        <f>DATA!H200</f>
        <v>Improving Labor Competitiveness Program</v>
      </c>
      <c r="G214" s="10" t="str">
        <f>DATA!I200</f>
        <v>A</v>
      </c>
      <c r="H214" s="10" t="str">
        <f>DATA!J200</f>
        <v>Program Peningkatan Daya Saing Tenaga Kerja</v>
      </c>
      <c r="I214" s="10">
        <f>DATA!K200</f>
        <v>1</v>
      </c>
      <c r="J214" s="33"/>
      <c r="K214" s="54"/>
      <c r="L214" s="20"/>
      <c r="M214" s="36">
        <f>DATA!K200</f>
        <v>1</v>
      </c>
      <c r="N214" s="37" t="str">
        <f>DATA!L200</f>
        <v>Development of Maritime Vocational Training Centers</v>
      </c>
      <c r="O214" s="20">
        <f>DATA!Q200</f>
        <v>1</v>
      </c>
      <c r="P214" s="20">
        <f>DATA!R200</f>
        <v>1</v>
      </c>
      <c r="Q214" s="20">
        <f>DATA!S200</f>
        <v>113</v>
      </c>
      <c r="R214" s="77">
        <f>DATA!T200</f>
        <v>92308000</v>
      </c>
      <c r="S214" s="77"/>
      <c r="T214" s="77">
        <f>DATA!V200</f>
        <v>2500000</v>
      </c>
      <c r="U214" s="77">
        <f>DATA!W200</f>
        <v>0</v>
      </c>
      <c r="V214" s="77">
        <f>DATA!X200</f>
        <v>94808000</v>
      </c>
      <c r="W214" s="78" t="str">
        <f>DATA!Y200</f>
        <v>Austria/ JICA/ Singapura</v>
      </c>
      <c r="X214" s="20" t="str">
        <f>DATA!Z200</f>
        <v>Multi Lender</v>
      </c>
      <c r="Y214" s="77">
        <f>DATA!AA200</f>
        <v>92308000</v>
      </c>
      <c r="Z214" s="77">
        <f>DATA!AG200</f>
        <v>0</v>
      </c>
      <c r="AA214" s="20" t="str">
        <f>DATA!AH200</f>
        <v>Tanpa keterangan</v>
      </c>
      <c r="AB214" s="37" t="str">
        <f>DATA!AI200</f>
        <v>-</v>
      </c>
      <c r="AC214" s="37"/>
      <c r="AD214" s="37"/>
      <c r="AE214" s="37"/>
      <c r="AF214" s="37"/>
      <c r="AG214" s="37"/>
      <c r="AH214" s="37"/>
      <c r="AI214" s="37"/>
      <c r="AJ214" s="37" t="str">
        <f>DATA!AJ200</f>
        <v>-</v>
      </c>
      <c r="AK214" s="37" t="str">
        <f>DATA!AK200</f>
        <v>-</v>
      </c>
      <c r="AL214" s="37" t="str">
        <f>DATA!AL200</f>
        <v>-</v>
      </c>
      <c r="AM214" s="20">
        <f>DATA!AM200</f>
        <v>0</v>
      </c>
      <c r="AN214" s="20" t="str">
        <f>DATA!AN200</f>
        <v>belum ada keterangan</v>
      </c>
      <c r="AO214" s="20" t="str">
        <f>DATA!AO200</f>
        <v>belum ada keterangan</v>
      </c>
      <c r="AP214" s="20" t="str">
        <f>DATA!AP200</f>
        <v>belum ada proses tender/lelang</v>
      </c>
      <c r="AQ214" s="20" t="str">
        <f>DATA!AY200</f>
        <v xml:space="preserve">- Semula indikasi pendanaan oleh IDB namun pihak Kem. Naker mengkonfirmasikan bahwa Lender keg ini belum ada indikasi lender
- Konfirmasi Lender Austria didapatkan dari rapat dgn Dit. Multilateral tgl 15 Okt' 2015 di R.SG-4
</v>
      </c>
      <c r="AR214" s="20" t="e">
        <f>DATA!#REF!</f>
        <v>#REF!</v>
      </c>
      <c r="AS214" s="20" t="str">
        <f>DATA!AZ200</f>
        <v>Konfirmasi Lender Austria didapatkan dari rapat dgn Dit. Multilateral tgl 15 Okt' 2015 di R.SG-4</v>
      </c>
      <c r="AT214" s="37" t="str">
        <f>DATA!BA200</f>
        <v>Penyediaan sarana dan peralatan BLK Maritim, rehabilitasi Workshop, pengembangan Software Pelatihan, dan Training of Trainers (ToT)</v>
      </c>
    </row>
    <row r="215" spans="1:46" s="4" customFormat="1" ht="24.95" customHeight="1">
      <c r="J215" s="107"/>
      <c r="K215" s="25">
        <f>DATA!E201</f>
        <v>15</v>
      </c>
      <c r="L215" s="108" t="str">
        <f>DATA!F201</f>
        <v>Kementerian Kelautan dan Perikanan</v>
      </c>
      <c r="M215" s="25"/>
      <c r="N215" s="27"/>
      <c r="O215" s="26"/>
      <c r="P215" s="26"/>
      <c r="Q215" s="26"/>
      <c r="R215" s="80">
        <f>+R216</f>
        <v>107000000</v>
      </c>
      <c r="S215" s="80"/>
      <c r="T215" s="80">
        <f t="shared" ref="T215:Z216" si="31">+T216</f>
        <v>4261000</v>
      </c>
      <c r="U215" s="80">
        <f t="shared" si="31"/>
        <v>2160000</v>
      </c>
      <c r="V215" s="80">
        <f t="shared" si="31"/>
        <v>113421000</v>
      </c>
      <c r="W215" s="80"/>
      <c r="X215" s="80" t="str">
        <f>+X216</f>
        <v>-</v>
      </c>
      <c r="Y215" s="80">
        <f>+Y216</f>
        <v>107000000</v>
      </c>
      <c r="Z215" s="80">
        <f>+Z216</f>
        <v>-107000000</v>
      </c>
      <c r="AA215" s="26"/>
      <c r="AB215" s="27"/>
      <c r="AC215" s="27"/>
      <c r="AD215" s="27"/>
      <c r="AE215" s="27"/>
      <c r="AF215" s="27"/>
      <c r="AG215" s="27"/>
      <c r="AH215" s="27"/>
      <c r="AI215" s="27"/>
      <c r="AJ215" s="27"/>
      <c r="AK215" s="27"/>
      <c r="AL215" s="27"/>
      <c r="AM215" s="26"/>
      <c r="AN215" s="26"/>
      <c r="AO215" s="26"/>
      <c r="AP215" s="26"/>
      <c r="AQ215" s="26"/>
      <c r="AR215" s="26"/>
      <c r="AS215" s="26"/>
      <c r="AT215" s="27"/>
    </row>
    <row r="216" spans="1:46" s="5" customFormat="1" ht="33.75" customHeight="1">
      <c r="J216" s="28"/>
      <c r="K216" s="116"/>
      <c r="L216" s="30" t="str">
        <f>DATA!I201</f>
        <v>A</v>
      </c>
      <c r="M216" s="31" t="str">
        <f>DATA!J201</f>
        <v>Program Peningkatan Fasilitas Perikanan</v>
      </c>
      <c r="N216" s="51"/>
      <c r="O216" s="31"/>
      <c r="P216" s="31"/>
      <c r="Q216" s="31"/>
      <c r="R216" s="81">
        <f>+R217</f>
        <v>107000000</v>
      </c>
      <c r="S216" s="81"/>
      <c r="T216" s="81">
        <f t="shared" si="31"/>
        <v>4261000</v>
      </c>
      <c r="U216" s="81">
        <f t="shared" si="31"/>
        <v>2160000</v>
      </c>
      <c r="V216" s="81">
        <f t="shared" si="31"/>
        <v>113421000</v>
      </c>
      <c r="W216" s="81"/>
      <c r="X216" s="81" t="str">
        <f t="shared" si="31"/>
        <v>-</v>
      </c>
      <c r="Y216" s="81">
        <f t="shared" si="31"/>
        <v>107000000</v>
      </c>
      <c r="Z216" s="81">
        <f t="shared" si="31"/>
        <v>-107000000</v>
      </c>
      <c r="AA216" s="31"/>
      <c r="AB216" s="32"/>
      <c r="AC216" s="32"/>
      <c r="AD216" s="32"/>
      <c r="AE216" s="32"/>
      <c r="AF216" s="32"/>
      <c r="AG216" s="32"/>
      <c r="AH216" s="32"/>
      <c r="AI216" s="32"/>
      <c r="AJ216" s="32"/>
      <c r="AK216" s="32"/>
      <c r="AL216" s="32"/>
      <c r="AM216" s="31"/>
      <c r="AN216" s="31"/>
      <c r="AO216" s="31"/>
      <c r="AP216" s="31"/>
      <c r="AQ216" s="31"/>
      <c r="AR216" s="31"/>
      <c r="AS216" s="31"/>
      <c r="AT216" s="32"/>
    </row>
    <row r="217" spans="1:46" ht="58.5" customHeight="1">
      <c r="A217" s="10">
        <f>DATA!A201</f>
        <v>146</v>
      </c>
      <c r="B217" s="10">
        <f>DATA!B201</f>
        <v>0</v>
      </c>
      <c r="C217" s="10" t="str">
        <f>DATA!D201</f>
        <v>NON-INFRASTRUKTUR</v>
      </c>
      <c r="D217" s="10">
        <f>DATA!E201</f>
        <v>15</v>
      </c>
      <c r="E217" s="10" t="str">
        <f>DATA!F201</f>
        <v>Kementerian Kelautan dan Perikanan</v>
      </c>
      <c r="F217" s="10" t="str">
        <f>DATA!H201</f>
        <v>Improvement of Fisheries Facilities Program</v>
      </c>
      <c r="G217" s="10" t="str">
        <f>DATA!I201</f>
        <v>A</v>
      </c>
      <c r="H217" s="10" t="str">
        <f>DATA!J201</f>
        <v>Program Peningkatan Fasilitas Perikanan</v>
      </c>
      <c r="I217" s="10">
        <f>DATA!K201</f>
        <v>1</v>
      </c>
      <c r="J217" s="33"/>
      <c r="K217" s="20"/>
      <c r="L217" s="20"/>
      <c r="M217" s="36">
        <f>DATA!K201</f>
        <v>1</v>
      </c>
      <c r="N217" s="37" t="str">
        <f>DATA!L201</f>
        <v xml:space="preserve">Outer Ring Fishing Ports Development - Phase I </v>
      </c>
      <c r="O217" s="20">
        <f>DATA!Q201</f>
        <v>1</v>
      </c>
      <c r="P217" s="20">
        <f>DATA!R201</f>
        <v>1</v>
      </c>
      <c r="Q217" s="20">
        <f>DATA!S201</f>
        <v>114</v>
      </c>
      <c r="R217" s="77">
        <f>DATA!T201</f>
        <v>107000000</v>
      </c>
      <c r="S217" s="77"/>
      <c r="T217" s="77">
        <f>DATA!V201</f>
        <v>4261000</v>
      </c>
      <c r="U217" s="77">
        <f>DATA!W201</f>
        <v>2160000</v>
      </c>
      <c r="V217" s="77">
        <f>DATA!X201</f>
        <v>113421000</v>
      </c>
      <c r="W217" s="78" t="str">
        <f>DATA!Y201</f>
        <v>-</v>
      </c>
      <c r="X217" s="20" t="str">
        <f>DATA!Z201</f>
        <v>-</v>
      </c>
      <c r="Y217" s="77">
        <f>DATA!AA201</f>
        <v>107000000</v>
      </c>
      <c r="Z217" s="77">
        <f>DATA!AG201</f>
        <v>-107000000</v>
      </c>
      <c r="AA217" s="20" t="str">
        <f>DATA!AH201</f>
        <v>Tanpa keterangan</v>
      </c>
      <c r="AB217" s="37" t="str">
        <f>DATA!AI201</f>
        <v>-</v>
      </c>
      <c r="AC217" s="37"/>
      <c r="AD217" s="37"/>
      <c r="AE217" s="37"/>
      <c r="AF217" s="37"/>
      <c r="AG217" s="37"/>
      <c r="AH217" s="37"/>
      <c r="AI217" s="37"/>
      <c r="AJ217" s="37" t="str">
        <f>DATA!AJ201</f>
        <v>sudah ada RC</v>
      </c>
      <c r="AK217" s="37" t="str">
        <f>DATA!AK201</f>
        <v>-</v>
      </c>
      <c r="AL217" s="37" t="str">
        <f>DATA!AL201</f>
        <v>-</v>
      </c>
      <c r="AM217" s="20">
        <f>DATA!AM201</f>
        <v>0</v>
      </c>
      <c r="AN217" s="20" t="str">
        <f>DATA!AN201</f>
        <v>dalam proses
(memiliki FS)</v>
      </c>
      <c r="AO217" s="20" t="str">
        <f>DATA!AO201</f>
        <v>belum ada keterangan</v>
      </c>
      <c r="AP217" s="20" t="str">
        <f>DATA!AP201</f>
        <v>belum ada proses tender/lelang</v>
      </c>
      <c r="AQ217" s="20" t="str">
        <f>DATA!AY201</f>
        <v>- berdasarkan data/dokumen pada Bluebook sebelumnya. Semula indikasi lender Prancis, kemudian Kem. KKP mengkonfirmasikan bahwa belum ada indikasi lender
- Belum ada konfirmasi</v>
      </c>
      <c r="AR217" s="20" t="e">
        <f>DATA!#REF!</f>
        <v>#REF!</v>
      </c>
      <c r="AS217" s="20">
        <f>DATA!AZ201</f>
        <v>0</v>
      </c>
      <c r="AT217" s="37" t="str">
        <f>DATA!BA201</f>
        <v>Pekerjaan pembangunan dan peningkatan fasilitas pelabuhan perikanan serta pelatihan dan pendidikan SDM di 8 lokasi prioritas yang memiliki standar pelayanan berskala internasional</v>
      </c>
    </row>
    <row r="218" spans="1:46" s="4" customFormat="1" ht="24.95" customHeight="1">
      <c r="J218" s="107"/>
      <c r="K218" s="25">
        <f>DATA!E206</f>
        <v>16</v>
      </c>
      <c r="L218" s="108" t="str">
        <f>DATA!F206</f>
        <v>Badan Meteorologi, Klimatologi dan Geofisika (BMKG)</v>
      </c>
      <c r="M218" s="25"/>
      <c r="N218" s="27"/>
      <c r="O218" s="26"/>
      <c r="P218" s="26"/>
      <c r="Q218" s="26"/>
      <c r="R218" s="80">
        <f>+R219</f>
        <v>150000000</v>
      </c>
      <c r="S218" s="80"/>
      <c r="T218" s="80">
        <f t="shared" ref="T218:Z219" si="32">+T219</f>
        <v>9000000</v>
      </c>
      <c r="U218" s="80">
        <f t="shared" si="32"/>
        <v>0</v>
      </c>
      <c r="V218" s="80">
        <f t="shared" si="32"/>
        <v>159000000</v>
      </c>
      <c r="W218" s="80">
        <f t="shared" si="32"/>
        <v>0</v>
      </c>
      <c r="X218" s="80">
        <f t="shared" si="32"/>
        <v>0</v>
      </c>
      <c r="Y218" s="80">
        <f t="shared" si="32"/>
        <v>150000000</v>
      </c>
      <c r="Z218" s="80">
        <f t="shared" si="32"/>
        <v>0</v>
      </c>
      <c r="AA218" s="26"/>
      <c r="AB218" s="27"/>
      <c r="AC218" s="27"/>
      <c r="AD218" s="27"/>
      <c r="AE218" s="27"/>
      <c r="AF218" s="27"/>
      <c r="AG218" s="27"/>
      <c r="AH218" s="27"/>
      <c r="AI218" s="27"/>
      <c r="AJ218" s="27"/>
      <c r="AK218" s="27"/>
      <c r="AL218" s="27"/>
      <c r="AM218" s="26"/>
      <c r="AN218" s="26"/>
      <c r="AO218" s="26"/>
      <c r="AP218" s="26"/>
      <c r="AQ218" s="26"/>
      <c r="AR218" s="26"/>
      <c r="AS218" s="26"/>
      <c r="AT218" s="27"/>
    </row>
    <row r="219" spans="1:46" s="5" customFormat="1" ht="33.75" customHeight="1">
      <c r="J219" s="28"/>
      <c r="K219" s="29"/>
      <c r="L219" s="30" t="str">
        <f>DATA!I206</f>
        <v>A</v>
      </c>
      <c r="M219" s="31" t="str">
        <f>DATA!J206</f>
        <v>Program Pengembangan dan Pembinaan Meteorologi, Klimatologi, dan Geofisika</v>
      </c>
      <c r="N219" s="51"/>
      <c r="O219" s="31"/>
      <c r="P219" s="31"/>
      <c r="Q219" s="31"/>
      <c r="R219" s="81">
        <f>+R220</f>
        <v>150000000</v>
      </c>
      <c r="S219" s="81"/>
      <c r="T219" s="81">
        <f t="shared" si="32"/>
        <v>9000000</v>
      </c>
      <c r="U219" s="81">
        <f t="shared" si="32"/>
        <v>0</v>
      </c>
      <c r="V219" s="81">
        <f t="shared" si="32"/>
        <v>159000000</v>
      </c>
      <c r="W219" s="82"/>
      <c r="X219" s="31"/>
      <c r="Y219" s="81">
        <f t="shared" si="32"/>
        <v>150000000</v>
      </c>
      <c r="Z219" s="81">
        <f t="shared" si="32"/>
        <v>0</v>
      </c>
      <c r="AA219" s="31"/>
      <c r="AB219" s="32"/>
      <c r="AC219" s="32"/>
      <c r="AD219" s="32"/>
      <c r="AE219" s="32"/>
      <c r="AF219" s="32"/>
      <c r="AG219" s="32"/>
      <c r="AH219" s="32"/>
      <c r="AI219" s="32"/>
      <c r="AJ219" s="32"/>
      <c r="AK219" s="32"/>
      <c r="AL219" s="32"/>
      <c r="AM219" s="31"/>
      <c r="AN219" s="31"/>
      <c r="AO219" s="31"/>
      <c r="AP219" s="31"/>
      <c r="AQ219" s="31"/>
      <c r="AR219" s="31"/>
      <c r="AS219" s="31"/>
      <c r="AT219" s="32"/>
    </row>
    <row r="220" spans="1:46" ht="102">
      <c r="A220" s="10">
        <f>DATA!A206</f>
        <v>147</v>
      </c>
      <c r="B220" s="10">
        <f>DATA!B206</f>
        <v>0</v>
      </c>
      <c r="C220" s="10" t="str">
        <f>DATA!D206</f>
        <v>NON-INFRASTRUKTUR</v>
      </c>
      <c r="D220" s="10">
        <f>DATA!E206</f>
        <v>16</v>
      </c>
      <c r="E220" s="10" t="str">
        <f>DATA!F206</f>
        <v>Badan Meteorologi, Klimatologi dan Geofisika (BMKG)</v>
      </c>
      <c r="F220" s="10" t="str">
        <f>DATA!H206</f>
        <v>Program for Capacity Development and Guidance of Meteorology, Climatology, and Geophysics</v>
      </c>
      <c r="G220" s="10" t="str">
        <f>DATA!I206</f>
        <v>A</v>
      </c>
      <c r="H220" s="10" t="str">
        <f>DATA!J206</f>
        <v>Program Pengembangan dan Pembinaan Meteorologi, Klimatologi, dan Geofisika</v>
      </c>
      <c r="I220" s="10">
        <f>DATA!K206</f>
        <v>1</v>
      </c>
      <c r="J220" s="33"/>
      <c r="K220" s="54"/>
      <c r="L220" s="36"/>
      <c r="M220" s="36">
        <f>DATA!K206</f>
        <v>1</v>
      </c>
      <c r="N220" s="37" t="str">
        <f>DATA!L206</f>
        <v xml:space="preserve">Strengthening Climate and Weather Service Capacity – Phase II:
a) Kegiatan lanjutan dari kegiatan Strengthening BMKG Climate and Weather Services Capacity Phase I
b) Kegiatan pengembangan sistem Layanan Informasi Meteorologi Maritim </v>
      </c>
      <c r="O220" s="20">
        <f>DATA!Q206</f>
        <v>1</v>
      </c>
      <c r="P220" s="20">
        <f>DATA!R206</f>
        <v>1</v>
      </c>
      <c r="Q220" s="20">
        <f>DATA!S206</f>
        <v>115</v>
      </c>
      <c r="R220" s="77">
        <f>DATA!T206</f>
        <v>150000000</v>
      </c>
      <c r="S220" s="77"/>
      <c r="T220" s="77">
        <f>DATA!V206</f>
        <v>9000000</v>
      </c>
      <c r="U220" s="77">
        <f>DATA!W206</f>
        <v>0</v>
      </c>
      <c r="V220" s="77">
        <f>DATA!X206</f>
        <v>159000000</v>
      </c>
      <c r="W220" s="78" t="str">
        <f>DATA!Y206</f>
        <v>US EXIM</v>
      </c>
      <c r="X220" s="20" t="str">
        <f>DATA!Z206</f>
        <v>Bilateral</v>
      </c>
      <c r="Y220" s="77">
        <f>DATA!AA206</f>
        <v>150000000</v>
      </c>
      <c r="Z220" s="77">
        <f>DATA!AG206</f>
        <v>0</v>
      </c>
      <c r="AA220" s="20" t="str">
        <f>DATA!AH206</f>
        <v>Tanpa keterangan</v>
      </c>
      <c r="AB220" s="37" t="str">
        <f>DATA!AI206</f>
        <v>a) Siap
b) -</v>
      </c>
      <c r="AC220" s="37"/>
      <c r="AD220" s="37"/>
      <c r="AE220" s="37"/>
      <c r="AF220" s="37"/>
      <c r="AG220" s="37"/>
      <c r="AH220" s="37"/>
      <c r="AI220" s="37"/>
      <c r="AJ220" s="37" t="str">
        <f>DATA!AJ206</f>
        <v>a) Siap
b) -</v>
      </c>
      <c r="AK220" s="37" t="str">
        <f>DATA!AK206</f>
        <v>a) Siap
b) Siap</v>
      </c>
      <c r="AL220" s="37" t="str">
        <f>DATA!AL206</f>
        <v>a) -
b) -</v>
      </c>
      <c r="AM220" s="20">
        <f>DATA!AM206</f>
        <v>0</v>
      </c>
      <c r="AN220" s="20" t="str">
        <f>DATA!AN206</f>
        <v>dalam proses
(penyusunan FS)</v>
      </c>
      <c r="AO220" s="20" t="str">
        <f>DATA!AO206</f>
        <v>siap</v>
      </c>
      <c r="AP220" s="20" t="str">
        <f>DATA!AP206</f>
        <v>belum ada proses tender/lelang</v>
      </c>
      <c r="AQ220" s="20" t="str">
        <f>DATA!AY206</f>
        <v>- Terintegrasi dengan sarana dan sistem hasil kegiatan fase 1 yang sudah terbangun sebelumnya
- Surat Kepala BMKG nomor KU.205/003/KB/IX/2015 tanggal 8 September 2015</v>
      </c>
      <c r="AR220" s="20" t="e">
        <f>DATA!#REF!</f>
        <v>#REF!</v>
      </c>
      <c r="AS220" s="20">
        <f>DATA!AZ206</f>
        <v>0</v>
      </c>
      <c r="AT220" s="37"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row>
    <row r="221" spans="1:46" s="4" customFormat="1" ht="24.95" customHeight="1">
      <c r="J221" s="107"/>
      <c r="K221" s="25">
        <f>DATA!E207</f>
        <v>17</v>
      </c>
      <c r="L221" s="108" t="str">
        <f>DATA!F207</f>
        <v>Badan Pengkajian dan Penerapan Teknologi (BPPT)</v>
      </c>
      <c r="M221" s="25"/>
      <c r="N221" s="27"/>
      <c r="O221" s="26"/>
      <c r="P221" s="26"/>
      <c r="Q221" s="26"/>
      <c r="R221" s="80">
        <f>+R222</f>
        <v>114400000</v>
      </c>
      <c r="S221" s="80"/>
      <c r="T221" s="80">
        <f t="shared" ref="T221:Z222" si="33">+T222</f>
        <v>17200000</v>
      </c>
      <c r="U221" s="80">
        <f t="shared" si="33"/>
        <v>0</v>
      </c>
      <c r="V221" s="80">
        <f t="shared" si="33"/>
        <v>131600000</v>
      </c>
      <c r="W221" s="122"/>
      <c r="X221" s="26"/>
      <c r="Y221" s="80">
        <f>+Y222</f>
        <v>114400000</v>
      </c>
      <c r="Z221" s="80">
        <f>+Z222</f>
        <v>0</v>
      </c>
      <c r="AA221" s="26"/>
      <c r="AB221" s="27"/>
      <c r="AC221" s="27"/>
      <c r="AD221" s="27"/>
      <c r="AE221" s="27"/>
      <c r="AF221" s="27"/>
      <c r="AG221" s="27"/>
      <c r="AH221" s="27"/>
      <c r="AI221" s="27"/>
      <c r="AJ221" s="27"/>
      <c r="AK221" s="27"/>
      <c r="AL221" s="27"/>
      <c r="AM221" s="26"/>
      <c r="AN221" s="26"/>
      <c r="AO221" s="26"/>
      <c r="AP221" s="26"/>
      <c r="AQ221" s="26"/>
      <c r="AR221" s="26"/>
      <c r="AS221" s="26"/>
      <c r="AT221" s="27"/>
    </row>
    <row r="222" spans="1:46" s="5" customFormat="1" ht="33.75" customHeight="1">
      <c r="J222" s="28"/>
      <c r="K222" s="29"/>
      <c r="L222" s="30" t="str">
        <f>DATA!I207</f>
        <v>A</v>
      </c>
      <c r="M222" s="31" t="str">
        <f>DATA!J207</f>
        <v>Program Pembangunan Science Park dan Technopark</v>
      </c>
      <c r="N222" s="51"/>
      <c r="O222" s="31"/>
      <c r="P222" s="31"/>
      <c r="Q222" s="31"/>
      <c r="R222" s="81">
        <f>+R223</f>
        <v>114400000</v>
      </c>
      <c r="S222" s="81"/>
      <c r="T222" s="81">
        <f t="shared" si="33"/>
        <v>17200000</v>
      </c>
      <c r="U222" s="81">
        <f t="shared" si="33"/>
        <v>0</v>
      </c>
      <c r="V222" s="81">
        <f t="shared" si="33"/>
        <v>131600000</v>
      </c>
      <c r="W222" s="81"/>
      <c r="X222" s="81" t="str">
        <f t="shared" si="33"/>
        <v>Bilateral</v>
      </c>
      <c r="Y222" s="81">
        <f t="shared" si="33"/>
        <v>114400000</v>
      </c>
      <c r="Z222" s="81">
        <f t="shared" si="33"/>
        <v>0</v>
      </c>
      <c r="AA222" s="31"/>
      <c r="AB222" s="32"/>
      <c r="AC222" s="32"/>
      <c r="AD222" s="32"/>
      <c r="AE222" s="32"/>
      <c r="AF222" s="32"/>
      <c r="AG222" s="32"/>
      <c r="AH222" s="32"/>
      <c r="AI222" s="32"/>
      <c r="AJ222" s="32"/>
      <c r="AK222" s="32"/>
      <c r="AL222" s="32"/>
      <c r="AM222" s="31"/>
      <c r="AN222" s="31"/>
      <c r="AO222" s="31"/>
      <c r="AP222" s="31"/>
      <c r="AQ222" s="31"/>
      <c r="AR222" s="31"/>
      <c r="AS222" s="31"/>
      <c r="AT222" s="32"/>
    </row>
    <row r="223" spans="1:46" ht="91.5" customHeight="1">
      <c r="A223" s="10">
        <f>DATA!A207</f>
        <v>148</v>
      </c>
      <c r="B223" s="10">
        <f>DATA!B207</f>
        <v>0</v>
      </c>
      <c r="C223" s="10" t="str">
        <f>DATA!D207</f>
        <v>NON-INFRASTRUKTUR</v>
      </c>
      <c r="D223" s="10">
        <f>DATA!E207</f>
        <v>17</v>
      </c>
      <c r="E223" s="10" t="str">
        <f>DATA!F207</f>
        <v>Badan Pengkajian dan Penerapan Teknologi (BPPT)</v>
      </c>
      <c r="F223" s="10" t="str">
        <f>DATA!H207</f>
        <v>Science Park and Technopark Development Program</v>
      </c>
      <c r="G223" s="10" t="str">
        <f>DATA!I207</f>
        <v>A</v>
      </c>
      <c r="H223" s="10" t="str">
        <f>DATA!J207</f>
        <v>Program Pembangunan Science Park dan Technopark</v>
      </c>
      <c r="I223" s="10">
        <f>DATA!K207</f>
        <v>1</v>
      </c>
      <c r="J223" s="52"/>
      <c r="K223" s="54"/>
      <c r="L223" s="36"/>
      <c r="M223" s="36">
        <f>DATA!K207</f>
        <v>1</v>
      </c>
      <c r="N223" s="37" t="str">
        <f>DATA!L207</f>
        <v>Development of Maritime National Science and Technology Park (NTSP) in the Northern Penajam Paser and Revitalization Infrastructure Marine Survey</v>
      </c>
      <c r="O223" s="20">
        <f>DATA!Q207</f>
        <v>1</v>
      </c>
      <c r="P223" s="20">
        <f>DATA!R207</f>
        <v>1</v>
      </c>
      <c r="Q223" s="20">
        <f>DATA!S207</f>
        <v>116</v>
      </c>
      <c r="R223" s="77">
        <f>DATA!T207</f>
        <v>114400000</v>
      </c>
      <c r="S223" s="77"/>
      <c r="T223" s="77">
        <f>DATA!V207</f>
        <v>17200000</v>
      </c>
      <c r="U223" s="77">
        <f>DATA!W207</f>
        <v>0</v>
      </c>
      <c r="V223" s="77">
        <f>DATA!X207</f>
        <v>131600000</v>
      </c>
      <c r="W223" s="78" t="str">
        <f>DATA!Y207</f>
        <v xml:space="preserve">Perancis (AFD)  </v>
      </c>
      <c r="X223" s="20" t="str">
        <f>DATA!Z207</f>
        <v>Bilateral</v>
      </c>
      <c r="Y223" s="77">
        <f>DATA!AA207</f>
        <v>114400000</v>
      </c>
      <c r="Z223" s="77">
        <f>DATA!AG207</f>
        <v>0</v>
      </c>
      <c r="AA223" s="20" t="str">
        <f>DATA!AH207</f>
        <v>Tanpa keterangan</v>
      </c>
      <c r="AB223" s="37" t="str">
        <f>DATA!AI207</f>
        <v xml:space="preserve">  (1) Development of Maritime NTSP: (tidak ada data)
(2) Revitalization Infrastructure Marine Survey: (tidak ada data)  </v>
      </c>
      <c r="AC223" s="37"/>
      <c r="AD223" s="37"/>
      <c r="AE223" s="37"/>
      <c r="AF223" s="37"/>
      <c r="AG223" s="37"/>
      <c r="AH223" s="37"/>
      <c r="AI223" s="37"/>
      <c r="AJ223" s="37" t="str">
        <f>DATA!AJ207</f>
        <v xml:space="preserve">  (1) Development of Maritime NTSP: Pra-FS
(2) Revitalization Infrastructure Marine Survey: (tidak ada data)  </v>
      </c>
      <c r="AK223" s="37" t="str">
        <f>DATA!AK207</f>
        <v xml:space="preserve">  (1) Development of Maritime NTSP: 20%
(2) Revitalization Infrastructure Marine Survey: tidak memerlukan lahan  </v>
      </c>
      <c r="AL223" s="37" t="str">
        <f>DATA!AL207</f>
        <v xml:space="preserve">  (1) Development of Maritime NTSP: belum ada tender
(2) Revitalization Infrastructure Marine Survey:belum ada tender  </v>
      </c>
      <c r="AM223" s="20">
        <f>DATA!AM207</f>
        <v>0</v>
      </c>
      <c r="AN223" s="20" t="str">
        <f>DATA!AN207</f>
        <v>dalam proses
(penyusunan FS)</v>
      </c>
      <c r="AO223" s="20" t="str">
        <f>DATA!AO207</f>
        <v>dalam proses
(pelaksanaan)</v>
      </c>
      <c r="AP223" s="20" t="str">
        <f>DATA!AP207</f>
        <v>belum ada proses tender/lelang</v>
      </c>
      <c r="AQ223" s="20" t="str">
        <f>DATA!AY207</f>
        <v>- Selain Perancis , pihak BPPT mengkonfirmasikan bahwa Korea berminat untuk menjadi lender pada proyek NSTP Maritim Kab. PPU
- Pelaksanaannya direncanakan tahun 2016 dan tahun 2017
-  Konfirmasi melalui e-mail tanggal 10 Sept 2015</v>
      </c>
      <c r="AR223" s="20" t="e">
        <f>DATA!#REF!</f>
        <v>#REF!</v>
      </c>
      <c r="AS223" s="20">
        <f>DATA!AZ207</f>
        <v>0</v>
      </c>
      <c r="AT223" s="37" t="str">
        <f>DATA!BA207</f>
        <v>Pembangunan dermaga kapal riset, laboratorium kemaritiman, workshop, dan sarana prasarana penunjang darat lainnya serta Revitalisasi 4 buah kapal riset Baruna Jaya I, II, III, dan IV dan peralatan survei kelautan lainnya</v>
      </c>
    </row>
    <row r="224" spans="1:46" s="3" customFormat="1" ht="30" customHeight="1">
      <c r="J224" s="3363" t="s">
        <v>477</v>
      </c>
      <c r="K224" s="3364"/>
      <c r="L224" s="3364"/>
      <c r="M224" s="3364"/>
      <c r="N224" s="3365"/>
      <c r="O224" s="119"/>
      <c r="P224" s="119"/>
      <c r="Q224" s="119"/>
      <c r="R224" s="123">
        <f>+R8+R161</f>
        <v>39876907800</v>
      </c>
      <c r="S224" s="123"/>
      <c r="T224" s="123">
        <f>+T8+T161</f>
        <v>5212917900</v>
      </c>
      <c r="U224" s="123">
        <f>+U8+U161</f>
        <v>19660000</v>
      </c>
      <c r="V224" s="123">
        <f>+V8+V161</f>
        <v>45085941000</v>
      </c>
      <c r="W224" s="123"/>
      <c r="X224" s="123" t="e">
        <f>+X8+X161</f>
        <v>#VALUE!</v>
      </c>
      <c r="Y224" s="123">
        <f>+Y8+Y161</f>
        <v>39686527800</v>
      </c>
      <c r="Z224" s="123">
        <f>+Z8+Z161</f>
        <v>-2146834004</v>
      </c>
      <c r="AA224" s="119"/>
      <c r="AB224" s="125"/>
      <c r="AC224" s="125"/>
      <c r="AD224" s="125"/>
      <c r="AE224" s="125"/>
      <c r="AF224" s="125"/>
      <c r="AG224" s="125"/>
      <c r="AH224" s="125"/>
      <c r="AI224" s="125"/>
      <c r="AJ224" s="125"/>
      <c r="AK224" s="125"/>
      <c r="AL224" s="125"/>
      <c r="AM224" s="119"/>
      <c r="AN224" s="119"/>
      <c r="AO224" s="119"/>
      <c r="AP224" s="119"/>
      <c r="AQ224" s="119"/>
      <c r="AR224" s="119"/>
      <c r="AS224" s="119"/>
      <c r="AT224" s="125"/>
    </row>
  </sheetData>
  <autoFilter ref="A7:AT224"/>
  <mergeCells count="13">
    <mergeCell ref="J1:AT1"/>
    <mergeCell ref="J2:AL2"/>
    <mergeCell ref="W5:Y5"/>
    <mergeCell ref="J224:N224"/>
    <mergeCell ref="R5:R6"/>
    <mergeCell ref="S5:S6"/>
    <mergeCell ref="T5:T6"/>
    <mergeCell ref="U5:U6"/>
    <mergeCell ref="V5:V6"/>
    <mergeCell ref="Z5:Z6"/>
    <mergeCell ref="AA5:AA6"/>
    <mergeCell ref="AT5:AT6"/>
    <mergeCell ref="J5:N6"/>
  </mergeCells>
  <printOptions horizontalCentered="1"/>
  <pageMargins left="0.39305555555555599" right="0.39305555555555599" top="0.39305555555555599" bottom="0.39305555555555599" header="0.31458333333333299" footer="0.196527777777778"/>
  <pageSetup paperSize="9" scale="45" fitToHeight="0" orientation="landscape"/>
  <headerFooter>
    <oddFooter>&amp;R&amp;"Cambria,Italic"&amp;9&amp;P/&amp;N</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pageSetUpPr fitToPage="1"/>
  </sheetPr>
  <dimension ref="A1:AM224"/>
  <sheetViews>
    <sheetView topLeftCell="J1" zoomScale="70" zoomScaleNormal="70" workbookViewId="0">
      <pane ySplit="7" topLeftCell="A93" activePane="bottomLeft" state="frozen"/>
      <selection pane="bottomLeft" activeCell="R53" sqref="R53"/>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3.42578125" style="10" customWidth="1"/>
    <col min="14" max="14" width="43.7109375" style="12" customWidth="1"/>
    <col min="15" max="17" width="9.140625" style="10" hidden="1" customWidth="1"/>
    <col min="18" max="19" width="21" style="13" customWidth="1"/>
    <col min="20" max="20" width="20.140625" style="13" customWidth="1"/>
    <col min="21" max="21" width="15.85546875" style="13" hidden="1" customWidth="1"/>
    <col min="22" max="22" width="21" style="13" customWidth="1"/>
    <col min="23" max="23" width="20.85546875" style="14" customWidth="1"/>
    <col min="24" max="24" width="1.28515625" style="10" hidden="1" customWidth="1"/>
    <col min="25" max="25" width="21" style="13" customWidth="1"/>
    <col min="26" max="26" width="20.28515625" style="13" customWidth="1"/>
    <col min="27" max="27" width="16.42578125" style="10" customWidth="1"/>
    <col min="28" max="31" width="20.7109375" style="12" customWidth="1"/>
    <col min="32" max="32" width="31.28515625" style="10" hidden="1" customWidth="1"/>
    <col min="33" max="33" width="33.5703125" style="10" hidden="1" customWidth="1"/>
    <col min="34" max="34" width="26.7109375" style="10" hidden="1" customWidth="1"/>
    <col min="35" max="35" width="24" style="10" hidden="1" customWidth="1"/>
    <col min="36" max="36" width="29.28515625" style="10" hidden="1" customWidth="1"/>
    <col min="37" max="37" width="20.140625" style="10" hidden="1" customWidth="1"/>
    <col min="38" max="38" width="22.5703125" style="10" hidden="1" customWidth="1"/>
    <col min="39" max="39" width="45.7109375" style="12" hidden="1" customWidth="1"/>
    <col min="40" max="16384" width="9.140625" style="10"/>
  </cols>
  <sheetData>
    <row r="1" spans="1:39" s="1" customFormat="1" ht="18">
      <c r="J1" s="3356" t="s">
        <v>481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row>
    <row r="2" spans="1:39" s="1" customFormat="1" ht="18">
      <c r="J2" s="3357" t="s">
        <v>482</v>
      </c>
      <c r="K2" s="3358"/>
      <c r="L2" s="3358"/>
      <c r="M2" s="3358"/>
      <c r="N2" s="3358"/>
      <c r="O2" s="3358"/>
      <c r="P2" s="3358"/>
      <c r="Q2" s="3358"/>
      <c r="R2" s="3358"/>
      <c r="S2" s="3358"/>
      <c r="T2" s="3358"/>
      <c r="U2" s="3358"/>
      <c r="V2" s="3358"/>
      <c r="W2" s="3358"/>
      <c r="X2" s="3358"/>
      <c r="Y2" s="3358"/>
      <c r="Z2" s="3358"/>
      <c r="AA2" s="3358"/>
      <c r="AB2" s="3358"/>
      <c r="AC2" s="3358"/>
      <c r="AD2" s="3358"/>
      <c r="AE2" s="3358"/>
      <c r="AF2" s="15"/>
      <c r="AG2" s="15"/>
      <c r="AH2" s="15"/>
      <c r="AI2" s="15"/>
      <c r="AJ2" s="15"/>
      <c r="AK2" s="15"/>
      <c r="AL2" s="15"/>
      <c r="AM2" s="15"/>
    </row>
    <row r="3" spans="1:39" s="1" customFormat="1" ht="15.75" customHeight="1">
      <c r="J3" s="15"/>
      <c r="K3" s="15"/>
      <c r="L3" s="15"/>
      <c r="M3" s="15"/>
      <c r="N3" s="15"/>
      <c r="O3" s="15"/>
      <c r="P3" s="15"/>
      <c r="Q3" s="15"/>
      <c r="R3" s="73"/>
      <c r="S3" s="73"/>
      <c r="T3" s="73"/>
      <c r="U3" s="73"/>
      <c r="V3" s="73"/>
      <c r="W3" s="15"/>
      <c r="X3" s="15"/>
      <c r="Y3" s="15"/>
      <c r="Z3" s="73"/>
      <c r="AA3" s="15"/>
      <c r="AB3" s="15"/>
      <c r="AC3" s="15"/>
      <c r="AD3" s="15"/>
      <c r="AE3" s="94" t="s">
        <v>483</v>
      </c>
      <c r="AF3" s="15"/>
      <c r="AG3" s="15"/>
      <c r="AH3" s="15"/>
      <c r="AI3" s="15"/>
      <c r="AJ3" s="15"/>
      <c r="AK3" s="15"/>
      <c r="AL3" s="15"/>
      <c r="AM3" s="15"/>
    </row>
    <row r="4" spans="1:39">
      <c r="AM4" s="106" t="s">
        <v>483</v>
      </c>
    </row>
    <row r="5" spans="1:39" s="2" customFormat="1" ht="24.95" customHeight="1">
      <c r="J5" s="3359" t="s">
        <v>484</v>
      </c>
      <c r="K5" s="3359"/>
      <c r="L5" s="3359"/>
      <c r="M5" s="3359"/>
      <c r="N5" s="3359"/>
      <c r="O5" s="16"/>
      <c r="P5" s="16"/>
      <c r="Q5" s="16"/>
      <c r="R5" s="3366" t="s">
        <v>493</v>
      </c>
      <c r="S5" s="3368" t="s">
        <v>1455</v>
      </c>
      <c r="T5" s="3366" t="s">
        <v>487</v>
      </c>
      <c r="U5" s="3366" t="s">
        <v>488</v>
      </c>
      <c r="V5" s="3366" t="s">
        <v>477</v>
      </c>
      <c r="W5" s="3359" t="s">
        <v>7</v>
      </c>
      <c r="X5" s="3359"/>
      <c r="Y5" s="3359"/>
      <c r="Z5" s="3368" t="s">
        <v>489</v>
      </c>
      <c r="AA5" s="3370" t="s">
        <v>490</v>
      </c>
      <c r="AB5" s="3360" t="s">
        <v>9</v>
      </c>
      <c r="AC5" s="3361"/>
      <c r="AD5" s="3361"/>
      <c r="AE5" s="3362"/>
      <c r="AF5" s="16"/>
      <c r="AG5" s="16"/>
      <c r="AH5" s="16"/>
      <c r="AI5" s="16"/>
      <c r="AJ5" s="16"/>
      <c r="AK5" s="16"/>
      <c r="AL5" s="16"/>
      <c r="AM5" s="3370" t="s">
        <v>492</v>
      </c>
    </row>
    <row r="6" spans="1:39" s="2" customFormat="1" ht="24.95" customHeight="1">
      <c r="J6" s="3359"/>
      <c r="K6" s="3359"/>
      <c r="L6" s="3359"/>
      <c r="M6" s="3359"/>
      <c r="N6" s="3359"/>
      <c r="O6" s="16"/>
      <c r="P6" s="16"/>
      <c r="Q6" s="16"/>
      <c r="R6" s="3367"/>
      <c r="S6" s="3369"/>
      <c r="T6" s="3367"/>
      <c r="U6" s="3367"/>
      <c r="V6" s="3367"/>
      <c r="W6" s="76" t="s">
        <v>11</v>
      </c>
      <c r="X6" s="16"/>
      <c r="Y6" s="75" t="s">
        <v>493</v>
      </c>
      <c r="Z6" s="3369"/>
      <c r="AA6" s="3371"/>
      <c r="AB6" s="95" t="s">
        <v>13</v>
      </c>
      <c r="AC6" s="95" t="s">
        <v>14</v>
      </c>
      <c r="AD6" s="95" t="s">
        <v>15</v>
      </c>
      <c r="AE6" s="95" t="s">
        <v>16</v>
      </c>
      <c r="AF6" s="16"/>
      <c r="AG6" s="16"/>
      <c r="AH6" s="16"/>
      <c r="AI6" s="16"/>
      <c r="AJ6" s="16"/>
      <c r="AK6" s="16"/>
      <c r="AL6" s="16"/>
      <c r="AM6" s="3371"/>
    </row>
    <row r="7" spans="1:39">
      <c r="J7" s="17"/>
      <c r="K7" s="18"/>
      <c r="L7" s="18"/>
      <c r="M7" s="18"/>
      <c r="N7" s="19"/>
      <c r="O7" s="20"/>
      <c r="P7" s="20"/>
      <c r="Q7" s="20"/>
      <c r="R7" s="77"/>
      <c r="S7" s="77"/>
      <c r="T7" s="77"/>
      <c r="U7" s="77"/>
      <c r="V7" s="77"/>
      <c r="W7" s="78"/>
      <c r="X7" s="20" t="str">
        <f>BB[[#Headers],[BILA-MULTI]]</f>
        <v>BILA-MULTI</v>
      </c>
      <c r="Y7" s="77"/>
      <c r="Z7" s="77"/>
      <c r="AA7" s="20"/>
      <c r="AB7" s="37"/>
      <c r="AC7" s="37"/>
      <c r="AD7" s="37"/>
      <c r="AE7" s="37"/>
      <c r="AF7" s="20" t="s">
        <v>497</v>
      </c>
      <c r="AG7" s="20" t="s">
        <v>498</v>
      </c>
      <c r="AH7" s="20" t="s">
        <v>499</v>
      </c>
      <c r="AI7" s="20" t="s">
        <v>500</v>
      </c>
      <c r="AJ7" s="20" t="s">
        <v>10</v>
      </c>
      <c r="AK7" s="20" t="s">
        <v>501</v>
      </c>
      <c r="AL7" s="20" t="s">
        <v>502</v>
      </c>
      <c r="AM7" s="37"/>
    </row>
    <row r="8" spans="1:39" s="3" customFormat="1" ht="30" hidden="1" customHeight="1">
      <c r="A8" s="3" t="s">
        <v>21</v>
      </c>
      <c r="B8" s="3" t="s">
        <v>21</v>
      </c>
      <c r="C8" s="3" t="s">
        <v>21</v>
      </c>
      <c r="D8" s="3" t="s">
        <v>21</v>
      </c>
      <c r="E8" s="3" t="s">
        <v>21</v>
      </c>
      <c r="F8" s="3" t="s">
        <v>21</v>
      </c>
      <c r="G8" s="3" t="s">
        <v>21</v>
      </c>
      <c r="H8" s="3" t="s">
        <v>21</v>
      </c>
      <c r="I8" s="3" t="s">
        <v>21</v>
      </c>
      <c r="J8" s="21" t="str">
        <f>DATA!B2</f>
        <v>I</v>
      </c>
      <c r="K8" s="22" t="str">
        <f>DATA!D2</f>
        <v>INFRASTRUKTUR</v>
      </c>
      <c r="L8" s="22"/>
      <c r="M8" s="22"/>
      <c r="N8" s="23"/>
      <c r="O8" s="22"/>
      <c r="P8" s="22"/>
      <c r="Q8" s="22"/>
      <c r="R8" s="79">
        <f>+R9+R125+R128+R136+R139+R144+R147</f>
        <v>35286135700</v>
      </c>
      <c r="S8" s="79"/>
      <c r="T8" s="79">
        <f>+T9+T125+T128+T136+T139+T144+T147</f>
        <v>4724797700</v>
      </c>
      <c r="U8" s="79">
        <f>+U9+U125+U128+U136+U139+U144+U147</f>
        <v>17000000</v>
      </c>
      <c r="V8" s="79">
        <f>+V9+V125+V128+V136+V139+V144+V147</f>
        <v>39777933400</v>
      </c>
      <c r="W8" s="79"/>
      <c r="X8" s="79" t="e">
        <f>+X9+X125+X128+X136+X139+X144+X147</f>
        <v>#VALUE!</v>
      </c>
      <c r="Y8" s="79">
        <f>+Y9+Y125+Y128+Y136+Y139+Y144+Y147</f>
        <v>35095755700</v>
      </c>
      <c r="Z8" s="79">
        <f>+Z9+Z125+Z128+Z136+Z139+Z144+Z147</f>
        <v>-537391404</v>
      </c>
      <c r="AA8" s="22"/>
      <c r="AB8" s="23"/>
      <c r="AC8" s="23"/>
      <c r="AD8" s="23"/>
      <c r="AE8" s="23"/>
      <c r="AF8" s="22"/>
      <c r="AG8" s="22"/>
      <c r="AH8" s="22"/>
      <c r="AI8" s="22"/>
      <c r="AJ8" s="22"/>
      <c r="AK8" s="22"/>
      <c r="AL8" s="22"/>
      <c r="AM8" s="23"/>
    </row>
    <row r="9" spans="1:39" s="4" customFormat="1" ht="24.95" hidden="1" customHeight="1">
      <c r="J9" s="24"/>
      <c r="K9" s="25">
        <f>DATA!E2</f>
        <v>1</v>
      </c>
      <c r="L9" s="26" t="str">
        <f>DATA!F2</f>
        <v>Kementerian Pekerjaan Umum dan Perumahan Rakyat</v>
      </c>
      <c r="M9" s="26"/>
      <c r="N9" s="27"/>
      <c r="O9" s="26"/>
      <c r="P9" s="26"/>
      <c r="Q9" s="26"/>
      <c r="R9" s="80">
        <f>+R10+R19+R25+R35+R53+R66+R69+R76+R90+R94+R109+R119+R123</f>
        <v>22288199000</v>
      </c>
      <c r="S9" s="80"/>
      <c r="T9" s="80">
        <f>+T10+T19+T25+T35+T53+T66+T69+T76+T90+T94+T109+T119+T123</f>
        <v>2886244500</v>
      </c>
      <c r="U9" s="80">
        <f>+U10+U19+U25+U35+U53+U66+U69+U76+U90+U94+U109+U119+U123</f>
        <v>7000000</v>
      </c>
      <c r="V9" s="80">
        <f>+V10+V19+V25+V35+V53+V66+V69+V76+V90+V94+V109+V119+V123</f>
        <v>24931443500</v>
      </c>
      <c r="W9" s="80"/>
      <c r="X9" s="80" t="e">
        <f>+X10+X19+X25+X35+X53+X66+X69+X76+X90+X94+X109+X119+X123</f>
        <v>#VALUE!</v>
      </c>
      <c r="Y9" s="80">
        <f>+Y10+Y19+Y25+Y35+Y53+Y66+Y69+Y76+Y90+Y94+Y109+Y119+Y123</f>
        <v>22097819000</v>
      </c>
      <c r="Z9" s="80">
        <f>+Z10+Z19+Z25+Z35+Z53+Z66+Z69+Z76+Z90+Z94+Z109+Z119+Z123</f>
        <v>-126391404</v>
      </c>
      <c r="AA9" s="26"/>
      <c r="AB9" s="27"/>
      <c r="AC9" s="27"/>
      <c r="AD9" s="27"/>
      <c r="AE9" s="27"/>
      <c r="AF9" s="26"/>
      <c r="AG9" s="26"/>
      <c r="AH9" s="26"/>
      <c r="AI9" s="26"/>
      <c r="AJ9" s="26"/>
      <c r="AK9" s="26"/>
      <c r="AL9" s="26"/>
      <c r="AM9" s="27"/>
    </row>
    <row r="10" spans="1:39" s="5" customFormat="1" ht="24.95" hidden="1" customHeight="1">
      <c r="J10" s="28"/>
      <c r="K10" s="29"/>
      <c r="L10" s="30" t="str">
        <f>DATA!I2</f>
        <v>A</v>
      </c>
      <c r="M10" s="31" t="str">
        <f>DATA!J2</f>
        <v xml:space="preserve">Program Pembangunan Jalan Tol </v>
      </c>
      <c r="N10" s="32"/>
      <c r="O10" s="31"/>
      <c r="P10" s="31"/>
      <c r="Q10" s="31"/>
      <c r="R10" s="81">
        <f>+R11+R14</f>
        <v>2025000000</v>
      </c>
      <c r="S10" s="81"/>
      <c r="T10" s="81">
        <f>+T11+T14</f>
        <v>173650000</v>
      </c>
      <c r="U10" s="81">
        <f>+U11+U14</f>
        <v>0</v>
      </c>
      <c r="V10" s="81">
        <f>+V11+V14</f>
        <v>2198650000</v>
      </c>
      <c r="W10" s="82"/>
      <c r="X10" s="31"/>
      <c r="Y10" s="81">
        <f>+Y11+Y14</f>
        <v>2025000000</v>
      </c>
      <c r="Z10" s="81">
        <f>+Z11+Z14</f>
        <v>0</v>
      </c>
      <c r="AA10" s="31"/>
      <c r="AB10" s="32"/>
      <c r="AC10" s="32"/>
      <c r="AD10" s="32"/>
      <c r="AE10" s="32"/>
      <c r="AF10" s="31"/>
      <c r="AG10" s="31"/>
      <c r="AH10" s="31"/>
      <c r="AI10" s="31"/>
      <c r="AJ10" s="31"/>
      <c r="AK10" s="31"/>
      <c r="AL10" s="31"/>
      <c r="AM10" s="32"/>
    </row>
    <row r="11" spans="1:39" ht="30" hidden="1" customHeight="1">
      <c r="A11" s="10">
        <f>DATA!A2</f>
        <v>1</v>
      </c>
      <c r="B11" s="10" t="str">
        <f>DATA!B2</f>
        <v>I</v>
      </c>
      <c r="C11" s="10" t="str">
        <f>DATA!D2</f>
        <v>INFRASTRUKTUR</v>
      </c>
      <c r="D11" s="10">
        <f>DATA!E2</f>
        <v>1</v>
      </c>
      <c r="E11" s="10" t="str">
        <f>DATA!F2</f>
        <v>Kementerian Pekerjaan Umum dan Perumahan Rakyat</v>
      </c>
      <c r="F11" s="10" t="str">
        <f>DATA!H2</f>
        <v>Toll Road Development Program</v>
      </c>
      <c r="G11" s="10" t="str">
        <f>DATA!I2</f>
        <v>A</v>
      </c>
      <c r="H11" s="10" t="str">
        <f>DATA!J2</f>
        <v xml:space="preserve">Program Pembangunan Jalan Tol </v>
      </c>
      <c r="I11" s="10">
        <f>DATA!K2</f>
        <v>1</v>
      </c>
      <c r="J11" s="33"/>
      <c r="K11" s="34"/>
      <c r="L11" s="35"/>
      <c r="M11" s="36">
        <f>DATA!K2</f>
        <v>1</v>
      </c>
      <c r="N11" s="37" t="str">
        <f>DATA!L2</f>
        <v>Toll Road Development in Kalimantan, Sumatera, and Java Islands</v>
      </c>
      <c r="O11" s="20">
        <f>DATA!Q2</f>
        <v>0</v>
      </c>
      <c r="P11" s="20">
        <f>DATA!R2</f>
        <v>1</v>
      </c>
      <c r="Q11" s="20">
        <f>DATA!S2</f>
        <v>1</v>
      </c>
      <c r="R11" s="77">
        <f>DATA!T2</f>
        <v>1250000000</v>
      </c>
      <c r="S11" s="77"/>
      <c r="T11" s="77">
        <f>DATA!V2</f>
        <v>101250000</v>
      </c>
      <c r="U11" s="77">
        <f>DATA!W2</f>
        <v>0</v>
      </c>
      <c r="V11" s="77">
        <f>DATA!X2</f>
        <v>1351250000</v>
      </c>
      <c r="W11" s="78" t="str">
        <f>DATA!Y2</f>
        <v>-</v>
      </c>
      <c r="X11" s="20">
        <f>DATA!Z2</f>
        <v>0</v>
      </c>
      <c r="Y11" s="77">
        <f>DATA!AA2</f>
        <v>1250000000</v>
      </c>
      <c r="Z11" s="77">
        <f>DATA!AG2</f>
        <v>0</v>
      </c>
      <c r="AA11" s="20" t="str">
        <f>DATA!AH2</f>
        <v>-</v>
      </c>
      <c r="AB11" s="37" t="str">
        <f>DATA!AI2</f>
        <v>-</v>
      </c>
      <c r="AC11" s="37" t="str">
        <f>DATA!AJ2</f>
        <v>-</v>
      </c>
      <c r="AD11" s="37" t="str">
        <f>DATA!AK2</f>
        <v>-</v>
      </c>
      <c r="AE11" s="37" t="str">
        <f>DATA!AL2</f>
        <v>-</v>
      </c>
      <c r="AF11" s="20" t="str">
        <f>DATA!AM2</f>
        <v>-</v>
      </c>
      <c r="AG11" s="20" t="str">
        <f>DATA!AN2</f>
        <v>-</v>
      </c>
      <c r="AH11" s="20" t="str">
        <f>DATA!AO2</f>
        <v>-</v>
      </c>
      <c r="AI11" s="20" t="str">
        <f>DATA!AP2</f>
        <v>-</v>
      </c>
      <c r="AJ11" s="20" t="str">
        <f>DATA!AY2</f>
        <v>-</v>
      </c>
      <c r="AK11" s="20" t="e">
        <f>DATA!#REF!</f>
        <v>#REF!</v>
      </c>
      <c r="AL11" s="20" t="str">
        <f>DATA!AZ2</f>
        <v>-</v>
      </c>
      <c r="AM11" s="37" t="str">
        <f>DATA!BA2</f>
        <v>-</v>
      </c>
    </row>
    <row r="12" spans="1:39" s="6" customFormat="1" ht="43.5" hidden="1" customHeight="1">
      <c r="A12" s="6">
        <f>DATA!A3</f>
        <v>1</v>
      </c>
      <c r="B12" s="6">
        <f>DATA!B3</f>
        <v>0</v>
      </c>
      <c r="C12" s="6" t="str">
        <f>DATA!D3</f>
        <v>INFRASTRUKTUR</v>
      </c>
      <c r="D12" s="6">
        <f>DATA!E3</f>
        <v>1</v>
      </c>
      <c r="E12" s="6" t="str">
        <f>DATA!F3</f>
        <v>Kementerian Pekerjaan Umum dan Perumahan Rakyat</v>
      </c>
      <c r="F12" s="6" t="str">
        <f>DATA!H3</f>
        <v>Toll Road Development Program</v>
      </c>
      <c r="G12" s="6" t="str">
        <f>DATA!I3</f>
        <v>A</v>
      </c>
      <c r="H12" s="6" t="str">
        <f>DATA!J3</f>
        <v xml:space="preserve">Program Pembangunan Jalan Tol </v>
      </c>
      <c r="I12" s="6">
        <f>DATA!K3</f>
        <v>1</v>
      </c>
      <c r="J12" s="38"/>
      <c r="K12" s="39"/>
      <c r="L12" s="39"/>
      <c r="M12" s="40"/>
      <c r="N12" s="41" t="str">
        <f>DATA!L3</f>
        <v>Toll Road Development in Kalimantan, Sumatera, and Java Islands</v>
      </c>
      <c r="O12" s="42">
        <f>DATA!Q3</f>
        <v>0.5</v>
      </c>
      <c r="P12" s="42">
        <f>DATA!R3</f>
        <v>0</v>
      </c>
      <c r="Q12" s="42">
        <f>DATA!S3</f>
        <v>0</v>
      </c>
      <c r="R12" s="83">
        <f>DATA!T3</f>
        <v>0</v>
      </c>
      <c r="S12" s="83">
        <f>DATA!U3</f>
        <v>0</v>
      </c>
      <c r="T12" s="83">
        <f>DATA!V3</f>
        <v>0</v>
      </c>
      <c r="U12" s="83">
        <f>DATA!W3</f>
        <v>0</v>
      </c>
      <c r="V12" s="83">
        <f>DATA!X3</f>
        <v>0</v>
      </c>
      <c r="W12" s="84" t="str">
        <f>DATA!Y3</f>
        <v>RRT</v>
      </c>
      <c r="X12" s="42" t="str">
        <f>DATA!Z3</f>
        <v>Bilateral</v>
      </c>
      <c r="Y12" s="83">
        <f>DATA!AA3</f>
        <v>1000000000</v>
      </c>
      <c r="Z12" s="83">
        <f>DATA!AG3</f>
        <v>0</v>
      </c>
      <c r="AA12" s="42">
        <f>DATA!AH3</f>
        <v>2016</v>
      </c>
      <c r="AB12" s="67" t="str">
        <f>DATA!AI3</f>
        <v>-</v>
      </c>
      <c r="AC12" s="67" t="str">
        <f>DATA!AJ3</f>
        <v>FS, AMDAL, LARAP</v>
      </c>
      <c r="AD12" s="67" t="str">
        <f>DATA!AK3</f>
        <v>(1) Cisumdawu I: 80 %
(2) Serang-Panimbang: 25%</v>
      </c>
      <c r="AE12" s="67" t="str">
        <f>DATA!AL3</f>
        <v>-</v>
      </c>
      <c r="AF12" s="42" t="str">
        <f>DATA!AM3</f>
        <v>-</v>
      </c>
      <c r="AG12" s="42" t="str">
        <f>DATA!AN3</f>
        <v>siap</v>
      </c>
      <c r="AH12" s="42" t="str">
        <f>DATA!AO3</f>
        <v>dalam proses
(pelaksanaan &lt; 50%)</v>
      </c>
      <c r="AI12" s="42" t="str">
        <f>DATA!AP3</f>
        <v>belum ada proses tender/lelang</v>
      </c>
      <c r="AJ12" s="42" t="str">
        <f>DATA!AY3</f>
        <v>- Konfirmasi melalui surat Sekjen nomor KU.01.12-Sj/636 tgl 23 Oktober 2015
- Terdiri dari 3 kegiatan: (1) seksi 1 (Ruas Cisumdawu I); (2) Serang-Panimbang; (3) Belum ditentukan
- Prioritas ruas Cisumdawu I</v>
      </c>
      <c r="AK12" s="42" t="e">
        <f>DATA!#REF!</f>
        <v>#REF!</v>
      </c>
      <c r="AL12" s="42">
        <f>DATA!AZ3</f>
        <v>0</v>
      </c>
      <c r="AM12" s="67" t="str">
        <f>DATA!BA3</f>
        <v>Pembangunan jalan tol di provinsi Kalimantan Timur, Banten, dan Sumatera Utara dengan panjang sekitar 150 km</v>
      </c>
    </row>
    <row r="13" spans="1:39" s="6" customFormat="1" ht="45.75" hidden="1" customHeight="1">
      <c r="A13" s="6">
        <f>DATA!A4</f>
        <v>2</v>
      </c>
      <c r="B13" s="6">
        <f>DATA!B4</f>
        <v>0</v>
      </c>
      <c r="C13" s="6" t="str">
        <f>DATA!D4</f>
        <v>INFRASTRUKTUR</v>
      </c>
      <c r="D13" s="6">
        <f>DATA!E4</f>
        <v>1</v>
      </c>
      <c r="E13" s="6" t="str">
        <f>DATA!F4</f>
        <v>Kementerian Pekerjaan Umum dan Perumahan Rakyat</v>
      </c>
      <c r="F13" s="6" t="str">
        <f>DATA!H4</f>
        <v>Toll Road Development Program</v>
      </c>
      <c r="G13" s="6" t="str">
        <f>DATA!I4</f>
        <v>A</v>
      </c>
      <c r="H13" s="6" t="str">
        <f>DATA!J4</f>
        <v xml:space="preserve">Program Pembangunan Jalan Tol </v>
      </c>
      <c r="I13" s="6">
        <f>DATA!K4</f>
        <v>1</v>
      </c>
      <c r="J13" s="38"/>
      <c r="K13" s="39"/>
      <c r="L13" s="39"/>
      <c r="M13" s="43"/>
      <c r="N13" s="41" t="str">
        <f>DATA!L4</f>
        <v>Toll Road Development in Kalimantan, Sumatera, and Java Islands</v>
      </c>
      <c r="O13" s="42">
        <f>DATA!Q4</f>
        <v>0.5</v>
      </c>
      <c r="P13" s="42">
        <f>DATA!R4</f>
        <v>0</v>
      </c>
      <c r="Q13" s="42">
        <f>DATA!S4</f>
        <v>0</v>
      </c>
      <c r="R13" s="83">
        <f>DATA!T4</f>
        <v>0</v>
      </c>
      <c r="S13" s="83">
        <f>DATA!U4</f>
        <v>0</v>
      </c>
      <c r="T13" s="83">
        <f>DATA!V4</f>
        <v>0</v>
      </c>
      <c r="U13" s="83">
        <f>DATA!W4</f>
        <v>0</v>
      </c>
      <c r="V13" s="83">
        <f>DATA!X4</f>
        <v>0</v>
      </c>
      <c r="W13" s="84" t="str">
        <f>DATA!Y4</f>
        <v>Korea</v>
      </c>
      <c r="X13" s="42" t="str">
        <f>DATA!Z4</f>
        <v>Bilateral</v>
      </c>
      <c r="Y13" s="83">
        <f>DATA!AA4</f>
        <v>250000000</v>
      </c>
      <c r="Z13" s="83">
        <f>DATA!AG4</f>
        <v>0</v>
      </c>
      <c r="AA13" s="42">
        <f>DATA!AH4</f>
        <v>2016</v>
      </c>
      <c r="AB13" s="67" t="str">
        <f>DATA!AI4</f>
        <v>-</v>
      </c>
      <c r="AC13" s="67" t="str">
        <f>DATA!AJ4</f>
        <v>FS, AMDAL, LARAP</v>
      </c>
      <c r="AD13" s="67" t="str">
        <f>DATA!AK4</f>
        <v>(1) Cisumdawu I: 80 %
(2) Serang-Panimbang: 25%</v>
      </c>
      <c r="AE13" s="67" t="str">
        <f>DATA!AL4</f>
        <v>-</v>
      </c>
      <c r="AF13" s="42" t="str">
        <f>DATA!AM4</f>
        <v>-</v>
      </c>
      <c r="AG13" s="42" t="str">
        <f>DATA!AN4</f>
        <v>siap</v>
      </c>
      <c r="AH13" s="42" t="str">
        <f>DATA!AO4</f>
        <v>dalam proses
(pelaksanaan &lt; 50%)</v>
      </c>
      <c r="AI13" s="42" t="str">
        <f>DATA!AP4</f>
        <v>belum ada proses tender/lelang</v>
      </c>
      <c r="AJ13" s="42" t="str">
        <f>DATA!AY4</f>
        <v>- Konfirmasi melalui surat Sekjen nomor KU.01.12-Sj/636 tgl 23 Oktober 2015
- Terdiri dari 3 kegiatan: (1) seksi 1 (Ruas Cisumdawu I); (2) Serang-Panimbang; (3) Belum ditentukan
- Prioritas ruas Cisumdawu I</v>
      </c>
      <c r="AK13" s="42" t="e">
        <f>DATA!#REF!</f>
        <v>#REF!</v>
      </c>
      <c r="AL13" s="42">
        <f>DATA!AZ4</f>
        <v>0</v>
      </c>
      <c r="AM13" s="67" t="str">
        <f>DATA!BA4</f>
        <v>Pembangunan jalan tol di provinsi Kalimantan Timur, Banten, dan Sumatera Utara dengan panjang sekitar 150 km</v>
      </c>
    </row>
    <row r="14" spans="1:39" ht="29.25" hidden="1" customHeight="1">
      <c r="A14" s="10">
        <f>DATA!A5</f>
        <v>3</v>
      </c>
      <c r="B14" s="10">
        <f>DATA!B5</f>
        <v>0</v>
      </c>
      <c r="C14" s="10" t="str">
        <f>DATA!D5</f>
        <v>INFRASTRUKTUR</v>
      </c>
      <c r="D14" s="10">
        <f>DATA!E5</f>
        <v>1</v>
      </c>
      <c r="E14" s="10" t="str">
        <f>DATA!F5</f>
        <v>Kementerian Pekerjaan Umum dan Perumahan Rakyat</v>
      </c>
      <c r="F14" s="10" t="str">
        <f>DATA!H5</f>
        <v>Toll Road Development Program</v>
      </c>
      <c r="G14" s="10" t="str">
        <f>DATA!I5</f>
        <v>A</v>
      </c>
      <c r="H14" s="10" t="str">
        <f>DATA!J5</f>
        <v xml:space="preserve">Program Pembangunan Jalan Tol </v>
      </c>
      <c r="I14" s="10">
        <f>DATA!K5</f>
        <v>2</v>
      </c>
      <c r="J14" s="33"/>
      <c r="K14" s="34"/>
      <c r="L14" s="34"/>
      <c r="M14" s="36">
        <f>DATA!K5</f>
        <v>2</v>
      </c>
      <c r="N14" s="37" t="str">
        <f>DATA!L5</f>
        <v>Toll Road Development in Selected Area:</v>
      </c>
      <c r="O14" s="20">
        <f>DATA!Q5</f>
        <v>0</v>
      </c>
      <c r="P14" s="20">
        <f>DATA!R5</f>
        <v>0</v>
      </c>
      <c r="Q14" s="20">
        <f>DATA!S5</f>
        <v>0</v>
      </c>
      <c r="R14" s="77">
        <f>DATA!T5</f>
        <v>775000000</v>
      </c>
      <c r="S14" s="83">
        <f>DATA!U5</f>
        <v>775000000</v>
      </c>
      <c r="T14" s="77">
        <f>DATA!V5</f>
        <v>72400000</v>
      </c>
      <c r="U14" s="77">
        <f>DATA!W5</f>
        <v>0</v>
      </c>
      <c r="V14" s="77">
        <f>DATA!X5</f>
        <v>847400000</v>
      </c>
      <c r="W14" s="78" t="str">
        <f>DATA!Y5</f>
        <v>-</v>
      </c>
      <c r="X14" s="20">
        <f>DATA!Z5</f>
        <v>0</v>
      </c>
      <c r="Y14" s="77">
        <f>DATA!AA5</f>
        <v>775000000</v>
      </c>
      <c r="Z14" s="77">
        <f>DATA!AG5</f>
        <v>0</v>
      </c>
      <c r="AA14" s="20" t="str">
        <f>DATA!AH5</f>
        <v>-</v>
      </c>
      <c r="AB14" s="37" t="str">
        <f>DATA!AI5</f>
        <v>-</v>
      </c>
      <c r="AC14" s="37" t="str">
        <f>DATA!AJ5</f>
        <v>-</v>
      </c>
      <c r="AD14" s="37" t="str">
        <f>DATA!AK5</f>
        <v>-</v>
      </c>
      <c r="AE14" s="37" t="str">
        <f>DATA!AL5</f>
        <v>-</v>
      </c>
      <c r="AF14" s="20" t="str">
        <f>DATA!AM5</f>
        <v>-</v>
      </c>
      <c r="AG14" s="20">
        <f>DATA!AN5</f>
        <v>0</v>
      </c>
      <c r="AH14" s="20" t="str">
        <f>DATA!AO5</f>
        <v>-</v>
      </c>
      <c r="AI14" s="20">
        <f>DATA!AP5</f>
        <v>0</v>
      </c>
      <c r="AJ14" s="20" t="str">
        <f>DATA!AY5</f>
        <v>Konfirmasi melalui surat Sekjen nomor KU.01.12-Sj/636 tgl 23 Oktober 2015</v>
      </c>
      <c r="AK14" s="20" t="e">
        <f>DATA!#REF!</f>
        <v>#REF!</v>
      </c>
      <c r="AL14" s="20">
        <f>DATA!AZ5</f>
        <v>0</v>
      </c>
      <c r="AM14" s="37" t="str">
        <f>DATA!BA5</f>
        <v>Pembangunan jalan tol di berbagai wilayah dengan total sepanjang 55,94 km</v>
      </c>
    </row>
    <row r="15" spans="1:39" s="7" customFormat="1" ht="57" hidden="1" customHeight="1">
      <c r="A15" s="6">
        <f>DATA!A6</f>
        <v>4</v>
      </c>
      <c r="B15" s="6">
        <f>DATA!B6</f>
        <v>0</v>
      </c>
      <c r="C15" s="6" t="str">
        <f>DATA!D6</f>
        <v>INFRASTRUKTUR</v>
      </c>
      <c r="D15" s="6">
        <f>DATA!E6</f>
        <v>1</v>
      </c>
      <c r="E15" s="6" t="str">
        <f>DATA!F6</f>
        <v>Kementerian Pekerjaan Umum dan Perumahan Rakyat</v>
      </c>
      <c r="F15" s="6" t="str">
        <f>DATA!H6</f>
        <v>Toll Road Development Program</v>
      </c>
      <c r="G15" s="6" t="str">
        <f>DATA!I6</f>
        <v>A</v>
      </c>
      <c r="H15" s="6" t="str">
        <f>DATA!J6</f>
        <v xml:space="preserve">Program Pembangunan Jalan Tol </v>
      </c>
      <c r="I15" s="6">
        <f>DATA!K6</f>
        <v>2</v>
      </c>
      <c r="J15" s="44"/>
      <c r="K15" s="45"/>
      <c r="L15" s="45"/>
      <c r="M15" s="46"/>
      <c r="N15" s="47" t="str">
        <f>DATA!L6</f>
        <v>Development of Cileunyi - Sumedang - Dawuan Toll Road Phase II</v>
      </c>
      <c r="O15" s="42">
        <f>DATA!Q6</f>
        <v>1</v>
      </c>
      <c r="P15" s="42">
        <f>DATA!R6</f>
        <v>1</v>
      </c>
      <c r="Q15" s="42">
        <f>DATA!S6</f>
        <v>2</v>
      </c>
      <c r="R15" s="85">
        <f>DATA!T6</f>
        <v>330000000</v>
      </c>
      <c r="S15" s="85">
        <f>DATA!U6</f>
        <v>330000000</v>
      </c>
      <c r="T15" s="85">
        <f>DATA!V6</f>
        <v>26000000</v>
      </c>
      <c r="U15" s="83">
        <f>DATA!W6</f>
        <v>0</v>
      </c>
      <c r="V15" s="85">
        <f>DATA!X6</f>
        <v>356000000</v>
      </c>
      <c r="W15" s="86" t="str">
        <f>DATA!Y6</f>
        <v>RRT</v>
      </c>
      <c r="X15" s="42" t="str">
        <f>DATA!Z6</f>
        <v>Bilateral</v>
      </c>
      <c r="Y15" s="85">
        <f>DATA!AA6</f>
        <v>330000000</v>
      </c>
      <c r="Z15" s="85">
        <f>DATA!AG6</f>
        <v>0</v>
      </c>
      <c r="AA15" s="98">
        <f>DATA!AH6</f>
        <v>2015</v>
      </c>
      <c r="AB15" s="68" t="str">
        <f>DATA!AI6</f>
        <v>- Sudah ada R/C
- Green Book 2015
- Proses LA</v>
      </c>
      <c r="AC15" s="68" t="str">
        <f>DATA!AJ6</f>
        <v>FS, DED</v>
      </c>
      <c r="AD15" s="99">
        <f>DATA!AK6</f>
        <v>0.80200000000000005</v>
      </c>
      <c r="AE15" s="68" t="str">
        <f>DATA!AL6</f>
        <v>Kontrak sudah ditandatangani</v>
      </c>
      <c r="AF15" s="42" t="str">
        <f>DATA!AR6</f>
        <v>Nilai pinjaman di:
- GB 16 USD 219.399 ribu
- GB 15 USD 235.000 ribu</v>
      </c>
      <c r="AG15" s="42" t="str">
        <f>DATA!AN6</f>
        <v>(memiliki FS dan DED)</v>
      </c>
      <c r="AH15" s="42" t="str">
        <f>DATA!AO6</f>
        <v>dalam proses
(pelaksanaan 80%)</v>
      </c>
      <c r="AI15" s="42" t="str">
        <f>DATA!AP6</f>
        <v>dalam proses tender/lelang</v>
      </c>
      <c r="AJ15" s="42" t="str">
        <f>DATA!AY6</f>
        <v>Konfirmasi melalui surat Sekjen nomor KU.01.12-Sj/636 tgl 23 Oktober 2015</v>
      </c>
      <c r="AK15" s="42" t="e">
        <f>DATA!#REF!</f>
        <v>#REF!</v>
      </c>
      <c r="AL15" s="42">
        <f>DATA!AZ6</f>
        <v>0</v>
      </c>
      <c r="AM15" s="67" t="str">
        <f>DATA!BA6</f>
        <v>- Pembangunan jalan tol Cileunyi-Sumedang-Dawuan sepanjang 11,1 km 
- Pelayanan konsultasi untuk DED dan pengawasan konstruksi</v>
      </c>
    </row>
    <row r="16" spans="1:39" s="7" customFormat="1" ht="36.75" hidden="1" customHeight="1">
      <c r="A16" s="6">
        <f>DATA!A7</f>
        <v>5</v>
      </c>
      <c r="B16" s="6">
        <f>DATA!B7</f>
        <v>0</v>
      </c>
      <c r="C16" s="6" t="str">
        <f>DATA!D7</f>
        <v>INFRASTRUKTUR</v>
      </c>
      <c r="D16" s="6">
        <f>DATA!E7</f>
        <v>1</v>
      </c>
      <c r="E16" s="6" t="str">
        <f>DATA!F7</f>
        <v>Kementerian Pekerjaan Umum dan Perumahan Rakyat</v>
      </c>
      <c r="F16" s="6" t="str">
        <f>DATA!H7</f>
        <v>Toll Road Development Program</v>
      </c>
      <c r="G16" s="6" t="str">
        <f>DATA!I7</f>
        <v>A</v>
      </c>
      <c r="H16" s="6" t="str">
        <f>DATA!J7</f>
        <v xml:space="preserve">Program Pembangunan Jalan Tol </v>
      </c>
      <c r="I16" s="6">
        <f>DATA!K7</f>
        <v>2</v>
      </c>
      <c r="J16" s="44"/>
      <c r="K16" s="45"/>
      <c r="L16" s="45"/>
      <c r="M16" s="46"/>
      <c r="N16" s="47" t="str">
        <f>DATA!L7</f>
        <v xml:space="preserve">Toll Road Development of Balikpapan - Samarinda </v>
      </c>
      <c r="O16" s="42">
        <f>DATA!Q7</f>
        <v>1</v>
      </c>
      <c r="P16" s="42">
        <f>DATA!R7</f>
        <v>1</v>
      </c>
      <c r="Q16" s="42">
        <f>DATA!S7</f>
        <v>3</v>
      </c>
      <c r="R16" s="85">
        <f>DATA!T7</f>
        <v>65000000</v>
      </c>
      <c r="S16" s="85">
        <f>DATA!U7</f>
        <v>65000000</v>
      </c>
      <c r="T16" s="85">
        <f>DATA!V7</f>
        <v>6500000</v>
      </c>
      <c r="U16" s="83">
        <f>DATA!W7</f>
        <v>0</v>
      </c>
      <c r="V16" s="85">
        <f>DATA!X7</f>
        <v>71500000</v>
      </c>
      <c r="W16" s="86" t="str">
        <f>DATA!Y7</f>
        <v>RRT</v>
      </c>
      <c r="X16" s="42" t="str">
        <f>DATA!Z7</f>
        <v>Bilateral</v>
      </c>
      <c r="Y16" s="85">
        <f>DATA!AA7</f>
        <v>65000000</v>
      </c>
      <c r="Z16" s="85">
        <f>DATA!AG7</f>
        <v>0</v>
      </c>
      <c r="AA16" s="98">
        <f>DATA!AH7</f>
        <v>2015</v>
      </c>
      <c r="AB16" s="68" t="str">
        <f>DATA!AI7</f>
        <v>- Sudah ada R/C
- Green Book 2015
- Loan Agreement tgl 29 Des'15</v>
      </c>
      <c r="AC16" s="68" t="str">
        <f>DATA!AJ7</f>
        <v>FS, DED</v>
      </c>
      <c r="AD16" s="99">
        <f>DATA!AK7</f>
        <v>0.55200000000000005</v>
      </c>
      <c r="AE16" s="68" t="str">
        <f>DATA!AL7</f>
        <v>Kontrak sudah ditandatangani</v>
      </c>
      <c r="AF16" s="42" t="str">
        <f>DATA!AR7</f>
        <v>Nilai pinjaman di GB USD 65.000 ribu</v>
      </c>
      <c r="AG16" s="42" t="str">
        <f>DATA!AN7</f>
        <v>(memiliki FS dan DED)</v>
      </c>
      <c r="AH16" s="42" t="str">
        <f>DATA!AO7</f>
        <v>dalam proses
(pelaksanaan 55%)</v>
      </c>
      <c r="AI16" s="42" t="str">
        <f>DATA!AP7</f>
        <v>dalam proses tender/lelang</v>
      </c>
      <c r="AJ16" s="42" t="str">
        <f>DATA!AY7</f>
        <v>Konfirmasi melalui surat Sekjen nomor KU.01.12-Sj/636 tgl 23 Oktober 2015</v>
      </c>
      <c r="AK16" s="42" t="e">
        <f>DATA!#REF!</f>
        <v>#REF!</v>
      </c>
      <c r="AL16" s="42">
        <f>DATA!AZ7</f>
        <v>0</v>
      </c>
      <c r="AM16" s="67" t="str">
        <f>DATA!BA7</f>
        <v xml:space="preserve">Pembangunan jalan tol Balikpapan-Samarinda sepanjang 11,09 km </v>
      </c>
    </row>
    <row r="17" spans="1:39" s="7" customFormat="1" ht="33" hidden="1" customHeight="1">
      <c r="A17" s="6">
        <f>DATA!A8</f>
        <v>6</v>
      </c>
      <c r="B17" s="6">
        <f>DATA!B8</f>
        <v>0</v>
      </c>
      <c r="C17" s="6" t="str">
        <f>DATA!D8</f>
        <v>INFRASTRUKTUR</v>
      </c>
      <c r="D17" s="6">
        <f>DATA!E8</f>
        <v>1</v>
      </c>
      <c r="E17" s="6" t="str">
        <f>DATA!F8</f>
        <v>Kementerian Pekerjaan Umum dan Perumahan Rakyat</v>
      </c>
      <c r="F17" s="6" t="str">
        <f>DATA!H8</f>
        <v>Toll Road Development Program</v>
      </c>
      <c r="G17" s="6" t="str">
        <f>DATA!I8</f>
        <v>A</v>
      </c>
      <c r="H17" s="6" t="str">
        <f>DATA!J8</f>
        <v xml:space="preserve">Program Pembangunan Jalan Tol </v>
      </c>
      <c r="I17" s="6">
        <f>DATA!K8</f>
        <v>2</v>
      </c>
      <c r="J17" s="44"/>
      <c r="K17" s="45"/>
      <c r="L17" s="45"/>
      <c r="M17" s="46"/>
      <c r="N17" s="47" t="str">
        <f>DATA!L8</f>
        <v xml:space="preserve">Toll Road Development of Manado - Bitung </v>
      </c>
      <c r="O17" s="42">
        <f>DATA!Q8</f>
        <v>1</v>
      </c>
      <c r="P17" s="42">
        <f>DATA!R8</f>
        <v>1</v>
      </c>
      <c r="Q17" s="42">
        <f>DATA!S8</f>
        <v>4</v>
      </c>
      <c r="R17" s="85">
        <f>DATA!T8</f>
        <v>80000000</v>
      </c>
      <c r="S17" s="85">
        <f>DATA!U8</f>
        <v>80000000</v>
      </c>
      <c r="T17" s="85">
        <f>DATA!V8</f>
        <v>8000000</v>
      </c>
      <c r="U17" s="83">
        <f>DATA!W8</f>
        <v>0</v>
      </c>
      <c r="V17" s="85">
        <f>DATA!X8</f>
        <v>88000000</v>
      </c>
      <c r="W17" s="86" t="str">
        <f>DATA!Y8</f>
        <v>RRT</v>
      </c>
      <c r="X17" s="42" t="str">
        <f>DATA!Z8</f>
        <v>Bilateral</v>
      </c>
      <c r="Y17" s="85">
        <f>DATA!AA8</f>
        <v>80000000</v>
      </c>
      <c r="Z17" s="85">
        <f>DATA!AG8</f>
        <v>0</v>
      </c>
      <c r="AA17" s="98">
        <f>DATA!AH8</f>
        <v>2015</v>
      </c>
      <c r="AB17" s="68" t="str">
        <f>DATA!AI8</f>
        <v>- Sudah ada R/C
- Green Book 2015
- Proses LA</v>
      </c>
      <c r="AC17" s="68" t="str">
        <f>DATA!AJ8</f>
        <v>FS, DED</v>
      </c>
      <c r="AD17" s="99">
        <f>DATA!AK8</f>
        <v>0.93840000000000001</v>
      </c>
      <c r="AE17" s="68" t="str">
        <f>DATA!AL8</f>
        <v>Kontrak sudah ditandatangani</v>
      </c>
      <c r="AF17" s="42" t="str">
        <f>DATA!AR8</f>
        <v>Nilai pinjaman di: 
- GB 16 USD 78.100 ribu
- GB 15 USD 80.000 ribu</v>
      </c>
      <c r="AG17" s="42" t="str">
        <f>DATA!AN8</f>
        <v>(memiliki FS dan DED)</v>
      </c>
      <c r="AH17" s="42" t="str">
        <f>DATA!AO8</f>
        <v>dalam proses
(pelaksanaan 94%)</v>
      </c>
      <c r="AI17" s="42" t="str">
        <f>DATA!AP8</f>
        <v>dalam proses tender/lelang</v>
      </c>
      <c r="AJ17" s="42" t="str">
        <f>DATA!AY8</f>
        <v>Konfirmasi melalui surat Sekjen nomor KU.01.12-Sj/636 tgl 23 Oktober 2015</v>
      </c>
      <c r="AK17" s="42" t="e">
        <f>DATA!#REF!</f>
        <v>#REF!</v>
      </c>
      <c r="AL17" s="42">
        <f>DATA!AZ8</f>
        <v>0</v>
      </c>
      <c r="AM17" s="67" t="str">
        <f>DATA!BA8</f>
        <v xml:space="preserve">Pembangunan jalan tol Manado-Bitung sepanjang 7,3 km </v>
      </c>
    </row>
    <row r="18" spans="1:39" s="7" customFormat="1" ht="34.5" hidden="1" customHeight="1">
      <c r="A18" s="6">
        <f>DATA!A9</f>
        <v>7</v>
      </c>
      <c r="B18" s="6">
        <f>DATA!B9</f>
        <v>0</v>
      </c>
      <c r="C18" s="6" t="str">
        <f>DATA!D9</f>
        <v>INFRASTRUKTUR</v>
      </c>
      <c r="D18" s="6">
        <f>DATA!E9</f>
        <v>1</v>
      </c>
      <c r="E18" s="6" t="str">
        <f>DATA!F9</f>
        <v>Kementerian Pekerjaan Umum dan Perumahan Rakyat</v>
      </c>
      <c r="F18" s="6" t="str">
        <f>DATA!H9</f>
        <v>Toll Road Development Program</v>
      </c>
      <c r="G18" s="6" t="str">
        <f>DATA!I9</f>
        <v>A</v>
      </c>
      <c r="H18" s="6" t="str">
        <f>DATA!J9</f>
        <v xml:space="preserve">Program Pembangunan Jalan Tol </v>
      </c>
      <c r="I18" s="6">
        <f>DATA!K9</f>
        <v>2</v>
      </c>
      <c r="J18" s="44"/>
      <c r="K18" s="45"/>
      <c r="L18" s="45"/>
      <c r="M18" s="48"/>
      <c r="N18" s="49" t="str">
        <f>DATA!L9</f>
        <v xml:space="preserve">Toll Road Development of Solo - Kertosono </v>
      </c>
      <c r="O18" s="42">
        <f>DATA!Q9</f>
        <v>1</v>
      </c>
      <c r="P18" s="42">
        <f>DATA!R9</f>
        <v>1</v>
      </c>
      <c r="Q18" s="42">
        <f>DATA!S9</f>
        <v>5</v>
      </c>
      <c r="R18" s="85">
        <f>DATA!T9</f>
        <v>300000000</v>
      </c>
      <c r="S18" s="85">
        <f>DATA!U9</f>
        <v>300000000</v>
      </c>
      <c r="T18" s="85">
        <f>DATA!V9</f>
        <v>31900000</v>
      </c>
      <c r="U18" s="83">
        <f>DATA!W9</f>
        <v>0</v>
      </c>
      <c r="V18" s="85">
        <f>DATA!X9</f>
        <v>331900000</v>
      </c>
      <c r="W18" s="86" t="str">
        <f>DATA!Y9</f>
        <v>RRT</v>
      </c>
      <c r="X18" s="42" t="str">
        <f>DATA!Z9</f>
        <v>Bilateral</v>
      </c>
      <c r="Y18" s="85">
        <f>DATA!AA9</f>
        <v>300000000</v>
      </c>
      <c r="Z18" s="85">
        <f>DATA!AG9</f>
        <v>0</v>
      </c>
      <c r="AA18" s="98">
        <f>DATA!AH9</f>
        <v>2015</v>
      </c>
      <c r="AB18" s="68" t="str">
        <f>DATA!AI9</f>
        <v>- Sudah ada R/C
- Green Book 2015
- Loan Agreement tgl 29 Des'15</v>
      </c>
      <c r="AC18" s="68" t="str">
        <f>DATA!AJ9</f>
        <v>FS, DED</v>
      </c>
      <c r="AD18" s="99">
        <f>DATA!AK9</f>
        <v>0.62229999999999996</v>
      </c>
      <c r="AE18" s="68" t="str">
        <f>DATA!AL9</f>
        <v>Kontrak sudah ditandatangani</v>
      </c>
      <c r="AF18" s="42" t="str">
        <f>DATA!AR9</f>
        <v>Nilai pinjaman di GB USD 200.000 ribu</v>
      </c>
      <c r="AG18" s="42" t="str">
        <f>DATA!AN9</f>
        <v>(memiliki FS dan DED)</v>
      </c>
      <c r="AH18" s="42" t="str">
        <f>DATA!AO9</f>
        <v>dalam proses
(pelaksanaan 62%)</v>
      </c>
      <c r="AI18" s="42" t="str">
        <f>DATA!AP9</f>
        <v>dalam proses tender/lelang</v>
      </c>
      <c r="AJ18" s="42" t="str">
        <f>DATA!AY9</f>
        <v>Konfirmasi melalui surat Sekjen nomor KU.01.12-Sj/636 tgl 23 Oktober 2015</v>
      </c>
      <c r="AK18" s="42" t="e">
        <f>DATA!#REF!</f>
        <v>#REF!</v>
      </c>
      <c r="AL18" s="42">
        <f>DATA!AZ9</f>
        <v>0</v>
      </c>
      <c r="AM18" s="67" t="str">
        <f>DATA!BA9</f>
        <v xml:space="preserve">Pembangunan jalan tol Solo-Kertosono sepanjang 26,45 km </v>
      </c>
    </row>
    <row r="19" spans="1:39" s="5" customFormat="1" ht="33.75" hidden="1" customHeight="1">
      <c r="J19" s="28"/>
      <c r="K19" s="50"/>
      <c r="L19" s="30" t="str">
        <f>DATA!I10</f>
        <v>B</v>
      </c>
      <c r="M19" s="31" t="str">
        <f>DATA!J10</f>
        <v xml:space="preserve">Program Pembangunan / Peningkatan Jembatan </v>
      </c>
      <c r="N19" s="51"/>
      <c r="O19" s="31"/>
      <c r="P19" s="31"/>
      <c r="Q19" s="31"/>
      <c r="R19" s="81">
        <f>SUM(R20:R24)</f>
        <v>1500000000</v>
      </c>
      <c r="S19" s="81"/>
      <c r="T19" s="81">
        <f t="shared" ref="T19:Z19" si="0">SUM(T20:T24)</f>
        <v>126500000</v>
      </c>
      <c r="U19" s="81">
        <f t="shared" si="0"/>
        <v>0</v>
      </c>
      <c r="V19" s="81">
        <f t="shared" si="0"/>
        <v>1626500000</v>
      </c>
      <c r="W19" s="81"/>
      <c r="X19" s="81">
        <f t="shared" si="0"/>
        <v>0</v>
      </c>
      <c r="Y19" s="81">
        <f t="shared" si="0"/>
        <v>1500000000</v>
      </c>
      <c r="Z19" s="81">
        <f t="shared" si="0"/>
        <v>0</v>
      </c>
      <c r="AA19" s="31"/>
      <c r="AB19" s="32"/>
      <c r="AC19" s="32"/>
      <c r="AD19" s="32"/>
      <c r="AE19" s="32"/>
      <c r="AF19" s="31"/>
      <c r="AG19" s="31"/>
      <c r="AH19" s="31"/>
      <c r="AI19" s="31"/>
      <c r="AJ19" s="31"/>
      <c r="AK19" s="31"/>
      <c r="AL19" s="31"/>
      <c r="AM19" s="32"/>
    </row>
    <row r="20" spans="1:39" ht="45" hidden="1" customHeight="1">
      <c r="A20" s="10">
        <f>DATA!A10</f>
        <v>8</v>
      </c>
      <c r="B20" s="10">
        <f>DATA!B10</f>
        <v>0</v>
      </c>
      <c r="C20" s="10" t="str">
        <f>DATA!D10</f>
        <v>INFRASTRUKTUR</v>
      </c>
      <c r="D20" s="10">
        <f>DATA!E10</f>
        <v>1</v>
      </c>
      <c r="E20" s="10" t="str">
        <f>DATA!F10</f>
        <v>Kementerian Pekerjaan Umum dan Perumahan Rakyat</v>
      </c>
      <c r="F20" s="10" t="str">
        <f>DATA!H10</f>
        <v>Development and Improvement of National Bridges Program</v>
      </c>
      <c r="G20" s="10" t="str">
        <f>DATA!I10</f>
        <v>B</v>
      </c>
      <c r="H20" s="10" t="str">
        <f>DATA!J10</f>
        <v xml:space="preserve">Program Pembangunan / Peningkatan Jembatan </v>
      </c>
      <c r="I20" s="10">
        <f>DATA!K10</f>
        <v>1</v>
      </c>
      <c r="J20" s="33"/>
      <c r="K20" s="34"/>
      <c r="L20" s="35"/>
      <c r="M20" s="52">
        <f>DATA!K10</f>
        <v>1</v>
      </c>
      <c r="N20" s="53" t="str">
        <f>DATA!L10</f>
        <v>Material Procurement for Construction and Bridge Rehabilitation</v>
      </c>
      <c r="O20" s="20">
        <f>DATA!Q10</f>
        <v>1</v>
      </c>
      <c r="P20" s="20">
        <f>DATA!R10</f>
        <v>1</v>
      </c>
      <c r="Q20" s="20">
        <f>DATA!S10</f>
        <v>6</v>
      </c>
      <c r="R20" s="77">
        <f>DATA!T10</f>
        <v>450000000</v>
      </c>
      <c r="S20" s="83">
        <f>DATA!U10</f>
        <v>450000000</v>
      </c>
      <c r="T20" s="77">
        <f>DATA!V10</f>
        <v>0</v>
      </c>
      <c r="U20" s="77">
        <f>DATA!W10</f>
        <v>0</v>
      </c>
      <c r="V20" s="77">
        <f>DATA!X10</f>
        <v>450000000</v>
      </c>
      <c r="W20" s="78" t="str">
        <f>DATA!Y10</f>
        <v>Spanyol/RRT</v>
      </c>
      <c r="X20" s="20" t="str">
        <f>DATA!Z10</f>
        <v>Multi Lender</v>
      </c>
      <c r="Y20" s="77">
        <f>DATA!AA10</f>
        <v>450000000</v>
      </c>
      <c r="Z20" s="77">
        <f>DATA!AG10</f>
        <v>0</v>
      </c>
      <c r="AA20" s="20">
        <f>DATA!AH10</f>
        <v>2017</v>
      </c>
      <c r="AB20" s="37" t="str">
        <f>DATA!AI10</f>
        <v>-</v>
      </c>
      <c r="AC20" s="37" t="str">
        <f>DATA!AJ10</f>
        <v>-</v>
      </c>
      <c r="AD20" s="37" t="str">
        <f>DATA!AK10</f>
        <v>-</v>
      </c>
      <c r="AE20" s="37" t="str">
        <f>DATA!AL10</f>
        <v>-</v>
      </c>
      <c r="AF20" s="20" t="str">
        <f>DATA!AR10</f>
        <v>belum ada dokumen R/C</v>
      </c>
      <c r="AG20" s="20" t="str">
        <f>DATA!AN10</f>
        <v>belum ada keterangan</v>
      </c>
      <c r="AH20" s="20" t="str">
        <f>DATA!AO10</f>
        <v>belum ada keterangan</v>
      </c>
      <c r="AI20" s="20" t="str">
        <f>DATA!AP10</f>
        <v>belum ada proses tender/lelang</v>
      </c>
      <c r="AJ20" s="20" t="str">
        <f>DATA!AY10</f>
        <v>- Konfirmasi melalui surat Sekjen nomor KU.01.12-Sj/636 tgl 23 Oktober 2015
- Telah ada pengalaman sebelumnya dengan Loan Spanyol</v>
      </c>
      <c r="AK20" s="20" t="e">
        <f>DATA!#REF!</f>
        <v>#REF!</v>
      </c>
      <c r="AL20" s="20">
        <f>DATA!AZ10</f>
        <v>0</v>
      </c>
      <c r="AM20" s="37" t="str">
        <f>DATA!BA10</f>
        <v>Pengadaan material rangka jembatan untuk pekerjaan konstruksi dan rehabilitasi sekitar 55.000 m jembatan yang ada di Indonesia</v>
      </c>
    </row>
    <row r="21" spans="1:39" ht="45" hidden="1" customHeight="1">
      <c r="A21" s="10">
        <f>DATA!A11</f>
        <v>9</v>
      </c>
      <c r="B21" s="10">
        <f>DATA!B11</f>
        <v>0</v>
      </c>
      <c r="C21" s="10" t="str">
        <f>DATA!D11</f>
        <v>INFRASTRUKTUR</v>
      </c>
      <c r="D21" s="10">
        <f>DATA!E11</f>
        <v>1</v>
      </c>
      <c r="E21" s="10" t="str">
        <f>DATA!F11</f>
        <v>Kementerian Pekerjaan Umum dan Perumahan Rakyat</v>
      </c>
      <c r="F21" s="10" t="str">
        <f>DATA!H11</f>
        <v>Development and Improvement of National Bridges Program</v>
      </c>
      <c r="G21" s="10" t="str">
        <f>DATA!I11</f>
        <v>B</v>
      </c>
      <c r="H21" s="10" t="str">
        <f>DATA!J11</f>
        <v xml:space="preserve">Program Pembangunan / Peningkatan Jembatan </v>
      </c>
      <c r="I21" s="10">
        <f>DATA!K11</f>
        <v>2</v>
      </c>
      <c r="J21" s="33"/>
      <c r="K21" s="34"/>
      <c r="L21" s="34"/>
      <c r="M21" s="36">
        <f>DATA!K11</f>
        <v>2</v>
      </c>
      <c r="N21" s="37" t="str">
        <f>DATA!L11</f>
        <v>Development of Fly Over/ Under Pass for Railways Crossing</v>
      </c>
      <c r="O21" s="20">
        <f>DATA!Q11</f>
        <v>1</v>
      </c>
      <c r="P21" s="20">
        <f>DATA!R11</f>
        <v>1</v>
      </c>
      <c r="Q21" s="20">
        <f>DATA!S11</f>
        <v>7</v>
      </c>
      <c r="R21" s="77">
        <f>DATA!T11</f>
        <v>250000000</v>
      </c>
      <c r="S21" s="83">
        <f>DATA!U11</f>
        <v>250000000</v>
      </c>
      <c r="T21" s="77">
        <f>DATA!V11</f>
        <v>50000000</v>
      </c>
      <c r="U21" s="77">
        <f>DATA!W11</f>
        <v>0</v>
      </c>
      <c r="V21" s="77">
        <f>DATA!X11</f>
        <v>300000000</v>
      </c>
      <c r="W21" s="78" t="str">
        <f>DATA!Y11</f>
        <v>JICA</v>
      </c>
      <c r="X21" s="20" t="str">
        <f>DATA!Z11</f>
        <v>Bilateral</v>
      </c>
      <c r="Y21" s="77">
        <f>DATA!AA11</f>
        <v>250000000</v>
      </c>
      <c r="Z21" s="77">
        <f>DATA!AG11</f>
        <v>0</v>
      </c>
      <c r="AA21" s="20">
        <f>DATA!AH11</f>
        <v>2017</v>
      </c>
      <c r="AB21" s="37" t="str">
        <f>DATA!AI11</f>
        <v>-</v>
      </c>
      <c r="AC21" s="37" t="str">
        <f>DATA!AJ11</f>
        <v>Penyusunan FS dan BD</v>
      </c>
      <c r="AD21" s="37" t="str">
        <f>DATA!AK11</f>
        <v>-</v>
      </c>
      <c r="AE21" s="37" t="str">
        <f>DATA!AL11</f>
        <v>-</v>
      </c>
      <c r="AF21" s="20" t="str">
        <f>DATA!AR11</f>
        <v>belum ada dokumen R/C</v>
      </c>
      <c r="AG21" s="20" t="str">
        <f>DATA!AN11</f>
        <v>dalam proses
(penyusunan FS)</v>
      </c>
      <c r="AH21" s="20" t="str">
        <f>DATA!AO11</f>
        <v>belum ada keterangan</v>
      </c>
      <c r="AI21" s="20" t="str">
        <f>DATA!AP11</f>
        <v>belum ada proses tender/lelang</v>
      </c>
      <c r="AJ21" s="20" t="str">
        <f>DATA!AY11</f>
        <v>- Konfirmasi melalui surat Sekjen nomor KU.01.12-Sj/636 tgl 23 Oktober 2015</v>
      </c>
      <c r="AK21" s="20" t="e">
        <f>DATA!#REF!</f>
        <v>#REF!</v>
      </c>
      <c r="AL21" s="20">
        <f>DATA!AZ11</f>
        <v>0</v>
      </c>
      <c r="AM21" s="37" t="str">
        <f>DATA!BA11</f>
        <v>Pembangunan fly over/ under pass untuk persimpangan jalan dengan jalan kereta sepanjang 7 km di Jawa dan Sumatera</v>
      </c>
    </row>
    <row r="22" spans="1:39" ht="43.5" hidden="1" customHeight="1">
      <c r="A22" s="10">
        <f>DATA!A12</f>
        <v>10</v>
      </c>
      <c r="B22" s="10">
        <f>DATA!B12</f>
        <v>0</v>
      </c>
      <c r="C22" s="10" t="str">
        <f>DATA!D12</f>
        <v>INFRASTRUKTUR</v>
      </c>
      <c r="D22" s="10">
        <f>DATA!E12</f>
        <v>1</v>
      </c>
      <c r="E22" s="10" t="str">
        <f>DATA!F12</f>
        <v>Kementerian Pekerjaan Umum dan Perumahan Rakyat</v>
      </c>
      <c r="F22" s="10" t="str">
        <f>DATA!H12</f>
        <v>Development and Improvement of National Bridges Program</v>
      </c>
      <c r="G22" s="10" t="str">
        <f>DATA!I12</f>
        <v>B</v>
      </c>
      <c r="H22" s="10" t="str">
        <f>DATA!J12</f>
        <v xml:space="preserve">Program Pembangunan / Peningkatan Jembatan </v>
      </c>
      <c r="I22" s="10">
        <f>DATA!K12</f>
        <v>3</v>
      </c>
      <c r="J22" s="33"/>
      <c r="K22" s="34"/>
      <c r="L22" s="34"/>
      <c r="M22" s="36">
        <f>DATA!K12</f>
        <v>3</v>
      </c>
      <c r="N22" s="37" t="str">
        <f>DATA!L12</f>
        <v>Development of Fly Over/ Under Pass in Major Cities</v>
      </c>
      <c r="O22" s="20">
        <f>DATA!Q12</f>
        <v>1</v>
      </c>
      <c r="P22" s="20">
        <f>DATA!R12</f>
        <v>1</v>
      </c>
      <c r="Q22" s="20">
        <f>DATA!S12</f>
        <v>8</v>
      </c>
      <c r="R22" s="77">
        <f>DATA!T12</f>
        <v>270000000</v>
      </c>
      <c r="S22" s="83">
        <f>DATA!U12</f>
        <v>270000000</v>
      </c>
      <c r="T22" s="77">
        <f>DATA!V12</f>
        <v>50000000</v>
      </c>
      <c r="U22" s="77">
        <f>DATA!W12</f>
        <v>0</v>
      </c>
      <c r="V22" s="77">
        <f>DATA!X12</f>
        <v>320000000</v>
      </c>
      <c r="W22" s="78" t="str">
        <f>DATA!Y12</f>
        <v>JICA</v>
      </c>
      <c r="X22" s="20" t="str">
        <f>DATA!Z12</f>
        <v>Bilateral</v>
      </c>
      <c r="Y22" s="77">
        <f>DATA!AA12</f>
        <v>270000000</v>
      </c>
      <c r="Z22" s="77">
        <f>DATA!AG12</f>
        <v>0</v>
      </c>
      <c r="AA22" s="20">
        <f>DATA!AH12</f>
        <v>2017</v>
      </c>
      <c r="AB22" s="37" t="str">
        <f>DATA!AI12</f>
        <v>-</v>
      </c>
      <c r="AC22" s="37" t="str">
        <f>DATA!AJ12</f>
        <v>Penyusunan FS dan BD</v>
      </c>
      <c r="AD22" s="37" t="str">
        <f>DATA!AK12</f>
        <v>-</v>
      </c>
      <c r="AE22" s="37" t="str">
        <f>DATA!AL12</f>
        <v>-</v>
      </c>
      <c r="AF22" s="20" t="str">
        <f>DATA!AR12</f>
        <v>belum ada dokumen R/C</v>
      </c>
      <c r="AG22" s="20" t="str">
        <f>DATA!AN12</f>
        <v>dalam proses
 (penyusunan FS)</v>
      </c>
      <c r="AH22" s="20" t="str">
        <f>DATA!AO12</f>
        <v>belum ada keterangan</v>
      </c>
      <c r="AI22" s="20" t="str">
        <f>DATA!AP12</f>
        <v>belum ada proses tender/lelang</v>
      </c>
      <c r="AJ22" s="20" t="str">
        <f>DATA!AY12</f>
        <v>Konfirmasi melalui surat Sekjen nomor KU.01.12-Sj/636 tgl 23 Oktober 2015</v>
      </c>
      <c r="AK22" s="20" t="e">
        <f>DATA!#REF!</f>
        <v>#REF!</v>
      </c>
      <c r="AL22" s="20">
        <f>DATA!AZ12</f>
        <v>0</v>
      </c>
      <c r="AM22" s="37" t="str">
        <f>DATA!BA12</f>
        <v>Pembangunan fly over/ under pass sepanjang kurang lebih 8 km untuk 9 kota besar yang ada di Jawa dan Sumatera</v>
      </c>
    </row>
    <row r="23" spans="1:39" ht="35.25" hidden="1" customHeight="1">
      <c r="A23" s="10">
        <f>DATA!A13</f>
        <v>11</v>
      </c>
      <c r="B23" s="10">
        <f>DATA!B13</f>
        <v>0</v>
      </c>
      <c r="C23" s="10" t="str">
        <f>DATA!D13</f>
        <v>INFRASTRUKTUR</v>
      </c>
      <c r="D23" s="10">
        <f>DATA!E13</f>
        <v>1</v>
      </c>
      <c r="E23" s="10" t="str">
        <f>DATA!F13</f>
        <v>Kementerian Pekerjaan Umum dan Perumahan Rakyat</v>
      </c>
      <c r="F23" s="10" t="str">
        <f>DATA!H13</f>
        <v>Development and Improvement of National Bridges Program</v>
      </c>
      <c r="G23" s="10" t="str">
        <f>DATA!I13</f>
        <v>B</v>
      </c>
      <c r="H23" s="10" t="str">
        <f>DATA!J13</f>
        <v xml:space="preserve">Program Pembangunan / Peningkatan Jembatan </v>
      </c>
      <c r="I23" s="10">
        <f>DATA!K13</f>
        <v>4</v>
      </c>
      <c r="J23" s="33"/>
      <c r="K23" s="34"/>
      <c r="L23" s="34"/>
      <c r="M23" s="36">
        <f>DATA!K13</f>
        <v>4</v>
      </c>
      <c r="N23" s="37" t="str">
        <f>DATA!L13</f>
        <v>Balinka - Matur - Ngarai Sianok Tunnel Construction</v>
      </c>
      <c r="O23" s="20">
        <f>DATA!Q13</f>
        <v>1</v>
      </c>
      <c r="P23" s="20">
        <f>DATA!R13</f>
        <v>1</v>
      </c>
      <c r="Q23" s="20">
        <f>DATA!S13</f>
        <v>9</v>
      </c>
      <c r="R23" s="77">
        <f>DATA!T13</f>
        <v>175000000</v>
      </c>
      <c r="S23" s="83">
        <f>DATA!U13</f>
        <v>175000000</v>
      </c>
      <c r="T23" s="77">
        <f>DATA!V13</f>
        <v>8750000</v>
      </c>
      <c r="U23" s="77">
        <f>DATA!W13</f>
        <v>0</v>
      </c>
      <c r="V23" s="77">
        <f>DATA!X13</f>
        <v>183750000</v>
      </c>
      <c r="W23" s="78" t="str">
        <f>DATA!Y13</f>
        <v>Korea/RRT</v>
      </c>
      <c r="X23" s="20" t="str">
        <f>DATA!Z13</f>
        <v>Multi Lender</v>
      </c>
      <c r="Y23" s="77">
        <f>DATA!AA13</f>
        <v>175000000</v>
      </c>
      <c r="Z23" s="77">
        <f>DATA!AG13</f>
        <v>0</v>
      </c>
      <c r="AA23" s="20">
        <f>DATA!AH13</f>
        <v>2017</v>
      </c>
      <c r="AB23" s="37" t="str">
        <f>DATA!AI13</f>
        <v>-</v>
      </c>
      <c r="AC23" s="37" t="str">
        <f>DATA!AJ13</f>
        <v>FS, DED, SP2LP</v>
      </c>
      <c r="AD23" s="37" t="str">
        <f>DATA!AK13</f>
        <v>-</v>
      </c>
      <c r="AE23" s="37" t="str">
        <f>DATA!AL13</f>
        <v>-</v>
      </c>
      <c r="AF23" s="20" t="str">
        <f>DATA!AR13</f>
        <v>belum ada dokumen R/C</v>
      </c>
      <c r="AG23" s="20" t="str">
        <f>DATA!AN13</f>
        <v>dalam proses
(memiliki FS dan DED)</v>
      </c>
      <c r="AH23" s="20" t="str">
        <f>DATA!AO13</f>
        <v>belum ada keterangan</v>
      </c>
      <c r="AI23" s="20" t="str">
        <f>DATA!AP13</f>
        <v>belum ada proses tender/lelang</v>
      </c>
      <c r="AJ23" s="20" t="str">
        <f>DATA!AY13</f>
        <v>Konfirmasi melalui surat Sekjen nomor KU.01.12-Sj/636 tgl 23 Oktober 2015</v>
      </c>
      <c r="AK23" s="20" t="e">
        <f>DATA!#REF!</f>
        <v>#REF!</v>
      </c>
      <c r="AL23" s="20">
        <f>DATA!AZ13</f>
        <v>0</v>
      </c>
      <c r="AM23" s="37" t="str">
        <f>DATA!BA13</f>
        <v xml:space="preserve">Pembangunan terowongan, jembatan dan jalan sepanjang 5 km di daerah Balinka-Ngarai Sianok, Sumatera Barat </v>
      </c>
    </row>
    <row r="24" spans="1:39" ht="58.5" hidden="1" customHeight="1">
      <c r="A24" s="10">
        <f>DATA!A14</f>
        <v>12</v>
      </c>
      <c r="B24" s="10">
        <f>DATA!B14</f>
        <v>0</v>
      </c>
      <c r="C24" s="10" t="str">
        <f>DATA!D14</f>
        <v>INFRASTRUKTUR</v>
      </c>
      <c r="D24" s="10">
        <f>DATA!E14</f>
        <v>1</v>
      </c>
      <c r="E24" s="10" t="str">
        <f>DATA!F14</f>
        <v>Kementerian Pekerjaan Umum dan Perumahan Rakyat</v>
      </c>
      <c r="F24" s="10" t="str">
        <f>DATA!H14</f>
        <v>Development and Improvement of National Bridges Program</v>
      </c>
      <c r="G24" s="10" t="str">
        <f>DATA!I14</f>
        <v>B</v>
      </c>
      <c r="H24" s="10" t="str">
        <f>DATA!J14</f>
        <v xml:space="preserve">Program Pembangunan / Peningkatan Jembatan </v>
      </c>
      <c r="I24" s="10">
        <f>DATA!K14</f>
        <v>5</v>
      </c>
      <c r="J24" s="33"/>
      <c r="K24" s="34"/>
      <c r="L24" s="54"/>
      <c r="M24" s="36">
        <f>DATA!K14</f>
        <v>5</v>
      </c>
      <c r="N24" s="37" t="str">
        <f>DATA!L14</f>
        <v>Long Span Bridge Development for Selected Area</v>
      </c>
      <c r="O24" s="20">
        <f>DATA!Q14</f>
        <v>1</v>
      </c>
      <c r="P24" s="20">
        <f>DATA!R14</f>
        <v>1</v>
      </c>
      <c r="Q24" s="20">
        <f>DATA!S14</f>
        <v>10</v>
      </c>
      <c r="R24" s="77">
        <f>DATA!T14</f>
        <v>355000000</v>
      </c>
      <c r="S24" s="83">
        <f>DATA!U14</f>
        <v>355000000</v>
      </c>
      <c r="T24" s="77">
        <f>DATA!V14</f>
        <v>17750000</v>
      </c>
      <c r="U24" s="77">
        <f>DATA!W14</f>
        <v>0</v>
      </c>
      <c r="V24" s="77">
        <f>DATA!X14</f>
        <v>372750000</v>
      </c>
      <c r="W24" s="78" t="str">
        <f>DATA!Y14</f>
        <v>Korea/RRT</v>
      </c>
      <c r="X24" s="20" t="str">
        <f>DATA!Z14</f>
        <v>Multi Lender</v>
      </c>
      <c r="Y24" s="77">
        <f>DATA!AA14</f>
        <v>355000000</v>
      </c>
      <c r="Z24" s="77">
        <f>DATA!AG14</f>
        <v>0</v>
      </c>
      <c r="AA24" s="20" t="str">
        <f>DATA!AH14</f>
        <v>Tanpa keterangan</v>
      </c>
      <c r="AB24" s="37" t="str">
        <f>DATA!AI14</f>
        <v>-</v>
      </c>
      <c r="AC24" s="37" t="str">
        <f>DATA!AJ14</f>
        <v>-</v>
      </c>
      <c r="AD24" s="37" t="str">
        <f>DATA!AK14</f>
        <v>-</v>
      </c>
      <c r="AE24" s="37" t="str">
        <f>DATA!AL14</f>
        <v>-</v>
      </c>
      <c r="AF24" s="20" t="str">
        <f>DATA!AR14</f>
        <v>belum ada dokumen R/C</v>
      </c>
      <c r="AG24" s="20" t="str">
        <f>DATA!AN14</f>
        <v>belum ada keterangan</v>
      </c>
      <c r="AH24" s="20" t="str">
        <f>DATA!AO14</f>
        <v>belum ada keterangan</v>
      </c>
      <c r="AI24" s="20" t="str">
        <f>DATA!AP14</f>
        <v>belum ada proses tender/lelang</v>
      </c>
      <c r="AJ24" s="20" t="str">
        <f>DATA!AY14</f>
        <v>Konfirmasi melalui surat Sekjen nomor KU.01.12-Sj/636 tgl 23 Oktober 2015</v>
      </c>
      <c r="AK24" s="20" t="e">
        <f>DATA!#REF!</f>
        <v>#REF!</v>
      </c>
      <c r="AL24" s="20">
        <f>DATA!AZ14</f>
        <v>0</v>
      </c>
      <c r="AM24" s="37" t="str">
        <f>DATA!BA14</f>
        <v>Pembangunan jembatan bentang panjang 5.000 m (pada area tertentu) di wilayah Pulau Jawa dan Sumatera yang dipisahkan oleh oleh sungai, rawa, danau, selat, saluran besar.</v>
      </c>
    </row>
    <row r="25" spans="1:39" s="5" customFormat="1" ht="33.75" hidden="1" customHeight="1">
      <c r="J25" s="28"/>
      <c r="K25" s="50"/>
      <c r="L25" s="30" t="str">
        <f>DATA!I15</f>
        <v>C</v>
      </c>
      <c r="M25" s="31" t="str">
        <f>DATA!J16</f>
        <v>Program Pembangunan / Peningkatan Jalan</v>
      </c>
      <c r="N25" s="51"/>
      <c r="O25" s="31"/>
      <c r="P25" s="31"/>
      <c r="Q25" s="31"/>
      <c r="R25" s="81">
        <f>SUM(R26:R33)</f>
        <v>2000000000</v>
      </c>
      <c r="S25" s="81"/>
      <c r="T25" s="81">
        <f>SUM(T27:T33)</f>
        <v>350000000</v>
      </c>
      <c r="U25" s="81">
        <f>SUM(U27:U33)</f>
        <v>0</v>
      </c>
      <c r="V25" s="81">
        <f>SUM(V27:V33)</f>
        <v>2100000000</v>
      </c>
      <c r="W25" s="81"/>
      <c r="X25" s="81">
        <f>SUM(X27:X33)</f>
        <v>0</v>
      </c>
      <c r="Y25" s="81">
        <f>SUM(Y27:Y33)</f>
        <v>1750000000</v>
      </c>
      <c r="Z25" s="81">
        <f>SUM(Z27:Z33)</f>
        <v>0</v>
      </c>
      <c r="AA25" s="31"/>
      <c r="AB25" s="32"/>
      <c r="AC25" s="32"/>
      <c r="AD25" s="32"/>
      <c r="AE25" s="32"/>
      <c r="AF25" s="31"/>
      <c r="AG25" s="31"/>
      <c r="AH25" s="31"/>
      <c r="AI25" s="31"/>
      <c r="AJ25" s="31"/>
      <c r="AK25" s="31"/>
      <c r="AL25" s="31"/>
      <c r="AM25" s="32"/>
    </row>
    <row r="26" spans="1:39" s="5" customFormat="1" ht="33.75" hidden="1" customHeight="1">
      <c r="J26" s="28"/>
      <c r="K26" s="50"/>
      <c r="L26" s="55"/>
      <c r="M26" s="36">
        <f>DATA!K15</f>
        <v>1</v>
      </c>
      <c r="N26" s="37" t="str">
        <f>DATA!L15</f>
        <v>Urban Arterial Road Improvement Project</v>
      </c>
      <c r="O26" s="37">
        <f>DATA!Q15</f>
        <v>1</v>
      </c>
      <c r="P26" s="37">
        <f>DATA!R15</f>
        <v>1</v>
      </c>
      <c r="Q26" s="37">
        <f>DATA!S15</f>
        <v>0</v>
      </c>
      <c r="R26" s="87">
        <f>DATA!T15</f>
        <v>250000000</v>
      </c>
      <c r="S26" s="87">
        <f>DATA!U15</f>
        <v>205000000</v>
      </c>
      <c r="T26" s="87">
        <f>DATA!V15</f>
        <v>50000000</v>
      </c>
      <c r="U26" s="87">
        <f>DATA!W15</f>
        <v>0</v>
      </c>
      <c r="V26" s="87">
        <f>DATA!X15</f>
        <v>300000000</v>
      </c>
      <c r="W26" s="78" t="str">
        <f>DATA!Y15</f>
        <v>JICA</v>
      </c>
      <c r="X26" s="37" t="str">
        <f>DATA!Z15</f>
        <v>Multilateral</v>
      </c>
      <c r="Y26" s="87">
        <f>DATA!AA15</f>
        <v>205000000</v>
      </c>
      <c r="Z26" s="87">
        <f>DATA!AG15</f>
        <v>0</v>
      </c>
      <c r="AA26" s="37">
        <f>DATA!AH15</f>
        <v>2016</v>
      </c>
      <c r="AB26" s="56" t="str">
        <f>DATA!AI15</f>
        <v>-</v>
      </c>
      <c r="AC26" s="56" t="str">
        <f>DATA!AJ15</f>
        <v>Sebagian telah ada FS, DED dan AMDAL</v>
      </c>
      <c r="AD26" s="56" t="str">
        <f>DATA!AK15</f>
        <v>-</v>
      </c>
      <c r="AE26" s="56" t="str">
        <f>DATA!AL15</f>
        <v>-</v>
      </c>
      <c r="AF26" s="31"/>
      <c r="AG26" s="31"/>
      <c r="AH26" s="31"/>
      <c r="AI26" s="31"/>
      <c r="AJ26" s="31"/>
      <c r="AK26" s="31"/>
      <c r="AL26" s="31"/>
      <c r="AM26" s="32"/>
    </row>
    <row r="27" spans="1:39" ht="37.5" hidden="1" customHeight="1">
      <c r="A27" s="10">
        <f>DATA!A16</f>
        <v>14</v>
      </c>
      <c r="B27" s="10">
        <f>DATA!B16</f>
        <v>0</v>
      </c>
      <c r="C27" s="10" t="str">
        <f>DATA!D16</f>
        <v>INFRASTRUKTUR</v>
      </c>
      <c r="D27" s="10">
        <f>DATA!E16</f>
        <v>1</v>
      </c>
      <c r="E27" s="10" t="str">
        <f>DATA!F16</f>
        <v>Kementerian Pekerjaan Umum dan Perumahan Rakyat</v>
      </c>
      <c r="F27" s="10" t="str">
        <f>DATA!H16</f>
        <v>Development and Improvement of National Roads Program</v>
      </c>
      <c r="G27" s="10" t="str">
        <f>DATA!I16</f>
        <v>C</v>
      </c>
      <c r="H27" s="10" t="str">
        <f>DATA!J16</f>
        <v>Program Pembangunan / Peningkatan Jalan</v>
      </c>
      <c r="I27" s="10">
        <f>DATA!K16</f>
        <v>2</v>
      </c>
      <c r="J27" s="33"/>
      <c r="K27" s="34"/>
      <c r="L27" s="34"/>
      <c r="M27" s="36">
        <f>DATA!K16</f>
        <v>2</v>
      </c>
      <c r="N27" s="37" t="str">
        <f>DATA!L16</f>
        <v>Construction of Development of Trans South-South, Eastern Java</v>
      </c>
      <c r="O27" s="20">
        <f>DATA!Q16</f>
        <v>1</v>
      </c>
      <c r="P27" s="20">
        <f>DATA!R16</f>
        <v>1</v>
      </c>
      <c r="Q27" s="20">
        <f>DATA!S16</f>
        <v>12</v>
      </c>
      <c r="R27" s="77">
        <f>DATA!T16</f>
        <v>250000000</v>
      </c>
      <c r="S27" s="77">
        <f>DATA!U16</f>
        <v>250000000</v>
      </c>
      <c r="T27" s="77">
        <f>DATA!V16</f>
        <v>50000000</v>
      </c>
      <c r="U27" s="77">
        <f>DATA!W16</f>
        <v>0</v>
      </c>
      <c r="V27" s="77">
        <f>DATA!X16</f>
        <v>300000000</v>
      </c>
      <c r="W27" s="88" t="str">
        <f>DATA!Y16</f>
        <v>IDB</v>
      </c>
      <c r="X27" s="77" t="str">
        <f>DATA!Z16</f>
        <v>Multilateral</v>
      </c>
      <c r="Y27" s="77">
        <f>DATA!AA16</f>
        <v>250000000</v>
      </c>
      <c r="Z27" s="77">
        <f>DATA!AG16</f>
        <v>0</v>
      </c>
      <c r="AA27" s="100">
        <f>DATA!AH16</f>
        <v>2016</v>
      </c>
      <c r="AB27" s="101" t="str">
        <f>DATA!AI16</f>
        <v>-</v>
      </c>
      <c r="AC27" s="101" t="str">
        <f>DATA!AJ16</f>
        <v>FS ada, DED dan AMDAL sebagian</v>
      </c>
      <c r="AD27" s="101" t="str">
        <f>DATA!AK16</f>
        <v>-</v>
      </c>
      <c r="AE27" s="56" t="str">
        <f>DATA!AL16</f>
        <v>-</v>
      </c>
      <c r="AF27" s="20" t="str">
        <f>DATA!AM16</f>
        <v>Rev. 2016</v>
      </c>
      <c r="AG27" s="20" t="str">
        <f>DATA!AN16</f>
        <v>siap</v>
      </c>
      <c r="AH27" s="20" t="str">
        <f>DATA!AO16</f>
        <v>belum ada keterangan</v>
      </c>
      <c r="AI27" s="20" t="str">
        <f>DATA!AP16</f>
        <v>belum ada proses tender/lelang</v>
      </c>
      <c r="AJ27" s="20" t="str">
        <f>DATA!AY16</f>
        <v>Konfirmasi melalui surat Sekjen nomor KU.01.12-Sj/636 tgl 23 Oktober 2015</v>
      </c>
      <c r="AK27" s="20" t="e">
        <f>DATA!#REF!</f>
        <v>#REF!</v>
      </c>
      <c r="AL27" s="20">
        <f>DATA!AZ16</f>
        <v>0</v>
      </c>
      <c r="AM27" s="37" t="str">
        <f>DATA!BA16</f>
        <v>Pembangunan dan peningkatan 200 km jalan Trans Selatan Selatan Pulau Jawa</v>
      </c>
    </row>
    <row r="28" spans="1:39" ht="45.75" hidden="1" customHeight="1">
      <c r="A28" s="10">
        <f>DATA!A17</f>
        <v>15</v>
      </c>
      <c r="B28" s="10">
        <f>DATA!B17</f>
        <v>0</v>
      </c>
      <c r="C28" s="10" t="str">
        <f>DATA!D17</f>
        <v>INFRASTRUKTUR</v>
      </c>
      <c r="D28" s="10">
        <f>DATA!E17</f>
        <v>1</v>
      </c>
      <c r="E28" s="10" t="str">
        <f>DATA!F17</f>
        <v>Kementerian Pekerjaan Umum dan Perumahan Rakyat</v>
      </c>
      <c r="F28" s="10" t="str">
        <f>DATA!H17</f>
        <v>Development and Improvement of National Roads Program</v>
      </c>
      <c r="G28" s="10" t="str">
        <f>DATA!I17</f>
        <v>C</v>
      </c>
      <c r="H28" s="10" t="str">
        <f>DATA!J17</f>
        <v>Program Pembangunan / Peningkatan Jalan</v>
      </c>
      <c r="I28" s="10">
        <f>DATA!K17</f>
        <v>3</v>
      </c>
      <c r="J28" s="33"/>
      <c r="K28" s="34"/>
      <c r="L28" s="34"/>
      <c r="M28" s="36">
        <f>DATA!K17</f>
        <v>3</v>
      </c>
      <c r="N28" s="37" t="str">
        <f>DATA!L17</f>
        <v>Road Improvement Project to Support Integrated Land and Sea Toll Way - Northern Area</v>
      </c>
      <c r="O28" s="20">
        <f>DATA!Q17</f>
        <v>1</v>
      </c>
      <c r="P28" s="20">
        <f>DATA!R17</f>
        <v>1</v>
      </c>
      <c r="Q28" s="20">
        <f>DATA!S17</f>
        <v>13</v>
      </c>
      <c r="R28" s="77">
        <f>DATA!T17</f>
        <v>250000000</v>
      </c>
      <c r="S28" s="83">
        <f>DATA!U16</f>
        <v>250000000</v>
      </c>
      <c r="T28" s="77">
        <f>DATA!V17</f>
        <v>50000000</v>
      </c>
      <c r="U28" s="77">
        <f>DATA!W17</f>
        <v>0</v>
      </c>
      <c r="V28" s="77">
        <f>DATA!X17</f>
        <v>300000000</v>
      </c>
      <c r="W28" s="78" t="str">
        <f>DATA!Y17</f>
        <v>Bank Dunia</v>
      </c>
      <c r="X28" s="20" t="str">
        <f>DATA!Z17</f>
        <v>Multilateral</v>
      </c>
      <c r="Y28" s="77">
        <f>DATA!AA17</f>
        <v>250000000</v>
      </c>
      <c r="Z28" s="77">
        <f>DATA!AG17</f>
        <v>0</v>
      </c>
      <c r="AA28" s="20" t="str">
        <f>DATA!AH17</f>
        <v>Tanpa keterangan</v>
      </c>
      <c r="AB28" s="56" t="str">
        <f>DATA!AI17</f>
        <v>-</v>
      </c>
      <c r="AC28" s="56" t="str">
        <f>DATA!AJ17</f>
        <v>-</v>
      </c>
      <c r="AD28" s="56" t="str">
        <f>DATA!AK17</f>
        <v>-</v>
      </c>
      <c r="AE28" s="56" t="str">
        <f>DATA!AL17</f>
        <v>-</v>
      </c>
      <c r="AF28" s="20">
        <f>DATA!AM17</f>
        <v>0</v>
      </c>
      <c r="AG28" s="20" t="str">
        <f>DATA!AN17</f>
        <v>belum ada keterangan</v>
      </c>
      <c r="AH28" s="20" t="str">
        <f>DATA!AO17</f>
        <v>belum ada keterangan</v>
      </c>
      <c r="AI28" s="20" t="str">
        <f>DATA!AP17</f>
        <v>belum ada proses tender/lelang</v>
      </c>
      <c r="AJ28" s="20" t="str">
        <f>DATA!AY17</f>
        <v>Konfirmasi melalui surat Sekjen nomor KU.01.12-Sj/636 tgl 23 Oktober 2015</v>
      </c>
      <c r="AK28" s="20" t="e">
        <f>DATA!#REF!</f>
        <v>#REF!</v>
      </c>
      <c r="AL28" s="20" t="str">
        <f>DATA!AZ17</f>
        <v>termasuk ES (akan dipecah?) -&gt; konfirmasi tgl 15 Okt' 15</v>
      </c>
      <c r="AM28" s="37" t="str">
        <f>DATA!BA17</f>
        <v>Pembangunan/peningkatan 200 km jalan untuk mendukung tol laut bagian utara termasuk (i) koridor Aceh - Medan - Riau dan (ii) Medan - Sibolga</v>
      </c>
    </row>
    <row r="29" spans="1:39" ht="84" hidden="1" customHeight="1">
      <c r="A29" s="10">
        <f>DATA!A18</f>
        <v>16</v>
      </c>
      <c r="B29" s="10">
        <f>DATA!B18</f>
        <v>0</v>
      </c>
      <c r="C29" s="10" t="str">
        <f>DATA!D18</f>
        <v>INFRASTRUKTUR</v>
      </c>
      <c r="D29" s="10">
        <f>DATA!E18</f>
        <v>1</v>
      </c>
      <c r="E29" s="10" t="str">
        <f>DATA!F18</f>
        <v>Kementerian Pekerjaan Umum dan Perumahan Rakyat</v>
      </c>
      <c r="F29" s="10" t="str">
        <f>DATA!H18</f>
        <v>Development and Improvement of National Roads Program</v>
      </c>
      <c r="G29" s="10" t="str">
        <f>DATA!I18</f>
        <v>C</v>
      </c>
      <c r="H29" s="10" t="str">
        <f>DATA!J18</f>
        <v>Program Pembangunan / Peningkatan Jalan</v>
      </c>
      <c r="I29" s="10">
        <f>DATA!K18</f>
        <v>4</v>
      </c>
      <c r="J29" s="33"/>
      <c r="K29" s="34"/>
      <c r="L29" s="34"/>
      <c r="M29" s="36">
        <f>DATA!K18</f>
        <v>4</v>
      </c>
      <c r="N29" s="37" t="str">
        <f>DATA!L18</f>
        <v>Road Improvement Project to Support Integrated Land and Sea Toll Way - Southern Area</v>
      </c>
      <c r="O29" s="20">
        <f>DATA!Q18</f>
        <v>1</v>
      </c>
      <c r="P29" s="20">
        <f>DATA!R18</f>
        <v>1</v>
      </c>
      <c r="Q29" s="20">
        <f>DATA!S18</f>
        <v>14</v>
      </c>
      <c r="R29" s="77">
        <f>DATA!T18</f>
        <v>250000000</v>
      </c>
      <c r="S29" s="83">
        <f>DATA!U17</f>
        <v>250000000</v>
      </c>
      <c r="T29" s="77">
        <f>DATA!V18</f>
        <v>50000000</v>
      </c>
      <c r="U29" s="77">
        <f>DATA!W18</f>
        <v>0</v>
      </c>
      <c r="V29" s="77">
        <f>DATA!X18</f>
        <v>300000000</v>
      </c>
      <c r="W29" s="78" t="str">
        <f>DATA!Y18</f>
        <v>Bank Dunia/ADB</v>
      </c>
      <c r="X29" s="20" t="str">
        <f>DATA!Z18</f>
        <v>Multi Lender</v>
      </c>
      <c r="Y29" s="77">
        <f>DATA!AA18</f>
        <v>250000000</v>
      </c>
      <c r="Z29" s="77">
        <f>DATA!AG18</f>
        <v>0</v>
      </c>
      <c r="AA29" s="20" t="str">
        <f>DATA!AH18</f>
        <v>Tanpa keterangan</v>
      </c>
      <c r="AB29" s="56" t="str">
        <f>DATA!AI18</f>
        <v>-</v>
      </c>
      <c r="AC29" s="56" t="str">
        <f>DATA!AJ18</f>
        <v>-</v>
      </c>
      <c r="AD29" s="56" t="str">
        <f>DATA!AK18</f>
        <v>-</v>
      </c>
      <c r="AE29" s="56" t="str">
        <f>DATA!AL18</f>
        <v>-</v>
      </c>
      <c r="AF29" s="20" t="str">
        <f>DATA!AR18</f>
        <v>belum ada dokumen R/C</v>
      </c>
      <c r="AG29" s="20" t="str">
        <f>DATA!AN18</f>
        <v>belum ada keterangan</v>
      </c>
      <c r="AH29" s="20" t="str">
        <f>DATA!AO18</f>
        <v>belum ada keterangan</v>
      </c>
      <c r="AI29" s="20" t="str">
        <f>DATA!AP18</f>
        <v>belum ada proses tender/lelang</v>
      </c>
      <c r="AJ29" s="20" t="str">
        <f>DATA!AY18</f>
        <v>Konfirmasi melalui surat Sekjen nomor KU.01.12-Sj/636 tgl 23 Oktober 2015</v>
      </c>
      <c r="AK29" s="20" t="e">
        <f>DATA!#REF!</f>
        <v>#REF!</v>
      </c>
      <c r="AL29" s="20">
        <f>DATA!AZ18</f>
        <v>0</v>
      </c>
      <c r="AM29" s="37"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row>
    <row r="30" spans="1:39" ht="46.5" hidden="1" customHeight="1">
      <c r="A30" s="10">
        <f>DATA!A19</f>
        <v>17</v>
      </c>
      <c r="B30" s="10">
        <f>DATA!B19</f>
        <v>0</v>
      </c>
      <c r="C30" s="10" t="str">
        <f>DATA!D19</f>
        <v>INFRASTRUKTUR</v>
      </c>
      <c r="D30" s="10">
        <f>DATA!E19</f>
        <v>1</v>
      </c>
      <c r="E30" s="10" t="str">
        <f>DATA!F19</f>
        <v>Kementerian Pekerjaan Umum dan Perumahan Rakyat</v>
      </c>
      <c r="F30" s="10" t="str">
        <f>DATA!H19</f>
        <v>Development and Improvement of National Roads Program</v>
      </c>
      <c r="G30" s="10" t="str">
        <f>DATA!I19</f>
        <v>C</v>
      </c>
      <c r="H30" s="10" t="str">
        <f>DATA!J19</f>
        <v>Program Pembangunan / Peningkatan Jalan</v>
      </c>
      <c r="I30" s="10">
        <f>DATA!K19</f>
        <v>5</v>
      </c>
      <c r="J30" s="33"/>
      <c r="K30" s="34"/>
      <c r="L30" s="34"/>
      <c r="M30" s="36">
        <f>DATA!K19</f>
        <v>5</v>
      </c>
      <c r="N30" s="37" t="str">
        <f>DATA!L19</f>
        <v>National Road Improvement in West and South Kalimantan</v>
      </c>
      <c r="O30" s="20">
        <f>DATA!Q19</f>
        <v>1</v>
      </c>
      <c r="P30" s="20">
        <f>DATA!R19</f>
        <v>1</v>
      </c>
      <c r="Q30" s="20">
        <f>DATA!S19</f>
        <v>15</v>
      </c>
      <c r="R30" s="77">
        <f>DATA!T19</f>
        <v>250000000</v>
      </c>
      <c r="S30" s="83">
        <f>DATA!U18</f>
        <v>250000000</v>
      </c>
      <c r="T30" s="77">
        <f>DATA!V19</f>
        <v>50000000</v>
      </c>
      <c r="U30" s="77">
        <f>DATA!W19</f>
        <v>0</v>
      </c>
      <c r="V30" s="77">
        <f>DATA!X19</f>
        <v>300000000</v>
      </c>
      <c r="W30" s="78" t="str">
        <f>DATA!Y19</f>
        <v>IDB</v>
      </c>
      <c r="X30" s="20" t="str">
        <f>DATA!Z19</f>
        <v>Multilateral</v>
      </c>
      <c r="Y30" s="77">
        <f>DATA!AA19</f>
        <v>250000000</v>
      </c>
      <c r="Z30" s="77">
        <f>DATA!AG19</f>
        <v>0</v>
      </c>
      <c r="AA30" s="20">
        <f>DATA!AH19</f>
        <v>2017</v>
      </c>
      <c r="AB30" s="56" t="str">
        <f>DATA!AI19</f>
        <v>-</v>
      </c>
      <c r="AC30" s="56" t="str">
        <f>DATA!AJ19</f>
        <v>-</v>
      </c>
      <c r="AD30" s="56" t="str">
        <f>DATA!AK19</f>
        <v>-</v>
      </c>
      <c r="AE30" s="56" t="str">
        <f>DATA!AL19</f>
        <v>-</v>
      </c>
      <c r="AF30" s="20" t="str">
        <f>DATA!AR19</f>
        <v>belum ada dokumen R/C</v>
      </c>
      <c r="AG30" s="20" t="str">
        <f>DATA!AN19</f>
        <v>belum ada keterangan</v>
      </c>
      <c r="AH30" s="20" t="str">
        <f>DATA!AO19</f>
        <v>belum ada keterangan</v>
      </c>
      <c r="AI30" s="20" t="str">
        <f>DATA!AP19</f>
        <v>belum ada proses tender/lelang</v>
      </c>
      <c r="AJ30" s="20" t="str">
        <f>DATA!AY19</f>
        <v>Konfirmasi melalui surat Sekjen nomor KU.01.12-Sj/636 tgl 23 Oktober 2015</v>
      </c>
      <c r="AK30" s="20" t="e">
        <f>DATA!#REF!</f>
        <v>#REF!</v>
      </c>
      <c r="AL30" s="20">
        <f>DATA!AZ19</f>
        <v>0</v>
      </c>
      <c r="AM30" s="37" t="str">
        <f>DATA!BA19</f>
        <v>Pembangunan/peningkatan 200 km jalan di daerah koridor perbatasan di Kalimantan Barat dan jalan internasional di Kalimantan Selatan</v>
      </c>
    </row>
    <row r="31" spans="1:39" ht="36.75" hidden="1" customHeight="1">
      <c r="A31" s="10">
        <f>DATA!A20</f>
        <v>18</v>
      </c>
      <c r="B31" s="10">
        <f>DATA!B20</f>
        <v>0</v>
      </c>
      <c r="C31" s="10" t="str">
        <f>DATA!D20</f>
        <v>INFRASTRUKTUR</v>
      </c>
      <c r="D31" s="10">
        <f>DATA!E20</f>
        <v>1</v>
      </c>
      <c r="E31" s="10" t="str">
        <f>DATA!F20</f>
        <v>Kementerian Pekerjaan Umum dan Perumahan Rakyat</v>
      </c>
      <c r="F31" s="10" t="str">
        <f>DATA!H20</f>
        <v>Development and Improvement of National Roads Program</v>
      </c>
      <c r="G31" s="10" t="str">
        <f>DATA!I20</f>
        <v>C</v>
      </c>
      <c r="H31" s="10" t="str">
        <f>DATA!J20</f>
        <v>Program Pembangunan / Peningkatan Jalan</v>
      </c>
      <c r="I31" s="10">
        <f>DATA!K20</f>
        <v>6</v>
      </c>
      <c r="J31" s="33"/>
      <c r="K31" s="34"/>
      <c r="L31" s="34"/>
      <c r="M31" s="36">
        <f>DATA!K20</f>
        <v>6</v>
      </c>
      <c r="N31" s="37" t="str">
        <f>DATA!L20</f>
        <v>National Road Improvement in Central Kalimantan</v>
      </c>
      <c r="O31" s="20">
        <f>DATA!Q20</f>
        <v>1</v>
      </c>
      <c r="P31" s="20">
        <f>DATA!R20</f>
        <v>1</v>
      </c>
      <c r="Q31" s="20">
        <f>DATA!S20</f>
        <v>16</v>
      </c>
      <c r="R31" s="77">
        <f>DATA!T20</f>
        <v>250000000</v>
      </c>
      <c r="S31" s="83">
        <f>DATA!U19</f>
        <v>250000000</v>
      </c>
      <c r="T31" s="77">
        <f>DATA!V20</f>
        <v>50000000</v>
      </c>
      <c r="U31" s="77">
        <f>DATA!W20</f>
        <v>0</v>
      </c>
      <c r="V31" s="77">
        <f>DATA!X20</f>
        <v>300000000</v>
      </c>
      <c r="W31" s="78" t="str">
        <f>DATA!Y20</f>
        <v>Bank Dunia/ADB</v>
      </c>
      <c r="X31" s="20" t="str">
        <f>DATA!Z20</f>
        <v>Multi Lender</v>
      </c>
      <c r="Y31" s="77">
        <f>DATA!AA20</f>
        <v>250000000</v>
      </c>
      <c r="Z31" s="77">
        <f>DATA!AG20</f>
        <v>0</v>
      </c>
      <c r="AA31" s="20" t="str">
        <f>DATA!AH20</f>
        <v>Tanpa keterangan</v>
      </c>
      <c r="AB31" s="56" t="str">
        <f>DATA!AI20</f>
        <v>-</v>
      </c>
      <c r="AC31" s="56" t="str">
        <f>DATA!AJ20</f>
        <v xml:space="preserve">FS, BD, AMDAL, Penyusunan DED, SP2LP </v>
      </c>
      <c r="AD31" s="56" t="str">
        <f>DATA!AK20</f>
        <v>-</v>
      </c>
      <c r="AE31" s="56" t="str">
        <f>DATA!AL20</f>
        <v>-</v>
      </c>
      <c r="AF31" s="20" t="str">
        <f>DATA!AR20</f>
        <v>belum ada dokumen R/C</v>
      </c>
      <c r="AG31" s="20" t="str">
        <f>DATA!AN20</f>
        <v>siap</v>
      </c>
      <c r="AH31" s="20" t="str">
        <f>DATA!AO20</f>
        <v>belum ada keterangan</v>
      </c>
      <c r="AI31" s="20" t="str">
        <f>DATA!AP20</f>
        <v>belum ada proses tender/lelang</v>
      </c>
      <c r="AJ31" s="20" t="str">
        <f>DATA!AY20</f>
        <v>Konfirmasi melalui surat Sekjen nomor KU.01.12-Sj/636 tgl 23 Oktober 2015</v>
      </c>
      <c r="AK31" s="20" t="e">
        <f>DATA!#REF!</f>
        <v>#REF!</v>
      </c>
      <c r="AL31" s="20">
        <f>DATA!AZ20</f>
        <v>0</v>
      </c>
      <c r="AM31" s="37" t="str">
        <f>DATA!BA20</f>
        <v>Pembangunan 200 km jalan di wilayah Kalimantan Tengah</v>
      </c>
    </row>
    <row r="32" spans="1:39" ht="31.5" hidden="1" customHeight="1">
      <c r="A32" s="10">
        <f>DATA!A21</f>
        <v>19</v>
      </c>
      <c r="B32" s="10">
        <f>DATA!B21</f>
        <v>0</v>
      </c>
      <c r="C32" s="10" t="str">
        <f>DATA!D21</f>
        <v>INFRASTRUKTUR</v>
      </c>
      <c r="D32" s="10">
        <f>DATA!E21</f>
        <v>1</v>
      </c>
      <c r="E32" s="10" t="str">
        <f>DATA!F21</f>
        <v>Kementerian Pekerjaan Umum dan Perumahan Rakyat</v>
      </c>
      <c r="F32" s="10" t="str">
        <f>DATA!H21</f>
        <v>Development and Improvement of National Roads Program</v>
      </c>
      <c r="G32" s="10" t="str">
        <f>DATA!I21</f>
        <v>C</v>
      </c>
      <c r="H32" s="10" t="str">
        <f>DATA!J21</f>
        <v>Program Pembangunan / Peningkatan Jalan</v>
      </c>
      <c r="I32" s="10">
        <f>DATA!K21</f>
        <v>7</v>
      </c>
      <c r="J32" s="33"/>
      <c r="K32" s="34"/>
      <c r="L32" s="34"/>
      <c r="M32" s="36">
        <f>DATA!K21</f>
        <v>7</v>
      </c>
      <c r="N32" s="37" t="str">
        <f>DATA!L21</f>
        <v>National Road Improvement in North and East Kalimantan</v>
      </c>
      <c r="O32" s="20">
        <f>DATA!Q21</f>
        <v>1</v>
      </c>
      <c r="P32" s="20">
        <f>DATA!R21</f>
        <v>1</v>
      </c>
      <c r="Q32" s="20">
        <f>DATA!S21</f>
        <v>17</v>
      </c>
      <c r="R32" s="77">
        <f>DATA!T21</f>
        <v>250000000</v>
      </c>
      <c r="S32" s="83">
        <f>DATA!U20</f>
        <v>250000000</v>
      </c>
      <c r="T32" s="77">
        <f>DATA!V21</f>
        <v>50000000</v>
      </c>
      <c r="U32" s="77">
        <f>DATA!W21</f>
        <v>0</v>
      </c>
      <c r="V32" s="77">
        <f>DATA!X21</f>
        <v>300000000</v>
      </c>
      <c r="W32" s="78" t="str">
        <f>DATA!Y21</f>
        <v>IDB</v>
      </c>
      <c r="X32" s="20" t="str">
        <f>DATA!Z21</f>
        <v>Multilateral</v>
      </c>
      <c r="Y32" s="77">
        <f>DATA!AA21</f>
        <v>250000000</v>
      </c>
      <c r="Z32" s="77">
        <f>DATA!AG21</f>
        <v>0</v>
      </c>
      <c r="AA32" s="20">
        <f>DATA!AH21</f>
        <v>2016</v>
      </c>
      <c r="AB32" s="56" t="str">
        <f>DATA!AI21</f>
        <v>-</v>
      </c>
      <c r="AC32" s="56" t="str">
        <f>DATA!AJ21</f>
        <v>FS dan BD ada, DED dan AMDAL sebagian</v>
      </c>
      <c r="AD32" s="56" t="str">
        <f>DATA!AK21</f>
        <v>-</v>
      </c>
      <c r="AE32" s="56" t="str">
        <f>DATA!AL21</f>
        <v>-</v>
      </c>
      <c r="AF32" s="20" t="str">
        <f>DATA!AR21</f>
        <v>belum ada dokumen R/C</v>
      </c>
      <c r="AG32" s="20" t="str">
        <f>DATA!AN21</f>
        <v>siap</v>
      </c>
      <c r="AH32" s="20" t="str">
        <f>DATA!AO21</f>
        <v>belum ada keterangan</v>
      </c>
      <c r="AI32" s="20" t="str">
        <f>DATA!AP21</f>
        <v>belum ada proses tender/lelang</v>
      </c>
      <c r="AJ32" s="20" t="str">
        <f>DATA!AY21</f>
        <v>Konfirmasi melalui surat Sekjen nomor KU.01.12-Sj/636 tgl 23 Oktober 201515</v>
      </c>
      <c r="AK32" s="20" t="e">
        <f>DATA!#REF!</f>
        <v>#REF!</v>
      </c>
      <c r="AL32" s="20">
        <f>DATA!AZ21</f>
        <v>0</v>
      </c>
      <c r="AM32" s="37" t="str">
        <f>DATA!BA21</f>
        <v>Pembangunan 200 km jalan di wilayah Kalimantan Utara dan Kalimantan Timur</v>
      </c>
    </row>
    <row r="33" spans="1:39" ht="48" hidden="1" customHeight="1">
      <c r="A33" s="10">
        <f>DATA!A22</f>
        <v>20</v>
      </c>
      <c r="B33" s="10">
        <f>DATA!B22</f>
        <v>0</v>
      </c>
      <c r="C33" s="10" t="str">
        <f>DATA!D22</f>
        <v>INFRASTRUKTUR</v>
      </c>
      <c r="D33" s="10">
        <f>DATA!E22</f>
        <v>1</v>
      </c>
      <c r="E33" s="10" t="str">
        <f>DATA!F22</f>
        <v>Kementerian Pekerjaan Umum dan Perumahan Rakyat</v>
      </c>
      <c r="F33" s="10" t="str">
        <f>DATA!H22</f>
        <v>Development and Improvement of National Roads Program</v>
      </c>
      <c r="G33" s="10" t="str">
        <f>DATA!I22</f>
        <v>C</v>
      </c>
      <c r="H33" s="10" t="str">
        <f>DATA!J22</f>
        <v>Program Pembangunan / Peningkatan Jalan</v>
      </c>
      <c r="I33" s="10">
        <f>DATA!K22</f>
        <v>8</v>
      </c>
      <c r="J33" s="33"/>
      <c r="K33" s="34"/>
      <c r="L33" s="54"/>
      <c r="M33" s="36">
        <f>DATA!K22</f>
        <v>8</v>
      </c>
      <c r="N33" s="37" t="str">
        <f>DATA!L22</f>
        <v>Road Improvement Project in Sulawesi Island and Major Cities</v>
      </c>
      <c r="O33" s="20">
        <f>DATA!Q22</f>
        <v>1</v>
      </c>
      <c r="P33" s="20">
        <f>DATA!R22</f>
        <v>1</v>
      </c>
      <c r="Q33" s="20">
        <f>DATA!S22</f>
        <v>18</v>
      </c>
      <c r="R33" s="77">
        <f>DATA!T22</f>
        <v>250000000</v>
      </c>
      <c r="S33" s="83">
        <f>DATA!U21</f>
        <v>250000000</v>
      </c>
      <c r="T33" s="77">
        <f>DATA!V22</f>
        <v>50000000</v>
      </c>
      <c r="U33" s="77">
        <f>DATA!W22</f>
        <v>0</v>
      </c>
      <c r="V33" s="77">
        <f>DATA!X22</f>
        <v>300000000</v>
      </c>
      <c r="W33" s="78" t="str">
        <f>DATA!Y22</f>
        <v>IDB</v>
      </c>
      <c r="X33" s="20" t="str">
        <f>DATA!Z22</f>
        <v>Multilateral</v>
      </c>
      <c r="Y33" s="77">
        <f>DATA!AA22</f>
        <v>250000000</v>
      </c>
      <c r="Z33" s="77">
        <f>DATA!AG22</f>
        <v>0</v>
      </c>
      <c r="AA33" s="20">
        <f>DATA!AH22</f>
        <v>2016</v>
      </c>
      <c r="AB33" s="56" t="str">
        <f>DATA!AI22</f>
        <v>-</v>
      </c>
      <c r="AC33" s="56" t="str">
        <f>DATA!AJ22</f>
        <v>FS, AMDAL</v>
      </c>
      <c r="AD33" s="56" t="str">
        <f>DATA!AK22</f>
        <v>-</v>
      </c>
      <c r="AE33" s="56" t="str">
        <f>DATA!AL22</f>
        <v>-</v>
      </c>
      <c r="AF33" s="20" t="str">
        <f>DATA!AR22</f>
        <v>belum ada dokumen R/C</v>
      </c>
      <c r="AG33" s="20" t="str">
        <f>DATA!AN22</f>
        <v>siap</v>
      </c>
      <c r="AH33" s="20" t="str">
        <f>DATA!AO22</f>
        <v>belum ada keterangan</v>
      </c>
      <c r="AI33" s="20" t="str">
        <f>DATA!AP22</f>
        <v>belum ada proses tender/lelang</v>
      </c>
      <c r="AJ33" s="20" t="str">
        <f>DATA!AY22</f>
        <v xml:space="preserve">Konfirmasi melalui surat Sekjen nomor KU.01.12-Sj/636 tgl 23 Oktober 2015
</v>
      </c>
      <c r="AK33" s="20" t="e">
        <f>DATA!#REF!</f>
        <v>#REF!</v>
      </c>
      <c r="AL33" s="20" t="str">
        <f>DATA!AZ22</f>
        <v xml:space="preserve">Lender kembali IDB berdasarkan hasil konfirmasi rapat dgn Dit,Multilateral tgl 15 Okt'15 </v>
      </c>
      <c r="AM33" s="37" t="str">
        <f>DATA!BA22</f>
        <v xml:space="preserve">Pembangunan jalan (ringroad dan bypass) sepanjang sekitar 200 km di wilayah metropolitan Mamminasata dan Gorontalo Outer Ring Road </v>
      </c>
    </row>
    <row r="34" spans="1:39" s="8" customFormat="1" ht="48" customHeight="1">
      <c r="A34" s="10"/>
      <c r="B34" s="10"/>
      <c r="C34" s="10"/>
      <c r="D34" s="10"/>
      <c r="E34" s="10"/>
      <c r="F34" s="10"/>
      <c r="G34" s="10"/>
      <c r="H34" s="10"/>
      <c r="I34" s="10"/>
      <c r="J34" s="57"/>
      <c r="K34" s="58"/>
      <c r="L34" s="111"/>
      <c r="M34" s="60">
        <f>DATA!K23</f>
        <v>9</v>
      </c>
      <c r="N34" s="127" t="str">
        <f>DATA!L23</f>
        <v>Engineering Service for National Roads Development Project</v>
      </c>
      <c r="O34" s="36">
        <f>DATA!Q23</f>
        <v>0</v>
      </c>
      <c r="P34" s="36">
        <f>DATA!R23</f>
        <v>1</v>
      </c>
      <c r="Q34" s="36">
        <f>DATA!S23</f>
        <v>0</v>
      </c>
      <c r="R34" s="128">
        <f>DATA!T23</f>
        <v>0</v>
      </c>
      <c r="S34" s="128">
        <f>DATA!U23</f>
        <v>45000000</v>
      </c>
      <c r="T34" s="128">
        <f>DATA!V23</f>
        <v>0</v>
      </c>
      <c r="U34" s="88">
        <f>DATA!W23</f>
        <v>0</v>
      </c>
      <c r="V34" s="128">
        <f>DATA!X23</f>
        <v>0</v>
      </c>
      <c r="W34" s="128" t="str">
        <f>DATA!Y23</f>
        <v>ADB</v>
      </c>
      <c r="X34" s="88" t="str">
        <f>DATA!Z23</f>
        <v>Multilateral</v>
      </c>
      <c r="Y34" s="128">
        <f>DATA!AA23</f>
        <v>45000000</v>
      </c>
      <c r="Z34" s="128">
        <f>DATA!AG23</f>
        <v>0</v>
      </c>
      <c r="AA34" s="129">
        <f>DATA!AH23</f>
        <v>2016</v>
      </c>
      <c r="AB34" s="127" t="str">
        <f>DATA!AI23</f>
        <v>- Sudah ada R/C
- Green Book 2015</v>
      </c>
      <c r="AC34" s="127" t="str">
        <f>DATA!AJ23</f>
        <v>-</v>
      </c>
      <c r="AD34" s="127" t="str">
        <f>DATA!AK23</f>
        <v>-</v>
      </c>
      <c r="AE34" s="127" t="str">
        <f>DATA!AL23</f>
        <v>-</v>
      </c>
      <c r="AF34" s="20"/>
      <c r="AG34" s="20"/>
      <c r="AH34" s="20"/>
      <c r="AI34" s="20"/>
      <c r="AJ34" s="20"/>
      <c r="AK34" s="20"/>
      <c r="AL34" s="20"/>
      <c r="AM34" s="37"/>
    </row>
    <row r="35" spans="1:39" s="5" customFormat="1" ht="33.75" hidden="1" customHeight="1">
      <c r="J35" s="28"/>
      <c r="K35" s="50"/>
      <c r="L35" s="30" t="str">
        <f>DATA!I24</f>
        <v>D</v>
      </c>
      <c r="M35" s="31" t="str">
        <f>DATA!J24</f>
        <v>Program Pembangunan Air Minum</v>
      </c>
      <c r="N35" s="51"/>
      <c r="O35" s="31"/>
      <c r="P35" s="31"/>
      <c r="Q35" s="31"/>
      <c r="R35" s="81">
        <f>+R36+R37+R38+R47</f>
        <v>1197680000</v>
      </c>
      <c r="S35" s="81"/>
      <c r="T35" s="81">
        <f>+T36+T37+T38+T47</f>
        <v>59434000</v>
      </c>
      <c r="U35" s="81">
        <f>+U36+U37+U38+U47</f>
        <v>0</v>
      </c>
      <c r="V35" s="81">
        <f>+V36+V37+V38+V47</f>
        <v>1257114000</v>
      </c>
      <c r="W35" s="81"/>
      <c r="X35" s="81" t="e">
        <f>+X36+X37+X38+X47</f>
        <v>#VALUE!</v>
      </c>
      <c r="Y35" s="81">
        <f>+Y36+Y37+Y38+Y47</f>
        <v>1197680000</v>
      </c>
      <c r="Z35" s="81">
        <f>+Z36+Z37+Z38+Z47</f>
        <v>0</v>
      </c>
      <c r="AA35" s="31"/>
      <c r="AB35" s="32"/>
      <c r="AC35" s="32"/>
      <c r="AD35" s="32"/>
      <c r="AE35" s="32"/>
      <c r="AF35" s="31"/>
      <c r="AG35" s="31"/>
      <c r="AH35" s="31"/>
      <c r="AI35" s="31"/>
      <c r="AJ35" s="31"/>
      <c r="AK35" s="31"/>
      <c r="AL35" s="31"/>
      <c r="AM35" s="32"/>
    </row>
    <row r="36" spans="1:39" s="8" customFormat="1" ht="42" hidden="1" customHeight="1">
      <c r="A36" s="10">
        <f>DATA!A24</f>
        <v>21</v>
      </c>
      <c r="B36" s="10">
        <f>DATA!B24</f>
        <v>0</v>
      </c>
      <c r="C36" s="10" t="str">
        <f>DATA!D24</f>
        <v>INFRASTRUKTUR</v>
      </c>
      <c r="D36" s="10">
        <f>DATA!E24</f>
        <v>1</v>
      </c>
      <c r="E36" s="10" t="str">
        <f>DATA!F24</f>
        <v>Kementerian Pekerjaan Umum dan Perumahan Rakyat</v>
      </c>
      <c r="F36" s="10" t="str">
        <f>DATA!H24</f>
        <v>Drinking Water Development Program</v>
      </c>
      <c r="G36" s="10" t="str">
        <f>DATA!I24</f>
        <v>D</v>
      </c>
      <c r="H36" s="10" t="str">
        <f>DATA!J24</f>
        <v>Program Pembangunan Air Minum</v>
      </c>
      <c r="I36" s="10">
        <f>DATA!K24</f>
        <v>1</v>
      </c>
      <c r="J36" s="57"/>
      <c r="K36" s="58"/>
      <c r="L36" s="59"/>
      <c r="M36" s="60">
        <f>DATA!K24</f>
        <v>1</v>
      </c>
      <c r="N36" s="61" t="str">
        <f>DATA!L24</f>
        <v>Community Based Water and Sanitation Program  (PAMSIMAS)</v>
      </c>
      <c r="O36" s="20">
        <f>DATA!Q24</f>
        <v>1</v>
      </c>
      <c r="P36" s="20">
        <f>DATA!R24</f>
        <v>1</v>
      </c>
      <c r="Q36" s="20">
        <f>DATA!S24</f>
        <v>19</v>
      </c>
      <c r="R36" s="89">
        <f>DATA!T24</f>
        <v>300000000</v>
      </c>
      <c r="S36" s="89"/>
      <c r="T36" s="89">
        <f>DATA!V24</f>
        <v>15000000</v>
      </c>
      <c r="U36" s="77">
        <f>DATA!W24</f>
        <v>0</v>
      </c>
      <c r="V36" s="89">
        <f>DATA!X24</f>
        <v>315000000</v>
      </c>
      <c r="W36" s="90" t="str">
        <f>DATA!Y24</f>
        <v>Bank Dunia</v>
      </c>
      <c r="X36" s="20" t="str">
        <f>DATA!Z24</f>
        <v>Multilateral</v>
      </c>
      <c r="Y36" s="89">
        <f>DATA!AA24</f>
        <v>300000000</v>
      </c>
      <c r="Z36" s="89">
        <f>DATA!AG24</f>
        <v>0</v>
      </c>
      <c r="AA36" s="103">
        <f>DATA!AH24</f>
        <v>2016</v>
      </c>
      <c r="AB36" s="61" t="str">
        <f>DATA!AI24</f>
        <v xml:space="preserve">- Green Book 2015
- Sudah negosiasi
- Tender konsultan </v>
      </c>
      <c r="AC36" s="61" t="str">
        <f>DATA!AJ24</f>
        <v xml:space="preserve">FS, DED
</v>
      </c>
      <c r="AD36" s="61" t="str">
        <f>DATA!AK24</f>
        <v>-</v>
      </c>
      <c r="AE36" s="61" t="str">
        <f>DATA!AL24</f>
        <v>-</v>
      </c>
      <c r="AF36" s="20" t="str">
        <f>DATA!AR24</f>
        <v>-</v>
      </c>
      <c r="AG36" s="20" t="str">
        <f>DATA!AN24</f>
        <v>dalam proses
(memiliki FS dan DED)</v>
      </c>
      <c r="AH36" s="20" t="str">
        <f>DATA!AO24</f>
        <v>belum ada keterangan</v>
      </c>
      <c r="AI36" s="20" t="str">
        <f>DATA!AP24</f>
        <v>belum ada proses tender/lelang</v>
      </c>
      <c r="AJ36"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K36" s="20" t="e">
        <f>DATA!#REF!</f>
        <v>#REF!</v>
      </c>
      <c r="AL36" s="20">
        <f>DATA!AZ24</f>
        <v>0</v>
      </c>
      <c r="AM36" s="37" t="str">
        <f>DATA!BA24</f>
        <v>Peningkatan kualitas pemukiman dan penyediaan air bersih berkelanjutan yang melayani 719.500 Sambungan Rumah (SR).</v>
      </c>
    </row>
    <row r="37" spans="1:39" ht="75" hidden="1" customHeight="1">
      <c r="A37" s="10">
        <f>DATA!A25</f>
        <v>22</v>
      </c>
      <c r="B37" s="10">
        <f>DATA!B25</f>
        <v>0</v>
      </c>
      <c r="C37" s="10" t="str">
        <f>DATA!D25</f>
        <v>INFRASTRUKTUR</v>
      </c>
      <c r="D37" s="10">
        <f>DATA!E25</f>
        <v>1</v>
      </c>
      <c r="E37" s="10" t="str">
        <f>DATA!F25</f>
        <v>Kementerian Pekerjaan Umum dan Perumahan Rakyat</v>
      </c>
      <c r="F37" s="10" t="str">
        <f>DATA!H25</f>
        <v>Drinking Water Development Program</v>
      </c>
      <c r="G37" s="10" t="str">
        <f>DATA!I25</f>
        <v>D</v>
      </c>
      <c r="H37" s="10" t="str">
        <f>DATA!J25</f>
        <v>Program Pembangunan Air Minum</v>
      </c>
      <c r="I37" s="10">
        <f>DATA!K25</f>
        <v>2</v>
      </c>
      <c r="J37" s="33"/>
      <c r="K37" s="34"/>
      <c r="L37" s="34"/>
      <c r="M37" s="36">
        <f>DATA!K25</f>
        <v>2</v>
      </c>
      <c r="N37" s="37" t="str">
        <f>DATA!L25</f>
        <v>National Urban Water Supply</v>
      </c>
      <c r="O37" s="20">
        <f>DATA!Q25</f>
        <v>1</v>
      </c>
      <c r="P37" s="20">
        <f>DATA!R25</f>
        <v>1</v>
      </c>
      <c r="Q37" s="20">
        <f>DATA!S25</f>
        <v>20</v>
      </c>
      <c r="R37" s="77">
        <f>DATA!T25</f>
        <v>100000000</v>
      </c>
      <c r="S37" s="77"/>
      <c r="T37" s="77">
        <f>DATA!V25</f>
        <v>5000000</v>
      </c>
      <c r="U37" s="77">
        <f>DATA!W25</f>
        <v>0</v>
      </c>
      <c r="V37" s="77">
        <f>DATA!X25</f>
        <v>105000000</v>
      </c>
      <c r="W37" s="78" t="str">
        <f>DATA!Y25</f>
        <v>Bank Dunia</v>
      </c>
      <c r="X37" s="20" t="str">
        <f>DATA!Z25</f>
        <v>Multilateral</v>
      </c>
      <c r="Y37" s="77">
        <f>DATA!AA25</f>
        <v>100000000</v>
      </c>
      <c r="Z37" s="77">
        <f>DATA!AG25</f>
        <v>0</v>
      </c>
      <c r="AA37" s="20">
        <f>DATA!AH25</f>
        <v>2017</v>
      </c>
      <c r="AB37" s="37">
        <f>DATA!AI25</f>
        <v>0</v>
      </c>
      <c r="AC37" s="37" t="str">
        <f>DATA!AJ25</f>
        <v>-</v>
      </c>
      <c r="AD37" s="37" t="str">
        <f>DATA!AK25</f>
        <v>-</v>
      </c>
      <c r="AE37" s="37" t="str">
        <f>DATA!AL25</f>
        <v>-</v>
      </c>
      <c r="AF37" s="20" t="str">
        <f>DATA!AR25</f>
        <v>belum ada dokumen R/C</v>
      </c>
      <c r="AG37" s="20" t="str">
        <f>DATA!AN25</f>
        <v>belum ada keterangan</v>
      </c>
      <c r="AH37" s="20" t="str">
        <f>DATA!AO25</f>
        <v>belum ada keterangan</v>
      </c>
      <c r="AI37" s="20" t="str">
        <f>DATA!AP25</f>
        <v>belum ada proses tender/lelang</v>
      </c>
      <c r="AJ37" s="20" t="str">
        <f>DATA!AY25</f>
        <v>Konfirmasi melalui surat Sekjen nomor KU.01.12-Sj/636 tgl 23 Oktober 2015</v>
      </c>
      <c r="AK37" s="20" t="e">
        <f>DATA!#REF!</f>
        <v>#REF!</v>
      </c>
      <c r="AL37" s="20">
        <f>DATA!AZ25</f>
        <v>0</v>
      </c>
      <c r="AM37" s="37" t="str">
        <f>DATA!BA25</f>
        <v>Pembangunan Sistem Pengelolaan Air Mimum (SPAM) perkotaan sebesar 239,808 Sambungan Rumah (SR) untuk perluasan akses pelayanan air minum, termasuk kegiatan penguatan kapasitas pendanaan dan kelembagaan.</v>
      </c>
    </row>
    <row r="38" spans="1:39" s="9" customFormat="1" ht="60.75" hidden="1" customHeight="1">
      <c r="A38" s="9">
        <f>DATA!A26</f>
        <v>23</v>
      </c>
      <c r="B38" s="9">
        <f>DATA!B26</f>
        <v>0</v>
      </c>
      <c r="C38" s="9" t="str">
        <f>DATA!D26</f>
        <v>INFRASTRUKTUR</v>
      </c>
      <c r="D38" s="9">
        <f>DATA!E26</f>
        <v>1</v>
      </c>
      <c r="E38" s="9" t="str">
        <f>DATA!F26</f>
        <v>Kementerian Pekerjaan Umum dan Perumahan Rakyat</v>
      </c>
      <c r="F38" s="9" t="str">
        <f>DATA!H26</f>
        <v>Drinking Water Development Program</v>
      </c>
      <c r="G38" s="9" t="str">
        <f>DATA!I26</f>
        <v>D</v>
      </c>
      <c r="H38" s="9" t="str">
        <f>DATA!J26</f>
        <v>Program Pembangunan Air Minum</v>
      </c>
      <c r="I38" s="9">
        <f>DATA!K26</f>
        <v>3</v>
      </c>
      <c r="J38" s="62"/>
      <c r="K38" s="63"/>
      <c r="L38" s="63"/>
      <c r="M38" s="64">
        <f>DATA!K26</f>
        <v>3</v>
      </c>
      <c r="N38" s="65" t="str">
        <f>DATA!L26</f>
        <v>The Development of Regional Water Supply System in Selected Area:</v>
      </c>
      <c r="O38" s="66">
        <f>DATA!Q26</f>
        <v>0</v>
      </c>
      <c r="P38" s="66">
        <f>DATA!R26</f>
        <v>0</v>
      </c>
      <c r="Q38" s="66">
        <f>DATA!S26</f>
        <v>0</v>
      </c>
      <c r="R38" s="91">
        <f>DATA!T26</f>
        <v>672680000</v>
      </c>
      <c r="S38" s="91"/>
      <c r="T38" s="91">
        <f>DATA!V26</f>
        <v>33634000</v>
      </c>
      <c r="U38" s="91">
        <f>DATA!W26</f>
        <v>0</v>
      </c>
      <c r="V38" s="91">
        <f>DATA!X26</f>
        <v>706314000</v>
      </c>
      <c r="W38" s="92" t="str">
        <f>DATA!Y26</f>
        <v>-</v>
      </c>
      <c r="X38" s="66">
        <f>DATA!Z26</f>
        <v>0</v>
      </c>
      <c r="Y38" s="91">
        <f>DATA!AA26</f>
        <v>672680000</v>
      </c>
      <c r="Z38" s="91">
        <f>DATA!AG26</f>
        <v>0</v>
      </c>
      <c r="AA38" s="66" t="str">
        <f>DATA!AH26</f>
        <v>-</v>
      </c>
      <c r="AB38" s="65" t="str">
        <f>DATA!AI26</f>
        <v>-</v>
      </c>
      <c r="AC38" s="65" t="str">
        <f>DATA!AJ26</f>
        <v>-</v>
      </c>
      <c r="AD38" s="65" t="str">
        <f>DATA!AK26</f>
        <v>-</v>
      </c>
      <c r="AE38" s="65" t="str">
        <f>DATA!AL26</f>
        <v>-</v>
      </c>
      <c r="AF38" s="66">
        <f>DATA!AM26</f>
        <v>0</v>
      </c>
      <c r="AG38" s="66" t="str">
        <f>DATA!AN26</f>
        <v>-</v>
      </c>
      <c r="AH38" s="66" t="str">
        <f>DATA!AO26</f>
        <v>-</v>
      </c>
      <c r="AI38" s="66">
        <f>DATA!AP26</f>
        <v>0</v>
      </c>
      <c r="AJ38" s="66" t="str">
        <f>DATA!AY26</f>
        <v>Konfirmasi melalui surat Sekjen nomor KU.01.12-Sj/636 tgl 23 Oktober 2015</v>
      </c>
      <c r="AK38" s="66" t="e">
        <f>DATA!#REF!</f>
        <v>#REF!</v>
      </c>
      <c r="AL38" s="66">
        <f>DATA!AZ26</f>
        <v>0</v>
      </c>
      <c r="AM38" s="65" t="str">
        <f>DATA!BA26</f>
        <v>Pembangunan Instalasi Pengolahan Air (IPA) di 8 wilayah dengan total kapasitas 20.450 lt/dt dan pembangunan jaringan transmisi air minum untuk 882.441 Sambungan Rumah (SR)</v>
      </c>
    </row>
    <row r="39" spans="1:39" s="6" customFormat="1" ht="60.75" hidden="1" customHeight="1">
      <c r="A39" s="6">
        <f>DATA!A27</f>
        <v>24</v>
      </c>
      <c r="B39" s="6">
        <f>DATA!B27</f>
        <v>0</v>
      </c>
      <c r="C39" s="6" t="str">
        <f>DATA!D27</f>
        <v>INFRASTRUKTUR</v>
      </c>
      <c r="D39" s="6">
        <f>DATA!E27</f>
        <v>1</v>
      </c>
      <c r="E39" s="6" t="str">
        <f>DATA!F27</f>
        <v>Kementerian Pekerjaan Umum dan Perumahan Rakyat</v>
      </c>
      <c r="F39" s="6" t="str">
        <f>DATA!H27</f>
        <v>Drinking Water Development Program</v>
      </c>
      <c r="G39" s="6" t="str">
        <f>DATA!I27</f>
        <v>D</v>
      </c>
      <c r="H39" s="6" t="str">
        <f>DATA!J27</f>
        <v>Program Pembangunan Air Minum</v>
      </c>
      <c r="I39" s="6">
        <f>DATA!K27</f>
        <v>3</v>
      </c>
      <c r="J39" s="38"/>
      <c r="K39" s="39"/>
      <c r="L39" s="39"/>
      <c r="M39" s="40"/>
      <c r="N39" s="67" t="str">
        <f>DATA!L27</f>
        <v xml:space="preserve">Mamminasata Water Supply Development Project </v>
      </c>
      <c r="O39" s="42">
        <f>DATA!Q27</f>
        <v>1</v>
      </c>
      <c r="P39" s="42">
        <f>DATA!R27</f>
        <v>1</v>
      </c>
      <c r="Q39" s="42">
        <f>DATA!S27</f>
        <v>21</v>
      </c>
      <c r="R39" s="83">
        <f>DATA!T27</f>
        <v>100000000</v>
      </c>
      <c r="S39" s="83"/>
      <c r="T39" s="83">
        <f>DATA!V27</f>
        <v>5000000</v>
      </c>
      <c r="U39" s="83">
        <f>DATA!W27</f>
        <v>0</v>
      </c>
      <c r="V39" s="83">
        <f>DATA!X27</f>
        <v>105000000</v>
      </c>
      <c r="W39" s="84" t="str">
        <f>DATA!Y27</f>
        <v>JICA</v>
      </c>
      <c r="X39" s="42" t="str">
        <f>DATA!Z27</f>
        <v>Bilateral</v>
      </c>
      <c r="Y39" s="83">
        <f>DATA!AA27</f>
        <v>100000000</v>
      </c>
      <c r="Z39" s="83">
        <f>DATA!AG27</f>
        <v>0</v>
      </c>
      <c r="AA39" s="42">
        <f>DATA!AH27</f>
        <v>2016</v>
      </c>
      <c r="AB39" s="67" t="str">
        <f>DATA!AI27</f>
        <v>-</v>
      </c>
      <c r="AC39" s="67" t="str">
        <f>DATA!AJ27</f>
        <v>FS , AMDAL, DED</v>
      </c>
      <c r="AD39" s="67" t="str">
        <f>DATA!AK27</f>
        <v>Proses pembebasan lahan oleh Pemda</v>
      </c>
      <c r="AE39" s="67" t="str">
        <f>DATA!AL27</f>
        <v>-</v>
      </c>
      <c r="AF39" s="42">
        <f>DATA!AM27</f>
        <v>0</v>
      </c>
      <c r="AG39" s="42" t="str">
        <f>DATA!AN27</f>
        <v>siap</v>
      </c>
      <c r="AH39" s="42" t="str">
        <f>DATA!AO27</f>
        <v>dalam proses
(persiapan)</v>
      </c>
      <c r="AI39" s="42" t="str">
        <f>DATA!AP27</f>
        <v>belum ada proses tender/lelang</v>
      </c>
      <c r="AJ39" s="42" t="str">
        <f>DATA!AY27</f>
        <v>Konfirmasi melalui surat Sekjen nomor KU.01.12-Sj/636 tgl 23 Oktober 2015</v>
      </c>
      <c r="AK39" s="42" t="e">
        <f>DATA!#REF!</f>
        <v>#REF!</v>
      </c>
      <c r="AL39" s="42">
        <f>DATA!AZ27</f>
        <v>0</v>
      </c>
      <c r="AM39" s="67" t="str">
        <f>DATA!BA27</f>
        <v>Pembangunan IPA Somba Opu Tahap II, kap. 1.000 lt/dt dan pembangunan jaringan pipa transmisi air minum untuk melayani 149.925 SR di wilayah Makassar, Maros, Gowa dan Takalar.</v>
      </c>
    </row>
    <row r="40" spans="1:39" s="6" customFormat="1" ht="88.5" hidden="1" customHeight="1">
      <c r="A40" s="6">
        <f>DATA!A28</f>
        <v>25</v>
      </c>
      <c r="B40" s="6">
        <f>DATA!B28</f>
        <v>0</v>
      </c>
      <c r="C40" s="6" t="str">
        <f>DATA!D28</f>
        <v>INFRASTRUKTUR</v>
      </c>
      <c r="D40" s="6">
        <f>DATA!E28</f>
        <v>1</v>
      </c>
      <c r="E40" s="6" t="str">
        <f>DATA!F28</f>
        <v>Kementerian Pekerjaan Umum dan Perumahan Rakyat</v>
      </c>
      <c r="F40" s="6" t="str">
        <f>DATA!H28</f>
        <v>Drinking Water Development Program</v>
      </c>
      <c r="G40" s="6" t="str">
        <f>DATA!I28</f>
        <v>D</v>
      </c>
      <c r="H40" s="6" t="str">
        <f>DATA!J28</f>
        <v>Program Pembangunan Air Minum</v>
      </c>
      <c r="I40" s="6">
        <f>DATA!K28</f>
        <v>3</v>
      </c>
      <c r="J40" s="38"/>
      <c r="K40" s="39"/>
      <c r="L40" s="39"/>
      <c r="M40" s="38"/>
      <c r="N40" s="67" t="str">
        <f>DATA!L28</f>
        <v xml:space="preserve">The Development of Regional Water Supply System in Benteng Kobema </v>
      </c>
      <c r="O40" s="42">
        <f>DATA!Q28</f>
        <v>1</v>
      </c>
      <c r="P40" s="42">
        <f>DATA!R28</f>
        <v>1</v>
      </c>
      <c r="Q40" s="42">
        <f>DATA!S28</f>
        <v>22</v>
      </c>
      <c r="R40" s="83">
        <f>DATA!T28</f>
        <v>74300000</v>
      </c>
      <c r="S40" s="83"/>
      <c r="T40" s="83">
        <f>DATA!V28</f>
        <v>3715000</v>
      </c>
      <c r="U40" s="83">
        <f>DATA!W28</f>
        <v>0</v>
      </c>
      <c r="V40" s="83">
        <f>DATA!X28</f>
        <v>78015000</v>
      </c>
      <c r="W40" s="84" t="str">
        <f>DATA!Y28</f>
        <v>Bank Dunia/JICA/ADB</v>
      </c>
      <c r="X40" s="42" t="str">
        <f>DATA!Z28</f>
        <v>Multi Lender</v>
      </c>
      <c r="Y40" s="83">
        <f>DATA!AA28</f>
        <v>74300000</v>
      </c>
      <c r="Z40" s="83">
        <f>DATA!AG28</f>
        <v>0</v>
      </c>
      <c r="AA40" s="42">
        <f>DATA!AH28</f>
        <v>2017</v>
      </c>
      <c r="AB40" s="67" t="str">
        <f>DATA!AI28</f>
        <v>-</v>
      </c>
      <c r="AC40" s="67" t="str">
        <f>DATA!AJ28</f>
        <v>RISPAM, DED, SIPA, Organisasi Pelaksana, DDUB</v>
      </c>
      <c r="AD40" s="67" t="str">
        <f>DATA!AK28</f>
        <v>Proses pembebasan lahan oleh Pemda</v>
      </c>
      <c r="AE40" s="67" t="str">
        <f>DATA!AL28</f>
        <v>-</v>
      </c>
      <c r="AF40" s="42">
        <f>DATA!AM28</f>
        <v>0</v>
      </c>
      <c r="AG40" s="42" t="str">
        <f>DATA!AN28</f>
        <v>dalam proses
(penyusunan FS)</v>
      </c>
      <c r="AH40" s="42" t="str">
        <f>DATA!AO28</f>
        <v>dalam proses
(persiapan)</v>
      </c>
      <c r="AI40" s="42" t="str">
        <f>DATA!AP28</f>
        <v>belum ada proses tender/lelang</v>
      </c>
      <c r="AJ40" s="42" t="str">
        <f>DATA!AY28</f>
        <v>Konfirmasi melalui surat Sekjen nomor KU.01.12-Sj/636 tgl 23 Oktober 2015</v>
      </c>
      <c r="AK40" s="42" t="e">
        <f>DATA!#REF!</f>
        <v>#REF!</v>
      </c>
      <c r="AL40" s="42" t="str">
        <f>DATA!AZ28</f>
        <v>JICA &amp; ADB juga diindikasikan akan mendanai kegiatan ini meskipun belum ada pembicaraan</v>
      </c>
      <c r="AM40" s="67"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row>
    <row r="41" spans="1:39" s="6" customFormat="1" ht="87" hidden="1" customHeight="1">
      <c r="A41" s="6">
        <f>DATA!A29</f>
        <v>26</v>
      </c>
      <c r="B41" s="6">
        <f>DATA!B29</f>
        <v>0</v>
      </c>
      <c r="C41" s="6" t="str">
        <f>DATA!D29</f>
        <v>INFRASTRUKTUR</v>
      </c>
      <c r="D41" s="6">
        <f>DATA!E29</f>
        <v>1</v>
      </c>
      <c r="E41" s="6" t="str">
        <f>DATA!F29</f>
        <v>Kementerian Pekerjaan Umum dan Perumahan Rakyat</v>
      </c>
      <c r="F41" s="6" t="str">
        <f>DATA!H29</f>
        <v>Drinking Water Development Program</v>
      </c>
      <c r="G41" s="6" t="str">
        <f>DATA!I29</f>
        <v>D</v>
      </c>
      <c r="H41" s="6" t="str">
        <f>DATA!J29</f>
        <v>Program Pembangunan Air Minum</v>
      </c>
      <c r="I41" s="6">
        <f>DATA!K29</f>
        <v>3</v>
      </c>
      <c r="J41" s="38"/>
      <c r="K41" s="39"/>
      <c r="L41" s="39"/>
      <c r="M41" s="38"/>
      <c r="N41" s="67" t="str">
        <f>DATA!L29</f>
        <v xml:space="preserve">The Development of Regional Water Supply System in Wosusokas </v>
      </c>
      <c r="O41" s="42">
        <f>DATA!Q29</f>
        <v>1</v>
      </c>
      <c r="P41" s="42">
        <f>DATA!R29</f>
        <v>1</v>
      </c>
      <c r="Q41" s="42">
        <f>DATA!S29</f>
        <v>23</v>
      </c>
      <c r="R41" s="83">
        <f>DATA!T29</f>
        <v>106200000</v>
      </c>
      <c r="S41" s="83"/>
      <c r="T41" s="83">
        <f>DATA!V29</f>
        <v>5310000</v>
      </c>
      <c r="U41" s="83">
        <f>DATA!W29</f>
        <v>0</v>
      </c>
      <c r="V41" s="83">
        <f>DATA!X29</f>
        <v>111510000</v>
      </c>
      <c r="W41" s="84" t="str">
        <f>DATA!Y29</f>
        <v>Jerman (KfW)</v>
      </c>
      <c r="X41" s="42" t="str">
        <f>DATA!Z29</f>
        <v>Bilateral</v>
      </c>
      <c r="Y41" s="83">
        <f>DATA!AA29</f>
        <v>106200000</v>
      </c>
      <c r="Z41" s="83">
        <f>DATA!AG29</f>
        <v>0</v>
      </c>
      <c r="AA41" s="42">
        <f>DATA!AH29</f>
        <v>2017</v>
      </c>
      <c r="AB41" s="67" t="str">
        <f>DATA!AI29</f>
        <v>-</v>
      </c>
      <c r="AC41" s="67" t="str">
        <f>DATA!AJ29</f>
        <v>RISPAM, DED, SIPA, Organisasi Pelaksana, DDUB</v>
      </c>
      <c r="AD41" s="67" t="str">
        <f>DATA!AK29</f>
        <v>Proses pembebasan lahan oleh Pemda</v>
      </c>
      <c r="AE41" s="67" t="str">
        <f>DATA!AL29</f>
        <v>-</v>
      </c>
      <c r="AF41" s="42">
        <f>DATA!AM29</f>
        <v>0</v>
      </c>
      <c r="AG41" s="42" t="str">
        <f>DATA!AN29</f>
        <v>dalam proses
(penyusunan FS)</v>
      </c>
      <c r="AH41" s="42" t="str">
        <f>DATA!AO29</f>
        <v>dalam proses
(persiapan)</v>
      </c>
      <c r="AI41" s="42" t="str">
        <f>DATA!AP29</f>
        <v>belum ada proses tender/lelang</v>
      </c>
      <c r="AJ41" s="42" t="str">
        <f>DATA!AY29</f>
        <v>Konfirmasi melalui surat Sekjen nomor KU.01.12-Sj/636 tgl 23 Oktober 2015</v>
      </c>
      <c r="AK41" s="42" t="e">
        <f>DATA!#REF!</f>
        <v>#REF!</v>
      </c>
      <c r="AL41" s="42">
        <f>DATA!AZ29</f>
        <v>0</v>
      </c>
      <c r="AM41" s="67"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row>
    <row r="42" spans="1:39" s="6" customFormat="1" ht="89.25" hidden="1">
      <c r="A42" s="6">
        <f>DATA!A30</f>
        <v>27</v>
      </c>
      <c r="B42" s="6">
        <f>DATA!B30</f>
        <v>0</v>
      </c>
      <c r="C42" s="6" t="str">
        <f>DATA!D30</f>
        <v>INFRASTRUKTUR</v>
      </c>
      <c r="D42" s="6">
        <f>DATA!E30</f>
        <v>1</v>
      </c>
      <c r="E42" s="6" t="str">
        <f>DATA!F30</f>
        <v>Kementerian Pekerjaan Umum dan Perumahan Rakyat</v>
      </c>
      <c r="F42" s="6" t="str">
        <f>DATA!H30</f>
        <v>Drinking Water Development Program</v>
      </c>
      <c r="G42" s="6" t="str">
        <f>DATA!I30</f>
        <v>D</v>
      </c>
      <c r="H42" s="6" t="str">
        <f>DATA!J30</f>
        <v>Program Pembangunan Air Minum</v>
      </c>
      <c r="I42" s="6">
        <f>DATA!K30</f>
        <v>3</v>
      </c>
      <c r="J42" s="38"/>
      <c r="K42" s="39"/>
      <c r="L42" s="39"/>
      <c r="M42" s="38"/>
      <c r="N42" s="67" t="str">
        <f>DATA!L30</f>
        <v xml:space="preserve">The Development of Regional Water Supply System of Jatigede </v>
      </c>
      <c r="O42" s="42">
        <f>DATA!Q30</f>
        <v>1</v>
      </c>
      <c r="P42" s="42">
        <f>DATA!R30</f>
        <v>1</v>
      </c>
      <c r="Q42" s="42">
        <f>DATA!S30</f>
        <v>24</v>
      </c>
      <c r="R42" s="83">
        <f>DATA!T30</f>
        <v>167000000</v>
      </c>
      <c r="S42" s="83"/>
      <c r="T42" s="83">
        <f>DATA!V30</f>
        <v>8350000</v>
      </c>
      <c r="U42" s="83">
        <f>DATA!W30</f>
        <v>0</v>
      </c>
      <c r="V42" s="83">
        <f>DATA!X30</f>
        <v>175350000</v>
      </c>
      <c r="W42" s="84" t="str">
        <f>DATA!Y30</f>
        <v>Bank Dunia/JICA/ADB</v>
      </c>
      <c r="X42" s="42" t="str">
        <f>DATA!Z30</f>
        <v>Multi Lender</v>
      </c>
      <c r="Y42" s="83">
        <f>DATA!AA30</f>
        <v>140620000</v>
      </c>
      <c r="Z42" s="83">
        <f>DATA!AG30</f>
        <v>0</v>
      </c>
      <c r="AA42" s="42">
        <f>DATA!AH30</f>
        <v>2017</v>
      </c>
      <c r="AB42" s="67" t="str">
        <f>DATA!AI30</f>
        <v>-</v>
      </c>
      <c r="AC42" s="67" t="str">
        <f>DATA!AJ30</f>
        <v>-</v>
      </c>
      <c r="AD42" s="67" t="str">
        <f>DATA!AK30</f>
        <v>-</v>
      </c>
      <c r="AE42" s="67" t="str">
        <f>DATA!AL30</f>
        <v>-</v>
      </c>
      <c r="AF42" s="42">
        <f>DATA!AM30</f>
        <v>0</v>
      </c>
      <c r="AG42" s="42" t="str">
        <f>DATA!AN30</f>
        <v>belum ada keterangan</v>
      </c>
      <c r="AH42" s="42" t="str">
        <f>DATA!AO30</f>
        <v>belum ada keterangan</v>
      </c>
      <c r="AI42" s="42" t="str">
        <f>DATA!AP30</f>
        <v>belum ada proses tender/lelang</v>
      </c>
      <c r="AJ42" s="42" t="str">
        <f>DATA!AY30</f>
        <v>Konfirmasi melalui surat Sekjen nomor KU.01.12-Sj/636 tgl 23 Oktober 2015</v>
      </c>
      <c r="AK42" s="42" t="e">
        <f>DATA!#REF!</f>
        <v>#REF!</v>
      </c>
      <c r="AL42" s="42">
        <f>DATA!AZ30</f>
        <v>0</v>
      </c>
      <c r="AM42" s="67"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row>
    <row r="43" spans="1:39" s="6" customFormat="1" ht="88.5" hidden="1" customHeight="1">
      <c r="A43" s="6">
        <f>DATA!A31</f>
        <v>28</v>
      </c>
      <c r="B43" s="6">
        <f>DATA!B31</f>
        <v>0</v>
      </c>
      <c r="C43" s="6" t="str">
        <f>DATA!D31</f>
        <v>INFRASTRUKTUR</v>
      </c>
      <c r="D43" s="6">
        <f>DATA!E31</f>
        <v>1</v>
      </c>
      <c r="E43" s="6" t="str">
        <f>DATA!F31</f>
        <v>Kementerian Pekerjaan Umum dan Perumahan Rakyat</v>
      </c>
      <c r="F43" s="6" t="str">
        <f>DATA!H31</f>
        <v>Drinking Water Development Program</v>
      </c>
      <c r="G43" s="6" t="str">
        <f>DATA!I31</f>
        <v>D</v>
      </c>
      <c r="H43" s="6" t="str">
        <f>DATA!J31</f>
        <v>Program Pembangunan Air Minum</v>
      </c>
      <c r="I43" s="6">
        <f>DATA!K31</f>
        <v>3</v>
      </c>
      <c r="J43" s="38"/>
      <c r="K43" s="39"/>
      <c r="L43" s="39"/>
      <c r="M43" s="38"/>
      <c r="N43" s="67" t="str">
        <f>DATA!L31</f>
        <v>The Development of Regional Water Supply System of Petanglong</v>
      </c>
      <c r="O43" s="42">
        <f>DATA!Q31</f>
        <v>1</v>
      </c>
      <c r="P43" s="42">
        <f>DATA!R31</f>
        <v>1</v>
      </c>
      <c r="Q43" s="42">
        <f>DATA!S31</f>
        <v>25</v>
      </c>
      <c r="R43" s="83">
        <f>DATA!T31</f>
        <v>95380000</v>
      </c>
      <c r="S43" s="83"/>
      <c r="T43" s="83">
        <f>DATA!V31</f>
        <v>4769000</v>
      </c>
      <c r="U43" s="83">
        <f>DATA!W31</f>
        <v>0</v>
      </c>
      <c r="V43" s="83">
        <f>DATA!X31</f>
        <v>100149000</v>
      </c>
      <c r="W43" s="84" t="str">
        <f>DATA!Y31</f>
        <v>Bank Dunia/JICA/ADB</v>
      </c>
      <c r="X43" s="42" t="str">
        <f>DATA!Z31</f>
        <v>Multi Lender</v>
      </c>
      <c r="Y43" s="83">
        <f>DATA!AA31</f>
        <v>95380000</v>
      </c>
      <c r="Z43" s="83">
        <f>DATA!AG31</f>
        <v>0</v>
      </c>
      <c r="AA43" s="42">
        <f>DATA!AH31</f>
        <v>2017</v>
      </c>
      <c r="AB43" s="67" t="str">
        <f>DATA!AI31</f>
        <v>Tahap persiapan project</v>
      </c>
      <c r="AC43" s="67" t="str">
        <f>DATA!AJ31</f>
        <v>-</v>
      </c>
      <c r="AD43" s="67" t="str">
        <f>DATA!AK31</f>
        <v>-</v>
      </c>
      <c r="AE43" s="67" t="str">
        <f>DATA!AL31</f>
        <v>-</v>
      </c>
      <c r="AF43" s="42">
        <f>DATA!AM31</f>
        <v>0</v>
      </c>
      <c r="AG43" s="42" t="str">
        <f>DATA!AN31</f>
        <v>belum ada keterangan</v>
      </c>
      <c r="AH43" s="42" t="str">
        <f>DATA!AO31</f>
        <v>belum ada keterangan</v>
      </c>
      <c r="AI43" s="42" t="str">
        <f>DATA!AP31</f>
        <v>belum ada proses tender/lelang</v>
      </c>
      <c r="AJ43" s="42" t="str">
        <f>DATA!AY31</f>
        <v>Konfirmasi melalui surat Sekjen nomor KU.01.12-Sj/636 tgl 23 Oktober 2015</v>
      </c>
      <c r="AK43" s="42" t="e">
        <f>DATA!#REF!</f>
        <v>#REF!</v>
      </c>
      <c r="AL43" s="42">
        <f>DATA!AZ31</f>
        <v>0</v>
      </c>
      <c r="AM43" s="67" t="str">
        <f>DATA!BA31</f>
        <v>Pembangunan intake dan transmisi air baku, pembangunan IPA dengan kapasitas 1.100 lt/dt untuk sistem pengelolaan air minum yang berkapasitas 1.100 lt/dt, dan untuk penyediaan SPAM yang melayani 142.999 SR  di wilayah Kab. Batang, Kota Pekalongan, Kab. Pekalongan</v>
      </c>
    </row>
    <row r="44" spans="1:39" s="6" customFormat="1" ht="76.5" hidden="1">
      <c r="A44" s="6">
        <f>DATA!A32</f>
        <v>29</v>
      </c>
      <c r="B44" s="6">
        <f>DATA!B32</f>
        <v>0</v>
      </c>
      <c r="C44" s="6" t="str">
        <f>DATA!D32</f>
        <v>INFRASTRUKTUR</v>
      </c>
      <c r="D44" s="6">
        <f>DATA!E32</f>
        <v>1</v>
      </c>
      <c r="E44" s="6" t="str">
        <f>DATA!F32</f>
        <v>Kementerian Pekerjaan Umum dan Perumahan Rakyat</v>
      </c>
      <c r="F44" s="6" t="str">
        <f>DATA!H32</f>
        <v>Drinking Water Development Program</v>
      </c>
      <c r="G44" s="6" t="str">
        <f>DATA!I32</f>
        <v>D</v>
      </c>
      <c r="H44" s="6" t="str">
        <f>DATA!J32</f>
        <v>Program Pembangunan Air Minum</v>
      </c>
      <c r="I44" s="6">
        <f>DATA!K32</f>
        <v>3</v>
      </c>
      <c r="J44" s="38"/>
      <c r="K44" s="39"/>
      <c r="L44" s="39"/>
      <c r="M44" s="38"/>
      <c r="N44" s="67" t="str">
        <f>DATA!L32</f>
        <v xml:space="preserve">The Development of Regional Water Supply System of Durolis </v>
      </c>
      <c r="O44" s="42">
        <f>DATA!Q32</f>
        <v>1</v>
      </c>
      <c r="P44" s="42">
        <f>DATA!R32</f>
        <v>1</v>
      </c>
      <c r="Q44" s="42">
        <f>DATA!S32</f>
        <v>26</v>
      </c>
      <c r="R44" s="83">
        <f>DATA!T32</f>
        <v>33400000</v>
      </c>
      <c r="S44" s="83"/>
      <c r="T44" s="83">
        <f>DATA!V32</f>
        <v>1670000</v>
      </c>
      <c r="U44" s="83">
        <f>DATA!W32</f>
        <v>0</v>
      </c>
      <c r="V44" s="83">
        <f>DATA!X32</f>
        <v>35070000</v>
      </c>
      <c r="W44" s="84" t="str">
        <f>DATA!Y32</f>
        <v>Bank Dunia/JICA/ADB</v>
      </c>
      <c r="X44" s="42" t="str">
        <f>DATA!Z32</f>
        <v>Multi Lender</v>
      </c>
      <c r="Y44" s="83">
        <f>DATA!AA32</f>
        <v>33400000</v>
      </c>
      <c r="Z44" s="83">
        <f>DATA!AG32</f>
        <v>0</v>
      </c>
      <c r="AA44" s="42">
        <f>DATA!AH32</f>
        <v>2017</v>
      </c>
      <c r="AB44" s="67" t="str">
        <f>DATA!AI32</f>
        <v>-</v>
      </c>
      <c r="AC44" s="67" t="str">
        <f>DATA!AJ32</f>
        <v>FS, DED, AMDAL</v>
      </c>
      <c r="AD44" s="67" t="str">
        <f>DATA!AK32</f>
        <v xml:space="preserve"> Lahan sudah tersedia </v>
      </c>
      <c r="AE44" s="67" t="str">
        <f>DATA!AL32</f>
        <v>-</v>
      </c>
      <c r="AF44" s="42">
        <f>DATA!AM32</f>
        <v>0</v>
      </c>
      <c r="AG44" s="42" t="str">
        <f>DATA!AN32</f>
        <v>siap</v>
      </c>
      <c r="AH44" s="42" t="str">
        <f>DATA!AO32</f>
        <v>siap</v>
      </c>
      <c r="AI44" s="42" t="str">
        <f>DATA!AP32</f>
        <v>belum ada proses tender/lelang</v>
      </c>
      <c r="AJ44" s="42" t="str">
        <f>DATA!AY32</f>
        <v>Konfirmasi melalui surat Sekjen nomor KU.01.12-Sj/636 tgl 23 Oktober 2015</v>
      </c>
      <c r="AK44" s="42" t="e">
        <f>DATA!#REF!</f>
        <v>#REF!</v>
      </c>
      <c r="AL44" s="42" t="str">
        <f>DATA!AZ32</f>
        <v>ADB juga diindikasikan akan mendanai kegiatan ini</v>
      </c>
      <c r="AM44" s="67" t="str">
        <f>DATA!BA32</f>
        <v>Pembangunan unit air baku, unit produksi dan distribusi utama, unit pelayanan dan unit pengelolaan untuk sistem pengelolaan air minum yang berkapasitas 500 lt/dt dan untuk melayani masyarakat sebesar 24.000 SR di wilayah Dumai, Rokan Hilir dan Bengkalis</v>
      </c>
    </row>
    <row r="45" spans="1:39" s="6" customFormat="1" ht="86.25" hidden="1" customHeight="1">
      <c r="A45" s="6">
        <f>DATA!A33</f>
        <v>30</v>
      </c>
      <c r="B45" s="6">
        <f>DATA!B33</f>
        <v>0</v>
      </c>
      <c r="C45" s="6" t="str">
        <f>DATA!D33</f>
        <v>INFRASTRUKTUR</v>
      </c>
      <c r="D45" s="6">
        <f>DATA!E33</f>
        <v>1</v>
      </c>
      <c r="E45" s="6" t="str">
        <f>DATA!F33</f>
        <v>Kementerian Pekerjaan Umum dan Perumahan Rakyat</v>
      </c>
      <c r="F45" s="6" t="str">
        <f>DATA!H33</f>
        <v>Drinking Water Development Program</v>
      </c>
      <c r="G45" s="6" t="str">
        <f>DATA!I33</f>
        <v>D</v>
      </c>
      <c r="H45" s="6" t="str">
        <f>DATA!J33</f>
        <v>Program Pembangunan Air Minum</v>
      </c>
      <c r="I45" s="6">
        <f>DATA!K33</f>
        <v>3</v>
      </c>
      <c r="J45" s="38"/>
      <c r="K45" s="39"/>
      <c r="L45" s="39"/>
      <c r="M45" s="38"/>
      <c r="N45" s="67" t="str">
        <f>DATA!L33</f>
        <v xml:space="preserve">The Development of Regional Water Supply System of  Banten - Jakarta from Karian Dam </v>
      </c>
      <c r="O45" s="42">
        <f>DATA!Q33</f>
        <v>1</v>
      </c>
      <c r="P45" s="42">
        <f>DATA!R33</f>
        <v>1</v>
      </c>
      <c r="Q45" s="42">
        <f>DATA!S33</f>
        <v>27</v>
      </c>
      <c r="R45" s="83">
        <f>DATA!T33</f>
        <v>40000000</v>
      </c>
      <c r="S45" s="83"/>
      <c r="T45" s="83">
        <f>DATA!V33</f>
        <v>2000000</v>
      </c>
      <c r="U45" s="83">
        <f>DATA!W33</f>
        <v>0</v>
      </c>
      <c r="V45" s="83">
        <f>DATA!X33</f>
        <v>42000000</v>
      </c>
      <c r="W45" s="84" t="str">
        <f>DATA!Y33</f>
        <v>Korea</v>
      </c>
      <c r="X45" s="42" t="str">
        <f>DATA!Z33</f>
        <v>Bilateral</v>
      </c>
      <c r="Y45" s="83">
        <f>DATA!AA33</f>
        <v>40000000</v>
      </c>
      <c r="Z45" s="83">
        <f>DATA!AG33</f>
        <v>0</v>
      </c>
      <c r="AA45" s="42">
        <f>DATA!AH33</f>
        <v>2017</v>
      </c>
      <c r="AB45" s="67" t="str">
        <f>DATA!AI33</f>
        <v>-</v>
      </c>
      <c r="AC45" s="67" t="str">
        <f>DATA!AJ33</f>
        <v>FS</v>
      </c>
      <c r="AD45" s="67" t="str">
        <f>DATA!AK33</f>
        <v>Proses pembebasan lahan oleh Pemda</v>
      </c>
      <c r="AE45" s="67" t="str">
        <f>DATA!AL33</f>
        <v>-</v>
      </c>
      <c r="AF45" s="42">
        <f>DATA!AM33</f>
        <v>0</v>
      </c>
      <c r="AG45" s="42" t="str">
        <f>DATA!AN33</f>
        <v>dalam proses
(memiliki FS)</v>
      </c>
      <c r="AH45" s="42" t="str">
        <f>DATA!AO33</f>
        <v>dalam proses
(persiapan)</v>
      </c>
      <c r="AI45" s="42" t="str">
        <f>DATA!AP33</f>
        <v>belum ada proses tender/lelang</v>
      </c>
      <c r="AJ45" s="42" t="str">
        <f>DATA!AY33</f>
        <v>Konfirmasi melalui surat Sekjen nomor KU.01.12-Sj/636 tgl 23 Oktober 2015</v>
      </c>
      <c r="AK45" s="42" t="e">
        <f>DATA!#REF!</f>
        <v>#REF!</v>
      </c>
      <c r="AL45" s="42">
        <f>DATA!AZ33</f>
        <v>0</v>
      </c>
      <c r="AM45" s="67"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row>
    <row r="46" spans="1:39" s="6" customFormat="1" ht="56.25" hidden="1" customHeight="1">
      <c r="A46" s="6">
        <f>DATA!A34</f>
        <v>31</v>
      </c>
      <c r="B46" s="6">
        <f>DATA!B34</f>
        <v>0</v>
      </c>
      <c r="C46" s="6" t="str">
        <f>DATA!D34</f>
        <v>INFRASTRUKTUR</v>
      </c>
      <c r="D46" s="6">
        <f>DATA!E34</f>
        <v>1</v>
      </c>
      <c r="E46" s="6" t="str">
        <f>DATA!F34</f>
        <v>Kementerian Pekerjaan Umum dan Perumahan Rakyat</v>
      </c>
      <c r="F46" s="6" t="str">
        <f>DATA!H34</f>
        <v>Drinking Water Development Program</v>
      </c>
      <c r="G46" s="6" t="str">
        <f>DATA!I34</f>
        <v>D</v>
      </c>
      <c r="H46" s="6" t="str">
        <f>DATA!J34</f>
        <v>Program Pembangunan Air Minum</v>
      </c>
      <c r="I46" s="6">
        <f>DATA!K34</f>
        <v>3</v>
      </c>
      <c r="J46" s="38"/>
      <c r="K46" s="39"/>
      <c r="L46" s="39"/>
      <c r="M46" s="43"/>
      <c r="N46" s="67" t="str">
        <f>DATA!L34</f>
        <v xml:space="preserve">The Development of Regional Water Supply System of Mebidang </v>
      </c>
      <c r="O46" s="42">
        <f>DATA!Q34</f>
        <v>1</v>
      </c>
      <c r="P46" s="42">
        <f>DATA!R34</f>
        <v>1</v>
      </c>
      <c r="Q46" s="42">
        <f>DATA!S34</f>
        <v>28</v>
      </c>
      <c r="R46" s="83">
        <f>DATA!T34</f>
        <v>56400000</v>
      </c>
      <c r="S46" s="83"/>
      <c r="T46" s="83">
        <f>DATA!V34</f>
        <v>2820000</v>
      </c>
      <c r="U46" s="83">
        <f>DATA!W34</f>
        <v>0</v>
      </c>
      <c r="V46" s="83">
        <f>DATA!X34</f>
        <v>59220000</v>
      </c>
      <c r="W46" s="84" t="str">
        <f>DATA!Y34</f>
        <v>Jerman (KfW)</v>
      </c>
      <c r="X46" s="42" t="str">
        <f>DATA!Z34</f>
        <v>Bilateral</v>
      </c>
      <c r="Y46" s="83">
        <f>DATA!AA34</f>
        <v>56400000</v>
      </c>
      <c r="Z46" s="83">
        <f>DATA!AG34</f>
        <v>0</v>
      </c>
      <c r="AA46" s="42">
        <f>DATA!AH34</f>
        <v>2017</v>
      </c>
      <c r="AB46" s="67" t="str">
        <f>DATA!AI34</f>
        <v>-</v>
      </c>
      <c r="AC46" s="67" t="str">
        <f>DATA!AJ34</f>
        <v>FS, DED</v>
      </c>
      <c r="AD46" s="67" t="str">
        <f>DATA!AK34</f>
        <v>Proses pembebasan lahan oleh Pemda</v>
      </c>
      <c r="AE46" s="67" t="str">
        <f>DATA!AL34</f>
        <v>-</v>
      </c>
      <c r="AF46" s="42">
        <f>DATA!AM34</f>
        <v>0</v>
      </c>
      <c r="AG46" s="42" t="str">
        <f>DATA!AN34</f>
        <v>dalam proses
(memiliki FS dan DED)</v>
      </c>
      <c r="AH46" s="42" t="str">
        <f>DATA!AO34</f>
        <v>dalam proses
(persiapan)</v>
      </c>
      <c r="AI46" s="42" t="str">
        <f>DATA!AP34</f>
        <v>belum ada proses tender/lelang</v>
      </c>
      <c r="AJ46" s="42" t="str">
        <f>DATA!AY34</f>
        <v>Konfirmasi melalui surat Sekjen nomor KU.01.12-Sj/636 tgl 23 Oktober 2015</v>
      </c>
      <c r="AK46" s="42" t="e">
        <f>DATA!#REF!</f>
        <v>#REF!</v>
      </c>
      <c r="AL46" s="42">
        <f>DATA!AZ34</f>
        <v>0</v>
      </c>
      <c r="AM46" s="67" t="str">
        <f>DATA!BA34</f>
        <v>Pembangunan IPA dengan kapasitas 1.250 lt/dt, pembangunan jaringan pipa transmisi untuk penyediaan air minum yang melayani 84.558 SR di wilayah Medan, Binjai, dan Deli Serdang.</v>
      </c>
    </row>
    <row r="47" spans="1:39" ht="48.75" hidden="1" customHeight="1">
      <c r="A47" s="10">
        <f>DATA!A35</f>
        <v>32</v>
      </c>
      <c r="B47" s="10">
        <f>DATA!B35</f>
        <v>0</v>
      </c>
      <c r="C47" s="10" t="str">
        <f>DATA!D35</f>
        <v>INFRASTRUKTUR</v>
      </c>
      <c r="D47" s="10">
        <f>DATA!E35</f>
        <v>1</v>
      </c>
      <c r="E47" s="10" t="str">
        <f>DATA!F35</f>
        <v>Kementerian Pekerjaan Umum dan Perumahan Rakyat</v>
      </c>
      <c r="F47" s="10" t="str">
        <f>DATA!H35</f>
        <v>Drinking Water Development Program</v>
      </c>
      <c r="G47" s="10" t="str">
        <f>DATA!I35</f>
        <v>D</v>
      </c>
      <c r="H47" s="10" t="str">
        <f>DATA!J35</f>
        <v>Program Pembangunan Air Minum</v>
      </c>
      <c r="I47" s="10">
        <f>DATA!K35</f>
        <v>4</v>
      </c>
      <c r="J47" s="33"/>
      <c r="K47" s="34"/>
      <c r="L47" s="34"/>
      <c r="M47" s="36">
        <f>DATA!K35</f>
        <v>4</v>
      </c>
      <c r="N47" s="37" t="str">
        <f>DATA!L35</f>
        <v>Water Supply System and Small Scale Water Treatment:</v>
      </c>
      <c r="O47" s="20">
        <f>DATA!Q35</f>
        <v>0</v>
      </c>
      <c r="P47" s="20">
        <f>DATA!R35</f>
        <v>0</v>
      </c>
      <c r="Q47" s="20">
        <f>DATA!S35</f>
        <v>0</v>
      </c>
      <c r="R47" s="77">
        <f>DATA!T35</f>
        <v>125000000</v>
      </c>
      <c r="S47" s="77"/>
      <c r="T47" s="77">
        <f>DATA!V35</f>
        <v>5800000</v>
      </c>
      <c r="U47" s="77">
        <f>DATA!W35</f>
        <v>0</v>
      </c>
      <c r="V47" s="77">
        <f>DATA!X35</f>
        <v>130800000</v>
      </c>
      <c r="W47" s="78" t="str">
        <f>DATA!Y35</f>
        <v>-</v>
      </c>
      <c r="X47" s="20">
        <f>DATA!Z35</f>
        <v>0</v>
      </c>
      <c r="Y47" s="77">
        <f>DATA!AA35</f>
        <v>125000000</v>
      </c>
      <c r="Z47" s="77">
        <f>DATA!AG35</f>
        <v>0</v>
      </c>
      <c r="AA47" s="20" t="str">
        <f>DATA!AH35</f>
        <v>-</v>
      </c>
      <c r="AB47" s="37" t="str">
        <f>DATA!AI35</f>
        <v>-</v>
      </c>
      <c r="AC47" s="37" t="str">
        <f>DATA!AJ35</f>
        <v>-</v>
      </c>
      <c r="AD47" s="37" t="str">
        <f>DATA!AK35</f>
        <v>-</v>
      </c>
      <c r="AE47" s="37" t="str">
        <f>DATA!AL35</f>
        <v>-</v>
      </c>
      <c r="AF47" s="20">
        <f>DATA!AM35</f>
        <v>0</v>
      </c>
      <c r="AG47" s="20" t="str">
        <f>DATA!AN35</f>
        <v>-</v>
      </c>
      <c r="AH47" s="20" t="str">
        <f>DATA!AO35</f>
        <v>-</v>
      </c>
      <c r="AI47" s="20">
        <f>DATA!AP35</f>
        <v>0</v>
      </c>
      <c r="AJ47" s="20" t="str">
        <f>DATA!AY35</f>
        <v>Konfirmasi melalui surat Sekjen nomor KU.01.12-Sj/636 tgl 23 Oktober 2015</v>
      </c>
      <c r="AK47" s="20" t="e">
        <f>DATA!#REF!</f>
        <v>#REF!</v>
      </c>
      <c r="AL47" s="20">
        <f>DATA!AZ35</f>
        <v>0</v>
      </c>
      <c r="AM47" s="37" t="str">
        <f>DATA!BA35</f>
        <v>Pengadaan dan pembangunan Instalasi Pengolahan Air Minum skala kecil untuk penanganan keadaan darurat dan Ibu Kota Kecamatan (IKK) terpilih</v>
      </c>
    </row>
    <row r="48" spans="1:39" s="7" customFormat="1" ht="66.75" hidden="1" customHeight="1">
      <c r="A48" s="6">
        <f>DATA!A36</f>
        <v>33</v>
      </c>
      <c r="B48" s="6">
        <f>DATA!B36</f>
        <v>0</v>
      </c>
      <c r="C48" s="6" t="str">
        <f>DATA!D36</f>
        <v>INFRASTRUKTUR</v>
      </c>
      <c r="D48" s="6">
        <f>DATA!E36</f>
        <v>1</v>
      </c>
      <c r="E48" s="6" t="str">
        <f>DATA!F36</f>
        <v>Kementerian Pekerjaan Umum dan Perumahan Rakyat</v>
      </c>
      <c r="F48" s="6" t="str">
        <f>DATA!H36</f>
        <v>Drinking Water Development Program</v>
      </c>
      <c r="G48" s="6" t="str">
        <f>DATA!I36</f>
        <v>D</v>
      </c>
      <c r="H48" s="6" t="str">
        <f>DATA!J36</f>
        <v>Program Pembangunan Air Minum</v>
      </c>
      <c r="I48" s="6">
        <f>DATA!K36</f>
        <v>4</v>
      </c>
      <c r="J48" s="44"/>
      <c r="K48" s="45"/>
      <c r="L48" s="45"/>
      <c r="M48" s="48"/>
      <c r="N48" s="68" t="str">
        <f>DATA!L36</f>
        <v xml:space="preserve">Small Scale Water Treatment Plants for Emergency Relief </v>
      </c>
      <c r="O48" s="42">
        <f>DATA!Q36</f>
        <v>1</v>
      </c>
      <c r="P48" s="42">
        <f>DATA!R36</f>
        <v>1</v>
      </c>
      <c r="Q48" s="42">
        <f>DATA!S36</f>
        <v>29</v>
      </c>
      <c r="R48" s="85">
        <f>DATA!T36</f>
        <v>25000000</v>
      </c>
      <c r="S48" s="85"/>
      <c r="T48" s="85">
        <f>DATA!V36</f>
        <v>800000</v>
      </c>
      <c r="U48" s="83">
        <f>DATA!W36</f>
        <v>0</v>
      </c>
      <c r="V48" s="85">
        <f>DATA!X36</f>
        <v>25800000</v>
      </c>
      <c r="W48" s="86" t="str">
        <f>DATA!Y36</f>
        <v>Spanyol</v>
      </c>
      <c r="X48" s="42" t="str">
        <f>DATA!Z36</f>
        <v>Bilateral</v>
      </c>
      <c r="Y48" s="85">
        <f>DATA!AA36</f>
        <v>25000000</v>
      </c>
      <c r="Z48" s="85">
        <f>DATA!AG36</f>
        <v>0</v>
      </c>
      <c r="AA48" s="98">
        <f>DATA!AH36</f>
        <v>2016</v>
      </c>
      <c r="AB48" s="68" t="str">
        <f>DATA!AI36</f>
        <v>- Sudah ada R/C
- Green Book 2015
 - Proses Loan Agreement</v>
      </c>
      <c r="AC48" s="68" t="str">
        <f>DATA!AJ36</f>
        <v>FS</v>
      </c>
      <c r="AD48" s="68" t="str">
        <f>DATA!AK36</f>
        <v>-</v>
      </c>
      <c r="AE48" s="68" t="str">
        <f>DATA!AL36</f>
        <v>-</v>
      </c>
      <c r="AF48" s="42" t="str">
        <f>DATA!AM36</f>
        <v>2016; 2015</v>
      </c>
      <c r="AG48" s="42" t="str">
        <f>DATA!AN36</f>
        <v>siap</v>
      </c>
      <c r="AH48" s="42" t="str">
        <f>DATA!AO36</f>
        <v>dalam proses
(persiapan)</v>
      </c>
      <c r="AI48" s="42" t="str">
        <f>DATA!AP36</f>
        <v>belum ada proses tender/lelang</v>
      </c>
      <c r="AJ48" s="42" t="str">
        <f>DATA!AY36</f>
        <v>Konfirmasi melalui surat Sekjen nomor KU.01.12-Sj/636 tgl 23 Oktober 2015</v>
      </c>
      <c r="AK48" s="42" t="e">
        <f>DATA!#REF!</f>
        <v>#REF!</v>
      </c>
      <c r="AL48" s="42">
        <f>DATA!AZ36</f>
        <v>0</v>
      </c>
      <c r="AM48" s="67" t="str">
        <f>DATA!BA36</f>
        <v>Pengadaan Instalasi Pengolahan Air (IPA) yang dapat dipindahkan (mobile) untuk penanganan keadaan darurat,  yang dilengkapi dengan alat pendukung, truk, dan sistem komunikasi di 4 lokasi (kota Medan, Bekasi, Makassar, dan Surabaya)</v>
      </c>
    </row>
    <row r="49" spans="1:39" ht="35.25" hidden="1" customHeight="1">
      <c r="J49" s="33"/>
      <c r="K49" s="34"/>
      <c r="L49" s="34"/>
      <c r="M49" s="33"/>
      <c r="N49" s="37" t="str">
        <f>DATA!L37</f>
        <v>IKK Water Supply Program and Small Water Treatment Plant for Water Scarcity Area</v>
      </c>
      <c r="O49" s="20">
        <f>DATA!Q37</f>
        <v>0</v>
      </c>
      <c r="P49" s="20">
        <f>DATA!R37</f>
        <v>1</v>
      </c>
      <c r="Q49" s="20">
        <f>DATA!S37</f>
        <v>30</v>
      </c>
      <c r="R49" s="77">
        <f>DATA!T37</f>
        <v>100000000</v>
      </c>
      <c r="S49" s="77"/>
      <c r="T49" s="77">
        <f>DATA!V37</f>
        <v>5000000</v>
      </c>
      <c r="U49" s="77">
        <f>DATA!W37</f>
        <v>0</v>
      </c>
      <c r="V49" s="77">
        <f>DATA!X37</f>
        <v>105000000</v>
      </c>
      <c r="W49" s="78" t="str">
        <f>DATA!Y37</f>
        <v>-</v>
      </c>
      <c r="X49" s="20">
        <f>DATA!Z37</f>
        <v>0</v>
      </c>
      <c r="Y49" s="77">
        <f>DATA!AA37</f>
        <v>100000000</v>
      </c>
      <c r="Z49" s="77">
        <f>DATA!AG37</f>
        <v>0</v>
      </c>
      <c r="AA49" s="104" t="str">
        <f>DATA!AH37</f>
        <v>-</v>
      </c>
      <c r="AB49" s="105" t="str">
        <f>DATA!AI37</f>
        <v>-</v>
      </c>
      <c r="AC49" s="105" t="str">
        <f>DATA!AJ37</f>
        <v>-</v>
      </c>
      <c r="AD49" s="105" t="str">
        <f>DATA!AK37</f>
        <v>-</v>
      </c>
      <c r="AE49" s="105" t="str">
        <f>DATA!AL37</f>
        <v>-</v>
      </c>
      <c r="AF49" s="104" t="str">
        <f>DATA!AM37</f>
        <v>-</v>
      </c>
      <c r="AG49" s="104" t="str">
        <f>DATA!AN37</f>
        <v>-</v>
      </c>
      <c r="AH49" s="104" t="str">
        <f>DATA!AO37</f>
        <v>-</v>
      </c>
      <c r="AI49" s="104" t="str">
        <f>DATA!AP37</f>
        <v>-</v>
      </c>
      <c r="AJ49" s="104" t="str">
        <f>DATA!AY37</f>
        <v>Konfirmasi melalui surat Sekjen nomor KU.01.12-Sj/636 tgl 23 Oktober 2015</v>
      </c>
      <c r="AK49" s="104" t="e">
        <f>DATA!#REF!</f>
        <v>#REF!</v>
      </c>
      <c r="AL49" s="104" t="str">
        <f>DATA!AZ37</f>
        <v>-</v>
      </c>
      <c r="AM49" s="105" t="str">
        <f>DATA!BA37</f>
        <v>-</v>
      </c>
    </row>
    <row r="50" spans="1:39" s="7" customFormat="1" ht="89.25" hidden="1">
      <c r="A50" s="6">
        <f>DATA!A38</f>
        <v>34</v>
      </c>
      <c r="B50" s="6">
        <f>DATA!B38</f>
        <v>0</v>
      </c>
      <c r="C50" s="6" t="str">
        <f>DATA!D38</f>
        <v>INFRASTRUKTUR</v>
      </c>
      <c r="D50" s="6">
        <f>DATA!E38</f>
        <v>1</v>
      </c>
      <c r="E50" s="6" t="str">
        <f>DATA!F38</f>
        <v>Kementerian Pekerjaan Umum dan Perumahan Rakyat</v>
      </c>
      <c r="F50" s="6" t="str">
        <f>DATA!H38</f>
        <v>Drinking Water Development Program</v>
      </c>
      <c r="G50" s="6" t="str">
        <f>DATA!I38</f>
        <v>D</v>
      </c>
      <c r="H50" s="6" t="str">
        <f>DATA!J38</f>
        <v>Program Pembangunan Air Minum</v>
      </c>
      <c r="I50" s="6">
        <f>DATA!K38</f>
        <v>4</v>
      </c>
      <c r="J50" s="44"/>
      <c r="K50" s="45"/>
      <c r="L50" s="69"/>
      <c r="M50" s="70"/>
      <c r="N50" s="68" t="str">
        <f>DATA!L38</f>
        <v>IKK Water Supply Program and Small Water Treatment Plant for Water Scarcity Area</v>
      </c>
      <c r="O50" s="42">
        <f>DATA!Q38</f>
        <v>0.5</v>
      </c>
      <c r="P50" s="42">
        <f>DATA!R38</f>
        <v>0</v>
      </c>
      <c r="Q50" s="42">
        <f>DATA!S38</f>
        <v>0</v>
      </c>
      <c r="R50" s="85">
        <f>DATA!T38</f>
        <v>0</v>
      </c>
      <c r="S50" s="85"/>
      <c r="T50" s="85">
        <f>DATA!V38</f>
        <v>0</v>
      </c>
      <c r="U50" s="83">
        <f>DATA!W38</f>
        <v>0</v>
      </c>
      <c r="V50" s="85">
        <f>DATA!X38</f>
        <v>0</v>
      </c>
      <c r="W50" s="86" t="str">
        <f>DATA!Y38</f>
        <v>Hungaria</v>
      </c>
      <c r="X50" s="42" t="str">
        <f>DATA!Z38</f>
        <v>Bilateral</v>
      </c>
      <c r="Y50" s="85">
        <f>DATA!AA38</f>
        <v>50000000</v>
      </c>
      <c r="Z50" s="85">
        <f>DATA!AG38</f>
        <v>0</v>
      </c>
      <c r="AA50" s="98">
        <f>DATA!AH38</f>
        <v>2016</v>
      </c>
      <c r="AB50" s="68" t="str">
        <f>DATA!AI38</f>
        <v>- Sudah ada R/C
- Green Book 2015
- Proses LA</v>
      </c>
      <c r="AC50" s="68" t="str">
        <f>DATA!AJ38</f>
        <v>Surat minat, RISPAM, DED, SIPA, Organisasi Pelaksana, DDUB</v>
      </c>
      <c r="AD50" s="68" t="str">
        <f>DATA!AK38</f>
        <v>Sebagian lokasi dalam proses pembebasan lahan oleh Pemda</v>
      </c>
      <c r="AE50" s="68" t="str">
        <f>DATA!AL38</f>
        <v>Dalam proses pengadaan</v>
      </c>
      <c r="AF50" s="42" t="str">
        <f>DATA!AM38</f>
        <v>2016; 2015</v>
      </c>
      <c r="AG50" s="42" t="str">
        <f>DATA!AN38</f>
        <v>siap</v>
      </c>
      <c r="AH50" s="42" t="str">
        <f>DATA!AO38</f>
        <v>dalam proses
(pelaksanaan &lt;50%)</v>
      </c>
      <c r="AI50" s="42" t="str">
        <f>DATA!AP38</f>
        <v>dalam proses tender/lelang</v>
      </c>
      <c r="AJ50" s="42" t="str">
        <f>DATA!AY38</f>
        <v>Konfirmasi melalui surat Sekjen nomor KU.01.12-Sj/636 tgl 23 Oktober 2015</v>
      </c>
      <c r="AK50" s="42" t="e">
        <f>DATA!#REF!</f>
        <v>#REF!</v>
      </c>
      <c r="AL50" s="42"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M50" s="67"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row>
    <row r="51" spans="1:39" s="6" customFormat="1" ht="30" hidden="1" customHeight="1">
      <c r="J51" s="38"/>
      <c r="K51" s="39"/>
      <c r="L51" s="71"/>
      <c r="M51" s="43"/>
      <c r="N51" s="67" t="str">
        <f>DATA!L39</f>
        <v>IKK Water Supply Program and Small Water Treatment Plant for Water Scarcity Area</v>
      </c>
      <c r="O51" s="42">
        <f>DATA!Q39</f>
        <v>0.5</v>
      </c>
      <c r="P51" s="42">
        <f>DATA!R39</f>
        <v>0</v>
      </c>
      <c r="Q51" s="42">
        <f>DATA!S39</f>
        <v>0</v>
      </c>
      <c r="R51" s="83">
        <f>DATA!T39</f>
        <v>0</v>
      </c>
      <c r="S51" s="83"/>
      <c r="T51" s="83">
        <f>DATA!V39</f>
        <v>0</v>
      </c>
      <c r="U51" s="83">
        <f>DATA!W39</f>
        <v>0</v>
      </c>
      <c r="V51" s="83">
        <f>DATA!X39</f>
        <v>0</v>
      </c>
      <c r="W51" s="84" t="str">
        <f>DATA!Y39</f>
        <v>IDB</v>
      </c>
      <c r="X51" s="42" t="str">
        <f>DATA!Z39</f>
        <v>Multilateral</v>
      </c>
      <c r="Y51" s="83">
        <f>DATA!AA39</f>
        <v>50000000</v>
      </c>
      <c r="Z51" s="83">
        <f>DATA!AG39</f>
        <v>0</v>
      </c>
      <c r="AA51" s="42">
        <f>DATA!AH39</f>
        <v>2017</v>
      </c>
      <c r="AB51" s="67" t="str">
        <f>DATA!AI39</f>
        <v>-</v>
      </c>
      <c r="AC51" s="67" t="str">
        <f>DATA!AJ39</f>
        <v>-</v>
      </c>
      <c r="AD51" s="67" t="str">
        <f>DATA!AK39</f>
        <v>-</v>
      </c>
      <c r="AE51" s="67" t="str">
        <f>DATA!AL39</f>
        <v>-</v>
      </c>
      <c r="AF51" s="42">
        <f>DATA!AM39</f>
        <v>0</v>
      </c>
      <c r="AG51" s="42" t="str">
        <f>DATA!AN39</f>
        <v>siap</v>
      </c>
      <c r="AH51" s="42" t="str">
        <f>DATA!AO39</f>
        <v>dalam proses
(pelaksanaan &lt;50%)</v>
      </c>
      <c r="AI51" s="42" t="str">
        <f>DATA!AP39</f>
        <v>belum ada proses tender/lelang</v>
      </c>
      <c r="AJ51" s="42" t="str">
        <f>DATA!AY39</f>
        <v>Konfirmasi melalui surat Sekjen nomor KU.01.12-Sj/636 tgl 23 Oktober 2015</v>
      </c>
      <c r="AK51" s="42" t="e">
        <f>DATA!#REF!</f>
        <v>#REF!</v>
      </c>
      <c r="AL51" s="42">
        <f>DATA!AZ39</f>
        <v>0</v>
      </c>
      <c r="AM51" s="67">
        <f>DATA!BA39</f>
        <v>0</v>
      </c>
    </row>
    <row r="52" spans="1:39" s="7" customFormat="1" ht="37.5" customHeight="1">
      <c r="A52" s="6"/>
      <c r="B52" s="6"/>
      <c r="C52" s="6"/>
      <c r="D52" s="6"/>
      <c r="E52" s="6"/>
      <c r="F52" s="6"/>
      <c r="G52" s="6"/>
      <c r="H52" s="6"/>
      <c r="I52" s="6"/>
      <c r="J52" s="44"/>
      <c r="K52" s="45"/>
      <c r="L52" s="69"/>
      <c r="M52" s="60">
        <f>DATA!K40</f>
        <v>5</v>
      </c>
      <c r="N52" s="61" t="str">
        <f>DATA!L40</f>
        <v>Engineering Service for Water Supply Development Project</v>
      </c>
      <c r="O52" s="20">
        <f>DATA!Q40</f>
        <v>0</v>
      </c>
      <c r="P52" s="20">
        <f>DATA!R40</f>
        <v>1</v>
      </c>
      <c r="Q52" s="20">
        <f>DATA!S40</f>
        <v>0</v>
      </c>
      <c r="R52" s="89">
        <f>DATA!T40</f>
        <v>0</v>
      </c>
      <c r="S52" s="89"/>
      <c r="T52" s="89">
        <f>DATA!V40</f>
        <v>0</v>
      </c>
      <c r="U52" s="77">
        <f>DATA!W40</f>
        <v>0</v>
      </c>
      <c r="V52" s="89">
        <f>DATA!X40</f>
        <v>0</v>
      </c>
      <c r="W52" s="90" t="str">
        <f>DATA!Y40</f>
        <v>ADB</v>
      </c>
      <c r="X52" s="20" t="str">
        <f>DATA!Z40</f>
        <v>Multilateral</v>
      </c>
      <c r="Y52" s="89">
        <f>DATA!AA40</f>
        <v>26380000</v>
      </c>
      <c r="Z52" s="89">
        <f>DATA!AG40</f>
        <v>0</v>
      </c>
      <c r="AA52" s="103">
        <f>DATA!AH40</f>
        <v>2016</v>
      </c>
      <c r="AB52" s="61" t="str">
        <f>DATA!AI40</f>
        <v>- Green Book 2015</v>
      </c>
      <c r="AC52" s="61" t="str">
        <f>DATA!AJ40</f>
        <v>-</v>
      </c>
      <c r="AD52" s="61" t="str">
        <f>DATA!AK40</f>
        <v>-</v>
      </c>
      <c r="AE52" s="61" t="str">
        <f>DATA!AL40</f>
        <v>-</v>
      </c>
      <c r="AF52" s="42"/>
      <c r="AG52" s="42"/>
      <c r="AH52" s="42"/>
      <c r="AI52" s="42"/>
      <c r="AJ52" s="42"/>
      <c r="AK52" s="42"/>
      <c r="AL52" s="42"/>
      <c r="AM52" s="67"/>
    </row>
    <row r="53" spans="1:39" s="5" customFormat="1" ht="33.75" hidden="1" customHeight="1">
      <c r="J53" s="28"/>
      <c r="K53" s="50"/>
      <c r="L53" s="30" t="str">
        <f>DATA!I41</f>
        <v>E</v>
      </c>
      <c r="M53" s="31" t="str">
        <f>DATA!J41</f>
        <v xml:space="preserve">Program Pembangunan Sistem Pengelolaan Air Limbah </v>
      </c>
      <c r="N53" s="51"/>
      <c r="O53" s="31"/>
      <c r="P53" s="31"/>
      <c r="Q53" s="31"/>
      <c r="R53" s="81">
        <f>+R54+R57+R58+R59+R63+R64</f>
        <v>3583000000</v>
      </c>
      <c r="S53" s="81"/>
      <c r="T53" s="81">
        <f t="shared" ref="T53:Z53" si="1">+T54+T57+T58+T59+T63+T64</f>
        <v>179150000</v>
      </c>
      <c r="U53" s="81">
        <f t="shared" si="1"/>
        <v>0</v>
      </c>
      <c r="V53" s="81">
        <f t="shared" si="1"/>
        <v>3762150000</v>
      </c>
      <c r="W53" s="81"/>
      <c r="X53" s="81" t="e">
        <f t="shared" si="1"/>
        <v>#VALUE!</v>
      </c>
      <c r="Y53" s="81">
        <f t="shared" si="1"/>
        <v>3583000000</v>
      </c>
      <c r="Z53" s="81">
        <f t="shared" si="1"/>
        <v>0</v>
      </c>
      <c r="AA53" s="31"/>
      <c r="AB53" s="32"/>
      <c r="AC53" s="32"/>
      <c r="AD53" s="32"/>
      <c r="AE53" s="32"/>
      <c r="AF53" s="31"/>
      <c r="AG53" s="31"/>
      <c r="AH53" s="31"/>
      <c r="AI53" s="31"/>
      <c r="AJ53" s="31"/>
      <c r="AK53" s="31"/>
      <c r="AL53" s="31"/>
      <c r="AM53" s="32"/>
    </row>
    <row r="54" spans="1:39" ht="57.75" hidden="1" customHeight="1">
      <c r="A54" s="10">
        <f>DATA!A41</f>
        <v>35</v>
      </c>
      <c r="B54" s="10">
        <f>DATA!B41</f>
        <v>0</v>
      </c>
      <c r="C54" s="10" t="str">
        <f>DATA!D41</f>
        <v>INFRASTRUKTUR</v>
      </c>
      <c r="D54" s="10">
        <f>DATA!E41</f>
        <v>1</v>
      </c>
      <c r="E54" s="10" t="str">
        <f>DATA!F41</f>
        <v>Kementerian Pekerjaan Umum dan Perumahan Rakyat</v>
      </c>
      <c r="F54" s="10" t="str">
        <f>DATA!H41</f>
        <v>Development of Waste Water Management Program</v>
      </c>
      <c r="G54" s="10" t="str">
        <f>DATA!I41</f>
        <v>E</v>
      </c>
      <c r="H54" s="10" t="str">
        <f>DATA!J41</f>
        <v xml:space="preserve">Program Pembangunan Sistem Pengelolaan Air Limbah </v>
      </c>
      <c r="I54" s="10">
        <f>DATA!K41</f>
        <v>1</v>
      </c>
      <c r="J54" s="33"/>
      <c r="K54" s="34"/>
      <c r="L54" s="35"/>
      <c r="M54" s="36">
        <f>DATA!K41</f>
        <v>1</v>
      </c>
      <c r="N54" s="37" t="str">
        <f>DATA!L41</f>
        <v>Community Based Sanitation Program (SANIMAS)</v>
      </c>
      <c r="O54" s="37">
        <f>DATA!Q41</f>
        <v>0</v>
      </c>
      <c r="P54" s="37">
        <f>DATA!R41</f>
        <v>1</v>
      </c>
      <c r="Q54" s="37">
        <f>DATA!S41</f>
        <v>31</v>
      </c>
      <c r="R54" s="87">
        <f>DATA!T41</f>
        <v>250000000</v>
      </c>
      <c r="S54" s="87"/>
      <c r="T54" s="87">
        <f>DATA!V41</f>
        <v>12500000</v>
      </c>
      <c r="U54" s="87">
        <f>DATA!W41</f>
        <v>0</v>
      </c>
      <c r="V54" s="87">
        <f>DATA!X41</f>
        <v>262500000</v>
      </c>
      <c r="W54" s="37" t="str">
        <f>DATA!Y41</f>
        <v>-</v>
      </c>
      <c r="X54" s="37">
        <f>DATA!Z41</f>
        <v>0</v>
      </c>
      <c r="Y54" s="37">
        <f>DATA!AA41</f>
        <v>250000000</v>
      </c>
      <c r="Z54" s="87">
        <f>DATA!AG41</f>
        <v>0</v>
      </c>
      <c r="AA54" s="37" t="str">
        <f>DATA!AH41</f>
        <v>-</v>
      </c>
      <c r="AB54" s="37" t="str">
        <f>DATA!AI41</f>
        <v>-</v>
      </c>
      <c r="AC54" s="37" t="str">
        <f>DATA!AJ41</f>
        <v>-</v>
      </c>
      <c r="AD54" s="37" t="str">
        <f>DATA!AK41</f>
        <v>-</v>
      </c>
      <c r="AE54" s="37" t="str">
        <f>DATA!AL41</f>
        <v>-</v>
      </c>
      <c r="AF54" s="37" t="str">
        <f>DATA!AM41</f>
        <v>-</v>
      </c>
      <c r="AG54" s="37" t="str">
        <f>DATA!AN41</f>
        <v>-</v>
      </c>
      <c r="AH54" s="37" t="str">
        <f>DATA!AO41</f>
        <v>-</v>
      </c>
      <c r="AI54" s="37" t="str">
        <f>DATA!AP41</f>
        <v>belum ada proses tender/lelang</v>
      </c>
      <c r="AJ54" s="37" t="str">
        <f>DATA!AY41</f>
        <v>- Merupakan kelanjutan dari kegiatan Urban Sanitation and Rural Infrastructure Support to PNPM Mandiri Projrct (USRI) yang telah berakhir pada tanggal 30 Juni 2015
- Konfirmasi melalui surat Sekjen nomor KU.01.12-Sj/636 tgl 23 Oktober 2015</v>
      </c>
      <c r="AK54" s="37" t="e">
        <f>DATA!#REF!</f>
        <v>#REF!</v>
      </c>
      <c r="AL54" s="37" t="str">
        <f>DATA!AZ41</f>
        <v>- ADB akan co-financing dengan IDB dan diindikasikan akan mendanai kegiatan ini sebesar USD 125 juta untuk wilayah Indonesia Timur
'- IDB akan co-financing dengan ADB dan diindikasikan akan mendanai kegiatan ini sebesar USD 25 juta untuk wilayah Indonesia Barat</v>
      </c>
      <c r="AM54" s="37" t="str">
        <f>DATA!BA41</f>
        <v>Bantuan langsung masyarakat, penguatan institusi pengelola, dan jasa konsultasi.</v>
      </c>
    </row>
    <row r="55" spans="1:39" s="6" customFormat="1" ht="55.5" hidden="1" customHeight="1">
      <c r="J55" s="38"/>
      <c r="K55" s="39"/>
      <c r="L55" s="39"/>
      <c r="M55" s="72"/>
      <c r="N55" s="67" t="str">
        <f>DATA!L42</f>
        <v>Community Based Sanitation Program (SANIMAS)</v>
      </c>
      <c r="O55" s="67">
        <f>DATA!Q42</f>
        <v>0.5</v>
      </c>
      <c r="P55" s="67">
        <f>DATA!R42</f>
        <v>1</v>
      </c>
      <c r="Q55" s="67">
        <f>DATA!S42</f>
        <v>31</v>
      </c>
      <c r="R55" s="93">
        <f>DATA!T42</f>
        <v>0</v>
      </c>
      <c r="S55" s="93"/>
      <c r="T55" s="93">
        <f>DATA!V42</f>
        <v>0</v>
      </c>
      <c r="U55" s="93">
        <f>DATA!W42</f>
        <v>0</v>
      </c>
      <c r="V55" s="93">
        <f>DATA!X42</f>
        <v>0</v>
      </c>
      <c r="W55" s="84" t="str">
        <f>DATA!Y42</f>
        <v>ADB</v>
      </c>
      <c r="X55" s="67" t="str">
        <f>DATA!Z42</f>
        <v>Multilateral</v>
      </c>
      <c r="Y55" s="67">
        <f>DATA!AA42</f>
        <v>125000000</v>
      </c>
      <c r="Z55" s="93">
        <f>DATA!AG42</f>
        <v>0</v>
      </c>
      <c r="AA55" s="67">
        <f>DATA!AH42</f>
        <v>2016</v>
      </c>
      <c r="AB55" s="67" t="str">
        <f>DATA!AI42</f>
        <v>-</v>
      </c>
      <c r="AC55" s="67" t="str">
        <f>DATA!AJ42</f>
        <v>-</v>
      </c>
      <c r="AD55" s="67" t="str">
        <f>DATA!AK42</f>
        <v>Tidak ada kegiatan pengadaan lahan, lahan akan diperoleh dari masyarakat</v>
      </c>
      <c r="AE55" s="67" t="str">
        <f>DATA!AL42</f>
        <v>-</v>
      </c>
      <c r="AF55" s="67">
        <f>DATA!AM42</f>
        <v>0</v>
      </c>
      <c r="AG55" s="67" t="str">
        <f>DATA!AN42</f>
        <v>belum ada keterangan</v>
      </c>
      <c r="AH55" s="67" t="str">
        <f>DATA!AO42</f>
        <v>tidak butuh lahan</v>
      </c>
      <c r="AI55" s="67" t="str">
        <f>DATA!AP42</f>
        <v>belum ada proses tender/lelang</v>
      </c>
      <c r="AJ55" s="67" t="str">
        <f>DATA!AY42</f>
        <v>- Merupakan kelanjutan dari kegiatan Urban Sanitation and Rural Infrastructure Support to PNPM Mandiri Projrct (USRI) yang telah berakhir pada tanggal 30 Juni 2015
- Konfirmasi melalui e-mail tanggal 17, 18, dan 21 Sept 2015</v>
      </c>
      <c r="AK55" s="67" t="e">
        <f>DATA!#REF!</f>
        <v>#REF!</v>
      </c>
      <c r="AL55" s="6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M55" s="67" t="str">
        <f>DATA!BA42</f>
        <v>Bantuan langsung masyarakat, penguatan institusi pengelola, dan jasa konsultasi.</v>
      </c>
    </row>
    <row r="56" spans="1:39" s="6" customFormat="1" ht="46.5" hidden="1" customHeight="1">
      <c r="J56" s="38"/>
      <c r="K56" s="39"/>
      <c r="L56" s="39"/>
      <c r="M56" s="72"/>
      <c r="N56" s="67" t="str">
        <f>DATA!L43</f>
        <v>Community Based Sanitation Program (SANIMAS)</v>
      </c>
      <c r="O56" s="67">
        <f>DATA!Q43</f>
        <v>0.5</v>
      </c>
      <c r="P56" s="67">
        <f>DATA!R43</f>
        <v>1</v>
      </c>
      <c r="Q56" s="67">
        <f>DATA!S43</f>
        <v>31</v>
      </c>
      <c r="R56" s="93">
        <f>DATA!T43</f>
        <v>0</v>
      </c>
      <c r="S56" s="93"/>
      <c r="T56" s="93">
        <f>DATA!V43</f>
        <v>0</v>
      </c>
      <c r="U56" s="93">
        <f>DATA!W43</f>
        <v>0</v>
      </c>
      <c r="V56" s="93">
        <f>DATA!X43</f>
        <v>0</v>
      </c>
      <c r="W56" s="84" t="str">
        <f>DATA!Y43</f>
        <v>IDB</v>
      </c>
      <c r="X56" s="67" t="str">
        <f>DATA!Z43</f>
        <v>Multilateral</v>
      </c>
      <c r="Y56" s="67">
        <f>DATA!AA43</f>
        <v>125000000</v>
      </c>
      <c r="Z56" s="93">
        <f>DATA!AG43</f>
        <v>0</v>
      </c>
      <c r="AA56" s="67">
        <f>DATA!AH43</f>
        <v>2017</v>
      </c>
      <c r="AB56" s="67" t="str">
        <f>DATA!AI43</f>
        <v>-</v>
      </c>
      <c r="AC56" s="67" t="str">
        <f>DATA!AJ43</f>
        <v>-</v>
      </c>
      <c r="AD56" s="67" t="str">
        <f>DATA!AK43</f>
        <v>Tidak ada kegiatan pengadaan lahan, lahan akan diperoleh dari masyarakat</v>
      </c>
      <c r="AE56" s="67" t="str">
        <f>DATA!AL43</f>
        <v>-</v>
      </c>
      <c r="AF56" s="67">
        <f>DATA!AM43</f>
        <v>0</v>
      </c>
      <c r="AG56" s="67" t="str">
        <f>DATA!AN43</f>
        <v>belum ada keterangan</v>
      </c>
      <c r="AH56" s="67" t="str">
        <f>DATA!AO43</f>
        <v>tidak butuh lahan</v>
      </c>
      <c r="AI56" s="67" t="str">
        <f>DATA!AP43</f>
        <v>belum ada proses tender/lelang</v>
      </c>
      <c r="AJ56" s="67" t="str">
        <f>DATA!AY43</f>
        <v>- Merupakan kelanjutan dari kegiatan Urban Sanitation and Rural Infrastructure Support to PNPM Mandiri Projrct (USRI) yang telah berakhir pada tanggal 30 Juni 2015
- Konfirmasi melalui surat Sekjen nomor KU.01.12-Sj/636 tgl 23 Oktober 2015</v>
      </c>
      <c r="AK56" s="67" t="e">
        <f>DATA!#REF!</f>
        <v>#REF!</v>
      </c>
      <c r="AL56" s="6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M56" s="67" t="str">
        <f>DATA!BA43</f>
        <v>Bantuan langsung masyarakat, penguatan institusi pengelola, dan jasa konsultasi.</v>
      </c>
    </row>
    <row r="57" spans="1:39" ht="80.25" hidden="1" customHeight="1">
      <c r="A57" s="10">
        <f>DATA!A44</f>
        <v>36</v>
      </c>
      <c r="B57" s="10">
        <f>DATA!B44</f>
        <v>0</v>
      </c>
      <c r="C57" s="10" t="str">
        <f>DATA!D44</f>
        <v>INFRASTRUKTUR</v>
      </c>
      <c r="D57" s="10">
        <f>DATA!E44</f>
        <v>1</v>
      </c>
      <c r="E57" s="10" t="str">
        <f>DATA!F44</f>
        <v>Kementerian Pekerjaan Umum dan Perumahan Rakyat</v>
      </c>
      <c r="F57" s="10" t="str">
        <f>DATA!H44</f>
        <v>Development of Waste Water Management Program</v>
      </c>
      <c r="G57" s="10" t="str">
        <f>DATA!I44</f>
        <v>E</v>
      </c>
      <c r="H57" s="10" t="str">
        <f>DATA!J44</f>
        <v xml:space="preserve">Program Pembangunan Sistem Pengelolaan Air Limbah </v>
      </c>
      <c r="I57" s="10">
        <f>DATA!K44</f>
        <v>2</v>
      </c>
      <c r="J57" s="33"/>
      <c r="K57" s="34"/>
      <c r="L57" s="34"/>
      <c r="M57" s="36">
        <f>DATA!K44</f>
        <v>2</v>
      </c>
      <c r="N57" s="37" t="str">
        <f>DATA!L44</f>
        <v>Jakarta Sewerage Development Project - Zone 1 and Zone 6</v>
      </c>
      <c r="O57" s="20">
        <f>DATA!Q44</f>
        <v>1</v>
      </c>
      <c r="P57" s="20">
        <f>DATA!R44</f>
        <v>1</v>
      </c>
      <c r="Q57" s="20">
        <f>DATA!S44</f>
        <v>32</v>
      </c>
      <c r="R57" s="77">
        <f>DATA!T44</f>
        <v>1950000000</v>
      </c>
      <c r="S57" s="77"/>
      <c r="T57" s="77">
        <f>DATA!V44</f>
        <v>97500000</v>
      </c>
      <c r="U57" s="77">
        <f>DATA!W44</f>
        <v>0</v>
      </c>
      <c r="V57" s="77">
        <f>DATA!X44</f>
        <v>2047500000</v>
      </c>
      <c r="W57" s="78" t="str">
        <f>DATA!Y44</f>
        <v>JICA</v>
      </c>
      <c r="X57" s="20" t="str">
        <f>DATA!Z44</f>
        <v>Bilateral</v>
      </c>
      <c r="Y57" s="77">
        <f>DATA!AA44</f>
        <v>1950000000</v>
      </c>
      <c r="Z57" s="77">
        <f>DATA!AG44</f>
        <v>0</v>
      </c>
      <c r="AA57" s="20">
        <f>DATA!AH44</f>
        <v>2017</v>
      </c>
      <c r="AB57" s="37" t="str">
        <f>DATA!AI44</f>
        <v>-</v>
      </c>
      <c r="AC57" s="37" t="str">
        <f>DATA!AJ44</f>
        <v>- FS
- Penyusunan DED</v>
      </c>
      <c r="AD57" s="37" t="str">
        <f>DATA!AK44</f>
        <v>Lahan untuk IPAL sudah dibebaskan</v>
      </c>
      <c r="AE57" s="37" t="str">
        <f>DATA!AL44</f>
        <v>-</v>
      </c>
      <c r="AF57" s="20">
        <f>DATA!AM44</f>
        <v>0</v>
      </c>
      <c r="AG57" s="20" t="str">
        <f>DATA!AN44</f>
        <v>dalam proses
(memiliki FS)</v>
      </c>
      <c r="AH57" s="20" t="str">
        <f>DATA!AO44</f>
        <v>dalam proses</v>
      </c>
      <c r="AI57" s="20" t="str">
        <f>DATA!AP44</f>
        <v>belum ada proses tender/lelang</v>
      </c>
      <c r="AJ57" s="20" t="str">
        <f>DATA!AY44</f>
        <v>Konfirmasi melalui surat Sekjen nomor KU.01.12-Sj/636 tgl 23 Oktober 2015</v>
      </c>
      <c r="AK57" s="20" t="e">
        <f>DATA!#REF!</f>
        <v>#REF!</v>
      </c>
      <c r="AL57" s="20">
        <f>DATA!AZ44</f>
        <v>0</v>
      </c>
      <c r="AM57" s="37" t="str">
        <f>DATA!BA44</f>
        <v>Pembangunan jaringan perpipaan dan Instalasi Pengolahan Air Limbah (IPAL) terpusat di Zona-1 dan Zona-6, pembangunan unit stasiun pompa, serta penyusunan Detail Engineering Design (DED) untuk IPAL Terpusat Zona 6</v>
      </c>
    </row>
    <row r="58" spans="1:39" ht="51" hidden="1" customHeight="1">
      <c r="A58" s="10">
        <f>DATA!A45</f>
        <v>37</v>
      </c>
      <c r="B58" s="10">
        <f>DATA!B45</f>
        <v>0</v>
      </c>
      <c r="C58" s="10" t="str">
        <f>DATA!D45</f>
        <v>INFRASTRUKTUR</v>
      </c>
      <c r="D58" s="10">
        <f>DATA!E45</f>
        <v>1</v>
      </c>
      <c r="E58" s="10" t="str">
        <f>DATA!F45</f>
        <v>Kementerian Pekerjaan Umum dan Perumahan Rakyat</v>
      </c>
      <c r="F58" s="10" t="str">
        <f>DATA!H45</f>
        <v>Development of Waste Water Management Program</v>
      </c>
      <c r="G58" s="10" t="str">
        <f>DATA!I45</f>
        <v>E</v>
      </c>
      <c r="H58" s="10" t="str">
        <f>DATA!J45</f>
        <v xml:space="preserve">Program Pembangunan Sistem Pengelolaan Air Limbah </v>
      </c>
      <c r="I58" s="10">
        <f>DATA!K45</f>
        <v>3</v>
      </c>
      <c r="J58" s="33"/>
      <c r="K58" s="34"/>
      <c r="L58" s="34"/>
      <c r="M58" s="36">
        <f>DATA!K45</f>
        <v>3</v>
      </c>
      <c r="N58" s="37" t="str">
        <f>DATA!L45</f>
        <v>The Development of Sewage Treatment Plant Facility in Priority Area</v>
      </c>
      <c r="O58" s="20">
        <f>DATA!Q45</f>
        <v>1</v>
      </c>
      <c r="P58" s="20">
        <f>DATA!R45</f>
        <v>1</v>
      </c>
      <c r="Q58" s="20">
        <f>DATA!S45</f>
        <v>33</v>
      </c>
      <c r="R58" s="77">
        <f>DATA!T45</f>
        <v>75000000</v>
      </c>
      <c r="S58" s="77"/>
      <c r="T58" s="77">
        <f>DATA!V45</f>
        <v>3750000</v>
      </c>
      <c r="U58" s="77">
        <f>DATA!W45</f>
        <v>0</v>
      </c>
      <c r="V58" s="77">
        <f>DATA!X45</f>
        <v>78750000</v>
      </c>
      <c r="W58" s="78" t="str">
        <f>DATA!Y45</f>
        <v>Bank Dunia/JICA</v>
      </c>
      <c r="X58" s="20" t="str">
        <f>DATA!Z45</f>
        <v>Multi Lender</v>
      </c>
      <c r="Y58" s="77">
        <f>DATA!AA45</f>
        <v>75000000</v>
      </c>
      <c r="Z58" s="77">
        <f>DATA!AG45</f>
        <v>0</v>
      </c>
      <c r="AA58" s="20">
        <f>DATA!AH45</f>
        <v>2018</v>
      </c>
      <c r="AB58" s="37" t="str">
        <f>DATA!AI45</f>
        <v>-</v>
      </c>
      <c r="AC58" s="37" t="str">
        <f>DATA!AJ45</f>
        <v>FS disiapkan melalui APBN TA 2015</v>
      </c>
      <c r="AD58" s="37" t="str">
        <f>DATA!AK45</f>
        <v>-</v>
      </c>
      <c r="AE58" s="37" t="str">
        <f>DATA!AL45</f>
        <v>-</v>
      </c>
      <c r="AF58" s="20">
        <f>DATA!AM45</f>
        <v>0</v>
      </c>
      <c r="AG58" s="20" t="str">
        <f>DATA!AN45</f>
        <v>dalam proses
(memiliki FS)</v>
      </c>
      <c r="AH58" s="20" t="str">
        <f>DATA!AO45</f>
        <v>belum ada keterangan</v>
      </c>
      <c r="AI58" s="20" t="str">
        <f>DATA!AP45</f>
        <v>belum ada proses tender/lelang</v>
      </c>
      <c r="AJ58" s="20" t="str">
        <f>DATA!AY45</f>
        <v>- Sedang dalam konsep desain bentuk kegiatan
- 'Konfirmasi melalui surat Sekjen nomor KU.01.12-Sj/636 tgl 23 Oktober 2015</v>
      </c>
      <c r="AK58" s="20" t="e">
        <f>DATA!#REF!</f>
        <v>#REF!</v>
      </c>
      <c r="AL58" s="20" t="str">
        <f>DATA!AZ45</f>
        <v>JICA diindikasikan juga akan mendanai kegaiatan ini</v>
      </c>
      <c r="AM58" s="37" t="str">
        <f>DATA!BA45</f>
        <v>Penyediaan sarana prasarana Instalasi Pengolahan Lumpur Tinja (IPLT), seperti mobil tinja, pompa penyedot dan unit IPLT.</v>
      </c>
    </row>
    <row r="59" spans="1:39" ht="22.5" hidden="1" customHeight="1">
      <c r="A59" s="10">
        <f>DATA!A46</f>
        <v>38</v>
      </c>
      <c r="B59" s="10">
        <f>DATA!B46</f>
        <v>0</v>
      </c>
      <c r="C59" s="10" t="str">
        <f>DATA!D46</f>
        <v>INFRASTRUKTUR</v>
      </c>
      <c r="D59" s="10">
        <f>DATA!E46</f>
        <v>1</v>
      </c>
      <c r="E59" s="10" t="str">
        <f>DATA!F46</f>
        <v>Kementerian Pekerjaan Umum dan Perumahan Rakyat</v>
      </c>
      <c r="F59" s="10" t="str">
        <f>DATA!H46</f>
        <v>Development of Waste Water Management Program</v>
      </c>
      <c r="G59" s="10" t="str">
        <f>DATA!I46</f>
        <v>E</v>
      </c>
      <c r="H59" s="10" t="str">
        <f>DATA!J46</f>
        <v xml:space="preserve">Program Pembangunan Sistem Pengelolaan Air Limbah </v>
      </c>
      <c r="I59" s="10">
        <f>DATA!K46</f>
        <v>4</v>
      </c>
      <c r="J59" s="33"/>
      <c r="K59" s="34"/>
      <c r="L59" s="34"/>
      <c r="M59" s="36">
        <f>DATA!K46</f>
        <v>4</v>
      </c>
      <c r="N59" s="37" t="str">
        <f>DATA!L46</f>
        <v>Sewerage System Development in Indonesia</v>
      </c>
      <c r="O59" s="20">
        <f>DATA!Q46</f>
        <v>0</v>
      </c>
      <c r="P59" s="20">
        <f>DATA!R46</f>
        <v>1</v>
      </c>
      <c r="Q59" s="20">
        <f>DATA!S46</f>
        <v>34</v>
      </c>
      <c r="R59" s="77">
        <f>DATA!T46</f>
        <v>975000000</v>
      </c>
      <c r="S59" s="77"/>
      <c r="T59" s="77">
        <f>DATA!V46</f>
        <v>48750000</v>
      </c>
      <c r="U59" s="77">
        <f>DATA!W46</f>
        <v>0</v>
      </c>
      <c r="V59" s="77">
        <f>DATA!X46</f>
        <v>1023750000</v>
      </c>
      <c r="W59" s="78" t="str">
        <f>DATA!Y46</f>
        <v>-</v>
      </c>
      <c r="X59" s="20">
        <f>DATA!Z46</f>
        <v>0</v>
      </c>
      <c r="Y59" s="77">
        <f>DATA!AA46</f>
        <v>975000000</v>
      </c>
      <c r="Z59" s="77">
        <f>DATA!AG46</f>
        <v>0</v>
      </c>
      <c r="AA59" s="20"/>
      <c r="AB59" s="37" t="str">
        <f>DATA!AI46</f>
        <v>-</v>
      </c>
      <c r="AC59" s="37" t="str">
        <f>DATA!AJ46</f>
        <v>-</v>
      </c>
      <c r="AD59" s="37" t="str">
        <f>DATA!AK46</f>
        <v>-</v>
      </c>
      <c r="AE59" s="37" t="str">
        <f>DATA!AL46</f>
        <v>-</v>
      </c>
      <c r="AF59" s="20" t="str">
        <f>DATA!AM46</f>
        <v>-</v>
      </c>
      <c r="AG59" s="20" t="str">
        <f>DATA!AN46</f>
        <v>-</v>
      </c>
      <c r="AH59" s="20" t="str">
        <f>DATA!AO46</f>
        <v>-</v>
      </c>
      <c r="AI59" s="20" t="str">
        <f>DATA!AP46</f>
        <v>-</v>
      </c>
      <c r="AJ59" s="20" t="str">
        <f>DATA!AY46</f>
        <v>Konfirmasi melalui surat Sekjen nomor KU.01.12-Sj/636 tgl 23 Oktober 2015</v>
      </c>
      <c r="AK59" s="20" t="e">
        <f>DATA!#REF!</f>
        <v>#REF!</v>
      </c>
      <c r="AL59" s="20" t="str">
        <f>DATA!AZ46</f>
        <v>-</v>
      </c>
      <c r="AM59" s="37" t="str">
        <f>DATA!BA46</f>
        <v>-</v>
      </c>
    </row>
    <row r="60" spans="1:39" s="6" customFormat="1" ht="48.75" hidden="1" customHeight="1">
      <c r="A60" s="6">
        <f>DATA!A47</f>
        <v>38</v>
      </c>
      <c r="B60" s="6">
        <f>DATA!B47</f>
        <v>0</v>
      </c>
      <c r="C60" s="6" t="str">
        <f>DATA!D47</f>
        <v>INFRASTRUKTUR</v>
      </c>
      <c r="D60" s="6">
        <f>DATA!E47</f>
        <v>1</v>
      </c>
      <c r="E60" s="6" t="str">
        <f>DATA!F47</f>
        <v>Kementerian Pekerjaan Umum dan Perumahan Rakyat</v>
      </c>
      <c r="F60" s="6" t="str">
        <f>DATA!H47</f>
        <v>Development of Waste Water Management Program</v>
      </c>
      <c r="G60" s="6" t="str">
        <f>DATA!I47</f>
        <v>E</v>
      </c>
      <c r="H60" s="6" t="str">
        <f>DATA!J47</f>
        <v xml:space="preserve">Program Pembangunan Sistem Pengelolaan Air Limbah </v>
      </c>
      <c r="I60" s="6">
        <f>DATA!K47</f>
        <v>4</v>
      </c>
      <c r="J60" s="38"/>
      <c r="K60" s="39"/>
      <c r="L60" s="39"/>
      <c r="M60" s="40"/>
      <c r="N60" s="67" t="str">
        <f>DATA!L47</f>
        <v>Sewerage System Development in Indonesia</v>
      </c>
      <c r="O60" s="42">
        <f>DATA!Q47</f>
        <v>0.25</v>
      </c>
      <c r="P60" s="42">
        <f>DATA!R47</f>
        <v>0</v>
      </c>
      <c r="Q60" s="42">
        <f>DATA!S47</f>
        <v>0</v>
      </c>
      <c r="R60" s="83">
        <f>DATA!T47</f>
        <v>0</v>
      </c>
      <c r="S60" s="83"/>
      <c r="T60" s="83">
        <f>DATA!V47</f>
        <v>0</v>
      </c>
      <c r="U60" s="83">
        <f>DATA!W47</f>
        <v>0</v>
      </c>
      <c r="V60" s="83">
        <f>DATA!X47</f>
        <v>0</v>
      </c>
      <c r="W60" s="84" t="str">
        <f>DATA!Y47</f>
        <v>ADB</v>
      </c>
      <c r="X60" s="42" t="str">
        <f>DATA!Z47</f>
        <v>Multilateral</v>
      </c>
      <c r="Y60" s="83">
        <f>DATA!AA47</f>
        <v>424800000</v>
      </c>
      <c r="Z60" s="83">
        <f>DATA!AG47</f>
        <v>0</v>
      </c>
      <c r="AA60" s="42">
        <f>DATA!AH47</f>
        <v>2017</v>
      </c>
      <c r="AB60" s="67" t="str">
        <f>DATA!AI47</f>
        <v>-</v>
      </c>
      <c r="AC60" s="67" t="str">
        <f>DATA!AJ47</f>
        <v>-</v>
      </c>
      <c r="AD60" s="67" t="str">
        <f>DATA!AK47</f>
        <v>-</v>
      </c>
      <c r="AE60" s="67" t="str">
        <f>DATA!AL47</f>
        <v>-</v>
      </c>
      <c r="AF60" s="42">
        <f>DATA!AM47</f>
        <v>0</v>
      </c>
      <c r="AG60" s="42" t="str">
        <f>DATA!AN47</f>
        <v>belum ada keterangan</v>
      </c>
      <c r="AH60" s="42" t="str">
        <f>DATA!AO47</f>
        <v>belum ada keterangan</v>
      </c>
      <c r="AI60" s="42" t="str">
        <f>DATA!AP47</f>
        <v>belum ada proses tender/lelang</v>
      </c>
      <c r="AJ60" s="42" t="str">
        <f>DATA!AY47</f>
        <v>- termasuk ESP senilai USD 26,38 juta, indikasi Lender ADB
- belum ada proses penyiapan
- Konfirmasi melalui surat Sekjen nomor KU.01.12-Sj/636 tgl 23 Oktober 2015</v>
      </c>
      <c r="AK60" s="42" t="e">
        <f>DATA!#REF!</f>
        <v>#REF!</v>
      </c>
      <c r="AL60" s="42" t="str">
        <f>DATA!AZ47</f>
        <v>Sudah ada pembicaraan awal</v>
      </c>
      <c r="AM60" s="67" t="str">
        <f>DATA!BA47</f>
        <v>Pembangunan fisik sarana dan prasarana sanitasi serta Instalasi Pengolahan Air Limbah (IPAL) dan penguatan kapasitas lembaga pengelola</v>
      </c>
    </row>
    <row r="61" spans="1:39" s="6" customFormat="1" ht="43.5" hidden="1" customHeight="1">
      <c r="A61" s="6">
        <f>DATA!A48</f>
        <v>39</v>
      </c>
      <c r="B61" s="6">
        <f>DATA!B48</f>
        <v>0</v>
      </c>
      <c r="C61" s="6" t="str">
        <f>DATA!D48</f>
        <v>INFRASTRUKTUR</v>
      </c>
      <c r="D61" s="6">
        <f>DATA!E48</f>
        <v>1</v>
      </c>
      <c r="E61" s="6" t="str">
        <f>DATA!F48</f>
        <v>Kementerian Pekerjaan Umum dan Perumahan Rakyat</v>
      </c>
      <c r="F61" s="6" t="str">
        <f>DATA!H48</f>
        <v>Development of Waste Water Management Program</v>
      </c>
      <c r="G61" s="6" t="str">
        <f>DATA!I48</f>
        <v>E</v>
      </c>
      <c r="H61" s="6" t="str">
        <f>DATA!J48</f>
        <v xml:space="preserve">Program Pembangunan Sistem Pengelolaan Air Limbah </v>
      </c>
      <c r="I61" s="6">
        <f>DATA!K48</f>
        <v>4</v>
      </c>
      <c r="J61" s="38"/>
      <c r="K61" s="39"/>
      <c r="L61" s="39"/>
      <c r="M61" s="38"/>
      <c r="N61" s="67" t="str">
        <f>DATA!L48</f>
        <v>Sewerage System Development in Indonesia</v>
      </c>
      <c r="O61" s="42">
        <f>DATA!Q48</f>
        <v>0.25</v>
      </c>
      <c r="P61" s="42">
        <f>DATA!R48</f>
        <v>0</v>
      </c>
      <c r="Q61" s="42">
        <f>DATA!S48</f>
        <v>0</v>
      </c>
      <c r="R61" s="83">
        <f>DATA!T48</f>
        <v>0</v>
      </c>
      <c r="S61" s="83"/>
      <c r="T61" s="83">
        <f>DATA!V48</f>
        <v>0</v>
      </c>
      <c r="U61" s="83">
        <f>DATA!W48</f>
        <v>0</v>
      </c>
      <c r="V61" s="83">
        <f>DATA!X48</f>
        <v>0</v>
      </c>
      <c r="W61" s="84" t="str">
        <f>DATA!Y48</f>
        <v>IDB</v>
      </c>
      <c r="X61" s="42" t="str">
        <f>DATA!Z48</f>
        <v>Multilateral</v>
      </c>
      <c r="Y61" s="83">
        <f>DATA!AA48</f>
        <v>325000000</v>
      </c>
      <c r="Z61" s="83">
        <f>DATA!AG48</f>
        <v>0</v>
      </c>
      <c r="AA61" s="42">
        <f>DATA!AH48</f>
        <v>2017</v>
      </c>
      <c r="AB61" s="67" t="str">
        <f>DATA!AI48</f>
        <v>-</v>
      </c>
      <c r="AC61" s="67" t="str">
        <f>DATA!AJ48</f>
        <v>-</v>
      </c>
      <c r="AD61" s="67" t="str">
        <f>DATA!AK48</f>
        <v>-</v>
      </c>
      <c r="AE61" s="67" t="str">
        <f>DATA!AL48</f>
        <v>-</v>
      </c>
      <c r="AF61" s="42">
        <f>DATA!AM48</f>
        <v>0</v>
      </c>
      <c r="AG61" s="42" t="str">
        <f>DATA!AN48</f>
        <v>belum ada keterangan</v>
      </c>
      <c r="AH61" s="42" t="str">
        <f>DATA!AO48</f>
        <v>belum ada keterangan</v>
      </c>
      <c r="AI61" s="42" t="str">
        <f>DATA!AP48</f>
        <v>belum ada proses tender/lelang</v>
      </c>
      <c r="AJ61" s="42" t="str">
        <f>DATA!AY48</f>
        <v>- belum ada proses penyiapan
- Konfirmasi melalui surat Sekjen nomor KU.01.12-Sj/636 tgl 23 Oktober 2015</v>
      </c>
      <c r="AK61" s="42" t="e">
        <f>DATA!#REF!</f>
        <v>#REF!</v>
      </c>
      <c r="AL61" s="42" t="str">
        <f>DATA!AZ48</f>
        <v>Sudah ada pembicaraan awal</v>
      </c>
      <c r="AM61" s="67" t="str">
        <f>DATA!BA48</f>
        <v>Pembangunan fisik sarana dan prasarana sanitasi serta Instalasi Pengolahan Air Limbah (IPAL) dan penguatan kapasitas lembaga pengelola</v>
      </c>
    </row>
    <row r="62" spans="1:39" s="6" customFormat="1" ht="45.75" hidden="1" customHeight="1">
      <c r="A62" s="6">
        <f>DATA!A49</f>
        <v>40</v>
      </c>
      <c r="B62" s="6">
        <f>DATA!B49</f>
        <v>0</v>
      </c>
      <c r="C62" s="6" t="str">
        <f>DATA!D49</f>
        <v>INFRASTRUKTUR</v>
      </c>
      <c r="D62" s="6">
        <f>DATA!E49</f>
        <v>1</v>
      </c>
      <c r="E62" s="6" t="str">
        <f>DATA!F49</f>
        <v>Kementerian Pekerjaan Umum dan Perumahan Rakyat</v>
      </c>
      <c r="F62" s="6" t="str">
        <f>DATA!H49</f>
        <v>Development of Waste Water Management Program</v>
      </c>
      <c r="G62" s="6" t="str">
        <f>DATA!I49</f>
        <v>E</v>
      </c>
      <c r="H62" s="6" t="str">
        <f>DATA!J49</f>
        <v xml:space="preserve">Program Pembangunan Sistem Pengelolaan Air Limbah </v>
      </c>
      <c r="I62" s="6">
        <f>DATA!K49</f>
        <v>4</v>
      </c>
      <c r="J62" s="38"/>
      <c r="K62" s="39"/>
      <c r="L62" s="39"/>
      <c r="M62" s="43"/>
      <c r="N62" s="67" t="str">
        <f>DATA!L49</f>
        <v>Sewerage System Development in Indonesia</v>
      </c>
      <c r="O62" s="42">
        <f>DATA!Q49</f>
        <v>0.25</v>
      </c>
      <c r="P62" s="42">
        <f>DATA!R49</f>
        <v>0</v>
      </c>
      <c r="Q62" s="42">
        <f>DATA!S49</f>
        <v>0</v>
      </c>
      <c r="R62" s="83">
        <f>DATA!T49</f>
        <v>0</v>
      </c>
      <c r="S62" s="83"/>
      <c r="T62" s="83">
        <f>DATA!V49</f>
        <v>0</v>
      </c>
      <c r="U62" s="83">
        <f>DATA!W49</f>
        <v>0</v>
      </c>
      <c r="V62" s="83">
        <f>DATA!X49</f>
        <v>0</v>
      </c>
      <c r="W62" s="84" t="str">
        <f>DATA!Y49</f>
        <v>Bank Dunia</v>
      </c>
      <c r="X62" s="42" t="str">
        <f>DATA!Z49</f>
        <v>Multilateral</v>
      </c>
      <c r="Y62" s="83">
        <f>DATA!AA49</f>
        <v>200000000</v>
      </c>
      <c r="Z62" s="83">
        <f>DATA!AG49</f>
        <v>0</v>
      </c>
      <c r="AA62" s="42">
        <f>DATA!AH49</f>
        <v>2017</v>
      </c>
      <c r="AB62" s="67" t="str">
        <f>DATA!AI49</f>
        <v>-</v>
      </c>
      <c r="AC62" s="67" t="str">
        <f>DATA!AJ49</f>
        <v>-</v>
      </c>
      <c r="AD62" s="67" t="str">
        <f>DATA!AK49</f>
        <v>-</v>
      </c>
      <c r="AE62" s="67" t="str">
        <f>DATA!AL49</f>
        <v>-</v>
      </c>
      <c r="AF62" s="42">
        <f>DATA!AM49</f>
        <v>0</v>
      </c>
      <c r="AG62" s="42" t="str">
        <f>DATA!AN49</f>
        <v>belum ada keterangan</v>
      </c>
      <c r="AH62" s="42" t="str">
        <f>DATA!AO49</f>
        <v>belum ada keterangan</v>
      </c>
      <c r="AI62" s="42" t="str">
        <f>DATA!AP49</f>
        <v>belum ada proses tender/lelang</v>
      </c>
      <c r="AJ62" s="42" t="str">
        <f>DATA!AY49</f>
        <v>- belum ada proses penyiapan
- Konfirmasi melalui surat Sekjen nomor KU.01.12-Sj/636 tgl 23 Oktober 2015</v>
      </c>
      <c r="AK62" s="42" t="e">
        <f>DATA!#REF!</f>
        <v>#REF!</v>
      </c>
      <c r="AL62" s="42" t="str">
        <f>DATA!AZ49</f>
        <v>Sudah ada pembicaraan awal</v>
      </c>
      <c r="AM62" s="67" t="str">
        <f>DATA!BA49</f>
        <v>Pembangunan fisik sarana dan prasarana sanitasi serta Instalasi Pengolahan Air Limbah (IPAL) dan penguatan kapasitas lembaga pengelola</v>
      </c>
    </row>
    <row r="63" spans="1:39" ht="43.5" hidden="1" customHeight="1">
      <c r="A63" s="10">
        <f>DATA!A51</f>
        <v>41</v>
      </c>
      <c r="B63" s="10">
        <f>DATA!B51</f>
        <v>0</v>
      </c>
      <c r="C63" s="10" t="str">
        <f>DATA!D51</f>
        <v>INFRASTRUKTUR</v>
      </c>
      <c r="D63" s="10">
        <f>DATA!E51</f>
        <v>1</v>
      </c>
      <c r="E63" s="10" t="str">
        <f>DATA!F51</f>
        <v>Kementerian Pekerjaan Umum dan Perumahan Rakyat</v>
      </c>
      <c r="F63" s="10" t="str">
        <f>DATA!H51</f>
        <v>Development of Waste Water Management Program</v>
      </c>
      <c r="G63" s="10" t="str">
        <f>DATA!I51</f>
        <v>E</v>
      </c>
      <c r="H63" s="10" t="str">
        <f>DATA!J51</f>
        <v xml:space="preserve">Program Pembangunan Sistem Pengelolaan Air Limbah </v>
      </c>
      <c r="I63" s="10">
        <f>DATA!K51</f>
        <v>5</v>
      </c>
      <c r="J63" s="33"/>
      <c r="K63" s="34"/>
      <c r="L63" s="34"/>
      <c r="M63" s="36">
        <f>DATA!K51</f>
        <v>5</v>
      </c>
      <c r="N63" s="37" t="str">
        <f>DATA!L51</f>
        <v>Denpasar Sewerage Development Project - Phase III</v>
      </c>
      <c r="O63" s="20">
        <f>DATA!Q51</f>
        <v>1</v>
      </c>
      <c r="P63" s="20">
        <f>DATA!R51</f>
        <v>1</v>
      </c>
      <c r="Q63" s="20">
        <f>DATA!S51</f>
        <v>35</v>
      </c>
      <c r="R63" s="77">
        <f>DATA!T51</f>
        <v>233000000</v>
      </c>
      <c r="S63" s="77"/>
      <c r="T63" s="77">
        <f>DATA!V51</f>
        <v>11650000</v>
      </c>
      <c r="U63" s="77">
        <f>DATA!W51</f>
        <v>0</v>
      </c>
      <c r="V63" s="77">
        <f>DATA!X51</f>
        <v>244650000</v>
      </c>
      <c r="W63" s="78" t="str">
        <f>DATA!Y51</f>
        <v>JICA</v>
      </c>
      <c r="X63" s="20" t="str">
        <f>DATA!Z51</f>
        <v>Bilateral</v>
      </c>
      <c r="Y63" s="77">
        <f>DATA!AA51</f>
        <v>233000000</v>
      </c>
      <c r="Z63" s="77">
        <f>DATA!AG51</f>
        <v>0</v>
      </c>
      <c r="AA63" s="20">
        <f>DATA!AH51</f>
        <v>2018</v>
      </c>
      <c r="AB63" s="37" t="str">
        <f>DATA!AI51</f>
        <v>-</v>
      </c>
      <c r="AC63" s="37" t="str">
        <f>DATA!AJ51</f>
        <v>Penyusunan DED</v>
      </c>
      <c r="AD63" s="37" t="str">
        <f>DATA!AK51</f>
        <v>-</v>
      </c>
      <c r="AE63" s="37" t="str">
        <f>DATA!AL51</f>
        <v>-</v>
      </c>
      <c r="AF63" s="20">
        <f>DATA!AM51</f>
        <v>0</v>
      </c>
      <c r="AG63" s="20" t="str">
        <f>DATA!AN51</f>
        <v>dalam proses
(memiliki FS)</v>
      </c>
      <c r="AH63" s="20" t="str">
        <f>DATA!AO51</f>
        <v>belum ada keterangan</v>
      </c>
      <c r="AI63" s="20" t="str">
        <f>DATA!AP51</f>
        <v>belum ada proses tender/lelang</v>
      </c>
      <c r="AJ63" s="20" t="str">
        <f>DATA!AY51</f>
        <v>Konfirmasi melalui surat Sekjen nomor KU.01.12-Sj/636 tgl 23 Oktober 2015</v>
      </c>
      <c r="AK63" s="20" t="e">
        <f>DATA!#REF!</f>
        <v>#REF!</v>
      </c>
      <c r="AL63" s="20">
        <f>DATA!AZ51</f>
        <v>0</v>
      </c>
      <c r="AM63" s="37" t="str">
        <f>DATA!BA51</f>
        <v>Pembangunan jaringan perpipaan dengan area pelayanan 2.200 Ha, stasiun pompa sejumlah 2 unit, dan instalasi pengolahan air limbah.</v>
      </c>
    </row>
    <row r="64" spans="1:39" ht="36.75" hidden="1" customHeight="1">
      <c r="A64" s="10">
        <f>DATA!A52</f>
        <v>42</v>
      </c>
      <c r="B64" s="10">
        <f>DATA!B52</f>
        <v>0</v>
      </c>
      <c r="C64" s="10" t="str">
        <f>DATA!D52</f>
        <v>INFRASTRUKTUR</v>
      </c>
      <c r="D64" s="10">
        <f>DATA!E52</f>
        <v>1</v>
      </c>
      <c r="E64" s="10" t="str">
        <f>DATA!F52</f>
        <v>Kementerian Pekerjaan Umum dan Perumahan Rakyat</v>
      </c>
      <c r="F64" s="10" t="str">
        <f>DATA!H52</f>
        <v>Development of Waste Water Management Program</v>
      </c>
      <c r="G64" s="10" t="str">
        <f>DATA!I52</f>
        <v>E</v>
      </c>
      <c r="H64" s="10" t="str">
        <f>DATA!J52</f>
        <v xml:space="preserve">Program Pembangunan Sistem Pengelolaan Air Limbah </v>
      </c>
      <c r="I64" s="10">
        <f>DATA!K52</f>
        <v>6</v>
      </c>
      <c r="J64" s="33"/>
      <c r="K64" s="34"/>
      <c r="L64" s="54"/>
      <c r="M64" s="36">
        <f>DATA!K52</f>
        <v>6</v>
      </c>
      <c r="N64" s="37" t="str">
        <f>DATA!L52</f>
        <v>The Development and Optimization of Wastewater Treatment in Greater Bandung</v>
      </c>
      <c r="O64" s="20">
        <f>DATA!Q52</f>
        <v>1</v>
      </c>
      <c r="P64" s="20">
        <f>DATA!R52</f>
        <v>1</v>
      </c>
      <c r="Q64" s="20">
        <f>DATA!S52</f>
        <v>36</v>
      </c>
      <c r="R64" s="77">
        <f>DATA!T52</f>
        <v>100000000</v>
      </c>
      <c r="S64" s="77"/>
      <c r="T64" s="77">
        <f>DATA!V52</f>
        <v>5000000</v>
      </c>
      <c r="U64" s="77">
        <f>DATA!W52</f>
        <v>0</v>
      </c>
      <c r="V64" s="77">
        <f>DATA!X52</f>
        <v>105000000</v>
      </c>
      <c r="W64" s="78" t="str">
        <f>DATA!Y52</f>
        <v>Jerman (KfW)</v>
      </c>
      <c r="X64" s="20" t="str">
        <f>DATA!Z52</f>
        <v>Bilateral</v>
      </c>
      <c r="Y64" s="77">
        <f>DATA!AA52</f>
        <v>100000000</v>
      </c>
      <c r="Z64" s="77">
        <f>DATA!AG52</f>
        <v>0</v>
      </c>
      <c r="AA64" s="20">
        <f>DATA!AH52</f>
        <v>2017</v>
      </c>
      <c r="AB64" s="37" t="str">
        <f>DATA!AI52</f>
        <v>Master Plan</v>
      </c>
      <c r="AC64" s="37" t="str">
        <f>DATA!AJ52</f>
        <v>Pra FS</v>
      </c>
      <c r="AD64" s="37" t="str">
        <f>DATA!AK52</f>
        <v>-</v>
      </c>
      <c r="AE64" s="37" t="str">
        <f>DATA!AL52</f>
        <v>-</v>
      </c>
      <c r="AF64" s="20">
        <f>DATA!AM52</f>
        <v>0</v>
      </c>
      <c r="AG64" s="20" t="str">
        <f>DATA!AN52</f>
        <v>dalam proses
(penyusunan FS)</v>
      </c>
      <c r="AH64" s="20" t="str">
        <f>DATA!AO52</f>
        <v>belum ada keterangan</v>
      </c>
      <c r="AI64" s="20" t="str">
        <f>DATA!AP52</f>
        <v>belum ada proses tender/lelang</v>
      </c>
      <c r="AJ64" s="20" t="str">
        <f>DATA!AY52</f>
        <v>Konfirmasi melalui surat Sekjen nomor KU.01.12-Sj/636 tgl 23 Oktober 2015</v>
      </c>
      <c r="AK64" s="20" t="e">
        <f>DATA!#REF!</f>
        <v>#REF!</v>
      </c>
      <c r="AL64" s="20">
        <f>DATA!AZ52</f>
        <v>0</v>
      </c>
      <c r="AM64" s="37" t="str">
        <f>DATA!BA52</f>
        <v>Review master plan air limbah dan optimalisasi Instalasi Pengolahan Air Limbah (IPAL) Bojongsoang.</v>
      </c>
    </row>
    <row r="65" spans="1:39" s="8" customFormat="1" ht="36.75" customHeight="1">
      <c r="A65" s="10"/>
      <c r="B65" s="10"/>
      <c r="C65" s="10"/>
      <c r="D65" s="10"/>
      <c r="E65" s="10"/>
      <c r="F65" s="10"/>
      <c r="G65" s="10"/>
      <c r="H65" s="10"/>
      <c r="I65" s="10"/>
      <c r="J65" s="57"/>
      <c r="K65" s="58"/>
      <c r="L65" s="111"/>
      <c r="M65" s="60">
        <f>DATA!K53</f>
        <v>7</v>
      </c>
      <c r="N65" s="127" t="str">
        <f>DATA!L53</f>
        <v>Engineering Service for Sanitation Improvement Project</v>
      </c>
      <c r="O65" s="36">
        <f>DATA!Q53</f>
        <v>0</v>
      </c>
      <c r="P65" s="36">
        <f>DATA!R53</f>
        <v>0</v>
      </c>
      <c r="Q65" s="36">
        <f>DATA!S53</f>
        <v>0</v>
      </c>
      <c r="R65" s="128">
        <f>DATA!T53</f>
        <v>0</v>
      </c>
      <c r="S65" s="128">
        <f>DATA!U53</f>
        <v>25200000</v>
      </c>
      <c r="T65" s="128">
        <f>DATA!V53</f>
        <v>0</v>
      </c>
      <c r="U65" s="88">
        <f>DATA!W53</f>
        <v>0</v>
      </c>
      <c r="V65" s="128">
        <f>DATA!X53</f>
        <v>25200000</v>
      </c>
      <c r="W65" s="128" t="str">
        <f>DATA!Y53</f>
        <v>ADB</v>
      </c>
      <c r="X65" s="88" t="str">
        <f>DATA!Z53</f>
        <v>Multilateral</v>
      </c>
      <c r="Y65" s="128">
        <f>DATA!AA53</f>
        <v>25200000</v>
      </c>
      <c r="Z65" s="128">
        <f>DATA!AG53</f>
        <v>0</v>
      </c>
      <c r="AA65" s="129">
        <f>DATA!AH53</f>
        <v>2016</v>
      </c>
      <c r="AB65" s="130" t="str">
        <f>DATA!AI53</f>
        <v>- Green Book 2015</v>
      </c>
      <c r="AC65" s="130" t="str">
        <f>DATA!AJ53</f>
        <v>-</v>
      </c>
      <c r="AD65" s="130" t="str">
        <f>DATA!AK53</f>
        <v>-</v>
      </c>
      <c r="AE65" s="130" t="str">
        <f>DATA!AL53</f>
        <v>-</v>
      </c>
      <c r="AF65" s="20"/>
      <c r="AG65" s="20"/>
      <c r="AH65" s="20"/>
      <c r="AI65" s="20"/>
      <c r="AJ65" s="20"/>
      <c r="AK65" s="20"/>
      <c r="AL65" s="20"/>
      <c r="AM65" s="37"/>
    </row>
    <row r="66" spans="1:39" s="5" customFormat="1" ht="33.75" hidden="1" customHeight="1">
      <c r="J66" s="28"/>
      <c r="K66" s="50"/>
      <c r="L66" s="30" t="str">
        <f>DATA!I54</f>
        <v>F</v>
      </c>
      <c r="M66" s="31" t="str">
        <f>DATA!J54</f>
        <v xml:space="preserve">Program Pembangunan Sistem Pengelolaan Persampahan </v>
      </c>
      <c r="N66" s="51"/>
      <c r="O66" s="31"/>
      <c r="P66" s="31"/>
      <c r="Q66" s="31"/>
      <c r="R66" s="81">
        <f>+R67+R68</f>
        <v>250000000</v>
      </c>
      <c r="S66" s="81"/>
      <c r="T66" s="81">
        <f>+T67+T68</f>
        <v>12500000</v>
      </c>
      <c r="U66" s="81">
        <f>+U67+U68</f>
        <v>0</v>
      </c>
      <c r="V66" s="81">
        <f>+V67+V68</f>
        <v>262500000</v>
      </c>
      <c r="W66" s="81"/>
      <c r="X66" s="81" t="e">
        <f>+X67+X68</f>
        <v>#VALUE!</v>
      </c>
      <c r="Y66" s="81">
        <f>+Y67+Y68</f>
        <v>250000000</v>
      </c>
      <c r="Z66" s="81">
        <f>+Z67+Z68</f>
        <v>0</v>
      </c>
      <c r="AA66" s="31"/>
      <c r="AB66" s="32"/>
      <c r="AC66" s="32"/>
      <c r="AD66" s="32"/>
      <c r="AE66" s="32"/>
      <c r="AF66" s="31"/>
      <c r="AG66" s="31"/>
      <c r="AH66" s="31"/>
      <c r="AI66" s="31"/>
      <c r="AJ66" s="31"/>
      <c r="AK66" s="31"/>
      <c r="AL66" s="31"/>
      <c r="AM66" s="32"/>
    </row>
    <row r="67" spans="1:39" ht="69.75" hidden="1" customHeight="1">
      <c r="A67" s="10">
        <f>DATA!A54</f>
        <v>43</v>
      </c>
      <c r="B67" s="10">
        <f>DATA!B54</f>
        <v>0</v>
      </c>
      <c r="C67" s="10" t="str">
        <f>DATA!D54</f>
        <v>INFRASTRUKTUR</v>
      </c>
      <c r="D67" s="10">
        <f>DATA!E54</f>
        <v>1</v>
      </c>
      <c r="E67" s="10" t="str">
        <f>DATA!F54</f>
        <v>Kementerian Pekerjaan Umum dan Perumahan Rakyat</v>
      </c>
      <c r="F67" s="10" t="str">
        <f>DATA!H54</f>
        <v>Development of Solid Waste Management Program</v>
      </c>
      <c r="G67" s="10" t="str">
        <f>DATA!I54</f>
        <v>F</v>
      </c>
      <c r="H67" s="10" t="str">
        <f>DATA!J54</f>
        <v xml:space="preserve">Program Pembangunan Sistem Pengelolaan Persampahan </v>
      </c>
      <c r="I67" s="10">
        <f>DATA!K54</f>
        <v>1</v>
      </c>
      <c r="J67" s="33"/>
      <c r="K67" s="34"/>
      <c r="L67" s="35"/>
      <c r="M67" s="36">
        <f>DATA!K54</f>
        <v>1</v>
      </c>
      <c r="N67" s="37" t="str">
        <f>DATA!L54</f>
        <v xml:space="preserve">Advanced Solid Waste Management for Sustainable Urban Development (Advance SWM-SUD) </v>
      </c>
      <c r="O67" s="20">
        <f>DATA!Q54</f>
        <v>1</v>
      </c>
      <c r="P67" s="20">
        <f>DATA!R54</f>
        <v>1</v>
      </c>
      <c r="Q67" s="20">
        <f>DATA!S54</f>
        <v>37</v>
      </c>
      <c r="R67" s="77">
        <f>DATA!T54</f>
        <v>150000000</v>
      </c>
      <c r="S67" s="77"/>
      <c r="T67" s="77">
        <f>DATA!V54</f>
        <v>7500000</v>
      </c>
      <c r="U67" s="77">
        <f>DATA!W54</f>
        <v>0</v>
      </c>
      <c r="V67" s="77">
        <f>DATA!X54</f>
        <v>157500000</v>
      </c>
      <c r="W67" s="78" t="str">
        <f>DATA!Y54</f>
        <v>Jerman (KfW)</v>
      </c>
      <c r="X67" s="20" t="str">
        <f>DATA!Z54</f>
        <v>Bilateral</v>
      </c>
      <c r="Y67" s="77">
        <f>DATA!AA54</f>
        <v>150000000</v>
      </c>
      <c r="Z67" s="77">
        <f>DATA!AG54</f>
        <v>0</v>
      </c>
      <c r="AA67" s="20">
        <f>DATA!AH54</f>
        <v>2017</v>
      </c>
      <c r="AB67" s="37" t="str">
        <f>DATA!AI54</f>
        <v>-</v>
      </c>
      <c r="AC67" s="37" t="str">
        <f>DATA!AJ54</f>
        <v>Telah dilakukan kajian awal oleh tim FFM KfW</v>
      </c>
      <c r="AD67" s="37" t="str">
        <f>DATA!AK54</f>
        <v>-</v>
      </c>
      <c r="AE67" s="37" t="str">
        <f>DATA!AL54</f>
        <v>-</v>
      </c>
      <c r="AF67" s="20">
        <f>DATA!AM54</f>
        <v>0</v>
      </c>
      <c r="AG67" s="20" t="str">
        <f>DATA!AN54</f>
        <v>dalam proses
(penyusunan FS)</v>
      </c>
      <c r="AH67" s="20" t="str">
        <f>DATA!AO54</f>
        <v>belum ada keterangan</v>
      </c>
      <c r="AI67" s="20" t="str">
        <f>DATA!AP54</f>
        <v>belum ada proses tender/lelang</v>
      </c>
      <c r="AJ67" s="20" t="str">
        <f>DATA!AY54</f>
        <v>- belum ada proses penyiapan
- Konfirmasi melalui surat Sekjen nomor KU.01.12-Sj/636 tgl 23 Oktober 2015</v>
      </c>
      <c r="AK67" s="20" t="e">
        <f>DATA!#REF!</f>
        <v>#REF!</v>
      </c>
      <c r="AL67" s="20">
        <f>DATA!AZ54</f>
        <v>0</v>
      </c>
      <c r="AM67" s="37" t="str">
        <f>DATA!BA54</f>
        <v>Pembangunan TPA baru, pembangunan unit sistem teknologi pengolahan sampah, pembangunan Intermediete Treatment Facility (ITF), infrastruktur penunjang, buffer zone, dan supervisi kegiatan konstruksi.</v>
      </c>
    </row>
    <row r="68" spans="1:39" ht="51" hidden="1">
      <c r="A68" s="10">
        <f>DATA!A55</f>
        <v>44</v>
      </c>
      <c r="B68" s="10">
        <f>DATA!B55</f>
        <v>0</v>
      </c>
      <c r="C68" s="10" t="str">
        <f>DATA!D55</f>
        <v>INFRASTRUKTUR</v>
      </c>
      <c r="D68" s="10">
        <f>DATA!E55</f>
        <v>1</v>
      </c>
      <c r="E68" s="10" t="str">
        <f>DATA!F55</f>
        <v>Kementerian Pekerjaan Umum dan Perumahan Rakyat</v>
      </c>
      <c r="F68" s="10" t="str">
        <f>DATA!H55</f>
        <v>Development of Solid Waste Management Program</v>
      </c>
      <c r="G68" s="10" t="str">
        <f>DATA!I55</f>
        <v>F</v>
      </c>
      <c r="H68" s="10" t="str">
        <f>DATA!J55</f>
        <v xml:space="preserve">Program Pembangunan Sistem Pengelolaan Persampahan </v>
      </c>
      <c r="I68" s="10">
        <f>DATA!K55</f>
        <v>2</v>
      </c>
      <c r="J68" s="33"/>
      <c r="K68" s="34"/>
      <c r="L68" s="54"/>
      <c r="M68" s="36">
        <f>DATA!K55</f>
        <v>2</v>
      </c>
      <c r="N68" s="37" t="str">
        <f>DATA!L55</f>
        <v>The Improvement of Solid Waste Management to Support Regional Area and Metropolitan Cities</v>
      </c>
      <c r="O68" s="20">
        <f>DATA!Q55</f>
        <v>1</v>
      </c>
      <c r="P68" s="20">
        <f>DATA!R55</f>
        <v>1</v>
      </c>
      <c r="Q68" s="20">
        <f>DATA!S55</f>
        <v>38</v>
      </c>
      <c r="R68" s="77">
        <f>DATA!T55</f>
        <v>100000000</v>
      </c>
      <c r="S68" s="77"/>
      <c r="T68" s="77">
        <f>DATA!V55</f>
        <v>5000000</v>
      </c>
      <c r="U68" s="77">
        <f>DATA!W55</f>
        <v>0</v>
      </c>
      <c r="V68" s="77">
        <f>DATA!X55</f>
        <v>105000000</v>
      </c>
      <c r="W68" s="78" t="str">
        <f>DATA!Y55</f>
        <v>Bank Dunia</v>
      </c>
      <c r="X68" s="20" t="str">
        <f>DATA!Z55</f>
        <v>Multilateral</v>
      </c>
      <c r="Y68" s="77">
        <f>DATA!AA55</f>
        <v>100000000</v>
      </c>
      <c r="Z68" s="77">
        <f>DATA!AG55</f>
        <v>0</v>
      </c>
      <c r="AA68" s="20">
        <f>DATA!AH55</f>
        <v>2016</v>
      </c>
      <c r="AB68" s="37" t="str">
        <f>DATA!AI55</f>
        <v>-</v>
      </c>
      <c r="AC68" s="37" t="str">
        <f>DATA!AJ55</f>
        <v>DED dalam proses finalisasi</v>
      </c>
      <c r="AD68" s="37" t="str">
        <f>DATA!AK55</f>
        <v>Dalam proses kepemilikan lahan</v>
      </c>
      <c r="AE68" s="37" t="str">
        <f>DATA!AL55</f>
        <v>Belum ada tindak lanjut</v>
      </c>
      <c r="AF68" s="20">
        <f>DATA!AM55</f>
        <v>0</v>
      </c>
      <c r="AG68" s="20" t="str">
        <f>DATA!AN55</f>
        <v>dalam proses
(memiliki FS)</v>
      </c>
      <c r="AH68" s="20" t="str">
        <f>DATA!AO55</f>
        <v>dalam proses
(persiapan)</v>
      </c>
      <c r="AI68" s="20" t="str">
        <f>DATA!AP55</f>
        <v>belum ada proses tender/lelang</v>
      </c>
      <c r="AJ68" s="20" t="str">
        <f>DATA!AY55</f>
        <v xml:space="preserve">- Konfirmasi melalui surat Sekjen nomor KU.01.12-Sj/636 tgl 23 Oktober 2015
- Bank Dunia membantu proses studi, DED, FS (CDIA, INDII Facility) </v>
      </c>
      <c r="AK68" s="20" t="e">
        <f>DATA!#REF!</f>
        <v>#REF!</v>
      </c>
      <c r="AL68" s="20" t="str">
        <f>DATA!AZ55</f>
        <v>- FS
- Diusulkan untuk masuk Green Book 2016</v>
      </c>
      <c r="AM68" s="37" t="str">
        <f>DATA!BA55</f>
        <v>Pembangunan TPA Sanitary Landfill  baru, pembangunan Intermediete Treatment Facility (ITF), dan pengembangan konsep Reuse, Reduce, and Recycle (3R).</v>
      </c>
    </row>
    <row r="69" spans="1:39" s="5" customFormat="1" ht="33.75" hidden="1" customHeight="1">
      <c r="J69" s="28"/>
      <c r="K69" s="50"/>
      <c r="L69" s="30" t="str">
        <f>DATA!I56</f>
        <v>G</v>
      </c>
      <c r="M69" s="31" t="str">
        <f>DATA!J56</f>
        <v>Program Penanganan Kumuh</v>
      </c>
      <c r="N69" s="51"/>
      <c r="O69" s="31"/>
      <c r="P69" s="31"/>
      <c r="Q69" s="31"/>
      <c r="R69" s="81">
        <f>+R70+R71+R74+R75</f>
        <v>3614740000</v>
      </c>
      <c r="S69" s="81"/>
      <c r="T69" s="81">
        <f t="shared" ref="T69:Z69" si="2">+T70+T71+T74+T75</f>
        <v>180737000</v>
      </c>
      <c r="U69" s="81">
        <f t="shared" si="2"/>
        <v>0</v>
      </c>
      <c r="V69" s="81">
        <f t="shared" si="2"/>
        <v>3795477000</v>
      </c>
      <c r="W69" s="81"/>
      <c r="X69" s="81" t="e">
        <f t="shared" si="2"/>
        <v>#VALUE!</v>
      </c>
      <c r="Y69" s="81">
        <f t="shared" si="2"/>
        <v>3614740000</v>
      </c>
      <c r="Z69" s="81">
        <f t="shared" si="2"/>
        <v>0</v>
      </c>
      <c r="AA69" s="31"/>
      <c r="AB69" s="32"/>
      <c r="AC69" s="32"/>
      <c r="AD69" s="32"/>
      <c r="AE69" s="32"/>
      <c r="AF69" s="31"/>
      <c r="AG69" s="31"/>
      <c r="AH69" s="31"/>
      <c r="AI69" s="31"/>
      <c r="AJ69" s="31"/>
      <c r="AK69" s="31"/>
      <c r="AL69" s="31"/>
      <c r="AM69" s="32"/>
    </row>
    <row r="70" spans="1:39" ht="180.75" hidden="1" customHeight="1">
      <c r="A70" s="10">
        <f>DATA!A56</f>
        <v>45</v>
      </c>
      <c r="B70" s="10">
        <f>DATA!B56</f>
        <v>0</v>
      </c>
      <c r="C70" s="10" t="str">
        <f>DATA!D56</f>
        <v>INFRASTRUKTUR</v>
      </c>
      <c r="D70" s="10">
        <f>DATA!E56</f>
        <v>1</v>
      </c>
      <c r="E70" s="10" t="str">
        <f>DATA!F56</f>
        <v>Kementerian Pekerjaan Umum dan Perumahan Rakyat</v>
      </c>
      <c r="F70" s="10" t="str">
        <f>DATA!H56</f>
        <v>Slum Alleviation Program</v>
      </c>
      <c r="G70" s="10" t="str">
        <f>DATA!I56</f>
        <v>G</v>
      </c>
      <c r="H70" s="10" t="str">
        <f>DATA!J56</f>
        <v>Program Penanganan Kumuh</v>
      </c>
      <c r="I70" s="10">
        <f>DATA!K56</f>
        <v>1</v>
      </c>
      <c r="J70" s="33"/>
      <c r="K70" s="34"/>
      <c r="L70" s="35"/>
      <c r="M70" s="36">
        <f>DATA!K56</f>
        <v>1</v>
      </c>
      <c r="N70" s="37" t="str">
        <f>DATA!L56</f>
        <v>Slum Improvement in Strategic Human Settlements Area (SISHA)</v>
      </c>
      <c r="O70" s="20">
        <f>DATA!Q56</f>
        <v>1</v>
      </c>
      <c r="P70" s="20">
        <f>DATA!R56</f>
        <v>1</v>
      </c>
      <c r="Q70" s="20">
        <f>DATA!S56</f>
        <v>39</v>
      </c>
      <c r="R70" s="77">
        <f>DATA!T56</f>
        <v>2100000000</v>
      </c>
      <c r="S70" s="77"/>
      <c r="T70" s="77">
        <f>DATA!V56</f>
        <v>105000000</v>
      </c>
      <c r="U70" s="77">
        <f>DATA!W56</f>
        <v>0</v>
      </c>
      <c r="V70" s="77">
        <f>DATA!X56</f>
        <v>2205000000</v>
      </c>
      <c r="W70" s="109" t="str">
        <f>DATA!Y56</f>
        <v>Bank Dunia/JICA/ADB</v>
      </c>
      <c r="X70" s="20" t="str">
        <f>DATA!Z56</f>
        <v>Multi Lender</v>
      </c>
      <c r="Y70" s="77">
        <f>DATA!AA56</f>
        <v>2100000000</v>
      </c>
      <c r="Z70" s="77">
        <f>DATA!AG56</f>
        <v>0</v>
      </c>
      <c r="AA70" s="20">
        <f>DATA!AH56</f>
        <v>2017</v>
      </c>
      <c r="AB70" s="37" t="str">
        <f>DATA!AI56</f>
        <v>-</v>
      </c>
      <c r="AC70" s="37" t="str">
        <f>DATA!AJ56</f>
        <v>117 kab/kota telah terfasilitasi pendampingan penyusunan rencana kawasan permukiman kumuh perkotaan (RKPKP) tahun 2015 sebagai rencana pencegahan dan peningkatan kualitas permukiman dan perumahan kumuh perkotaan.</v>
      </c>
      <c r="AD70" s="37" t="str">
        <f>DATA!AK56</f>
        <v xml:space="preserve">Pemerintah Daerah sudah menetapkan SK Bupati / Walikota untuk Penetapan Lokasi Perumahan Kumuh dan Permukiman Kumuh. </v>
      </c>
      <c r="AE70" s="37" t="str">
        <f>DATA!AL56</f>
        <v>-</v>
      </c>
      <c r="AF70" s="20">
        <f>DATA!AM56</f>
        <v>0</v>
      </c>
      <c r="AG70" s="20" t="str">
        <f>DATA!AN56</f>
        <v>dalam proses
(penyusunan FS)</v>
      </c>
      <c r="AH70" s="20" t="str">
        <f>DATA!AO56</f>
        <v>dalam proses
(perencanaan)</v>
      </c>
      <c r="AI70" s="20" t="str">
        <f>DATA!AP56</f>
        <v>belum ada proses tender/lelang</v>
      </c>
      <c r="AJ70" s="20" t="str">
        <f>DATA!AY56</f>
        <v>- Konsep kegiatan belum siap
- Konfirmasi melalui surat Sekjen nomor KU.01.12-Sj/636 tgl 23 Oktober 2015</v>
      </c>
      <c r="AK70" s="20" t="e">
        <f>DATA!#REF!</f>
        <v>#REF!</v>
      </c>
      <c r="AL70" s="20">
        <f>DATA!AZ56</f>
        <v>0</v>
      </c>
      <c r="AM70" s="37" t="str">
        <f>DATA!BA56</f>
        <v>Penanganan kawasan kumuh sebesar 4.400 ha</v>
      </c>
    </row>
    <row r="71" spans="1:39" ht="30" hidden="1" customHeight="1">
      <c r="A71" s="10">
        <f>DATA!A57</f>
        <v>46</v>
      </c>
      <c r="B71" s="10">
        <f>DATA!B57</f>
        <v>0</v>
      </c>
      <c r="C71" s="10" t="str">
        <f>DATA!D57</f>
        <v>INFRASTRUKTUR</v>
      </c>
      <c r="D71" s="10">
        <f>DATA!E57</f>
        <v>1</v>
      </c>
      <c r="E71" s="10" t="str">
        <f>DATA!F57</f>
        <v>Kementerian Pekerjaan Umum dan Perumahan Rakyat</v>
      </c>
      <c r="F71" s="10" t="str">
        <f>DATA!H57</f>
        <v>Slum Alleviation Program</v>
      </c>
      <c r="G71" s="10" t="str">
        <f>DATA!I57</f>
        <v>G</v>
      </c>
      <c r="H71" s="10" t="str">
        <f>DATA!J57</f>
        <v>Program Penanganan Kumuh</v>
      </c>
      <c r="I71" s="10">
        <f>DATA!K57</f>
        <v>2</v>
      </c>
      <c r="J71" s="33"/>
      <c r="K71" s="34"/>
      <c r="L71" s="34"/>
      <c r="M71" s="36">
        <f>DATA!K57</f>
        <v>2</v>
      </c>
      <c r="N71" s="37" t="str">
        <f>DATA!L57</f>
        <v>National Slum Upgrading</v>
      </c>
      <c r="O71" s="20">
        <f>DATA!Q57</f>
        <v>0</v>
      </c>
      <c r="P71" s="20">
        <f>DATA!R57</f>
        <v>1</v>
      </c>
      <c r="Q71" s="20">
        <f>DATA!S57</f>
        <v>40</v>
      </c>
      <c r="R71" s="77">
        <f>DATA!T57</f>
        <v>1052640000</v>
      </c>
      <c r="S71" s="77"/>
      <c r="T71" s="77">
        <f>DATA!V57</f>
        <v>52632000</v>
      </c>
      <c r="U71" s="77">
        <f>DATA!W57</f>
        <v>0</v>
      </c>
      <c r="V71" s="77">
        <f>DATA!X57</f>
        <v>1105272000</v>
      </c>
      <c r="W71" s="78" t="str">
        <f>DATA!Y57</f>
        <v>-</v>
      </c>
      <c r="X71" s="20">
        <f>DATA!Z57</f>
        <v>0</v>
      </c>
      <c r="Y71" s="77">
        <f>DATA!AA57</f>
        <v>1052640000</v>
      </c>
      <c r="Z71" s="77">
        <f>DATA!AG57</f>
        <v>0</v>
      </c>
      <c r="AA71" s="20" t="str">
        <f>DATA!AH57</f>
        <v>-</v>
      </c>
      <c r="AB71" s="37" t="str">
        <f>DATA!AI57</f>
        <v>-</v>
      </c>
      <c r="AC71" s="37" t="str">
        <f>DATA!AJ57</f>
        <v>-</v>
      </c>
      <c r="AD71" s="37" t="str">
        <f>DATA!AK57</f>
        <v>-</v>
      </c>
      <c r="AE71" s="37" t="str">
        <f>DATA!AL57</f>
        <v>-</v>
      </c>
      <c r="AF71" s="20" t="str">
        <f>DATA!AM57</f>
        <v>-</v>
      </c>
      <c r="AG71" s="20" t="str">
        <f>DATA!AN57</f>
        <v>-</v>
      </c>
      <c r="AH71" s="20" t="str">
        <f>DATA!AO57</f>
        <v>-</v>
      </c>
      <c r="AI71" s="20" t="str">
        <f>DATA!AP57</f>
        <v>-</v>
      </c>
      <c r="AJ71" s="20" t="str">
        <f>DATA!AY57</f>
        <v>Konfirmasi melalui surat Sekjen nomor KU.01.12-Sj/636 tgl 23 Oktober 2015</v>
      </c>
      <c r="AK71" s="20" t="e">
        <f>DATA!#REF!</f>
        <v>#REF!</v>
      </c>
      <c r="AL71" s="20" t="str">
        <f>DATA!AZ57</f>
        <v>-</v>
      </c>
      <c r="AM71" s="37" t="str">
        <f>DATA!BA57</f>
        <v>-</v>
      </c>
    </row>
    <row r="72" spans="1:39" s="6" customFormat="1" ht="209.25" hidden="1" customHeight="1">
      <c r="A72" s="6">
        <f>DATA!A58</f>
        <v>46</v>
      </c>
      <c r="B72" s="6">
        <f>DATA!B58</f>
        <v>0</v>
      </c>
      <c r="C72" s="6" t="str">
        <f>DATA!D58</f>
        <v>INFRASTRUKTUR</v>
      </c>
      <c r="D72" s="6">
        <f>DATA!E58</f>
        <v>1</v>
      </c>
      <c r="E72" s="6" t="str">
        <f>DATA!F58</f>
        <v>Kementerian Pekerjaan Umum dan Perumahan Rakyat</v>
      </c>
      <c r="F72" s="6" t="str">
        <f>DATA!H58</f>
        <v>Slum Alleviation Program</v>
      </c>
      <c r="G72" s="6" t="str">
        <f>DATA!I58</f>
        <v>G</v>
      </c>
      <c r="H72" s="6" t="str">
        <f>DATA!J58</f>
        <v>Program Penanganan Kumuh</v>
      </c>
      <c r="I72" s="6">
        <f>DATA!K58</f>
        <v>2</v>
      </c>
      <c r="J72" s="38"/>
      <c r="K72" s="39"/>
      <c r="L72" s="39"/>
      <c r="M72" s="40"/>
      <c r="N72" s="67" t="str">
        <f>DATA!L58</f>
        <v>National Slum Upgrading</v>
      </c>
      <c r="O72" s="42">
        <f>DATA!Q58</f>
        <v>0.25</v>
      </c>
      <c r="P72" s="42">
        <f>DATA!R58</f>
        <v>0</v>
      </c>
      <c r="Q72" s="42">
        <f>DATA!S58</f>
        <v>0</v>
      </c>
      <c r="R72" s="83">
        <f>DATA!T58</f>
        <v>0</v>
      </c>
      <c r="S72" s="83"/>
      <c r="T72" s="83">
        <f>DATA!V58</f>
        <v>0</v>
      </c>
      <c r="U72" s="83">
        <f>DATA!W58</f>
        <v>0</v>
      </c>
      <c r="V72" s="83">
        <f>DATA!X58</f>
        <v>0</v>
      </c>
      <c r="W72" s="84" t="str">
        <f>DATA!Y58</f>
        <v>IDB</v>
      </c>
      <c r="X72" s="42" t="str">
        <f>DATA!Z58</f>
        <v>Multilateral</v>
      </c>
      <c r="Y72" s="83">
        <f>DATA!AA58</f>
        <v>329760000</v>
      </c>
      <c r="Z72" s="83">
        <f>DATA!AG58</f>
        <v>0</v>
      </c>
      <c r="AA72" s="42">
        <f>DATA!AH58</f>
        <v>2016</v>
      </c>
      <c r="AB72" s="67" t="str">
        <f>DATA!AI58</f>
        <v>Green Book 2016</v>
      </c>
      <c r="AC72" s="67" t="str">
        <f>DATA!AJ58</f>
        <v>- Concept Paper, Baseline Survey, Draft Guidelines.
- Surat Komitmen Pemda untuk penanganan kumuh.</v>
      </c>
      <c r="AD72" s="67"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E72" s="67" t="str">
        <f>DATA!AL58</f>
        <v>-</v>
      </c>
      <c r="AF72" s="42">
        <f>DATA!AM58</f>
        <v>2016</v>
      </c>
      <c r="AG72" s="42" t="str">
        <f>DATA!AN58</f>
        <v>dalam proses
(penyusunan FS)</v>
      </c>
      <c r="AH72" s="42" t="str">
        <f>DATA!AO58</f>
        <v>tidak butuh lahan</v>
      </c>
      <c r="AI72" s="42" t="str">
        <f>DATA!AP58</f>
        <v>belum ada proses tender/lelang</v>
      </c>
      <c r="AJ72" s="42"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K72" s="42" t="e">
        <f>DATA!#REF!</f>
        <v>#REF!</v>
      </c>
      <c r="AL72" s="42" t="str">
        <f>DATA!AZ58</f>
        <v>Sudah ada R/C</v>
      </c>
      <c r="AM72" s="67" t="str">
        <f>DATA!BA58</f>
        <v>Peningkatan kualitas permukiman di 21 provinsi, 257 kabupaten/kota,  6.626 kelurahan</v>
      </c>
    </row>
    <row r="73" spans="1:39" s="6" customFormat="1" ht="201" hidden="1" customHeight="1">
      <c r="A73" s="6">
        <f>DATA!A59</f>
        <v>47</v>
      </c>
      <c r="B73" s="6">
        <f>DATA!B59</f>
        <v>0</v>
      </c>
      <c r="C73" s="6" t="str">
        <f>DATA!D59</f>
        <v>INFRASTRUKTUR</v>
      </c>
      <c r="D73" s="6">
        <f>DATA!E59</f>
        <v>1</v>
      </c>
      <c r="E73" s="6" t="str">
        <f>DATA!F59</f>
        <v>Kementerian Pekerjaan Umum dan Perumahan Rakyat</v>
      </c>
      <c r="F73" s="6" t="str">
        <f>DATA!H59</f>
        <v>Slum Alleviation Program</v>
      </c>
      <c r="G73" s="6" t="str">
        <f>DATA!I59</f>
        <v>G</v>
      </c>
      <c r="H73" s="6" t="str">
        <f>DATA!J59</f>
        <v>Program Penanganan Kumuh</v>
      </c>
      <c r="I73" s="6">
        <f>DATA!K59</f>
        <v>2</v>
      </c>
      <c r="J73" s="38"/>
      <c r="K73" s="39"/>
      <c r="L73" s="39"/>
      <c r="M73" s="43"/>
      <c r="N73" s="67" t="str">
        <f>DATA!L59</f>
        <v>National Slum Upgrading</v>
      </c>
      <c r="O73" s="42">
        <f>DATA!Q59</f>
        <v>0.25</v>
      </c>
      <c r="P73" s="42">
        <f>DATA!R59</f>
        <v>0</v>
      </c>
      <c r="Q73" s="42">
        <f>DATA!S59</f>
        <v>0</v>
      </c>
      <c r="R73" s="83">
        <f>DATA!T59</f>
        <v>0</v>
      </c>
      <c r="S73" s="83"/>
      <c r="T73" s="83">
        <f>DATA!V59</f>
        <v>0</v>
      </c>
      <c r="U73" s="83">
        <f>DATA!W59</f>
        <v>0</v>
      </c>
      <c r="V73" s="83">
        <f>DATA!X59</f>
        <v>0</v>
      </c>
      <c r="W73" s="84" t="str">
        <f>DATA!Y59</f>
        <v>Bank Dunia</v>
      </c>
      <c r="X73" s="42" t="str">
        <f>DATA!Z59</f>
        <v>Multilateral</v>
      </c>
      <c r="Y73" s="83">
        <f>DATA!AA59</f>
        <v>216500000</v>
      </c>
      <c r="Z73" s="83">
        <f>DATA!AG59</f>
        <v>0</v>
      </c>
      <c r="AA73" s="42">
        <f>DATA!AH59</f>
        <v>2016</v>
      </c>
      <c r="AB73" s="67" t="str">
        <f>DATA!AI59</f>
        <v>Green Book 2016</v>
      </c>
      <c r="AC73" s="67" t="str">
        <f>DATA!AJ59</f>
        <v>- Concept Paper, Baseline Survey, Draft Guidelines.
- Surat Komitmen Pemda untuk penanganan kumuh.</v>
      </c>
      <c r="AD73" s="67"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E73" s="67" t="str">
        <f>DATA!AL59</f>
        <v>-</v>
      </c>
      <c r="AF73" s="42">
        <f>DATA!AM59</f>
        <v>2016</v>
      </c>
      <c r="AG73" s="42" t="str">
        <f>DATA!AN59</f>
        <v>dalam proses
(penyusunan FS)</v>
      </c>
      <c r="AH73" s="42" t="str">
        <f>DATA!AO59</f>
        <v>tidak butuh lahan</v>
      </c>
      <c r="AI73" s="42" t="str">
        <f>DATA!AP59</f>
        <v>belum ada proses tender/lelang</v>
      </c>
      <c r="AJ73" s="42"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K73" s="42" t="e">
        <f>DATA!#REF!</f>
        <v>#REF!</v>
      </c>
      <c r="AL73" s="42" t="str">
        <f>DATA!AZ59</f>
        <v>Sudah ada R/C</v>
      </c>
      <c r="AM73" s="67" t="str">
        <f>DATA!BA59</f>
        <v>Peningkatan kualitas permukiman di 21 provinsi, 257 kabupaten/kota,  6.626 kelurahan</v>
      </c>
    </row>
    <row r="74" spans="1:39" ht="89.25" hidden="1" customHeight="1">
      <c r="A74" s="10">
        <f>DATA!A62</f>
        <v>48</v>
      </c>
      <c r="B74" s="10">
        <f>DATA!B62</f>
        <v>0</v>
      </c>
      <c r="C74" s="10" t="str">
        <f>DATA!D62</f>
        <v>INFRASTRUKTUR</v>
      </c>
      <c r="D74" s="10">
        <f>DATA!E62</f>
        <v>1</v>
      </c>
      <c r="E74" s="10" t="str">
        <f>DATA!F62</f>
        <v>Kementerian Pekerjaan Umum dan Perumahan Rakyat</v>
      </c>
      <c r="F74" s="10" t="str">
        <f>DATA!H62</f>
        <v>Slum Alleviation Program</v>
      </c>
      <c r="G74" s="10" t="str">
        <f>DATA!I62</f>
        <v>G</v>
      </c>
      <c r="H74" s="10" t="str">
        <f>DATA!J62</f>
        <v>Program Penanganan Kumuh</v>
      </c>
      <c r="I74" s="10">
        <f>DATA!K62</f>
        <v>3</v>
      </c>
      <c r="J74" s="33"/>
      <c r="K74" s="34"/>
      <c r="L74" s="34"/>
      <c r="M74" s="36">
        <f>DATA!K62</f>
        <v>3</v>
      </c>
      <c r="N74" s="37" t="str">
        <f>DATA!L62</f>
        <v>Rural Settlement Infrastructure Development (RSID)</v>
      </c>
      <c r="O74" s="20">
        <f>DATA!Q62</f>
        <v>1</v>
      </c>
      <c r="P74" s="20">
        <f>DATA!R62</f>
        <v>1</v>
      </c>
      <c r="Q74" s="20">
        <f>DATA!S62</f>
        <v>41</v>
      </c>
      <c r="R74" s="77">
        <f>DATA!T62</f>
        <v>201000000</v>
      </c>
      <c r="S74" s="77"/>
      <c r="T74" s="77">
        <f>DATA!V62</f>
        <v>10050000</v>
      </c>
      <c r="U74" s="77">
        <f>DATA!W62</f>
        <v>0</v>
      </c>
      <c r="V74" s="77">
        <f>DATA!X62</f>
        <v>211050000</v>
      </c>
      <c r="W74" s="78" t="str">
        <f>DATA!Y62</f>
        <v>JICA</v>
      </c>
      <c r="X74" s="20" t="str">
        <f>DATA!Z62</f>
        <v>Bilateral</v>
      </c>
      <c r="Y74" s="77">
        <f>DATA!AA62</f>
        <v>201000000</v>
      </c>
      <c r="Z74" s="77">
        <f>DATA!AG62</f>
        <v>0</v>
      </c>
      <c r="AA74" s="20">
        <f>DATA!AH62</f>
        <v>2016</v>
      </c>
      <c r="AB74" s="37" t="str">
        <f>DATA!AI62</f>
        <v>-</v>
      </c>
      <c r="AC74" s="37" t="str">
        <f>DATA!AJ62</f>
        <v>30 (tiga puluh) kabupaten yang sudah mempunyai Perda RTRW dan mempunyai Perda Kawasan Strategis Kabupaten (KSK)</v>
      </c>
      <c r="AD74" s="37" t="str">
        <f>DATA!AK62</f>
        <v>belum ada pedoman teknis untuk pemenuhan lahan.</v>
      </c>
      <c r="AE74" s="37" t="str">
        <f>DATA!AL62</f>
        <v>belum ada</v>
      </c>
      <c r="AF74" s="20">
        <f>DATA!AM62</f>
        <v>0</v>
      </c>
      <c r="AG74" s="20" t="str">
        <f>DATA!AN62</f>
        <v>dalam proses
(penyusunan FS)</v>
      </c>
      <c r="AH74" s="20" t="str">
        <f>DATA!AO62</f>
        <v>dalam proses
(perencanaan)</v>
      </c>
      <c r="AI74" s="20" t="str">
        <f>DATA!AP62</f>
        <v>belum ada proses tender/lelang</v>
      </c>
      <c r="AJ74" s="20" t="str">
        <f>DATA!AY62</f>
        <v>- semula Lender adalah IDB, namun berdasarkan hasil konfirmasi Kem. PUPR, Lender keg ini adalah JICA
- konsep kegiatan belum siap
- Konfirmasi melalui surat Sekjen nomor KU.01.12-Sj/636 tgl 23 Oktober 2015</v>
      </c>
      <c r="AK74" s="20" t="e">
        <f>DATA!#REF!</f>
        <v>#REF!</v>
      </c>
      <c r="AL74" s="20">
        <f>DATA!AZ62</f>
        <v>0</v>
      </c>
      <c r="AM74" s="37" t="str">
        <f>DATA!BA62</f>
        <v xml:space="preserve">Pembangunan infrastruktur perdesaan seluas 18.589 ha </v>
      </c>
    </row>
    <row r="75" spans="1:39" ht="80.25" hidden="1" customHeight="1">
      <c r="A75" s="10">
        <f>DATA!A63</f>
        <v>49</v>
      </c>
      <c r="B75" s="10">
        <f>DATA!B63</f>
        <v>0</v>
      </c>
      <c r="C75" s="10" t="str">
        <f>DATA!D63</f>
        <v>INFRASTRUKTUR</v>
      </c>
      <c r="D75" s="10">
        <f>DATA!E63</f>
        <v>1</v>
      </c>
      <c r="E75" s="10" t="str">
        <f>DATA!F63</f>
        <v>Kementerian Pekerjaan Umum dan Perumahan Rakyat</v>
      </c>
      <c r="F75" s="10" t="str">
        <f>DATA!H63</f>
        <v>Slum Alleviation Program</v>
      </c>
      <c r="G75" s="10" t="str">
        <f>DATA!I63</f>
        <v>G</v>
      </c>
      <c r="H75" s="10" t="str">
        <f>DATA!J63</f>
        <v>Program Penanganan Kumuh</v>
      </c>
      <c r="I75" s="10">
        <f>DATA!K63</f>
        <v>4</v>
      </c>
      <c r="J75" s="33"/>
      <c r="K75" s="34"/>
      <c r="L75" s="54"/>
      <c r="M75" s="36">
        <f>DATA!K63</f>
        <v>4</v>
      </c>
      <c r="N75" s="37" t="str">
        <f>DATA!L63</f>
        <v>Building Administration and Capacity Enforcement Development for Seismic Resilience</v>
      </c>
      <c r="O75" s="20">
        <f>DATA!Q63</f>
        <v>1</v>
      </c>
      <c r="P75" s="20">
        <f>DATA!R63</f>
        <v>1</v>
      </c>
      <c r="Q75" s="20">
        <f>DATA!S63</f>
        <v>42</v>
      </c>
      <c r="R75" s="77">
        <f>DATA!T63</f>
        <v>261100000</v>
      </c>
      <c r="S75" s="77"/>
      <c r="T75" s="77">
        <f>DATA!V63</f>
        <v>13055000</v>
      </c>
      <c r="U75" s="77">
        <f>DATA!W63</f>
        <v>0</v>
      </c>
      <c r="V75" s="77">
        <f>DATA!X63</f>
        <v>274155000</v>
      </c>
      <c r="W75" s="78" t="str">
        <f>DATA!Y63</f>
        <v>JICA</v>
      </c>
      <c r="X75" s="20" t="str">
        <f>DATA!Z63</f>
        <v>Bilateral</v>
      </c>
      <c r="Y75" s="77">
        <f>DATA!AA63</f>
        <v>261100000</v>
      </c>
      <c r="Z75" s="77">
        <f>DATA!AG63</f>
        <v>0</v>
      </c>
      <c r="AA75" s="20">
        <f>DATA!AH63</f>
        <v>2016</v>
      </c>
      <c r="AB75" s="37" t="str">
        <f>DATA!AI63</f>
        <v>-</v>
      </c>
      <c r="AC75" s="37" t="str">
        <f>DATA!AJ63</f>
        <v>246 dari total 514 kota / kabupaten telah mengeluarkan Peraturan Daerah Bangunan Gedung).</v>
      </c>
      <c r="AD75" s="37" t="str">
        <f>DATA!AK63</f>
        <v>tidak ada kegiatan pengadaan lahan.</v>
      </c>
      <c r="AE75" s="37" t="str">
        <f>DATA!AL63</f>
        <v>belum ada</v>
      </c>
      <c r="AF75" s="20">
        <f>DATA!AM63</f>
        <v>0</v>
      </c>
      <c r="AG75" s="20" t="str">
        <f>DATA!AN63</f>
        <v>dalam proses
(penyusunan FS)</v>
      </c>
      <c r="AH75" s="20" t="str">
        <f>DATA!AO63</f>
        <v>tidak butuh lahan</v>
      </c>
      <c r="AI75" s="20" t="str">
        <f>DATA!AP63</f>
        <v>belum ada proses tender/lelang</v>
      </c>
      <c r="AJ75" s="20" t="str">
        <f>DATA!AY63</f>
        <v>- konsep kegiatan belum siap
- Konfirmasi melalui surat Sekjen nomor KU.01.12-Sj/636 tgl 23 Oktober 2015</v>
      </c>
      <c r="AK75" s="20" t="e">
        <f>DATA!#REF!</f>
        <v>#REF!</v>
      </c>
      <c r="AL75" s="20" t="str">
        <f>DATA!AZ63</f>
        <v>- JICA diindikasikan akan mendanai kegiatan ini dan sudah ada kajian dengan pihak JICA</v>
      </c>
      <c r="AM75" s="37" t="str">
        <f>DATA!BA63</f>
        <v>Pengembangan panduan/guidelines untuk 455 kota/kabupaten mengenai bangunan tahan gempa dan sosialisasi metode perkuatan/retrofitting untuk bangunan tahan gempa.</v>
      </c>
    </row>
    <row r="76" spans="1:39" s="5" customFormat="1" ht="33.75" hidden="1" customHeight="1">
      <c r="J76" s="28"/>
      <c r="K76" s="50"/>
      <c r="L76" s="30" t="str">
        <f>DATA!I67</f>
        <v>I</v>
      </c>
      <c r="M76" s="31" t="str">
        <f>DATA!J67</f>
        <v>Program Pengembangan dan Pengelolaan Irigasi</v>
      </c>
      <c r="N76" s="51"/>
      <c r="O76" s="31"/>
      <c r="P76" s="31"/>
      <c r="Q76" s="31"/>
      <c r="R76" s="81">
        <f>SUM(R77,R81:R89)</f>
        <v>3257531000</v>
      </c>
      <c r="S76" s="81"/>
      <c r="T76" s="81">
        <f t="shared" ref="T76:Z76" si="3">SUM(T77,T81:T89)</f>
        <v>345159500</v>
      </c>
      <c r="U76" s="81">
        <f t="shared" si="3"/>
        <v>0</v>
      </c>
      <c r="V76" s="81">
        <f t="shared" si="3"/>
        <v>3602690500</v>
      </c>
      <c r="W76" s="81"/>
      <c r="X76" s="81">
        <f t="shared" si="3"/>
        <v>0</v>
      </c>
      <c r="Y76" s="81">
        <f t="shared" si="3"/>
        <v>3257531000</v>
      </c>
      <c r="Z76" s="81">
        <f t="shared" si="3"/>
        <v>0</v>
      </c>
      <c r="AA76" s="31"/>
      <c r="AB76" s="32"/>
      <c r="AC76" s="32"/>
      <c r="AD76" s="32"/>
      <c r="AE76" s="32"/>
      <c r="AF76" s="31"/>
      <c r="AG76" s="31"/>
      <c r="AH76" s="31"/>
      <c r="AI76" s="31"/>
      <c r="AJ76" s="31"/>
      <c r="AK76" s="31"/>
      <c r="AL76" s="31"/>
      <c r="AM76" s="32"/>
    </row>
    <row r="77" spans="1:39" ht="51" hidden="1">
      <c r="A77" s="10">
        <f>DATA!A65</f>
        <v>50</v>
      </c>
      <c r="B77" s="10">
        <f>DATA!B65</f>
        <v>0</v>
      </c>
      <c r="C77" s="10" t="str">
        <f>DATA!D65</f>
        <v>INFRASTRUKTUR</v>
      </c>
      <c r="D77" s="10">
        <f>DATA!E65</f>
        <v>1</v>
      </c>
      <c r="E77" s="10" t="str">
        <f>DATA!F65</f>
        <v>Kementerian Pekerjaan Umum dan Perumahan Rakyat</v>
      </c>
      <c r="F77" s="10" t="str">
        <f>DATA!H65</f>
        <v>Slum Alleviation Program</v>
      </c>
      <c r="G77" s="10" t="str">
        <f>DATA!I65</f>
        <v>I</v>
      </c>
      <c r="H77" s="10" t="str">
        <f>DATA!J65</f>
        <v>Program Pengembangan dan Pengelolaan Irigasi</v>
      </c>
      <c r="I77" s="10">
        <f>DATA!K65</f>
        <v>1</v>
      </c>
      <c r="J77" s="33"/>
      <c r="K77" s="34"/>
      <c r="L77" s="35"/>
      <c r="M77" s="36">
        <f>DATA!K65</f>
        <v>1</v>
      </c>
      <c r="N77" s="37" t="str">
        <f>DATA!L65</f>
        <v>Integrated Participatory Development and Management of Irrigation Project:</v>
      </c>
      <c r="O77" s="20">
        <f>DATA!Q65</f>
        <v>0</v>
      </c>
      <c r="P77" s="20">
        <f>DATA!R65</f>
        <v>0</v>
      </c>
      <c r="Q77" s="20">
        <f>DATA!S65</f>
        <v>0</v>
      </c>
      <c r="R77" s="77">
        <f>DATA!T65</f>
        <v>1200000000</v>
      </c>
      <c r="S77" s="77"/>
      <c r="T77" s="77">
        <f>DATA!V65</f>
        <v>120000000</v>
      </c>
      <c r="U77" s="77">
        <f>DATA!W65</f>
        <v>0</v>
      </c>
      <c r="V77" s="77">
        <f>DATA!X65</f>
        <v>1320000000</v>
      </c>
      <c r="W77" s="78" t="str">
        <f>DATA!Y65</f>
        <v>-</v>
      </c>
      <c r="X77" s="20">
        <f>DATA!Z65</f>
        <v>0</v>
      </c>
      <c r="Y77" s="77">
        <f>DATA!AA65</f>
        <v>1200000000</v>
      </c>
      <c r="Z77" s="77">
        <f>DATA!AG65</f>
        <v>0</v>
      </c>
      <c r="AA77" s="20" t="str">
        <f>DATA!AH65</f>
        <v>-</v>
      </c>
      <c r="AB77" s="37" t="str">
        <f>DATA!AI65</f>
        <v>-</v>
      </c>
      <c r="AC77" s="37" t="str">
        <f>DATA!AJ65</f>
        <v>-</v>
      </c>
      <c r="AD77" s="37" t="str">
        <f>DATA!AK65</f>
        <v>-</v>
      </c>
      <c r="AE77" s="37" t="str">
        <f>DATA!AL65</f>
        <v>-</v>
      </c>
      <c r="AF77" s="20" t="str">
        <f>DATA!AM65</f>
        <v>-</v>
      </c>
      <c r="AG77" s="20" t="str">
        <f>DATA!AN65</f>
        <v>-</v>
      </c>
      <c r="AH77" s="20" t="str">
        <f>DATA!AO65</f>
        <v>-</v>
      </c>
      <c r="AI77" s="20" t="str">
        <f>DATA!AP65</f>
        <v>-</v>
      </c>
      <c r="AJ77" s="20" t="str">
        <f>DATA!AY65</f>
        <v>Konfirmasi melalui surat Sekjen nomor KU.01.12-Sj/636 tgl 23 Oktober 2015</v>
      </c>
      <c r="AK77" s="20" t="e">
        <f>DATA!#REF!</f>
        <v>#REF!</v>
      </c>
      <c r="AL77" s="20">
        <f>DATA!AZ65</f>
        <v>0</v>
      </c>
      <c r="AM77" s="37" t="str">
        <f>DATA!BA65</f>
        <v>Pembangunan lanjutan proyek irigasi dengan total seluas 193.858 Ha dan pembangunan irigasi baru seluas 10.000 Ha yang tersebar di berbagai wilayah di Indonesia</v>
      </c>
    </row>
    <row r="78" spans="1:39" s="7" customFormat="1" ht="88.5" customHeight="1">
      <c r="A78" s="6">
        <f>DATA!A67</f>
        <v>51</v>
      </c>
      <c r="B78" s="6">
        <f>DATA!B67</f>
        <v>0</v>
      </c>
      <c r="C78" s="6" t="str">
        <f>DATA!D67</f>
        <v>INFRASTRUKTUR</v>
      </c>
      <c r="D78" s="6">
        <f>DATA!E67</f>
        <v>1</v>
      </c>
      <c r="E78" s="6" t="str">
        <f>DATA!F67</f>
        <v>Kementerian Pekerjaan Umum dan Perumahan Rakyat</v>
      </c>
      <c r="F78" s="6" t="str">
        <f>DATA!H67</f>
        <v xml:space="preserve">Development and Management of Irrigation Program </v>
      </c>
      <c r="G78" s="6" t="str">
        <f>DATA!I67</f>
        <v>I</v>
      </c>
      <c r="H78" s="6" t="str">
        <f>DATA!J67</f>
        <v>Program Pengembangan dan Pengelolaan Irigasi</v>
      </c>
      <c r="I78" s="6">
        <f>DATA!K67</f>
        <v>1</v>
      </c>
      <c r="J78" s="44"/>
      <c r="K78" s="45"/>
      <c r="L78" s="45"/>
      <c r="M78" s="48"/>
      <c r="N78" s="68" t="str">
        <f>DATA!L67</f>
        <v>Integrated Participatory Development and Management of Irrigation Project - Phase I</v>
      </c>
      <c r="O78" s="42">
        <f>DATA!Q67</f>
        <v>0.5</v>
      </c>
      <c r="P78" s="42">
        <f>DATA!R67</f>
        <v>0</v>
      </c>
      <c r="Q78" s="42">
        <f>DATA!S67</f>
        <v>43</v>
      </c>
      <c r="R78" s="85">
        <f>DATA!T67</f>
        <v>0</v>
      </c>
      <c r="S78" s="85"/>
      <c r="T78" s="85">
        <f>DATA!V67</f>
        <v>0</v>
      </c>
      <c r="U78" s="83">
        <f>DATA!W67</f>
        <v>0</v>
      </c>
      <c r="V78" s="85">
        <f>DATA!X67</f>
        <v>0</v>
      </c>
      <c r="W78" s="86" t="str">
        <f>DATA!Y67</f>
        <v>ADB</v>
      </c>
      <c r="X78" s="42" t="str">
        <f>DATA!Z67</f>
        <v>Multilateral</v>
      </c>
      <c r="Y78" s="85">
        <f>DATA!AA67</f>
        <v>600000000</v>
      </c>
      <c r="Z78" s="85">
        <f>DATA!AG67</f>
        <v>0</v>
      </c>
      <c r="AA78" s="98">
        <f>DATA!AH67</f>
        <v>2016</v>
      </c>
      <c r="AB78" s="68" t="str">
        <f>DATA!AI67</f>
        <v>- Sudah ada RC
- Green Book 2015
- Dalam proses pembahasan skema pinjaman</v>
      </c>
      <c r="AC78" s="68" t="str">
        <f>DATA!AJ67</f>
        <v>FS, DED, AMDAL, LARAP</v>
      </c>
      <c r="AD78" s="68" t="str">
        <f>DATA!AK67</f>
        <v>-</v>
      </c>
      <c r="AE78" s="68" t="str">
        <f>DATA!AL67</f>
        <v>Belum ada tender/lelang</v>
      </c>
      <c r="AF78" s="42" t="str">
        <f>DATA!AM67</f>
        <v>2016; 2015</v>
      </c>
      <c r="AG78" s="42" t="str">
        <f>DATA!AN67</f>
        <v>siap</v>
      </c>
      <c r="AH78" s="42" t="str">
        <f>DATA!AO67</f>
        <v>belum ada keterangan</v>
      </c>
      <c r="AI78" s="42" t="str">
        <f>DATA!AP67</f>
        <v>belum ada proses tender/lelang</v>
      </c>
      <c r="AJ78" s="42" t="str">
        <f>DATA!AY67</f>
        <v>- Cofinancing ADB USD 600 juta dan IFAD USD 100 juta
- Konfirmasi melalui surat Sekjen nomor KU.01.12-Sj/636 tgl 23 Oktober 2015</v>
      </c>
      <c r="AK78" s="42" t="e">
        <f>DATA!#REF!</f>
        <v>#REF!</v>
      </c>
      <c r="AL78" s="42" t="str">
        <f>DATA!AZ67</f>
        <v>termasuk RBL</v>
      </c>
      <c r="AM78" s="67"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79" spans="1:39" s="7" customFormat="1" ht="86.25" hidden="1" customHeight="1">
      <c r="A79" s="6">
        <f>DATA!A68</f>
        <v>52</v>
      </c>
      <c r="B79" s="6">
        <f>DATA!B68</f>
        <v>0</v>
      </c>
      <c r="C79" s="6" t="str">
        <f>DATA!D68</f>
        <v>INFRASTRUKTUR</v>
      </c>
      <c r="D79" s="6">
        <f>DATA!E68</f>
        <v>1</v>
      </c>
      <c r="E79" s="6" t="str">
        <f>DATA!F68</f>
        <v>Kementerian Pekerjaan Umum dan Perumahan Rakyat</v>
      </c>
      <c r="F79" s="6" t="str">
        <f>DATA!H68</f>
        <v xml:space="preserve">Development and Management of Irrigation Program </v>
      </c>
      <c r="G79" s="6" t="str">
        <f>DATA!I68</f>
        <v>I</v>
      </c>
      <c r="H79" s="6" t="str">
        <f>DATA!J68</f>
        <v>Program Pengembangan dan Pengelolaan Irigasi</v>
      </c>
      <c r="I79" s="6">
        <f>DATA!K68</f>
        <v>1</v>
      </c>
      <c r="J79" s="44"/>
      <c r="K79" s="45"/>
      <c r="L79" s="45"/>
      <c r="M79" s="44"/>
      <c r="N79" s="68" t="str">
        <f>DATA!L68</f>
        <v>Integrated Participatory Development and Management of Irrigation Project - Phase I</v>
      </c>
      <c r="O79" s="42">
        <f>DATA!Q68</f>
        <v>0.5</v>
      </c>
      <c r="P79" s="42">
        <f>DATA!R68</f>
        <v>0</v>
      </c>
      <c r="Q79" s="42">
        <f>DATA!S68</f>
        <v>0</v>
      </c>
      <c r="R79" s="85">
        <f>DATA!T68</f>
        <v>0</v>
      </c>
      <c r="S79" s="85"/>
      <c r="T79" s="85">
        <f>DATA!V68</f>
        <v>0</v>
      </c>
      <c r="U79" s="83">
        <f>DATA!W68</f>
        <v>0</v>
      </c>
      <c r="V79" s="85">
        <f>DATA!X68</f>
        <v>0</v>
      </c>
      <c r="W79" s="86" t="str">
        <f>DATA!Y68</f>
        <v>IFAD</v>
      </c>
      <c r="X79" s="42" t="str">
        <f>DATA!Z68</f>
        <v>Multilateral</v>
      </c>
      <c r="Y79" s="85">
        <f>DATA!AA68</f>
        <v>100000000</v>
      </c>
      <c r="Z79" s="85">
        <f>DATA!AG68</f>
        <v>0</v>
      </c>
      <c r="AA79" s="98">
        <f>DATA!AH68</f>
        <v>2015</v>
      </c>
      <c r="AB79" s="68" t="str">
        <f>DATA!AI68</f>
        <v>- Sudah ada RC
- Green Book 2015
- Dalam proses pembahasan skema pinjaman</v>
      </c>
      <c r="AC79" s="68" t="str">
        <f>DATA!AJ68</f>
        <v>FS, DED, AMDAL, LARAP</v>
      </c>
      <c r="AD79" s="68" t="str">
        <f>DATA!AK68</f>
        <v>-</v>
      </c>
      <c r="AE79" s="68" t="str">
        <f>DATA!AL68</f>
        <v>Belum ada tender/lelang</v>
      </c>
      <c r="AF79" s="42" t="str">
        <f>DATA!AM68</f>
        <v>2016; 2015</v>
      </c>
      <c r="AG79" s="42" t="str">
        <f>DATA!AN68</f>
        <v>siap</v>
      </c>
      <c r="AH79" s="42" t="str">
        <f>DATA!AO68</f>
        <v>belum ada keterangan</v>
      </c>
      <c r="AI79" s="42" t="str">
        <f>DATA!AP68</f>
        <v>belum ada proses tender/lelang</v>
      </c>
      <c r="AJ79" s="42" t="str">
        <f>DATA!AY68</f>
        <v>- Cofinancing ADB USD 600 juta dan IFAD USD 100 juta
- Konfirmasi melalui surat Sekjen nomor KU.01.12-Sj/636 tgl 23 Oktober 2015</v>
      </c>
      <c r="AK79" s="42" t="e">
        <f>DATA!#REF!</f>
        <v>#REF!</v>
      </c>
      <c r="AL79" s="42">
        <f>DATA!AZ68</f>
        <v>0</v>
      </c>
      <c r="AM79" s="67"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0" spans="1:39" s="6" customFormat="1" ht="52.5" hidden="1" customHeight="1">
      <c r="A80" s="6">
        <f>DATA!A70</f>
        <v>53</v>
      </c>
      <c r="B80" s="6">
        <f>DATA!B70</f>
        <v>0</v>
      </c>
      <c r="C80" s="6" t="str">
        <f>DATA!D70</f>
        <v>INFRASTRUKTUR</v>
      </c>
      <c r="D80" s="6">
        <f>DATA!E70</f>
        <v>1</v>
      </c>
      <c r="E80" s="6" t="str">
        <f>DATA!F70</f>
        <v>Kementerian Pekerjaan Umum dan Perumahan Rakyat</v>
      </c>
      <c r="F80" s="6" t="str">
        <f>DATA!H70</f>
        <v xml:space="preserve">Development and Management of Irrigation Program </v>
      </c>
      <c r="G80" s="6" t="str">
        <f>DATA!I70</f>
        <v>I</v>
      </c>
      <c r="H80" s="6" t="str">
        <f>DATA!J70</f>
        <v>Program Pengembangan dan Pengelolaan Irigasi</v>
      </c>
      <c r="I80" s="6">
        <f>DATA!K70</f>
        <v>1</v>
      </c>
      <c r="J80" s="38"/>
      <c r="K80" s="39"/>
      <c r="L80" s="39"/>
      <c r="M80" s="43"/>
      <c r="N80" s="67" t="str">
        <f>DATA!L70</f>
        <v>Integrated Participatory Development and Management of Irrigation Project - Phase II</v>
      </c>
      <c r="O80" s="42">
        <f>DATA!Q70</f>
        <v>1</v>
      </c>
      <c r="P80" s="42">
        <f>DATA!R70</f>
        <v>0</v>
      </c>
      <c r="Q80" s="42">
        <f>DATA!S70</f>
        <v>44</v>
      </c>
      <c r="R80" s="83">
        <f>DATA!T70</f>
        <v>500000000</v>
      </c>
      <c r="S80" s="83"/>
      <c r="T80" s="83">
        <f>DATA!V70</f>
        <v>50000000</v>
      </c>
      <c r="U80" s="83">
        <f>DATA!W70</f>
        <v>0</v>
      </c>
      <c r="V80" s="83">
        <f>DATA!X70</f>
        <v>550000000</v>
      </c>
      <c r="W80" s="84" t="str">
        <f>DATA!Y70</f>
        <v>ADB</v>
      </c>
      <c r="X80" s="42" t="str">
        <f>DATA!Z70</f>
        <v>Multilateral</v>
      </c>
      <c r="Y80" s="83">
        <f>DATA!AA70</f>
        <v>500000000</v>
      </c>
      <c r="Z80" s="83">
        <f>DATA!AG70</f>
        <v>0</v>
      </c>
      <c r="AA80" s="42" t="str">
        <f>DATA!AH70</f>
        <v>Tanpa keterangan</v>
      </c>
      <c r="AB80" s="67" t="str">
        <f>DATA!AI70</f>
        <v>-</v>
      </c>
      <c r="AC80" s="67" t="str">
        <f>DATA!AJ70</f>
        <v>-</v>
      </c>
      <c r="AD80" s="67" t="str">
        <f>DATA!AK70</f>
        <v>-</v>
      </c>
      <c r="AE80" s="67" t="str">
        <f>DATA!AL70</f>
        <v>-</v>
      </c>
      <c r="AF80" s="42" t="str">
        <f>DATA!AR70</f>
        <v>- untuk yang Phase II: belum ada penyiapan
- belum ada dokumen R/C</v>
      </c>
      <c r="AG80" s="42" t="str">
        <f>DATA!AN70</f>
        <v>belum ada keterangan</v>
      </c>
      <c r="AH80" s="42" t="str">
        <f>DATA!AO70</f>
        <v>belum ada keterangan</v>
      </c>
      <c r="AI80" s="42" t="str">
        <f>DATA!AP70</f>
        <v>belum ada proses tender/lelang</v>
      </c>
      <c r="AJ80" s="42" t="str">
        <f>DATA!AY70</f>
        <v>Konfirmasi melalui surat Sekjen nomor KU.01.12-Sj/636 tgl 23 Oktober 2015</v>
      </c>
      <c r="AK80" s="42" t="e">
        <f>DATA!#REF!</f>
        <v>#REF!</v>
      </c>
      <c r="AL80" s="42">
        <f>DATA!AZ70</f>
        <v>0</v>
      </c>
      <c r="AM80" s="67" t="str">
        <f>DATA!BA70</f>
        <v xml:space="preserve">Pembangunan irigasi baru dengan luas lebih dari 10.000 Ha, perbaikan sistem irigasi seluas 172.880 Ha yang tersebar di seluruh Indonesia. </v>
      </c>
    </row>
    <row r="81" spans="1:39" s="8" customFormat="1" ht="45.75" hidden="1" customHeight="1">
      <c r="A81" s="10">
        <f>DATA!A72</f>
        <v>54</v>
      </c>
      <c r="B81" s="10">
        <f>DATA!B72</f>
        <v>0</v>
      </c>
      <c r="C81" s="10" t="str">
        <f>DATA!D72</f>
        <v>INFRASTRUKTUR</v>
      </c>
      <c r="D81" s="10">
        <f>DATA!E72</f>
        <v>1</v>
      </c>
      <c r="E81" s="10" t="str">
        <f>DATA!F72</f>
        <v>Kementerian Pekerjaan Umum dan Perumahan Rakyat</v>
      </c>
      <c r="F81" s="10" t="str">
        <f>DATA!H72</f>
        <v xml:space="preserve">Development and Management of Irrigation Program </v>
      </c>
      <c r="G81" s="10" t="str">
        <f>DATA!I72</f>
        <v>I</v>
      </c>
      <c r="H81" s="10" t="str">
        <f>DATA!J72</f>
        <v>Program Pengembangan dan Pengelolaan Irigasi</v>
      </c>
      <c r="I81" s="10">
        <f>DATA!K72</f>
        <v>2</v>
      </c>
      <c r="J81" s="57"/>
      <c r="K81" s="58"/>
      <c r="L81" s="58"/>
      <c r="M81" s="60">
        <f>DATA!K72</f>
        <v>2</v>
      </c>
      <c r="N81" s="61" t="str">
        <f>DATA!L72</f>
        <v>The Urgent Rehabilitation of Strategic Irrigation for Western Region of Indonesia</v>
      </c>
      <c r="O81" s="20">
        <f>DATA!Q72</f>
        <v>1</v>
      </c>
      <c r="P81" s="20">
        <f>DATA!R72</f>
        <v>1</v>
      </c>
      <c r="Q81" s="20">
        <f>DATA!S72</f>
        <v>45</v>
      </c>
      <c r="R81" s="89">
        <f>DATA!T72</f>
        <v>195778000</v>
      </c>
      <c r="S81" s="89"/>
      <c r="T81" s="89">
        <f>DATA!V72</f>
        <v>27149500</v>
      </c>
      <c r="U81" s="77">
        <f>DATA!W72</f>
        <v>0</v>
      </c>
      <c r="V81" s="89">
        <f>DATA!X72</f>
        <v>222927500</v>
      </c>
      <c r="W81" s="90" t="str">
        <f>DATA!Y72</f>
        <v>Korea</v>
      </c>
      <c r="X81" s="20" t="str">
        <f>DATA!Z72</f>
        <v>Bilateral</v>
      </c>
      <c r="Y81" s="89">
        <f>DATA!AA72</f>
        <v>195778000</v>
      </c>
      <c r="Z81" s="89">
        <f>DATA!AG72</f>
        <v>0</v>
      </c>
      <c r="AA81" s="103">
        <f>DATA!AH72</f>
        <v>2016</v>
      </c>
      <c r="AB81" s="61" t="str">
        <f>DATA!AI72</f>
        <v>- Sudah ada R/C
- Green Book 2015</v>
      </c>
      <c r="AC81" s="61" t="str">
        <f>DATA!AJ72</f>
        <v>FS, DED, AMDAL, LARAP</v>
      </c>
      <c r="AD81" s="61" t="str">
        <f>DATA!AK72</f>
        <v>Tidak dibutuhkan lahan</v>
      </c>
      <c r="AE81" s="61" t="str">
        <f>DATA!AL72</f>
        <v>Belum ada tender/lelang</v>
      </c>
      <c r="AF81" s="20" t="str">
        <f>DATA!AR72</f>
        <v>-</v>
      </c>
      <c r="AG81" s="20" t="str">
        <f>DATA!AN72</f>
        <v>belum ada keterangan</v>
      </c>
      <c r="AH81" s="20" t="str">
        <f>DATA!AO72</f>
        <v>belum ada keterangan</v>
      </c>
      <c r="AI81" s="20" t="str">
        <f>DATA!AP72</f>
        <v>belum ada proses tender/lelang</v>
      </c>
      <c r="AJ81" s="20" t="str">
        <f>DATA!AY72</f>
        <v>Konfirmasi melalui surat Sekjen nomor KU.01.12-Sj/636 tgl 23 Oktober 2015</v>
      </c>
      <c r="AK81" s="20" t="e">
        <f>DATA!#REF!</f>
        <v>#REF!</v>
      </c>
      <c r="AL81" s="20">
        <f>DATA!AZ72</f>
        <v>0</v>
      </c>
      <c r="AM81" s="37" t="str">
        <f>DATA!BA72</f>
        <v xml:space="preserve">Melakukan rehabilitasi fasilitas irigasi, meningkatkan sistem irigasi dan drainase dan peningkatan kapasitas O&amp;P seluas 38,523 Ha </v>
      </c>
    </row>
    <row r="82" spans="1:39" ht="111" hidden="1" customHeight="1">
      <c r="A82" s="10">
        <f>DATA!A73</f>
        <v>55</v>
      </c>
      <c r="B82" s="10">
        <f>DATA!B73</f>
        <v>0</v>
      </c>
      <c r="C82" s="10" t="str">
        <f>DATA!D73</f>
        <v>INFRASTRUKTUR</v>
      </c>
      <c r="D82" s="10">
        <f>DATA!E73</f>
        <v>1</v>
      </c>
      <c r="E82" s="10" t="str">
        <f>DATA!F73</f>
        <v>Kementerian Pekerjaan Umum dan Perumahan Rakyat</v>
      </c>
      <c r="F82" s="10" t="str">
        <f>DATA!H73</f>
        <v xml:space="preserve">Development and Management of Irrigation Program </v>
      </c>
      <c r="G82" s="10" t="str">
        <f>DATA!I73</f>
        <v>I</v>
      </c>
      <c r="H82" s="10" t="str">
        <f>DATA!J73</f>
        <v>Program Pengembangan dan Pengelolaan Irigasi</v>
      </c>
      <c r="I82" s="10">
        <f>DATA!K73</f>
        <v>3</v>
      </c>
      <c r="J82" s="33"/>
      <c r="K82" s="34"/>
      <c r="L82" s="34"/>
      <c r="M82" s="36">
        <f>DATA!K73</f>
        <v>3</v>
      </c>
      <c r="N82" s="37" t="str">
        <f>DATA!L73</f>
        <v>Rentang Modernization Strategic Irrigation (RIMP)</v>
      </c>
      <c r="O82" s="20">
        <f>DATA!Q73</f>
        <v>1</v>
      </c>
      <c r="P82" s="20">
        <f>DATA!R73</f>
        <v>1</v>
      </c>
      <c r="Q82" s="20">
        <f>DATA!S73</f>
        <v>46</v>
      </c>
      <c r="R82" s="77">
        <f>DATA!T73</f>
        <v>480000000</v>
      </c>
      <c r="S82" s="77"/>
      <c r="T82" s="77">
        <f>DATA!V73</f>
        <v>48000000</v>
      </c>
      <c r="U82" s="77">
        <f>DATA!W73</f>
        <v>0</v>
      </c>
      <c r="V82" s="77">
        <f>DATA!X73</f>
        <v>528000000</v>
      </c>
      <c r="W82" s="78" t="str">
        <f>DATA!Y73</f>
        <v>JICA</v>
      </c>
      <c r="X82" s="20" t="str">
        <f>DATA!Z73</f>
        <v>Bilateral</v>
      </c>
      <c r="Y82" s="77">
        <f>DATA!AA73</f>
        <v>480000000</v>
      </c>
      <c r="Z82" s="77">
        <f>DATA!AG73</f>
        <v>0</v>
      </c>
      <c r="AA82" s="20">
        <f>DATA!AH73</f>
        <v>2017</v>
      </c>
      <c r="AB82" s="37" t="str">
        <f>DATA!AI73</f>
        <v>Sudah ada R/C</v>
      </c>
      <c r="AC82" s="37" t="str">
        <f>DATA!AJ73</f>
        <v>FS, DED, AMDAL</v>
      </c>
      <c r="AD82" s="37" t="str">
        <f>DATA!AK73</f>
        <v>Tidak dibutuhkan lahan</v>
      </c>
      <c r="AE82" s="37" t="str">
        <f>DATA!AL73</f>
        <v>-</v>
      </c>
      <c r="AF82" s="20" t="str">
        <f>DATA!AR73</f>
        <v>-</v>
      </c>
      <c r="AG82" s="20" t="str">
        <f>DATA!AN73</f>
        <v>siap</v>
      </c>
      <c r="AH82" s="20" t="str">
        <f>DATA!AO73</f>
        <v>tidak butuh lahan</v>
      </c>
      <c r="AI82" s="20" t="str">
        <f>DATA!AP73</f>
        <v>belum ada proses tender/lelang</v>
      </c>
      <c r="AJ82" s="20" t="str">
        <f>DATA!AY73</f>
        <v>Konfirmasi melalui surat Sekjen nomor KU.01.12-Sj/636 tgl 23 Oktober 2015</v>
      </c>
      <c r="AK82" s="20" t="e">
        <f>DATA!#REF!</f>
        <v>#REF!</v>
      </c>
      <c r="AL82" s="20">
        <f>DATA!AZ73</f>
        <v>0</v>
      </c>
      <c r="AM82" s="37"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row>
    <row r="83" spans="1:39" ht="76.5" hidden="1">
      <c r="A83" s="10">
        <f>DATA!A74</f>
        <v>56</v>
      </c>
      <c r="B83" s="10">
        <f>DATA!B74</f>
        <v>0</v>
      </c>
      <c r="C83" s="10" t="str">
        <f>DATA!D74</f>
        <v>INFRASTRUKTUR</v>
      </c>
      <c r="D83" s="10">
        <f>DATA!E74</f>
        <v>1</v>
      </c>
      <c r="E83" s="10" t="str">
        <f>DATA!F74</f>
        <v>Kementerian Pekerjaan Umum dan Perumahan Rakyat</v>
      </c>
      <c r="F83" s="10" t="str">
        <f>DATA!H74</f>
        <v xml:space="preserve">Development and Management of Irrigation Program </v>
      </c>
      <c r="G83" s="10" t="str">
        <f>DATA!I74</f>
        <v>I</v>
      </c>
      <c r="H83" s="10" t="str">
        <f>DATA!J74</f>
        <v>Program Pengembangan dan Pengelolaan Irigasi</v>
      </c>
      <c r="I83" s="10">
        <f>DATA!K74</f>
        <v>4</v>
      </c>
      <c r="J83" s="33"/>
      <c r="K83" s="34"/>
      <c r="L83" s="34"/>
      <c r="M83" s="36">
        <f>DATA!K74</f>
        <v>4</v>
      </c>
      <c r="N83" s="37" t="str">
        <f>DATA!L74</f>
        <v>Komering Irrigation Project Stage III</v>
      </c>
      <c r="O83" s="20">
        <f>DATA!Q74</f>
        <v>1</v>
      </c>
      <c r="P83" s="20">
        <f>DATA!R74</f>
        <v>1</v>
      </c>
      <c r="Q83" s="20">
        <f>DATA!S74</f>
        <v>47</v>
      </c>
      <c r="R83" s="77">
        <f>DATA!T74</f>
        <v>120000000</v>
      </c>
      <c r="S83" s="77"/>
      <c r="T83" s="77">
        <f>DATA!V74</f>
        <v>12000000</v>
      </c>
      <c r="U83" s="77">
        <f>DATA!W74</f>
        <v>0</v>
      </c>
      <c r="V83" s="77">
        <f>DATA!X74</f>
        <v>132000000</v>
      </c>
      <c r="W83" s="78" t="str">
        <f>DATA!Y74</f>
        <v>JICA</v>
      </c>
      <c r="X83" s="20" t="str">
        <f>DATA!Z74</f>
        <v>Bilateral</v>
      </c>
      <c r="Y83" s="77">
        <f>DATA!AA74</f>
        <v>120000000</v>
      </c>
      <c r="Z83" s="77">
        <f>DATA!AG74</f>
        <v>0</v>
      </c>
      <c r="AA83" s="20">
        <f>DATA!AH74</f>
        <v>2017</v>
      </c>
      <c r="AB83" s="37" t="str">
        <f>DATA!AI74</f>
        <v xml:space="preserve">Sudah ada R/C
</v>
      </c>
      <c r="AC83" s="37" t="str">
        <f>DATA!AJ74</f>
        <v>FS, DED, AMDAL, LARAP</v>
      </c>
      <c r="AD83" s="37" t="str">
        <f>DATA!AK74</f>
        <v>-</v>
      </c>
      <c r="AE83" s="37" t="str">
        <f>DATA!AL74</f>
        <v>-</v>
      </c>
      <c r="AF83" s="20" t="str">
        <f>DATA!AR74</f>
        <v>Nilai pinjaman di:
- Rev. GB 16 USD 145.568 ribu
- GB 16 USD 120.000 ribu</v>
      </c>
      <c r="AG83" s="20" t="str">
        <f>DATA!AN74</f>
        <v>siap</v>
      </c>
      <c r="AH83" s="20" t="str">
        <f>DATA!AO74</f>
        <v>belum ada keterangan</v>
      </c>
      <c r="AI83" s="20" t="str">
        <f>DATA!AP74</f>
        <v>belum ada proses tender/lelang</v>
      </c>
      <c r="AJ83" s="20" t="str">
        <f>DATA!AY74</f>
        <v>Konfirmasi melalui surat Sekjen nomor KU.01.12-Sj/636 tgl 23 Oktober 2015</v>
      </c>
      <c r="AK83" s="20" t="e">
        <f>DATA!#REF!</f>
        <v>#REF!</v>
      </c>
      <c r="AL83" s="20">
        <f>DATA!AZ74</f>
        <v>0</v>
      </c>
      <c r="AM83" s="37"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row>
    <row r="84" spans="1:39" ht="57.75" hidden="1" customHeight="1">
      <c r="A84" s="10">
        <f>DATA!A75</f>
        <v>57</v>
      </c>
      <c r="B84" s="10">
        <f>DATA!B75</f>
        <v>0</v>
      </c>
      <c r="C84" s="10" t="str">
        <f>DATA!D75</f>
        <v>INFRASTRUKTUR</v>
      </c>
      <c r="D84" s="10">
        <f>DATA!E75</f>
        <v>1</v>
      </c>
      <c r="E84" s="10" t="str">
        <f>DATA!F75</f>
        <v>Kementerian Pekerjaan Umum dan Perumahan Rakyat</v>
      </c>
      <c r="F84" s="10" t="str">
        <f>DATA!H75</f>
        <v xml:space="preserve">Development and Management of Irrigation Program </v>
      </c>
      <c r="G84" s="10" t="str">
        <f>DATA!I75</f>
        <v>I</v>
      </c>
      <c r="H84" s="10" t="str">
        <f>DATA!J75</f>
        <v>Program Pengembangan dan Pengelolaan Irigasi</v>
      </c>
      <c r="I84" s="10">
        <f>DATA!K75</f>
        <v>5</v>
      </c>
      <c r="J84" s="33"/>
      <c r="K84" s="34"/>
      <c r="L84" s="34"/>
      <c r="M84" s="36">
        <f>DATA!K75</f>
        <v>5</v>
      </c>
      <c r="N84" s="37" t="str">
        <f>DATA!L75</f>
        <v>Irrigation Development in North Sumatera</v>
      </c>
      <c r="O84" s="20">
        <f>DATA!Q75</f>
        <v>1</v>
      </c>
      <c r="P84" s="20">
        <f>DATA!R75</f>
        <v>1</v>
      </c>
      <c r="Q84" s="20">
        <f>DATA!S75</f>
        <v>48</v>
      </c>
      <c r="R84" s="77">
        <f>DATA!T75</f>
        <v>350000000</v>
      </c>
      <c r="S84" s="77"/>
      <c r="T84" s="77">
        <f>DATA!V75</f>
        <v>35000000</v>
      </c>
      <c r="U84" s="77">
        <f>DATA!W75</f>
        <v>0</v>
      </c>
      <c r="V84" s="77">
        <f>DATA!X75</f>
        <v>385000000</v>
      </c>
      <c r="W84" s="78" t="str">
        <f>DATA!Y75</f>
        <v>ADB</v>
      </c>
      <c r="X84" s="20" t="str">
        <f>DATA!Z75</f>
        <v>Multilateral</v>
      </c>
      <c r="Y84" s="77">
        <f>DATA!AA75</f>
        <v>350000000</v>
      </c>
      <c r="Z84" s="77">
        <f>DATA!AG75</f>
        <v>0</v>
      </c>
      <c r="AA84" s="20" t="str">
        <f>DATA!AH75</f>
        <v>Tanpa keterangan</v>
      </c>
      <c r="AB84" s="37" t="str">
        <f>DATA!AI75</f>
        <v>-</v>
      </c>
      <c r="AC84" s="37" t="str">
        <f>DATA!AJ75</f>
        <v>FS, DED, LARAP</v>
      </c>
      <c r="AD84" s="37" t="str">
        <f>DATA!AK75</f>
        <v>-</v>
      </c>
      <c r="AE84" s="37" t="str">
        <f>DATA!AL75</f>
        <v>-</v>
      </c>
      <c r="AF84" s="20" t="str">
        <f>DATA!AR75</f>
        <v>belum ada dokumen R/C</v>
      </c>
      <c r="AG84" s="20" t="str">
        <f>DATA!AN75</f>
        <v>dalam proses
(memiliki FS dan DED)</v>
      </c>
      <c r="AH84" s="20" t="str">
        <f>DATA!AO75</f>
        <v>belum ada keterangan</v>
      </c>
      <c r="AI84" s="20" t="str">
        <f>DATA!AP75</f>
        <v>belum ada proses tender/lelang</v>
      </c>
      <c r="AJ84" s="20" t="str">
        <f>DATA!AY75</f>
        <v>- dengan skema RBL
- Konfirmasi melalui surat Sekjen nomor KU.01.12-Sj/636 tgl 23 Oktober 2015</v>
      </c>
      <c r="AK84" s="20" t="e">
        <f>DATA!#REF!</f>
        <v>#REF!</v>
      </c>
      <c r="AL84" s="20" t="str">
        <f>DATA!AZ75</f>
        <v>JICA&amp;IDB diindikasikan akan mendanai kegiatan ini namun belum ada keputusan</v>
      </c>
      <c r="AM84" s="37" t="str">
        <f>DATA!BA75</f>
        <v>Pembahasan lahan dan relokasi, pengadaan, pembangunan bangunan utama, pembangunan jaringan irigasi seluas ±100.000 Ha, pencetakan lahan sawah, dan penyusunan O&amp;P</v>
      </c>
    </row>
    <row r="85" spans="1:39" ht="51" hidden="1">
      <c r="A85" s="10">
        <f>DATA!A76</f>
        <v>58</v>
      </c>
      <c r="B85" s="10">
        <f>DATA!B76</f>
        <v>0</v>
      </c>
      <c r="C85" s="10" t="str">
        <f>DATA!D76</f>
        <v>INFRASTRUKTUR</v>
      </c>
      <c r="D85" s="10">
        <f>DATA!E76</f>
        <v>1</v>
      </c>
      <c r="E85" s="10" t="str">
        <f>DATA!F76</f>
        <v>Kementerian Pekerjaan Umum dan Perumahan Rakyat</v>
      </c>
      <c r="F85" s="10" t="str">
        <f>DATA!H76</f>
        <v xml:space="preserve">Development and Management of Irrigation Program </v>
      </c>
      <c r="G85" s="10" t="str">
        <f>DATA!I76</f>
        <v>I</v>
      </c>
      <c r="H85" s="10" t="str">
        <f>DATA!J76</f>
        <v>Program Pengembangan dan Pengelolaan Irigasi</v>
      </c>
      <c r="I85" s="10">
        <f>DATA!K76</f>
        <v>6</v>
      </c>
      <c r="J85" s="33"/>
      <c r="K85" s="34"/>
      <c r="L85" s="34"/>
      <c r="M85" s="36">
        <f>DATA!K76</f>
        <v>6</v>
      </c>
      <c r="N85" s="37" t="str">
        <f>DATA!L76</f>
        <v>Integrated Participatory Development and Management of Lhok Guci and Peureulak Irrigation Project</v>
      </c>
      <c r="O85" s="20">
        <f>DATA!Q76</f>
        <v>1</v>
      </c>
      <c r="P85" s="20">
        <f>DATA!R76</f>
        <v>1</v>
      </c>
      <c r="Q85" s="20">
        <f>DATA!S76</f>
        <v>49</v>
      </c>
      <c r="R85" s="77">
        <f>DATA!T76</f>
        <v>161298000</v>
      </c>
      <c r="S85" s="77"/>
      <c r="T85" s="77">
        <f>DATA!V76</f>
        <v>24195000</v>
      </c>
      <c r="U85" s="77">
        <f>DATA!W76</f>
        <v>0</v>
      </c>
      <c r="V85" s="77">
        <f>DATA!X76</f>
        <v>185493000</v>
      </c>
      <c r="W85" s="78" t="str">
        <f>DATA!Y76</f>
        <v>ADB</v>
      </c>
      <c r="X85" s="20" t="str">
        <f>DATA!Z76</f>
        <v>Multilateral</v>
      </c>
      <c r="Y85" s="77">
        <f>DATA!AA76</f>
        <v>161298000</v>
      </c>
      <c r="Z85" s="77">
        <f>DATA!AG76</f>
        <v>0</v>
      </c>
      <c r="AA85" s="20" t="str">
        <f>DATA!AH76</f>
        <v>Tanpa keterangan</v>
      </c>
      <c r="AB85" s="37" t="str">
        <f>DATA!AI76</f>
        <v>-</v>
      </c>
      <c r="AC85" s="37" t="str">
        <f>DATA!AJ76</f>
        <v>FS, DED, LARAP</v>
      </c>
      <c r="AD85" s="37" t="str">
        <f>DATA!AK76</f>
        <v>-</v>
      </c>
      <c r="AE85" s="37" t="str">
        <f>DATA!AL76</f>
        <v>-</v>
      </c>
      <c r="AF85" s="20" t="str">
        <f>DATA!AR76</f>
        <v>belum ada dokumen R/C</v>
      </c>
      <c r="AG85" s="20" t="str">
        <f>DATA!AN76</f>
        <v>dalam proses
(memiliki FS dan DED)</v>
      </c>
      <c r="AH85" s="20" t="str">
        <f>DATA!AO76</f>
        <v>belum ada keterangan</v>
      </c>
      <c r="AI85" s="20" t="str">
        <f>DATA!AP76</f>
        <v>belum ada proses tender/lelang</v>
      </c>
      <c r="AJ85" s="20" t="str">
        <f>DATA!AY76</f>
        <v>- dengan skema RBL
- Konfirmasi melalui surat Sekjen nomor KU.01.12-Sj/636 tgl 23 Oktober 2015</v>
      </c>
      <c r="AK85" s="20" t="e">
        <f>DATA!#REF!</f>
        <v>#REF!</v>
      </c>
      <c r="AL85" s="20" t="str">
        <f>DATA!AZ76</f>
        <v>JICA&amp;IDB diindikasikan akan mendanai kegiatan ini namun belum ada keputusan</v>
      </c>
      <c r="AM85" s="37" t="str">
        <f>DATA!BA76</f>
        <v>Mendukung pengembangan terpadu fasilitas irigasi 18.542 Ha (lhok guci)  dan 5.000 Ha (peureulak) dengan SID partisipatif, konstruksi, dan operasi pemeliharaan.</v>
      </c>
    </row>
    <row r="86" spans="1:39" ht="88.5" hidden="1" customHeight="1">
      <c r="A86" s="10">
        <f>DATA!A77</f>
        <v>59</v>
      </c>
      <c r="B86" s="10">
        <f>DATA!B77</f>
        <v>0</v>
      </c>
      <c r="C86" s="10" t="str">
        <f>DATA!D77</f>
        <v>INFRASTRUKTUR</v>
      </c>
      <c r="D86" s="10">
        <f>DATA!E77</f>
        <v>1</v>
      </c>
      <c r="E86" s="10" t="str">
        <f>DATA!F77</f>
        <v>Kementerian Pekerjaan Umum dan Perumahan Rakyat</v>
      </c>
      <c r="F86" s="10" t="str">
        <f>DATA!H77</f>
        <v xml:space="preserve">Development and Management of Irrigation Program </v>
      </c>
      <c r="G86" s="10" t="str">
        <f>DATA!I77</f>
        <v>I</v>
      </c>
      <c r="H86" s="10" t="str">
        <f>DATA!J77</f>
        <v>Program Pengembangan dan Pengelolaan Irigasi</v>
      </c>
      <c r="I86" s="10">
        <f>DATA!K77</f>
        <v>7</v>
      </c>
      <c r="J86" s="33"/>
      <c r="K86" s="34"/>
      <c r="L86" s="34"/>
      <c r="M86" s="36">
        <f>DATA!K77</f>
        <v>7</v>
      </c>
      <c r="N86" s="37" t="str">
        <f>DATA!L77</f>
        <v>Modernization Strategic Irrigation Project (MSIP)</v>
      </c>
      <c r="O86" s="20">
        <f>DATA!Q77</f>
        <v>1</v>
      </c>
      <c r="P86" s="20">
        <f>DATA!R77</f>
        <v>1</v>
      </c>
      <c r="Q86" s="20">
        <f>DATA!S77</f>
        <v>50</v>
      </c>
      <c r="R86" s="77">
        <f>DATA!T77</f>
        <v>278355000</v>
      </c>
      <c r="S86" s="77"/>
      <c r="T86" s="77">
        <f>DATA!V77</f>
        <v>28000000</v>
      </c>
      <c r="U86" s="77">
        <f>DATA!W77</f>
        <v>0</v>
      </c>
      <c r="V86" s="77">
        <f>DATA!X77</f>
        <v>306355000</v>
      </c>
      <c r="W86" s="78" t="str">
        <f>DATA!Y77</f>
        <v>JICA</v>
      </c>
      <c r="X86" s="20" t="str">
        <f>DATA!Z77</f>
        <v>Bilateral</v>
      </c>
      <c r="Y86" s="77">
        <f>DATA!AA77</f>
        <v>278355000</v>
      </c>
      <c r="Z86" s="77">
        <f>DATA!AG77</f>
        <v>0</v>
      </c>
      <c r="AA86" s="20">
        <f>DATA!AH77</f>
        <v>2017</v>
      </c>
      <c r="AB86" s="37" t="str">
        <f>DATA!AI77</f>
        <v>-</v>
      </c>
      <c r="AC86" s="37" t="str">
        <f>DATA!AJ77</f>
        <v>-</v>
      </c>
      <c r="AD86" s="37" t="str">
        <f>DATA!AK77</f>
        <v>-</v>
      </c>
      <c r="AE86" s="37" t="str">
        <f>DATA!AL77</f>
        <v>-</v>
      </c>
      <c r="AF86" s="20" t="str">
        <f>DATA!AR77</f>
        <v>belum ada dokumen R/C</v>
      </c>
      <c r="AG86" s="20" t="str">
        <f>DATA!AN77</f>
        <v>belum ada keterangan</v>
      </c>
      <c r="AH86" s="20" t="str">
        <f>DATA!AO77</f>
        <v>belum ada keterangan</v>
      </c>
      <c r="AI86" s="20" t="str">
        <f>DATA!AP77</f>
        <v>belum ada proses tender/lelang</v>
      </c>
      <c r="AJ86" s="20" t="str">
        <f>DATA!AY77</f>
        <v>Konfirmasi melalui surat Sekjen nomor KU.01.12-Sj/636 tgl 23 Oktober 2015</v>
      </c>
      <c r="AK86" s="20" t="e">
        <f>DATA!#REF!</f>
        <v>#REF!</v>
      </c>
      <c r="AL86" s="20">
        <f>DATA!AZ77</f>
        <v>0</v>
      </c>
      <c r="AM86" s="37"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row>
    <row r="87" spans="1:39" ht="102" hidden="1">
      <c r="A87" s="10">
        <f>DATA!A78</f>
        <v>60</v>
      </c>
      <c r="B87" s="10">
        <f>DATA!B78</f>
        <v>0</v>
      </c>
      <c r="C87" s="10" t="str">
        <f>DATA!D78</f>
        <v>INFRASTRUKTUR</v>
      </c>
      <c r="D87" s="10">
        <f>DATA!E78</f>
        <v>1</v>
      </c>
      <c r="E87" s="10" t="str">
        <f>DATA!F78</f>
        <v>Kementerian Pekerjaan Umum dan Perumahan Rakyat</v>
      </c>
      <c r="F87" s="10" t="str">
        <f>DATA!H78</f>
        <v xml:space="preserve">Development and Management of Irrigation Program </v>
      </c>
      <c r="G87" s="10" t="str">
        <f>DATA!I78</f>
        <v>I</v>
      </c>
      <c r="H87" s="10" t="str">
        <f>DATA!J78</f>
        <v>Program Pengembangan dan Pengelolaan Irigasi</v>
      </c>
      <c r="I87" s="10">
        <f>DATA!K78</f>
        <v>8</v>
      </c>
      <c r="J87" s="33"/>
      <c r="K87" s="34"/>
      <c r="L87" s="34"/>
      <c r="M87" s="36">
        <f>DATA!K78</f>
        <v>8</v>
      </c>
      <c r="N87" s="37" t="str">
        <f>DATA!L78</f>
        <v>Urgent Rehabilitation of  Irrigation Project in Indonesia (URIP)</v>
      </c>
      <c r="O87" s="20">
        <f>DATA!Q78</f>
        <v>1</v>
      </c>
      <c r="P87" s="20">
        <f>DATA!R78</f>
        <v>1</v>
      </c>
      <c r="Q87" s="20">
        <f>DATA!S78</f>
        <v>51</v>
      </c>
      <c r="R87" s="77">
        <f>DATA!T78</f>
        <v>272100000</v>
      </c>
      <c r="S87" s="77"/>
      <c r="T87" s="77">
        <f>DATA!V78</f>
        <v>40815000</v>
      </c>
      <c r="U87" s="77">
        <f>DATA!W78</f>
        <v>0</v>
      </c>
      <c r="V87" s="77">
        <f>DATA!X78</f>
        <v>312915000</v>
      </c>
      <c r="W87" s="78" t="str">
        <f>DATA!Y78</f>
        <v>Bank Dunia</v>
      </c>
      <c r="X87" s="20" t="str">
        <f>DATA!Z78</f>
        <v>Multilateral</v>
      </c>
      <c r="Y87" s="77">
        <f>DATA!AA78</f>
        <v>272100000</v>
      </c>
      <c r="Z87" s="77">
        <f>DATA!AG78</f>
        <v>0</v>
      </c>
      <c r="AA87" s="20" t="str">
        <f>DATA!AH78</f>
        <v>Tanpa keterangan</v>
      </c>
      <c r="AB87" s="37" t="str">
        <f>DATA!AI78</f>
        <v>-</v>
      </c>
      <c r="AC87" s="37" t="str">
        <f>DATA!AJ78</f>
        <v>-</v>
      </c>
      <c r="AD87" s="37" t="str">
        <f>DATA!AK78</f>
        <v>-</v>
      </c>
      <c r="AE87" s="37" t="str">
        <f>DATA!AL78</f>
        <v>-</v>
      </c>
      <c r="AF87" s="20" t="str">
        <f>DATA!AR78</f>
        <v>belum ada dokumen R/C</v>
      </c>
      <c r="AG87" s="20" t="str">
        <f>DATA!AN78</f>
        <v>belum ada keterangan</v>
      </c>
      <c r="AH87" s="20" t="str">
        <f>DATA!AO78</f>
        <v>belum ada keterangan</v>
      </c>
      <c r="AI87" s="20" t="str">
        <f>DATA!AP78</f>
        <v>belum ada proses tender/lelang</v>
      </c>
      <c r="AJ87" s="20" t="str">
        <f>DATA!AY78</f>
        <v>Konfirmasi melalui surat Sekjen nomor KU.01.12-Sj/636 tgl 23 Oktober 2015</v>
      </c>
      <c r="AK87" s="20" t="e">
        <f>DATA!#REF!</f>
        <v>#REF!</v>
      </c>
      <c r="AL87" s="20" t="str">
        <f>DATA!AZ78</f>
        <v xml:space="preserve">Belum ada pembicaraan dgn Bank Dunia </v>
      </c>
      <c r="AM87" s="37"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row>
    <row r="88" spans="1:39" ht="69" hidden="1" customHeight="1">
      <c r="A88" s="10">
        <f>DATA!A79</f>
        <v>61</v>
      </c>
      <c r="B88" s="10">
        <f>DATA!B79</f>
        <v>0</v>
      </c>
      <c r="C88" s="10" t="str">
        <f>DATA!D79</f>
        <v>INFRASTRUKTUR</v>
      </c>
      <c r="D88" s="10">
        <f>DATA!E79</f>
        <v>1</v>
      </c>
      <c r="E88" s="10" t="str">
        <f>DATA!F79</f>
        <v>Kementerian Pekerjaan Umum dan Perumahan Rakyat</v>
      </c>
      <c r="F88" s="10" t="str">
        <f>DATA!H79</f>
        <v xml:space="preserve">Development and Management of Irrigation Program </v>
      </c>
      <c r="G88" s="10" t="str">
        <f>DATA!I79</f>
        <v>I</v>
      </c>
      <c r="H88" s="10" t="str">
        <f>DATA!J79</f>
        <v>Program Pengembangan dan Pengelolaan Irigasi</v>
      </c>
      <c r="I88" s="10">
        <f>DATA!K79</f>
        <v>9</v>
      </c>
      <c r="J88" s="33"/>
      <c r="K88" s="34"/>
      <c r="L88" s="34"/>
      <c r="M88" s="36">
        <f>DATA!K79</f>
        <v>9</v>
      </c>
      <c r="N88" s="37" t="str">
        <f>DATA!L79</f>
        <v>Revitalization Groundwater Irrigation in Indonesia</v>
      </c>
      <c r="O88" s="20">
        <f>DATA!Q79</f>
        <v>1</v>
      </c>
      <c r="P88" s="20">
        <f>DATA!R79</f>
        <v>1</v>
      </c>
      <c r="Q88" s="20">
        <f>DATA!S79</f>
        <v>52</v>
      </c>
      <c r="R88" s="77">
        <f>DATA!T79</f>
        <v>100000000</v>
      </c>
      <c r="S88" s="77"/>
      <c r="T88" s="77">
        <f>DATA!V79</f>
        <v>10000000</v>
      </c>
      <c r="U88" s="77">
        <f>DATA!W79</f>
        <v>0</v>
      </c>
      <c r="V88" s="77">
        <f>DATA!X79</f>
        <v>110000000</v>
      </c>
      <c r="W88" s="78" t="str">
        <f>DATA!Y79</f>
        <v>JICA</v>
      </c>
      <c r="X88" s="20" t="str">
        <f>DATA!Z79</f>
        <v>Bilateral</v>
      </c>
      <c r="Y88" s="77">
        <f>DATA!AA79</f>
        <v>100000000</v>
      </c>
      <c r="Z88" s="77">
        <f>DATA!AG79</f>
        <v>0</v>
      </c>
      <c r="AA88" s="20">
        <f>DATA!AH79</f>
        <v>2017</v>
      </c>
      <c r="AB88" s="37" t="str">
        <f>DATA!AI79</f>
        <v>-</v>
      </c>
      <c r="AC88" s="37" t="str">
        <f>DATA!AJ79</f>
        <v>-</v>
      </c>
      <c r="AD88" s="37" t="str">
        <f>DATA!AK79</f>
        <v>-</v>
      </c>
      <c r="AE88" s="37" t="str">
        <f>DATA!AL79</f>
        <v>-</v>
      </c>
      <c r="AF88" s="20" t="str">
        <f>DATA!AR79</f>
        <v>belum ada dokumen R/C</v>
      </c>
      <c r="AG88" s="20" t="str">
        <f>DATA!AN79</f>
        <v>belum ada keterangan</v>
      </c>
      <c r="AH88" s="20" t="str">
        <f>DATA!AO79</f>
        <v>belum ada keterangan</v>
      </c>
      <c r="AI88" s="20" t="str">
        <f>DATA!AP79</f>
        <v>belum ada proses tender/lelang</v>
      </c>
      <c r="AJ88" s="20" t="str">
        <f>DATA!AY79</f>
        <v>Konfirmasi melalui surat Sekjen nomor KU.01.12-Sj/636 tgl 23 Oktober 2015</v>
      </c>
      <c r="AK88" s="20" t="e">
        <f>DATA!#REF!</f>
        <v>#REF!</v>
      </c>
      <c r="AL88" s="20">
        <f>DATA!AZ79</f>
        <v>0</v>
      </c>
      <c r="AM88" s="37" t="str">
        <f>DATA!BA79</f>
        <v>Kegiatan review desain dan kegiatan konstruksi  meliputi: rehabilitasi 772 sumur, perbaikan pipa distribusi air tanah 1.618 km, perbaikan bangunan rumah pompa, penggantian mesin pompa dan atau penggerak</v>
      </c>
    </row>
    <row r="89" spans="1:39" s="8" customFormat="1" ht="96" customHeight="1">
      <c r="A89" s="10">
        <f>DATA!A80</f>
        <v>62</v>
      </c>
      <c r="B89" s="10">
        <f>DATA!B80</f>
        <v>0</v>
      </c>
      <c r="C89" s="10" t="str">
        <f>DATA!D80</f>
        <v>INFRASTRUKTUR</v>
      </c>
      <c r="D89" s="10">
        <f>DATA!E80</f>
        <v>1</v>
      </c>
      <c r="E89" s="10" t="str">
        <f>DATA!F80</f>
        <v>Kementerian Pekerjaan Umum dan Perumahan Rakyat</v>
      </c>
      <c r="F89" s="10" t="str">
        <f>DATA!H80</f>
        <v xml:space="preserve">Development and Management of Irrigation Program </v>
      </c>
      <c r="G89" s="10" t="str">
        <f>DATA!I80</f>
        <v>I</v>
      </c>
      <c r="H89" s="10" t="str">
        <f>DATA!J80</f>
        <v>Program Pengembangan dan Pengelolaan Irigasi</v>
      </c>
      <c r="I89" s="10">
        <f>DATA!K80</f>
        <v>10</v>
      </c>
      <c r="J89" s="57"/>
      <c r="K89" s="58"/>
      <c r="L89" s="111"/>
      <c r="M89" s="60">
        <f>DATA!K80</f>
        <v>10</v>
      </c>
      <c r="N89" s="61" t="str">
        <f>DATA!L80</f>
        <v>Engineering Service for Irrigation and Low Land Development Project</v>
      </c>
      <c r="O89" s="20">
        <f>DATA!Q80</f>
        <v>1</v>
      </c>
      <c r="P89" s="20">
        <f>DATA!R80</f>
        <v>1</v>
      </c>
      <c r="Q89" s="20">
        <f>DATA!S80</f>
        <v>53</v>
      </c>
      <c r="R89" s="89">
        <f>DATA!T80</f>
        <v>100000000</v>
      </c>
      <c r="S89" s="89"/>
      <c r="T89" s="89">
        <f>DATA!V80</f>
        <v>0</v>
      </c>
      <c r="U89" s="77">
        <f>DATA!W80</f>
        <v>0</v>
      </c>
      <c r="V89" s="89">
        <f>DATA!X80</f>
        <v>100000000</v>
      </c>
      <c r="W89" s="90" t="str">
        <f>DATA!Y80</f>
        <v>ADB</v>
      </c>
      <c r="X89" s="20" t="str">
        <f>DATA!Z80</f>
        <v>Multilateral</v>
      </c>
      <c r="Y89" s="89">
        <f>DATA!AA80</f>
        <v>100000000</v>
      </c>
      <c r="Z89" s="89">
        <f>DATA!AG80</f>
        <v>0</v>
      </c>
      <c r="AA89" s="103">
        <f>DATA!AH80</f>
        <v>2016</v>
      </c>
      <c r="AB89" s="61" t="str">
        <f>DATA!AI80</f>
        <v>- Sudah ada RC- Green Book 2015</v>
      </c>
      <c r="AC89" s="61" t="str">
        <f>DATA!AJ80</f>
        <v>FS, DED</v>
      </c>
      <c r="AD89" s="61" t="str">
        <f>DATA!AK80</f>
        <v>Tidak membutuhkan lahan</v>
      </c>
      <c r="AE89" s="61" t="str">
        <f>DATA!AL80</f>
        <v>Belum ada tender/lelang</v>
      </c>
      <c r="AF89" s="20" t="str">
        <f>DATA!AR80</f>
        <v>- sudah GB 2016  
- Nilai pinjaman di GB 38.100 ribu</v>
      </c>
      <c r="AG89" s="20" t="str">
        <f>DATA!AN80</f>
        <v>siap</v>
      </c>
      <c r="AH89" s="20" t="str">
        <f>DATA!AO80</f>
        <v>tidak butuh lahan</v>
      </c>
      <c r="AI89" s="20" t="str">
        <f>DATA!AP80</f>
        <v>belum ada proses tender/lelang</v>
      </c>
      <c r="AJ89"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K89" s="20" t="e">
        <f>DATA!#REF!</f>
        <v>#REF!</v>
      </c>
      <c r="AL89" s="20">
        <f>DATA!AZ80</f>
        <v>0</v>
      </c>
      <c r="AM89" s="37"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row>
    <row r="90" spans="1:39" s="5" customFormat="1" ht="33.75" hidden="1" customHeight="1">
      <c r="J90" s="28"/>
      <c r="K90" s="50"/>
      <c r="L90" s="30" t="str">
        <f>DATA!I81</f>
        <v>J</v>
      </c>
      <c r="M90" s="31" t="str">
        <f>DATA!J81</f>
        <v xml:space="preserve">Program Penyediaan dan Pengelolaan Air Baku </v>
      </c>
      <c r="N90" s="51"/>
      <c r="O90" s="31"/>
      <c r="P90" s="31"/>
      <c r="Q90" s="31"/>
      <c r="R90" s="81">
        <f>SUM(R91:R93)</f>
        <v>623862000</v>
      </c>
      <c r="S90" s="81"/>
      <c r="T90" s="81">
        <f t="shared" ref="T90:Z90" si="4">SUM(T91:T93)</f>
        <v>201074000</v>
      </c>
      <c r="U90" s="81">
        <f t="shared" si="4"/>
        <v>0</v>
      </c>
      <c r="V90" s="81">
        <f t="shared" si="4"/>
        <v>824936000</v>
      </c>
      <c r="W90" s="81"/>
      <c r="X90" s="81">
        <f t="shared" si="4"/>
        <v>0</v>
      </c>
      <c r="Y90" s="81">
        <f t="shared" si="4"/>
        <v>623862000</v>
      </c>
      <c r="Z90" s="81">
        <f t="shared" si="4"/>
        <v>0</v>
      </c>
      <c r="AA90" s="31"/>
      <c r="AB90" s="32"/>
      <c r="AC90" s="32"/>
      <c r="AD90" s="32"/>
      <c r="AE90" s="32"/>
      <c r="AF90" s="31"/>
      <c r="AG90" s="31"/>
      <c r="AH90" s="31"/>
      <c r="AI90" s="31"/>
      <c r="AJ90" s="31"/>
      <c r="AK90" s="31"/>
      <c r="AL90" s="31"/>
      <c r="AM90" s="32"/>
    </row>
    <row r="91" spans="1:39" ht="58.5" hidden="1" customHeight="1">
      <c r="A91" s="10">
        <f>DATA!A81</f>
        <v>63</v>
      </c>
      <c r="B91" s="10">
        <f>DATA!B81</f>
        <v>0</v>
      </c>
      <c r="C91" s="10" t="str">
        <f>DATA!D81</f>
        <v>INFRASTRUKTUR</v>
      </c>
      <c r="D91" s="10">
        <f>DATA!E81</f>
        <v>1</v>
      </c>
      <c r="E91" s="10" t="str">
        <f>DATA!F81</f>
        <v>Kementerian Pekerjaan Umum dan Perumahan Rakyat</v>
      </c>
      <c r="F91" s="10" t="str">
        <f>DATA!H81</f>
        <v>Provision and Management of Bulk Water Supply Program</v>
      </c>
      <c r="G91" s="10" t="str">
        <f>DATA!I81</f>
        <v>J</v>
      </c>
      <c r="H91" s="10" t="str">
        <f>DATA!J81</f>
        <v xml:space="preserve">Program Penyediaan dan Pengelolaan Air Baku </v>
      </c>
      <c r="I91" s="10">
        <f>DATA!K81</f>
        <v>1</v>
      </c>
      <c r="J91" s="33"/>
      <c r="K91" s="34"/>
      <c r="L91" s="35"/>
      <c r="M91" s="36">
        <f>DATA!K81</f>
        <v>1</v>
      </c>
      <c r="N91" s="37" t="str">
        <f>DATA!L81</f>
        <v>Integrated Citarum Water Resources Management Investment Program II</v>
      </c>
      <c r="O91" s="20">
        <f>DATA!Q81</f>
        <v>1</v>
      </c>
      <c r="P91" s="20">
        <f>DATA!R81</f>
        <v>1</v>
      </c>
      <c r="Q91" s="20">
        <f>DATA!S81</f>
        <v>54</v>
      </c>
      <c r="R91" s="77">
        <f>DATA!T81</f>
        <v>200000000</v>
      </c>
      <c r="S91" s="77"/>
      <c r="T91" s="77">
        <f>DATA!V81</f>
        <v>20000000</v>
      </c>
      <c r="U91" s="77">
        <f>DATA!W81</f>
        <v>0</v>
      </c>
      <c r="V91" s="77">
        <f>DATA!X81</f>
        <v>220000000</v>
      </c>
      <c r="W91" s="78" t="str">
        <f>DATA!Y81</f>
        <v>ADB</v>
      </c>
      <c r="X91" s="20" t="str">
        <f>DATA!Z81</f>
        <v>Multilateral</v>
      </c>
      <c r="Y91" s="77">
        <f>DATA!AA81</f>
        <v>200000000</v>
      </c>
      <c r="Z91" s="77">
        <f>DATA!AG81</f>
        <v>0</v>
      </c>
      <c r="AA91" s="20" t="str">
        <f>DATA!AH81</f>
        <v>Tanpa keterangan</v>
      </c>
      <c r="AB91" s="37" t="str">
        <f>DATA!AI81</f>
        <v>-</v>
      </c>
      <c r="AC91" s="37" t="str">
        <f>DATA!AJ81</f>
        <v>FS, DED</v>
      </c>
      <c r="AD91" s="37" t="str">
        <f>DATA!AK81</f>
        <v>Penyusunan dokumen LARAP</v>
      </c>
      <c r="AE91" s="37" t="str">
        <f>DATA!AL81</f>
        <v>-</v>
      </c>
      <c r="AF91" s="20" t="str">
        <f>DATA!AR81</f>
        <v>belum ada dokumen R/C</v>
      </c>
      <c r="AG91" s="20" t="str">
        <f>DATA!AN81</f>
        <v>dalam proses
(memiliki FS dan DED)</v>
      </c>
      <c r="AH91" s="20" t="str">
        <f>DATA!AO81</f>
        <v>dalam proses
(perencanaan)</v>
      </c>
      <c r="AI91" s="20" t="str">
        <f>DATA!AP81</f>
        <v>belum ada proses tender/lelang</v>
      </c>
      <c r="AJ91" s="20" t="str">
        <f>DATA!AY81</f>
        <v>Konfirmasi melalui surat Sekjen nomor KU.01.12-Sj/636 tgl 23 Oktober 2015</v>
      </c>
      <c r="AK91" s="20" t="e">
        <f>DATA!#REF!</f>
        <v>#REF!</v>
      </c>
      <c r="AL91" s="20" t="str">
        <f>DATA!AZ81</f>
        <v>ada penolakan dari ADB untuk membiayai kegiatan ini (info P'Dewo)</v>
      </c>
      <c r="AM91" s="37" t="str">
        <f>DATA!BA81</f>
        <v>Pengembangan air baku di sungai citarum dan sekeliling bandung untuk memenuhi kebutuhan air baku lebih kurang 1,5 m3/det di Bandung serta menghindari erosi sungai Citarum</v>
      </c>
    </row>
    <row r="92" spans="1:39" ht="46.5" hidden="1" customHeight="1">
      <c r="A92" s="10">
        <f>DATA!A82</f>
        <v>64</v>
      </c>
      <c r="B92" s="10">
        <f>DATA!B82</f>
        <v>0</v>
      </c>
      <c r="C92" s="10" t="str">
        <f>DATA!D82</f>
        <v>INFRASTRUKTUR</v>
      </c>
      <c r="D92" s="10">
        <f>DATA!E82</f>
        <v>1</v>
      </c>
      <c r="E92" s="10" t="str">
        <f>DATA!F82</f>
        <v>Kementerian Pekerjaan Umum dan Perumahan Rakyat</v>
      </c>
      <c r="F92" s="10" t="str">
        <f>DATA!H82</f>
        <v>Provision and Management of Bulk Water Supply Program</v>
      </c>
      <c r="G92" s="10" t="str">
        <f>DATA!I82</f>
        <v>I</v>
      </c>
      <c r="H92" s="10" t="str">
        <f>DATA!J82</f>
        <v xml:space="preserve">Program Penyediaan dan Pengelolaan Air Baku </v>
      </c>
      <c r="I92" s="10">
        <f>DATA!K82</f>
        <v>2</v>
      </c>
      <c r="J92" s="33"/>
      <c r="K92" s="34"/>
      <c r="L92" s="34"/>
      <c r="M92" s="36">
        <f>DATA!K82</f>
        <v>2</v>
      </c>
      <c r="N92" s="37" t="str">
        <f>DATA!L82</f>
        <v>Karian Dam-Serpong Water Conveyance and Supply System Project</v>
      </c>
      <c r="O92" s="20">
        <f>DATA!Q82</f>
        <v>1</v>
      </c>
      <c r="P92" s="20">
        <f>DATA!R82</f>
        <v>1</v>
      </c>
      <c r="Q92" s="20">
        <f>DATA!S82</f>
        <v>55</v>
      </c>
      <c r="R92" s="77">
        <f>DATA!T82</f>
        <v>373862000</v>
      </c>
      <c r="S92" s="77"/>
      <c r="T92" s="77">
        <f>DATA!V82</f>
        <v>181074000</v>
      </c>
      <c r="U92" s="77">
        <f>DATA!W82</f>
        <v>0</v>
      </c>
      <c r="V92" s="77">
        <f>DATA!X82</f>
        <v>554936000</v>
      </c>
      <c r="W92" s="78" t="str">
        <f>DATA!Y82</f>
        <v>Korea</v>
      </c>
      <c r="X92" s="20" t="str">
        <f>DATA!Z82</f>
        <v>Bilateral</v>
      </c>
      <c r="Y92" s="77">
        <f>DATA!AA82</f>
        <v>373862000</v>
      </c>
      <c r="Z92" s="77">
        <f>DATA!AG82</f>
        <v>0</v>
      </c>
      <c r="AA92" s="20" t="str">
        <f>DATA!AH82</f>
        <v>Tanpa keterangan</v>
      </c>
      <c r="AB92" s="37" t="str">
        <f>DATA!AI82</f>
        <v>-</v>
      </c>
      <c r="AC92" s="37" t="str">
        <f>DATA!AJ82</f>
        <v>FS</v>
      </c>
      <c r="AD92" s="37" t="str">
        <f>DATA!AK82</f>
        <v>Persiapan penyusunan dokumen LARAP</v>
      </c>
      <c r="AE92" s="37" t="str">
        <f>DATA!AL82</f>
        <v>-</v>
      </c>
      <c r="AF92" s="20" t="str">
        <f>DATA!AR82</f>
        <v>belum ada dokumen R/C</v>
      </c>
      <c r="AG92" s="20" t="str">
        <f>DATA!AN82</f>
        <v>dalam proses
(memiliki FS)</v>
      </c>
      <c r="AH92" s="20" t="str">
        <f>DATA!AO82</f>
        <v>dalam proses
(perencanaan)</v>
      </c>
      <c r="AI92" s="20" t="str">
        <f>DATA!AP82</f>
        <v>belum ada proses tender/lelang</v>
      </c>
      <c r="AJ92" s="20" t="str">
        <f>DATA!AY82</f>
        <v>Konfirmasi melalui surat Sekjen nomor KU.01.12-Sj/636 tgl 23 Oktober 2015</v>
      </c>
      <c r="AK92" s="20" t="e">
        <f>DATA!#REF!</f>
        <v>#REF!</v>
      </c>
      <c r="AL92" s="20">
        <f>DATA!AZ82</f>
        <v>0</v>
      </c>
      <c r="AM92" s="37" t="str">
        <f>DATA!BA82</f>
        <v>Pembangunan sistem air baku sepanjang 47,9 km dari Bendungan Karian ke Serpong untuk meningkatkan pasokan air di Banten dan Jakarta</v>
      </c>
    </row>
    <row r="93" spans="1:39" s="8" customFormat="1" ht="57.75" customHeight="1">
      <c r="A93" s="10">
        <f>DATA!A83</f>
        <v>65</v>
      </c>
      <c r="B93" s="10">
        <f>DATA!B83</f>
        <v>0</v>
      </c>
      <c r="C93" s="10" t="str">
        <f>DATA!D83</f>
        <v>INFRASTRUKTUR</v>
      </c>
      <c r="D93" s="10">
        <f>DATA!E83</f>
        <v>1</v>
      </c>
      <c r="E93" s="10" t="str">
        <f>DATA!F83</f>
        <v>Kementerian Pekerjaan Umum dan Perumahan Rakyat</v>
      </c>
      <c r="F93" s="10" t="str">
        <f>DATA!H83</f>
        <v>Provision and Management of Bulk Water Supply Program</v>
      </c>
      <c r="G93" s="10" t="str">
        <f>DATA!I83</f>
        <v>I</v>
      </c>
      <c r="H93" s="10" t="str">
        <f>DATA!J83</f>
        <v xml:space="preserve">Program Penyediaan dan Pengelolaan Air Baku </v>
      </c>
      <c r="I93" s="10">
        <f>DATA!K83</f>
        <v>3</v>
      </c>
      <c r="J93" s="57"/>
      <c r="K93" s="58"/>
      <c r="L93" s="111"/>
      <c r="M93" s="60">
        <f>DATA!K83</f>
        <v>3</v>
      </c>
      <c r="N93" s="61" t="str">
        <f>DATA!L83</f>
        <v>Engineering Service for Bulk Water and Water Supply Development Project</v>
      </c>
      <c r="O93" s="20">
        <f>DATA!Q83</f>
        <v>1</v>
      </c>
      <c r="P93" s="20">
        <f>DATA!R83</f>
        <v>1</v>
      </c>
      <c r="Q93" s="20">
        <f>DATA!S83</f>
        <v>56</v>
      </c>
      <c r="R93" s="89">
        <f>DATA!T83</f>
        <v>50000000</v>
      </c>
      <c r="S93" s="89"/>
      <c r="T93" s="89">
        <f>DATA!V83</f>
        <v>0</v>
      </c>
      <c r="U93" s="77">
        <f>DATA!W83</f>
        <v>0</v>
      </c>
      <c r="V93" s="89">
        <f>DATA!X83</f>
        <v>50000000</v>
      </c>
      <c r="W93" s="90" t="str">
        <f>DATA!Y83</f>
        <v>ADB</v>
      </c>
      <c r="X93" s="20" t="str">
        <f>DATA!Z83</f>
        <v>Multilateral</v>
      </c>
      <c r="Y93" s="89">
        <f>DATA!AA83</f>
        <v>50000000</v>
      </c>
      <c r="Z93" s="89">
        <f>DATA!AG83</f>
        <v>0</v>
      </c>
      <c r="AA93" s="103">
        <f>DATA!AH83</f>
        <v>2016</v>
      </c>
      <c r="AB93" s="61" t="str">
        <f>DATA!AI83</f>
        <v>- Sudah ada RC
- Green Book 2015</v>
      </c>
      <c r="AC93" s="61" t="str">
        <f>DATA!AJ83</f>
        <v>FS, DED</v>
      </c>
      <c r="AD93" s="61" t="str">
        <f>DATA!AK83</f>
        <v>Tidak membutuhkan lahan</v>
      </c>
      <c r="AE93" s="61" t="str">
        <f>DATA!AL83</f>
        <v>Belum ada tender/lelang</v>
      </c>
      <c r="AF93" s="20" t="str">
        <f>DATA!AR83</f>
        <v>- sudah GB 2016  
- Nilai pinjaman di GB USD 2.000 ribu</v>
      </c>
      <c r="AG93" s="20" t="str">
        <f>DATA!AN83</f>
        <v>siap</v>
      </c>
      <c r="AH93" s="20" t="str">
        <f>DATA!AO83</f>
        <v>tidak butuh lahan</v>
      </c>
      <c r="AI93" s="20" t="str">
        <f>DATA!AP83</f>
        <v>belum ada proses tender/lelang</v>
      </c>
      <c r="AJ93"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K93" s="20" t="e">
        <f>DATA!#REF!</f>
        <v>#REF!</v>
      </c>
      <c r="AL93" s="20">
        <f>DATA!AZ83</f>
        <v>0</v>
      </c>
      <c r="AM93" s="37" t="str">
        <f>DATA!BA83</f>
        <v>Membuat perencanaan dan analisis untuk mendukung pembangunan sistem air baku dan menyediakan fasilitas pendukung pengembangan air baku masyarakat</v>
      </c>
    </row>
    <row r="94" spans="1:39" s="5" customFormat="1" ht="33.75" hidden="1" customHeight="1">
      <c r="J94" s="28"/>
      <c r="K94" s="50"/>
      <c r="L94" s="30" t="str">
        <f>DATA!I84</f>
        <v>J</v>
      </c>
      <c r="M94" s="31" t="str">
        <f>DATA!J84</f>
        <v xml:space="preserve">Program Pembangunan Waduk </v>
      </c>
      <c r="N94" s="51"/>
      <c r="O94" s="31"/>
      <c r="P94" s="31"/>
      <c r="Q94" s="31"/>
      <c r="R94" s="81">
        <f>SUM(R95:R108)</f>
        <v>2133750000</v>
      </c>
      <c r="S94" s="81"/>
      <c r="T94" s="81">
        <f t="shared" ref="T94:Y94" si="5">SUM(T95:T108)</f>
        <v>963200000</v>
      </c>
      <c r="U94" s="81">
        <f t="shared" si="5"/>
        <v>0</v>
      </c>
      <c r="V94" s="81">
        <f t="shared" si="5"/>
        <v>3096950000</v>
      </c>
      <c r="W94" s="81"/>
      <c r="X94" s="81">
        <f t="shared" si="5"/>
        <v>0</v>
      </c>
      <c r="Y94" s="81">
        <f t="shared" si="5"/>
        <v>2233750000</v>
      </c>
      <c r="Z94" s="81">
        <f>SUM(Z95:Z104)</f>
        <v>-76391404</v>
      </c>
      <c r="AA94" s="31"/>
      <c r="AB94" s="32"/>
      <c r="AC94" s="32"/>
      <c r="AD94" s="32"/>
      <c r="AE94" s="32"/>
      <c r="AF94" s="31"/>
      <c r="AG94" s="31"/>
      <c r="AH94" s="31"/>
      <c r="AI94" s="31"/>
      <c r="AJ94" s="31"/>
      <c r="AK94" s="31"/>
      <c r="AL94" s="31"/>
      <c r="AM94" s="32"/>
    </row>
    <row r="95" spans="1:39" ht="76.5" hidden="1">
      <c r="A95" s="10">
        <f>DATA!A84</f>
        <v>66</v>
      </c>
      <c r="B95" s="10">
        <f>DATA!B84</f>
        <v>0</v>
      </c>
      <c r="C95" s="10" t="str">
        <f>DATA!D84</f>
        <v>INFRASTRUKTUR</v>
      </c>
      <c r="D95" s="10">
        <f>DATA!E84</f>
        <v>1</v>
      </c>
      <c r="E95" s="10" t="str">
        <f>DATA!F84</f>
        <v>Kementerian Pekerjaan Umum dan Perumahan Rakyat</v>
      </c>
      <c r="F95" s="10" t="str">
        <f>DATA!H84</f>
        <v>Dam Development Program</v>
      </c>
      <c r="G95" s="10" t="str">
        <f>DATA!I84</f>
        <v>J</v>
      </c>
      <c r="H95" s="10" t="str">
        <f>DATA!J84</f>
        <v xml:space="preserve">Program Pembangunan Waduk </v>
      </c>
      <c r="I95" s="10">
        <f>DATA!K84</f>
        <v>1</v>
      </c>
      <c r="J95" s="33"/>
      <c r="K95" s="34"/>
      <c r="L95" s="35"/>
      <c r="M95" s="36">
        <f>DATA!K84</f>
        <v>1</v>
      </c>
      <c r="N95" s="37" t="str">
        <f>DATA!L84</f>
        <v>Jambo Aye Multipurpose Dam Project</v>
      </c>
      <c r="O95" s="20">
        <f>DATA!Q84</f>
        <v>1</v>
      </c>
      <c r="P95" s="20">
        <f>DATA!R84</f>
        <v>1</v>
      </c>
      <c r="Q95" s="20">
        <f>DATA!S84</f>
        <v>57</v>
      </c>
      <c r="R95" s="77">
        <f>DATA!T84</f>
        <v>662200000</v>
      </c>
      <c r="S95" s="77"/>
      <c r="T95" s="77">
        <f>DATA!V84</f>
        <v>460700000</v>
      </c>
      <c r="U95" s="77">
        <f>DATA!W84</f>
        <v>0</v>
      </c>
      <c r="V95" s="77">
        <f>DATA!X84</f>
        <v>1122900000</v>
      </c>
      <c r="W95" s="78" t="str">
        <f>DATA!Y84</f>
        <v>Rupiah Murni</v>
      </c>
      <c r="X95" s="20" t="str">
        <f>DATA!Z84</f>
        <v>Pendanaan Dengan Rupiah Murni</v>
      </c>
      <c r="Y95" s="77">
        <f>DATA!AA84</f>
        <v>662200000</v>
      </c>
      <c r="Z95" s="77">
        <f>DATA!AG84</f>
        <v>0</v>
      </c>
      <c r="AA95" s="20">
        <f>DATA!AH84</f>
        <v>2018</v>
      </c>
      <c r="AB95" s="37" t="str">
        <f>DATA!AI84</f>
        <v>-</v>
      </c>
      <c r="AC95" s="37" t="str">
        <f>DATA!AJ84</f>
        <v xml:space="preserve">AMDAL siap dan penyiapan Review DED </v>
      </c>
      <c r="AD95" s="37" t="str">
        <f>DATA!AK84</f>
        <v>LARAP</v>
      </c>
      <c r="AE95" s="37" t="str">
        <f>DATA!AL84</f>
        <v>-</v>
      </c>
      <c r="AF95" s="20" t="str">
        <f>DATA!AR84</f>
        <v>belum ada dokumen R/C</v>
      </c>
      <c r="AG95" s="20" t="str">
        <f>DATA!AN84</f>
        <v>belum ada keterangan</v>
      </c>
      <c r="AH95" s="20" t="str">
        <f>DATA!AO84</f>
        <v>dalam proses
(perencanaan)</v>
      </c>
      <c r="AI95" s="20" t="str">
        <f>DATA!AP84</f>
        <v>belum ada proses tender/lelang</v>
      </c>
      <c r="AJ95" s="20" t="str">
        <f>DATA!AY84</f>
        <v>- Konfirmasi melalui surat Sekjen nomor KU.01.12-Sj/636 tgl 23 Oktober 2015
- Kegiatan akan dilaksanakan oleh pendanaan rupiah murni APBN</v>
      </c>
      <c r="AK95" s="20" t="e">
        <f>DATA!#REF!</f>
        <v>#REF!</v>
      </c>
      <c r="AL95" s="20">
        <f>DATA!AZ84</f>
        <v>0</v>
      </c>
      <c r="AM95" s="37" t="str">
        <f>DATA!BA84</f>
        <v>Meningkatkan luas areal irigasi sebesar ± 10.000 Ha dengan perbaikan akses jalan, relokasi penduduk, pembebasan lahan, pekerajaan pengelakan sungai jambo aye dan reubek, pembangunan bendungan dan pendukung lainnya, pembangunan fasilitas PLTA 106 MW</v>
      </c>
    </row>
    <row r="96" spans="1:39" ht="84" hidden="1" customHeight="1">
      <c r="A96" s="10">
        <f>DATA!A85</f>
        <v>67</v>
      </c>
      <c r="B96" s="10">
        <f>DATA!B85</f>
        <v>0</v>
      </c>
      <c r="C96" s="10" t="str">
        <f>DATA!D85</f>
        <v>INFRASTRUKTUR</v>
      </c>
      <c r="D96" s="10">
        <f>DATA!E85</f>
        <v>1</v>
      </c>
      <c r="E96" s="10" t="str">
        <f>DATA!F85</f>
        <v>Kementerian Pekerjaan Umum dan Perumahan Rakyat</v>
      </c>
      <c r="F96" s="10" t="str">
        <f>DATA!H85</f>
        <v>Dam Development Program</v>
      </c>
      <c r="G96" s="10" t="str">
        <f>DATA!I85</f>
        <v>J</v>
      </c>
      <c r="H96" s="10" t="str">
        <f>DATA!J85</f>
        <v xml:space="preserve">Program Pembangunan Waduk </v>
      </c>
      <c r="I96" s="10">
        <f>DATA!K85</f>
        <v>2</v>
      </c>
      <c r="J96" s="33"/>
      <c r="K96" s="34"/>
      <c r="L96" s="34"/>
      <c r="M96" s="36">
        <f>DATA!K85</f>
        <v>2</v>
      </c>
      <c r="N96" s="37" t="str">
        <f>DATA!L85</f>
        <v>Komering Multipurpose Dam Project - Phase II</v>
      </c>
      <c r="O96" s="20">
        <f>DATA!Q85</f>
        <v>1</v>
      </c>
      <c r="P96" s="20">
        <f>DATA!R85</f>
        <v>1</v>
      </c>
      <c r="Q96" s="20">
        <f>DATA!S85</f>
        <v>58</v>
      </c>
      <c r="R96" s="77">
        <f>DATA!T85</f>
        <v>200000000</v>
      </c>
      <c r="S96" s="77"/>
      <c r="T96" s="77">
        <f>DATA!V85</f>
        <v>20000000</v>
      </c>
      <c r="U96" s="77">
        <f>DATA!W85</f>
        <v>0</v>
      </c>
      <c r="V96" s="77">
        <f>DATA!X85</f>
        <v>220000000</v>
      </c>
      <c r="W96" s="78" t="str">
        <f>DATA!Y85</f>
        <v>Rupiah Murni</v>
      </c>
      <c r="X96" s="20" t="str">
        <f>DATA!Z85</f>
        <v>Pendanaan Dengan Rupiah Murni</v>
      </c>
      <c r="Y96" s="77">
        <f>DATA!AA85</f>
        <v>200000000</v>
      </c>
      <c r="Z96" s="77">
        <f>DATA!AG85</f>
        <v>0</v>
      </c>
      <c r="AA96" s="20">
        <f>DATA!AH85</f>
        <v>2016</v>
      </c>
      <c r="AB96" s="37" t="str">
        <f>DATA!AI85</f>
        <v>-</v>
      </c>
      <c r="AC96" s="37" t="str">
        <f>DATA!AJ85</f>
        <v>FS, DED, AMDAL</v>
      </c>
      <c r="AD96" s="37" t="str">
        <f>DATA!AK85</f>
        <v>Revisi RTRW Kabupaten, LARAP</v>
      </c>
      <c r="AE96" s="37" t="str">
        <f>DATA!AL85</f>
        <v>-</v>
      </c>
      <c r="AF96" s="20" t="str">
        <f>DATA!AR85</f>
        <v>belum ada dokumen R/C</v>
      </c>
      <c r="AG96" s="20" t="str">
        <f>DATA!AN85</f>
        <v>dalam proses
(penyusunan FS)</v>
      </c>
      <c r="AH96" s="20" t="str">
        <f>DATA!AO85</f>
        <v>dalam proses
(perencanaan)</v>
      </c>
      <c r="AI96" s="20" t="str">
        <f>DATA!AP85</f>
        <v>belum ada proses tender/lelang</v>
      </c>
      <c r="AJ96" s="20" t="str">
        <f>DATA!AY85</f>
        <v>- Konfirmasi melalui surat Sekjen nomor KU.01.12-Sj/636 tgl 23 Oktober 2015
- Kegiatan akan dilaksanakan oleh pendanaan rupiah murni APBN</v>
      </c>
      <c r="AK96" s="20" t="e">
        <f>DATA!#REF!</f>
        <v>#REF!</v>
      </c>
      <c r="AL96" s="20">
        <f>DATA!AZ85</f>
        <v>0</v>
      </c>
      <c r="AM96" s="37" t="str">
        <f>DATA!BA85</f>
        <v>Pembangunan bendungan komering 110 juta cm3, pembangunan fasilitas tenaga hidrolik, komponen lunak untuk memperkuat O&amp;P, Hydropower 20,80 MW, pembangunan sistem irigasi utama dan tersier skema Lempuing untuk 8.500 Ha, dan perbaikan fasilitas irigasi yang ada</v>
      </c>
    </row>
    <row r="97" spans="1:39" ht="102" hidden="1">
      <c r="A97" s="10">
        <f>DATA!A86</f>
        <v>68</v>
      </c>
      <c r="B97" s="10">
        <f>DATA!B86</f>
        <v>0</v>
      </c>
      <c r="C97" s="10" t="str">
        <f>DATA!D86</f>
        <v>INFRASTRUKTUR</v>
      </c>
      <c r="D97" s="10">
        <f>DATA!E86</f>
        <v>1</v>
      </c>
      <c r="E97" s="10" t="str">
        <f>DATA!F86</f>
        <v>Kementerian Pekerjaan Umum dan Perumahan Rakyat</v>
      </c>
      <c r="F97" s="10" t="str">
        <f>DATA!H86</f>
        <v>Dam Development Program</v>
      </c>
      <c r="G97" s="10" t="str">
        <f>DATA!I86</f>
        <v>J</v>
      </c>
      <c r="H97" s="10" t="str">
        <f>DATA!J86</f>
        <v xml:space="preserve">Program Pembangunan Waduk </v>
      </c>
      <c r="I97" s="10">
        <f>DATA!K86</f>
        <v>3</v>
      </c>
      <c r="J97" s="33"/>
      <c r="K97" s="34"/>
      <c r="L97" s="34"/>
      <c r="M97" s="36">
        <f>DATA!K86</f>
        <v>3</v>
      </c>
      <c r="N97" s="37" t="str">
        <f>DATA!L86</f>
        <v>Pelosika Multipurpose Dam Construction Project</v>
      </c>
      <c r="O97" s="20">
        <f>DATA!Q86</f>
        <v>1</v>
      </c>
      <c r="P97" s="20">
        <f>DATA!R86</f>
        <v>1</v>
      </c>
      <c r="Q97" s="20">
        <f>DATA!S86</f>
        <v>59</v>
      </c>
      <c r="R97" s="77">
        <f>DATA!T86</f>
        <v>200000000</v>
      </c>
      <c r="S97" s="77"/>
      <c r="T97" s="77">
        <f>DATA!V86</f>
        <v>170000000</v>
      </c>
      <c r="U97" s="77">
        <f>DATA!W86</f>
        <v>0</v>
      </c>
      <c r="V97" s="77">
        <f>DATA!X86</f>
        <v>370000000</v>
      </c>
      <c r="W97" s="78" t="str">
        <f>DATA!Y86</f>
        <v>Rupiah Murni</v>
      </c>
      <c r="X97" s="20" t="str">
        <f>DATA!Z86</f>
        <v>Pendanaan Dengan Rupiah Murni</v>
      </c>
      <c r="Y97" s="77">
        <f>DATA!AA86</f>
        <v>200000000</v>
      </c>
      <c r="Z97" s="77">
        <f>DATA!AG86</f>
        <v>0</v>
      </c>
      <c r="AA97" s="20">
        <f>DATA!AH86</f>
        <v>2017</v>
      </c>
      <c r="AB97" s="37" t="str">
        <f>DATA!AI86</f>
        <v>-</v>
      </c>
      <c r="AC97" s="37" t="str">
        <f>DATA!AJ86</f>
        <v>AMDAL, geologi detail 2015 dan Penyiapan Review DED</v>
      </c>
      <c r="AD97" s="37" t="str">
        <f>DATA!AK86</f>
        <v>LARAP</v>
      </c>
      <c r="AE97" s="37" t="str">
        <f>DATA!AL86</f>
        <v>-</v>
      </c>
      <c r="AF97" s="20" t="str">
        <f>DATA!AR86</f>
        <v>belum ada dokumen R/C</v>
      </c>
      <c r="AG97" s="20" t="str">
        <f>DATA!AN86</f>
        <v>dalam proses
(penyusunan FS)</v>
      </c>
      <c r="AH97" s="20" t="str">
        <f>DATA!AO86</f>
        <v>dalam proses
(perencanaan)</v>
      </c>
      <c r="AI97" s="20" t="str">
        <f>DATA!AP86</f>
        <v>belum ada proses tender/lelang</v>
      </c>
      <c r="AJ97" s="20" t="str">
        <f>DATA!AY86</f>
        <v>- Konfirmasi melalui surat Sekjen nomor KU.01.12-Sj/636 tgl 23 Oktober 2015
- Kegiatan akan dilaksanakan oleh pendanaan rupiah murni APBN</v>
      </c>
      <c r="AK97" s="20" t="e">
        <f>DATA!#REF!</f>
        <v>#REF!</v>
      </c>
      <c r="AL97" s="20">
        <f>DATA!AZ86</f>
        <v>0</v>
      </c>
      <c r="AM97" s="37"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row>
    <row r="98" spans="1:39" ht="90.75" hidden="1" customHeight="1">
      <c r="A98" s="10">
        <f>DATA!A87</f>
        <v>69</v>
      </c>
      <c r="B98" s="10">
        <f>DATA!B87</f>
        <v>0</v>
      </c>
      <c r="C98" s="10" t="str">
        <f>DATA!D87</f>
        <v>INFRASTRUKTUR</v>
      </c>
      <c r="D98" s="10">
        <f>DATA!E87</f>
        <v>1</v>
      </c>
      <c r="E98" s="10" t="str">
        <f>DATA!F87</f>
        <v>Kementerian Pekerjaan Umum dan Perumahan Rakyat</v>
      </c>
      <c r="F98" s="10" t="str">
        <f>DATA!H87</f>
        <v>Dam Development Program</v>
      </c>
      <c r="G98" s="10" t="str">
        <f>DATA!I87</f>
        <v>J</v>
      </c>
      <c r="H98" s="10" t="str">
        <f>DATA!J87</f>
        <v xml:space="preserve">Program Pembangunan Waduk </v>
      </c>
      <c r="I98" s="10">
        <f>DATA!K87</f>
        <v>4</v>
      </c>
      <c r="J98" s="33"/>
      <c r="K98" s="34"/>
      <c r="L98" s="34"/>
      <c r="M98" s="36">
        <f>DATA!K87</f>
        <v>4</v>
      </c>
      <c r="N98" s="37" t="str">
        <f>DATA!L87</f>
        <v>Lambakan  Dam Project</v>
      </c>
      <c r="O98" s="20">
        <f>DATA!Q87</f>
        <v>1</v>
      </c>
      <c r="P98" s="20">
        <f>DATA!R87</f>
        <v>1</v>
      </c>
      <c r="Q98" s="20">
        <f>DATA!S87</f>
        <v>60</v>
      </c>
      <c r="R98" s="77">
        <f>DATA!T87</f>
        <v>258000000</v>
      </c>
      <c r="S98" s="77"/>
      <c r="T98" s="77">
        <f>DATA!V87</f>
        <v>227000000</v>
      </c>
      <c r="U98" s="77">
        <f>DATA!W87</f>
        <v>0</v>
      </c>
      <c r="V98" s="77">
        <f>DATA!X87</f>
        <v>485000000</v>
      </c>
      <c r="W98" s="78" t="str">
        <f>DATA!Y87</f>
        <v>IDB</v>
      </c>
      <c r="X98" s="20" t="str">
        <f>DATA!Z87</f>
        <v>Multilateral</v>
      </c>
      <c r="Y98" s="77">
        <f>DATA!AA87</f>
        <v>258000000</v>
      </c>
      <c r="Z98" s="77">
        <f>DATA!AG87</f>
        <v>0</v>
      </c>
      <c r="AA98" s="20" t="str">
        <f>DATA!AH87</f>
        <v>Tanpa keterangan</v>
      </c>
      <c r="AB98" s="37" t="str">
        <f>DATA!AI87</f>
        <v>-</v>
      </c>
      <c r="AC98" s="37" t="str">
        <f>DATA!AJ87</f>
        <v>AMDAL (2017), geologi detail 2015 dan Penyiapan Review DED</v>
      </c>
      <c r="AD98" s="37" t="str">
        <f>DATA!AK87</f>
        <v>LARAP (2016)</v>
      </c>
      <c r="AE98" s="37" t="str">
        <f>DATA!AL87</f>
        <v>-</v>
      </c>
      <c r="AF98" s="20" t="str">
        <f>DATA!AR87</f>
        <v>belum ada dokumen R/C</v>
      </c>
      <c r="AG98" s="20" t="str">
        <f>DATA!AN87</f>
        <v>dalam proses
(penyusunan FS)</v>
      </c>
      <c r="AH98" s="20" t="str">
        <f>DATA!AO87</f>
        <v>dalam proses
(perencanaan)</v>
      </c>
      <c r="AI98" s="20" t="str">
        <f>DATA!AP87</f>
        <v>belum ada proses tender/lelang</v>
      </c>
      <c r="AJ98" s="20" t="str">
        <f>DATA!AY87</f>
        <v>Konfirmasi melalui surat Sekjen nomor KU.01.12-Sj/636 tgl 23 Oktober 2015</v>
      </c>
      <c r="AK98" s="20" t="e">
        <f>DATA!#REF!</f>
        <v>#REF!</v>
      </c>
      <c r="AL98" s="20">
        <f>DATA!AZ87</f>
        <v>0</v>
      </c>
      <c r="AM98" s="37" t="str">
        <f>DATA!BA87</f>
        <v>Pembangunan PLTA sebesar 15 MW, pembangunan sistem irigasi untuk mengairi 18.000 Ha, menyediakan air baku 12 m3/det untuk Kabupaten pasir, Kabupaten  Penajam Pasir Utara dan Kota Balikpapan, 4. Pembangunan tanggul penahan banjir di DAS Telake sampai 30%</v>
      </c>
    </row>
    <row r="99" spans="1:39" ht="60.75" hidden="1" customHeight="1">
      <c r="A99" s="10">
        <f>DATA!A88</f>
        <v>70</v>
      </c>
      <c r="B99" s="10">
        <f>DATA!B88</f>
        <v>0</v>
      </c>
      <c r="C99" s="10" t="str">
        <f>DATA!D88</f>
        <v>INFRASTRUKTUR</v>
      </c>
      <c r="D99" s="10">
        <f>DATA!E88</f>
        <v>1</v>
      </c>
      <c r="E99" s="10" t="str">
        <f>DATA!F88</f>
        <v>Kementerian Pekerjaan Umum dan Perumahan Rakyat</v>
      </c>
      <c r="F99" s="10" t="str">
        <f>DATA!H88</f>
        <v>Dam Development Program</v>
      </c>
      <c r="G99" s="10" t="str">
        <f>DATA!I88</f>
        <v>J</v>
      </c>
      <c r="H99" s="10" t="str">
        <f>DATA!J88</f>
        <v xml:space="preserve">Program Pembangunan Waduk </v>
      </c>
      <c r="I99" s="10">
        <f>DATA!K88</f>
        <v>5</v>
      </c>
      <c r="J99" s="33"/>
      <c r="K99" s="34"/>
      <c r="L99" s="34"/>
      <c r="M99" s="36">
        <f>DATA!K88</f>
        <v>5</v>
      </c>
      <c r="N99" s="37" t="str">
        <f>DATA!L88</f>
        <v>Jenelata Dam Construction Project</v>
      </c>
      <c r="O99" s="20">
        <f>DATA!Q88</f>
        <v>1</v>
      </c>
      <c r="P99" s="20">
        <f>DATA!R88</f>
        <v>1</v>
      </c>
      <c r="Q99" s="20">
        <f>DATA!S88</f>
        <v>61</v>
      </c>
      <c r="R99" s="77">
        <f>DATA!T88</f>
        <v>200000000</v>
      </c>
      <c r="S99" s="77"/>
      <c r="T99" s="77">
        <f>DATA!V88</f>
        <v>20000000</v>
      </c>
      <c r="U99" s="77">
        <f>DATA!W88</f>
        <v>0</v>
      </c>
      <c r="V99" s="77">
        <f>DATA!X88</f>
        <v>220000000</v>
      </c>
      <c r="W99" s="78" t="str">
        <f>DATA!Y88</f>
        <v>RRT</v>
      </c>
      <c r="X99" s="20" t="str">
        <f>DATA!Z88</f>
        <v>Bilateral</v>
      </c>
      <c r="Y99" s="77">
        <f>DATA!AA88</f>
        <v>200000000</v>
      </c>
      <c r="Z99" s="77">
        <f>DATA!AG88</f>
        <v>0</v>
      </c>
      <c r="AA99" s="20">
        <f>DATA!AH88</f>
        <v>2018</v>
      </c>
      <c r="AB99" s="37" t="str">
        <f>DATA!AI88</f>
        <v>-</v>
      </c>
      <c r="AC99" s="37" t="str">
        <f>DATA!AJ88</f>
        <v>model test, penyelidikan geologi 2015, AMDAL (2015)</v>
      </c>
      <c r="AD99" s="37" t="str">
        <f>DATA!AK88</f>
        <v>LARAP (2016)</v>
      </c>
      <c r="AE99" s="37" t="str">
        <f>DATA!AL88</f>
        <v>-</v>
      </c>
      <c r="AF99" s="20" t="str">
        <f>DATA!AR88</f>
        <v>belum ada dokumen R/C</v>
      </c>
      <c r="AG99" s="20" t="str">
        <f>DATA!AN88</f>
        <v>siap</v>
      </c>
      <c r="AH99" s="20" t="str">
        <f>DATA!AO88</f>
        <v>dalam proses
(perencanaan)</v>
      </c>
      <c r="AI99" s="20" t="str">
        <f>DATA!AP88</f>
        <v>belum ada proses tender/lelang</v>
      </c>
      <c r="AJ99" s="20" t="str">
        <f>DATA!AY88</f>
        <v>Konfirmasi melalui surat Sekjen nomor KU.01.12-Sj/636 tgl 23 Oktober 2015</v>
      </c>
      <c r="AK99" s="20" t="e">
        <f>DATA!#REF!</f>
        <v>#REF!</v>
      </c>
      <c r="AL99" s="20">
        <f>DATA!AZ88</f>
        <v>0</v>
      </c>
      <c r="AM99" s="37" t="str">
        <f>DATA!BA88</f>
        <v>Membangun bendungan 223 juta m3, melakukan rehabilitasi jalan, membangun fasilitas PLTA ± 10,9 MW untuk kebutuhan energi listrik Kab.Gowa, perbaikan dan peningkatan jaringan irigasi 24.400 ha</v>
      </c>
    </row>
    <row r="100" spans="1:39" ht="48" hidden="1" customHeight="1">
      <c r="A100" s="10">
        <f>DATA!A89</f>
        <v>71</v>
      </c>
      <c r="B100" s="10">
        <f>DATA!B89</f>
        <v>0</v>
      </c>
      <c r="C100" s="10" t="str">
        <f>DATA!D89</f>
        <v>INFRASTRUKTUR</v>
      </c>
      <c r="D100" s="10">
        <f>DATA!E89</f>
        <v>1</v>
      </c>
      <c r="E100" s="10" t="str">
        <f>DATA!F89</f>
        <v>Kementerian Pekerjaan Umum dan Perumahan Rakyat</v>
      </c>
      <c r="F100" s="10" t="str">
        <f>DATA!H89</f>
        <v>Dam Development Program</v>
      </c>
      <c r="G100" s="10" t="str">
        <f>DATA!I89</f>
        <v>J</v>
      </c>
      <c r="H100" s="10" t="str">
        <f>DATA!J89</f>
        <v xml:space="preserve">Program Pembangunan Waduk </v>
      </c>
      <c r="I100" s="10">
        <f>DATA!K89</f>
        <v>6</v>
      </c>
      <c r="J100" s="33"/>
      <c r="K100" s="34"/>
      <c r="L100" s="34"/>
      <c r="M100" s="36">
        <f>DATA!K89</f>
        <v>6</v>
      </c>
      <c r="N100" s="37" t="str">
        <f>DATA!L89</f>
        <v>Bonehulu Dam Construction Project</v>
      </c>
      <c r="O100" s="20">
        <f>DATA!Q89</f>
        <v>1</v>
      </c>
      <c r="P100" s="20">
        <f>DATA!R89</f>
        <v>1</v>
      </c>
      <c r="Q100" s="20">
        <f>DATA!S89</f>
        <v>62</v>
      </c>
      <c r="R100" s="77">
        <f>DATA!T89</f>
        <v>128250000</v>
      </c>
      <c r="S100" s="77"/>
      <c r="T100" s="77">
        <f>DATA!V89</f>
        <v>21000000</v>
      </c>
      <c r="U100" s="77">
        <f>DATA!W89</f>
        <v>0</v>
      </c>
      <c r="V100" s="77">
        <f>DATA!X89</f>
        <v>149250000</v>
      </c>
      <c r="W100" s="78" t="str">
        <f>DATA!Y89</f>
        <v>RRT</v>
      </c>
      <c r="X100" s="20" t="str">
        <f>DATA!Z89</f>
        <v>Bilateral</v>
      </c>
      <c r="Y100" s="77">
        <f>DATA!AA89</f>
        <v>128250000</v>
      </c>
      <c r="Z100" s="77">
        <f>DATA!AG89</f>
        <v>0</v>
      </c>
      <c r="AA100" s="20">
        <f>DATA!AH89</f>
        <v>2019</v>
      </c>
      <c r="AB100" s="37" t="str">
        <f>DATA!AI89</f>
        <v>-</v>
      </c>
      <c r="AC100" s="37" t="str">
        <f>DATA!AJ89</f>
        <v>DD, model test, penyelidikan geologi 2015, AMDAL (2017)</v>
      </c>
      <c r="AD100" s="37" t="str">
        <f>DATA!AK89</f>
        <v>LARAP (2015)</v>
      </c>
      <c r="AE100" s="37" t="str">
        <f>DATA!AL89</f>
        <v>-</v>
      </c>
      <c r="AF100" s="20" t="str">
        <f>DATA!AR89</f>
        <v>belum ada dokumen R/C</v>
      </c>
      <c r="AG100" s="20" t="str">
        <f>DATA!AN89</f>
        <v>dalam proses
(penyusunan FS)</v>
      </c>
      <c r="AH100" s="20" t="str">
        <f>DATA!AO89</f>
        <v>dalam proses
(perencanaan)</v>
      </c>
      <c r="AI100" s="20" t="str">
        <f>DATA!AP89</f>
        <v>belum ada proses tender/lelang</v>
      </c>
      <c r="AJ100" s="20" t="str">
        <f>DATA!AY89</f>
        <v>Konfirmasi melalui surat Sekjen nomor KU.01.12-Sj/636 tgl 23 Oktober 2015</v>
      </c>
      <c r="AK100" s="20" t="e">
        <f>DATA!#REF!</f>
        <v>#REF!</v>
      </c>
      <c r="AL100" s="20">
        <f>DATA!AZ89</f>
        <v>0</v>
      </c>
      <c r="AM100" s="37" t="str">
        <f>DATA!BA89</f>
        <v>Pembangunan PLTA sebesar 9,99 MW, Pembangunan sistem irigasi mengairi 6.800 Ha</v>
      </c>
    </row>
    <row r="101" spans="1:39" ht="59.25" hidden="1" customHeight="1">
      <c r="A101" s="10">
        <f>DATA!A90</f>
        <v>72</v>
      </c>
      <c r="B101" s="10">
        <f>DATA!B90</f>
        <v>0</v>
      </c>
      <c r="C101" s="10" t="str">
        <f>DATA!D90</f>
        <v>INFRASTRUKTUR</v>
      </c>
      <c r="D101" s="10">
        <f>DATA!E90</f>
        <v>1</v>
      </c>
      <c r="E101" s="10" t="str">
        <f>DATA!F90</f>
        <v>Kementerian Pekerjaan Umum dan Perumahan Rakyat</v>
      </c>
      <c r="F101" s="10" t="str">
        <f>DATA!H90</f>
        <v>Dam Development Program</v>
      </c>
      <c r="G101" s="10" t="str">
        <f>DATA!I90</f>
        <v>J</v>
      </c>
      <c r="H101" s="10" t="str">
        <f>DATA!J90</f>
        <v xml:space="preserve">Program Pembangunan Waduk </v>
      </c>
      <c r="I101" s="10">
        <f>DATA!K90</f>
        <v>7</v>
      </c>
      <c r="J101" s="33"/>
      <c r="K101" s="34"/>
      <c r="L101" s="34"/>
      <c r="M101" s="36">
        <f>DATA!K90</f>
        <v>7</v>
      </c>
      <c r="N101" s="37" t="str">
        <f>DATA!L90</f>
        <v>Ladongi Dam Construction Project</v>
      </c>
      <c r="O101" s="20">
        <f>DATA!Q90</f>
        <v>1</v>
      </c>
      <c r="P101" s="20">
        <f>DATA!R90</f>
        <v>1</v>
      </c>
      <c r="Q101" s="20">
        <f>DATA!S90</f>
        <v>63</v>
      </c>
      <c r="R101" s="77">
        <f>DATA!T90</f>
        <v>70000000</v>
      </c>
      <c r="S101" s="77"/>
      <c r="T101" s="77">
        <f>DATA!V90</f>
        <v>7000000</v>
      </c>
      <c r="U101" s="77">
        <f>DATA!W90</f>
        <v>0</v>
      </c>
      <c r="V101" s="77">
        <f>DATA!X90</f>
        <v>77000000</v>
      </c>
      <c r="W101" s="78" t="str">
        <f>DATA!Y90</f>
        <v>RRT</v>
      </c>
      <c r="X101" s="20" t="str">
        <f>DATA!Z90</f>
        <v>Bilateral</v>
      </c>
      <c r="Y101" s="77">
        <f>DATA!AA90</f>
        <v>70000000</v>
      </c>
      <c r="Z101" s="77">
        <f>DATA!AG90</f>
        <v>0</v>
      </c>
      <c r="AA101" s="20">
        <f>DATA!AH90</f>
        <v>2017</v>
      </c>
      <c r="AB101" s="37" t="str">
        <f>DATA!AI90</f>
        <v>-</v>
      </c>
      <c r="AC101" s="37" t="str">
        <f>DATA!AJ90</f>
        <v>SID, AMDAL (2015), penyelidikan geologi, DD, model test 2015</v>
      </c>
      <c r="AD101" s="37" t="str">
        <f>DATA!AK90</f>
        <v>LARAP (2015)</v>
      </c>
      <c r="AE101" s="37" t="str">
        <f>DATA!AL90</f>
        <v>-</v>
      </c>
      <c r="AF101" s="20" t="str">
        <f>DATA!AR90</f>
        <v>belum ada dokumen R/C</v>
      </c>
      <c r="AG101" s="20" t="str">
        <f>DATA!AN90</f>
        <v>siap</v>
      </c>
      <c r="AH101" s="20" t="str">
        <f>DATA!AO90</f>
        <v>dalam proses
(perencanaan)</v>
      </c>
      <c r="AI101" s="20" t="str">
        <f>DATA!AP90</f>
        <v>belum ada proses tender/lelang</v>
      </c>
      <c r="AJ101" s="20" t="str">
        <f>DATA!AY90</f>
        <v>Konfirmasi melalui surat Sekjen nomor KU.01.12-Sj/636 tgl 23 Oktober 2015</v>
      </c>
      <c r="AK101" s="20" t="e">
        <f>DATA!#REF!</f>
        <v>#REF!</v>
      </c>
      <c r="AL101" s="20">
        <f>DATA!AZ90</f>
        <v>0</v>
      </c>
      <c r="AM101" s="37" t="str">
        <f>DATA!BA90</f>
        <v>Membangun bendungan 25,57 juta m3  dan fasilitas pendukungnya, Melakukan rehabilitasi jalan akses, Membangun PLTA 1,15 MW untuk  Kab.Kolaka Timur dan Perbaikan jaringan irigasi</v>
      </c>
    </row>
    <row r="102" spans="1:39" ht="80.25" hidden="1" customHeight="1">
      <c r="A102" s="10">
        <f>DATA!A91</f>
        <v>73</v>
      </c>
      <c r="B102" s="10">
        <f>DATA!B91</f>
        <v>0</v>
      </c>
      <c r="C102" s="10" t="str">
        <f>DATA!D91</f>
        <v>INFRASTRUKTUR</v>
      </c>
      <c r="D102" s="10">
        <f>DATA!E91</f>
        <v>1</v>
      </c>
      <c r="E102" s="10" t="str">
        <f>DATA!F91</f>
        <v>Kementerian Pekerjaan Umum dan Perumahan Rakyat</v>
      </c>
      <c r="F102" s="10" t="str">
        <f>DATA!H91</f>
        <v>Dam Development Program</v>
      </c>
      <c r="G102" s="10" t="str">
        <f>DATA!I91</f>
        <v>J</v>
      </c>
      <c r="H102" s="10" t="str">
        <f>DATA!J91</f>
        <v xml:space="preserve">Program Pembangunan Waduk </v>
      </c>
      <c r="I102" s="10">
        <f>DATA!K91</f>
        <v>8</v>
      </c>
      <c r="J102" s="33"/>
      <c r="K102" s="34"/>
      <c r="L102" s="34"/>
      <c r="M102" s="36">
        <f>DATA!K91</f>
        <v>8</v>
      </c>
      <c r="N102" s="37" t="str">
        <f>DATA!L91</f>
        <v>Kuwil Kawangkoan Dam Construction Project</v>
      </c>
      <c r="O102" s="20">
        <f>DATA!Q91</f>
        <v>1</v>
      </c>
      <c r="P102" s="20">
        <f>DATA!R91</f>
        <v>1</v>
      </c>
      <c r="Q102" s="20">
        <f>DATA!S91</f>
        <v>64</v>
      </c>
      <c r="R102" s="77">
        <f>DATA!T91</f>
        <v>110000000</v>
      </c>
      <c r="S102" s="77"/>
      <c r="T102" s="77">
        <f>DATA!V91</f>
        <v>11000000</v>
      </c>
      <c r="U102" s="77">
        <f>DATA!W91</f>
        <v>0</v>
      </c>
      <c r="V102" s="77">
        <f>DATA!X91</f>
        <v>121000000</v>
      </c>
      <c r="W102" s="78" t="str">
        <f>DATA!Y91</f>
        <v>Rupiah Murni</v>
      </c>
      <c r="X102" s="20" t="str">
        <f>DATA!Z91</f>
        <v>Pendanaan Dengan Rupiah Murni</v>
      </c>
      <c r="Y102" s="77">
        <f>DATA!AA91</f>
        <v>110000000</v>
      </c>
      <c r="Z102" s="77">
        <f>DATA!AG91</f>
        <v>0</v>
      </c>
      <c r="AA102" s="20">
        <f>DATA!AH91</f>
        <v>2016</v>
      </c>
      <c r="AB102" s="37" t="str">
        <f>DATA!AI91</f>
        <v>-</v>
      </c>
      <c r="AC102" s="37" t="str">
        <f>DATA!AJ91</f>
        <v>Sertifikasi desain, penyelidikan geologi, AMDAL</v>
      </c>
      <c r="AD102" s="37" t="str">
        <f>DATA!AK91</f>
        <v>LARAP</v>
      </c>
      <c r="AE102" s="37" t="str">
        <f>DATA!AL91</f>
        <v>Dalam proses tender</v>
      </c>
      <c r="AF102" s="20" t="str">
        <f>DATA!AR91</f>
        <v>belum ada dokumen R/C</v>
      </c>
      <c r="AG102" s="20" t="str">
        <f>DATA!AN91</f>
        <v>dalam proses
(penyusunan FS)</v>
      </c>
      <c r="AH102" s="20" t="str">
        <f>DATA!AO91</f>
        <v>dalam proses
(perencanaan)</v>
      </c>
      <c r="AI102" s="20" t="str">
        <f>DATA!AP91</f>
        <v>belum ada proses tender/lelang</v>
      </c>
      <c r="AJ102" s="20" t="str">
        <f>DATA!AY91</f>
        <v>- Konfirmasi melalui surat Sekjen nomor KU.01.12-Sj/636 tgl 23 Oktober 2015
- Kegiatan akan dilaksanakan oleh pendanaan rupiah murni APBN</v>
      </c>
      <c r="AK102" s="20" t="e">
        <f>DATA!#REF!</f>
        <v>#REF!</v>
      </c>
      <c r="AL102" s="20">
        <f>DATA!AZ91</f>
        <v>0</v>
      </c>
      <c r="AM102" s="37" t="str">
        <f>DATA!BA91</f>
        <v>Melakukan konservasi sumber daya air, pelestarian lingkungan, dan pengendalian banjir, Membangun bendungan dan fasilitas pendukungnya, Melakukan rehabilitasi jalan akses , Membangun fasilitas PLTA ± 1.3 MW untuk provinsi Sulawesi Utara</v>
      </c>
    </row>
    <row r="103" spans="1:39" ht="74.25" hidden="1" customHeight="1">
      <c r="A103" s="10">
        <f>DATA!A92</f>
        <v>74</v>
      </c>
      <c r="B103" s="10">
        <f>DATA!B92</f>
        <v>0</v>
      </c>
      <c r="C103" s="10" t="str">
        <f>DATA!D92</f>
        <v>INFRASTRUKTUR</v>
      </c>
      <c r="D103" s="10">
        <f>DATA!E92</f>
        <v>1</v>
      </c>
      <c r="E103" s="10" t="str">
        <f>DATA!F92</f>
        <v>Kementerian Pekerjaan Umum dan Perumahan Rakyat</v>
      </c>
      <c r="F103" s="10" t="str">
        <f>DATA!H92</f>
        <v>Dam Development Program</v>
      </c>
      <c r="G103" s="10" t="str">
        <f>DATA!I92</f>
        <v>J</v>
      </c>
      <c r="H103" s="10" t="str">
        <f>DATA!J92</f>
        <v xml:space="preserve">Program Pembangunan Waduk </v>
      </c>
      <c r="I103" s="10">
        <f>DATA!K92</f>
        <v>9</v>
      </c>
      <c r="J103" s="33"/>
      <c r="K103" s="34"/>
      <c r="L103" s="34"/>
      <c r="M103" s="36">
        <f>DATA!K92</f>
        <v>9</v>
      </c>
      <c r="N103" s="37" t="str">
        <f>DATA!L92</f>
        <v>Lompatan Harimau Dam Construction Project (Rokan Kiri Dam Construction Project)</v>
      </c>
      <c r="O103" s="20">
        <f>DATA!Q92</f>
        <v>1</v>
      </c>
      <c r="P103" s="20">
        <f>DATA!R92</f>
        <v>1</v>
      </c>
      <c r="Q103" s="20">
        <f>DATA!S92</f>
        <v>65</v>
      </c>
      <c r="R103" s="77">
        <f>DATA!T92</f>
        <v>152100000</v>
      </c>
      <c r="S103" s="77"/>
      <c r="T103" s="77">
        <f>DATA!V92</f>
        <v>26500000</v>
      </c>
      <c r="U103" s="77">
        <f>DATA!W92</f>
        <v>0</v>
      </c>
      <c r="V103" s="77">
        <f>DATA!X92</f>
        <v>178600000</v>
      </c>
      <c r="W103" s="78" t="str">
        <f>DATA!Y92</f>
        <v>RRT</v>
      </c>
      <c r="X103" s="20" t="str">
        <f>DATA!Z92</f>
        <v>Bilateral</v>
      </c>
      <c r="Y103" s="77">
        <f>DATA!AA92</f>
        <v>152100000</v>
      </c>
      <c r="Z103" s="77">
        <f>DATA!AG92</f>
        <v>0</v>
      </c>
      <c r="AA103" s="20">
        <f>DATA!AH92</f>
        <v>2018</v>
      </c>
      <c r="AB103" s="37" t="str">
        <f>DATA!AI92</f>
        <v>-</v>
      </c>
      <c r="AC103" s="37" t="str">
        <f>DATA!AJ92</f>
        <v>FS (2015), DED (2016), AMDAL (2016)</v>
      </c>
      <c r="AD103" s="37" t="str">
        <f>DATA!AK92</f>
        <v>LARAP (2015)</v>
      </c>
      <c r="AE103" s="37" t="str">
        <f>DATA!AL92</f>
        <v>-</v>
      </c>
      <c r="AF103" s="20" t="str">
        <f>DATA!AR92</f>
        <v>belum ada dokumen R/C</v>
      </c>
      <c r="AG103" s="20" t="str">
        <f>DATA!AN92</f>
        <v>dalam proses
(memiliki FS)</v>
      </c>
      <c r="AH103" s="20" t="str">
        <f>DATA!AO92</f>
        <v>dalam proses
(perencanaan)</v>
      </c>
      <c r="AI103" s="20" t="str">
        <f>DATA!AP92</f>
        <v>belum ada proses tender/lelang</v>
      </c>
      <c r="AJ103" s="20" t="str">
        <f>DATA!AY92</f>
        <v>- Konfirmasi melalui surat Sekjen nomor KU.01.12-Sj/636 tgl 23 Oktober 2015
- Nama kegiatan diusulkan untuk diubah menjadi Rokan Kiri Dam Construction Project</v>
      </c>
      <c r="AK103" s="20" t="e">
        <f>DATA!#REF!</f>
        <v>#REF!</v>
      </c>
      <c r="AL103" s="20">
        <f>DATA!AZ92</f>
        <v>0</v>
      </c>
      <c r="AM103" s="37" t="str">
        <f>DATA!BA92</f>
        <v>Membangun bendungan dan fasilitas pendukungnya untuk kebutuhan irigasi seluas 4000 Ha, Melakukan konservasi SDA, pelestarian lingkungan, dan pengendalian banjir dan Membangun fasilitas PLTA ± 74,40 MW untuk Kab.Rokan</v>
      </c>
    </row>
    <row r="104" spans="1:39" ht="106.5" hidden="1" customHeight="1">
      <c r="A104" s="10">
        <f>DATA!A93</f>
        <v>75</v>
      </c>
      <c r="B104" s="10">
        <f>DATA!B93</f>
        <v>0</v>
      </c>
      <c r="C104" s="10" t="str">
        <f>DATA!D93</f>
        <v>INFRASTRUKTUR</v>
      </c>
      <c r="D104" s="10">
        <f>DATA!E93</f>
        <v>1</v>
      </c>
      <c r="E104" s="10" t="str">
        <f>DATA!F93</f>
        <v>Kementerian Pekerjaan Umum dan Perumahan Rakyat</v>
      </c>
      <c r="F104" s="10" t="str">
        <f>DATA!H93</f>
        <v>Dam Development Program</v>
      </c>
      <c r="G104" s="10" t="str">
        <f>DATA!I93</f>
        <v>J</v>
      </c>
      <c r="H104" s="10" t="str">
        <f>DATA!J93</f>
        <v xml:space="preserve">Program Pembangunan Waduk </v>
      </c>
      <c r="I104" s="10">
        <f>DATA!K93</f>
        <v>10</v>
      </c>
      <c r="J104" s="33"/>
      <c r="K104" s="34"/>
      <c r="L104" s="34"/>
      <c r="M104" s="36">
        <f>DATA!K93</f>
        <v>10</v>
      </c>
      <c r="N104" s="37" t="str">
        <f>DATA!L93</f>
        <v>Engineering Service for Dam Multipurpose Development Project</v>
      </c>
      <c r="O104" s="20">
        <f>DATA!Q93</f>
        <v>0</v>
      </c>
      <c r="P104" s="20">
        <f>DATA!R93</f>
        <v>1</v>
      </c>
      <c r="Q104" s="20">
        <f>DATA!S93</f>
        <v>66</v>
      </c>
      <c r="R104" s="77">
        <f>DATA!T93</f>
        <v>100000000</v>
      </c>
      <c r="S104" s="77"/>
      <c r="T104" s="77">
        <f>DATA!V93</f>
        <v>0</v>
      </c>
      <c r="U104" s="77">
        <f>DATA!W93</f>
        <v>0</v>
      </c>
      <c r="V104" s="77">
        <f>DATA!X93</f>
        <v>100000000</v>
      </c>
      <c r="W104" s="77">
        <f>DATA!Y93</f>
        <v>0</v>
      </c>
      <c r="X104" s="77">
        <f>DATA!Z93</f>
        <v>0</v>
      </c>
      <c r="Y104" s="77">
        <f>DATA!AA93</f>
        <v>100000000</v>
      </c>
      <c r="Z104" s="77">
        <f>DATA!AG93</f>
        <v>-76391404</v>
      </c>
      <c r="AA104" s="77" t="str">
        <f>DATA!AH93</f>
        <v>-</v>
      </c>
      <c r="AB104" s="77">
        <f>DATA!AI93</f>
        <v>0</v>
      </c>
      <c r="AC104" s="77">
        <f>DATA!AJ93</f>
        <v>0</v>
      </c>
      <c r="AD104" s="77">
        <f>DATA!AK93</f>
        <v>0</v>
      </c>
      <c r="AE104" s="77">
        <f>DATA!AL93</f>
        <v>0</v>
      </c>
      <c r="AF104" s="77" t="str">
        <f>DATA!AM93</f>
        <v>-</v>
      </c>
      <c r="AG104" s="104" t="str">
        <f>DATA!AN93</f>
        <v>-</v>
      </c>
      <c r="AH104" s="104" t="str">
        <f>DATA!AO93</f>
        <v>-</v>
      </c>
      <c r="AI104" s="104">
        <f>DATA!AP93</f>
        <v>0</v>
      </c>
      <c r="AJ104" s="20" t="str">
        <f>DATA!AY93</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4" s="20" t="e">
        <f>DATA!#REF!</f>
        <v>#REF!</v>
      </c>
      <c r="AL104" s="20">
        <f>DATA!AZ93</f>
        <v>0</v>
      </c>
      <c r="AM104" s="37" t="str">
        <f>DATA!BA93</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5" spans="1:39" s="7" customFormat="1" ht="106.5" customHeight="1">
      <c r="A105" s="6"/>
      <c r="B105" s="6"/>
      <c r="C105" s="6"/>
      <c r="D105" s="6"/>
      <c r="E105" s="6"/>
      <c r="F105" s="6"/>
      <c r="G105" s="6"/>
      <c r="H105" s="6"/>
      <c r="I105" s="6"/>
      <c r="J105" s="44"/>
      <c r="K105" s="45"/>
      <c r="L105" s="45"/>
      <c r="M105" s="46"/>
      <c r="N105" s="68" t="str">
        <f>DATA!L94</f>
        <v>Engineering Service for Dam Multipurpose Development Project</v>
      </c>
      <c r="O105" s="42">
        <f>DATA!Q94</f>
        <v>0.33333333333333298</v>
      </c>
      <c r="P105" s="42">
        <f>DATA!R94</f>
        <v>0</v>
      </c>
      <c r="Q105" s="42">
        <f>DATA!S94</f>
        <v>66</v>
      </c>
      <c r="R105" s="85">
        <f>DATA!T94</f>
        <v>0</v>
      </c>
      <c r="S105" s="85"/>
      <c r="T105" s="85">
        <f>DATA!V94</f>
        <v>0</v>
      </c>
      <c r="U105" s="83">
        <f>DATA!W94</f>
        <v>0</v>
      </c>
      <c r="V105" s="85">
        <f>DATA!X94</f>
        <v>0</v>
      </c>
      <c r="W105" s="86" t="str">
        <f>DATA!Y94</f>
        <v>ADB</v>
      </c>
      <c r="X105" s="42" t="str">
        <f>DATA!Z94</f>
        <v>Multilateral</v>
      </c>
      <c r="Y105" s="85">
        <f>DATA!AA94</f>
        <v>1930000</v>
      </c>
      <c r="Z105" s="85">
        <f>DATA!AG94</f>
        <v>0</v>
      </c>
      <c r="AA105" s="98">
        <f>DATA!AH94</f>
        <v>2016</v>
      </c>
      <c r="AB105" s="68" t="str">
        <f>DATA!AI94</f>
        <v>- Sudah ada RC
- Green Book 2015</v>
      </c>
      <c r="AC105" s="68" t="str">
        <f>DATA!AJ94</f>
        <v>FS, DED</v>
      </c>
      <c r="AD105" s="68" t="str">
        <f>DATA!AK94</f>
        <v>Tidak membutuhkan lahan</v>
      </c>
      <c r="AE105" s="68" t="str">
        <f>DATA!AL94</f>
        <v>Belum ada tender/lelang</v>
      </c>
      <c r="AF105" s="42" t="str">
        <f>DATA!AM94</f>
        <v>2016; 2015</v>
      </c>
      <c r="AG105" s="42" t="str">
        <f>DATA!AN94</f>
        <v>siap</v>
      </c>
      <c r="AH105" s="42" t="str">
        <f>DATA!AO94</f>
        <v>tidak butuh lahan</v>
      </c>
      <c r="AI105" s="42" t="str">
        <f>DATA!AP94</f>
        <v>belum ada proses tender/lelang</v>
      </c>
      <c r="AJ105" s="42"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5" s="42" t="e">
        <f>DATA!#REF!</f>
        <v>#REF!</v>
      </c>
      <c r="AL105" s="42">
        <f>DATA!AZ94</f>
        <v>0</v>
      </c>
      <c r="AM105" s="67"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6" spans="1:39" s="6" customFormat="1" ht="106.5" hidden="1" customHeight="1">
      <c r="J106" s="38"/>
      <c r="K106" s="39"/>
      <c r="L106" s="39"/>
      <c r="M106" s="72"/>
      <c r="N106" s="67" t="str">
        <f>DATA!L95</f>
        <v>Engineering Service for Dam Multipurpose Development Project</v>
      </c>
      <c r="O106" s="42">
        <f>DATA!Q95</f>
        <v>0.33333333333333298</v>
      </c>
      <c r="P106" s="42">
        <f>DATA!R95</f>
        <v>0</v>
      </c>
      <c r="Q106" s="42">
        <f>DATA!S95</f>
        <v>66</v>
      </c>
      <c r="R106" s="83">
        <f>DATA!T95</f>
        <v>0</v>
      </c>
      <c r="S106" s="83"/>
      <c r="T106" s="83">
        <f>DATA!V95</f>
        <v>0</v>
      </c>
      <c r="U106" s="83">
        <f>DATA!W95</f>
        <v>0</v>
      </c>
      <c r="V106" s="83">
        <f>DATA!X95</f>
        <v>0</v>
      </c>
      <c r="W106" s="84" t="str">
        <f>DATA!Y95</f>
        <v>Korea</v>
      </c>
      <c r="X106" s="42" t="str">
        <f>DATA!Z95</f>
        <v>Bilateral</v>
      </c>
      <c r="Y106" s="83">
        <f>DATA!AA95</f>
        <v>21678596</v>
      </c>
      <c r="Z106" s="83">
        <f>DATA!AG95</f>
        <v>0</v>
      </c>
      <c r="AA106" s="42">
        <f>DATA!AH95</f>
        <v>2016</v>
      </c>
      <c r="AB106" s="67" t="str">
        <f>DATA!AI95</f>
        <v>- Sudah ada RC
- Diusulkan GB 2016</v>
      </c>
      <c r="AC106" s="67" t="str">
        <f>DATA!AJ95</f>
        <v>FS, DED</v>
      </c>
      <c r="AD106" s="67" t="str">
        <f>DATA!AK95</f>
        <v>Tidak membutuhkan lahan</v>
      </c>
      <c r="AE106" s="67" t="str">
        <f>DATA!AL95</f>
        <v>Belum ada tender/lelang</v>
      </c>
      <c r="AF106" s="42">
        <f>DATA!AM95</f>
        <v>2016</v>
      </c>
      <c r="AG106" s="42" t="str">
        <f>DATA!AN95</f>
        <v>siap</v>
      </c>
      <c r="AH106" s="42" t="str">
        <f>DATA!AO95</f>
        <v>tidak butuh lahan</v>
      </c>
      <c r="AI106" s="42" t="str">
        <f>DATA!AP95</f>
        <v>belum ada proses tender/lelang</v>
      </c>
      <c r="AJ106" s="42"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6" s="42" t="e">
        <f>DATA!#REF!</f>
        <v>#REF!</v>
      </c>
      <c r="AL106" s="42">
        <f>DATA!AZ95</f>
        <v>0</v>
      </c>
      <c r="AM106" s="67"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7" spans="1:39" s="6" customFormat="1" ht="106.5" hidden="1" customHeight="1">
      <c r="J107" s="38"/>
      <c r="K107" s="39"/>
      <c r="L107" s="39"/>
      <c r="M107" s="72"/>
      <c r="N107" s="67" t="str">
        <f>DATA!L96</f>
        <v>Engineering Service for Dam Multipurpose Development Project</v>
      </c>
      <c r="O107" s="42">
        <f>DATA!Q96</f>
        <v>0.33333333333333298</v>
      </c>
      <c r="P107" s="42">
        <f>DATA!R96</f>
        <v>0</v>
      </c>
      <c r="Q107" s="42">
        <f>DATA!S96</f>
        <v>66</v>
      </c>
      <c r="R107" s="83">
        <f>DATA!T96</f>
        <v>0</v>
      </c>
      <c r="S107" s="83"/>
      <c r="T107" s="83">
        <f>DATA!V96</f>
        <v>0</v>
      </c>
      <c r="U107" s="83">
        <f>DATA!W96</f>
        <v>0</v>
      </c>
      <c r="V107" s="83">
        <f>DATA!X96</f>
        <v>0</v>
      </c>
      <c r="W107" s="84" t="str">
        <f>DATA!Y96</f>
        <v>Belum Ada Indikasi</v>
      </c>
      <c r="X107" s="42" t="str">
        <f>DATA!Z96</f>
        <v>Belum Ada Indikasi</v>
      </c>
      <c r="Y107" s="83">
        <f>DATA!AA96</f>
        <v>76391404</v>
      </c>
      <c r="Z107" s="83">
        <f>DATA!AG96</f>
        <v>-76391404</v>
      </c>
      <c r="AA107" s="42" t="str">
        <f>DATA!AH96</f>
        <v>Tanpa keterangan</v>
      </c>
      <c r="AB107" s="67" t="str">
        <f>DATA!AI96</f>
        <v>-</v>
      </c>
      <c r="AC107" s="67" t="str">
        <f>DATA!AJ96</f>
        <v>-</v>
      </c>
      <c r="AD107" s="67" t="str">
        <f>DATA!AK96</f>
        <v>-</v>
      </c>
      <c r="AE107" s="67" t="str">
        <f>DATA!AL96</f>
        <v>-</v>
      </c>
      <c r="AF107" s="42"/>
      <c r="AG107" s="42"/>
      <c r="AH107" s="42"/>
      <c r="AI107" s="42"/>
      <c r="AJ107" s="42"/>
      <c r="AK107" s="42"/>
      <c r="AL107" s="42"/>
      <c r="AM107" s="67"/>
    </row>
    <row r="108" spans="1:39" s="8" customFormat="1" ht="63.75">
      <c r="A108" s="10">
        <f>DATA!A97</f>
        <v>76</v>
      </c>
      <c r="B108" s="10">
        <f>DATA!B97</f>
        <v>0</v>
      </c>
      <c r="C108" s="10" t="str">
        <f>DATA!D97</f>
        <v>INFRASTRUKTUR</v>
      </c>
      <c r="D108" s="10">
        <f>DATA!E97</f>
        <v>1</v>
      </c>
      <c r="E108" s="10" t="str">
        <f>DATA!F97</f>
        <v>Kementerian Pekerjaan Umum dan Perumahan Rakyat</v>
      </c>
      <c r="F108" s="10" t="str">
        <f>DATA!H97</f>
        <v>Dam Development Program</v>
      </c>
      <c r="G108" s="10" t="str">
        <f>DATA!I97</f>
        <v>J</v>
      </c>
      <c r="H108" s="10" t="str">
        <f>DATA!J97</f>
        <v xml:space="preserve">Program Pembangunan Waduk </v>
      </c>
      <c r="I108" s="10">
        <f>DATA!K97</f>
        <v>11</v>
      </c>
      <c r="J108" s="57"/>
      <c r="K108" s="58"/>
      <c r="L108" s="111"/>
      <c r="M108" s="60">
        <f>DATA!K97</f>
        <v>11</v>
      </c>
      <c r="N108" s="61" t="str">
        <f>DATA!L97</f>
        <v>Additional Loan for Jatigede Dam Project 2</v>
      </c>
      <c r="O108" s="20">
        <f>DATA!Q97</f>
        <v>1</v>
      </c>
      <c r="P108" s="20">
        <f>DATA!R97</f>
        <v>1</v>
      </c>
      <c r="Q108" s="20">
        <f>DATA!S97</f>
        <v>67</v>
      </c>
      <c r="R108" s="89">
        <f>DATA!T97</f>
        <v>53200000</v>
      </c>
      <c r="S108" s="89"/>
      <c r="T108" s="89">
        <f>DATA!V97</f>
        <v>0</v>
      </c>
      <c r="U108" s="77">
        <f>DATA!W97</f>
        <v>0</v>
      </c>
      <c r="V108" s="89">
        <f>DATA!X97</f>
        <v>53200000</v>
      </c>
      <c r="W108" s="90" t="str">
        <f>DATA!Y97</f>
        <v>RRT</v>
      </c>
      <c r="X108" s="20" t="str">
        <f>DATA!Z97</f>
        <v>Bilateral</v>
      </c>
      <c r="Y108" s="89">
        <f>DATA!AA97</f>
        <v>53200000</v>
      </c>
      <c r="Z108" s="89">
        <f>DATA!AG97</f>
        <v>0</v>
      </c>
      <c r="AA108" s="103">
        <f>DATA!AH97</f>
        <v>2016</v>
      </c>
      <c r="AB108" s="61" t="str">
        <f>DATA!AI97</f>
        <v>- Sudah ada RC
- Green Book 2015</v>
      </c>
      <c r="AC108" s="61" t="str">
        <f>DATA!AJ97</f>
        <v>FS, DED, persiapan impounding 2015</v>
      </c>
      <c r="AD108" s="61" t="str">
        <f>DATA!AK97</f>
        <v>- Proses perijinan penggunaan lahan dari Bupati dan Kemenhut
- Proses administrasi kependudukan</v>
      </c>
      <c r="AE108" s="61" t="str">
        <f>DATA!AL97</f>
        <v>Belum ada tender/lelang</v>
      </c>
      <c r="AF108" s="20" t="str">
        <f>DATA!AR97</f>
        <v>-</v>
      </c>
      <c r="AG108" s="20" t="str">
        <f>DATA!AN97</f>
        <v>dalam proses
(memiliki FS dan DED)</v>
      </c>
      <c r="AH108" s="20" t="str">
        <f>DATA!AO97</f>
        <v>dalam proses
(persiapan)</v>
      </c>
      <c r="AI108" s="20" t="str">
        <f>DATA!AP97</f>
        <v>belum ada proses tender/lelang</v>
      </c>
      <c r="AJ108" s="20" t="str">
        <f>DATA!AY97</f>
        <v>Konfirmasi melalui surat Sekjen nomor KU.01.12-Sj/636 tgl 23 Oktober 2015</v>
      </c>
      <c r="AK108" s="20" t="e">
        <f>DATA!#REF!</f>
        <v>#REF!</v>
      </c>
      <c r="AL108" s="20">
        <f>DATA!AZ97</f>
        <v>0</v>
      </c>
      <c r="AM108" s="37" t="str">
        <f>DATA!BA97</f>
        <v>Menyediakan air untuk keperluan irigasi sebesar 59,63 m3/dt dan membangun infrastruktur untuk PLTA 110 MW.</v>
      </c>
    </row>
    <row r="109" spans="1:39" s="5" customFormat="1" ht="33.75" hidden="1" customHeight="1">
      <c r="J109" s="28"/>
      <c r="K109" s="50"/>
      <c r="L109" s="30" t="str">
        <f>DATA!I98</f>
        <v>K</v>
      </c>
      <c r="M109" s="31" t="str">
        <f>DATA!J98</f>
        <v>Program Mitigasi Terhadap Daya Rusak Air</v>
      </c>
      <c r="N109" s="51"/>
      <c r="O109" s="31"/>
      <c r="P109" s="31"/>
      <c r="Q109" s="31"/>
      <c r="R109" s="81">
        <f>+R110+R111+R112+R113+R114+R115+R116</f>
        <v>1152636000</v>
      </c>
      <c r="S109" s="81"/>
      <c r="T109" s="81">
        <f t="shared" ref="T109:Z109" si="6">+T110+T111+T112+T113+T114+T115+T116</f>
        <v>149840000</v>
      </c>
      <c r="U109" s="81">
        <f t="shared" si="6"/>
        <v>0</v>
      </c>
      <c r="V109" s="81">
        <f t="shared" si="6"/>
        <v>1302476000</v>
      </c>
      <c r="W109" s="81"/>
      <c r="X109" s="81" t="e">
        <f t="shared" si="6"/>
        <v>#VALUE!</v>
      </c>
      <c r="Y109" s="81">
        <f t="shared" si="6"/>
        <v>1112256000</v>
      </c>
      <c r="Z109" s="81">
        <f t="shared" si="6"/>
        <v>0</v>
      </c>
      <c r="AA109" s="31"/>
      <c r="AB109" s="32"/>
      <c r="AC109" s="32"/>
      <c r="AD109" s="32"/>
      <c r="AE109" s="32"/>
      <c r="AF109" s="31"/>
      <c r="AG109" s="31"/>
      <c r="AH109" s="31"/>
      <c r="AI109" s="31"/>
      <c r="AJ109" s="31"/>
      <c r="AK109" s="31"/>
      <c r="AL109" s="31"/>
      <c r="AM109" s="32"/>
    </row>
    <row r="110" spans="1:39" ht="51" hidden="1" customHeight="1">
      <c r="A110" s="10">
        <f>DATA!A98</f>
        <v>77</v>
      </c>
      <c r="B110" s="10">
        <f>DATA!B98</f>
        <v>0</v>
      </c>
      <c r="C110" s="10" t="str">
        <f>DATA!D98</f>
        <v>INFRASTRUKTUR</v>
      </c>
      <c r="D110" s="10">
        <f>DATA!E98</f>
        <v>1</v>
      </c>
      <c r="E110" s="10" t="str">
        <f>DATA!F98</f>
        <v>Kementerian Pekerjaan Umum dan Perumahan Rakyat</v>
      </c>
      <c r="F110" s="10" t="str">
        <f>DATA!H98</f>
        <v>Mitigation of Water Hazards Program</v>
      </c>
      <c r="G110" s="10" t="str">
        <f>DATA!I98</f>
        <v>K</v>
      </c>
      <c r="H110" s="10" t="str">
        <f>DATA!J98</f>
        <v>Program Mitigasi Terhadap Daya Rusak Air</v>
      </c>
      <c r="I110" s="10">
        <f>DATA!K98</f>
        <v>1</v>
      </c>
      <c r="J110" s="33"/>
      <c r="K110" s="34"/>
      <c r="L110" s="35"/>
      <c r="M110" s="36">
        <f>DATA!K98</f>
        <v>1</v>
      </c>
      <c r="N110" s="37" t="str">
        <f>DATA!L98</f>
        <v>Lower Solo River Improvement Project - Phase II</v>
      </c>
      <c r="O110" s="20">
        <f>DATA!Q98</f>
        <v>1</v>
      </c>
      <c r="P110" s="20">
        <f>DATA!R98</f>
        <v>1</v>
      </c>
      <c r="Q110" s="20">
        <f>DATA!S98</f>
        <v>68</v>
      </c>
      <c r="R110" s="77">
        <f>DATA!T98</f>
        <v>155836000</v>
      </c>
      <c r="S110" s="77"/>
      <c r="T110" s="77">
        <f>DATA!V98</f>
        <v>22500000</v>
      </c>
      <c r="U110" s="77">
        <f>DATA!W98</f>
        <v>0</v>
      </c>
      <c r="V110" s="77">
        <f>DATA!X98</f>
        <v>178336000</v>
      </c>
      <c r="W110" s="78" t="str">
        <f>DATA!Y98</f>
        <v>JICA</v>
      </c>
      <c r="X110" s="20" t="str">
        <f>DATA!Z98</f>
        <v>Bilateral</v>
      </c>
      <c r="Y110" s="77">
        <f>DATA!AA98</f>
        <v>155836000</v>
      </c>
      <c r="Z110" s="77">
        <f>DATA!AG98</f>
        <v>0</v>
      </c>
      <c r="AA110" s="20">
        <f>DATA!AH98</f>
        <v>2018</v>
      </c>
      <c r="AB110" s="37" t="str">
        <f>DATA!AI98</f>
        <v>-</v>
      </c>
      <c r="AC110" s="37" t="str">
        <f>DATA!AJ98</f>
        <v>FS, DED, AMDAL</v>
      </c>
      <c r="AD110" s="37" t="str">
        <f>DATA!AK98</f>
        <v>LARAP</v>
      </c>
      <c r="AE110" s="37" t="str">
        <f>DATA!AL98</f>
        <v>-</v>
      </c>
      <c r="AF110" s="20" t="str">
        <f>DATA!AR98</f>
        <v>belum ada dokumen R/C</v>
      </c>
      <c r="AG110" s="20" t="str">
        <f>DATA!AN98</f>
        <v>siap</v>
      </c>
      <c r="AH110" s="20" t="str">
        <f>DATA!AO98</f>
        <v>dalam proses
(perencanaan)</v>
      </c>
      <c r="AI110" s="20" t="str">
        <f>DATA!AP98</f>
        <v>belum ada proses tender/lelang</v>
      </c>
      <c r="AJ110" s="20" t="str">
        <f>DATA!AY98</f>
        <v>Konfirmasi melalui surat Sekjen nomor KU.01.12-Sj/636 tgl 23 Oktober 2015</v>
      </c>
      <c r="AK110" s="20" t="e">
        <f>DATA!#REF!</f>
        <v>#REF!</v>
      </c>
      <c r="AL110" s="20">
        <f>DATA!AZ98</f>
        <v>0</v>
      </c>
      <c r="AM110" s="37" t="str">
        <f>DATA!BA98</f>
        <v>Pekerjaan konstruksi dan supervisi pelaksanaan tanggul, parapet wall, pelindung tebing, sluiceway, jembatan, alur sudetan dan bangunan sungai lainnya</v>
      </c>
    </row>
    <row r="111" spans="1:39" ht="72.75" hidden="1" customHeight="1">
      <c r="A111" s="10">
        <f>DATA!A99</f>
        <v>78</v>
      </c>
      <c r="B111" s="10">
        <f>DATA!B99</f>
        <v>0</v>
      </c>
      <c r="C111" s="10" t="str">
        <f>DATA!D99</f>
        <v>INFRASTRUKTUR</v>
      </c>
      <c r="D111" s="10">
        <f>DATA!E99</f>
        <v>1</v>
      </c>
      <c r="E111" s="10" t="str">
        <f>DATA!F99</f>
        <v>Kementerian Pekerjaan Umum dan Perumahan Rakyat</v>
      </c>
      <c r="F111" s="10" t="str">
        <f>DATA!H99</f>
        <v>Mitigation of Water Hazards Program</v>
      </c>
      <c r="G111" s="10" t="str">
        <f>DATA!I99</f>
        <v>K</v>
      </c>
      <c r="H111" s="10" t="str">
        <f>DATA!J99</f>
        <v>Program Mitigasi Terhadap Daya Rusak Air</v>
      </c>
      <c r="I111" s="10">
        <f>DATA!K99</f>
        <v>2</v>
      </c>
      <c r="J111" s="33"/>
      <c r="K111" s="34"/>
      <c r="L111" s="34"/>
      <c r="M111" s="36">
        <f>DATA!K99</f>
        <v>2</v>
      </c>
      <c r="N111" s="37" t="str">
        <f>DATA!L99</f>
        <v>Comprehensive Countermeasure for Sediment &amp; Flood Problems in South Sulawesi Province</v>
      </c>
      <c r="O111" s="20">
        <f>DATA!Q99</f>
        <v>1</v>
      </c>
      <c r="P111" s="20">
        <f>DATA!R99</f>
        <v>1</v>
      </c>
      <c r="Q111" s="20">
        <f>DATA!S99</f>
        <v>69</v>
      </c>
      <c r="R111" s="77">
        <f>DATA!T99</f>
        <v>108100000</v>
      </c>
      <c r="S111" s="77"/>
      <c r="T111" s="77">
        <f>DATA!V99</f>
        <v>3900000</v>
      </c>
      <c r="U111" s="77">
        <f>DATA!W99</f>
        <v>0</v>
      </c>
      <c r="V111" s="77">
        <f>DATA!X99</f>
        <v>112000000</v>
      </c>
      <c r="W111" s="78" t="str">
        <f>DATA!Y99</f>
        <v>JICA</v>
      </c>
      <c r="X111" s="20" t="str">
        <f>DATA!Z99</f>
        <v>Bilateral</v>
      </c>
      <c r="Y111" s="77">
        <f>DATA!AA99</f>
        <v>108100000</v>
      </c>
      <c r="Z111" s="77">
        <f>DATA!AG99</f>
        <v>0</v>
      </c>
      <c r="AA111" s="20">
        <f>DATA!AH99</f>
        <v>2018</v>
      </c>
      <c r="AB111" s="37" t="str">
        <f>DATA!AI99</f>
        <v>-</v>
      </c>
      <c r="AC111" s="37" t="str">
        <f>DATA!AJ99</f>
        <v>FS, DED</v>
      </c>
      <c r="AD111" s="37" t="str">
        <f>DATA!AK99</f>
        <v>-</v>
      </c>
      <c r="AE111" s="37" t="str">
        <f>DATA!AL99</f>
        <v>-</v>
      </c>
      <c r="AF111" s="20" t="str">
        <f>DATA!AR99</f>
        <v>belum ada dokumen R/C</v>
      </c>
      <c r="AG111" s="20" t="str">
        <f>DATA!AN99</f>
        <v>dalam proses
(memiliki FS dan DED)</v>
      </c>
      <c r="AH111" s="20" t="str">
        <f>DATA!AO99</f>
        <v>belum ada keterangan</v>
      </c>
      <c r="AI111" s="20" t="str">
        <f>DATA!AP99</f>
        <v>belum ada proses tender/lelang</v>
      </c>
      <c r="AJ111" s="20" t="str">
        <f>DATA!AY99</f>
        <v>Konfirmasi melalui surat Sekjen nomor KU.01.12-Sj/636 tgl 23 Oktober 2015</v>
      </c>
      <c r="AK111" s="20" t="e">
        <f>DATA!#REF!</f>
        <v>#REF!</v>
      </c>
      <c r="AL111" s="20">
        <f>DATA!AZ99</f>
        <v>0</v>
      </c>
      <c r="AM111" s="37" t="str">
        <f>DATA!BA99</f>
        <v>Rehabilitasi intake waduk bili-bili (1 buah), konstruksi giant sand trap facility (1 buah) di ujung waduk bili-bili dan konstruksi bangunan pengendali sedimen di luar kaldera untuk antisipasi potensi runtuhan lanjutan Bawakaraeng</v>
      </c>
    </row>
    <row r="112" spans="1:39" ht="38.25" hidden="1">
      <c r="A112" s="10">
        <f>DATA!A100</f>
        <v>79</v>
      </c>
      <c r="B112" s="10">
        <f>DATA!B100</f>
        <v>0</v>
      </c>
      <c r="C112" s="10" t="str">
        <f>DATA!D100</f>
        <v>INFRASTRUKTUR</v>
      </c>
      <c r="D112" s="10">
        <f>DATA!E100</f>
        <v>1</v>
      </c>
      <c r="E112" s="10" t="str">
        <f>DATA!F100</f>
        <v>Kementerian Pekerjaan Umum dan Perumahan Rakyat</v>
      </c>
      <c r="F112" s="10" t="str">
        <f>DATA!H100</f>
        <v>Mitigation of Water Hazards Program</v>
      </c>
      <c r="G112" s="10" t="str">
        <f>DATA!I100</f>
        <v>K</v>
      </c>
      <c r="H112" s="10" t="str">
        <f>DATA!J100</f>
        <v>Program Mitigasi Terhadap Daya Rusak Air</v>
      </c>
      <c r="I112" s="10">
        <f>DATA!K100</f>
        <v>3</v>
      </c>
      <c r="J112" s="33"/>
      <c r="K112" s="34"/>
      <c r="L112" s="34"/>
      <c r="M112" s="36">
        <f>DATA!K100</f>
        <v>3</v>
      </c>
      <c r="N112" s="37" t="str">
        <f>DATA!L100</f>
        <v>Bali Beach Conservation Project - Phase II</v>
      </c>
      <c r="O112" s="20">
        <f>DATA!Q100</f>
        <v>1</v>
      </c>
      <c r="P112" s="20">
        <f>DATA!R100</f>
        <v>1</v>
      </c>
      <c r="Q112" s="20">
        <f>DATA!S100</f>
        <v>70</v>
      </c>
      <c r="R112" s="77">
        <f>DATA!T100</f>
        <v>150000000</v>
      </c>
      <c r="S112" s="77"/>
      <c r="T112" s="77">
        <f>DATA!V100</f>
        <v>15000000</v>
      </c>
      <c r="U112" s="77">
        <f>DATA!W100</f>
        <v>0</v>
      </c>
      <c r="V112" s="77">
        <f>DATA!X100</f>
        <v>165000000</v>
      </c>
      <c r="W112" s="78" t="str">
        <f>DATA!Y100</f>
        <v>JICA</v>
      </c>
      <c r="X112" s="20" t="str">
        <f>DATA!Z100</f>
        <v>Bilateral</v>
      </c>
      <c r="Y112" s="77">
        <f>DATA!AA100</f>
        <v>150000000</v>
      </c>
      <c r="Z112" s="77">
        <f>DATA!AG100</f>
        <v>0</v>
      </c>
      <c r="AA112" s="20">
        <f>DATA!AH100</f>
        <v>2017</v>
      </c>
      <c r="AB112" s="37" t="str">
        <f>DATA!AI100</f>
        <v>-</v>
      </c>
      <c r="AC112" s="37" t="str">
        <f>DATA!AJ100</f>
        <v>FS</v>
      </c>
      <c r="AD112" s="37" t="str">
        <f>DATA!AK100</f>
        <v>-</v>
      </c>
      <c r="AE112" s="37" t="str">
        <f>DATA!AL100</f>
        <v>-</v>
      </c>
      <c r="AF112" s="20" t="str">
        <f>DATA!AR100</f>
        <v>Nilai pinjaman di GB USD 90.247 ribu</v>
      </c>
      <c r="AG112" s="20" t="str">
        <f>DATA!AN100</f>
        <v>dalam proses
(memiliki FS)</v>
      </c>
      <c r="AH112" s="20" t="str">
        <f>DATA!AO100</f>
        <v>belum ada keterangan</v>
      </c>
      <c r="AI112" s="20" t="str">
        <f>DATA!AP100</f>
        <v>belum ada proses tender/lelang</v>
      </c>
      <c r="AJ112" s="20" t="str">
        <f>DATA!AY100</f>
        <v>- Konfirmasi melalui surat Sekjen nomor KU.01.12-Sj/636 tgl 23 Oktober 2015
- MoD Fact Finding belum dapat ditandatangani dan ditentukan kemudian</v>
      </c>
      <c r="AK112" s="20" t="e">
        <f>DATA!#REF!</f>
        <v>#REF!</v>
      </c>
      <c r="AL112" s="20">
        <f>DATA!AZ100</f>
        <v>0</v>
      </c>
      <c r="AM112" s="37" t="str">
        <f>DATA!BA100</f>
        <v>Pengamanan dan konservasi pantai timur bali (sanur utara ~ candidasa) dan Pantai Kuta Utara – Legian – Seminyak dan Canggu</v>
      </c>
    </row>
    <row r="113" spans="1:39" ht="33" hidden="1" customHeight="1">
      <c r="A113" s="10">
        <f>DATA!A101</f>
        <v>80</v>
      </c>
      <c r="B113" s="10">
        <f>DATA!B101</f>
        <v>0</v>
      </c>
      <c r="C113" s="10" t="str">
        <f>DATA!D101</f>
        <v>INFRASTRUKTUR</v>
      </c>
      <c r="D113" s="10">
        <f>DATA!E101</f>
        <v>1</v>
      </c>
      <c r="E113" s="10" t="str">
        <f>DATA!F101</f>
        <v>Kementerian Pekerjaan Umum dan Perumahan Rakyat</v>
      </c>
      <c r="F113" s="10" t="str">
        <f>DATA!H101</f>
        <v>Mitigation of Water Hazards Program</v>
      </c>
      <c r="G113" s="10" t="str">
        <f>DATA!I101</f>
        <v>K</v>
      </c>
      <c r="H113" s="10" t="str">
        <f>DATA!J101</f>
        <v>Program Mitigasi Terhadap Daya Rusak Air</v>
      </c>
      <c r="I113" s="10">
        <f>DATA!K101</f>
        <v>4</v>
      </c>
      <c r="J113" s="33"/>
      <c r="K113" s="34"/>
      <c r="L113" s="34"/>
      <c r="M113" s="36">
        <f>DATA!K101</f>
        <v>4</v>
      </c>
      <c r="N113" s="37" t="str">
        <f>DATA!L101</f>
        <v xml:space="preserve">Urgent Disaster Reduction of Mt. Sinabung, Mt. Semeru, Mt. Kelud Mt. Lokon, and Mt. Gamalama </v>
      </c>
      <c r="O113" s="20">
        <f>DATA!Q101</f>
        <v>1</v>
      </c>
      <c r="P113" s="20">
        <f>DATA!R101</f>
        <v>1</v>
      </c>
      <c r="Q113" s="20">
        <f>DATA!S101</f>
        <v>71</v>
      </c>
      <c r="R113" s="77">
        <f>DATA!T101</f>
        <v>260000000</v>
      </c>
      <c r="S113" s="77"/>
      <c r="T113" s="77">
        <f>DATA!V101</f>
        <v>26000000</v>
      </c>
      <c r="U113" s="77">
        <f>DATA!W101</f>
        <v>0</v>
      </c>
      <c r="V113" s="77">
        <f>DATA!X101</f>
        <v>286000000</v>
      </c>
      <c r="W113" s="78" t="str">
        <f>DATA!Y101</f>
        <v>JICA</v>
      </c>
      <c r="X113" s="20" t="str">
        <f>DATA!Z101</f>
        <v>Bilateral</v>
      </c>
      <c r="Y113" s="77">
        <f>DATA!AA101</f>
        <v>260000000</v>
      </c>
      <c r="Z113" s="77">
        <f>DATA!AG101</f>
        <v>0</v>
      </c>
      <c r="AA113" s="20">
        <f>DATA!AH101</f>
        <v>2017</v>
      </c>
      <c r="AB113" s="37" t="str">
        <f>DATA!AI101</f>
        <v>-</v>
      </c>
      <c r="AC113" s="37" t="str">
        <f>DATA!AJ101</f>
        <v>FS, DED, AMDAL</v>
      </c>
      <c r="AD113" s="37" t="str">
        <f>DATA!AK101</f>
        <v>LARAP</v>
      </c>
      <c r="AE113" s="37" t="str">
        <f>DATA!AL101</f>
        <v>-</v>
      </c>
      <c r="AF113" s="20" t="str">
        <f>DATA!AR101</f>
        <v>belum ada dokumen R/C</v>
      </c>
      <c r="AG113" s="20" t="str">
        <f>DATA!AN101</f>
        <v>siap</v>
      </c>
      <c r="AH113" s="20" t="str">
        <f>DATA!AO101</f>
        <v>dalam proses
(persiapan)</v>
      </c>
      <c r="AI113" s="20" t="str">
        <f>DATA!AP101</f>
        <v>belum ada proses tender/lelang</v>
      </c>
      <c r="AJ113" s="20" t="str">
        <f>DATA!AY101</f>
        <v>Konfirmasi melalui surat Sekjen nomor KU.01.12-Sj/636 tgl 23 Oktober 2015</v>
      </c>
      <c r="AK113" s="20" t="e">
        <f>DATA!#REF!</f>
        <v>#REF!</v>
      </c>
      <c r="AL113" s="20">
        <f>DATA!AZ101</f>
        <v>0</v>
      </c>
      <c r="AM113" s="37" t="str">
        <f>DATA!BA101</f>
        <v>Tersedianya fasilitas Sabo dan bangunan pengontrol sedimen lainnya.</v>
      </c>
    </row>
    <row r="114" spans="1:39" ht="53.25" hidden="1" customHeight="1">
      <c r="A114" s="10">
        <f>DATA!A102</f>
        <v>81</v>
      </c>
      <c r="B114" s="10">
        <f>DATA!B102</f>
        <v>0</v>
      </c>
      <c r="C114" s="10" t="str">
        <f>DATA!D102</f>
        <v>INFRASTRUKTUR</v>
      </c>
      <c r="D114" s="10">
        <f>DATA!E102</f>
        <v>1</v>
      </c>
      <c r="E114" s="10" t="str">
        <f>DATA!F102</f>
        <v>Kementerian Pekerjaan Umum dan Perumahan Rakyat</v>
      </c>
      <c r="F114" s="10" t="str">
        <f>DATA!H102</f>
        <v>Mitigation of Water Hazards Program</v>
      </c>
      <c r="G114" s="10" t="str">
        <f>DATA!I102</f>
        <v>K</v>
      </c>
      <c r="H114" s="10" t="str">
        <f>DATA!J102</f>
        <v>Program Mitigasi Terhadap Daya Rusak Air</v>
      </c>
      <c r="I114" s="10">
        <f>DATA!K102</f>
        <v>5</v>
      </c>
      <c r="J114" s="33"/>
      <c r="K114" s="34"/>
      <c r="L114" s="34"/>
      <c r="M114" s="36">
        <f>DATA!K102</f>
        <v>5</v>
      </c>
      <c r="N114" s="37" t="str">
        <f>DATA!L102</f>
        <v xml:space="preserve">Urban Flood Control System Improvement in Selected Cities -Phase II  </v>
      </c>
      <c r="O114" s="20">
        <f>DATA!Q102</f>
        <v>1</v>
      </c>
      <c r="P114" s="20">
        <f>DATA!R102</f>
        <v>1</v>
      </c>
      <c r="Q114" s="20">
        <f>DATA!S102</f>
        <v>72</v>
      </c>
      <c r="R114" s="77">
        <f>DATA!T102</f>
        <v>120000000</v>
      </c>
      <c r="S114" s="77"/>
      <c r="T114" s="77">
        <f>DATA!V102</f>
        <v>12000000</v>
      </c>
      <c r="U114" s="77">
        <f>DATA!W102</f>
        <v>0</v>
      </c>
      <c r="V114" s="77">
        <f>DATA!X102</f>
        <v>132000000</v>
      </c>
      <c r="W114" s="78" t="str">
        <f>DATA!Y102</f>
        <v>JICA</v>
      </c>
      <c r="X114" s="20" t="str">
        <f>DATA!Z102</f>
        <v>Bilateral</v>
      </c>
      <c r="Y114" s="77">
        <f>DATA!AA102</f>
        <v>120000000</v>
      </c>
      <c r="Z114" s="77">
        <f>DATA!AG102</f>
        <v>0</v>
      </c>
      <c r="AA114" s="20">
        <f>DATA!AH102</f>
        <v>2018</v>
      </c>
      <c r="AB114" s="37" t="str">
        <f>DATA!AI102</f>
        <v>-</v>
      </c>
      <c r="AC114" s="37" t="str">
        <f>DATA!AJ102</f>
        <v>FS, DED, AMDAL</v>
      </c>
      <c r="AD114" s="37" t="str">
        <f>DATA!AK102</f>
        <v>LARAP</v>
      </c>
      <c r="AE114" s="37" t="str">
        <f>DATA!AL102</f>
        <v>-</v>
      </c>
      <c r="AF114" s="20" t="str">
        <f>DATA!AR102</f>
        <v>belum ada dokumen R/C</v>
      </c>
      <c r="AG114" s="20" t="str">
        <f>DATA!AN102</f>
        <v>siap</v>
      </c>
      <c r="AH114" s="20" t="str">
        <f>DATA!AO102</f>
        <v>dalam proses
(perencanaan)</v>
      </c>
      <c r="AI114" s="20" t="str">
        <f>DATA!AP102</f>
        <v>belum ada proses tender/lelang</v>
      </c>
      <c r="AJ114" s="20" t="str">
        <f>DATA!AY102</f>
        <v>Konfirmasi melalui surat Sekjen nomor KU.01.12-Sj/636 tgl 23 Oktober 2015</v>
      </c>
      <c r="AK114" s="20" t="e">
        <f>DATA!#REF!</f>
        <v>#REF!</v>
      </c>
      <c r="AL114" s="20">
        <f>DATA!AZ102</f>
        <v>0</v>
      </c>
      <c r="AM114" s="37" t="str">
        <f>DATA!BA102</f>
        <v>Meningkatkan kapasitas sistem sungai dengan total panjang 4.35 km dan drainase di kota-kota untuk mengalirkan air hujan dengan pembangunan tanggul 6,5 Km</v>
      </c>
    </row>
    <row r="115" spans="1:39" s="8" customFormat="1" ht="46.5" customHeight="1">
      <c r="A115" s="10">
        <f>DATA!A104</f>
        <v>0</v>
      </c>
      <c r="B115" s="10">
        <f>DATA!B104</f>
        <v>0</v>
      </c>
      <c r="C115" s="10" t="str">
        <f>DATA!D104</f>
        <v>INFRASTRUKTUR</v>
      </c>
      <c r="D115" s="10">
        <f>DATA!E104</f>
        <v>1</v>
      </c>
      <c r="E115" s="10" t="str">
        <f>DATA!F104</f>
        <v>Kementerian Pekerjaan Umum dan Perumahan Rakyat</v>
      </c>
      <c r="F115" s="10" t="str">
        <f>DATA!H104</f>
        <v>Mitigation of Water Hazards Program</v>
      </c>
      <c r="G115" s="10" t="str">
        <f>DATA!I104</f>
        <v>K</v>
      </c>
      <c r="H115" s="10" t="str">
        <f>DATA!J104</f>
        <v>Program Mitigasi Terhadap Daya Rusak Air</v>
      </c>
      <c r="I115" s="10">
        <f>DATA!K104</f>
        <v>6</v>
      </c>
      <c r="J115" s="57"/>
      <c r="K115" s="58"/>
      <c r="L115" s="58"/>
      <c r="M115" s="60">
        <f>DATA!K104</f>
        <v>6</v>
      </c>
      <c r="N115" s="61" t="str">
        <f>DATA!L104</f>
        <v>Engineering Service for Coastal and River Development Project</v>
      </c>
      <c r="O115" s="20">
        <f>DATA!Q104</f>
        <v>1</v>
      </c>
      <c r="P115" s="20">
        <f>DATA!R104</f>
        <v>1</v>
      </c>
      <c r="Q115" s="20">
        <f>DATA!S104</f>
        <v>73</v>
      </c>
      <c r="R115" s="89">
        <f>DATA!T104</f>
        <v>50000000</v>
      </c>
      <c r="S115" s="89"/>
      <c r="T115" s="89">
        <f>DATA!V104</f>
        <v>0</v>
      </c>
      <c r="U115" s="77">
        <f>DATA!W104</f>
        <v>0</v>
      </c>
      <c r="V115" s="89">
        <f>DATA!X104</f>
        <v>50000000</v>
      </c>
      <c r="W115" s="90" t="str">
        <f>DATA!Y104</f>
        <v>ADB</v>
      </c>
      <c r="X115" s="20" t="str">
        <f>DATA!Z104</f>
        <v>Multilateral</v>
      </c>
      <c r="Y115" s="89">
        <f>DATA!AA104</f>
        <v>9620000</v>
      </c>
      <c r="Z115" s="89">
        <f>DATA!AG104</f>
        <v>0</v>
      </c>
      <c r="AA115" s="103">
        <f>DATA!AH104</f>
        <v>2016</v>
      </c>
      <c r="AB115" s="61" t="str">
        <f>DATA!AI104</f>
        <v>- Sudah ada RC
- Green Book 2016</v>
      </c>
      <c r="AC115" s="61" t="str">
        <f>DATA!AJ104</f>
        <v>FS, DED</v>
      </c>
      <c r="AD115" s="61" t="str">
        <f>DATA!AK104</f>
        <v>Tidak membutuhkan lahan</v>
      </c>
      <c r="AE115" s="61" t="str">
        <f>DATA!AL104</f>
        <v>Belum ada tender/lelang</v>
      </c>
      <c r="AF115" s="20" t="str">
        <f>DATA!AM104</f>
        <v>2016; 2015</v>
      </c>
      <c r="AG115" s="20" t="str">
        <f>DATA!AN104</f>
        <v>siap</v>
      </c>
      <c r="AH115" s="20" t="str">
        <f>DATA!AO104</f>
        <v>tidak butuh lahan</v>
      </c>
      <c r="AI115" s="20" t="str">
        <f>DATA!AP104</f>
        <v>belum ada proses tender/lelang</v>
      </c>
      <c r="AJ115"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K115" s="20" t="e">
        <f>DATA!#REF!</f>
        <v>#REF!</v>
      </c>
      <c r="AL115" s="20">
        <f>DATA!AZ104</f>
        <v>0</v>
      </c>
      <c r="AM115" s="37" t="str">
        <f>DATA!BA104</f>
        <v>Analisis rencana teknis pembangunan infrastruktur sungai di 33 balai wilayah sungai  dan pantai beserta fasilitasnya, O&amp;P dan pengadaan barang dan jasa</v>
      </c>
    </row>
    <row r="116" spans="1:39" ht="49.5" hidden="1" customHeight="1">
      <c r="A116" s="10">
        <f>DATA!A107</f>
        <v>80</v>
      </c>
      <c r="B116" s="10">
        <f>DATA!B107</f>
        <v>0</v>
      </c>
      <c r="C116" s="10" t="str">
        <f>DATA!D107</f>
        <v>INFRASTRUKTUR</v>
      </c>
      <c r="D116" s="10">
        <f>DATA!E107</f>
        <v>1</v>
      </c>
      <c r="E116" s="10" t="str">
        <f>DATA!F107</f>
        <v>Kementerian Pekerjaan Umum dan Perumahan Rakyat</v>
      </c>
      <c r="F116" s="10" t="str">
        <f>DATA!H107</f>
        <v>Mitigation of Water Hazards Program</v>
      </c>
      <c r="G116" s="10" t="str">
        <f>DATA!I107</f>
        <v>K</v>
      </c>
      <c r="H116" s="10" t="str">
        <f>DATA!J107</f>
        <v>Program Mitigasi Terhadap Daya Rusak Air</v>
      </c>
      <c r="I116" s="10">
        <f>DATA!K107</f>
        <v>7</v>
      </c>
      <c r="J116" s="33"/>
      <c r="K116" s="34"/>
      <c r="L116" s="34"/>
      <c r="M116" s="36">
        <f>DATA!K107</f>
        <v>7</v>
      </c>
      <c r="N116" s="37" t="str">
        <f>DATA!L107</f>
        <v>Flood Management in Selected River Basins:</v>
      </c>
      <c r="O116" s="20">
        <f>DATA!Q107</f>
        <v>0</v>
      </c>
      <c r="P116" s="20">
        <f>DATA!R107</f>
        <v>0</v>
      </c>
      <c r="Q116" s="20">
        <f>DATA!S107</f>
        <v>0</v>
      </c>
      <c r="R116" s="77">
        <f>DATA!T107</f>
        <v>308700000</v>
      </c>
      <c r="S116" s="77"/>
      <c r="T116" s="77">
        <f>DATA!V107</f>
        <v>70440000</v>
      </c>
      <c r="U116" s="77">
        <f>DATA!W107</f>
        <v>0</v>
      </c>
      <c r="V116" s="77">
        <f>DATA!X107</f>
        <v>379140000</v>
      </c>
      <c r="W116" s="78" t="str">
        <f>DATA!Y107</f>
        <v>-</v>
      </c>
      <c r="X116" s="20">
        <f>DATA!Z107</f>
        <v>0</v>
      </c>
      <c r="Y116" s="77">
        <f>DATA!AA107</f>
        <v>308700000</v>
      </c>
      <c r="Z116" s="77">
        <f>DATA!AG107</f>
        <v>0</v>
      </c>
      <c r="AA116" s="20" t="str">
        <f>DATA!AH107</f>
        <v>-</v>
      </c>
      <c r="AB116" s="37" t="str">
        <f>DATA!AI107</f>
        <v>-</v>
      </c>
      <c r="AC116" s="37" t="str">
        <f>DATA!AJ107</f>
        <v>-</v>
      </c>
      <c r="AD116" s="37" t="str">
        <f>DATA!AK107</f>
        <v>-</v>
      </c>
      <c r="AE116" s="37" t="str">
        <f>DATA!AL107</f>
        <v>-</v>
      </c>
      <c r="AF116" s="20" t="str">
        <f>DATA!AM107</f>
        <v>-</v>
      </c>
      <c r="AG116" s="20">
        <f>DATA!AN107</f>
        <v>0</v>
      </c>
      <c r="AH116" s="20" t="str">
        <f>DATA!AO107</f>
        <v>-</v>
      </c>
      <c r="AI116" s="20">
        <f>DATA!AP107</f>
        <v>0</v>
      </c>
      <c r="AJ116" s="20" t="str">
        <f>DATA!AY107</f>
        <v>Konfirmasi melalui surat Sekjen nomor KU.01.12-Sj/636 tgl 23 Oktober 2015</v>
      </c>
      <c r="AK116" s="20" t="e">
        <f>DATA!#REF!</f>
        <v>#REF!</v>
      </c>
      <c r="AL116" s="20">
        <f>DATA!AZ107</f>
        <v>0</v>
      </c>
      <c r="AM116" s="37" t="str">
        <f>DATA!BA107</f>
        <v>Meningkatkan kesiapan untuk mengelola dan memitigasi banjir melalui pendekatan pengelolaan banjir terpadu di DAS terpilih yang tersebar di seluruh Indonesia</v>
      </c>
    </row>
    <row r="117" spans="1:39" s="6" customFormat="1" ht="38.25" hidden="1">
      <c r="A117" s="6">
        <f>DATA!A108</f>
        <v>83</v>
      </c>
      <c r="B117" s="6">
        <f>DATA!B108</f>
        <v>0</v>
      </c>
      <c r="C117" s="6" t="str">
        <f>DATA!D108</f>
        <v>INFRASTRUKTUR</v>
      </c>
      <c r="D117" s="6">
        <f>DATA!E108</f>
        <v>1</v>
      </c>
      <c r="E117" s="6" t="str">
        <f>DATA!F108</f>
        <v>Kementerian Pekerjaan Umum dan Perumahan Rakyat</v>
      </c>
      <c r="F117" s="6" t="str">
        <f>DATA!H108</f>
        <v>Mitigation of Water Hazards Program</v>
      </c>
      <c r="G117" s="6" t="str">
        <f>DATA!I108</f>
        <v>K</v>
      </c>
      <c r="H117" s="6" t="str">
        <f>DATA!J108</f>
        <v>Program Mitigasi Terhadap Daya Rusak Air</v>
      </c>
      <c r="I117" s="6">
        <f>DATA!K108</f>
        <v>7</v>
      </c>
      <c r="J117" s="38"/>
      <c r="K117" s="39"/>
      <c r="L117" s="39"/>
      <c r="M117" s="72"/>
      <c r="N117" s="67" t="str">
        <f>DATA!L108</f>
        <v>Flood Management in Selected River Basins Sector Project (Additional Financing)</v>
      </c>
      <c r="O117" s="42">
        <f>DATA!Q108</f>
        <v>1</v>
      </c>
      <c r="P117" s="42">
        <f>DATA!R108</f>
        <v>1</v>
      </c>
      <c r="Q117" s="42">
        <f>DATA!S108</f>
        <v>74</v>
      </c>
      <c r="R117" s="83">
        <f>DATA!T108</f>
        <v>200000000</v>
      </c>
      <c r="S117" s="83"/>
      <c r="T117" s="83">
        <f>DATA!V108</f>
        <v>20000000</v>
      </c>
      <c r="U117" s="83">
        <f>DATA!W108</f>
        <v>0</v>
      </c>
      <c r="V117" s="83">
        <f>DATA!X108</f>
        <v>220000000</v>
      </c>
      <c r="W117" s="84" t="str">
        <f>DATA!Y108</f>
        <v>Belum Ada Indikasi</v>
      </c>
      <c r="X117" s="42" t="str">
        <f>DATA!Z108</f>
        <v>Multilateral</v>
      </c>
      <c r="Y117" s="83">
        <f>DATA!AA108</f>
        <v>200000000</v>
      </c>
      <c r="Z117" s="83">
        <f>DATA!AG108</f>
        <v>0</v>
      </c>
      <c r="AA117" s="42" t="str">
        <f>DATA!AH108</f>
        <v>Tanpa keterangan</v>
      </c>
      <c r="AB117" s="67" t="str">
        <f>DATA!AI108</f>
        <v>-</v>
      </c>
      <c r="AC117" s="67" t="str">
        <f>DATA!AJ108</f>
        <v>-</v>
      </c>
      <c r="AD117" s="67" t="str">
        <f>DATA!AK108</f>
        <v>-</v>
      </c>
      <c r="AE117" s="67" t="str">
        <f>DATA!AL108</f>
        <v>-</v>
      </c>
      <c r="AF117" s="42" t="str">
        <f>DATA!AR108</f>
        <v>belum ada dokumen R/C</v>
      </c>
      <c r="AG117" s="42" t="str">
        <f>DATA!AN108</f>
        <v>belum ada keterangan</v>
      </c>
      <c r="AH117" s="42" t="str">
        <f>DATA!AO108</f>
        <v>belum ada keterangan</v>
      </c>
      <c r="AI117" s="42" t="str">
        <f>DATA!AP108</f>
        <v>belum ada proses tender/lelang</v>
      </c>
      <c r="AJ117" s="42" t="str">
        <f>DATA!AY108</f>
        <v>Konfirmasi melalui surat Sekjen nomor KU.01.12-Sj/636 tgl 23 Oktober 2015</v>
      </c>
      <c r="AK117" s="42" t="e">
        <f>DATA!#REF!</f>
        <v>#REF!</v>
      </c>
      <c r="AL117" s="42" t="str">
        <f>DATA!AZ108</f>
        <v>untuk wilayah Banten</v>
      </c>
      <c r="AM117" s="67" t="str">
        <f>DATA!BA108</f>
        <v>Meningkatkan kesiapan untuk mengelola dan memitigasi banjir melalui pendekatan pengelolaan banjir terpadu di DAS terpilih</v>
      </c>
    </row>
    <row r="118" spans="1:39" s="7" customFormat="1" ht="87" hidden="1" customHeight="1">
      <c r="A118" s="6">
        <f>DATA!A109</f>
        <v>84</v>
      </c>
      <c r="B118" s="6">
        <f>DATA!B109</f>
        <v>0</v>
      </c>
      <c r="C118" s="6" t="str">
        <f>DATA!D109</f>
        <v>INFRASTRUKTUR</v>
      </c>
      <c r="D118" s="6">
        <f>DATA!E109</f>
        <v>1</v>
      </c>
      <c r="E118" s="6" t="str">
        <f>DATA!F109</f>
        <v>Kementerian Pekerjaan Umum dan Perumahan Rakyat</v>
      </c>
      <c r="F118" s="6" t="str">
        <f>DATA!H109</f>
        <v>Mitigation of Water Hazards Program</v>
      </c>
      <c r="G118" s="6" t="str">
        <f>DATA!I109</f>
        <v>K</v>
      </c>
      <c r="H118" s="6" t="str">
        <f>DATA!J109</f>
        <v>Program Mitigasi Terhadap Daya Rusak Air</v>
      </c>
      <c r="I118" s="6">
        <f>DATA!K109</f>
        <v>7</v>
      </c>
      <c r="J118" s="44"/>
      <c r="K118" s="45"/>
      <c r="L118" s="69"/>
      <c r="M118" s="46"/>
      <c r="N118" s="68" t="str">
        <f>DATA!L109</f>
        <v>Flood Management in Selected River Basins</v>
      </c>
      <c r="O118" s="42">
        <f>DATA!Q109</f>
        <v>1</v>
      </c>
      <c r="P118" s="42">
        <f>DATA!R109</f>
        <v>1</v>
      </c>
      <c r="Q118" s="42">
        <f>DATA!S109</f>
        <v>75</v>
      </c>
      <c r="R118" s="85">
        <f>DATA!T109</f>
        <v>108700000</v>
      </c>
      <c r="S118" s="85"/>
      <c r="T118" s="85">
        <f>DATA!V109</f>
        <v>50440000</v>
      </c>
      <c r="U118" s="83">
        <f>DATA!W109</f>
        <v>0</v>
      </c>
      <c r="V118" s="85">
        <f>DATA!X109</f>
        <v>159140000</v>
      </c>
      <c r="W118" s="86" t="str">
        <f>DATA!Y109</f>
        <v>ADB</v>
      </c>
      <c r="X118" s="42" t="str">
        <f>DATA!Z109</f>
        <v>Multilateral</v>
      </c>
      <c r="Y118" s="85">
        <f>DATA!AA109</f>
        <v>108700000</v>
      </c>
      <c r="Z118" s="85">
        <f>DATA!AG109</f>
        <v>0</v>
      </c>
      <c r="AA118" s="98" t="str">
        <f>DATA!AH109</f>
        <v>Tanpa keterangan</v>
      </c>
      <c r="AB118" s="68" t="str">
        <f>DATA!AI109</f>
        <v>- Sudah ada RC
- Green Book 2015</v>
      </c>
      <c r="AC118" s="68" t="str">
        <f>DATA!AJ109</f>
        <v>FS, DED</v>
      </c>
      <c r="AD118" s="68" t="str">
        <f>DATA!AK109</f>
        <v>- Penetapan lokasi dengan SK Gubernur Banten dan Gubernur Maluku
- Izin AMDAL dengan SK Walikota Ambon</v>
      </c>
      <c r="AE118" s="68" t="str">
        <f>DATA!AL109</f>
        <v>Belum ada tender/lelang</v>
      </c>
      <c r="AF118" s="42" t="str">
        <f>DATA!AR109</f>
        <v>-</v>
      </c>
      <c r="AG118" s="42" t="str">
        <f>DATA!AN109</f>
        <v>dalam proses
(memiliki FS dan DED)</v>
      </c>
      <c r="AH118" s="42" t="str">
        <f>DATA!AO109</f>
        <v>dalam proses
(persiapan)</v>
      </c>
      <c r="AI118" s="42" t="str">
        <f>DATA!AP109</f>
        <v>belum ada proses tender/lelang</v>
      </c>
      <c r="AJ118" s="42" t="str">
        <f>DATA!AY109</f>
        <v>Konfirmasi melalui surat Sekjen nomor KU.01.12-Sj/636 tgl 23 Oktober 2015</v>
      </c>
      <c r="AK118" s="42" t="e">
        <f>DATA!#REF!</f>
        <v>#REF!</v>
      </c>
      <c r="AL118" s="42" t="str">
        <f>DATA!AZ109</f>
        <v>Ambon appraisal MoU 2015</v>
      </c>
      <c r="AM118" s="67" t="str">
        <f>DATA!BA109</f>
        <v>Meningkatkan kesiapan untuk mengelola dan memitigasi banjir melalui pendekatan pengelolaan banjir terpadu di DAS Ciujung, DAS Batu Merah, dan DAS Way Ruhu</v>
      </c>
    </row>
    <row r="119" spans="1:39" s="5" customFormat="1" ht="33.75" hidden="1" customHeight="1">
      <c r="J119" s="28"/>
      <c r="K119" s="50"/>
      <c r="L119" s="30" t="str">
        <f>DATA!I110</f>
        <v>L</v>
      </c>
      <c r="M119" s="31" t="str">
        <f>DATA!J110</f>
        <v xml:space="preserve">Program Pengelolaan Infrastruktur Sumber Daya Air </v>
      </c>
      <c r="N119" s="51"/>
      <c r="O119" s="31"/>
      <c r="P119" s="31"/>
      <c r="Q119" s="31"/>
      <c r="R119" s="81">
        <f>+R120+R121+R122</f>
        <v>650000000</v>
      </c>
      <c r="S119" s="81"/>
      <c r="T119" s="81">
        <f t="shared" ref="T119:Z119" si="7">+T120+T121+T122</f>
        <v>130000000</v>
      </c>
      <c r="U119" s="81">
        <f t="shared" si="7"/>
        <v>0</v>
      </c>
      <c r="V119" s="81">
        <f t="shared" si="7"/>
        <v>780000000</v>
      </c>
      <c r="W119" s="81"/>
      <c r="X119" s="81" t="e">
        <f t="shared" si="7"/>
        <v>#VALUE!</v>
      </c>
      <c r="Y119" s="81">
        <f t="shared" si="7"/>
        <v>650000000</v>
      </c>
      <c r="Z119" s="81">
        <f t="shared" si="7"/>
        <v>-50000000</v>
      </c>
      <c r="AA119" s="31"/>
      <c r="AB119" s="32"/>
      <c r="AC119" s="32"/>
      <c r="AD119" s="32"/>
      <c r="AE119" s="32"/>
      <c r="AF119" s="31"/>
      <c r="AG119" s="31"/>
      <c r="AH119" s="31"/>
      <c r="AI119" s="31"/>
      <c r="AJ119" s="31"/>
      <c r="AK119" s="31"/>
      <c r="AL119" s="31"/>
      <c r="AM119" s="32"/>
    </row>
    <row r="120" spans="1:39" ht="58.5" hidden="1" customHeight="1">
      <c r="A120" s="10">
        <f>DATA!A110</f>
        <v>85</v>
      </c>
      <c r="B120" s="10">
        <f>DATA!B110</f>
        <v>0</v>
      </c>
      <c r="C120" s="10" t="str">
        <f>DATA!D110</f>
        <v>INFRASTRUKTUR</v>
      </c>
      <c r="D120" s="10">
        <f>DATA!E110</f>
        <v>1</v>
      </c>
      <c r="E120" s="10" t="str">
        <f>DATA!F110</f>
        <v>Kementerian Pekerjaan Umum dan Perumahan Rakyat</v>
      </c>
      <c r="F120" s="10" t="str">
        <f>DATA!H110</f>
        <v>Management of Water Resources Infrastructure Program</v>
      </c>
      <c r="G120" s="10" t="str">
        <f>DATA!I110</f>
        <v>L</v>
      </c>
      <c r="H120" s="10" t="str">
        <f>DATA!J110</f>
        <v xml:space="preserve">Program Pengelolaan Infrastruktur Sumber Daya Air </v>
      </c>
      <c r="I120" s="10">
        <f>DATA!K110</f>
        <v>1</v>
      </c>
      <c r="J120" s="33"/>
      <c r="K120" s="34"/>
      <c r="L120" s="35"/>
      <c r="M120" s="36">
        <f>DATA!K110</f>
        <v>1</v>
      </c>
      <c r="N120" s="37" t="str">
        <f>DATA!L110</f>
        <v xml:space="preserve">Dam Operational Improvement and Safety Project (DOISP) - Phase II </v>
      </c>
      <c r="O120" s="20">
        <f>DATA!Q110</f>
        <v>1</v>
      </c>
      <c r="P120" s="20">
        <f>DATA!R110</f>
        <v>1</v>
      </c>
      <c r="Q120" s="20">
        <f>DATA!S110</f>
        <v>76</v>
      </c>
      <c r="R120" s="77">
        <f>DATA!T110</f>
        <v>250000000</v>
      </c>
      <c r="S120" s="77"/>
      <c r="T120" s="77">
        <f>DATA!V110</f>
        <v>50000000</v>
      </c>
      <c r="U120" s="77">
        <f>DATA!W110</f>
        <v>0</v>
      </c>
      <c r="V120" s="77">
        <f>DATA!X110</f>
        <v>300000000</v>
      </c>
      <c r="W120" s="78" t="str">
        <f>DATA!Y110</f>
        <v>Bank Dunia</v>
      </c>
      <c r="X120" s="20" t="str">
        <f>DATA!Z110</f>
        <v>Multilateral</v>
      </c>
      <c r="Y120" s="77">
        <f>DATA!AA110</f>
        <v>250000000</v>
      </c>
      <c r="Z120" s="77">
        <f>DATA!AG110</f>
        <v>0</v>
      </c>
      <c r="AA120" s="20" t="str">
        <f>DATA!AH110</f>
        <v>Tanpa keterangan</v>
      </c>
      <c r="AB120" s="37" t="str">
        <f>DATA!AI110</f>
        <v>-</v>
      </c>
      <c r="AC120" s="37" t="str">
        <f>DATA!AJ110</f>
        <v>FS</v>
      </c>
      <c r="AD120" s="37" t="str">
        <f>DATA!AK110</f>
        <v>-</v>
      </c>
      <c r="AE120" s="37" t="str">
        <f>DATA!AL110</f>
        <v>-</v>
      </c>
      <c r="AF120" s="20" t="str">
        <f>DATA!AR110</f>
        <v>-</v>
      </c>
      <c r="AG120" s="20" t="str">
        <f>DATA!AN110</f>
        <v>dalam proses
(memiliki FS)</v>
      </c>
      <c r="AH120" s="20" t="str">
        <f>DATA!AO110</f>
        <v>belum ada keterangan</v>
      </c>
      <c r="AI120" s="20" t="str">
        <f>DATA!AP110</f>
        <v>belum ada proses tender/lelang</v>
      </c>
      <c r="AJ120" s="20" t="str">
        <f>DATA!AY110</f>
        <v>Konfirmasi melalui surat Sekjen nomor KU.01.12-Sj/636 tgl 23 Oktober 2015</v>
      </c>
      <c r="AK120" s="20" t="e">
        <f>DATA!#REF!</f>
        <v>#REF!</v>
      </c>
      <c r="AL120" s="20">
        <f>DATA!AZ110</f>
        <v>0</v>
      </c>
      <c r="AM120" s="37" t="str">
        <f>DATA!BA110</f>
        <v>Peningkatan operasi dan keamanan 63 bendungan, peningkatan OP dan kapasitas SDM, mitigasi sedimentasi waduk, peningkatan institusi keamanan bendungan dan manajemen proyek</v>
      </c>
    </row>
    <row r="121" spans="1:39" ht="50.25" hidden="1" customHeight="1">
      <c r="A121" s="10">
        <f>DATA!A113</f>
        <v>86</v>
      </c>
      <c r="B121" s="10">
        <f>DATA!B113</f>
        <v>0</v>
      </c>
      <c r="C121" s="10" t="str">
        <f>DATA!D113</f>
        <v>INFRASTRUKTUR</v>
      </c>
      <c r="D121" s="10">
        <f>DATA!E113</f>
        <v>1</v>
      </c>
      <c r="E121" s="10" t="str">
        <f>DATA!F113</f>
        <v>Kementerian Pekerjaan Umum dan Perumahan Rakyat</v>
      </c>
      <c r="F121" s="10" t="str">
        <f>DATA!H113</f>
        <v>Management of Water Resources Infrastructure Program</v>
      </c>
      <c r="G121" s="10" t="str">
        <f>DATA!I113</f>
        <v>L</v>
      </c>
      <c r="H121" s="10" t="str">
        <f>DATA!J113</f>
        <v xml:space="preserve">Program Pengelolaan Infrastruktur Sumber Daya Air </v>
      </c>
      <c r="I121" s="10">
        <f>DATA!K113</f>
        <v>2</v>
      </c>
      <c r="J121" s="33"/>
      <c r="K121" s="34"/>
      <c r="L121" s="34"/>
      <c r="M121" s="36">
        <f>DATA!K113</f>
        <v>2</v>
      </c>
      <c r="N121" s="37" t="str">
        <f>DATA!L113</f>
        <v xml:space="preserve">Enhanced Water Security Investment Program    </v>
      </c>
      <c r="O121" s="20">
        <f>DATA!Q113</f>
        <v>1</v>
      </c>
      <c r="P121" s="20">
        <f>DATA!R113</f>
        <v>1</v>
      </c>
      <c r="Q121" s="20">
        <f>DATA!S113</f>
        <v>77</v>
      </c>
      <c r="R121" s="77">
        <f>DATA!T113</f>
        <v>350000000</v>
      </c>
      <c r="S121" s="77"/>
      <c r="T121" s="77">
        <f>DATA!V113</f>
        <v>70000000</v>
      </c>
      <c r="U121" s="77">
        <f>DATA!W113</f>
        <v>0</v>
      </c>
      <c r="V121" s="77">
        <f>DATA!X113</f>
        <v>420000000</v>
      </c>
      <c r="W121" s="78" t="str">
        <f>DATA!Y113</f>
        <v>ADB</v>
      </c>
      <c r="X121" s="20" t="str">
        <f>DATA!Z113</f>
        <v>Multilateral</v>
      </c>
      <c r="Y121" s="77">
        <f>DATA!AA113</f>
        <v>350000000</v>
      </c>
      <c r="Z121" s="77">
        <f>DATA!AG113</f>
        <v>0</v>
      </c>
      <c r="AA121" s="20" t="str">
        <f>DATA!AH113</f>
        <v>Tanpa keterangan</v>
      </c>
      <c r="AB121" s="37" t="str">
        <f>DATA!AI113</f>
        <v>-</v>
      </c>
      <c r="AC121" s="37" t="str">
        <f>DATA!AJ113</f>
        <v>-</v>
      </c>
      <c r="AD121" s="37" t="str">
        <f>DATA!AK113</f>
        <v>-</v>
      </c>
      <c r="AE121" s="37" t="str">
        <f>DATA!AL113</f>
        <v>-</v>
      </c>
      <c r="AF121" s="20" t="str">
        <f>DATA!AR113</f>
        <v>belum ada dokumen R/C</v>
      </c>
      <c r="AG121" s="20" t="str">
        <f>DATA!AN113</f>
        <v>belum ada keterangan</v>
      </c>
      <c r="AH121" s="20" t="str">
        <f>DATA!AO113</f>
        <v>belum ada keterangan</v>
      </c>
      <c r="AI121" s="20" t="str">
        <f>DATA!AP113</f>
        <v>belum ada proses tender/lelang</v>
      </c>
      <c r="AJ121" s="20" t="str">
        <f>DATA!AY113</f>
        <v>Konfirmasi melalui surat Sekjen nomor KU.01.12-Sj/636 tgl 23 Oktober 2015</v>
      </c>
      <c r="AK121" s="20" t="e">
        <f>DATA!#REF!</f>
        <v>#REF!</v>
      </c>
      <c r="AL121" s="20" t="str">
        <f>DATA!AZ113</f>
        <v>Belum ada pembicaraan dgn ADB</v>
      </c>
      <c r="AM121" s="37" t="str">
        <f>DATA!BA113</f>
        <v>Peningkatan kapasitas waduk, pemanfaatan potensi bendungan untuk pembangkit listrik dan manajemen proyek</v>
      </c>
    </row>
    <row r="122" spans="1:39" ht="32.25" hidden="1" customHeight="1">
      <c r="A122" s="10">
        <f>DATA!A114</f>
        <v>87</v>
      </c>
      <c r="B122" s="10">
        <f>DATA!B114</f>
        <v>0</v>
      </c>
      <c r="C122" s="10" t="str">
        <f>DATA!D114</f>
        <v>INFRASTRUKTUR</v>
      </c>
      <c r="D122" s="10">
        <f>DATA!E114</f>
        <v>1</v>
      </c>
      <c r="E122" s="10" t="str">
        <f>DATA!F114</f>
        <v>Kementerian Pekerjaan Umum dan Perumahan Rakyat</v>
      </c>
      <c r="F122" s="10" t="str">
        <f>DATA!H114</f>
        <v>Management of Water Resources Infrastructure Program</v>
      </c>
      <c r="G122" s="10" t="str">
        <f>DATA!I114</f>
        <v>L</v>
      </c>
      <c r="H122" s="10" t="str">
        <f>DATA!J114</f>
        <v xml:space="preserve">Program Pengelolaan Infrastruktur Sumber Daya Air </v>
      </c>
      <c r="I122" s="10">
        <f>DATA!K114</f>
        <v>3</v>
      </c>
      <c r="J122" s="33"/>
      <c r="K122" s="34"/>
      <c r="L122" s="54"/>
      <c r="M122" s="36">
        <f>DATA!K114</f>
        <v>3</v>
      </c>
      <c r="N122" s="37" t="str">
        <f>DATA!L114</f>
        <v>Engineering Service for Water Resources Infrastructure Management</v>
      </c>
      <c r="O122" s="20">
        <f>DATA!Q114</f>
        <v>1</v>
      </c>
      <c r="P122" s="20">
        <f>DATA!R114</f>
        <v>1</v>
      </c>
      <c r="Q122" s="20">
        <f>DATA!S114</f>
        <v>78</v>
      </c>
      <c r="R122" s="77">
        <f>DATA!T114</f>
        <v>50000000</v>
      </c>
      <c r="S122" s="77"/>
      <c r="T122" s="77">
        <f>DATA!V114</f>
        <v>10000000</v>
      </c>
      <c r="U122" s="77">
        <f>DATA!W114</f>
        <v>0</v>
      </c>
      <c r="V122" s="77">
        <f>DATA!X114</f>
        <v>60000000</v>
      </c>
      <c r="W122" s="78" t="str">
        <f>DATA!Y114</f>
        <v>Belum Ada Indikasi</v>
      </c>
      <c r="X122" s="20" t="str">
        <f>DATA!Z114</f>
        <v>Multilateral</v>
      </c>
      <c r="Y122" s="77">
        <f>DATA!AA114</f>
        <v>50000000</v>
      </c>
      <c r="Z122" s="77">
        <f>DATA!AG114</f>
        <v>-50000000</v>
      </c>
      <c r="AA122" s="20" t="str">
        <f>DATA!AH114</f>
        <v>Tanpa keterangan</v>
      </c>
      <c r="AB122" s="37" t="str">
        <f>DATA!AI114</f>
        <v>-</v>
      </c>
      <c r="AC122" s="37" t="str">
        <f>DATA!AJ114</f>
        <v>-</v>
      </c>
      <c r="AD122" s="37" t="str">
        <f>DATA!AK114</f>
        <v>-</v>
      </c>
      <c r="AE122" s="37" t="str">
        <f>DATA!AL114</f>
        <v>-</v>
      </c>
      <c r="AF122" s="20" t="str">
        <f>DATA!AR114</f>
        <v>belum ada dokumen R/C</v>
      </c>
      <c r="AG122" s="20" t="str">
        <f>DATA!AN114</f>
        <v>siap</v>
      </c>
      <c r="AH122" s="20" t="str">
        <f>DATA!AO114</f>
        <v>tidak butuh lahan</v>
      </c>
      <c r="AI122" s="20" t="str">
        <f>DATA!AP114</f>
        <v>belum ada proses tender/lelang</v>
      </c>
      <c r="AJ122" s="20" t="str">
        <f>DATA!AY114</f>
        <v>Konfirmasi melalui surat Sekjen nomor KU.01.12-Sj/636 tgl 23 Oktober 2015</v>
      </c>
      <c r="AK122" s="20" t="e">
        <f>DATA!#REF!</f>
        <v>#REF!</v>
      </c>
      <c r="AL122" s="20" t="str">
        <f>DATA!AZ114</f>
        <v>Belum ada pembicaraan dgn ADB</v>
      </c>
      <c r="AM122" s="37" t="str">
        <f>DATA!BA114</f>
        <v>Engineering services dan management project untuk pengelolaan infrastruktur sumber daya air</v>
      </c>
    </row>
    <row r="123" spans="1:39" s="5" customFormat="1" ht="33.75" hidden="1" customHeight="1">
      <c r="J123" s="28"/>
      <c r="K123" s="50"/>
      <c r="L123" s="30" t="str">
        <f>DATA!I117</f>
        <v>M</v>
      </c>
      <c r="M123" s="31" t="str">
        <f>DATA!J117</f>
        <v>Program Penyediaaan Perumahan Bagi MBR</v>
      </c>
      <c r="N123" s="51"/>
      <c r="O123" s="31"/>
      <c r="P123" s="31"/>
      <c r="Q123" s="31"/>
      <c r="R123" s="81">
        <f>+R124</f>
        <v>300000000</v>
      </c>
      <c r="S123" s="81"/>
      <c r="T123" s="81">
        <f t="shared" ref="T123:Z123" si="8">+T124</f>
        <v>15000000</v>
      </c>
      <c r="U123" s="81">
        <f t="shared" si="8"/>
        <v>7000000</v>
      </c>
      <c r="V123" s="81">
        <f t="shared" si="8"/>
        <v>322000000</v>
      </c>
      <c r="W123" s="81"/>
      <c r="X123" s="81" t="str">
        <f t="shared" si="8"/>
        <v>Multilateral</v>
      </c>
      <c r="Y123" s="81">
        <f t="shared" si="8"/>
        <v>300000000</v>
      </c>
      <c r="Z123" s="81">
        <f t="shared" si="8"/>
        <v>0</v>
      </c>
      <c r="AA123" s="31"/>
      <c r="AB123" s="32"/>
      <c r="AC123" s="32"/>
      <c r="AD123" s="32"/>
      <c r="AE123" s="32"/>
      <c r="AF123" s="31"/>
      <c r="AG123" s="31"/>
      <c r="AH123" s="31"/>
      <c r="AI123" s="31"/>
      <c r="AJ123" s="31"/>
      <c r="AK123" s="31"/>
      <c r="AL123" s="31"/>
      <c r="AM123" s="32"/>
    </row>
    <row r="124" spans="1:39" ht="45.75" hidden="1" customHeight="1">
      <c r="A124" s="10">
        <f>DATA!A117</f>
        <v>88</v>
      </c>
      <c r="B124" s="10">
        <f>DATA!B117</f>
        <v>0</v>
      </c>
      <c r="C124" s="10" t="str">
        <f>DATA!D117</f>
        <v>INFRASTRUKTUR</v>
      </c>
      <c r="D124" s="10">
        <f>DATA!E117</f>
        <v>1</v>
      </c>
      <c r="E124" s="10" t="str">
        <f>DATA!F117</f>
        <v>Kementerian Pekerjaan Umum dan Perumahan Rakyat</v>
      </c>
      <c r="F124" s="10" t="str">
        <f>DATA!H117</f>
        <v>Program for Provision of Housing For Low-Income Households</v>
      </c>
      <c r="G124" s="10" t="str">
        <f>DATA!I117</f>
        <v>M</v>
      </c>
      <c r="H124" s="10" t="str">
        <f>DATA!J117</f>
        <v>Program Penyediaaan Perumahan Bagi MBR</v>
      </c>
      <c r="I124" s="10">
        <f>DATA!K117</f>
        <v>1</v>
      </c>
      <c r="J124" s="33"/>
      <c r="K124" s="54"/>
      <c r="L124" s="20"/>
      <c r="M124" s="36">
        <f>DATA!K117</f>
        <v>1</v>
      </c>
      <c r="N124" s="37" t="str">
        <f>DATA!L117</f>
        <v xml:space="preserve">Financial Support for Low Income Households </v>
      </c>
      <c r="O124" s="20">
        <f>DATA!Q117</f>
        <v>0</v>
      </c>
      <c r="P124" s="20">
        <f>DATA!R117</f>
        <v>0</v>
      </c>
      <c r="Q124" s="20">
        <f>DATA!S117</f>
        <v>79</v>
      </c>
      <c r="R124" s="77">
        <f>DATA!T117</f>
        <v>300000000</v>
      </c>
      <c r="S124" s="77"/>
      <c r="T124" s="77">
        <f>DATA!V117</f>
        <v>15000000</v>
      </c>
      <c r="U124" s="77">
        <f>DATA!W117</f>
        <v>7000000</v>
      </c>
      <c r="V124" s="77">
        <f>DATA!X117</f>
        <v>322000000</v>
      </c>
      <c r="W124" s="78" t="str">
        <f>DATA!Y117</f>
        <v>Bank Dunia</v>
      </c>
      <c r="X124" s="20" t="str">
        <f>DATA!Z117</f>
        <v>Multilateral</v>
      </c>
      <c r="Y124" s="77">
        <f>DATA!AA117</f>
        <v>300000000</v>
      </c>
      <c r="Z124" s="77">
        <f>DATA!AG117</f>
        <v>0</v>
      </c>
      <c r="AA124" s="20">
        <f>DATA!AH117</f>
        <v>2017</v>
      </c>
      <c r="AB124" s="37" t="str">
        <f>DATA!AI117</f>
        <v>Penyusunan R/C</v>
      </c>
      <c r="AC124" s="37" t="str">
        <f>DATA!AJ117</f>
        <v>-</v>
      </c>
      <c r="AD124" s="37" t="str">
        <f>DATA!AK117</f>
        <v>-</v>
      </c>
      <c r="AE124" s="37" t="str">
        <f>DATA!AL117</f>
        <v>-</v>
      </c>
      <c r="AF124" s="20" t="str">
        <f>DATA!AR117</f>
        <v>belum ada dokumen R/C</v>
      </c>
      <c r="AG124" s="20" t="str">
        <f>DATA!AN117</f>
        <v>belum ada keterangan</v>
      </c>
      <c r="AH124" s="20" t="str">
        <f>DATA!AO117</f>
        <v>belum ada keterangan</v>
      </c>
      <c r="AI124" s="20" t="str">
        <f>DATA!AP117</f>
        <v>belum ada proses tender/lelang</v>
      </c>
      <c r="AJ124" s="20" t="str">
        <f>DATA!AY117</f>
        <v>Konfirmasi melalui surat Sekjen nomor KU.01.12-Sj/636 tgl 23 Oktober 2015</v>
      </c>
      <c r="AK124" s="20" t="e">
        <f>DATA!#REF!</f>
        <v>#REF!</v>
      </c>
      <c r="AL124" s="20" t="str">
        <f>DATA!AZ117</f>
        <v>Tujuan kegiatan ini adalah untuk membantu uang muka pembangunan rumah</v>
      </c>
      <c r="AM124" s="37" t="str">
        <f>DATA!BA117</f>
        <v>Peningkatan kapasitas lembaga pembiayaan, pengembangan sistem pembiayaan perumahan mikro, dan pengembangan  sistem pembiayaan perumahan</v>
      </c>
    </row>
    <row r="125" spans="1:39" s="4" customFormat="1" ht="24.95" hidden="1" customHeight="1">
      <c r="J125" s="107"/>
      <c r="K125" s="25">
        <f>DATA!E118</f>
        <v>2</v>
      </c>
      <c r="L125" s="108" t="str">
        <f>DATA!F118</f>
        <v>PERUMNAS</v>
      </c>
      <c r="M125" s="26"/>
      <c r="N125" s="27"/>
      <c r="O125" s="26"/>
      <c r="P125" s="26"/>
      <c r="Q125" s="26"/>
      <c r="R125" s="80">
        <f>+R126</f>
        <v>200000000</v>
      </c>
      <c r="S125" s="80"/>
      <c r="T125" s="80">
        <f t="shared" ref="T125:Z126" si="9">+T126</f>
        <v>20000000</v>
      </c>
      <c r="U125" s="80">
        <f t="shared" si="9"/>
        <v>0</v>
      </c>
      <c r="V125" s="80">
        <f t="shared" si="9"/>
        <v>220000000</v>
      </c>
      <c r="W125" s="80"/>
      <c r="X125" s="80" t="str">
        <f t="shared" si="9"/>
        <v>Bilateral</v>
      </c>
      <c r="Y125" s="80">
        <f t="shared" si="9"/>
        <v>200000000</v>
      </c>
      <c r="Z125" s="80">
        <f t="shared" si="9"/>
        <v>0</v>
      </c>
      <c r="AA125" s="26"/>
      <c r="AB125" s="27"/>
      <c r="AC125" s="27"/>
      <c r="AD125" s="27"/>
      <c r="AE125" s="27"/>
      <c r="AF125" s="26"/>
      <c r="AG125" s="26"/>
      <c r="AH125" s="26"/>
      <c r="AI125" s="26"/>
      <c r="AJ125" s="26"/>
      <c r="AK125" s="26"/>
      <c r="AL125" s="26"/>
      <c r="AM125" s="27"/>
    </row>
    <row r="126" spans="1:39" s="5" customFormat="1" ht="33.75" hidden="1" customHeight="1">
      <c r="J126" s="28"/>
      <c r="K126" s="29"/>
      <c r="L126" s="30" t="str">
        <f>DATA!I118</f>
        <v>A</v>
      </c>
      <c r="M126" s="31" t="str">
        <f>DATA!J118</f>
        <v>Program Penyediaaan Perumahan Bagi MBR</v>
      </c>
      <c r="N126" s="51"/>
      <c r="O126" s="31"/>
      <c r="P126" s="31"/>
      <c r="Q126" s="31"/>
      <c r="R126" s="81">
        <f>+R127</f>
        <v>200000000</v>
      </c>
      <c r="S126" s="81"/>
      <c r="T126" s="81">
        <f t="shared" si="9"/>
        <v>20000000</v>
      </c>
      <c r="U126" s="81">
        <f t="shared" si="9"/>
        <v>0</v>
      </c>
      <c r="V126" s="81">
        <f t="shared" si="9"/>
        <v>220000000</v>
      </c>
      <c r="W126" s="81"/>
      <c r="X126" s="81" t="str">
        <f t="shared" si="9"/>
        <v>Bilateral</v>
      </c>
      <c r="Y126" s="81">
        <f t="shared" si="9"/>
        <v>200000000</v>
      </c>
      <c r="Z126" s="81">
        <f t="shared" si="9"/>
        <v>0</v>
      </c>
      <c r="AA126" s="31"/>
      <c r="AB126" s="32"/>
      <c r="AC126" s="32"/>
      <c r="AD126" s="32"/>
      <c r="AE126" s="32"/>
      <c r="AF126" s="31"/>
      <c r="AG126" s="31"/>
      <c r="AH126" s="31"/>
      <c r="AI126" s="31"/>
      <c r="AJ126" s="31"/>
      <c r="AK126" s="31"/>
      <c r="AL126" s="31"/>
      <c r="AM126" s="32"/>
    </row>
    <row r="127" spans="1:39" ht="63.75" hidden="1">
      <c r="A127" s="10">
        <f>DATA!A118</f>
        <v>89</v>
      </c>
      <c r="B127" s="10">
        <f>DATA!B118</f>
        <v>0</v>
      </c>
      <c r="C127" s="10" t="str">
        <f>DATA!D118</f>
        <v>INFRASTRUKTUR</v>
      </c>
      <c r="D127" s="10">
        <f>DATA!E118</f>
        <v>2</v>
      </c>
      <c r="E127" s="10" t="str">
        <f>DATA!F118</f>
        <v>PERUMNAS</v>
      </c>
      <c r="F127" s="10" t="str">
        <f>DATA!H118</f>
        <v>Program for Provision of Housing For Low-Income Households</v>
      </c>
      <c r="G127" s="10" t="str">
        <f>DATA!I118</f>
        <v>A</v>
      </c>
      <c r="H127" s="10" t="str">
        <f>DATA!J118</f>
        <v>Program Penyediaaan Perumahan Bagi MBR</v>
      </c>
      <c r="I127" s="10">
        <f>DATA!K118</f>
        <v>1</v>
      </c>
      <c r="J127" s="33"/>
      <c r="K127" s="54"/>
      <c r="L127" s="20"/>
      <c r="M127" s="36">
        <f>DATA!K118</f>
        <v>1</v>
      </c>
      <c r="N127" s="37" t="str">
        <f>DATA!L118</f>
        <v>Support for National Housing and Urban Development Cooperation</v>
      </c>
      <c r="O127" s="20">
        <f>DATA!Q118</f>
        <v>1</v>
      </c>
      <c r="P127" s="20">
        <f>DATA!R118</f>
        <v>1</v>
      </c>
      <c r="Q127" s="20">
        <f>DATA!S118</f>
        <v>80</v>
      </c>
      <c r="R127" s="77">
        <f>DATA!T118</f>
        <v>200000000</v>
      </c>
      <c r="S127" s="77"/>
      <c r="T127" s="77">
        <f>DATA!V118</f>
        <v>20000000</v>
      </c>
      <c r="U127" s="77">
        <f>DATA!W118</f>
        <v>0</v>
      </c>
      <c r="V127" s="77">
        <f>DATA!X118</f>
        <v>220000000</v>
      </c>
      <c r="W127" s="78" t="str">
        <f>DATA!Y118</f>
        <v>JICA</v>
      </c>
      <c r="X127" s="20" t="str">
        <f>DATA!Z118</f>
        <v>Bilateral</v>
      </c>
      <c r="Y127" s="77">
        <f>DATA!AA118</f>
        <v>200000000</v>
      </c>
      <c r="Z127" s="77">
        <f>DATA!AG118</f>
        <v>0</v>
      </c>
      <c r="AA127" s="20">
        <f>DATA!AH118</f>
        <v>2017</v>
      </c>
      <c r="AB127" s="37" t="str">
        <f>DATA!AI118</f>
        <v>Penyusunan R/C</v>
      </c>
      <c r="AC127" s="37" t="str">
        <f>DATA!AJ118</f>
        <v>FS, DED</v>
      </c>
      <c r="AD127" s="37" t="str">
        <f>DATA!AK118</f>
        <v>100% (lahan milik PERUMNAS)</v>
      </c>
      <c r="AE127" s="37" t="str">
        <f>DATA!AL118</f>
        <v>Mengikuti tahapan setiap project sesuai Standart Operational Procedure (SOP) Perumnas</v>
      </c>
      <c r="AF127" s="20" t="str">
        <f>DATA!AR118</f>
        <v>belum ada dokumen R/C</v>
      </c>
      <c r="AG127" s="20" t="str">
        <f>DATA!AN118</f>
        <v>dalam proses
(memiliki FS dan DED)</v>
      </c>
      <c r="AH127" s="20" t="str">
        <f>DATA!AO118</f>
        <v>siap</v>
      </c>
      <c r="AI127" s="20" t="str">
        <f>DATA!AP118</f>
        <v>belum ada proses tender/lelang</v>
      </c>
      <c r="AJ127"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K127" s="20" t="e">
        <f>DATA!#REF!</f>
        <v>#REF!</v>
      </c>
      <c r="AL127" s="20">
        <f>DATA!AZ118</f>
        <v>0</v>
      </c>
      <c r="AM127" s="37" t="str">
        <f>DATA!BA118</f>
        <v>Membangun 69.784 unit rumah (35.438 unit rumah sederhana tapak dan 34.346 unit rumah susun), meremajakan 3.816 unit rumah susun, dan mengelola perumahan umum (property management)</v>
      </c>
    </row>
    <row r="128" spans="1:39" s="4" customFormat="1" ht="24.95" hidden="1" customHeight="1">
      <c r="J128" s="107"/>
      <c r="K128" s="25">
        <f>DATA!E119</f>
        <v>3</v>
      </c>
      <c r="L128" s="108" t="str">
        <f>DATA!F119</f>
        <v>Kementerian Perhubungan</v>
      </c>
      <c r="M128" s="25"/>
      <c r="N128" s="27"/>
      <c r="O128" s="26"/>
      <c r="P128" s="26"/>
      <c r="Q128" s="26"/>
      <c r="R128" s="80">
        <f>+R129</f>
        <v>5765336700</v>
      </c>
      <c r="S128" s="80"/>
      <c r="T128" s="80">
        <f t="shared" ref="T128:Z128" si="10">+T129</f>
        <v>647453200</v>
      </c>
      <c r="U128" s="80">
        <f t="shared" si="10"/>
        <v>0</v>
      </c>
      <c r="V128" s="80">
        <f t="shared" si="10"/>
        <v>6412789900</v>
      </c>
      <c r="W128" s="80"/>
      <c r="X128" s="80" t="e">
        <f t="shared" si="10"/>
        <v>#VALUE!</v>
      </c>
      <c r="Y128" s="80">
        <f t="shared" si="10"/>
        <v>5765336700</v>
      </c>
      <c r="Z128" s="80">
        <f t="shared" si="10"/>
        <v>0</v>
      </c>
      <c r="AA128" s="26"/>
      <c r="AB128" s="27"/>
      <c r="AC128" s="27"/>
      <c r="AD128" s="27"/>
      <c r="AE128" s="27"/>
      <c r="AF128" s="26"/>
      <c r="AG128" s="26"/>
      <c r="AH128" s="26"/>
      <c r="AI128" s="26"/>
      <c r="AJ128" s="26"/>
      <c r="AK128" s="26"/>
      <c r="AL128" s="26"/>
      <c r="AM128" s="27"/>
    </row>
    <row r="129" spans="1:39" s="5" customFormat="1" ht="33.75" hidden="1" customHeight="1">
      <c r="J129" s="28"/>
      <c r="K129" s="29"/>
      <c r="L129" s="30" t="str">
        <f>DATA!I119</f>
        <v>A</v>
      </c>
      <c r="M129" s="31" t="str">
        <f>DATA!J119</f>
        <v>Program Pengembangan Perkeretaapian</v>
      </c>
      <c r="N129" s="51"/>
      <c r="O129" s="31"/>
      <c r="P129" s="31"/>
      <c r="Q129" s="31"/>
      <c r="R129" s="81">
        <f>+R130+R133+R134+R135</f>
        <v>5765336700</v>
      </c>
      <c r="S129" s="81"/>
      <c r="T129" s="81">
        <f t="shared" ref="T129:Z129" si="11">+T130+T133+T134+T135</f>
        <v>647453200</v>
      </c>
      <c r="U129" s="81">
        <f t="shared" si="11"/>
        <v>0</v>
      </c>
      <c r="V129" s="81">
        <f t="shared" si="11"/>
        <v>6412789900</v>
      </c>
      <c r="W129" s="81"/>
      <c r="X129" s="81" t="e">
        <f t="shared" si="11"/>
        <v>#VALUE!</v>
      </c>
      <c r="Y129" s="81">
        <f t="shared" si="11"/>
        <v>5765336700</v>
      </c>
      <c r="Z129" s="81">
        <f t="shared" si="11"/>
        <v>0</v>
      </c>
      <c r="AA129" s="31"/>
      <c r="AB129" s="32"/>
      <c r="AC129" s="32"/>
      <c r="AD129" s="32"/>
      <c r="AE129" s="32"/>
      <c r="AF129" s="31"/>
      <c r="AG129" s="31"/>
      <c r="AH129" s="31"/>
      <c r="AI129" s="31"/>
      <c r="AJ129" s="31"/>
      <c r="AK129" s="31"/>
      <c r="AL129" s="31"/>
      <c r="AM129" s="32"/>
    </row>
    <row r="130" spans="1:39" ht="27.75" hidden="1" customHeight="1">
      <c r="A130" s="10">
        <f>DATA!A119</f>
        <v>90</v>
      </c>
      <c r="B130" s="10">
        <f>DATA!B119</f>
        <v>0</v>
      </c>
      <c r="C130" s="10" t="str">
        <f>DATA!D119</f>
        <v>INFRASTRUKTUR</v>
      </c>
      <c r="D130" s="10">
        <f>DATA!E119</f>
        <v>3</v>
      </c>
      <c r="E130" s="10" t="str">
        <f>DATA!F119</f>
        <v>Kementerian Perhubungan</v>
      </c>
      <c r="F130" s="10" t="str">
        <f>DATA!H119</f>
        <v>Railway Development Program</v>
      </c>
      <c r="G130" s="10" t="str">
        <f>DATA!I119</f>
        <v>A</v>
      </c>
      <c r="H130" s="10" t="str">
        <f>DATA!J119</f>
        <v>Program Pengembangan Perkeretaapian</v>
      </c>
      <c r="I130" s="10">
        <f>DATA!K119</f>
        <v>1</v>
      </c>
      <c r="J130" s="33"/>
      <c r="K130" s="34"/>
      <c r="L130" s="35"/>
      <c r="M130" s="36">
        <f>DATA!K119</f>
        <v>1</v>
      </c>
      <c r="N130" s="37" t="str">
        <f>DATA!L119</f>
        <v>Procurement of Track Material and Turn Out:</v>
      </c>
      <c r="O130" s="20">
        <f>DATA!Q119</f>
        <v>0</v>
      </c>
      <c r="P130" s="20">
        <f>DATA!R119</f>
        <v>0</v>
      </c>
      <c r="Q130" s="20">
        <f>DATA!S119</f>
        <v>0</v>
      </c>
      <c r="R130" s="77">
        <f>DATA!T119</f>
        <v>492336700</v>
      </c>
      <c r="S130" s="77"/>
      <c r="T130" s="77">
        <f>DATA!V119</f>
        <v>119453200</v>
      </c>
      <c r="U130" s="77">
        <f>DATA!W119</f>
        <v>0</v>
      </c>
      <c r="V130" s="77">
        <f>DATA!X119</f>
        <v>611789900</v>
      </c>
      <c r="W130" s="78" t="str">
        <f>DATA!Y119</f>
        <v>-</v>
      </c>
      <c r="X130" s="20">
        <f>DATA!Z119</f>
        <v>0</v>
      </c>
      <c r="Y130" s="77">
        <f>DATA!AA119</f>
        <v>492336700</v>
      </c>
      <c r="Z130" s="77">
        <f>DATA!AG119</f>
        <v>0</v>
      </c>
      <c r="AA130" s="20" t="str">
        <f>DATA!AH119</f>
        <v>-</v>
      </c>
      <c r="AB130" s="37" t="str">
        <f>DATA!AI119</f>
        <v>-</v>
      </c>
      <c r="AC130" s="37" t="str">
        <f>DATA!AJ119</f>
        <v>-</v>
      </c>
      <c r="AD130" s="37" t="str">
        <f>DATA!AK119</f>
        <v>-</v>
      </c>
      <c r="AE130" s="37" t="str">
        <f>DATA!AL119</f>
        <v>-</v>
      </c>
      <c r="AF130" s="20" t="str">
        <f>DATA!AM119</f>
        <v>-</v>
      </c>
      <c r="AG130" s="20">
        <f>DATA!AN119</f>
        <v>0</v>
      </c>
      <c r="AH130" s="20" t="str">
        <f>DATA!AO119</f>
        <v>-</v>
      </c>
      <c r="AI130" s="20">
        <f>DATA!AP119</f>
        <v>0</v>
      </c>
      <c r="AJ130" s="20" t="str">
        <f>DATA!AY119</f>
        <v>Surat Kepala Biro Perencanaan nomor 548/BI/SRT/IX/2015 tgl 10 September 2015</v>
      </c>
      <c r="AK130" s="20" t="e">
        <f>DATA!#REF!</f>
        <v>#REF!</v>
      </c>
      <c r="AL130" s="20">
        <f>DATA!AZ119</f>
        <v>0</v>
      </c>
      <c r="AM130" s="37" t="str">
        <f>DATA!BA119</f>
        <v>Pengadaan 4.500 km track material dan pengadaan 650 unit wesel</v>
      </c>
    </row>
    <row r="131" spans="1:39" s="7" customFormat="1" ht="89.25">
      <c r="A131" s="6">
        <f>DATA!A120</f>
        <v>91</v>
      </c>
      <c r="B131" s="6">
        <f>DATA!B120</f>
        <v>0</v>
      </c>
      <c r="C131" s="6" t="str">
        <f>DATA!D120</f>
        <v>INFRASTRUKTUR</v>
      </c>
      <c r="D131" s="6">
        <f>DATA!E120</f>
        <v>3</v>
      </c>
      <c r="E131" s="6" t="str">
        <f>DATA!F120</f>
        <v>Kementerian Perhubungan</v>
      </c>
      <c r="F131" s="6" t="str">
        <f>DATA!H120</f>
        <v>Railway Development Program</v>
      </c>
      <c r="G131" s="6" t="str">
        <f>DATA!I120</f>
        <v>A</v>
      </c>
      <c r="H131" s="6" t="str">
        <f>DATA!J120</f>
        <v>Program Pengembangan Perkeretaapian</v>
      </c>
      <c r="I131" s="6">
        <f>DATA!K120</f>
        <v>1</v>
      </c>
      <c r="J131" s="44"/>
      <c r="K131" s="45"/>
      <c r="L131" s="45"/>
      <c r="M131" s="48"/>
      <c r="N131" s="68" t="str">
        <f>DATA!L120</f>
        <v>Procurement of Track Material and Turn Out - Phase II</v>
      </c>
      <c r="O131" s="42">
        <f>DATA!Q120</f>
        <v>1</v>
      </c>
      <c r="P131" s="42">
        <f>DATA!R120</f>
        <v>1</v>
      </c>
      <c r="Q131" s="42">
        <f>DATA!S120</f>
        <v>81</v>
      </c>
      <c r="R131" s="85">
        <f>DATA!T120</f>
        <v>200000000</v>
      </c>
      <c r="S131" s="85"/>
      <c r="T131" s="85">
        <f>DATA!V120</f>
        <v>46369000</v>
      </c>
      <c r="U131" s="83">
        <f>DATA!W120</f>
        <v>0</v>
      </c>
      <c r="V131" s="85">
        <f>DATA!X120</f>
        <v>246369000</v>
      </c>
      <c r="W131" s="86" t="str">
        <f>DATA!Y120</f>
        <v>RRT</v>
      </c>
      <c r="X131" s="42" t="str">
        <f>DATA!Z120</f>
        <v>Bilateral</v>
      </c>
      <c r="Y131" s="85">
        <f>DATA!AA120</f>
        <v>200000000</v>
      </c>
      <c r="Z131" s="85">
        <f>DATA!AG120</f>
        <v>0</v>
      </c>
      <c r="AA131" s="98">
        <f>DATA!AH120</f>
        <v>2016</v>
      </c>
      <c r="AB131" s="68" t="str">
        <f>DATA!AI120</f>
        <v>- Sudah ada R/C
- Green Book 2015
- Proses E/N dan LA
- Dalam proses persiapan penandatanganan Loan Agreement</v>
      </c>
      <c r="AC131" s="68" t="str">
        <f>DATA!AJ120</f>
        <v>- TOR
- RAB</v>
      </c>
      <c r="AD131" s="68" t="str">
        <f>DATA!AK120</f>
        <v xml:space="preserve">Tidak butuh pengadaan lahan </v>
      </c>
      <c r="AE131" s="68" t="str">
        <f>DATA!AL120</f>
        <v>Proses persetujuan draft kontrak oleh Menteri Perhubungan</v>
      </c>
      <c r="AF131" s="42" t="str">
        <f>DATA!AR120</f>
        <v>Nilai pinjaman di:
- GB 16 USD 175.056 ribu
- GB 15 USD 185.470 ribu</v>
      </c>
      <c r="AG131" s="42" t="str">
        <f>DATA!AN120</f>
        <v>dalam proses</v>
      </c>
      <c r="AH131" s="42" t="str">
        <f>DATA!AO120</f>
        <v>tidak butuh lahan</v>
      </c>
      <c r="AI131" s="42" t="str">
        <f>DATA!AP120</f>
        <v>belum ada proses tender/lelang</v>
      </c>
      <c r="AJ131" s="42" t="str">
        <f>DATA!AY120</f>
        <v>Surat Kepala Biro Perencanaan nomor 548/BI/SRT/IX/2015 tgl 10 September 2015</v>
      </c>
      <c r="AK131" s="42" t="e">
        <f>DATA!#REF!</f>
        <v>#REF!</v>
      </c>
      <c r="AL131" s="42">
        <f>DATA!AZ120</f>
        <v>0</v>
      </c>
      <c r="AM131" s="67" t="str">
        <f>DATA!BA120</f>
        <v>Pengadaan 1.500 km track material tipe UIC-54 dan pengadaan 300 unit wesel</v>
      </c>
    </row>
    <row r="132" spans="1:39" s="6" customFormat="1" ht="35.25" hidden="1" customHeight="1">
      <c r="A132" s="6">
        <f>DATA!A121</f>
        <v>92</v>
      </c>
      <c r="B132" s="6">
        <f>DATA!B121</f>
        <v>0</v>
      </c>
      <c r="C132" s="6" t="str">
        <f>DATA!D121</f>
        <v>INFRASTRUKTUR</v>
      </c>
      <c r="D132" s="6">
        <f>DATA!E121</f>
        <v>3</v>
      </c>
      <c r="E132" s="6" t="str">
        <f>DATA!F121</f>
        <v>Kementerian Perhubungan</v>
      </c>
      <c r="F132" s="6" t="str">
        <f>DATA!H121</f>
        <v>Railway Development Program</v>
      </c>
      <c r="G132" s="6" t="str">
        <f>DATA!I121</f>
        <v>A</v>
      </c>
      <c r="H132" s="6" t="str">
        <f>DATA!J121</f>
        <v>Program Pengembangan Perkeretaapian</v>
      </c>
      <c r="I132" s="6">
        <f>DATA!K121</f>
        <v>1</v>
      </c>
      <c r="J132" s="38"/>
      <c r="K132" s="39"/>
      <c r="L132" s="39"/>
      <c r="M132" s="43"/>
      <c r="N132" s="67" t="str">
        <f>DATA!L121</f>
        <v>Procurement of Track Material and Turn Out - Phase III</v>
      </c>
      <c r="O132" s="42">
        <f>DATA!Q121</f>
        <v>1</v>
      </c>
      <c r="P132" s="42">
        <f>DATA!R121</f>
        <v>1</v>
      </c>
      <c r="Q132" s="42">
        <f>DATA!S121</f>
        <v>82</v>
      </c>
      <c r="R132" s="83">
        <f>DATA!T121</f>
        <v>292336700</v>
      </c>
      <c r="S132" s="83"/>
      <c r="T132" s="83">
        <f>DATA!V121</f>
        <v>73084200</v>
      </c>
      <c r="U132" s="83">
        <f>DATA!W121</f>
        <v>0</v>
      </c>
      <c r="V132" s="83">
        <f>DATA!X121</f>
        <v>365420900</v>
      </c>
      <c r="W132" s="84" t="str">
        <f>DATA!Y121</f>
        <v>Belum Ada Indikasi</v>
      </c>
      <c r="X132" s="42" t="str">
        <f>DATA!Z121</f>
        <v>Belum Ada Indikasi</v>
      </c>
      <c r="Y132" s="83">
        <f>DATA!AA121</f>
        <v>292336700</v>
      </c>
      <c r="Z132" s="83">
        <f>DATA!AG121</f>
        <v>0</v>
      </c>
      <c r="AA132" s="42">
        <f>DATA!AH121</f>
        <v>2016</v>
      </c>
      <c r="AB132" s="67" t="str">
        <f>DATA!AI121</f>
        <v>-</v>
      </c>
      <c r="AC132" s="67" t="str">
        <f>DATA!AJ121</f>
        <v>-</v>
      </c>
      <c r="AD132" s="67" t="str">
        <f>DATA!AK121</f>
        <v xml:space="preserve">Tidak butuh pengadaan lahan </v>
      </c>
      <c r="AE132" s="67" t="str">
        <f>DATA!AL121</f>
        <v>-</v>
      </c>
      <c r="AF132" s="42" t="str">
        <f>DATA!AR121</f>
        <v>belum ada dokumen R/C</v>
      </c>
      <c r="AG132" s="42" t="str">
        <f>DATA!AN121</f>
        <v>belum ada keterangan</v>
      </c>
      <c r="AH132" s="42" t="str">
        <f>DATA!AO121</f>
        <v>tidak butuh lahan</v>
      </c>
      <c r="AI132" s="42" t="str">
        <f>DATA!AP121</f>
        <v>belum ada proses tender/lelang</v>
      </c>
      <c r="AJ132" s="42" t="str">
        <f>DATA!AY121</f>
        <v xml:space="preserve">- Menunggu kepastian Lender
- Surat Kepala Biro Perencanaan nomor 548/BI/SRT/IX/2015 tgl 10 September 2015
</v>
      </c>
      <c r="AK132" s="42" t="e">
        <f>DATA!#REF!</f>
        <v>#REF!</v>
      </c>
      <c r="AL132" s="42">
        <f>DATA!AZ121</f>
        <v>0</v>
      </c>
      <c r="AM132" s="67" t="str">
        <f>DATA!BA121</f>
        <v>Pengadaan 3.000 km track material tipe R 60 dan pengadaan 350 unit wesel</v>
      </c>
    </row>
    <row r="133" spans="1:39" ht="75.75" hidden="1" customHeight="1">
      <c r="A133" s="10">
        <f>DATA!A123</f>
        <v>93</v>
      </c>
      <c r="B133" s="10">
        <f>DATA!B123</f>
        <v>0</v>
      </c>
      <c r="C133" s="10" t="str">
        <f>DATA!D123</f>
        <v>INFRASTRUKTUR</v>
      </c>
      <c r="D133" s="10">
        <f>DATA!E123</f>
        <v>3</v>
      </c>
      <c r="E133" s="10" t="str">
        <f>DATA!F123</f>
        <v>Kementerian Perhubungan</v>
      </c>
      <c r="F133" s="10" t="str">
        <f>DATA!H123</f>
        <v>Railway Development Program</v>
      </c>
      <c r="G133" s="10" t="str">
        <f>DATA!I123</f>
        <v>A</v>
      </c>
      <c r="H133" s="10" t="str">
        <f>DATA!J123</f>
        <v>Program Pengembangan Perkeretaapian</v>
      </c>
      <c r="I133" s="10">
        <f>DATA!K123</f>
        <v>2</v>
      </c>
      <c r="J133" s="33"/>
      <c r="K133" s="34"/>
      <c r="L133" s="34"/>
      <c r="M133" s="36">
        <f>DATA!K123</f>
        <v>2</v>
      </c>
      <c r="N133" s="37" t="str">
        <f>DATA!L123</f>
        <v xml:space="preserve">Construction of Jakarta Mass Rapid Transit Project - Phase II </v>
      </c>
      <c r="O133" s="20">
        <f>DATA!Q123</f>
        <v>1</v>
      </c>
      <c r="P133" s="20">
        <f>DATA!R123</f>
        <v>1</v>
      </c>
      <c r="Q133" s="20">
        <f>DATA!S123</f>
        <v>83</v>
      </c>
      <c r="R133" s="77">
        <f>DATA!T123</f>
        <v>1678000000</v>
      </c>
      <c r="S133" s="77"/>
      <c r="T133" s="77">
        <f>DATA!V123</f>
        <v>167800000</v>
      </c>
      <c r="U133" s="77">
        <f>DATA!W123</f>
        <v>0</v>
      </c>
      <c r="V133" s="77">
        <f>DATA!X123</f>
        <v>1845800000</v>
      </c>
      <c r="W133" s="78" t="str">
        <f>DATA!Y123</f>
        <v>JICA</v>
      </c>
      <c r="X133" s="20" t="str">
        <f>DATA!Z123</f>
        <v>Bilateral</v>
      </c>
      <c r="Y133" s="77">
        <f>DATA!AA123</f>
        <v>1678000000</v>
      </c>
      <c r="Z133" s="77">
        <f>DATA!AG123</f>
        <v>0</v>
      </c>
      <c r="AA133" s="20">
        <f>DATA!AH123</f>
        <v>2016</v>
      </c>
      <c r="AB133" s="37" t="str">
        <f>DATA!AI123</f>
        <v>-</v>
      </c>
      <c r="AC133" s="37" t="str">
        <f>DATA!AJ123</f>
        <v>- FS
- TOR (Disusun oleh Pemda DKI Jakarta)
-  RAB (Disusun oleh Pemda DKI Jakarta)</v>
      </c>
      <c r="AD133" s="37" t="str">
        <f>DATA!AK123</f>
        <v>Indikasi kebutuhan lahan menunggu hasil desain</v>
      </c>
      <c r="AE133" s="37" t="str">
        <f>DATA!AL123</f>
        <v>- Dilaksanakan oleh Pemda DKI Jakarta (Implementing Agency)</v>
      </c>
      <c r="AF133" s="20" t="str">
        <f>DATA!AR123</f>
        <v>belum ada dokumen R/C</v>
      </c>
      <c r="AG133" s="20" t="str">
        <f>DATA!AN123</f>
        <v>dalam proses
(memiliki FS)</v>
      </c>
      <c r="AH133" s="20" t="str">
        <f>DATA!AO123</f>
        <v>dalam proses
(perencanaan)</v>
      </c>
      <c r="AI133" s="20" t="str">
        <f>DATA!AP123</f>
        <v>belum ada proses tender/lelang</v>
      </c>
      <c r="AJ133" s="20" t="str">
        <f>DATA!AY123</f>
        <v>Surat Kepala Biro Perencanaan nomor 548/BI/SRT/IX/2015 tgl 10 September 2015</v>
      </c>
      <c r="AK133" s="20" t="e">
        <f>DATA!#REF!</f>
        <v>#REF!</v>
      </c>
      <c r="AL133" s="20">
        <f>DATA!AZ123</f>
        <v>0</v>
      </c>
      <c r="AM133" s="37" t="str">
        <f>DATA!BA123</f>
        <v>Terbangunnya jaringan MRT dari bundaran HI ke Kampung Bandan</v>
      </c>
    </row>
    <row r="134" spans="1:39" ht="74.25" hidden="1" customHeight="1">
      <c r="A134" s="10">
        <f>DATA!A124</f>
        <v>94</v>
      </c>
      <c r="B134" s="10">
        <f>DATA!B124</f>
        <v>0</v>
      </c>
      <c r="C134" s="10" t="str">
        <f>DATA!D124</f>
        <v>INFRASTRUKTUR</v>
      </c>
      <c r="D134" s="10">
        <f>DATA!E124</f>
        <v>3</v>
      </c>
      <c r="E134" s="10" t="str">
        <f>DATA!F124</f>
        <v>Kementerian Perhubungan</v>
      </c>
      <c r="F134" s="10" t="str">
        <f>DATA!H124</f>
        <v>Railway Development Program</v>
      </c>
      <c r="G134" s="10" t="str">
        <f>DATA!I124</f>
        <v>A</v>
      </c>
      <c r="H134" s="10" t="str">
        <f>DATA!J124</f>
        <v>Program Pengembangan Perkeretaapian</v>
      </c>
      <c r="I134" s="10">
        <f>DATA!K124</f>
        <v>3</v>
      </c>
      <c r="J134" s="33"/>
      <c r="K134" s="34"/>
      <c r="L134" s="34"/>
      <c r="M134" s="36">
        <f>DATA!K124</f>
        <v>3</v>
      </c>
      <c r="N134" s="37" t="str">
        <f>DATA!L124</f>
        <v>Construction of Jakarta Mass Rapid Transit East-West Line Project - Phase I</v>
      </c>
      <c r="O134" s="20">
        <f>DATA!Q124</f>
        <v>1</v>
      </c>
      <c r="P134" s="20">
        <f>DATA!R124</f>
        <v>1</v>
      </c>
      <c r="Q134" s="20">
        <f>DATA!S124</f>
        <v>84</v>
      </c>
      <c r="R134" s="77">
        <f>DATA!T124</f>
        <v>3572000000</v>
      </c>
      <c r="S134" s="77"/>
      <c r="T134" s="77">
        <f>DATA!V124</f>
        <v>357200000</v>
      </c>
      <c r="U134" s="77">
        <f>DATA!W124</f>
        <v>0</v>
      </c>
      <c r="V134" s="77">
        <f>DATA!X124</f>
        <v>3929200000</v>
      </c>
      <c r="W134" s="78" t="str">
        <f>DATA!Y124</f>
        <v>JICA</v>
      </c>
      <c r="X134" s="20" t="str">
        <f>DATA!Z124</f>
        <v>Bilateral</v>
      </c>
      <c r="Y134" s="77">
        <f>DATA!AA124</f>
        <v>3572000000</v>
      </c>
      <c r="Z134" s="77">
        <f>DATA!AG124</f>
        <v>0</v>
      </c>
      <c r="AA134" s="20">
        <f>DATA!AH124</f>
        <v>2018</v>
      </c>
      <c r="AB134" s="37" t="str">
        <f>DATA!AI124</f>
        <v>-</v>
      </c>
      <c r="AC134" s="37" t="str">
        <f>DATA!AJ124</f>
        <v>- FS
- TOR (Disusun oleh Pemda DKI Jakarta)
-  RAB (Disusun oleh Pemda DKI Jakarta)</v>
      </c>
      <c r="AD134" s="37" t="str">
        <f>DATA!AK124</f>
        <v>Indikasi kebutuhan lahan menunggu hasil desain</v>
      </c>
      <c r="AE134" s="37" t="str">
        <f>DATA!AL124</f>
        <v>- Dilaksanakan oleh Pemda DKI Jakarta (Implementing Agency)</v>
      </c>
      <c r="AF134" s="20" t="str">
        <f>DATA!AR124</f>
        <v>belum ada dokumen R/C</v>
      </c>
      <c r="AG134" s="20" t="str">
        <f>DATA!AN124</f>
        <v>dalam proses
(memiliki FS)</v>
      </c>
      <c r="AH134" s="20" t="str">
        <f>DATA!AO124</f>
        <v>dalam proses
(perencanaan)</v>
      </c>
      <c r="AI134" s="20" t="str">
        <f>DATA!AP124</f>
        <v>belum ada proses tender/lelang</v>
      </c>
      <c r="AJ134" s="20" t="str">
        <f>DATA!AY124</f>
        <v>Surat Kepala Biro Perencanaan nomor 548/BI/SRT/IX/2015 tgl 10 September 2015</v>
      </c>
      <c r="AK134" s="20" t="e">
        <f>DATA!#REF!</f>
        <v>#REF!</v>
      </c>
      <c r="AL134" s="20">
        <f>DATA!AZ124</f>
        <v>0</v>
      </c>
      <c r="AM134" s="37" t="str">
        <f>DATA!BA124</f>
        <v>Terbangunnya jaringan MRT dari Jakarta Timur ke Jakarta Barat</v>
      </c>
    </row>
    <row r="135" spans="1:39" s="8" customFormat="1" ht="51" hidden="1">
      <c r="A135" s="10">
        <f>DATA!A125</f>
        <v>95</v>
      </c>
      <c r="B135" s="10">
        <f>DATA!B125</f>
        <v>0</v>
      </c>
      <c r="C135" s="10" t="str">
        <f>DATA!D125</f>
        <v>INFRASTRUKTUR</v>
      </c>
      <c r="D135" s="10">
        <f>DATA!E125</f>
        <v>3</v>
      </c>
      <c r="E135" s="10" t="str">
        <f>DATA!F125</f>
        <v>Kementerian Perhubungan</v>
      </c>
      <c r="F135" s="10" t="str">
        <f>DATA!H125</f>
        <v>Railway Development Program</v>
      </c>
      <c r="G135" s="10" t="str">
        <f>DATA!I125</f>
        <v>A</v>
      </c>
      <c r="H135" s="10" t="str">
        <f>DATA!J125</f>
        <v>Program Pengembangan Perkeretaapian</v>
      </c>
      <c r="I135" s="10">
        <f>DATA!K125</f>
        <v>4</v>
      </c>
      <c r="J135" s="57"/>
      <c r="K135" s="111"/>
      <c r="L135" s="111"/>
      <c r="M135" s="60">
        <f>DATA!K125</f>
        <v>4</v>
      </c>
      <c r="N135" s="61" t="str">
        <f>DATA!L125</f>
        <v xml:space="preserve">Engineering Services Jakarta Mass Rapid Transit (MRT) East West Line Project - Phase I </v>
      </c>
      <c r="O135" s="20">
        <f>DATA!Q125</f>
        <v>1</v>
      </c>
      <c r="P135" s="20">
        <f>DATA!R125</f>
        <v>1</v>
      </c>
      <c r="Q135" s="20">
        <f>DATA!S125</f>
        <v>86</v>
      </c>
      <c r="R135" s="89">
        <f>DATA!T125</f>
        <v>23000000</v>
      </c>
      <c r="S135" s="89"/>
      <c r="T135" s="89">
        <f>DATA!V125</f>
        <v>3000000</v>
      </c>
      <c r="U135" s="77">
        <f>DATA!W125</f>
        <v>0</v>
      </c>
      <c r="V135" s="89">
        <f>DATA!X125</f>
        <v>26000000</v>
      </c>
      <c r="W135" s="90" t="str">
        <f>DATA!Y125</f>
        <v>JICA</v>
      </c>
      <c r="X135" s="20" t="str">
        <f>DATA!Z125</f>
        <v>Bilateral</v>
      </c>
      <c r="Y135" s="89">
        <f>DATA!AA125</f>
        <v>23000000</v>
      </c>
      <c r="Z135" s="89">
        <f>DATA!AG125</f>
        <v>0</v>
      </c>
      <c r="AA135" s="103">
        <f>DATA!AH125</f>
        <v>2015</v>
      </c>
      <c r="AB135" s="61" t="str">
        <f>DATA!AI125</f>
        <v>- Sudah ada R/C
- Green Book 2015
- Loan Agreement tgl 4 Des'15</v>
      </c>
      <c r="AC135" s="61" t="str">
        <f>DATA!AJ125</f>
        <v>- TOR
- RAB</v>
      </c>
      <c r="AD135" s="61" t="str">
        <f>DATA!AK125</f>
        <v>Tidak membutuhkan pengadaan lahan</v>
      </c>
      <c r="AE135" s="61" t="str">
        <f>DATA!AL125</f>
        <v xml:space="preserve">- </v>
      </c>
      <c r="AF135" s="20" t="str">
        <f>DATA!AR125</f>
        <v>Nilai pinjaman di GB 19.200 ribu</v>
      </c>
      <c r="AG135" s="20" t="str">
        <f>DATA!AN125</f>
        <v>siap</v>
      </c>
      <c r="AH135" s="20" t="str">
        <f>DATA!AO125</f>
        <v>tidak butuh lahan</v>
      </c>
      <c r="AI135" s="20" t="str">
        <f>DATA!AP125</f>
        <v>belum ada proses tender/lelang</v>
      </c>
      <c r="AJ135" s="20" t="str">
        <f>DATA!AY125</f>
        <v>Surat Kepala Biro Perencanaan nomor 548/BI/SRT/IX/2015 tgl 10 September 2015</v>
      </c>
      <c r="AK135" s="20" t="e">
        <f>DATA!#REF!</f>
        <v>#REF!</v>
      </c>
      <c r="AL135" s="20">
        <f>DATA!AZ125</f>
        <v>0</v>
      </c>
      <c r="AM135" s="37" t="str">
        <f>DATA!BA125</f>
        <v xml:space="preserve">Tersedianya DED dan dokumen tender </v>
      </c>
    </row>
    <row r="136" spans="1:39" s="4" customFormat="1" ht="24.95" hidden="1" customHeight="1">
      <c r="J136" s="107"/>
      <c r="K136" s="25">
        <f>DATA!E130</f>
        <v>4</v>
      </c>
      <c r="L136" s="108" t="str">
        <f>DATA!F130</f>
        <v>Pemprov. DKI Jakarta</v>
      </c>
      <c r="M136" s="25"/>
      <c r="N136" s="27"/>
      <c r="O136" s="26"/>
      <c r="P136" s="26"/>
      <c r="Q136" s="26"/>
      <c r="R136" s="80">
        <f>+R137</f>
        <v>1050000000</v>
      </c>
      <c r="S136" s="80"/>
      <c r="T136" s="80">
        <f t="shared" ref="T136:Z137" si="12">+T137</f>
        <v>150000000</v>
      </c>
      <c r="U136" s="80">
        <f t="shared" si="12"/>
        <v>0</v>
      </c>
      <c r="V136" s="80">
        <f t="shared" si="12"/>
        <v>1200000000</v>
      </c>
      <c r="W136" s="80"/>
      <c r="X136" s="80" t="str">
        <f t="shared" si="12"/>
        <v>Bilateral</v>
      </c>
      <c r="Y136" s="80">
        <f t="shared" si="12"/>
        <v>1050000000</v>
      </c>
      <c r="Z136" s="80">
        <f t="shared" si="12"/>
        <v>0</v>
      </c>
      <c r="AA136" s="26"/>
      <c r="AB136" s="27"/>
      <c r="AC136" s="27"/>
      <c r="AD136" s="27"/>
      <c r="AE136" s="27"/>
      <c r="AF136" s="26"/>
      <c r="AG136" s="26"/>
      <c r="AH136" s="26"/>
      <c r="AI136" s="26"/>
      <c r="AJ136" s="26"/>
      <c r="AK136" s="26"/>
      <c r="AL136" s="26"/>
      <c r="AM136" s="27"/>
    </row>
    <row r="137" spans="1:39" s="5" customFormat="1" ht="33.75" hidden="1" customHeight="1">
      <c r="J137" s="28"/>
      <c r="K137" s="29"/>
      <c r="L137" s="30" t="str">
        <f>DATA!I130</f>
        <v>A</v>
      </c>
      <c r="M137" s="31" t="str">
        <f>DATA!J130</f>
        <v>Program Pengembangan Perkeretaapian</v>
      </c>
      <c r="N137" s="51"/>
      <c r="O137" s="31"/>
      <c r="P137" s="31"/>
      <c r="Q137" s="31"/>
      <c r="R137" s="81">
        <f>+R138</f>
        <v>1050000000</v>
      </c>
      <c r="S137" s="81"/>
      <c r="T137" s="81">
        <f t="shared" si="12"/>
        <v>150000000</v>
      </c>
      <c r="U137" s="81">
        <f t="shared" si="12"/>
        <v>0</v>
      </c>
      <c r="V137" s="81">
        <f t="shared" si="12"/>
        <v>1200000000</v>
      </c>
      <c r="W137" s="81"/>
      <c r="X137" s="81" t="str">
        <f t="shared" si="12"/>
        <v>Bilateral</v>
      </c>
      <c r="Y137" s="81">
        <f t="shared" si="12"/>
        <v>1050000000</v>
      </c>
      <c r="Z137" s="81">
        <f t="shared" si="12"/>
        <v>0</v>
      </c>
      <c r="AA137" s="31"/>
      <c r="AB137" s="32"/>
      <c r="AC137" s="32"/>
      <c r="AD137" s="32"/>
      <c r="AE137" s="32"/>
      <c r="AF137" s="31"/>
      <c r="AG137" s="31"/>
      <c r="AH137" s="31"/>
      <c r="AI137" s="31"/>
      <c r="AJ137" s="31"/>
      <c r="AK137" s="31"/>
      <c r="AL137" s="31"/>
      <c r="AM137" s="32"/>
    </row>
    <row r="138" spans="1:39" s="8" customFormat="1" ht="45.75" customHeight="1">
      <c r="A138" s="10">
        <f>DATA!A130</f>
        <v>96</v>
      </c>
      <c r="B138" s="10">
        <f>DATA!B130</f>
        <v>0</v>
      </c>
      <c r="C138" s="10" t="str">
        <f>DATA!D130</f>
        <v>INFRASTRUKTUR</v>
      </c>
      <c r="D138" s="10">
        <f>DATA!E130</f>
        <v>4</v>
      </c>
      <c r="E138" s="10" t="str">
        <f>DATA!F130</f>
        <v>Pemprov. DKI Jakarta</v>
      </c>
      <c r="F138" s="10" t="str">
        <f>DATA!H130</f>
        <v>Railway Development Program</v>
      </c>
      <c r="G138" s="10" t="str">
        <f>DATA!I130</f>
        <v>A</v>
      </c>
      <c r="H138" s="10" t="str">
        <f>DATA!J130</f>
        <v>Program Pengembangan Perkeretaapian</v>
      </c>
      <c r="I138" s="10">
        <f>DATA!K130</f>
        <v>1</v>
      </c>
      <c r="J138" s="57"/>
      <c r="K138" s="111"/>
      <c r="L138" s="103"/>
      <c r="M138" s="103">
        <f>DATA!K130</f>
        <v>1</v>
      </c>
      <c r="N138" s="61" t="str">
        <f>DATA!L130</f>
        <v>Construction of Jakarta Mass Rapid Transit Project</v>
      </c>
      <c r="O138" s="20">
        <f>DATA!Q130</f>
        <v>1</v>
      </c>
      <c r="P138" s="20">
        <f>DATA!R130</f>
        <v>1</v>
      </c>
      <c r="Q138" s="20">
        <f>DATA!S130</f>
        <v>85</v>
      </c>
      <c r="R138" s="89">
        <f>DATA!T130</f>
        <v>1050000000</v>
      </c>
      <c r="S138" s="89"/>
      <c r="T138" s="89">
        <f>DATA!V130</f>
        <v>150000000</v>
      </c>
      <c r="U138" s="77">
        <f>DATA!W130</f>
        <v>0</v>
      </c>
      <c r="V138" s="89">
        <f>DATA!X130</f>
        <v>1200000000</v>
      </c>
      <c r="W138" s="90" t="str">
        <f>DATA!Y130</f>
        <v>JICA</v>
      </c>
      <c r="X138" s="20" t="str">
        <f>DATA!Z130</f>
        <v>Bilateral</v>
      </c>
      <c r="Y138" s="89">
        <f>DATA!AA130</f>
        <v>1050000000</v>
      </c>
      <c r="Z138" s="89">
        <f>DATA!AG130</f>
        <v>0</v>
      </c>
      <c r="AA138" s="103">
        <f>DATA!AH130</f>
        <v>2016</v>
      </c>
      <c r="AB138" s="61" t="str">
        <f>DATA!AI130</f>
        <v>- Sudah ada R/C
- Green Book 2015
- Loan Agreement tgl 4 Des'15</v>
      </c>
      <c r="AC138" s="61" t="str">
        <f>DATA!AJ130</f>
        <v>- TOR
- RAB</v>
      </c>
      <c r="AD138" s="131">
        <f>DATA!AK130</f>
        <v>1</v>
      </c>
      <c r="AE138" s="61" t="str">
        <f>DATA!AL130</f>
        <v>- Menunggu penandatanganan Loan Agreement</v>
      </c>
      <c r="AF138" s="20" t="str">
        <f>DATA!AR130</f>
        <v>Nilai pinjaman di GB USD 752.200 ribu</v>
      </c>
      <c r="AG138" s="20" t="str">
        <f>DATA!AN130</f>
        <v>siap</v>
      </c>
      <c r="AH138" s="20" t="str">
        <f>DATA!AO130</f>
        <v>siap</v>
      </c>
      <c r="AI138" s="20" t="str">
        <f>DATA!AP130</f>
        <v>dalam proses tender/lelang</v>
      </c>
      <c r="AJ138" s="20" t="str">
        <f>DATA!AY130</f>
        <v>Belum ada konfirmasi. Berdasarkan data dokumen kesiapan (RC)</v>
      </c>
      <c r="AK138" s="20" t="e">
        <f>DATA!#REF!</f>
        <v>#REF!</v>
      </c>
      <c r="AL138" s="20">
        <f>DATA!AZ130</f>
        <v>0</v>
      </c>
      <c r="AM138" s="37" t="str">
        <f>DATA!BA130</f>
        <v>Terbangunnya jaringan MRT dari Utara ke Selatan</v>
      </c>
    </row>
    <row r="139" spans="1:39" s="4" customFormat="1" ht="24.95" hidden="1" customHeight="1">
      <c r="J139" s="107"/>
      <c r="K139" s="25">
        <f>DATA!E135</f>
        <v>5</v>
      </c>
      <c r="L139" s="108" t="str">
        <f>DATA!F135</f>
        <v>Kementerian Komunikasi dan Informatika</v>
      </c>
      <c r="M139" s="25"/>
      <c r="N139" s="27"/>
      <c r="O139" s="26"/>
      <c r="P139" s="26"/>
      <c r="Q139" s="26"/>
      <c r="R139" s="80">
        <f>+R140</f>
        <v>1056000000</v>
      </c>
      <c r="S139" s="80"/>
      <c r="T139" s="80">
        <f t="shared" ref="T139:Z139" si="13">+T140</f>
        <v>86000000</v>
      </c>
      <c r="U139" s="80">
        <f t="shared" si="13"/>
        <v>10000000</v>
      </c>
      <c r="V139" s="80">
        <f t="shared" si="13"/>
        <v>1152000000</v>
      </c>
      <c r="W139" s="80"/>
      <c r="X139" s="80" t="e">
        <f t="shared" si="13"/>
        <v>#VALUE!</v>
      </c>
      <c r="Y139" s="80">
        <f t="shared" si="13"/>
        <v>1056000000</v>
      </c>
      <c r="Z139" s="80">
        <f t="shared" si="13"/>
        <v>-411000000</v>
      </c>
      <c r="AA139" s="26"/>
      <c r="AB139" s="27"/>
      <c r="AC139" s="27"/>
      <c r="AD139" s="27"/>
      <c r="AE139" s="27"/>
      <c r="AF139" s="26"/>
      <c r="AG139" s="26"/>
      <c r="AH139" s="26"/>
      <c r="AI139" s="26"/>
      <c r="AJ139" s="26"/>
      <c r="AK139" s="26"/>
      <c r="AL139" s="26"/>
      <c r="AM139" s="27"/>
    </row>
    <row r="140" spans="1:39" s="5" customFormat="1" ht="33.75" hidden="1" customHeight="1">
      <c r="J140" s="28"/>
      <c r="K140" s="29"/>
      <c r="L140" s="30" t="str">
        <f>DATA!I135</f>
        <v>A</v>
      </c>
      <c r="M140" s="31" t="str">
        <f>DATA!J135</f>
        <v>Program Pengembangan Infrastruktur TIK dan Penyiaran</v>
      </c>
      <c r="N140" s="51"/>
      <c r="O140" s="31"/>
      <c r="P140" s="31"/>
      <c r="Q140" s="31"/>
      <c r="R140" s="81">
        <f>+R141+R142+R143</f>
        <v>1056000000</v>
      </c>
      <c r="S140" s="81"/>
      <c r="T140" s="81">
        <f t="shared" ref="T140:Z140" si="14">+T141+T142+T143</f>
        <v>86000000</v>
      </c>
      <c r="U140" s="81">
        <f t="shared" si="14"/>
        <v>10000000</v>
      </c>
      <c r="V140" s="81">
        <f t="shared" si="14"/>
        <v>1152000000</v>
      </c>
      <c r="W140" s="81"/>
      <c r="X140" s="81" t="e">
        <f t="shared" si="14"/>
        <v>#VALUE!</v>
      </c>
      <c r="Y140" s="81">
        <f t="shared" si="14"/>
        <v>1056000000</v>
      </c>
      <c r="Z140" s="81">
        <f t="shared" si="14"/>
        <v>-411000000</v>
      </c>
      <c r="AA140" s="31"/>
      <c r="AB140" s="32"/>
      <c r="AC140" s="32"/>
      <c r="AD140" s="32"/>
      <c r="AE140" s="32"/>
      <c r="AF140" s="31"/>
      <c r="AG140" s="31"/>
      <c r="AH140" s="31"/>
      <c r="AI140" s="31"/>
      <c r="AJ140" s="31"/>
      <c r="AK140" s="31"/>
      <c r="AL140" s="31"/>
      <c r="AM140" s="32"/>
    </row>
    <row r="141" spans="1:39" ht="71.25" hidden="1" customHeight="1">
      <c r="A141" s="10">
        <f>DATA!A135</f>
        <v>97</v>
      </c>
      <c r="B141" s="10">
        <f>DATA!B135</f>
        <v>0</v>
      </c>
      <c r="C141" s="10" t="str">
        <f>DATA!D135</f>
        <v>INFRASTRUKTUR</v>
      </c>
      <c r="D141" s="10">
        <f>DATA!E135</f>
        <v>5</v>
      </c>
      <c r="E141" s="10" t="str">
        <f>DATA!F135</f>
        <v>Kementerian Komunikasi dan Informatika</v>
      </c>
      <c r="F141" s="10" t="str">
        <f>DATA!H135</f>
        <v>Information Communication And Technology (ICT) And Broadcasting Infrastructure Development Program</v>
      </c>
      <c r="G141" s="10" t="str">
        <f>DATA!I135</f>
        <v>A</v>
      </c>
      <c r="H141" s="10" t="str">
        <f>DATA!J135</f>
        <v>Program Pengembangan Infrastruktur TIK dan Penyiaran</v>
      </c>
      <c r="I141" s="10">
        <f>DATA!K135</f>
        <v>1</v>
      </c>
      <c r="J141" s="33"/>
      <c r="K141" s="34"/>
      <c r="L141" s="35"/>
      <c r="M141" s="36">
        <f>DATA!K135</f>
        <v>1</v>
      </c>
      <c r="N141" s="37" t="str">
        <f>DATA!L135</f>
        <v>Improvement on TV Transmitting Stations (Digitalization of TVRI) - Phase III</v>
      </c>
      <c r="O141" s="20">
        <f>DATA!Q135</f>
        <v>1</v>
      </c>
      <c r="P141" s="20">
        <f>DATA!R135</f>
        <v>1</v>
      </c>
      <c r="Q141" s="20">
        <f>DATA!S135</f>
        <v>87</v>
      </c>
      <c r="R141" s="77">
        <f>DATA!T135</f>
        <v>411000000</v>
      </c>
      <c r="S141" s="77"/>
      <c r="T141" s="77">
        <f>DATA!V135</f>
        <v>41000000</v>
      </c>
      <c r="U141" s="77">
        <f>DATA!W135</f>
        <v>0</v>
      </c>
      <c r="V141" s="77">
        <f>DATA!X135</f>
        <v>452000000</v>
      </c>
      <c r="W141" s="78" t="str">
        <f>DATA!Y135</f>
        <v>Belum Ada Indikasi</v>
      </c>
      <c r="X141" s="20" t="str">
        <f>DATA!Z135</f>
        <v>Belum Ada Indikasi</v>
      </c>
      <c r="Y141" s="77">
        <f>DATA!AA135</f>
        <v>411000000</v>
      </c>
      <c r="Z141" s="77">
        <f>DATA!AG135</f>
        <v>-411000000</v>
      </c>
      <c r="AA141" s="20" t="str">
        <f>DATA!AH135</f>
        <v>Tanpa keterangan</v>
      </c>
      <c r="AB141" s="37" t="str">
        <f>DATA!AI135</f>
        <v>(tidak ada data)</v>
      </c>
      <c r="AC141" s="37" t="str">
        <f>DATA!AJ135</f>
        <v>Persiapan penyusunan FS</v>
      </c>
      <c r="AD141" s="37" t="str">
        <f>DATA!AK135</f>
        <v>Menggunakan lahan milik TVRI</v>
      </c>
      <c r="AE141" s="37" t="str">
        <f>DATA!AL135</f>
        <v>Belum ada lelang/tender</v>
      </c>
      <c r="AF141" s="20" t="str">
        <f>DATA!AR135</f>
        <v>belum ada dokumen R/C</v>
      </c>
      <c r="AG141" s="20" t="str">
        <f>DATA!AN135</f>
        <v>dalam proses
(penyusunan FS)</v>
      </c>
      <c r="AH141" s="20" t="str">
        <f>DATA!AO135</f>
        <v>siap</v>
      </c>
      <c r="AI141" s="20" t="str">
        <f>DATA!AP135</f>
        <v>belum ada proses tender/lelang</v>
      </c>
      <c r="AJ141" s="20" t="str">
        <f>DATA!AY135</f>
        <v xml:space="preserve">- Belum ada indikasi Lender, Dit. Telsus sedang melakukan penjajakan, belum bisa diidentifikasikan sampai proses penjajakan selesai
- Surat Karoren Kem. Kominfo nomor S-1075/KOMINFO/SJ.1/PR.01.01/09/2015 tgl 9 September 2015
</v>
      </c>
      <c r="AK141" s="20" t="e">
        <f>DATA!#REF!</f>
        <v>#REF!</v>
      </c>
      <c r="AL141" s="20">
        <f>DATA!AZ135</f>
        <v>0</v>
      </c>
      <c r="AM141" s="37" t="str">
        <f>DATA!BA135</f>
        <v>Pengadaan peralatan dan mesin untuk rehabilitasi fasilitas produksi dan pemancar TVRI dari sistem analog ke digital untuk: 29 studio (7 di pusat dan 22 di daerah), 250 stasiun transmisi, 30 lokasi untuk ICT Broadcast</v>
      </c>
    </row>
    <row r="142" spans="1:39" ht="81" hidden="1" customHeight="1">
      <c r="A142" s="10">
        <f>DATA!A136</f>
        <v>98</v>
      </c>
      <c r="B142" s="10">
        <f>DATA!B136</f>
        <v>0</v>
      </c>
      <c r="C142" s="10" t="str">
        <f>DATA!D136</f>
        <v>INFRASTRUKTUR</v>
      </c>
      <c r="D142" s="10">
        <f>DATA!E136</f>
        <v>5</v>
      </c>
      <c r="E142" s="10" t="str">
        <f>DATA!F136</f>
        <v>Kementerian Komunikasi dan Informatika</v>
      </c>
      <c r="F142" s="10" t="str">
        <f>DATA!H136</f>
        <v>Information Communication And Technology (ICT) And Broadcasting Infrastructure Development Program</v>
      </c>
      <c r="G142" s="10" t="str">
        <f>DATA!I136</f>
        <v>A</v>
      </c>
      <c r="H142" s="10" t="str">
        <f>DATA!J136</f>
        <v>Program Pengembangan Infrastruktur TIK dan Penyiaran</v>
      </c>
      <c r="I142" s="10">
        <f>DATA!K136</f>
        <v>2</v>
      </c>
      <c r="J142" s="33"/>
      <c r="K142" s="34"/>
      <c r="L142" s="34"/>
      <c r="M142" s="36">
        <f>DATA!K136</f>
        <v>2</v>
      </c>
      <c r="N142" s="37" t="str">
        <f>DATA!L136</f>
        <v>Strengthening of e-Government Infrastructure</v>
      </c>
      <c r="O142" s="20">
        <f>DATA!Q136</f>
        <v>1</v>
      </c>
      <c r="P142" s="20">
        <f>DATA!R136</f>
        <v>1</v>
      </c>
      <c r="Q142" s="20">
        <f>DATA!S136</f>
        <v>88</v>
      </c>
      <c r="R142" s="77">
        <f>DATA!T136</f>
        <v>145000000</v>
      </c>
      <c r="S142" s="77"/>
      <c r="T142" s="77">
        <f>DATA!V136</f>
        <v>20000000</v>
      </c>
      <c r="U142" s="77">
        <f>DATA!W136</f>
        <v>10000000</v>
      </c>
      <c r="V142" s="77">
        <f>DATA!X136</f>
        <v>175000000</v>
      </c>
      <c r="W142" s="78" t="str">
        <f>DATA!Y136</f>
        <v>Korea</v>
      </c>
      <c r="X142" s="20" t="str">
        <f>DATA!Z136</f>
        <v>Bilateral</v>
      </c>
      <c r="Y142" s="77">
        <f>DATA!AA136</f>
        <v>145000000</v>
      </c>
      <c r="Z142" s="77">
        <f>DATA!AG136</f>
        <v>0</v>
      </c>
      <c r="AA142" s="20" t="str">
        <f>DATA!AH136</f>
        <v>Tanpa keterangan</v>
      </c>
      <c r="AB142" s="37" t="str">
        <f>DATA!AI136</f>
        <v>Persiapan penyusunan R/C</v>
      </c>
      <c r="AC142" s="37" t="str">
        <f>DATA!AJ136</f>
        <v>Persiapan penyusunan FS dan DED</v>
      </c>
      <c r="AD142" s="37" t="str">
        <f>DATA!AK136</f>
        <v>Permohonan ijin lokasi kepada Gubernur Kaltim telah direspon persetujuan menunggu survey</v>
      </c>
      <c r="AE142" s="37" t="str">
        <f>DATA!AL136</f>
        <v>Belum ada lelang/tender</v>
      </c>
      <c r="AF142" s="20" t="str">
        <f>DATA!AR136</f>
        <v>penyiapan dokumen R/C</v>
      </c>
      <c r="AG142" s="20" t="str">
        <f>DATA!AN136</f>
        <v>dalam proses
(penyusunan FS)</v>
      </c>
      <c r="AH142" s="20" t="str">
        <f>DATA!AO136</f>
        <v>dalam proses
(persiapan)</v>
      </c>
      <c r="AI142" s="20" t="str">
        <f>DATA!AP136</f>
        <v>belum ada proses tender/lelang</v>
      </c>
      <c r="AJ142"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K142" s="20" t="e">
        <f>DATA!#REF!</f>
        <v>#REF!</v>
      </c>
      <c r="AL142" s="20">
        <f>DATA!AZ136</f>
        <v>0</v>
      </c>
      <c r="AM142" s="37" t="str">
        <f>DATA!BA136</f>
        <v>Pembangunan Data Center (DC) Nasional, pembangunan Disaster Recovery Center (DRC), pembangunan National Network Operation Center (NNOC),  sistem Government-Certification of Authority (Govt-CA),  dan penyediaan bandwidth selama 3 tahun.</v>
      </c>
    </row>
    <row r="143" spans="1:39" ht="38.25" hidden="1" customHeight="1">
      <c r="A143" s="10">
        <f>DATA!A137</f>
        <v>99</v>
      </c>
      <c r="B143" s="10">
        <f>DATA!B137</f>
        <v>0</v>
      </c>
      <c r="C143" s="10" t="str">
        <f>DATA!D137</f>
        <v>INFRASTRUKTUR</v>
      </c>
      <c r="D143" s="10">
        <f>DATA!E137</f>
        <v>5</v>
      </c>
      <c r="E143" s="10" t="str">
        <f>DATA!F137</f>
        <v>Kementerian Komunikasi dan Informatika</v>
      </c>
      <c r="F143" s="10" t="str">
        <f>DATA!H137</f>
        <v>Information Communication And Technology (ICT) And Broadcasting Infrastructure Development Program</v>
      </c>
      <c r="G143" s="10" t="str">
        <f>DATA!I137</f>
        <v>A</v>
      </c>
      <c r="H143" s="10" t="str">
        <f>DATA!J137</f>
        <v>Program Pengembangan Infrastruktur TIK dan Penyiaran</v>
      </c>
      <c r="I143" s="10">
        <f>DATA!K137</f>
        <v>3</v>
      </c>
      <c r="J143" s="33"/>
      <c r="K143" s="54"/>
      <c r="L143" s="54"/>
      <c r="M143" s="36">
        <f>DATA!K137</f>
        <v>3</v>
      </c>
      <c r="N143" s="37" t="str">
        <f>DATA!L137</f>
        <v>National Fiber Optic Backbone (Palapa Ring)</v>
      </c>
      <c r="O143" s="20">
        <f>DATA!Q137</f>
        <v>1</v>
      </c>
      <c r="P143" s="20">
        <f>DATA!R137</f>
        <v>1</v>
      </c>
      <c r="Q143" s="20">
        <f>DATA!S137</f>
        <v>89</v>
      </c>
      <c r="R143" s="77">
        <f>DATA!T137</f>
        <v>500000000</v>
      </c>
      <c r="S143" s="77"/>
      <c r="T143" s="77">
        <f>DATA!V137</f>
        <v>25000000</v>
      </c>
      <c r="U143" s="77">
        <f>DATA!W137</f>
        <v>0</v>
      </c>
      <c r="V143" s="77">
        <f>DATA!X137</f>
        <v>525000000</v>
      </c>
      <c r="W143" s="78" t="str">
        <f>DATA!Y137</f>
        <v>KPS</v>
      </c>
      <c r="X143" s="20" t="str">
        <f>DATA!Z137</f>
        <v>Dipindahkan ke KPS</v>
      </c>
      <c r="Y143" s="77">
        <f>DATA!AA137</f>
        <v>500000000</v>
      </c>
      <c r="Z143" s="77">
        <f>DATA!AG137</f>
        <v>0</v>
      </c>
      <c r="AA143" s="20" t="str">
        <f>DATA!AH137</f>
        <v>Tanpa keterangan</v>
      </c>
      <c r="AB143" s="37" t="str">
        <f>DATA!AI137</f>
        <v>-</v>
      </c>
      <c r="AC143" s="37" t="str">
        <f>DATA!AJ137</f>
        <v>-</v>
      </c>
      <c r="AD143" s="37" t="str">
        <f>DATA!AK137</f>
        <v>-</v>
      </c>
      <c r="AE143" s="37" t="str">
        <f>DATA!AL137</f>
        <v>-</v>
      </c>
      <c r="AF143" s="20">
        <f>DATA!AM137</f>
        <v>0</v>
      </c>
      <c r="AG143" s="20" t="str">
        <f>DATA!AN137</f>
        <v>belum ada keterangan</v>
      </c>
      <c r="AH143" s="20" t="str">
        <f>DATA!AO137</f>
        <v>belum ada keterangan</v>
      </c>
      <c r="AI143" s="20" t="str">
        <f>DATA!AP137</f>
        <v>belum ada proses tender/lelang</v>
      </c>
      <c r="AJ143"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K143" s="20" t="e">
        <f>DATA!#REF!</f>
        <v>#REF!</v>
      </c>
      <c r="AL143" s="20">
        <f>DATA!AZ137</f>
        <v>0</v>
      </c>
      <c r="AM143" s="37" t="str">
        <f>DATA!BA137</f>
        <v>Pembangunan jaringan telekomunikasi pitalebar/broadband Palapa Ring di 51 kabupaten/kota.</v>
      </c>
    </row>
    <row r="144" spans="1:39" s="4" customFormat="1" ht="24.95" hidden="1" customHeight="1">
      <c r="J144" s="107"/>
      <c r="K144" s="25">
        <f>DATA!E138</f>
        <v>6</v>
      </c>
      <c r="L144" s="108" t="str">
        <f>DATA!F138</f>
        <v>Kepolisian RI</v>
      </c>
      <c r="M144" s="25"/>
      <c r="N144" s="27"/>
      <c r="O144" s="26"/>
      <c r="P144" s="26"/>
      <c r="Q144" s="26"/>
      <c r="R144" s="80">
        <f>+R145</f>
        <v>20000000</v>
      </c>
      <c r="S144" s="80"/>
      <c r="T144" s="80">
        <f t="shared" ref="T144:Z145" si="15">+T145</f>
        <v>3500000</v>
      </c>
      <c r="U144" s="80">
        <f t="shared" si="15"/>
        <v>0</v>
      </c>
      <c r="V144" s="80">
        <f t="shared" si="15"/>
        <v>23500000</v>
      </c>
      <c r="W144" s="80"/>
      <c r="X144" s="80" t="str">
        <f t="shared" si="15"/>
        <v>Bilateral</v>
      </c>
      <c r="Y144" s="80">
        <f t="shared" si="15"/>
        <v>20000000</v>
      </c>
      <c r="Z144" s="80">
        <f t="shared" si="15"/>
        <v>0</v>
      </c>
      <c r="AA144" s="26"/>
      <c r="AB144" s="27"/>
      <c r="AC144" s="27"/>
      <c r="AD144" s="27"/>
      <c r="AE144" s="27"/>
      <c r="AF144" s="26"/>
      <c r="AG144" s="26"/>
      <c r="AH144" s="26"/>
      <c r="AI144" s="26"/>
      <c r="AJ144" s="26"/>
      <c r="AK144" s="26"/>
      <c r="AL144" s="26"/>
      <c r="AM144" s="27"/>
    </row>
    <row r="145" spans="1:39" s="5" customFormat="1" ht="33.75" hidden="1" customHeight="1">
      <c r="J145" s="28"/>
      <c r="K145" s="29"/>
      <c r="L145" s="30" t="str">
        <f>DATA!I138</f>
        <v>A</v>
      </c>
      <c r="M145" s="31" t="str">
        <f>DATA!J138</f>
        <v>Program Pengembangan Infrastruktur TIK dan Penyiaran</v>
      </c>
      <c r="N145" s="51"/>
      <c r="O145" s="31"/>
      <c r="P145" s="31"/>
      <c r="Q145" s="31"/>
      <c r="R145" s="81">
        <f>+R146</f>
        <v>20000000</v>
      </c>
      <c r="S145" s="81"/>
      <c r="T145" s="81">
        <f t="shared" si="15"/>
        <v>3500000</v>
      </c>
      <c r="U145" s="81">
        <f t="shared" si="15"/>
        <v>0</v>
      </c>
      <c r="V145" s="81">
        <f t="shared" si="15"/>
        <v>23500000</v>
      </c>
      <c r="W145" s="81"/>
      <c r="X145" s="81" t="str">
        <f t="shared" si="15"/>
        <v>Bilateral</v>
      </c>
      <c r="Y145" s="81">
        <f t="shared" si="15"/>
        <v>20000000</v>
      </c>
      <c r="Z145" s="81">
        <f t="shared" si="15"/>
        <v>0</v>
      </c>
      <c r="AA145" s="31"/>
      <c r="AB145" s="32"/>
      <c r="AC145" s="32"/>
      <c r="AD145" s="32"/>
      <c r="AE145" s="32"/>
      <c r="AF145" s="31"/>
      <c r="AG145" s="31"/>
      <c r="AH145" s="31"/>
      <c r="AI145" s="31"/>
      <c r="AJ145" s="31"/>
      <c r="AK145" s="31"/>
      <c r="AL145" s="31"/>
      <c r="AM145" s="32"/>
    </row>
    <row r="146" spans="1:39" s="8" customFormat="1" ht="47.25" hidden="1" customHeight="1">
      <c r="A146" s="10">
        <f>DATA!A138</f>
        <v>100</v>
      </c>
      <c r="B146" s="10">
        <f>DATA!B138</f>
        <v>0</v>
      </c>
      <c r="C146" s="10" t="str">
        <f>DATA!D138</f>
        <v>INFRASTRUKTUR</v>
      </c>
      <c r="D146" s="10">
        <f>DATA!E138</f>
        <v>6</v>
      </c>
      <c r="E146" s="10" t="str">
        <f>DATA!F138</f>
        <v>Kepolisian RI</v>
      </c>
      <c r="F146" s="10" t="str">
        <f>DATA!H138</f>
        <v>Information Communication And Technology (ICT) And Broadcasting Infrastructure Development Program</v>
      </c>
      <c r="G146" s="10" t="str">
        <f>DATA!I138</f>
        <v>A</v>
      </c>
      <c r="H146" s="10" t="str">
        <f>DATA!J138</f>
        <v>Program Pengembangan Infrastruktur TIK dan Penyiaran</v>
      </c>
      <c r="I146" s="10">
        <f>DATA!K138</f>
        <v>1</v>
      </c>
      <c r="J146" s="57"/>
      <c r="K146" s="111"/>
      <c r="L146" s="103"/>
      <c r="M146" s="60">
        <f>DATA!K138</f>
        <v>1</v>
      </c>
      <c r="N146" s="61" t="str">
        <f>DATA!L138</f>
        <v>National Criminal Information Center for Indonesian National Police - Phase II</v>
      </c>
      <c r="O146" s="20">
        <f>DATA!Q138</f>
        <v>1</v>
      </c>
      <c r="P146" s="20">
        <f>DATA!R138</f>
        <v>1</v>
      </c>
      <c r="Q146" s="20">
        <f>DATA!S138</f>
        <v>90</v>
      </c>
      <c r="R146" s="89">
        <f>DATA!T138</f>
        <v>20000000</v>
      </c>
      <c r="S146" s="89"/>
      <c r="T146" s="89">
        <f>DATA!V138</f>
        <v>3500000</v>
      </c>
      <c r="U146" s="77">
        <f>DATA!W138</f>
        <v>0</v>
      </c>
      <c r="V146" s="89">
        <f>DATA!X138</f>
        <v>23500000</v>
      </c>
      <c r="W146" s="90" t="str">
        <f>DATA!Y138</f>
        <v>Korea</v>
      </c>
      <c r="X146" s="20" t="str">
        <f>DATA!Z138</f>
        <v>Bilateral</v>
      </c>
      <c r="Y146" s="89">
        <f>DATA!AA138</f>
        <v>20000000</v>
      </c>
      <c r="Z146" s="89">
        <f>DATA!AG138</f>
        <v>0</v>
      </c>
      <c r="AA146" s="103" t="str">
        <f>DATA!AH138</f>
        <v>Tanpa keterangan</v>
      </c>
      <c r="AB146" s="61" t="str">
        <f>DATA!AI138</f>
        <v xml:space="preserve">- Sudah ada R/C
- Green Book 2015
</v>
      </c>
      <c r="AC146" s="61" t="str">
        <f>DATA!AJ138</f>
        <v>FS, AMDAL</v>
      </c>
      <c r="AD146" s="61" t="str">
        <f>DATA!AK138</f>
        <v>Tidak butuh lahan</v>
      </c>
      <c r="AE146" s="61" t="str">
        <f>DATA!AL138</f>
        <v>- Dalam proses penandatanganan perjanjian pinjaman</v>
      </c>
      <c r="AF146" s="20">
        <f>DATA!AM138</f>
        <v>2015</v>
      </c>
      <c r="AG146" s="20" t="str">
        <f>DATA!AN138</f>
        <v>siap</v>
      </c>
      <c r="AH146" s="20" t="str">
        <f>DATA!AO138</f>
        <v>tidak butuh lahan</v>
      </c>
      <c r="AI146" s="20" t="str">
        <f>DATA!AP138</f>
        <v>dalam proses tender/lelang</v>
      </c>
      <c r="AJ146" s="20" t="str">
        <f>DATA!AY138</f>
        <v>Belum ada konfirmasi. Berdasarkan data dokumen kesiapan (RC)</v>
      </c>
      <c r="AK146" s="20" t="e">
        <f>DATA!#REF!</f>
        <v>#REF!</v>
      </c>
      <c r="AL146" s="20">
        <f>DATA!AZ138</f>
        <v>0</v>
      </c>
      <c r="AM146" s="37" t="str">
        <f>DATA!BA138</f>
        <v>Pengembangan proyek PIKNAS tahap I mulai dari perencanaan pengembangan sampai dengan implementasi proyek</v>
      </c>
    </row>
    <row r="147" spans="1:39" s="4" customFormat="1" ht="24.95" hidden="1" customHeight="1">
      <c r="J147" s="107"/>
      <c r="K147" s="25">
        <f>DATA!E139</f>
        <v>7</v>
      </c>
      <c r="L147" s="108" t="str">
        <f>DATA!F139</f>
        <v xml:space="preserve">PT. PLN    </v>
      </c>
      <c r="M147" s="25"/>
      <c r="N147" s="27"/>
      <c r="O147" s="26"/>
      <c r="P147" s="26"/>
      <c r="Q147" s="26"/>
      <c r="R147" s="80">
        <f>+R148</f>
        <v>4906600000</v>
      </c>
      <c r="S147" s="80"/>
      <c r="T147" s="80">
        <f t="shared" ref="T147:Z147" si="16">+T148</f>
        <v>931600000</v>
      </c>
      <c r="U147" s="80">
        <f t="shared" si="16"/>
        <v>0</v>
      </c>
      <c r="V147" s="80">
        <f t="shared" si="16"/>
        <v>5838200000</v>
      </c>
      <c r="W147" s="80"/>
      <c r="X147" s="80" t="e">
        <f t="shared" si="16"/>
        <v>#VALUE!</v>
      </c>
      <c r="Y147" s="80">
        <f t="shared" si="16"/>
        <v>4906600000</v>
      </c>
      <c r="Z147" s="80">
        <f t="shared" si="16"/>
        <v>0</v>
      </c>
      <c r="AA147" s="26"/>
      <c r="AB147" s="27"/>
      <c r="AC147" s="27"/>
      <c r="AD147" s="27"/>
      <c r="AE147" s="27"/>
      <c r="AF147" s="26"/>
      <c r="AG147" s="26"/>
      <c r="AH147" s="26"/>
      <c r="AI147" s="26"/>
      <c r="AJ147" s="26"/>
      <c r="AK147" s="26"/>
      <c r="AL147" s="26"/>
      <c r="AM147" s="27"/>
    </row>
    <row r="148" spans="1:39" s="5" customFormat="1" ht="33.75" hidden="1" customHeight="1">
      <c r="J148" s="28"/>
      <c r="K148" s="29"/>
      <c r="L148" s="30" t="str">
        <f>DATA!I139</f>
        <v>A</v>
      </c>
      <c r="M148" s="31" t="str">
        <f>DATA!J139</f>
        <v>Program Pembangunan Infrastruktur Ketenagalistrikan</v>
      </c>
      <c r="N148" s="51"/>
      <c r="O148" s="31"/>
      <c r="P148" s="31"/>
      <c r="Q148" s="31"/>
      <c r="R148" s="81">
        <f>+R149+R152+R155+R156+R157+R158+R159+R160</f>
        <v>4906600000</v>
      </c>
      <c r="S148" s="81"/>
      <c r="T148" s="81">
        <f t="shared" ref="T148:Z148" si="17">+T149+T152+T155+T156+T157+T158+T159+T160</f>
        <v>931600000</v>
      </c>
      <c r="U148" s="81">
        <f t="shared" si="17"/>
        <v>0</v>
      </c>
      <c r="V148" s="81">
        <f t="shared" si="17"/>
        <v>5838200000</v>
      </c>
      <c r="W148" s="81"/>
      <c r="X148" s="81" t="e">
        <f t="shared" si="17"/>
        <v>#VALUE!</v>
      </c>
      <c r="Y148" s="81">
        <f t="shared" si="17"/>
        <v>4906600000</v>
      </c>
      <c r="Z148" s="81">
        <f t="shared" si="17"/>
        <v>0</v>
      </c>
      <c r="AA148" s="31"/>
      <c r="AB148" s="32"/>
      <c r="AC148" s="32"/>
      <c r="AD148" s="32"/>
      <c r="AE148" s="32"/>
      <c r="AF148" s="31"/>
      <c r="AG148" s="31"/>
      <c r="AH148" s="31"/>
      <c r="AI148" s="31"/>
      <c r="AJ148" s="31"/>
      <c r="AK148" s="31"/>
      <c r="AL148" s="31"/>
      <c r="AM148" s="32"/>
    </row>
    <row r="149" spans="1:39" ht="35.25" hidden="1" customHeight="1">
      <c r="A149" s="10">
        <f>DATA!A139</f>
        <v>101</v>
      </c>
      <c r="B149" s="10">
        <f>DATA!B139</f>
        <v>0</v>
      </c>
      <c r="C149" s="10" t="str">
        <f>DATA!D139</f>
        <v>INFRASTRUKTUR</v>
      </c>
      <c r="D149" s="10">
        <f>DATA!E139</f>
        <v>7</v>
      </c>
      <c r="E149" s="10" t="str">
        <f>DATA!F139</f>
        <v xml:space="preserve">PT. PLN    </v>
      </c>
      <c r="F149" s="10" t="str">
        <f>DATA!H139</f>
        <v>Electricity Infrastructure Development Program</v>
      </c>
      <c r="G149" s="10" t="str">
        <f>DATA!I139</f>
        <v>A</v>
      </c>
      <c r="H149" s="10" t="str">
        <f>DATA!J139</f>
        <v>Program Pembangunan Infrastruktur Ketenagalistrikan</v>
      </c>
      <c r="I149" s="10">
        <f>DATA!K139</f>
        <v>1</v>
      </c>
      <c r="J149" s="33"/>
      <c r="K149" s="34"/>
      <c r="L149" s="35"/>
      <c r="M149" s="36">
        <f>DATA!K139</f>
        <v>1</v>
      </c>
      <c r="N149" s="37" t="str">
        <f>DATA!L139</f>
        <v>Construction of Java Sumatera Interconnection 500 kV (HVDC):</v>
      </c>
      <c r="O149" s="20">
        <f>DATA!Q139</f>
        <v>0</v>
      </c>
      <c r="P149" s="20">
        <f>DATA!R139</f>
        <v>0</v>
      </c>
      <c r="Q149" s="20">
        <f>DATA!S139</f>
        <v>0</v>
      </c>
      <c r="R149" s="77">
        <f>DATA!T139</f>
        <v>1562000000</v>
      </c>
      <c r="S149" s="77"/>
      <c r="T149" s="77">
        <f>DATA!V139</f>
        <v>253000000</v>
      </c>
      <c r="U149" s="77">
        <f>DATA!W139</f>
        <v>0</v>
      </c>
      <c r="V149" s="77">
        <f>DATA!X139</f>
        <v>1815000000</v>
      </c>
      <c r="W149" s="78" t="str">
        <f>DATA!Y139</f>
        <v>-</v>
      </c>
      <c r="X149" s="20">
        <f>DATA!Z139</f>
        <v>0</v>
      </c>
      <c r="Y149" s="77">
        <f>DATA!AA139</f>
        <v>1562000000</v>
      </c>
      <c r="Z149" s="77">
        <f>DATA!AG139</f>
        <v>0</v>
      </c>
      <c r="AA149" s="20" t="str">
        <f>DATA!AH139</f>
        <v>-</v>
      </c>
      <c r="AB149" s="37" t="str">
        <f>DATA!AI139</f>
        <v>-</v>
      </c>
      <c r="AC149" s="37" t="str">
        <f>DATA!AJ139</f>
        <v>-</v>
      </c>
      <c r="AD149" s="37" t="str">
        <f>DATA!AK139</f>
        <v>-</v>
      </c>
      <c r="AE149" s="37" t="str">
        <f>DATA!AL139</f>
        <v>-</v>
      </c>
      <c r="AF149" s="20" t="str">
        <f>DATA!AM139</f>
        <v>-</v>
      </c>
      <c r="AG149" s="20" t="str">
        <f>DATA!AN139</f>
        <v>-</v>
      </c>
      <c r="AH149" s="20" t="str">
        <f>DATA!AO139</f>
        <v>-</v>
      </c>
      <c r="AI149" s="20">
        <f>DATA!AP139</f>
        <v>0</v>
      </c>
      <c r="AJ149" s="20" t="str">
        <f>DATA!AY139</f>
        <v>Surat Dirut PT. PLN nomor 716/REN.08.01/DIR/2015 tgl 9 September 2015</v>
      </c>
      <c r="AK149" s="20" t="e">
        <f>DATA!#REF!</f>
        <v>#REF!</v>
      </c>
      <c r="AL149" s="20">
        <f>DATA!AZ139</f>
        <v>0</v>
      </c>
      <c r="AM149" s="37" t="str">
        <f>DATA!BA139</f>
        <v>Pembangunan dan instalasi: 500 kV AC Overhead line</v>
      </c>
    </row>
    <row r="150" spans="1:39" s="7" customFormat="1" ht="142.5" hidden="1" customHeight="1">
      <c r="A150" s="6">
        <f>DATA!A140</f>
        <v>102</v>
      </c>
      <c r="B150" s="6">
        <f>DATA!B140</f>
        <v>0</v>
      </c>
      <c r="C150" s="6" t="str">
        <f>DATA!D140</f>
        <v>INFRASTRUKTUR</v>
      </c>
      <c r="D150" s="6">
        <f>DATA!E140</f>
        <v>7</v>
      </c>
      <c r="E150" s="6" t="str">
        <f>DATA!F140</f>
        <v xml:space="preserve">PT. PLN    </v>
      </c>
      <c r="F150" s="6" t="str">
        <f>DATA!H140</f>
        <v>Electricity Infrastructure Development Program</v>
      </c>
      <c r="G150" s="6" t="str">
        <f>DATA!I140</f>
        <v>A</v>
      </c>
      <c r="H150" s="6" t="str">
        <f>DATA!J140</f>
        <v>Program Pembangunan Infrastruktur Ketenagalistrikan</v>
      </c>
      <c r="I150" s="6">
        <f>DATA!K140</f>
        <v>1</v>
      </c>
      <c r="J150" s="44"/>
      <c r="K150" s="45"/>
      <c r="L150" s="45"/>
      <c r="M150" s="48"/>
      <c r="N150" s="68" t="str">
        <f>DATA!L140</f>
        <v>Java-Sumatera Interconnection Transmission Line (HVDC) 500 kV (Phase II)</v>
      </c>
      <c r="O150" s="42">
        <f>DATA!Q140</f>
        <v>1</v>
      </c>
      <c r="P150" s="42">
        <f>DATA!R140</f>
        <v>1</v>
      </c>
      <c r="Q150" s="42">
        <f>DATA!S140</f>
        <v>91</v>
      </c>
      <c r="R150" s="85">
        <f>DATA!T140</f>
        <v>629000000</v>
      </c>
      <c r="S150" s="85"/>
      <c r="T150" s="85">
        <f>DATA!V140</f>
        <v>88000000</v>
      </c>
      <c r="U150" s="83">
        <f>DATA!W140</f>
        <v>0</v>
      </c>
      <c r="V150" s="85">
        <f>DATA!X140</f>
        <v>717000000</v>
      </c>
      <c r="W150" s="86" t="str">
        <f>DATA!Y140</f>
        <v>JICA</v>
      </c>
      <c r="X150" s="42" t="str">
        <f>DATA!Z140</f>
        <v>Bilateral</v>
      </c>
      <c r="Y150" s="85">
        <f>DATA!AA140</f>
        <v>629000000</v>
      </c>
      <c r="Z150" s="85">
        <f>DATA!AG140</f>
        <v>0</v>
      </c>
      <c r="AA150" s="98">
        <f>DATA!AH140</f>
        <v>2015</v>
      </c>
      <c r="AB150" s="68" t="str">
        <f>DATA!AI140</f>
        <v>- Sudah ada R/C
- Green Book 2015
- Loan Agreement tgl 18 Des'15</v>
      </c>
      <c r="AC150" s="68" t="str">
        <f>DATA!AJ140</f>
        <v>FS, AMDAL</v>
      </c>
      <c r="AD150" s="99">
        <f>DATA!AK140</f>
        <v>0.3</v>
      </c>
      <c r="AE150" s="68" t="str">
        <f>DATA!AL140</f>
        <v>- Paket 1 = Proses lelang, evaluasi tahap I 
- Paket 2 = Proses lelang, akhir proses tahap I 
- Paket 3 = Kontrak 29 Okt 2014 
- Paket 4 = Proses lelang, RFP 2 Sept 2015 
- Paket 5 = Penyusunan Dokumen Tender</v>
      </c>
      <c r="AF150" s="42" t="str">
        <f>DATA!AR140</f>
        <v>Nilai pinjaman di GB USD 629.140 ribu</v>
      </c>
      <c r="AG150" s="42" t="str">
        <f>DATA!AN140</f>
        <v>siap</v>
      </c>
      <c r="AH150" s="42" t="str">
        <f>DATA!AO140</f>
        <v>dalam proses
(pelaksanaan 30%)</v>
      </c>
      <c r="AI150" s="42" t="str">
        <f>DATA!AP140</f>
        <v>dalam proses tender/lelang</v>
      </c>
      <c r="AJ150" s="42"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K150" s="42" t="e">
        <f>DATA!#REF!</f>
        <v>#REF!</v>
      </c>
      <c r="AL150" s="42">
        <f>DATA!AZ140</f>
        <v>0</v>
      </c>
      <c r="AM150" s="67" t="str">
        <f>DATA!BA140</f>
        <v>Pembangunan dan instalasi: 500 kV AC Overhead line; 500 IW DC Overhead line; kabel bawah laut HVDC; Stasiun converter HVDC; 275 kV Overhead line (OHL)</v>
      </c>
    </row>
    <row r="151" spans="1:39" s="6" customFormat="1" ht="48.75" hidden="1" customHeight="1">
      <c r="A151" s="6">
        <f>DATA!A141</f>
        <v>103</v>
      </c>
      <c r="B151" s="6">
        <f>DATA!B141</f>
        <v>0</v>
      </c>
      <c r="C151" s="6" t="str">
        <f>DATA!D141</f>
        <v>INFRASTRUKTUR</v>
      </c>
      <c r="D151" s="6">
        <f>DATA!E141</f>
        <v>7</v>
      </c>
      <c r="E151" s="6" t="str">
        <f>DATA!F141</f>
        <v xml:space="preserve">PT. PLN    </v>
      </c>
      <c r="F151" s="6" t="str">
        <f>DATA!H141</f>
        <v>Electricity Infrastructure Development Program</v>
      </c>
      <c r="G151" s="6" t="str">
        <f>DATA!I141</f>
        <v>A</v>
      </c>
      <c r="H151" s="6" t="str">
        <f>DATA!J141</f>
        <v>Program Pembangunan Infrastruktur Ketenagalistrikan</v>
      </c>
      <c r="I151" s="6">
        <f>DATA!K141</f>
        <v>1</v>
      </c>
      <c r="J151" s="38"/>
      <c r="K151" s="39"/>
      <c r="L151" s="39"/>
      <c r="M151" s="43"/>
      <c r="N151" s="67" t="str">
        <f>DATA!L141</f>
        <v>Construction of Java Sumatera Interconnection 500 kV (HVDC-Phase 3 &amp; 4)</v>
      </c>
      <c r="O151" s="42">
        <f>DATA!Q141</f>
        <v>1</v>
      </c>
      <c r="P151" s="42">
        <f>DATA!R141</f>
        <v>1</v>
      </c>
      <c r="Q151" s="42">
        <f>DATA!S141</f>
        <v>92</v>
      </c>
      <c r="R151" s="83">
        <f>DATA!T141</f>
        <v>933000000</v>
      </c>
      <c r="S151" s="83"/>
      <c r="T151" s="83">
        <f>DATA!V141</f>
        <v>165000000</v>
      </c>
      <c r="U151" s="83">
        <f>DATA!W141</f>
        <v>0</v>
      </c>
      <c r="V151" s="83">
        <f>DATA!X141</f>
        <v>1098000000</v>
      </c>
      <c r="W151" s="84" t="str">
        <f>DATA!Y141</f>
        <v>JICA</v>
      </c>
      <c r="X151" s="42" t="str">
        <f>DATA!Z141</f>
        <v>Bilateral</v>
      </c>
      <c r="Y151" s="83">
        <f>DATA!AA141</f>
        <v>933000000</v>
      </c>
      <c r="Z151" s="83">
        <f>DATA!AG141</f>
        <v>0</v>
      </c>
      <c r="AA151" s="42">
        <f>DATA!AH141</f>
        <v>2015</v>
      </c>
      <c r="AB151" s="67" t="str">
        <f>DATA!AI141</f>
        <v xml:space="preserve">Penyiapan R/C
</v>
      </c>
      <c r="AC151" s="67" t="str">
        <f>DATA!AJ141</f>
        <v>-</v>
      </c>
      <c r="AD151" s="67" t="str">
        <f>DATA!AK141</f>
        <v>-</v>
      </c>
      <c r="AE151" s="67" t="str">
        <f>DATA!AL141</f>
        <v>-</v>
      </c>
      <c r="AF151" s="42" t="str">
        <f>DATA!AR141</f>
        <v>penyiapan dokumen R/C</v>
      </c>
      <c r="AG151" s="42" t="str">
        <f>DATA!AN141</f>
        <v>belum ada keterangan</v>
      </c>
      <c r="AH151" s="42" t="str">
        <f>DATA!AO141</f>
        <v>belum ada keterangan</v>
      </c>
      <c r="AI151" s="42" t="str">
        <f>DATA!AP141</f>
        <v>belum ada proses tender/lelang</v>
      </c>
      <c r="AJ151" s="42" t="str">
        <f>DATA!AY141</f>
        <v>Surat Dirut PT. PLN nomor 716/REN.08.01/DIR/2015 tgl 9 September 2015</v>
      </c>
      <c r="AK151" s="42" t="e">
        <f>DATA!#REF!</f>
        <v>#REF!</v>
      </c>
      <c r="AL151" s="42">
        <f>DATA!AZ141</f>
        <v>0</v>
      </c>
      <c r="AM151" s="67" t="str">
        <f>DATA!BA141</f>
        <v>Pembangunan dan instalasi: 500 kV AC Overhead line; 500 IW DC Overhead line; kabel bawah laut HVDC; Stasiun converter HVDC; 275 kV Overhead line (OHL)</v>
      </c>
    </row>
    <row r="152" spans="1:39" ht="43.5" hidden="1" customHeight="1">
      <c r="A152" s="10">
        <f>DATA!A142</f>
        <v>104</v>
      </c>
      <c r="B152" s="10">
        <f>DATA!B142</f>
        <v>0</v>
      </c>
      <c r="C152" s="10" t="str">
        <f>DATA!D142</f>
        <v>INFRASTRUKTUR</v>
      </c>
      <c r="D152" s="10">
        <f>DATA!E142</f>
        <v>7</v>
      </c>
      <c r="E152" s="10" t="str">
        <f>DATA!F142</f>
        <v xml:space="preserve">PT. PLN    </v>
      </c>
      <c r="F152" s="10" t="str">
        <f>DATA!H142</f>
        <v>Electricity Infrastructure Development Program</v>
      </c>
      <c r="G152" s="10" t="str">
        <f>DATA!I142</f>
        <v>A</v>
      </c>
      <c r="H152" s="10" t="str">
        <f>DATA!J142</f>
        <v>Program Pembangunan Infrastruktur Ketenagalistrikan</v>
      </c>
      <c r="I152" s="10">
        <f>DATA!K142</f>
        <v>2</v>
      </c>
      <c r="J152" s="33"/>
      <c r="K152" s="34"/>
      <c r="L152" s="34"/>
      <c r="M152" s="36">
        <f>DATA!K142</f>
        <v>2</v>
      </c>
      <c r="N152" s="37" t="str">
        <f>DATA!L142</f>
        <v>Hululais Geothermal Power Plant 1&amp;2 (2x55MW):</v>
      </c>
      <c r="O152" s="20">
        <f>DATA!Q142</f>
        <v>0</v>
      </c>
      <c r="P152" s="20">
        <f>DATA!R142</f>
        <v>0</v>
      </c>
      <c r="Q152" s="20">
        <f>DATA!S142</f>
        <v>0</v>
      </c>
      <c r="R152" s="77">
        <f>DATA!T142</f>
        <v>210600000</v>
      </c>
      <c r="S152" s="77"/>
      <c r="T152" s="77">
        <f>DATA!V142</f>
        <v>42600000</v>
      </c>
      <c r="U152" s="77">
        <f>DATA!W142</f>
        <v>0</v>
      </c>
      <c r="V152" s="77">
        <f>DATA!X142</f>
        <v>253200000</v>
      </c>
      <c r="W152" s="78" t="str">
        <f>DATA!Y142</f>
        <v>-</v>
      </c>
      <c r="X152" s="20">
        <f>DATA!Z142</f>
        <v>0</v>
      </c>
      <c r="Y152" s="77">
        <f>DATA!AA142</f>
        <v>210600000</v>
      </c>
      <c r="Z152" s="77">
        <f>DATA!AG142</f>
        <v>0</v>
      </c>
      <c r="AA152" s="20" t="str">
        <f>DATA!AH142</f>
        <v>-</v>
      </c>
      <c r="AB152" s="37" t="str">
        <f>DATA!AI142</f>
        <v>-</v>
      </c>
      <c r="AC152" s="37" t="str">
        <f>DATA!AJ142</f>
        <v>-</v>
      </c>
      <c r="AD152" s="37" t="str">
        <f>DATA!AK142</f>
        <v>-</v>
      </c>
      <c r="AE152" s="37" t="str">
        <f>DATA!AL142</f>
        <v>-</v>
      </c>
      <c r="AF152" s="20" t="str">
        <f>DATA!AM142</f>
        <v>-</v>
      </c>
      <c r="AG152" s="20" t="str">
        <f>DATA!AN142</f>
        <v>-</v>
      </c>
      <c r="AH152" s="20" t="str">
        <f>DATA!AO142</f>
        <v>-</v>
      </c>
      <c r="AI152" s="20">
        <f>DATA!AP142</f>
        <v>0</v>
      </c>
      <c r="AJ152" s="20" t="str">
        <f>DATA!AY142</f>
        <v>Surat Dirut PT. PLN nomor 716/REN.08.01/DIR/2015 tgl 9 September 2015</v>
      </c>
      <c r="AK152" s="20" t="e">
        <f>DATA!#REF!</f>
        <v>#REF!</v>
      </c>
      <c r="AL152" s="20">
        <f>DATA!AZ142</f>
        <v>0</v>
      </c>
      <c r="AM152" s="37" t="str">
        <f>DATA!BA142</f>
        <v>Pembangunan PLTP Hululais 2x55 MW, pembangunan jaringan transmisi 150 kV, termasuk engineering desainnya</v>
      </c>
    </row>
    <row r="153" spans="1:39" s="7" customFormat="1" ht="74.25" hidden="1" customHeight="1">
      <c r="A153" s="6">
        <f>DATA!A143</f>
        <v>105</v>
      </c>
      <c r="B153" s="6">
        <f>DATA!B143</f>
        <v>0</v>
      </c>
      <c r="C153" s="6" t="str">
        <f>DATA!D143</f>
        <v>INFRASTRUKTUR</v>
      </c>
      <c r="D153" s="6">
        <f>DATA!E143</f>
        <v>7</v>
      </c>
      <c r="E153" s="6" t="str">
        <f>DATA!F143</f>
        <v xml:space="preserve">PT. PLN    </v>
      </c>
      <c r="F153" s="6" t="str">
        <f>DATA!H143</f>
        <v>Electricity Infrastructure Development Program</v>
      </c>
      <c r="G153" s="6" t="str">
        <f>DATA!I143</f>
        <v>A</v>
      </c>
      <c r="H153" s="6" t="str">
        <f>DATA!J143</f>
        <v>Program Pembangunan Infrastruktur Ketenagalistrikan</v>
      </c>
      <c r="I153" s="6">
        <f>DATA!K143</f>
        <v>2</v>
      </c>
      <c r="J153" s="44"/>
      <c r="K153" s="45"/>
      <c r="L153" s="45"/>
      <c r="M153" s="48"/>
      <c r="N153" s="68" t="str">
        <f>DATA!L143</f>
        <v>Engineering Service for Hululais 1&amp;2 Geothermal Power Plant Project (2x55 MW)</v>
      </c>
      <c r="O153" s="42">
        <f>DATA!Q143</f>
        <v>1</v>
      </c>
      <c r="P153" s="42">
        <f>DATA!R143</f>
        <v>1</v>
      </c>
      <c r="Q153" s="42">
        <f>DATA!S143</f>
        <v>93</v>
      </c>
      <c r="R153" s="85">
        <f>DATA!T143</f>
        <v>6600000</v>
      </c>
      <c r="S153" s="85"/>
      <c r="T153" s="85">
        <f>DATA!V143</f>
        <v>600000</v>
      </c>
      <c r="U153" s="83">
        <f>DATA!W143</f>
        <v>0</v>
      </c>
      <c r="V153" s="85">
        <f>DATA!X143</f>
        <v>7200000</v>
      </c>
      <c r="W153" s="86" t="str">
        <f>DATA!Y143</f>
        <v>JICA</v>
      </c>
      <c r="X153" s="42" t="str">
        <f>DATA!Z143</f>
        <v>Bilateral</v>
      </c>
      <c r="Y153" s="85">
        <f>DATA!AA143</f>
        <v>6600000</v>
      </c>
      <c r="Z153" s="85">
        <f>DATA!AG143</f>
        <v>0</v>
      </c>
      <c r="AA153" s="98">
        <f>DATA!AH143</f>
        <v>2015</v>
      </c>
      <c r="AB153" s="68" t="str">
        <f>DATA!AI143</f>
        <v>- Sudah ada R/C0
- Green Book 2015
- Loan Agreement tgl 18 Des'15</v>
      </c>
      <c r="AC153" s="68" t="str">
        <f>DATA!AJ143</f>
        <v>- AMDAL sedang di proses
- Pengeboran eksplorasi sedang di proses</v>
      </c>
      <c r="AD153" s="68" t="str">
        <f>DATA!AK143</f>
        <v>Belum</v>
      </c>
      <c r="AE153" s="68" t="str">
        <f>DATA!AL143</f>
        <v>Dalam proses persiapan pengadaan konsultan</v>
      </c>
      <c r="AF153" s="42" t="str">
        <f>DATA!AR143</f>
        <v>Nilai pinjaman di GB USD 6.570 ribu</v>
      </c>
      <c r="AG153" s="42" t="str">
        <f>DATA!AN143</f>
        <v>siap</v>
      </c>
      <c r="AH153" s="42" t="str">
        <f>DATA!AO143</f>
        <v>tidak butuh lahan</v>
      </c>
      <c r="AI153" s="42" t="str">
        <f>DATA!AP143</f>
        <v>belum ada proses tender/lelang</v>
      </c>
      <c r="AJ153" s="42" t="str">
        <f>DATA!AY143</f>
        <v>Surat Dirut PT. PLN nomor 716/REN.08.01/DIR/2015 tgl 9 September 2015</v>
      </c>
      <c r="AK153" s="42" t="e">
        <f>DATA!#REF!</f>
        <v>#REF!</v>
      </c>
      <c r="AL153" s="42">
        <f>DATA!AZ143</f>
        <v>0</v>
      </c>
      <c r="AM153" s="67" t="str">
        <f>DATA!BA143</f>
        <v>Memfasilitasi penyusunan DED, tender dokumen, dan pengawasan konstruksi untuk PLTP Hululais 1 dan 2 (2x55 MW)</v>
      </c>
    </row>
    <row r="154" spans="1:39" s="6" customFormat="1" ht="31.5" hidden="1" customHeight="1">
      <c r="A154" s="6">
        <f>DATA!A144</f>
        <v>106</v>
      </c>
      <c r="B154" s="6">
        <f>DATA!B144</f>
        <v>0</v>
      </c>
      <c r="C154" s="6" t="str">
        <f>DATA!D144</f>
        <v>INFRASTRUKTUR</v>
      </c>
      <c r="D154" s="6">
        <f>DATA!E144</f>
        <v>7</v>
      </c>
      <c r="E154" s="6" t="str">
        <f>DATA!F144</f>
        <v xml:space="preserve">PT. PLN    </v>
      </c>
      <c r="F154" s="6" t="str">
        <f>DATA!H144</f>
        <v>Electricity Infrastructure Development Program</v>
      </c>
      <c r="G154" s="6" t="str">
        <f>DATA!I144</f>
        <v>A</v>
      </c>
      <c r="H154" s="6" t="str">
        <f>DATA!J144</f>
        <v>Program Pembangunan Infrastruktur Ketenagalistrikan</v>
      </c>
      <c r="I154" s="6">
        <f>DATA!K144</f>
        <v>2</v>
      </c>
      <c r="J154" s="38"/>
      <c r="K154" s="39"/>
      <c r="L154" s="39"/>
      <c r="M154" s="43"/>
      <c r="N154" s="67" t="str">
        <f>DATA!L144</f>
        <v>Hululais Geothermal Power Plant  1&amp;2 (2x55MW)</v>
      </c>
      <c r="O154" s="42">
        <f>DATA!Q144</f>
        <v>1</v>
      </c>
      <c r="P154" s="42">
        <f>DATA!R144</f>
        <v>1</v>
      </c>
      <c r="Q154" s="42">
        <f>DATA!S144</f>
        <v>94</v>
      </c>
      <c r="R154" s="83">
        <f>DATA!T144</f>
        <v>204000000</v>
      </c>
      <c r="S154" s="83"/>
      <c r="T154" s="83">
        <f>DATA!V144</f>
        <v>42000000</v>
      </c>
      <c r="U154" s="83">
        <f>DATA!W144</f>
        <v>0</v>
      </c>
      <c r="V154" s="83">
        <f>DATA!X144</f>
        <v>246000000</v>
      </c>
      <c r="W154" s="84" t="str">
        <f>DATA!Y144</f>
        <v>JICA</v>
      </c>
      <c r="X154" s="42" t="str">
        <f>DATA!Z144</f>
        <v>Bilateral</v>
      </c>
      <c r="Y154" s="83">
        <f>DATA!AA144</f>
        <v>204000000</v>
      </c>
      <c r="Z154" s="83">
        <f>DATA!AG144</f>
        <v>0</v>
      </c>
      <c r="AA154" s="42">
        <f>DATA!AH144</f>
        <v>2015</v>
      </c>
      <c r="AB154" s="67" t="str">
        <f>DATA!AI144</f>
        <v>-</v>
      </c>
      <c r="AC154" s="67" t="str">
        <f>DATA!AJ144</f>
        <v>-</v>
      </c>
      <c r="AD154" s="67" t="str">
        <f>DATA!AK144</f>
        <v>-</v>
      </c>
      <c r="AE154" s="67" t="str">
        <f>DATA!AL144</f>
        <v>-</v>
      </c>
      <c r="AF154" s="42" t="str">
        <f>DATA!AR144</f>
        <v>belum ada dokumen R/C</v>
      </c>
      <c r="AG154" s="42" t="str">
        <f>DATA!AN144</f>
        <v>belum ada keterangan</v>
      </c>
      <c r="AH154" s="42" t="str">
        <f>DATA!AO144</f>
        <v>belum ada keterangan</v>
      </c>
      <c r="AI154" s="42" t="str">
        <f>DATA!AP144</f>
        <v>belum ada proses tender/lelang</v>
      </c>
      <c r="AJ154" s="42" t="str">
        <f>DATA!AY144</f>
        <v>Surat Dirut PT. PLN nomor 716/REN.08.01/DIR/2015 tgl 9 September 2015</v>
      </c>
      <c r="AK154" s="42" t="e">
        <f>DATA!#REF!</f>
        <v>#REF!</v>
      </c>
      <c r="AL154" s="42">
        <f>DATA!AZ144</f>
        <v>0</v>
      </c>
      <c r="AM154" s="67" t="str">
        <f>DATA!BA144</f>
        <v>Pembangunan PLTP Hululais 2x55 MW dan pembangunan jaringan transmisi 150 kV</v>
      </c>
    </row>
    <row r="155" spans="1:39" ht="51" hidden="1">
      <c r="A155" s="10">
        <f>DATA!A145</f>
        <v>107</v>
      </c>
      <c r="B155" s="10">
        <f>DATA!B145</f>
        <v>0</v>
      </c>
      <c r="C155" s="10" t="str">
        <f>DATA!D145</f>
        <v>INFRASTRUKTUR</v>
      </c>
      <c r="D155" s="10">
        <f>DATA!E145</f>
        <v>7</v>
      </c>
      <c r="E155" s="10" t="str">
        <f>DATA!F145</f>
        <v xml:space="preserve">PT. PLN    </v>
      </c>
      <c r="F155" s="10" t="str">
        <f>DATA!H145</f>
        <v>Electricity Infrastructure Development Program</v>
      </c>
      <c r="G155" s="10" t="str">
        <f>DATA!I145</f>
        <v>A</v>
      </c>
      <c r="H155" s="10" t="str">
        <f>DATA!J145</f>
        <v>Program Pembangunan Infrastruktur Ketenagalistrikan</v>
      </c>
      <c r="I155" s="10">
        <f>DATA!K145</f>
        <v>3</v>
      </c>
      <c r="J155" s="33"/>
      <c r="K155" s="34"/>
      <c r="L155" s="34"/>
      <c r="M155" s="36">
        <f>DATA!K145</f>
        <v>3</v>
      </c>
      <c r="N155" s="37" t="str">
        <f>DATA!L145</f>
        <v>Bakaru II Hydro Electrical Power Plant (2x63MW)</v>
      </c>
      <c r="O155" s="20">
        <f>DATA!Q145</f>
        <v>1</v>
      </c>
      <c r="P155" s="20">
        <f>DATA!R145</f>
        <v>1</v>
      </c>
      <c r="Q155" s="20">
        <f>DATA!S145</f>
        <v>95</v>
      </c>
      <c r="R155" s="77">
        <f>DATA!T145</f>
        <v>280000000</v>
      </c>
      <c r="S155" s="77"/>
      <c r="T155" s="77">
        <f>DATA!V145</f>
        <v>20000000</v>
      </c>
      <c r="U155" s="77">
        <f>DATA!W145</f>
        <v>0</v>
      </c>
      <c r="V155" s="77">
        <f>DATA!X145</f>
        <v>300000000</v>
      </c>
      <c r="W155" s="78" t="str">
        <f>DATA!Y145</f>
        <v>Jerman (KfW)</v>
      </c>
      <c r="X155" s="20" t="str">
        <f>DATA!Z145</f>
        <v>Bilateral</v>
      </c>
      <c r="Y155" s="77">
        <f>DATA!AA145</f>
        <v>280000000</v>
      </c>
      <c r="Z155" s="77">
        <f>DATA!AG145</f>
        <v>0</v>
      </c>
      <c r="AA155" s="20">
        <f>DATA!AH145</f>
        <v>2016</v>
      </c>
      <c r="AB155" s="37" t="str">
        <f>DATA!AI145</f>
        <v>-</v>
      </c>
      <c r="AC155" s="37" t="str">
        <f>DATA!AJ145</f>
        <v>Dalam tahap reviu FS, Penyusunan AMDAL</v>
      </c>
      <c r="AD155" s="37" t="str">
        <f>DATA!AK145</f>
        <v>Pembebasan lahan menunggu hasil reviu FS</v>
      </c>
      <c r="AE155" s="37" t="str">
        <f>DATA!AL145</f>
        <v>Belum ada lelang/tender</v>
      </c>
      <c r="AF155" s="20">
        <f>DATA!AM145</f>
        <v>0</v>
      </c>
      <c r="AG155" s="20" t="str">
        <f>DATA!AN145</f>
        <v>dalam proses</v>
      </c>
      <c r="AH155" s="20" t="str">
        <f>DATA!AO145</f>
        <v>dalam proses
(perencanaan)</v>
      </c>
      <c r="AI155" s="20" t="str">
        <f>DATA!AP145</f>
        <v>belum ada proses tender/lelang</v>
      </c>
      <c r="AJ155"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K155" s="20" t="e">
        <f>DATA!#REF!</f>
        <v>#REF!</v>
      </c>
      <c r="AL155" s="20">
        <f>DATA!AZ145</f>
        <v>0</v>
      </c>
      <c r="AM155" s="37" t="str">
        <f>DATA!BA145</f>
        <v xml:space="preserve"> Pembangunan PLTA Bakaru II (2x63 MW), rehabilitasi bendungan dan turbin PLTA Bakaru I, sedimentasi penanggulangan dan Engineering Services PLTA Bakaru II</v>
      </c>
    </row>
    <row r="156" spans="1:39" ht="76.5" hidden="1">
      <c r="A156" s="10">
        <f>DATA!A146</f>
        <v>108</v>
      </c>
      <c r="B156" s="10">
        <f>DATA!B146</f>
        <v>0</v>
      </c>
      <c r="C156" s="10" t="str">
        <f>DATA!D146</f>
        <v>INFRASTRUKTUR</v>
      </c>
      <c r="D156" s="10">
        <f>DATA!E146</f>
        <v>7</v>
      </c>
      <c r="E156" s="10" t="str">
        <f>DATA!F146</f>
        <v xml:space="preserve">PT. PLN    </v>
      </c>
      <c r="F156" s="10" t="str">
        <f>DATA!H146</f>
        <v>Electricity Infrastructure Development Program</v>
      </c>
      <c r="G156" s="10" t="str">
        <f>DATA!I146</f>
        <v>A</v>
      </c>
      <c r="H156" s="10" t="str">
        <f>DATA!J146</f>
        <v>Program Pembangunan Infrastruktur Ketenagalistrikan</v>
      </c>
      <c r="I156" s="10">
        <f>DATA!K146</f>
        <v>4</v>
      </c>
      <c r="J156" s="33"/>
      <c r="K156" s="34"/>
      <c r="L156" s="34"/>
      <c r="M156" s="36">
        <f>DATA!K146</f>
        <v>4</v>
      </c>
      <c r="N156" s="37" t="str">
        <f>DATA!L146</f>
        <v>Tulehu Geothermal Power Plant Project Unit 1&amp;2 (2x10MW)</v>
      </c>
      <c r="O156" s="20">
        <f>DATA!Q146</f>
        <v>1</v>
      </c>
      <c r="P156" s="20">
        <f>DATA!R146</f>
        <v>1</v>
      </c>
      <c r="Q156" s="20">
        <f>DATA!S146</f>
        <v>96</v>
      </c>
      <c r="R156" s="77">
        <f>DATA!T146</f>
        <v>104000000</v>
      </c>
      <c r="S156" s="77"/>
      <c r="T156" s="77">
        <f>DATA!V146</f>
        <v>18000000</v>
      </c>
      <c r="U156" s="77">
        <f>DATA!W146</f>
        <v>0</v>
      </c>
      <c r="V156" s="77">
        <f>DATA!X146</f>
        <v>122000000</v>
      </c>
      <c r="W156" s="78" t="str">
        <f>DATA!Y146</f>
        <v>JICA</v>
      </c>
      <c r="X156" s="20" t="str">
        <f>DATA!Z146</f>
        <v>Bilateral</v>
      </c>
      <c r="Y156" s="77">
        <f>DATA!AA146</f>
        <v>104000000</v>
      </c>
      <c r="Z156" s="77">
        <f>DATA!AG146</f>
        <v>0</v>
      </c>
      <c r="AA156" s="20">
        <f>DATA!AH146</f>
        <v>2018</v>
      </c>
      <c r="AB156" s="37" t="str">
        <f>DATA!AI146</f>
        <v>-</v>
      </c>
      <c r="AC156" s="37" t="str">
        <f>DATA!AJ146</f>
        <v>Dalam proses reviu oleh BLH</v>
      </c>
      <c r="AD156" s="114">
        <f>DATA!AK146</f>
        <v>0.63</v>
      </c>
      <c r="AE156" s="37" t="str">
        <f>DATA!AL146</f>
        <v>- Direncanakan PQ IPM Drilling Sumur Produksi/Injeksi dimulai akhir Sept 2015
- Proses finalisasi dokumen lelang</v>
      </c>
      <c r="AF156" s="20" t="str">
        <f>DATA!AR146</f>
        <v>belum ada dokumen R/C</v>
      </c>
      <c r="AG156" s="20" t="str">
        <f>DATA!AN146</f>
        <v>dalam proses
(penyusunan FS)</v>
      </c>
      <c r="AH156" s="20" t="str">
        <f>DATA!AO146</f>
        <v>dalam proses
(pelaksanaan 63%)</v>
      </c>
      <c r="AI156" s="20" t="str">
        <f>DATA!AP146</f>
        <v>belum ada proses tender/lelang</v>
      </c>
      <c r="AJ156" s="20" t="str">
        <f>DATA!AY146</f>
        <v>- Pembebasan lahan untuk lokasi power plant dan pad B masih terkendala batas wilayah antara dua desa
- Surat Dirut PT. PLN nomor 716/REN.08.01/DIR/2015 tgl 9 September 2015</v>
      </c>
      <c r="AK156" s="20" t="e">
        <f>DATA!#REF!</f>
        <v>#REF!</v>
      </c>
      <c r="AL156" s="20">
        <f>DATA!AZ146</f>
        <v>0</v>
      </c>
      <c r="AM156" s="37" t="str">
        <f>DATA!BA146</f>
        <v>Pembangunan PLTP Tulehu 2x10 MW dan tambahan pengeboran untuk 3 sumur produksi/injeksi</v>
      </c>
    </row>
    <row r="157" spans="1:39" ht="89.25" hidden="1">
      <c r="A157" s="10">
        <f>DATA!A147</f>
        <v>109</v>
      </c>
      <c r="B157" s="10">
        <f>DATA!B147</f>
        <v>0</v>
      </c>
      <c r="C157" s="10" t="str">
        <f>DATA!D147</f>
        <v>INFRASTRUKTUR</v>
      </c>
      <c r="D157" s="10">
        <f>DATA!E147</f>
        <v>7</v>
      </c>
      <c r="E157" s="10" t="str">
        <f>DATA!F147</f>
        <v xml:space="preserve">PT. PLN    </v>
      </c>
      <c r="F157" s="10" t="str">
        <f>DATA!H147</f>
        <v>Electricity Infrastructure Development Program</v>
      </c>
      <c r="G157" s="10" t="str">
        <f>DATA!I147</f>
        <v>A</v>
      </c>
      <c r="H157" s="10" t="str">
        <f>DATA!J147</f>
        <v>Program Pembangunan Infrastruktur Ketenagalistrikan</v>
      </c>
      <c r="I157" s="10">
        <f>DATA!K147</f>
        <v>5</v>
      </c>
      <c r="J157" s="33"/>
      <c r="K157" s="34"/>
      <c r="L157" s="34"/>
      <c r="M157" s="36">
        <f>DATA!K147</f>
        <v>5</v>
      </c>
      <c r="N157" s="37" t="str">
        <f>DATA!L147</f>
        <v>Indramayu Coal Fired Power Plant  #4 (1x1000MW)</v>
      </c>
      <c r="O157" s="20">
        <f>DATA!Q147</f>
        <v>1</v>
      </c>
      <c r="P157" s="20">
        <f>DATA!R147</f>
        <v>1</v>
      </c>
      <c r="Q157" s="20">
        <f>DATA!S147</f>
        <v>97</v>
      </c>
      <c r="R157" s="77">
        <f>DATA!T147</f>
        <v>1845000000</v>
      </c>
      <c r="S157" s="77"/>
      <c r="T157" s="77">
        <f>DATA!V147</f>
        <v>333000000</v>
      </c>
      <c r="U157" s="77">
        <f>DATA!W147</f>
        <v>0</v>
      </c>
      <c r="V157" s="77">
        <f>DATA!X147</f>
        <v>2178000000</v>
      </c>
      <c r="W157" s="78" t="str">
        <f>DATA!Y147</f>
        <v>JICA</v>
      </c>
      <c r="X157" s="20" t="str">
        <f>DATA!Z147</f>
        <v>Bilateral</v>
      </c>
      <c r="Y157" s="77">
        <f>DATA!AA147</f>
        <v>1845000000</v>
      </c>
      <c r="Z157" s="77">
        <f>DATA!AG147</f>
        <v>0</v>
      </c>
      <c r="AA157" s="20">
        <f>DATA!AH147</f>
        <v>2017</v>
      </c>
      <c r="AB157" s="37" t="str">
        <f>DATA!AI147</f>
        <v>-</v>
      </c>
      <c r="AC157" s="37" t="str">
        <f>DATA!AJ147</f>
        <v>FS, AMDAL</v>
      </c>
      <c r="AD157" s="37" t="str">
        <f>DATA!AK147</f>
        <v>Pembebasan lahan tahun 2016</v>
      </c>
      <c r="AE157" s="37" t="str">
        <f>DATA!AL147</f>
        <v>Rencana pengadaan konsultan ES selesai Nov 2015</v>
      </c>
      <c r="AF157" s="20" t="str">
        <f>DATA!AR147</f>
        <v>belum ada dokumen R/C</v>
      </c>
      <c r="AG157" s="20" t="str">
        <f>DATA!AN147</f>
        <v>siap</v>
      </c>
      <c r="AH157" s="20" t="str">
        <f>DATA!AO147</f>
        <v>dalam proses
(perencanaan)</v>
      </c>
      <c r="AI157" s="20" t="str">
        <f>DATA!AP147</f>
        <v>belum ada proses tender/lelang</v>
      </c>
      <c r="AJ157" s="20" t="str">
        <f>DATA!AY147</f>
        <v>Surat Dirut PT. PLN nomor 716/REN.08.01/DIR/2015 tgl 9 September 2015</v>
      </c>
      <c r="AK157" s="20" t="e">
        <f>DATA!#REF!</f>
        <v>#REF!</v>
      </c>
      <c r="AL157" s="20">
        <f>DATA!AZ147</f>
        <v>0</v>
      </c>
      <c r="AM157" s="37"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row>
    <row r="158" spans="1:39" ht="203.25" hidden="1" customHeight="1">
      <c r="A158" s="10">
        <f>DATA!A148</f>
        <v>110</v>
      </c>
      <c r="B158" s="10">
        <f>DATA!B148</f>
        <v>0</v>
      </c>
      <c r="C158" s="10" t="str">
        <f>DATA!D148</f>
        <v>INFRASTRUKTUR</v>
      </c>
      <c r="D158" s="10">
        <f>DATA!E148</f>
        <v>7</v>
      </c>
      <c r="E158" s="10" t="str">
        <f>DATA!F148</f>
        <v xml:space="preserve">PT. PLN    </v>
      </c>
      <c r="F158" s="10" t="str">
        <f>DATA!H148</f>
        <v>Electricity Infrastructure Development Program</v>
      </c>
      <c r="G158" s="10" t="str">
        <f>DATA!I148</f>
        <v>A</v>
      </c>
      <c r="H158" s="10" t="str">
        <f>DATA!J148</f>
        <v>Program Pembangunan Infrastruktur Ketenagalistrikan</v>
      </c>
      <c r="I158" s="10">
        <f>DATA!K148</f>
        <v>6</v>
      </c>
      <c r="J158" s="33"/>
      <c r="K158" s="34"/>
      <c r="L158" s="34"/>
      <c r="M158" s="36">
        <f>DATA!K148</f>
        <v>6</v>
      </c>
      <c r="N158" s="37" t="str">
        <f>DATA!L148</f>
        <v>Additional Loan for Upper Cisokan Pumped Storage Hydro Electrical Power Plant (4x260MW)</v>
      </c>
      <c r="O158" s="20">
        <f>DATA!Q148</f>
        <v>1</v>
      </c>
      <c r="P158" s="20">
        <f>DATA!R148</f>
        <v>1</v>
      </c>
      <c r="Q158" s="20">
        <f>DATA!S148</f>
        <v>98</v>
      </c>
      <c r="R158" s="77">
        <f>DATA!T148</f>
        <v>200000000</v>
      </c>
      <c r="S158" s="77"/>
      <c r="T158" s="77">
        <f>DATA!V148</f>
        <v>0</v>
      </c>
      <c r="U158" s="77">
        <f>DATA!W148</f>
        <v>0</v>
      </c>
      <c r="V158" s="77">
        <f>DATA!X148</f>
        <v>200000000</v>
      </c>
      <c r="W158" s="78" t="str">
        <f>DATA!Y148</f>
        <v>Bank Dunia</v>
      </c>
      <c r="X158" s="20" t="str">
        <f>DATA!Z148</f>
        <v>Multilateral</v>
      </c>
      <c r="Y158" s="77">
        <f>DATA!AA148</f>
        <v>200000000</v>
      </c>
      <c r="Z158" s="77">
        <f>DATA!AG148</f>
        <v>0</v>
      </c>
      <c r="AA158" s="20">
        <f>DATA!AH148</f>
        <v>2017</v>
      </c>
      <c r="AB158" s="37" t="str">
        <f>DATA!AI148</f>
        <v>-</v>
      </c>
      <c r="AC158" s="37" t="str">
        <f>DATA!AJ148</f>
        <v>FS, AMDAL</v>
      </c>
      <c r="AD158" s="114">
        <f>DATA!AK148</f>
        <v>0.95</v>
      </c>
      <c r="AE158" s="37"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F158" s="20" t="str">
        <f>DATA!AR148</f>
        <v>belum ada dokumen R/C</v>
      </c>
      <c r="AG158" s="20" t="str">
        <f>DATA!AN148</f>
        <v>siap</v>
      </c>
      <c r="AH158" s="20" t="str">
        <f>DATA!AO148</f>
        <v>dalam proses
(pelaksanaan 95%)</v>
      </c>
      <c r="AI158" s="20" t="str">
        <f>DATA!AP148</f>
        <v>belum ada proses tender/lelang</v>
      </c>
      <c r="AJ158"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K158" s="20" t="e">
        <f>DATA!#REF!</f>
        <v>#REF!</v>
      </c>
      <c r="AL158" s="20">
        <f>DATA!AZ148</f>
        <v>0</v>
      </c>
      <c r="AM158" s="37"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row>
    <row r="159" spans="1:39" ht="35.25" hidden="1" customHeight="1">
      <c r="A159" s="10">
        <f>DATA!A149</f>
        <v>111</v>
      </c>
      <c r="B159" s="10">
        <f>DATA!B149</f>
        <v>0</v>
      </c>
      <c r="C159" s="10" t="str">
        <f>DATA!D149</f>
        <v>INFRASTRUKTUR</v>
      </c>
      <c r="D159" s="10">
        <f>DATA!E149</f>
        <v>7</v>
      </c>
      <c r="E159" s="10" t="str">
        <f>DATA!F149</f>
        <v xml:space="preserve">PT. PLN    </v>
      </c>
      <c r="F159" s="10" t="str">
        <f>DATA!H149</f>
        <v>Electricity Infrastructure Development Program</v>
      </c>
      <c r="G159" s="10" t="str">
        <f>DATA!I149</f>
        <v>A</v>
      </c>
      <c r="H159" s="10" t="str">
        <f>DATA!J149</f>
        <v>Program Pembangunan Infrastruktur Ketenagalistrikan</v>
      </c>
      <c r="I159" s="10">
        <f>DATA!K149</f>
        <v>7</v>
      </c>
      <c r="J159" s="33"/>
      <c r="K159" s="34"/>
      <c r="L159" s="34"/>
      <c r="M159" s="36">
        <f>DATA!K149</f>
        <v>7</v>
      </c>
      <c r="N159" s="37" t="str">
        <f>DATA!L149</f>
        <v>Sungai Penuh Geothermal Power Plant 1&amp;2 (2x55MW)</v>
      </c>
      <c r="O159" s="20">
        <f>DATA!Q149</f>
        <v>1</v>
      </c>
      <c r="P159" s="20">
        <f>DATA!R149</f>
        <v>1</v>
      </c>
      <c r="Q159" s="20">
        <f>DATA!S149</f>
        <v>99</v>
      </c>
      <c r="R159" s="77">
        <f>DATA!T149</f>
        <v>205000000</v>
      </c>
      <c r="S159" s="77"/>
      <c r="T159" s="77">
        <f>DATA!V149</f>
        <v>45000000</v>
      </c>
      <c r="U159" s="77">
        <f>DATA!W149</f>
        <v>0</v>
      </c>
      <c r="V159" s="77">
        <f>DATA!X149</f>
        <v>250000000</v>
      </c>
      <c r="W159" s="78" t="str">
        <f>DATA!Y149</f>
        <v>ADB</v>
      </c>
      <c r="X159" s="20" t="str">
        <f>DATA!Z149</f>
        <v>Multilateral</v>
      </c>
      <c r="Y159" s="77">
        <f>DATA!AA149</f>
        <v>205000000</v>
      </c>
      <c r="Z159" s="77">
        <f>DATA!AG149</f>
        <v>0</v>
      </c>
      <c r="AA159" s="20" t="str">
        <f>DATA!AH149</f>
        <v>Tanpa keterangan</v>
      </c>
      <c r="AB159" s="37" t="str">
        <f>DATA!AI149</f>
        <v>-</v>
      </c>
      <c r="AC159" s="37" t="str">
        <f>DATA!AJ149</f>
        <v>AMDAL</v>
      </c>
      <c r="AD159" s="37" t="str">
        <f>DATA!AK149</f>
        <v>-</v>
      </c>
      <c r="AE159" s="37" t="str">
        <f>DATA!AL149</f>
        <v>-</v>
      </c>
      <c r="AF159" s="20" t="str">
        <f>DATA!AR149</f>
        <v>belum ada dokumen R/C</v>
      </c>
      <c r="AG159" s="20" t="str">
        <f>DATA!AN149</f>
        <v>siap</v>
      </c>
      <c r="AH159" s="20" t="str">
        <f>DATA!AO149</f>
        <v>belum ada keterangan</v>
      </c>
      <c r="AI159" s="20" t="str">
        <f>DATA!AP149</f>
        <v>belum ada proses tender/lelang</v>
      </c>
      <c r="AJ159" s="20" t="str">
        <f>DATA!AY149</f>
        <v xml:space="preserve">- FS report terkait resource confirmation dari PGE belum ada
- Surat Dirut PT. PLN nomor 716/REN.08.01/DIR/2015 tgl 9 September 2015
</v>
      </c>
      <c r="AK159" s="20" t="e">
        <f>DATA!#REF!</f>
        <v>#REF!</v>
      </c>
      <c r="AL159" s="20">
        <f>DATA!AZ149</f>
        <v>0</v>
      </c>
      <c r="AM159" s="37" t="str">
        <f>DATA!BA149</f>
        <v>Pengembangan PLTP Sungai Penuh dengan kapasitas 2x55 MW dan jaringan transmisi terkait</v>
      </c>
    </row>
    <row r="160" spans="1:39" ht="36" hidden="1" customHeight="1">
      <c r="A160" s="10">
        <f>DATA!A150</f>
        <v>112</v>
      </c>
      <c r="B160" s="10">
        <f>DATA!B150</f>
        <v>0</v>
      </c>
      <c r="C160" s="10" t="str">
        <f>DATA!D150</f>
        <v>INFRASTRUKTUR</v>
      </c>
      <c r="D160" s="10">
        <f>DATA!E150</f>
        <v>7</v>
      </c>
      <c r="E160" s="10" t="str">
        <f>DATA!F150</f>
        <v xml:space="preserve">PT. PLN    </v>
      </c>
      <c r="F160" s="10" t="str">
        <f>DATA!H150</f>
        <v>Electricity Infrastructure Development Program</v>
      </c>
      <c r="G160" s="10" t="str">
        <f>DATA!I150</f>
        <v>A</v>
      </c>
      <c r="H160" s="10" t="str">
        <f>DATA!J150</f>
        <v>Program Pembangunan Infrastruktur Ketenagalistrikan</v>
      </c>
      <c r="I160" s="10">
        <f>DATA!K150</f>
        <v>8</v>
      </c>
      <c r="J160" s="52"/>
      <c r="K160" s="54"/>
      <c r="L160" s="54"/>
      <c r="M160" s="36">
        <f>DATA!K150</f>
        <v>8</v>
      </c>
      <c r="N160" s="37" t="str">
        <f>DATA!L150</f>
        <v>Matenggeng Pumped Storage Hydro Electrical Power Plant (4x225MW)</v>
      </c>
      <c r="O160" s="20">
        <f>DATA!Q150</f>
        <v>1</v>
      </c>
      <c r="P160" s="20">
        <f>DATA!R150</f>
        <v>1</v>
      </c>
      <c r="Q160" s="20">
        <f>DATA!S150</f>
        <v>100</v>
      </c>
      <c r="R160" s="77">
        <f>DATA!T150</f>
        <v>500000000</v>
      </c>
      <c r="S160" s="77"/>
      <c r="T160" s="77">
        <f>DATA!V150</f>
        <v>220000000</v>
      </c>
      <c r="U160" s="77">
        <f>DATA!W150</f>
        <v>0</v>
      </c>
      <c r="V160" s="77">
        <f>DATA!X150</f>
        <v>720000000</v>
      </c>
      <c r="W160" s="78" t="str">
        <f>DATA!Y150</f>
        <v>Bank Dunia</v>
      </c>
      <c r="X160" s="20" t="str">
        <f>DATA!Z150</f>
        <v>Multilateral</v>
      </c>
      <c r="Y160" s="77">
        <f>DATA!AA150</f>
        <v>500000000</v>
      </c>
      <c r="Z160" s="77">
        <f>DATA!AG150</f>
        <v>0</v>
      </c>
      <c r="AA160" s="20">
        <f>DATA!AH150</f>
        <v>2017</v>
      </c>
      <c r="AB160" s="37" t="str">
        <f>DATA!AI150</f>
        <v>-</v>
      </c>
      <c r="AC160" s="37" t="str">
        <f>DATA!AJ150</f>
        <v>Penyusunan FS</v>
      </c>
      <c r="AD160" s="37" t="str">
        <f>DATA!AK150</f>
        <v>-</v>
      </c>
      <c r="AE160" s="37" t="str">
        <f>DATA!AL150</f>
        <v>-</v>
      </c>
      <c r="AF160" s="20" t="str">
        <f>DATA!AR150</f>
        <v>belum ada dokumen R/C</v>
      </c>
      <c r="AG160" s="20" t="str">
        <f>DATA!AN150</f>
        <v>dalam proses
(penyusunan FS)</v>
      </c>
      <c r="AH160" s="20" t="str">
        <f>DATA!AO150</f>
        <v>belum ada keterangan</v>
      </c>
      <c r="AI160" s="20" t="str">
        <f>DATA!AP150</f>
        <v>belum ada proses tender/lelang</v>
      </c>
      <c r="AJ160" s="20" t="str">
        <f>DATA!AY150</f>
        <v>- Direncanakan menggunakan skema direct lending
- AMDAL direncanakan mulai tahun 2016
- Layout terkini tidak terindikasi overlapping dengan bendungan Matenggeng milik PU
- Surat Dirut PT. PLN nomor 716/REN.08.01/DIR/2015 tgl 9 September 2015</v>
      </c>
      <c r="AK160" s="20" t="e">
        <f>DATA!#REF!</f>
        <v>#REF!</v>
      </c>
      <c r="AL160" s="20">
        <f>DATA!AZ150</f>
        <v>0</v>
      </c>
      <c r="AM160" s="37" t="str">
        <f>DATA!BA150</f>
        <v>Pengembangan PLTA Matenggeng dengan kapasitas 4x225 MW dan jaringan transmisi terkait</v>
      </c>
    </row>
    <row r="161" spans="1:39" s="3" customFormat="1" ht="30" hidden="1" customHeight="1">
      <c r="J161" s="21" t="str">
        <f>DATA!B160</f>
        <v>II</v>
      </c>
      <c r="K161" s="112" t="str">
        <f>DATA!D160</f>
        <v>NON-INFRASTRUKTUR</v>
      </c>
      <c r="L161" s="22"/>
      <c r="M161" s="22"/>
      <c r="N161" s="23"/>
      <c r="O161" s="22"/>
      <c r="P161" s="22"/>
      <c r="Q161" s="22"/>
      <c r="R161" s="79">
        <f>+R162+R172+R181+R184+R196+R199+R212+R215+R218+R221</f>
        <v>4590772100</v>
      </c>
      <c r="S161" s="79"/>
      <c r="T161" s="79">
        <f t="shared" ref="T161:Z161" si="18">+T162+T172+T181+T184+T196+T199+T212+T215+T218+T221</f>
        <v>488120200</v>
      </c>
      <c r="U161" s="79">
        <f t="shared" si="18"/>
        <v>2660000</v>
      </c>
      <c r="V161" s="79">
        <f t="shared" si="18"/>
        <v>5308007600</v>
      </c>
      <c r="W161" s="79"/>
      <c r="X161" s="79" t="e">
        <f t="shared" si="18"/>
        <v>#VALUE!</v>
      </c>
      <c r="Y161" s="79">
        <f t="shared" si="18"/>
        <v>4590772100</v>
      </c>
      <c r="Z161" s="79">
        <f t="shared" si="18"/>
        <v>-1609442600</v>
      </c>
      <c r="AA161" s="22"/>
      <c r="AB161" s="23"/>
      <c r="AC161" s="23"/>
      <c r="AD161" s="23"/>
      <c r="AE161" s="23"/>
      <c r="AF161" s="22"/>
      <c r="AG161" s="22"/>
      <c r="AH161" s="22"/>
      <c r="AI161" s="22"/>
      <c r="AJ161" s="22"/>
      <c r="AK161" s="22"/>
      <c r="AL161" s="22"/>
      <c r="AM161" s="23"/>
    </row>
    <row r="162" spans="1:39" s="4" customFormat="1" ht="24.95" hidden="1" customHeight="1">
      <c r="J162" s="24"/>
      <c r="K162" s="25">
        <f>DATA!E160</f>
        <v>8</v>
      </c>
      <c r="L162" s="108" t="str">
        <f>DATA!F160</f>
        <v>Kementerian Riset, Teknologi, dan Pendidikan Tinggi</v>
      </c>
      <c r="M162" s="25"/>
      <c r="N162" s="27"/>
      <c r="O162" s="26"/>
      <c r="P162" s="26"/>
      <c r="Q162" s="26"/>
      <c r="R162" s="80">
        <f>+R163</f>
        <v>290311500</v>
      </c>
      <c r="S162" s="80"/>
      <c r="T162" s="80">
        <f t="shared" ref="T162:Z163" si="19">+T163</f>
        <v>54543500</v>
      </c>
      <c r="U162" s="80">
        <f t="shared" si="19"/>
        <v>0</v>
      </c>
      <c r="V162" s="80">
        <f t="shared" si="19"/>
        <v>581714600</v>
      </c>
      <c r="W162" s="80"/>
      <c r="X162" s="80">
        <f t="shared" si="19"/>
        <v>0</v>
      </c>
      <c r="Y162" s="80">
        <f t="shared" si="19"/>
        <v>290311500</v>
      </c>
      <c r="Z162" s="80">
        <f t="shared" si="19"/>
        <v>0</v>
      </c>
      <c r="AA162" s="26"/>
      <c r="AB162" s="27"/>
      <c r="AC162" s="27"/>
      <c r="AD162" s="27"/>
      <c r="AE162" s="27"/>
      <c r="AF162" s="26"/>
      <c r="AG162" s="26"/>
      <c r="AH162" s="26"/>
      <c r="AI162" s="26"/>
      <c r="AJ162" s="26"/>
      <c r="AK162" s="26"/>
      <c r="AL162" s="26"/>
      <c r="AM162" s="27"/>
    </row>
    <row r="163" spans="1:39" s="5" customFormat="1" ht="33.75" hidden="1" customHeight="1">
      <c r="J163" s="28"/>
      <c r="K163" s="29"/>
      <c r="L163" s="30" t="str">
        <f>DATA!I160</f>
        <v>A</v>
      </c>
      <c r="M163" s="31" t="str">
        <f>DATA!J160</f>
        <v xml:space="preserve">Program Peningkatan Akses, Kualitas, Relevansi, dan Daya Saing Pendidikan Tinggi </v>
      </c>
      <c r="N163" s="51"/>
      <c r="O163" s="31"/>
      <c r="P163" s="31"/>
      <c r="Q163" s="31"/>
      <c r="R163" s="81">
        <f>+R164</f>
        <v>290311500</v>
      </c>
      <c r="S163" s="81"/>
      <c r="T163" s="81">
        <f t="shared" si="19"/>
        <v>54543500</v>
      </c>
      <c r="U163" s="81">
        <f t="shared" si="19"/>
        <v>0</v>
      </c>
      <c r="V163" s="81">
        <f t="shared" si="19"/>
        <v>581714600</v>
      </c>
      <c r="W163" s="81"/>
      <c r="X163" s="81">
        <f t="shared" si="19"/>
        <v>0</v>
      </c>
      <c r="Y163" s="81">
        <f t="shared" si="19"/>
        <v>290311500</v>
      </c>
      <c r="Z163" s="81">
        <f t="shared" si="19"/>
        <v>0</v>
      </c>
      <c r="AA163" s="31"/>
      <c r="AB163" s="32"/>
      <c r="AC163" s="32"/>
      <c r="AD163" s="32"/>
      <c r="AE163" s="32"/>
      <c r="AF163" s="31"/>
      <c r="AG163" s="31"/>
      <c r="AH163" s="31"/>
      <c r="AI163" s="31"/>
      <c r="AJ163" s="31"/>
      <c r="AK163" s="31"/>
      <c r="AL163" s="31"/>
      <c r="AM163" s="32"/>
    </row>
    <row r="164" spans="1:39" ht="48.75" hidden="1" customHeight="1">
      <c r="A164" s="10">
        <f>DATA!A160</f>
        <v>113</v>
      </c>
      <c r="B164" s="10" t="str">
        <f>DATA!B160</f>
        <v>II</v>
      </c>
      <c r="C164" s="10" t="str">
        <f>DATA!D160</f>
        <v>NON-INFRASTRUKTUR</v>
      </c>
      <c r="D164" s="10">
        <f>DATA!E160</f>
        <v>8</v>
      </c>
      <c r="E164" s="10" t="str">
        <f>DATA!F160</f>
        <v>Kementerian Riset, Teknologi, dan Pendidikan Tinggi</v>
      </c>
      <c r="F164" s="10" t="str">
        <f>DATA!H160</f>
        <v>Improving Access, Quality, Relevance, and Competitiveness of Higher Education Program</v>
      </c>
      <c r="G164" s="10" t="str">
        <f>DATA!I160</f>
        <v>A</v>
      </c>
      <c r="H164" s="10" t="str">
        <f>DATA!J160</f>
        <v xml:space="preserve">Program Peningkatan Akses, Kualitas, Relevansi, dan Daya Saing Pendidikan Tinggi </v>
      </c>
      <c r="I164" s="10">
        <f>DATA!K160</f>
        <v>1</v>
      </c>
      <c r="J164" s="33"/>
      <c r="K164" s="34"/>
      <c r="L164" s="35"/>
      <c r="M164" s="36">
        <f>DATA!K160</f>
        <v>1</v>
      </c>
      <c r="N164" s="37" t="str">
        <f>DATA!L160</f>
        <v>Strengthening Capacity of State Higher Education:</v>
      </c>
      <c r="O164" s="20">
        <f>DATA!Q160</f>
        <v>0</v>
      </c>
      <c r="P164" s="20">
        <f>DATA!R160</f>
        <v>1</v>
      </c>
      <c r="Q164" s="20">
        <f>DATA!S160</f>
        <v>101</v>
      </c>
      <c r="R164" s="77">
        <f>DATA!T160</f>
        <v>290311500</v>
      </c>
      <c r="S164" s="77"/>
      <c r="T164" s="77">
        <f>DATA!V160</f>
        <v>54543500</v>
      </c>
      <c r="U164" s="77">
        <f>DATA!W160</f>
        <v>0</v>
      </c>
      <c r="V164" s="77">
        <f>DATA!X160</f>
        <v>581714600</v>
      </c>
      <c r="W164" s="78" t="str">
        <f>DATA!Y160</f>
        <v>-</v>
      </c>
      <c r="X164" s="20">
        <f>DATA!Z160</f>
        <v>0</v>
      </c>
      <c r="Y164" s="77">
        <f>DATA!AA160</f>
        <v>290311500</v>
      </c>
      <c r="Z164" s="77">
        <f>DATA!AG160</f>
        <v>0</v>
      </c>
      <c r="AA164" s="20" t="str">
        <f>DATA!AH160</f>
        <v>-</v>
      </c>
      <c r="AB164" s="37" t="str">
        <f>DATA!AI160</f>
        <v>-</v>
      </c>
      <c r="AC164" s="37" t="str">
        <f>DATA!AJ160</f>
        <v>-</v>
      </c>
      <c r="AD164" s="37" t="str">
        <f>DATA!AK160</f>
        <v>-</v>
      </c>
      <c r="AE164" s="37" t="str">
        <f>DATA!AL160</f>
        <v>-</v>
      </c>
      <c r="AF164" s="20" t="str">
        <f>DATA!AM160</f>
        <v>-</v>
      </c>
      <c r="AG164" s="20">
        <f>DATA!AN160</f>
        <v>0</v>
      </c>
      <c r="AH164" s="20" t="str">
        <f>DATA!AO160</f>
        <v>-</v>
      </c>
      <c r="AI164" s="20">
        <f>DATA!AP160</f>
        <v>0</v>
      </c>
      <c r="AJ164" s="20" t="str">
        <f>DATA!AY160</f>
        <v>Surat Sekjen nomor 1532/A.A1/PR/2015 tgl 9 September 2015</v>
      </c>
      <c r="AK164" s="20" t="e">
        <f>DATA!#REF!</f>
        <v>#REF!</v>
      </c>
      <c r="AL164" s="20">
        <f>DATA!AZ160</f>
        <v>0</v>
      </c>
      <c r="AM164" s="37" t="str">
        <f>DATA!BA160</f>
        <v>Pembangunan sarana dan prasarana perkuliahan, pengadaan peralatan, pengembangan SDM, serta jasa konsultan</v>
      </c>
    </row>
    <row r="165" spans="1:39" s="6" customFormat="1" ht="59.25" hidden="1" customHeight="1">
      <c r="A165" s="6">
        <f>DATA!A161</f>
        <v>114</v>
      </c>
      <c r="B165" s="6">
        <f>DATA!B161</f>
        <v>0</v>
      </c>
      <c r="C165" s="6" t="str">
        <f>DATA!D161</f>
        <v>NON-INFRASTRUKTUR</v>
      </c>
      <c r="D165" s="6">
        <f>DATA!E161</f>
        <v>8</v>
      </c>
      <c r="E165" s="6" t="str">
        <f>DATA!F161</f>
        <v>Kementerian Riset, Teknologi, dan Pendidikan Tinggi</v>
      </c>
      <c r="F165" s="6" t="str">
        <f>DATA!H161</f>
        <v>Improving Access, Quality, Relevance, and Competitiveness of Higher Education Program</v>
      </c>
      <c r="G165" s="6" t="str">
        <f>DATA!I161</f>
        <v>A</v>
      </c>
      <c r="H165" s="6" t="str">
        <f>DATA!J161</f>
        <v xml:space="preserve">Program Peningkatan Akses, Kualitas, Relevansi, dan Daya Saing Pendidikan Tinggi </v>
      </c>
      <c r="I165" s="6">
        <f>DATA!K161</f>
        <v>1</v>
      </c>
      <c r="J165" s="38"/>
      <c r="K165" s="39"/>
      <c r="L165" s="39"/>
      <c r="M165" s="40"/>
      <c r="N165" s="67" t="str">
        <f>DATA!L161</f>
        <v>The Development of Sultan Ageng Tirtayasa University (UNTIRTA)</v>
      </c>
      <c r="O165" s="42">
        <f>DATA!Q161</f>
        <v>0.14285714285714285</v>
      </c>
      <c r="P165" s="42">
        <f>DATA!R161</f>
        <v>0</v>
      </c>
      <c r="Q165" s="42">
        <f>DATA!S161</f>
        <v>0</v>
      </c>
      <c r="R165" s="83">
        <f>DATA!T161</f>
        <v>49882300</v>
      </c>
      <c r="S165" s="83"/>
      <c r="T165" s="83">
        <f>DATA!V161</f>
        <v>3797300</v>
      </c>
      <c r="U165" s="83">
        <f>DATA!W161</f>
        <v>0</v>
      </c>
      <c r="V165" s="83">
        <f>DATA!X161</f>
        <v>53679600</v>
      </c>
      <c r="W165" s="84" t="str">
        <f>DATA!Y161</f>
        <v>IDB</v>
      </c>
      <c r="X165" s="42" t="str">
        <f>DATA!Z161</f>
        <v>Multilateral</v>
      </c>
      <c r="Y165" s="83">
        <f>DATA!AA161</f>
        <v>49882300</v>
      </c>
      <c r="Z165" s="83">
        <f>DATA!AG161</f>
        <v>0</v>
      </c>
      <c r="AA165" s="42" t="str">
        <f>DATA!AH161</f>
        <v>Tanpa keterangan</v>
      </c>
      <c r="AB165" s="67" t="str">
        <f>DATA!AI161</f>
        <v xml:space="preserve">Penyusunan R/C
</v>
      </c>
      <c r="AC165" s="67" t="str">
        <f>DATA!AJ161</f>
        <v>- Pemrosesan FS
- AMDAL proses lelang</v>
      </c>
      <c r="AD165" s="115">
        <f>DATA!AK161</f>
        <v>1</v>
      </c>
      <c r="AE165" s="67" t="str">
        <f>DATA!AL161</f>
        <v>-</v>
      </c>
      <c r="AF165" s="42" t="str">
        <f>DATA!AR161</f>
        <v>-</v>
      </c>
      <c r="AG165" s="42" t="str">
        <f>DATA!AN161</f>
        <v>siap</v>
      </c>
      <c r="AH165" s="42" t="str">
        <f>DATA!AO161</f>
        <v>siap</v>
      </c>
      <c r="AI165" s="42" t="str">
        <f>DATA!AP161</f>
        <v>belum ada proses tender/lelang</v>
      </c>
      <c r="AJ165" s="42" t="str">
        <f>DATA!AY161</f>
        <v>Surat Sekjen nomor 1532/A.A1/PR/2015 tgl 9 September 2015</v>
      </c>
      <c r="AK165" s="42" t="e">
        <f>DATA!#REF!</f>
        <v>#REF!</v>
      </c>
      <c r="AL165" s="42">
        <f>DATA!AZ161</f>
        <v>0</v>
      </c>
      <c r="AM165" s="67" t="str">
        <f>DATA!BA161</f>
        <v>Pembangunan sarana dan prasarana pendidikan (gedung perkuliahan, laboratorium dan sarana pendukung lainnya)  dan pengembangan landscape dan infrastruktur</v>
      </c>
    </row>
    <row r="166" spans="1:39" s="6" customFormat="1" ht="71.25" hidden="1" customHeight="1">
      <c r="A166" s="6">
        <f>DATA!A162</f>
        <v>115</v>
      </c>
      <c r="B166" s="6">
        <f>DATA!B162</f>
        <v>0</v>
      </c>
      <c r="C166" s="6" t="str">
        <f>DATA!D162</f>
        <v>NON-INFRASTRUKTUR</v>
      </c>
      <c r="D166" s="6">
        <f>DATA!E162</f>
        <v>8</v>
      </c>
      <c r="E166" s="6" t="str">
        <f>DATA!F162</f>
        <v>Kementerian Riset, Teknologi, dan Pendidikan Tinggi</v>
      </c>
      <c r="F166" s="6" t="str">
        <f>DATA!H162</f>
        <v>Improving Access, Quality, Relevance, and Competitiveness of Higher Education Program</v>
      </c>
      <c r="G166" s="6" t="str">
        <f>DATA!I162</f>
        <v>A</v>
      </c>
      <c r="H166" s="6" t="str">
        <f>DATA!J162</f>
        <v xml:space="preserve">Program Peningkatan Akses, Kualitas, Relevansi, dan Daya Saing Pendidikan Tinggi </v>
      </c>
      <c r="I166" s="6">
        <f>DATA!K162</f>
        <v>1</v>
      </c>
      <c r="J166" s="38"/>
      <c r="K166" s="39"/>
      <c r="L166" s="39"/>
      <c r="M166" s="38"/>
      <c r="N166" s="67" t="str">
        <f>DATA!L162</f>
        <v>Development for State University of Malang as The Learning University</v>
      </c>
      <c r="O166" s="42">
        <f>DATA!Q162</f>
        <v>0.14285714285714285</v>
      </c>
      <c r="P166" s="42">
        <f>DATA!R162</f>
        <v>0</v>
      </c>
      <c r="Q166" s="42">
        <f>DATA!S162</f>
        <v>0</v>
      </c>
      <c r="R166" s="83">
        <f>DATA!T162</f>
        <v>38400000</v>
      </c>
      <c r="S166" s="83"/>
      <c r="T166" s="83">
        <f>DATA!V162</f>
        <v>9335300</v>
      </c>
      <c r="U166" s="83">
        <f>DATA!W162</f>
        <v>0</v>
      </c>
      <c r="V166" s="83">
        <f>DATA!X162</f>
        <v>47735300</v>
      </c>
      <c r="W166" s="84" t="str">
        <f>DATA!Y162</f>
        <v>IDB</v>
      </c>
      <c r="X166" s="42" t="str">
        <f>DATA!Z162</f>
        <v>Multilateral</v>
      </c>
      <c r="Y166" s="83">
        <f>DATA!AA162</f>
        <v>38400000</v>
      </c>
      <c r="Z166" s="83">
        <f>DATA!AG162</f>
        <v>0</v>
      </c>
      <c r="AA166" s="42" t="str">
        <f>DATA!AH162</f>
        <v>Tanpa keterangan</v>
      </c>
      <c r="AB166" s="67" t="str">
        <f>DATA!AI162</f>
        <v xml:space="preserve">Penyusunan R/C
</v>
      </c>
      <c r="AC166" s="67" t="str">
        <f>DATA!AJ162</f>
        <v>- FS
- AMDAL dalam proses</v>
      </c>
      <c r="AD166" s="115">
        <f>DATA!AK162</f>
        <v>1</v>
      </c>
      <c r="AE166" s="67" t="str">
        <f>DATA!AL162</f>
        <v>-</v>
      </c>
      <c r="AF166" s="42" t="str">
        <f>DATA!AR162</f>
        <v>-</v>
      </c>
      <c r="AG166" s="42" t="str">
        <f>DATA!AN162</f>
        <v>siap</v>
      </c>
      <c r="AH166" s="42" t="str">
        <f>DATA!AO162</f>
        <v>siap</v>
      </c>
      <c r="AI166" s="42" t="str">
        <f>DATA!AP162</f>
        <v>belum ada proses tender/lelang</v>
      </c>
      <c r="AJ166" s="42" t="str">
        <f>DATA!AY162</f>
        <v>Surat Sekjen nomor 1532/A.A1/PR/2015 tgl 9 September 2015</v>
      </c>
      <c r="AK166" s="42" t="e">
        <f>DATA!#REF!</f>
        <v>#REF!</v>
      </c>
      <c r="AL166" s="42">
        <f>DATA!AZ162</f>
        <v>0</v>
      </c>
      <c r="AM166" s="67" t="str">
        <f>DATA!BA162</f>
        <v>Pembangunan sarana dan prasarana perkuliahan (ruang kuliah, ruang dosen, peralatan laboratorium, instalasi jaringan listrik dan telekomunikasi, instalasi air bersih, sanitasi dan mekanikal engineering) dan pengembangan SDM.</v>
      </c>
    </row>
    <row r="167" spans="1:39" s="6" customFormat="1" ht="101.25" hidden="1" customHeight="1">
      <c r="A167" s="6">
        <f>DATA!A163</f>
        <v>116</v>
      </c>
      <c r="B167" s="6">
        <f>DATA!B163</f>
        <v>0</v>
      </c>
      <c r="C167" s="6" t="str">
        <f>DATA!D163</f>
        <v>NON-INFRASTRUKTUR</v>
      </c>
      <c r="D167" s="6">
        <f>DATA!E163</f>
        <v>8</v>
      </c>
      <c r="E167" s="6" t="str">
        <f>DATA!F163</f>
        <v>Kementerian Riset, Teknologi, dan Pendidikan Tinggi</v>
      </c>
      <c r="F167" s="6" t="str">
        <f>DATA!H163</f>
        <v>Improving Access, Quality, Relevance, and Competitiveness of Higher Education Program</v>
      </c>
      <c r="G167" s="6" t="str">
        <f>DATA!I163</f>
        <v>A</v>
      </c>
      <c r="H167" s="6" t="str">
        <f>DATA!J163</f>
        <v xml:space="preserve">Program Peningkatan Akses, Kualitas, Relevansi, dan Daya Saing Pendidikan Tinggi </v>
      </c>
      <c r="I167" s="6">
        <f>DATA!K163</f>
        <v>1</v>
      </c>
      <c r="J167" s="38"/>
      <c r="K167" s="39"/>
      <c r="L167" s="39"/>
      <c r="M167" s="38"/>
      <c r="N167" s="67" t="str">
        <f>DATA!L163</f>
        <v>The Development and Upgrading Mulawarman University</v>
      </c>
      <c r="O167" s="42">
        <f>DATA!Q163</f>
        <v>0.14285714285714285</v>
      </c>
      <c r="P167" s="42">
        <f>DATA!R163</f>
        <v>0</v>
      </c>
      <c r="Q167" s="42">
        <f>DATA!S163</f>
        <v>0</v>
      </c>
      <c r="R167" s="83">
        <f>DATA!T163</f>
        <v>44400000</v>
      </c>
      <c r="S167" s="83"/>
      <c r="T167" s="83">
        <f>DATA!V163</f>
        <v>485800</v>
      </c>
      <c r="U167" s="83">
        <f>DATA!W163</f>
        <v>0</v>
      </c>
      <c r="V167" s="83">
        <f>DATA!X163</f>
        <v>44885800</v>
      </c>
      <c r="W167" s="84" t="str">
        <f>DATA!Y163</f>
        <v>IDB</v>
      </c>
      <c r="X167" s="42" t="str">
        <f>DATA!Z163</f>
        <v>Multilateral</v>
      </c>
      <c r="Y167" s="83">
        <f>DATA!AA163</f>
        <v>44400000</v>
      </c>
      <c r="Z167" s="83">
        <f>DATA!AG163</f>
        <v>0</v>
      </c>
      <c r="AA167" s="42" t="str">
        <f>DATA!AH163</f>
        <v>Tanpa keterangan</v>
      </c>
      <c r="AB167" s="67" t="str">
        <f>DATA!AI163</f>
        <v xml:space="preserve">Penyusunan R/C
</v>
      </c>
      <c r="AC167" s="67" t="str">
        <f>DATA!AJ163</f>
        <v>FS dan AMDAL target Desember 2015</v>
      </c>
      <c r="AD167" s="115">
        <f>DATA!AK163</f>
        <v>1</v>
      </c>
      <c r="AE167" s="67" t="str">
        <f>DATA!AL163</f>
        <v>-</v>
      </c>
      <c r="AF167" s="42" t="str">
        <f>DATA!AR163</f>
        <v>-</v>
      </c>
      <c r="AG167" s="42" t="str">
        <f>DATA!AN163</f>
        <v>siap</v>
      </c>
      <c r="AH167" s="42" t="str">
        <f>DATA!AO163</f>
        <v>siap</v>
      </c>
      <c r="AI167" s="42" t="str">
        <f>DATA!AP163</f>
        <v>belum ada proses tender/lelang</v>
      </c>
      <c r="AJ167" s="42" t="str">
        <f>DATA!AY163</f>
        <v>Surat Sekjen nomor 1532/A.A1/PR/2015 tgl 9 September 2015</v>
      </c>
      <c r="AK167" s="42" t="e">
        <f>DATA!#REF!</f>
        <v>#REF!</v>
      </c>
      <c r="AL167" s="42">
        <f>DATA!AZ163</f>
        <v>0</v>
      </c>
      <c r="AM167" s="67"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row>
    <row r="168" spans="1:39" s="6" customFormat="1" ht="54" hidden="1" customHeight="1">
      <c r="A168" s="6">
        <f>DATA!A164</f>
        <v>117</v>
      </c>
      <c r="B168" s="6">
        <f>DATA!B164</f>
        <v>0</v>
      </c>
      <c r="C168" s="6" t="str">
        <f>DATA!D164</f>
        <v>NON-INFRASTRUKTUR</v>
      </c>
      <c r="D168" s="6">
        <f>DATA!E164</f>
        <v>8</v>
      </c>
      <c r="E168" s="6" t="str">
        <f>DATA!F164</f>
        <v>Kementerian Riset, Teknologi, dan Pendidikan Tinggi</v>
      </c>
      <c r="F168" s="6" t="str">
        <f>DATA!H164</f>
        <v>Improving Access, Quality, Relevance, and Competitiveness of Higher Education Program</v>
      </c>
      <c r="G168" s="6" t="str">
        <f>DATA!I164</f>
        <v>A</v>
      </c>
      <c r="H168" s="6" t="str">
        <f>DATA!J164</f>
        <v xml:space="preserve">Program Peningkatan Akses, Kualitas, Relevansi, dan Daya Saing Pendidikan Tinggi </v>
      </c>
      <c r="I168" s="6">
        <f>DATA!K164</f>
        <v>1</v>
      </c>
      <c r="J168" s="38"/>
      <c r="K168" s="39"/>
      <c r="L168" s="39"/>
      <c r="M168" s="38"/>
      <c r="N168" s="67" t="str">
        <f>DATA!L164</f>
        <v>Improvement of The Capacity and Contribution of The University of Jember on Standardized and Excellent Tridharma Implementation in South East Asia Region</v>
      </c>
      <c r="O168" s="42">
        <f>DATA!Q164</f>
        <v>0.14285714285714285</v>
      </c>
      <c r="P168" s="42">
        <f>DATA!R164</f>
        <v>0</v>
      </c>
      <c r="Q168" s="42">
        <f>DATA!S164</f>
        <v>0</v>
      </c>
      <c r="R168" s="83">
        <f>DATA!T164</f>
        <v>44091200</v>
      </c>
      <c r="S168" s="83"/>
      <c r="T168" s="83">
        <f>DATA!V164</f>
        <v>1992700</v>
      </c>
      <c r="U168" s="83">
        <f>DATA!W164</f>
        <v>0</v>
      </c>
      <c r="V168" s="83">
        <f>DATA!X164</f>
        <v>46083900</v>
      </c>
      <c r="W168" s="84" t="str">
        <f>DATA!Y164</f>
        <v>IDB</v>
      </c>
      <c r="X168" s="42" t="str">
        <f>DATA!Z164</f>
        <v>Multilateral</v>
      </c>
      <c r="Y168" s="83">
        <f>DATA!AA164</f>
        <v>44091200</v>
      </c>
      <c r="Z168" s="83">
        <f>DATA!AG164</f>
        <v>0</v>
      </c>
      <c r="AA168" s="42" t="str">
        <f>DATA!AH164</f>
        <v>Tanpa keterangan</v>
      </c>
      <c r="AB168" s="67" t="str">
        <f>DATA!AI164</f>
        <v xml:space="preserve">Penyusunan R/C
</v>
      </c>
      <c r="AC168" s="67" t="str">
        <f>DATA!AJ164</f>
        <v>- Penyusunan AMDAL dan DED</v>
      </c>
      <c r="AD168" s="115">
        <f>DATA!AK164</f>
        <v>1</v>
      </c>
      <c r="AE168" s="67" t="str">
        <f>DATA!AL164</f>
        <v>-</v>
      </c>
      <c r="AF168" s="42" t="str">
        <f>DATA!AR164</f>
        <v>-</v>
      </c>
      <c r="AG168" s="42" t="str">
        <f>DATA!AN164</f>
        <v>siap</v>
      </c>
      <c r="AH168" s="42" t="str">
        <f>DATA!AO164</f>
        <v>siap</v>
      </c>
      <c r="AI168" s="42" t="str">
        <f>DATA!AP164</f>
        <v>belum ada proses tender/lelang</v>
      </c>
      <c r="AJ168" s="42" t="str">
        <f>DATA!AY164</f>
        <v>Surat Sekjen nomor 1532/A.A1/PR/2015 tgl 9 September 2015</v>
      </c>
      <c r="AK168" s="42" t="e">
        <f>DATA!#REF!</f>
        <v>#REF!</v>
      </c>
      <c r="AL168" s="42">
        <f>DATA!AZ164</f>
        <v>0</v>
      </c>
      <c r="AM168" s="67" t="str">
        <f>DATA!BA164</f>
        <v>Pembangunan sarana dan prasarana perkuliahan, pengadaan peralatan, pengembangan SDM, dan jasa konsultan</v>
      </c>
    </row>
    <row r="169" spans="1:39" s="6" customFormat="1" ht="43.5" hidden="1" customHeight="1">
      <c r="A169" s="6">
        <f>DATA!A165</f>
        <v>118</v>
      </c>
      <c r="B169" s="6">
        <f>DATA!B165</f>
        <v>0</v>
      </c>
      <c r="C169" s="6" t="str">
        <f>DATA!D165</f>
        <v>NON-INFRASTRUKTUR</v>
      </c>
      <c r="D169" s="6">
        <f>DATA!E165</f>
        <v>8</v>
      </c>
      <c r="E169" s="6" t="str">
        <f>DATA!F165</f>
        <v>Kementerian Riset, Teknologi, dan Pendidikan Tinggi</v>
      </c>
      <c r="F169" s="6" t="str">
        <f>DATA!H165</f>
        <v>Improving Access, Quality, Relevance, and Competitiveness of Higher Education Program</v>
      </c>
      <c r="G169" s="6" t="str">
        <f>DATA!I165</f>
        <v>A</v>
      </c>
      <c r="H169" s="6" t="str">
        <f>DATA!J165</f>
        <v xml:space="preserve">Program Peningkatan Akses, Kualitas, Relevansi, dan Daya Saing Pendidikan Tinggi </v>
      </c>
      <c r="I169" s="6">
        <f>DATA!K165</f>
        <v>1</v>
      </c>
      <c r="J169" s="38"/>
      <c r="K169" s="39"/>
      <c r="L169" s="39"/>
      <c r="M169" s="38"/>
      <c r="N169" s="67" t="str">
        <f>DATA!L165</f>
        <v>The Plan of Hasanuddin University Hospital Development</v>
      </c>
      <c r="O169" s="42">
        <f>DATA!Q165</f>
        <v>0.14285714285714285</v>
      </c>
      <c r="P169" s="42">
        <f>DATA!R165</f>
        <v>0</v>
      </c>
      <c r="Q169" s="42">
        <f>DATA!S165</f>
        <v>0</v>
      </c>
      <c r="R169" s="83">
        <f>DATA!T165</f>
        <v>31565800</v>
      </c>
      <c r="S169" s="83"/>
      <c r="T169" s="83">
        <f>DATA!V165</f>
        <v>2586200</v>
      </c>
      <c r="U169" s="83">
        <f>DATA!W165</f>
        <v>0</v>
      </c>
      <c r="V169" s="83">
        <f>DATA!X165</f>
        <v>34152000</v>
      </c>
      <c r="W169" s="84" t="str">
        <f>DATA!Y165</f>
        <v>Jerman (KfW)</v>
      </c>
      <c r="X169" s="42" t="str">
        <f>DATA!Z165</f>
        <v>Bilateral</v>
      </c>
      <c r="Y169" s="83">
        <f>DATA!AA165</f>
        <v>31565800</v>
      </c>
      <c r="Z169" s="83">
        <f>DATA!AG165</f>
        <v>0</v>
      </c>
      <c r="AA169" s="42" t="str">
        <f>DATA!AH165</f>
        <v>Tanpa keterangan</v>
      </c>
      <c r="AB169" s="67" t="str">
        <f>DATA!AI165</f>
        <v xml:space="preserve">Penyusunan R/C
</v>
      </c>
      <c r="AC169" s="67" t="str">
        <f>DATA!AJ165</f>
        <v>AMDAL</v>
      </c>
      <c r="AD169" s="115">
        <f>DATA!AK165</f>
        <v>1</v>
      </c>
      <c r="AE169" s="67" t="str">
        <f>DATA!AL165</f>
        <v>-</v>
      </c>
      <c r="AF169" s="42" t="str">
        <f>DATA!AR165</f>
        <v>-</v>
      </c>
      <c r="AG169" s="42" t="str">
        <f>DATA!AN165</f>
        <v>siap</v>
      </c>
      <c r="AH169" s="42" t="str">
        <f>DATA!AO165</f>
        <v>siap</v>
      </c>
      <c r="AI169" s="42" t="str">
        <f>DATA!AP165</f>
        <v>belum ada proses tender/lelang</v>
      </c>
      <c r="AJ169" s="42" t="str">
        <f>DATA!AY165</f>
        <v>Surat Sekjen nomor 1532/A.A1/PR/2015 tgl 9 September 2015</v>
      </c>
      <c r="AK169" s="42" t="e">
        <f>DATA!#REF!</f>
        <v>#REF!</v>
      </c>
      <c r="AL169" s="42">
        <f>DATA!AZ165</f>
        <v>0</v>
      </c>
      <c r="AM169" s="67" t="str">
        <f>DATA!BA165</f>
        <v>Pengadaan peralatan, pengembangan SDM, pengembangan telemedicine dan sistem manajemen informasi, dan manajemen dan jasa konsultasi</v>
      </c>
    </row>
    <row r="170" spans="1:39" s="6" customFormat="1" ht="57.75" hidden="1" customHeight="1">
      <c r="A170" s="6">
        <f>DATA!A166</f>
        <v>119</v>
      </c>
      <c r="B170" s="6">
        <f>DATA!B166</f>
        <v>0</v>
      </c>
      <c r="C170" s="6" t="str">
        <f>DATA!D166</f>
        <v>NON-INFRASTRUKTUR</v>
      </c>
      <c r="D170" s="6">
        <f>DATA!E166</f>
        <v>8</v>
      </c>
      <c r="E170" s="6" t="str">
        <f>DATA!F166</f>
        <v>Kementerian Riset, Teknologi, dan Pendidikan Tinggi</v>
      </c>
      <c r="F170" s="6" t="str">
        <f>DATA!H166</f>
        <v>Improving Access, Quality, Relevance, and Competitiveness of Higher Education Program</v>
      </c>
      <c r="G170" s="6" t="str">
        <f>DATA!I166</f>
        <v>A</v>
      </c>
      <c r="H170" s="6" t="str">
        <f>DATA!J166</f>
        <v xml:space="preserve">Program Peningkatan Akses, Kualitas, Relevansi, dan Daya Saing Pendidikan Tinggi </v>
      </c>
      <c r="I170" s="6">
        <f>DATA!K166</f>
        <v>1</v>
      </c>
      <c r="J170" s="38"/>
      <c r="K170" s="39"/>
      <c r="L170" s="39"/>
      <c r="M170" s="38"/>
      <c r="N170" s="67" t="str">
        <f>DATA!L166</f>
        <v>Establishment of University of Bengkulu’s Hospital</v>
      </c>
      <c r="O170" s="42">
        <f>DATA!Q166</f>
        <v>18000000</v>
      </c>
      <c r="P170" s="42">
        <f>DATA!R166</f>
        <v>0</v>
      </c>
      <c r="Q170" s="42">
        <f>DATA!S166</f>
        <v>0</v>
      </c>
      <c r="R170" s="83">
        <f>DATA!T166</f>
        <v>10278200</v>
      </c>
      <c r="S170" s="83"/>
      <c r="T170" s="83">
        <f>DATA!V166</f>
        <v>182000</v>
      </c>
      <c r="U170" s="83">
        <f>DATA!W166</f>
        <v>0</v>
      </c>
      <c r="V170" s="83">
        <f>DATA!X166</f>
        <v>10460200</v>
      </c>
      <c r="W170" s="84" t="str">
        <f>DATA!Y166</f>
        <v>JICA</v>
      </c>
      <c r="X170" s="42" t="str">
        <f>DATA!Z166</f>
        <v>Bilateral</v>
      </c>
      <c r="Y170" s="83">
        <f>DATA!AA166</f>
        <v>10278200</v>
      </c>
      <c r="Z170" s="83">
        <f>DATA!AG166</f>
        <v>0</v>
      </c>
      <c r="AA170" s="42" t="str">
        <f>DATA!AH166</f>
        <v>Tanpa keterangan</v>
      </c>
      <c r="AB170" s="67" t="str">
        <f>DATA!AI166</f>
        <v xml:space="preserve">Penyusunan R/C
</v>
      </c>
      <c r="AC170" s="67" t="str">
        <f>DATA!AJ166</f>
        <v>- FS
- AMDAL</v>
      </c>
      <c r="AD170" s="115">
        <f>DATA!AK166</f>
        <v>1</v>
      </c>
      <c r="AE170" s="67" t="str">
        <f>DATA!AL166</f>
        <v>-</v>
      </c>
      <c r="AF170" s="42" t="str">
        <f>DATA!AR166</f>
        <v>penyiapan dokumen R/C</v>
      </c>
      <c r="AG170" s="42" t="str">
        <f>DATA!AN166</f>
        <v>siap</v>
      </c>
      <c r="AH170" s="42" t="str">
        <f>DATA!AO166</f>
        <v>siap</v>
      </c>
      <c r="AI170" s="42" t="str">
        <f>DATA!AP166</f>
        <v>belum ada proses tender/lelang</v>
      </c>
      <c r="AJ170" s="42" t="str">
        <f>DATA!AY166</f>
        <v>- Lender semula adalah IDB namun pihak Kemristekdikti mengkonfirmasikan  Lender untuk kegiatan ini adalah JICA
- Surat Sekjen nomor 1532/A.A1/PR/2015 tgl 9 September 2015</v>
      </c>
      <c r="AK170" s="42" t="e">
        <f>DATA!#REF!</f>
        <v>#REF!</v>
      </c>
      <c r="AL170" s="42">
        <f>DATA!AZ166</f>
        <v>0</v>
      </c>
      <c r="AM170" s="67" t="str">
        <f>DATA!BA166</f>
        <v>Pembangunan RS Pendidikan di Universitas Bengkulu, pengadaan peralatan medis dan furniture, pengembangan SDM, manajemen proyek, koordinasi, dan pembelajaran</v>
      </c>
    </row>
    <row r="171" spans="1:39" s="6" customFormat="1" ht="50.25" hidden="1" customHeight="1">
      <c r="A171" s="6">
        <f>DATA!A167</f>
        <v>120</v>
      </c>
      <c r="B171" s="6">
        <f>DATA!B167</f>
        <v>0</v>
      </c>
      <c r="C171" s="6" t="str">
        <f>DATA!D167</f>
        <v>NON-INFRASTRUKTUR</v>
      </c>
      <c r="D171" s="6">
        <f>DATA!E167</f>
        <v>8</v>
      </c>
      <c r="E171" s="6" t="str">
        <f>DATA!F167</f>
        <v>Kementerian Riset, Teknologi, dan Pendidikan Tinggi</v>
      </c>
      <c r="F171" s="6" t="str">
        <f>DATA!H167</f>
        <v>Improving Access, Quality, Relevance, and Competitiveness of Higher Education Program</v>
      </c>
      <c r="G171" s="6" t="str">
        <f>DATA!I167</f>
        <v>A</v>
      </c>
      <c r="H171" s="6" t="str">
        <f>DATA!J167</f>
        <v xml:space="preserve">Program Peningkatan Akses, Kualitas, Relevansi, dan Daya Saing Pendidikan Tinggi </v>
      </c>
      <c r="I171" s="6">
        <f>DATA!K167</f>
        <v>1</v>
      </c>
      <c r="J171" s="38"/>
      <c r="K171" s="71"/>
      <c r="L171" s="71"/>
      <c r="M171" s="43"/>
      <c r="N171" s="67" t="str">
        <f>DATA!L167</f>
        <v>University of Gadjah Mada Achieving World Class University with Socio-Entrepreneurial Spirit</v>
      </c>
      <c r="O171" s="42">
        <f>DATA!Q167</f>
        <v>0.14285714285714285</v>
      </c>
      <c r="P171" s="42">
        <f>DATA!R167</f>
        <v>0</v>
      </c>
      <c r="Q171" s="42">
        <f>DATA!S167</f>
        <v>0</v>
      </c>
      <c r="R171" s="83">
        <f>DATA!T167</f>
        <v>71694000</v>
      </c>
      <c r="S171" s="83"/>
      <c r="T171" s="83">
        <f>DATA!V167</f>
        <v>7041900</v>
      </c>
      <c r="U171" s="83">
        <f>DATA!W167</f>
        <v>0</v>
      </c>
      <c r="V171" s="83">
        <f>DATA!X167</f>
        <v>78735900</v>
      </c>
      <c r="W171" s="84" t="str">
        <f>DATA!Y167</f>
        <v>JICA</v>
      </c>
      <c r="X171" s="42" t="str">
        <f>DATA!Z167</f>
        <v>Bilateral</v>
      </c>
      <c r="Y171" s="83">
        <f>DATA!AA167</f>
        <v>71694000</v>
      </c>
      <c r="Z171" s="83">
        <f>DATA!AG167</f>
        <v>0</v>
      </c>
      <c r="AA171" s="42" t="str">
        <f>DATA!AH167</f>
        <v>Tanpa keterangan</v>
      </c>
      <c r="AB171" s="67" t="str">
        <f>DATA!AI167</f>
        <v xml:space="preserve">Penyusunan R/C
</v>
      </c>
      <c r="AC171" s="67" t="str">
        <f>DATA!AJ167</f>
        <v>- FS
- AMDAL dan DED dalam proses</v>
      </c>
      <c r="AD171" s="115">
        <f>DATA!AK167</f>
        <v>0.95</v>
      </c>
      <c r="AE171" s="67" t="str">
        <f>DATA!AL167</f>
        <v>-</v>
      </c>
      <c r="AF171" s="42" t="str">
        <f>DATA!AR167</f>
        <v>-</v>
      </c>
      <c r="AG171" s="42" t="str">
        <f>DATA!AN167</f>
        <v>siap</v>
      </c>
      <c r="AH171" s="42" t="str">
        <f>DATA!AO167</f>
        <v>siap</v>
      </c>
      <c r="AI171" s="42" t="str">
        <f>DATA!AP167</f>
        <v>belum ada proses tender/lelang</v>
      </c>
      <c r="AJ171" s="42" t="str">
        <f>DATA!AY167</f>
        <v>- Lender semula adalah IDB namun pihak Kemristekdikti mengkonfirmasikan  Lender untuk kegiatan ini adalah JICA
- Target penyelesaian lahan akhir Desember 2015
- Surat Sekjen nomor 1532/A.A1/PR/2015 tgl 9 September 2015</v>
      </c>
      <c r="AK171" s="42" t="e">
        <f>DATA!#REF!</f>
        <v>#REF!</v>
      </c>
      <c r="AL171" s="42">
        <f>DATA!AZ167</f>
        <v>0</v>
      </c>
      <c r="AM171" s="67" t="str">
        <f>DATA!BA167</f>
        <v>Pembangunan gedung baru, pengadaan peralatan, pengembangan SDM dan desain kurikulum, jasa konsultan, dan manajemen proyek</v>
      </c>
    </row>
    <row r="172" spans="1:39" s="4" customFormat="1" ht="24.95" hidden="1" customHeight="1">
      <c r="J172" s="107"/>
      <c r="K172" s="25">
        <f>DATA!E173</f>
        <v>9</v>
      </c>
      <c r="L172" s="108" t="str">
        <f>DATA!F173</f>
        <v>Kementerian Agama</v>
      </c>
      <c r="M172" s="25"/>
      <c r="N172" s="27"/>
      <c r="O172" s="26"/>
      <c r="P172" s="26"/>
      <c r="Q172" s="26"/>
      <c r="R172" s="80">
        <f>+R173</f>
        <v>238210000</v>
      </c>
      <c r="S172" s="80"/>
      <c r="T172" s="80">
        <f t="shared" ref="T172:Z173" si="20">+T173</f>
        <v>60851400</v>
      </c>
      <c r="U172" s="80">
        <f t="shared" si="20"/>
        <v>0</v>
      </c>
      <c r="V172" s="80">
        <f t="shared" si="20"/>
        <v>288657100</v>
      </c>
      <c r="W172" s="80"/>
      <c r="X172" s="80">
        <f t="shared" si="20"/>
        <v>0</v>
      </c>
      <c r="Y172" s="80">
        <f t="shared" si="20"/>
        <v>238210000</v>
      </c>
      <c r="Z172" s="80">
        <f t="shared" si="20"/>
        <v>0</v>
      </c>
      <c r="AA172" s="26"/>
      <c r="AB172" s="27"/>
      <c r="AC172" s="27"/>
      <c r="AD172" s="27"/>
      <c r="AE172" s="27"/>
      <c r="AF172" s="26"/>
      <c r="AG172" s="26"/>
      <c r="AH172" s="26"/>
      <c r="AI172" s="26"/>
      <c r="AJ172" s="26"/>
      <c r="AK172" s="26"/>
      <c r="AL172" s="26"/>
      <c r="AM172" s="27"/>
    </row>
    <row r="173" spans="1:39" s="5" customFormat="1" ht="33.75" hidden="1" customHeight="1">
      <c r="J173" s="28"/>
      <c r="K173" s="29"/>
      <c r="L173" s="30" t="str">
        <f>DATA!I173</f>
        <v>A</v>
      </c>
      <c r="M173" s="31" t="str">
        <f>DATA!J173</f>
        <v>Program Peningkatan Akses, Kualitas, Relevansi, dan Daya Saing Pendidikan Tinggi Islam</v>
      </c>
      <c r="N173" s="51"/>
      <c r="O173" s="31"/>
      <c r="P173" s="31"/>
      <c r="Q173" s="31"/>
      <c r="R173" s="81">
        <f>+R174</f>
        <v>238210000</v>
      </c>
      <c r="S173" s="81"/>
      <c r="T173" s="81">
        <f t="shared" si="20"/>
        <v>60851400</v>
      </c>
      <c r="U173" s="81">
        <f t="shared" si="20"/>
        <v>0</v>
      </c>
      <c r="V173" s="81">
        <f t="shared" si="20"/>
        <v>288657100</v>
      </c>
      <c r="W173" s="81"/>
      <c r="X173" s="81">
        <f t="shared" si="20"/>
        <v>0</v>
      </c>
      <c r="Y173" s="81">
        <f t="shared" si="20"/>
        <v>238210000</v>
      </c>
      <c r="Z173" s="81">
        <f t="shared" si="20"/>
        <v>0</v>
      </c>
      <c r="AA173" s="31"/>
      <c r="AB173" s="32"/>
      <c r="AC173" s="32"/>
      <c r="AD173" s="32"/>
      <c r="AE173" s="32"/>
      <c r="AF173" s="31"/>
      <c r="AG173" s="31"/>
      <c r="AH173" s="31"/>
      <c r="AI173" s="31"/>
      <c r="AJ173" s="31"/>
      <c r="AK173" s="31"/>
      <c r="AL173" s="31"/>
      <c r="AM173" s="32"/>
    </row>
    <row r="174" spans="1:39" ht="38.25" hidden="1">
      <c r="A174" s="10">
        <f>DATA!A173</f>
        <v>121</v>
      </c>
      <c r="B174" s="10">
        <f>DATA!B173</f>
        <v>0</v>
      </c>
      <c r="C174" s="10" t="str">
        <f>DATA!D173</f>
        <v>NON-INFRASTRUKTUR</v>
      </c>
      <c r="D174" s="10">
        <f>DATA!E173</f>
        <v>9</v>
      </c>
      <c r="E174" s="10" t="str">
        <f>DATA!F173</f>
        <v>Kementerian Agama</v>
      </c>
      <c r="F174" s="10" t="str">
        <f>DATA!H173</f>
        <v>Improving Access, Quality, Relevance, and Competitiveness of Islamic Higher Education Program</v>
      </c>
      <c r="G174" s="10" t="str">
        <f>DATA!I173</f>
        <v>A</v>
      </c>
      <c r="H174" s="10" t="str">
        <f>DATA!J173</f>
        <v>Program Peningkatan Akses, Kualitas, Relevansi, dan Daya Saing Pendidikan Tinggi Islam</v>
      </c>
      <c r="I174" s="10">
        <f>DATA!K173</f>
        <v>1</v>
      </c>
      <c r="J174" s="33"/>
      <c r="K174" s="34"/>
      <c r="L174" s="35"/>
      <c r="M174" s="36">
        <f>DATA!K173</f>
        <v>1</v>
      </c>
      <c r="N174" s="37" t="str">
        <f>DATA!L173</f>
        <v>Strengthening Capacity of Islamic Higher Education (IAIN and UIN):</v>
      </c>
      <c r="O174" s="20">
        <f>DATA!Q173</f>
        <v>0</v>
      </c>
      <c r="P174" s="20">
        <f>DATA!R173</f>
        <v>1</v>
      </c>
      <c r="Q174" s="20">
        <f>DATA!S173</f>
        <v>102</v>
      </c>
      <c r="R174" s="77">
        <f>DATA!T173</f>
        <v>238210000</v>
      </c>
      <c r="S174" s="77"/>
      <c r="T174" s="77">
        <f>DATA!V173</f>
        <v>60851400</v>
      </c>
      <c r="U174" s="77">
        <f>DATA!W173</f>
        <v>0</v>
      </c>
      <c r="V174" s="77">
        <f>DATA!X173</f>
        <v>288657100</v>
      </c>
      <c r="W174" s="78" t="str">
        <f>DATA!Y173</f>
        <v>-</v>
      </c>
      <c r="X174" s="20">
        <f>DATA!Z173</f>
        <v>0</v>
      </c>
      <c r="Y174" s="77">
        <f>DATA!AA173</f>
        <v>238210000</v>
      </c>
      <c r="Z174" s="77">
        <f>DATA!AG173</f>
        <v>0</v>
      </c>
      <c r="AA174" s="20" t="str">
        <f>DATA!AH173</f>
        <v>-</v>
      </c>
      <c r="AB174" s="37" t="str">
        <f>DATA!AI173</f>
        <v>-</v>
      </c>
      <c r="AC174" s="37" t="str">
        <f>DATA!AJ173</f>
        <v>-</v>
      </c>
      <c r="AD174" s="37" t="str">
        <f>DATA!AK173</f>
        <v>-</v>
      </c>
      <c r="AE174" s="37" t="str">
        <f>DATA!AL173</f>
        <v>-</v>
      </c>
      <c r="AF174" s="20" t="str">
        <f>DATA!AM173</f>
        <v>-</v>
      </c>
      <c r="AG174" s="20" t="str">
        <f>DATA!AN173</f>
        <v>-</v>
      </c>
      <c r="AH174" s="20" t="str">
        <f>DATA!AO173</f>
        <v>-</v>
      </c>
      <c r="AI174" s="20">
        <f>DATA!AP173</f>
        <v>0</v>
      </c>
      <c r="AJ174" s="20" t="str">
        <f>DATA!AY173</f>
        <v>Surat Sekjen a/n Menteri Agama nomor SJ/B.I/1/KU.00.2/6260/2015 tanggal 17 September 2015</v>
      </c>
      <c r="AK174" s="20" t="e">
        <f>DATA!#REF!</f>
        <v>#REF!</v>
      </c>
      <c r="AL174" s="20">
        <f>DATA!AZ173</f>
        <v>0</v>
      </c>
      <c r="AM174" s="37" t="str">
        <f>DATA!BA173</f>
        <v>Pembangunan sarana dan prasarana perkuliahan, pengadaan peralatan, pengembangan SDM, serta jasa konsultan</v>
      </c>
    </row>
    <row r="175" spans="1:39" s="6" customFormat="1" ht="61.5" hidden="1" customHeight="1">
      <c r="A175" s="6">
        <f>DATA!A174</f>
        <v>124</v>
      </c>
      <c r="B175" s="6">
        <f>DATA!B174</f>
        <v>0</v>
      </c>
      <c r="C175" s="6" t="str">
        <f>DATA!D174</f>
        <v>NON-INFRASTRUKTUR</v>
      </c>
      <c r="D175" s="6">
        <f>DATA!E174</f>
        <v>9</v>
      </c>
      <c r="E175" s="6" t="str">
        <f>DATA!F174</f>
        <v>Kementerian Agama</v>
      </c>
      <c r="F175" s="6" t="str">
        <f>DATA!H174</f>
        <v>Improving Access, Quality, Relevance, and Competitiveness of Islamic Higher Education Program</v>
      </c>
      <c r="G175" s="6" t="str">
        <f>DATA!I174</f>
        <v>A</v>
      </c>
      <c r="H175" s="6" t="str">
        <f>DATA!J174</f>
        <v>Program Peningkatan Akses, Kualitas, Relevansi, dan Daya Saing Pendidikan Tinggi Islam</v>
      </c>
      <c r="I175" s="6">
        <f>DATA!K174</f>
        <v>1</v>
      </c>
      <c r="J175" s="38"/>
      <c r="K175" s="39"/>
      <c r="L175" s="39"/>
      <c r="M175" s="40"/>
      <c r="N175" s="67" t="str">
        <f>DATA!L174</f>
        <v>Improvement and Optimalization of Sunan Ampel Surabaya State Islamic University</v>
      </c>
      <c r="O175" s="42">
        <f>DATA!Q174</f>
        <v>0.16666666666666666</v>
      </c>
      <c r="P175" s="42">
        <f>DATA!R174</f>
        <v>0</v>
      </c>
      <c r="Q175" s="42">
        <f>DATA!S174</f>
        <v>0</v>
      </c>
      <c r="R175" s="83">
        <f>DATA!T174</f>
        <v>40000000</v>
      </c>
      <c r="S175" s="83"/>
      <c r="T175" s="83">
        <f>DATA!V174</f>
        <v>10000000</v>
      </c>
      <c r="U175" s="83">
        <f>DATA!W174</f>
        <v>0</v>
      </c>
      <c r="V175" s="83">
        <f>DATA!X174</f>
        <v>50000000</v>
      </c>
      <c r="W175" s="84" t="str">
        <f>DATA!Y174</f>
        <v>IDB</v>
      </c>
      <c r="X175" s="42" t="str">
        <f>DATA!Z174</f>
        <v>Multilateral</v>
      </c>
      <c r="Y175" s="83">
        <f>DATA!AA174</f>
        <v>40000000</v>
      </c>
      <c r="Z175" s="83">
        <f>DATA!AG174</f>
        <v>0</v>
      </c>
      <c r="AA175" s="42" t="str">
        <f>DATA!AH174</f>
        <v>Tanpa keterangan</v>
      </c>
      <c r="AB175" s="67" t="str">
        <f>DATA!AI174</f>
        <v>Penyusunan R/C</v>
      </c>
      <c r="AC175" s="67" t="str">
        <f>DATA!AJ174</f>
        <v>- FS dan Proposal
- Penyusunan R/C</v>
      </c>
      <c r="AD175" s="115">
        <f>DATA!AK174</f>
        <v>0.85</v>
      </c>
      <c r="AE175" s="67" t="str">
        <f>DATA!AL174</f>
        <v>-</v>
      </c>
      <c r="AF175" s="42" t="str">
        <f>DATA!AR174</f>
        <v>-</v>
      </c>
      <c r="AG175" s="42" t="str">
        <f>DATA!AN174</f>
        <v>siap</v>
      </c>
      <c r="AH175" s="42" t="str">
        <f>DATA!AO174</f>
        <v>siap</v>
      </c>
      <c r="AI175" s="42" t="str">
        <f>DATA!AP174</f>
        <v>belum ada proses tender/lelang</v>
      </c>
      <c r="AJ175" s="42" t="str">
        <f>DATA!AY174</f>
        <v xml:space="preserve">- Pembebasan kekurangan lahan dilakukan tahun 2016
- Surat Sekjen a/n Menteri Agama nomor SJ/B.I/1/KU.00.2/6260/2015 tanggal 17 September 2015
</v>
      </c>
      <c r="AK175" s="42" t="e">
        <f>DATA!#REF!</f>
        <v>#REF!</v>
      </c>
      <c r="AL175" s="42">
        <f>DATA!AZ174</f>
        <v>0</v>
      </c>
      <c r="AM175" s="67" t="str">
        <f>DATA!BA174</f>
        <v xml:space="preserve">Pengembangan sarana prasarana perkuliahan (fakultas Saintek, Psikologi dan Kesehatan, Humaniora dan Ilmu Sosial), pengembangan kurikulum dan manajemen akademik, dan pengembangan SDM 
</v>
      </c>
    </row>
    <row r="176" spans="1:39" s="6" customFormat="1" ht="52.5" hidden="1" customHeight="1">
      <c r="A176" s="6">
        <f>DATA!A175</f>
        <v>125</v>
      </c>
      <c r="B176" s="6">
        <f>DATA!B175</f>
        <v>0</v>
      </c>
      <c r="C176" s="6" t="str">
        <f>DATA!D175</f>
        <v>NON-INFRASTRUKTUR</v>
      </c>
      <c r="D176" s="6">
        <f>DATA!E175</f>
        <v>9</v>
      </c>
      <c r="E176" s="6" t="str">
        <f>DATA!F175</f>
        <v>Kementerian Agama</v>
      </c>
      <c r="F176" s="6" t="str">
        <f>DATA!H175</f>
        <v>Improving Access, Quality, Relevance, and Competitiveness of Islamic Higher Education Program</v>
      </c>
      <c r="G176" s="6" t="str">
        <f>DATA!I175</f>
        <v>A</v>
      </c>
      <c r="H176" s="6" t="str">
        <f>DATA!J175</f>
        <v>Program Peningkatan Akses, Kualitas, Relevansi, dan Daya Saing Pendidikan Tinggi Islam</v>
      </c>
      <c r="I176" s="6">
        <f>DATA!K175</f>
        <v>1</v>
      </c>
      <c r="J176" s="38"/>
      <c r="K176" s="39"/>
      <c r="L176" s="39"/>
      <c r="M176" s="38"/>
      <c r="N176" s="67" t="str">
        <f>DATA!L175</f>
        <v>Improvement Access and Quality of State Islamic Institute  Suthan Maulana Hasanuddin Banten</v>
      </c>
      <c r="O176" s="42">
        <f>DATA!Q175</f>
        <v>0.16666666666666666</v>
      </c>
      <c r="P176" s="42">
        <f>DATA!R175</f>
        <v>0</v>
      </c>
      <c r="Q176" s="42">
        <f>DATA!S175</f>
        <v>0</v>
      </c>
      <c r="R176" s="83">
        <f>DATA!T175</f>
        <v>40000000</v>
      </c>
      <c r="S176" s="83"/>
      <c r="T176" s="83">
        <f>DATA!V175</f>
        <v>5985000</v>
      </c>
      <c r="U176" s="83">
        <f>DATA!W175</f>
        <v>0</v>
      </c>
      <c r="V176" s="83">
        <f>DATA!X175</f>
        <v>45985000</v>
      </c>
      <c r="W176" s="84" t="str">
        <f>DATA!Y175</f>
        <v>IDB</v>
      </c>
      <c r="X176" s="42" t="str">
        <f>DATA!Z175</f>
        <v>Multilateral</v>
      </c>
      <c r="Y176" s="83">
        <f>DATA!AA175</f>
        <v>40000000</v>
      </c>
      <c r="Z176" s="83">
        <f>DATA!AG175</f>
        <v>0</v>
      </c>
      <c r="AA176" s="42" t="str">
        <f>DATA!AH175</f>
        <v>Tanpa keterangan</v>
      </c>
      <c r="AB176" s="67" t="str">
        <f>DATA!AI175</f>
        <v>Penyusunan R/C</v>
      </c>
      <c r="AC176" s="67" t="str">
        <f>DATA!AJ175</f>
        <v>- Sudah ada Master Plan
- AMDAL</v>
      </c>
      <c r="AD176" s="115">
        <f>DATA!AK175</f>
        <v>1</v>
      </c>
      <c r="AE176" s="67" t="str">
        <f>DATA!AL175</f>
        <v>-</v>
      </c>
      <c r="AF176" s="42" t="str">
        <f>DATA!AR175</f>
        <v>-</v>
      </c>
      <c r="AG176" s="42" t="str">
        <f>DATA!AN175</f>
        <v>siap</v>
      </c>
      <c r="AH176" s="42" t="str">
        <f>DATA!AO175</f>
        <v>siap</v>
      </c>
      <c r="AI176" s="42" t="str">
        <f>DATA!AP175</f>
        <v>belum ada proses tender/lelang</v>
      </c>
      <c r="AJ176" s="42"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K176" s="42" t="e">
        <f>DATA!#REF!</f>
        <v>#REF!</v>
      </c>
      <c r="AL176" s="42">
        <f>DATA!AZ175</f>
        <v>0</v>
      </c>
      <c r="AM176" s="67" t="str">
        <f>DATA!BA175</f>
        <v>Pembangunan gedung dan infrastruktur, pengadaaan mebelair dan peralatan, peningkatan SDM, dan pengembangan kurikulum akademik</v>
      </c>
    </row>
    <row r="177" spans="1:39" s="6" customFormat="1" ht="66.75" hidden="1" customHeight="1">
      <c r="A177" s="6">
        <f>DATA!A176</f>
        <v>126</v>
      </c>
      <c r="B177" s="6">
        <f>DATA!B176</f>
        <v>0</v>
      </c>
      <c r="C177" s="6" t="str">
        <f>DATA!D176</f>
        <v>NON-INFRASTRUKTUR</v>
      </c>
      <c r="D177" s="6">
        <f>DATA!E176</f>
        <v>9</v>
      </c>
      <c r="E177" s="6" t="str">
        <f>DATA!F176</f>
        <v>Kementerian Agama</v>
      </c>
      <c r="F177" s="6" t="str">
        <f>DATA!H176</f>
        <v>Improving Access, Quality, Relevance, and Competitiveness of Islamic Higher Education Program</v>
      </c>
      <c r="G177" s="6" t="str">
        <f>DATA!I176</f>
        <v>A</v>
      </c>
      <c r="H177" s="6" t="str">
        <f>DATA!J176</f>
        <v>Program Peningkatan Akses, Kualitas, Relevansi, dan Daya Saing Pendidikan Tinggi Islam</v>
      </c>
      <c r="I177" s="6">
        <f>DATA!K176</f>
        <v>1</v>
      </c>
      <c r="J177" s="38"/>
      <c r="K177" s="39"/>
      <c r="L177" s="39"/>
      <c r="M177" s="38"/>
      <c r="N177" s="67" t="str">
        <f>DATA!L176</f>
        <v xml:space="preserve">Development and Quality Improvement  of Antasari State Islamic Institute </v>
      </c>
      <c r="O177" s="42">
        <f>DATA!Q176</f>
        <v>0.16666666666666666</v>
      </c>
      <c r="P177" s="42">
        <f>DATA!R176</f>
        <v>0</v>
      </c>
      <c r="Q177" s="42">
        <f>DATA!S176</f>
        <v>0</v>
      </c>
      <c r="R177" s="83">
        <f>DATA!T176</f>
        <v>39908600</v>
      </c>
      <c r="S177" s="83"/>
      <c r="T177" s="83">
        <f>DATA!V176</f>
        <v>10290700</v>
      </c>
      <c r="U177" s="83">
        <f>DATA!W176</f>
        <v>0</v>
      </c>
      <c r="V177" s="83">
        <f>DATA!X176</f>
        <v>50199300</v>
      </c>
      <c r="W177" s="84" t="str">
        <f>DATA!Y176</f>
        <v>IDB</v>
      </c>
      <c r="X177" s="42" t="str">
        <f>DATA!Z176</f>
        <v>Multilateral</v>
      </c>
      <c r="Y177" s="83">
        <f>DATA!AA176</f>
        <v>39900000</v>
      </c>
      <c r="Z177" s="83">
        <f>DATA!AG176</f>
        <v>0</v>
      </c>
      <c r="AA177" s="42" t="str">
        <f>DATA!AH176</f>
        <v>Tanpa keterangan</v>
      </c>
      <c r="AB177" s="67" t="str">
        <f>DATA!AI176</f>
        <v>Penyusunan R/C</v>
      </c>
      <c r="AC177" s="67" t="str">
        <f>DATA!AJ176</f>
        <v>Sudah melakukan penyiapan perencanaan</v>
      </c>
      <c r="AD177" s="115">
        <f>DATA!AK176</f>
        <v>1</v>
      </c>
      <c r="AE177" s="67" t="str">
        <f>DATA!AL176</f>
        <v>-</v>
      </c>
      <c r="AF177" s="42" t="str">
        <f>DATA!AR176</f>
        <v>-</v>
      </c>
      <c r="AG177" s="42" t="str">
        <f>DATA!AN176</f>
        <v>siap</v>
      </c>
      <c r="AH177" s="42" t="str">
        <f>DATA!AO176</f>
        <v>siap</v>
      </c>
      <c r="AI177" s="42" t="str">
        <f>DATA!AP176</f>
        <v>belum ada proses tender/lelang</v>
      </c>
      <c r="AJ177" s="42" t="str">
        <f>DATA!AY176</f>
        <v>Surat Sekjen a/n Menteri Agama nomor SJ/B.I/1/KU.00.2/6260/2015 tanggal 17 September 2015</v>
      </c>
      <c r="AK177" s="42" t="e">
        <f>DATA!#REF!</f>
        <v>#REF!</v>
      </c>
      <c r="AL177" s="42">
        <f>DATA!AZ176</f>
        <v>0</v>
      </c>
      <c r="AM177" s="67" t="str">
        <f>DATA!BA176</f>
        <v>Pembangunan gedung dan infrastruktur, penguatan kelembagaan (pengembangan kurikulum, prodi, manajemen dan peningkatan jumlah dan kualitas riset), dan pengembangan SDM</v>
      </c>
    </row>
    <row r="178" spans="1:39" s="6" customFormat="1" ht="87" hidden="1" customHeight="1">
      <c r="A178" s="6">
        <f>DATA!A177</f>
        <v>127</v>
      </c>
      <c r="B178" s="6">
        <f>DATA!B177</f>
        <v>0</v>
      </c>
      <c r="C178" s="6" t="str">
        <f>DATA!D177</f>
        <v>NON-INFRASTRUKTUR</v>
      </c>
      <c r="D178" s="6" t="str">
        <f>DATA!E177</f>
        <v>z</v>
      </c>
      <c r="E178" s="6" t="str">
        <f>DATA!F177</f>
        <v>Kementerian Agama</v>
      </c>
      <c r="F178" s="6" t="str">
        <f>DATA!H177</f>
        <v>Improving Access, Quality, Relevance, and Competitiveness of Islamic Higher Education Program</v>
      </c>
      <c r="G178" s="6" t="str">
        <f>DATA!I177</f>
        <v>A</v>
      </c>
      <c r="H178" s="6" t="str">
        <f>DATA!J177</f>
        <v>Program Peningkatan Akses, Kualitas, Relevansi, dan Daya Saing Pendidikan Tinggi Islam</v>
      </c>
      <c r="I178" s="6">
        <f>DATA!K177</f>
        <v>1</v>
      </c>
      <c r="J178" s="38"/>
      <c r="K178" s="39"/>
      <c r="L178" s="39"/>
      <c r="M178" s="38"/>
      <c r="N178" s="67" t="str">
        <f>DATA!L177</f>
        <v xml:space="preserve">Tranformation of State Islamic Institute  Sulthan Thaha Saifuddin to State Islamic University </v>
      </c>
      <c r="O178" s="42">
        <f>DATA!Q177</f>
        <v>0.16666666666666666</v>
      </c>
      <c r="P178" s="42">
        <f>DATA!R177</f>
        <v>0</v>
      </c>
      <c r="Q178" s="42">
        <f>DATA!S177</f>
        <v>0</v>
      </c>
      <c r="R178" s="83">
        <f>DATA!T177</f>
        <v>40000000</v>
      </c>
      <c r="S178" s="83"/>
      <c r="T178" s="83">
        <f>DATA!V177</f>
        <v>10000000</v>
      </c>
      <c r="U178" s="83">
        <f>DATA!W177</f>
        <v>0</v>
      </c>
      <c r="V178" s="83">
        <f>DATA!X177</f>
        <v>50000000</v>
      </c>
      <c r="W178" s="84" t="str">
        <f>DATA!Y177</f>
        <v>IDB</v>
      </c>
      <c r="X178" s="42" t="str">
        <f>DATA!Z177</f>
        <v>Multilateral</v>
      </c>
      <c r="Y178" s="83">
        <f>DATA!AA177</f>
        <v>40000000</v>
      </c>
      <c r="Z178" s="83">
        <f>DATA!AG177</f>
        <v>0</v>
      </c>
      <c r="AA178" s="42" t="str">
        <f>DATA!AH177</f>
        <v>Tanpa keterangan</v>
      </c>
      <c r="AB178" s="67" t="str">
        <f>DATA!AI177</f>
        <v>Penyusunan R/C</v>
      </c>
      <c r="AC178" s="67" t="str">
        <f>DATA!AJ177</f>
        <v>Sedang merinci kegiatan</v>
      </c>
      <c r="AD178" s="115">
        <f>DATA!AK177</f>
        <v>1</v>
      </c>
      <c r="AE178" s="67" t="str">
        <f>DATA!AL177</f>
        <v>-</v>
      </c>
      <c r="AF178" s="42" t="str">
        <f>DATA!AR177</f>
        <v>-</v>
      </c>
      <c r="AG178" s="42" t="str">
        <f>DATA!AN177</f>
        <v>siap</v>
      </c>
      <c r="AH178" s="42" t="str">
        <f>DATA!AO177</f>
        <v>siap</v>
      </c>
      <c r="AI178" s="42" t="str">
        <f>DATA!AP177</f>
        <v>belum ada proses tender/lelang</v>
      </c>
      <c r="AJ178" s="42" t="str">
        <f>DATA!AY177</f>
        <v>Surat Sekjen a/n Menteri Agama nomor SJ/B.I/1/KU.00.2/6260/2015 tanggal 17 September 2015</v>
      </c>
      <c r="AK178" s="42" t="e">
        <f>DATA!#REF!</f>
        <v>#REF!</v>
      </c>
      <c r="AL178" s="42">
        <f>DATA!AZ177</f>
        <v>0</v>
      </c>
      <c r="AM178" s="67"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row>
    <row r="179" spans="1:39" s="6" customFormat="1" ht="93.75" hidden="1" customHeight="1">
      <c r="A179" s="6">
        <f>DATA!A178</f>
        <v>128</v>
      </c>
      <c r="B179" s="6">
        <f>DATA!B178</f>
        <v>0</v>
      </c>
      <c r="C179" s="6" t="str">
        <f>DATA!D178</f>
        <v>NON-INFRASTRUKTUR</v>
      </c>
      <c r="D179" s="6">
        <f>DATA!E178</f>
        <v>9</v>
      </c>
      <c r="E179" s="6" t="str">
        <f>DATA!F178</f>
        <v>Kementerian Agama</v>
      </c>
      <c r="F179" s="6" t="str">
        <f>DATA!H178</f>
        <v>Improving Access, Quality, Relevance, and Competitiveness of Islamic Higher Education Program</v>
      </c>
      <c r="G179" s="6" t="str">
        <f>DATA!I178</f>
        <v>A</v>
      </c>
      <c r="H179" s="6" t="str">
        <f>DATA!J178</f>
        <v>Program Peningkatan Akses, Kualitas, Relevansi, dan Daya Saing Pendidikan Tinggi Islam</v>
      </c>
      <c r="I179" s="6">
        <f>DATA!K178</f>
        <v>1</v>
      </c>
      <c r="J179" s="38"/>
      <c r="K179" s="39"/>
      <c r="L179" s="39"/>
      <c r="M179" s="38"/>
      <c r="N179" s="67" t="str">
        <f>DATA!L178</f>
        <v>Development and Institutional Transformation of State Islamic Institute  Raden Intan Lampung</v>
      </c>
      <c r="O179" s="42">
        <f>DATA!Q178</f>
        <v>0.16666666666666666</v>
      </c>
      <c r="P179" s="42">
        <f>DATA!R178</f>
        <v>0</v>
      </c>
      <c r="Q179" s="42">
        <f>DATA!S178</f>
        <v>0</v>
      </c>
      <c r="R179" s="83">
        <f>DATA!T178</f>
        <v>40000000</v>
      </c>
      <c r="S179" s="83"/>
      <c r="T179" s="83">
        <f>DATA!V178</f>
        <v>10000000</v>
      </c>
      <c r="U179" s="83">
        <f>DATA!W178</f>
        <v>0</v>
      </c>
      <c r="V179" s="83">
        <f>DATA!X178</f>
        <v>50000000</v>
      </c>
      <c r="W179" s="84" t="str">
        <f>DATA!Y178</f>
        <v>IDB</v>
      </c>
      <c r="X179" s="42" t="str">
        <f>DATA!Z178</f>
        <v>Multilateral</v>
      </c>
      <c r="Y179" s="83">
        <f>DATA!AA178</f>
        <v>40000000</v>
      </c>
      <c r="Z179" s="83">
        <f>DATA!AG178</f>
        <v>0</v>
      </c>
      <c r="AA179" s="42" t="str">
        <f>DATA!AH178</f>
        <v>Tanpa keterangan</v>
      </c>
      <c r="AB179" s="67" t="str">
        <f>DATA!AI178</f>
        <v>Penyusunan R/C</v>
      </c>
      <c r="AC179" s="67" t="str">
        <f>DATA!AJ178</f>
        <v>- Sudah ada Master Plan</v>
      </c>
      <c r="AD179" s="115">
        <f>DATA!AK178</f>
        <v>1</v>
      </c>
      <c r="AE179" s="67" t="str">
        <f>DATA!AL178</f>
        <v>-</v>
      </c>
      <c r="AF179" s="42" t="str">
        <f>DATA!AR178</f>
        <v>-</v>
      </c>
      <c r="AG179" s="42" t="str">
        <f>DATA!AN178</f>
        <v>siap</v>
      </c>
      <c r="AH179" s="42" t="str">
        <f>DATA!AO178</f>
        <v>siap</v>
      </c>
      <c r="AI179" s="42" t="str">
        <f>DATA!AP178</f>
        <v>belum ada proses tender/lelang</v>
      </c>
      <c r="AJ179" s="42"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K179" s="42" t="e">
        <f>DATA!#REF!</f>
        <v>#REF!</v>
      </c>
      <c r="AL179" s="42">
        <f>DATA!AZ178</f>
        <v>0</v>
      </c>
      <c r="AM179" s="67"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row>
    <row r="180" spans="1:39" s="6" customFormat="1" ht="30.75" hidden="1" customHeight="1">
      <c r="A180" s="6">
        <f>DATA!A179</f>
        <v>123</v>
      </c>
      <c r="B180" s="6">
        <f>DATA!B179</f>
        <v>0</v>
      </c>
      <c r="C180" s="6" t="str">
        <f>DATA!D179</f>
        <v>NON-INFRASTRUKTUR</v>
      </c>
      <c r="D180" s="6">
        <f>DATA!E179</f>
        <v>9</v>
      </c>
      <c r="E180" s="6" t="str">
        <f>DATA!F179</f>
        <v>Kementerian Agama</v>
      </c>
      <c r="F180" s="6" t="str">
        <f>DATA!H179</f>
        <v>Improving Access, Quality, Relevance, and Competitiveness of Islamic Higher Education Program</v>
      </c>
      <c r="G180" s="6" t="str">
        <f>DATA!I179</f>
        <v>A</v>
      </c>
      <c r="H180" s="6" t="str">
        <f>DATA!J179</f>
        <v>Program Peningkatan Akses, Kualitas, Relevansi, dan Daya Saing Pendidikan Tinggi Islam</v>
      </c>
      <c r="I180" s="6">
        <f>DATA!K179</f>
        <v>1</v>
      </c>
      <c r="J180" s="38"/>
      <c r="K180" s="71"/>
      <c r="L180" s="71"/>
      <c r="M180" s="43"/>
      <c r="N180" s="67" t="str">
        <f>DATA!L179</f>
        <v xml:space="preserve">Development of Imam Bonjol State Islamic Institute Project </v>
      </c>
      <c r="O180" s="42">
        <f>DATA!Q179</f>
        <v>0.16666666666666666</v>
      </c>
      <c r="P180" s="42">
        <f>DATA!R179</f>
        <v>0</v>
      </c>
      <c r="Q180" s="42">
        <f>DATA!S179</f>
        <v>0</v>
      </c>
      <c r="R180" s="83">
        <f>DATA!T179</f>
        <v>38301400</v>
      </c>
      <c r="S180" s="83"/>
      <c r="T180" s="83">
        <f>DATA!V179</f>
        <v>4171400</v>
      </c>
      <c r="U180" s="83">
        <f>DATA!W179</f>
        <v>0</v>
      </c>
      <c r="V180" s="83">
        <f>DATA!X179</f>
        <v>42472800</v>
      </c>
      <c r="W180" s="84" t="str">
        <f>DATA!Y179</f>
        <v>IDB</v>
      </c>
      <c r="X180" s="42" t="str">
        <f>DATA!Z179</f>
        <v>Multilateral</v>
      </c>
      <c r="Y180" s="83">
        <f>DATA!AA179</f>
        <v>38310000</v>
      </c>
      <c r="Z180" s="83">
        <f>DATA!AG179</f>
        <v>0</v>
      </c>
      <c r="AA180" s="42" t="str">
        <f>DATA!AH179</f>
        <v>Tanpa keterangan</v>
      </c>
      <c r="AB180" s="67" t="str">
        <f>DATA!AI179</f>
        <v>Penyusunan R/C</v>
      </c>
      <c r="AC180" s="67" t="str">
        <f>DATA!AJ179</f>
        <v>Sedang merinci rencana kegiatan</v>
      </c>
      <c r="AD180" s="115">
        <f>DATA!AK179</f>
        <v>1</v>
      </c>
      <c r="AE180" s="67" t="str">
        <f>DATA!AL179</f>
        <v>-</v>
      </c>
      <c r="AF180" s="42" t="str">
        <f>DATA!AR179</f>
        <v>-</v>
      </c>
      <c r="AG180" s="42" t="str">
        <f>DATA!AN179</f>
        <v>siap</v>
      </c>
      <c r="AH180" s="42" t="str">
        <f>DATA!AO179</f>
        <v>siap</v>
      </c>
      <c r="AI180" s="42" t="str">
        <f>DATA!AP179</f>
        <v>belum ada proses tender/lelang</v>
      </c>
      <c r="AJ180" s="42" t="str">
        <f>DATA!AY179</f>
        <v>Surat Sekjen a/n Menteri Agama nomor SJ/B.I/1/KU.00.2/6260/2015 tanggal 17 September 2015</v>
      </c>
      <c r="AK180" s="42" t="e">
        <f>DATA!#REF!</f>
        <v>#REF!</v>
      </c>
      <c r="AL180" s="42">
        <f>DATA!AZ179</f>
        <v>0</v>
      </c>
      <c r="AM180" s="67" t="str">
        <f>DATA!BA179</f>
        <v>Pembangunan sarana dan prasarana perkuliahan,  Peningkatan kualitas SDM, pengembangan kurikulum</v>
      </c>
    </row>
    <row r="181" spans="1:39" s="4" customFormat="1" ht="24.95" hidden="1" customHeight="1">
      <c r="J181" s="107"/>
      <c r="K181" s="25">
        <f>DATA!E181</f>
        <v>10</v>
      </c>
      <c r="L181" s="108" t="str">
        <f>DATA!F181</f>
        <v>Kementerian PPN/Bappenas</v>
      </c>
      <c r="M181" s="25"/>
      <c r="N181" s="27"/>
      <c r="O181" s="26"/>
      <c r="P181" s="26"/>
      <c r="Q181" s="26"/>
      <c r="R181" s="80">
        <f>+R182</f>
        <v>300000000</v>
      </c>
      <c r="S181" s="80"/>
      <c r="T181" s="80">
        <f t="shared" ref="T181:Z182" si="21">+T182</f>
        <v>0</v>
      </c>
      <c r="U181" s="80">
        <f t="shared" si="21"/>
        <v>0</v>
      </c>
      <c r="V181" s="80">
        <f t="shared" si="21"/>
        <v>300000000</v>
      </c>
      <c r="W181" s="80"/>
      <c r="X181" s="80" t="str">
        <f t="shared" si="21"/>
        <v>Multilateral</v>
      </c>
      <c r="Y181" s="80">
        <f t="shared" si="21"/>
        <v>300000000</v>
      </c>
      <c r="Z181" s="80">
        <f t="shared" si="21"/>
        <v>0</v>
      </c>
      <c r="AA181" s="26"/>
      <c r="AB181" s="27"/>
      <c r="AC181" s="27"/>
      <c r="AD181" s="27"/>
      <c r="AE181" s="27"/>
      <c r="AF181" s="26"/>
      <c r="AG181" s="26"/>
      <c r="AH181" s="26"/>
      <c r="AI181" s="26"/>
      <c r="AJ181" s="26"/>
      <c r="AK181" s="26"/>
      <c r="AL181" s="26"/>
      <c r="AM181" s="27"/>
    </row>
    <row r="182" spans="1:39" s="5" customFormat="1" ht="33.75" hidden="1" customHeight="1">
      <c r="J182" s="28"/>
      <c r="K182" s="29"/>
      <c r="L182" s="30" t="str">
        <f>DATA!I181</f>
        <v>A</v>
      </c>
      <c r="M182" s="113" t="str">
        <f>DATA!J181</f>
        <v>Program Pengembangan Sumber Daya Aparatur  dalam Rangka Reformasi Birokrasi</v>
      </c>
      <c r="N182" s="51"/>
      <c r="O182" s="31"/>
      <c r="P182" s="31"/>
      <c r="Q182" s="31"/>
      <c r="R182" s="81">
        <f>+R183</f>
        <v>300000000</v>
      </c>
      <c r="S182" s="81"/>
      <c r="T182" s="81">
        <f t="shared" si="21"/>
        <v>0</v>
      </c>
      <c r="U182" s="81">
        <f t="shared" si="21"/>
        <v>0</v>
      </c>
      <c r="V182" s="81">
        <f t="shared" si="21"/>
        <v>300000000</v>
      </c>
      <c r="W182" s="81"/>
      <c r="X182" s="81" t="str">
        <f t="shared" si="21"/>
        <v>Multilateral</v>
      </c>
      <c r="Y182" s="81">
        <f t="shared" si="21"/>
        <v>300000000</v>
      </c>
      <c r="Z182" s="81">
        <f t="shared" si="21"/>
        <v>0</v>
      </c>
      <c r="AA182" s="31"/>
      <c r="AB182" s="32"/>
      <c r="AC182" s="32"/>
      <c r="AD182" s="32"/>
      <c r="AE182" s="32"/>
      <c r="AF182" s="31"/>
      <c r="AG182" s="31"/>
      <c r="AH182" s="31"/>
      <c r="AI182" s="31"/>
      <c r="AJ182" s="31"/>
      <c r="AK182" s="31"/>
      <c r="AL182" s="31"/>
      <c r="AM182" s="32"/>
    </row>
    <row r="183" spans="1:39" s="6" customFormat="1" ht="35.25" hidden="1" customHeight="1">
      <c r="A183" s="6">
        <f>DATA!A181</f>
        <v>129</v>
      </c>
      <c r="B183" s="6">
        <f>DATA!B181</f>
        <v>0</v>
      </c>
      <c r="C183" s="6" t="str">
        <f>DATA!D181</f>
        <v>NON-INFRASTRUKTUR</v>
      </c>
      <c r="D183" s="6">
        <f>DATA!E181</f>
        <v>10</v>
      </c>
      <c r="E183" s="6" t="str">
        <f>DATA!F181</f>
        <v>Kementerian PPN/Bappenas</v>
      </c>
      <c r="F183" s="6" t="str">
        <f>DATA!H181</f>
        <v>Human Resources Development for Bureaucracy Reform Program</v>
      </c>
      <c r="G183" s="6" t="str">
        <f>DATA!I181</f>
        <v>A</v>
      </c>
      <c r="H183" s="6" t="str">
        <f>DATA!J181</f>
        <v>Program Pengembangan Sumber Daya Aparatur  dalam Rangka Reformasi Birokrasi</v>
      </c>
      <c r="I183" s="6">
        <f>DATA!K181</f>
        <v>1</v>
      </c>
      <c r="J183" s="38"/>
      <c r="K183" s="71"/>
      <c r="L183" s="39"/>
      <c r="M183" s="38">
        <f>DATA!K181</f>
        <v>1</v>
      </c>
      <c r="N183" s="67" t="str">
        <f>DATA!L181</f>
        <v>Development of Capacity, Quality, and Competency of Human Resources for Government Officer</v>
      </c>
      <c r="O183" s="42">
        <f>DATA!Q181</f>
        <v>1</v>
      </c>
      <c r="P183" s="42">
        <f>DATA!R181</f>
        <v>1</v>
      </c>
      <c r="Q183" s="42">
        <f>DATA!S181</f>
        <v>103</v>
      </c>
      <c r="R183" s="83">
        <f>DATA!T181</f>
        <v>300000000</v>
      </c>
      <c r="S183" s="83"/>
      <c r="T183" s="83">
        <f>DATA!V181</f>
        <v>0</v>
      </c>
      <c r="U183" s="83">
        <f>DATA!W181</f>
        <v>0</v>
      </c>
      <c r="V183" s="83">
        <f>DATA!X181</f>
        <v>300000000</v>
      </c>
      <c r="W183" s="84" t="str">
        <f>DATA!Y181</f>
        <v>Bank Dunia</v>
      </c>
      <c r="X183" s="42" t="str">
        <f>DATA!Z181</f>
        <v>Multilateral</v>
      </c>
      <c r="Y183" s="83">
        <f>DATA!AA181</f>
        <v>300000000</v>
      </c>
      <c r="Z183" s="83">
        <f>DATA!AG181</f>
        <v>0</v>
      </c>
      <c r="AA183" s="42" t="str">
        <f>DATA!AH181</f>
        <v>Tanpa keterangan</v>
      </c>
      <c r="AB183" s="67" t="str">
        <f>DATA!AI181</f>
        <v>Penyusunan R/C</v>
      </c>
      <c r="AC183" s="67" t="str">
        <f>DATA!AJ181</f>
        <v>Sedang evaluasi SPIRIT tahap sebelumnya</v>
      </c>
      <c r="AD183" s="67" t="str">
        <f>DATA!AK181</f>
        <v>Tidak membutuhkan lahan</v>
      </c>
      <c r="AE183" s="67" t="str">
        <f>DATA!AL181</f>
        <v>-</v>
      </c>
      <c r="AF183" s="42" t="str">
        <f>DATA!AR181</f>
        <v>belum ada dokumen R/C</v>
      </c>
      <c r="AG183" s="42" t="str">
        <f>DATA!AN181</f>
        <v>dalam proses
(penyusunan FS)</v>
      </c>
      <c r="AH183" s="42" t="str">
        <f>DATA!AO181</f>
        <v>tidak butuh lahan</v>
      </c>
      <c r="AI183" s="42" t="str">
        <f>DATA!AP181</f>
        <v>belum ada proses tender/lelang</v>
      </c>
      <c r="AJ183" s="42" t="str">
        <f>DATA!AY181</f>
        <v>Surat Sesmen PPN/Sestama Bappenas nomor 5877/SES/09/2015 tgl 14 September 2015</v>
      </c>
      <c r="AK183" s="42" t="e">
        <f>DATA!#REF!</f>
        <v>#REF!</v>
      </c>
      <c r="AL183" s="42" t="str">
        <f>DATA!AZ181</f>
        <v>Diusulkan untuk masuk GB 2016</v>
      </c>
      <c r="AM183" s="67" t="str">
        <f>DATA!BA181</f>
        <v>Menghasilkan sekitar 2.109 lulusan gelar dan non gelar</v>
      </c>
    </row>
    <row r="184" spans="1:39" s="4" customFormat="1" ht="24.95" hidden="1" customHeight="1">
      <c r="J184" s="107"/>
      <c r="K184" s="25">
        <f>DATA!E182</f>
        <v>11</v>
      </c>
      <c r="L184" s="108" t="str">
        <f>DATA!F182</f>
        <v>Kementerian Kesehatan</v>
      </c>
      <c r="M184" s="25"/>
      <c r="N184" s="27"/>
      <c r="O184" s="26"/>
      <c r="P184" s="26"/>
      <c r="Q184" s="26"/>
      <c r="R184" s="80">
        <f>+R185+R187+R189+R191</f>
        <v>1746000000</v>
      </c>
      <c r="S184" s="80"/>
      <c r="T184" s="80">
        <f t="shared" ref="T184:Z184" si="22">+T185+T187+T189+T191</f>
        <v>174600000</v>
      </c>
      <c r="U184" s="80">
        <f t="shared" si="22"/>
        <v>0</v>
      </c>
      <c r="V184" s="80">
        <f t="shared" si="22"/>
        <v>1920600000</v>
      </c>
      <c r="W184" s="80"/>
      <c r="X184" s="80" t="e">
        <f t="shared" si="22"/>
        <v>#VALUE!</v>
      </c>
      <c r="Y184" s="80">
        <f t="shared" si="22"/>
        <v>1746000000</v>
      </c>
      <c r="Z184" s="80">
        <f t="shared" si="22"/>
        <v>-755600000</v>
      </c>
      <c r="AA184" s="26"/>
      <c r="AB184" s="27"/>
      <c r="AC184" s="27"/>
      <c r="AD184" s="27"/>
      <c r="AE184" s="27"/>
      <c r="AF184" s="26"/>
      <c r="AG184" s="26"/>
      <c r="AH184" s="26"/>
      <c r="AI184" s="26"/>
      <c r="AJ184" s="26"/>
      <c r="AK184" s="26"/>
      <c r="AL184" s="26"/>
      <c r="AM184" s="27"/>
    </row>
    <row r="185" spans="1:39" s="5" customFormat="1" ht="33.75" hidden="1" customHeight="1">
      <c r="J185" s="28"/>
      <c r="K185" s="29"/>
      <c r="L185" s="30" t="str">
        <f>DATA!I181</f>
        <v>A</v>
      </c>
      <c r="M185" s="31" t="str">
        <f>DATA!J182</f>
        <v>Program Pelayanan Kesehatan Dasar</v>
      </c>
      <c r="N185" s="51"/>
      <c r="O185" s="31"/>
      <c r="P185" s="31"/>
      <c r="Q185" s="31"/>
      <c r="R185" s="81">
        <f>+R186</f>
        <v>150000000</v>
      </c>
      <c r="S185" s="81"/>
      <c r="T185" s="81">
        <f>+T186</f>
        <v>15000000</v>
      </c>
      <c r="U185" s="81">
        <f>+U186</f>
        <v>0</v>
      </c>
      <c r="V185" s="81">
        <f>+V186</f>
        <v>165000000</v>
      </c>
      <c r="W185" s="81"/>
      <c r="X185" s="81" t="str">
        <f>+X186</f>
        <v>Multilateral</v>
      </c>
      <c r="Y185" s="81">
        <f>+Y186</f>
        <v>150000000</v>
      </c>
      <c r="Z185" s="81">
        <f>+Z186</f>
        <v>0</v>
      </c>
      <c r="AA185" s="31"/>
      <c r="AB185" s="32"/>
      <c r="AC185" s="32"/>
      <c r="AD185" s="32"/>
      <c r="AE185" s="32"/>
      <c r="AF185" s="31"/>
      <c r="AG185" s="31"/>
      <c r="AH185" s="31"/>
      <c r="AI185" s="31"/>
      <c r="AJ185" s="31"/>
      <c r="AK185" s="31"/>
      <c r="AL185" s="31"/>
      <c r="AM185" s="32"/>
    </row>
    <row r="186" spans="1:39" ht="75.75" hidden="1" customHeight="1">
      <c r="A186" s="10">
        <f>DATA!A182</f>
        <v>130</v>
      </c>
      <c r="B186" s="10">
        <f>DATA!B182</f>
        <v>0</v>
      </c>
      <c r="C186" s="10" t="str">
        <f>DATA!D182</f>
        <v>NON-INFRASTRUKTUR</v>
      </c>
      <c r="D186" s="10">
        <f>DATA!E182</f>
        <v>11</v>
      </c>
      <c r="E186" s="10" t="str">
        <f>DATA!F182</f>
        <v>Kementerian Kesehatan</v>
      </c>
      <c r="F186" s="10" t="str">
        <f>DATA!H182</f>
        <v>Basic Health Care Program</v>
      </c>
      <c r="G186" s="10" t="str">
        <f>DATA!I182</f>
        <v>A</v>
      </c>
      <c r="H186" s="10" t="str">
        <f>DATA!J182</f>
        <v>Program Pelayanan Kesehatan Dasar</v>
      </c>
      <c r="I186" s="10">
        <f>DATA!K182</f>
        <v>1</v>
      </c>
      <c r="J186" s="33"/>
      <c r="K186" s="34"/>
      <c r="L186" s="54"/>
      <c r="M186" s="52">
        <f>DATA!K182</f>
        <v>1</v>
      </c>
      <c r="N186" s="37" t="str">
        <f>DATA!L182</f>
        <v>Improvement of Primary Health Care</v>
      </c>
      <c r="O186" s="20">
        <f>DATA!Q182</f>
        <v>1</v>
      </c>
      <c r="P186" s="20">
        <f>DATA!R182</f>
        <v>1</v>
      </c>
      <c r="Q186" s="20">
        <f>DATA!S182</f>
        <v>104</v>
      </c>
      <c r="R186" s="77">
        <f>DATA!T182</f>
        <v>150000000</v>
      </c>
      <c r="S186" s="77"/>
      <c r="T186" s="77">
        <f>DATA!V182</f>
        <v>15000000</v>
      </c>
      <c r="U186" s="77">
        <f>DATA!W182</f>
        <v>0</v>
      </c>
      <c r="V186" s="77">
        <f>DATA!X182</f>
        <v>165000000</v>
      </c>
      <c r="W186" s="78" t="str">
        <f>DATA!Y182</f>
        <v>Bank Dunia</v>
      </c>
      <c r="X186" s="20" t="str">
        <f>DATA!Z182</f>
        <v>Multilateral</v>
      </c>
      <c r="Y186" s="77">
        <f>DATA!AA182</f>
        <v>150000000</v>
      </c>
      <c r="Z186" s="77">
        <f>DATA!AG182</f>
        <v>0</v>
      </c>
      <c r="AA186" s="20" t="str">
        <f>DATA!AH182</f>
        <v>Tanpa keterangan</v>
      </c>
      <c r="AB186" s="37" t="str">
        <f>DATA!AI182</f>
        <v>-</v>
      </c>
      <c r="AC186" s="37" t="str">
        <f>DATA!AJ182</f>
        <v>-</v>
      </c>
      <c r="AD186" s="37" t="str">
        <f>DATA!AK182</f>
        <v>Tidak dibutuhkan lahan</v>
      </c>
      <c r="AE186" s="37" t="str">
        <f>DATA!AL182</f>
        <v>-</v>
      </c>
      <c r="AF186" s="20" t="str">
        <f>DATA!AR182</f>
        <v>belum ada dokumen R/C</v>
      </c>
      <c r="AG186" s="20" t="str">
        <f>DATA!AN182</f>
        <v>belum ada keterangan</v>
      </c>
      <c r="AH186" s="20" t="str">
        <f>DATA!AO182</f>
        <v>tidak butuh lahan</v>
      </c>
      <c r="AI186" s="20" t="str">
        <f>DATA!AP182</f>
        <v>belum ada proses tender/lelang</v>
      </c>
      <c r="AJ186" s="20" t="str">
        <f>DATA!AY182</f>
        <v>Surat Sekjen nomor PR.02.03/I/1814/2015 tanggal 9 September 2015</v>
      </c>
      <c r="AK186" s="20" t="e">
        <f>DATA!#REF!</f>
        <v>#REF!</v>
      </c>
      <c r="AL186" s="20">
        <f>DATA!AZ182</f>
        <v>0</v>
      </c>
      <c r="AM186" s="37" t="str">
        <f>DATA!BA182</f>
        <v>Kegiatan akreditasi pusat kesehatan, pengembangan sistem informasi kesehatan, pemenuhan kebutuhan pelayanan kesehatan pada daerah perbatasan, dan memfasilitasi hubungan pusat kesehatan dengan unit transfusi darah</v>
      </c>
    </row>
    <row r="187" spans="1:39" s="5" customFormat="1" ht="33.75" hidden="1" customHeight="1">
      <c r="J187" s="28"/>
      <c r="K187" s="50"/>
      <c r="L187" s="30" t="str">
        <f>DATA!I183</f>
        <v>B</v>
      </c>
      <c r="M187" s="31" t="str">
        <f>DATA!J183</f>
        <v>Program Pengembangan Sumber Daya Manusia Kesehatan</v>
      </c>
      <c r="N187" s="51"/>
      <c r="O187" s="31"/>
      <c r="P187" s="31"/>
      <c r="Q187" s="31"/>
      <c r="R187" s="81">
        <f>+R188</f>
        <v>240000000</v>
      </c>
      <c r="S187" s="81"/>
      <c r="T187" s="81">
        <f t="shared" ref="T187:Z187" si="23">+T188</f>
        <v>24000000</v>
      </c>
      <c r="U187" s="81">
        <f t="shared" si="23"/>
        <v>0</v>
      </c>
      <c r="V187" s="81">
        <f t="shared" si="23"/>
        <v>264000000</v>
      </c>
      <c r="W187" s="81"/>
      <c r="X187" s="81" t="str">
        <f t="shared" si="23"/>
        <v>Multilateral</v>
      </c>
      <c r="Y187" s="81">
        <f t="shared" si="23"/>
        <v>240000000</v>
      </c>
      <c r="Z187" s="81">
        <f t="shared" si="23"/>
        <v>0</v>
      </c>
      <c r="AA187" s="31"/>
      <c r="AB187" s="32"/>
      <c r="AC187" s="32"/>
      <c r="AD187" s="32"/>
      <c r="AE187" s="32"/>
      <c r="AF187" s="31"/>
      <c r="AG187" s="31"/>
      <c r="AH187" s="31"/>
      <c r="AI187" s="31"/>
      <c r="AJ187" s="31"/>
      <c r="AK187" s="31"/>
      <c r="AL187" s="31"/>
      <c r="AM187" s="32"/>
    </row>
    <row r="188" spans="1:39" ht="46.5" hidden="1" customHeight="1">
      <c r="A188" s="10">
        <f>DATA!A183</f>
        <v>131</v>
      </c>
      <c r="B188" s="10">
        <f>DATA!B183</f>
        <v>0</v>
      </c>
      <c r="C188" s="10" t="str">
        <f>DATA!D183</f>
        <v>NON-INFRASTRUKTUR</v>
      </c>
      <c r="D188" s="10">
        <f>DATA!E183</f>
        <v>11</v>
      </c>
      <c r="E188" s="10" t="str">
        <f>DATA!F183</f>
        <v>Kementerian Kesehatan</v>
      </c>
      <c r="F188" s="10" t="str">
        <f>DATA!H183</f>
        <v>Program for Human Resources Development in Health Sector</v>
      </c>
      <c r="G188" s="10" t="str">
        <f>DATA!I183</f>
        <v>B</v>
      </c>
      <c r="H188" s="10" t="str">
        <f>DATA!J183</f>
        <v>Program Pengembangan Sumber Daya Manusia Kesehatan</v>
      </c>
      <c r="I188" s="10">
        <f>DATA!K183</f>
        <v>1</v>
      </c>
      <c r="J188" s="33"/>
      <c r="K188" s="34"/>
      <c r="L188" s="20"/>
      <c r="M188" s="36">
        <f>DATA!K183</f>
        <v>1</v>
      </c>
      <c r="N188" s="37" t="str">
        <f>DATA!L183</f>
        <v>Improvement of Facilities and Infrastructure for Teaching and Learning Activities in Health Sector</v>
      </c>
      <c r="O188" s="20">
        <f>DATA!Q183</f>
        <v>1</v>
      </c>
      <c r="P188" s="20">
        <f>DATA!R183</f>
        <v>1</v>
      </c>
      <c r="Q188" s="20">
        <f>DATA!S183</f>
        <v>105</v>
      </c>
      <c r="R188" s="77">
        <f>DATA!T183</f>
        <v>240000000</v>
      </c>
      <c r="S188" s="77"/>
      <c r="T188" s="77">
        <f>DATA!V183</f>
        <v>24000000</v>
      </c>
      <c r="U188" s="77">
        <f>DATA!W183</f>
        <v>0</v>
      </c>
      <c r="V188" s="77">
        <f>DATA!X183</f>
        <v>264000000</v>
      </c>
      <c r="W188" s="78" t="str">
        <f>DATA!Y183</f>
        <v>IDB</v>
      </c>
      <c r="X188" s="20" t="str">
        <f>DATA!Z183</f>
        <v>Multilateral</v>
      </c>
      <c r="Y188" s="77">
        <f>DATA!AA183</f>
        <v>240000000</v>
      </c>
      <c r="Z188" s="77">
        <f>DATA!AG183</f>
        <v>0</v>
      </c>
      <c r="AA188" s="20" t="str">
        <f>DATA!AH183</f>
        <v>Tanpa keterangan</v>
      </c>
      <c r="AB188" s="37" t="str">
        <f>DATA!AI183</f>
        <v>Penyusunan R/C</v>
      </c>
      <c r="AC188" s="37" t="str">
        <f>DATA!AJ183</f>
        <v>FS. DED</v>
      </c>
      <c r="AD188" s="114">
        <f>DATA!AK183</f>
        <v>1</v>
      </c>
      <c r="AE188" s="37" t="str">
        <f>DATA!AL183</f>
        <v>Belum ada lelang/tender</v>
      </c>
      <c r="AF188" s="20">
        <f>DATA!AM183</f>
        <v>0</v>
      </c>
      <c r="AG188" s="20" t="str">
        <f>DATA!AN183</f>
        <v>dalam proses
(memiliki FS dan DED)</v>
      </c>
      <c r="AH188" s="20" t="str">
        <f>DATA!AO183</f>
        <v>siap</v>
      </c>
      <c r="AI188" s="20" t="str">
        <f>DATA!AP183</f>
        <v>belum ada proses tender/lelang</v>
      </c>
      <c r="AJ188" s="20" t="str">
        <f>DATA!AY183</f>
        <v>- Pelaksanaan tahun 2017
- Surat Sekjen nomor PR.02.03/I/1814/2015 tanggal 9 September 2015</v>
      </c>
      <c r="AK188" s="20" t="e">
        <f>DATA!#REF!</f>
        <v>#REF!</v>
      </c>
      <c r="AL188" s="20">
        <f>DATA!AZ183</f>
        <v>0</v>
      </c>
      <c r="AM188" s="37" t="str">
        <f>DATA!BA183</f>
        <v>'Peningkatan infrastruktur Poltekkes, BPPK, Bapelkes dan UPT</v>
      </c>
    </row>
    <row r="189" spans="1:39" s="5" customFormat="1" ht="33.75" hidden="1" customHeight="1">
      <c r="J189" s="28"/>
      <c r="K189" s="50"/>
      <c r="L189" s="30" t="str">
        <f>DATA!I184</f>
        <v>C</v>
      </c>
      <c r="M189" s="31" t="str">
        <f>DATA!J184</f>
        <v>Program Pengendalian Penyakit, Penyehatan Lingkungan, dan Penguatan Litbang Kesehatan</v>
      </c>
      <c r="N189" s="51"/>
      <c r="O189" s="31"/>
      <c r="P189" s="31"/>
      <c r="Q189" s="31"/>
      <c r="R189" s="81">
        <f>+R190</f>
        <v>100400000</v>
      </c>
      <c r="S189" s="81"/>
      <c r="T189" s="81">
        <f t="shared" ref="T189:Z189" si="24">+T190</f>
        <v>10040000</v>
      </c>
      <c r="U189" s="81">
        <f t="shared" si="24"/>
        <v>0</v>
      </c>
      <c r="V189" s="81">
        <f t="shared" si="24"/>
        <v>110440000</v>
      </c>
      <c r="W189" s="81"/>
      <c r="X189" s="81" t="str">
        <f t="shared" si="24"/>
        <v>Bilateral</v>
      </c>
      <c r="Y189" s="81">
        <f t="shared" si="24"/>
        <v>100400000</v>
      </c>
      <c r="Z189" s="81">
        <f t="shared" si="24"/>
        <v>0</v>
      </c>
      <c r="AA189" s="31"/>
      <c r="AB189" s="32"/>
      <c r="AC189" s="32"/>
      <c r="AD189" s="32"/>
      <c r="AE189" s="32"/>
      <c r="AF189" s="31"/>
      <c r="AG189" s="31"/>
      <c r="AH189" s="31"/>
      <c r="AI189" s="31"/>
      <c r="AJ189" s="31"/>
      <c r="AK189" s="31"/>
      <c r="AL189" s="31"/>
      <c r="AM189" s="32"/>
    </row>
    <row r="190" spans="1:39" ht="74.25" hidden="1" customHeight="1">
      <c r="A190" s="10">
        <f>DATA!A184</f>
        <v>132</v>
      </c>
      <c r="B190" s="10">
        <f>DATA!B184</f>
        <v>0</v>
      </c>
      <c r="C190" s="10" t="str">
        <f>DATA!D184</f>
        <v>NON-INFRASTRUKTUR</v>
      </c>
      <c r="D190" s="10">
        <f>DATA!E184</f>
        <v>11</v>
      </c>
      <c r="E190" s="10" t="str">
        <f>DATA!F184</f>
        <v>Kementerian Kesehatan</v>
      </c>
      <c r="F190" s="10" t="str">
        <f>DATA!H184</f>
        <v>Program for Disease Control, Environmental Health, and Strengthening Health Research and Development</v>
      </c>
      <c r="G190" s="10" t="str">
        <f>DATA!I184</f>
        <v>C</v>
      </c>
      <c r="H190" s="10" t="str">
        <f>DATA!J184</f>
        <v>Program Pengendalian Penyakit, Penyehatan Lingkungan, dan Penguatan Litbang Kesehatan</v>
      </c>
      <c r="I190" s="10">
        <f>DATA!K184</f>
        <v>1</v>
      </c>
      <c r="J190" s="33"/>
      <c r="K190" s="34"/>
      <c r="L190" s="20"/>
      <c r="M190" s="36">
        <f>DATA!K184</f>
        <v>1</v>
      </c>
      <c r="N190" s="37" t="str">
        <f>DATA!L184</f>
        <v>Improvement of Capacity on Disease Control, Environmental Health, and Strengthening Health’s Research and Development</v>
      </c>
      <c r="O190" s="20">
        <f>DATA!Q184</f>
        <v>1</v>
      </c>
      <c r="P190" s="20">
        <f>DATA!R184</f>
        <v>1</v>
      </c>
      <c r="Q190" s="20">
        <f>DATA!S184</f>
        <v>106</v>
      </c>
      <c r="R190" s="77">
        <f>DATA!T184</f>
        <v>100400000</v>
      </c>
      <c r="S190" s="77"/>
      <c r="T190" s="77">
        <f>DATA!V184</f>
        <v>10040000</v>
      </c>
      <c r="U190" s="77">
        <f>DATA!W184</f>
        <v>0</v>
      </c>
      <c r="V190" s="77">
        <f>DATA!X184</f>
        <v>110440000</v>
      </c>
      <c r="W190" s="78" t="str">
        <f>DATA!Y184</f>
        <v>Jerman (KfW)</v>
      </c>
      <c r="X190" s="20" t="str">
        <f>DATA!Z184</f>
        <v>Bilateral</v>
      </c>
      <c r="Y190" s="77">
        <f>DATA!AA184</f>
        <v>100400000</v>
      </c>
      <c r="Z190" s="77">
        <f>DATA!AG184</f>
        <v>0</v>
      </c>
      <c r="AA190" s="20" t="str">
        <f>DATA!AH184</f>
        <v>Tanpa keterangan</v>
      </c>
      <c r="AB190" s="37" t="str">
        <f>DATA!AI184</f>
        <v>Penyusunan R/C</v>
      </c>
      <c r="AC190" s="37" t="str">
        <f>DATA!AJ184</f>
        <v>Belum ada DED &amp; AMDAL</v>
      </c>
      <c r="AD190" s="114">
        <f>DATA!AK184</f>
        <v>0.5</v>
      </c>
      <c r="AE190" s="37" t="str">
        <f>DATA!AL184</f>
        <v>Belum ada lelang/tender</v>
      </c>
      <c r="AF190" s="20">
        <f>DATA!AM184</f>
        <v>0</v>
      </c>
      <c r="AG190" s="20" t="str">
        <f>DATA!AN184</f>
        <v>dalam proses
(memiliki)</v>
      </c>
      <c r="AH190" s="20" t="str">
        <f>DATA!AO184</f>
        <v>dalam proses
(pelaksanaan)</v>
      </c>
      <c r="AI190" s="20" t="str">
        <f>DATA!AP184</f>
        <v>belum ada proses tender/lelang</v>
      </c>
      <c r="AJ190" s="20" t="str">
        <f>DATA!AY184</f>
        <v>- Tahap perencanaan selesai tahun 2016, tahap penyiapan dilakukan setelah tahap perencanaan selesai.Pelaksanaan diusulkan mulai tahun 2017.
- Surat Sekjen nomor PR.02.03/I/1814/2015 tanggal 9 September 2015</v>
      </c>
      <c r="AK190" s="20" t="e">
        <f>DATA!#REF!</f>
        <v>#REF!</v>
      </c>
      <c r="AL190" s="20">
        <f>DATA!AZ184</f>
        <v>0</v>
      </c>
      <c r="AM190" s="37" t="str">
        <f>DATA!BA184</f>
        <v>Penguatan lembaga penelitian dan pengembangan kesehatan, melengkapi fasilitas laboratorium untuk mendukung deteksi dan penelitian macam-macam virus dan bakteri, peningkatan kesadaran masyarakat terhadap kesehatan dan Peningkatan SDM kesehatan</v>
      </c>
    </row>
    <row r="191" spans="1:39" s="5" customFormat="1" ht="33.75" hidden="1" customHeight="1">
      <c r="J191" s="28"/>
      <c r="K191" s="50"/>
      <c r="L191" s="30" t="str">
        <f>DATA!I185</f>
        <v>D</v>
      </c>
      <c r="M191" s="31" t="str">
        <f>DATA!J185</f>
        <v>Program Pelayanan Kesehatan Rujukan</v>
      </c>
      <c r="N191" s="51"/>
      <c r="O191" s="31"/>
      <c r="P191" s="31"/>
      <c r="Q191" s="31"/>
      <c r="R191" s="81">
        <f>+R192</f>
        <v>1255600000</v>
      </c>
      <c r="S191" s="81"/>
      <c r="T191" s="81">
        <f t="shared" ref="T191:Z191" si="25">+T192</f>
        <v>125560000</v>
      </c>
      <c r="U191" s="81">
        <f t="shared" si="25"/>
        <v>0</v>
      </c>
      <c r="V191" s="81">
        <f t="shared" si="25"/>
        <v>1381160000</v>
      </c>
      <c r="W191" s="81"/>
      <c r="X191" s="81">
        <f t="shared" si="25"/>
        <v>0</v>
      </c>
      <c r="Y191" s="81">
        <f t="shared" si="25"/>
        <v>1255600000</v>
      </c>
      <c r="Z191" s="81">
        <f t="shared" si="25"/>
        <v>-755600000</v>
      </c>
      <c r="AA191" s="31"/>
      <c r="AB191" s="32"/>
      <c r="AC191" s="32"/>
      <c r="AD191" s="32"/>
      <c r="AE191" s="32"/>
      <c r="AF191" s="31"/>
      <c r="AG191" s="31"/>
      <c r="AH191" s="31"/>
      <c r="AI191" s="31"/>
      <c r="AJ191" s="31"/>
      <c r="AK191" s="31"/>
      <c r="AL191" s="31"/>
      <c r="AM191" s="32"/>
    </row>
    <row r="192" spans="1:39" ht="38.25" hidden="1">
      <c r="A192" s="10">
        <f>DATA!A185</f>
        <v>133</v>
      </c>
      <c r="B192" s="10">
        <f>DATA!B185</f>
        <v>0</v>
      </c>
      <c r="C192" s="10" t="str">
        <f>DATA!D185</f>
        <v>NON-INFRASTRUKTUR</v>
      </c>
      <c r="D192" s="10">
        <f>DATA!E185</f>
        <v>11</v>
      </c>
      <c r="E192" s="10" t="str">
        <f>DATA!F185</f>
        <v>Kementerian Kesehatan</v>
      </c>
      <c r="F192" s="10" t="str">
        <f>DATA!H185</f>
        <v>Referral Health Services Program</v>
      </c>
      <c r="G192" s="10" t="str">
        <f>DATA!I185</f>
        <v>D</v>
      </c>
      <c r="H192" s="10" t="str">
        <f>DATA!J185</f>
        <v>Program Pelayanan Kesehatan Rujukan</v>
      </c>
      <c r="I192" s="10">
        <f>DATA!K185</f>
        <v>1</v>
      </c>
      <c r="J192" s="33"/>
      <c r="K192" s="34"/>
      <c r="L192" s="35"/>
      <c r="M192" s="36">
        <f>DATA!K185</f>
        <v>1</v>
      </c>
      <c r="N192" s="37" t="str">
        <f>DATA!L185</f>
        <v>Strengthening of National Referral Hospitals, Province Referral Hospital and Vertical Technical Units</v>
      </c>
      <c r="O192" s="20">
        <f>DATA!Q185</f>
        <v>0</v>
      </c>
      <c r="P192" s="20">
        <f>DATA!R185</f>
        <v>1</v>
      </c>
      <c r="Q192" s="20">
        <f>DATA!S185</f>
        <v>107</v>
      </c>
      <c r="R192" s="77">
        <f>DATA!T185</f>
        <v>1255600000</v>
      </c>
      <c r="S192" s="77"/>
      <c r="T192" s="77">
        <f>DATA!V185</f>
        <v>125560000</v>
      </c>
      <c r="U192" s="77">
        <f>DATA!W185</f>
        <v>0</v>
      </c>
      <c r="V192" s="77">
        <f>DATA!X185</f>
        <v>1381160000</v>
      </c>
      <c r="W192" s="78" t="str">
        <f>DATA!Y185</f>
        <v>-</v>
      </c>
      <c r="X192" s="20">
        <f>DATA!Z185</f>
        <v>0</v>
      </c>
      <c r="Y192" s="77">
        <f>DATA!AA185</f>
        <v>1255600000</v>
      </c>
      <c r="Z192" s="77">
        <f>DATA!AG185</f>
        <v>-755600000</v>
      </c>
      <c r="AA192" s="20" t="str">
        <f>DATA!AH185</f>
        <v>-</v>
      </c>
      <c r="AB192" s="37" t="str">
        <f>DATA!AI185</f>
        <v>-</v>
      </c>
      <c r="AC192" s="37" t="str">
        <f>DATA!AJ185</f>
        <v>-</v>
      </c>
      <c r="AD192" s="37" t="str">
        <f>DATA!AK185</f>
        <v>-</v>
      </c>
      <c r="AE192" s="37" t="str">
        <f>DATA!AL185</f>
        <v>-</v>
      </c>
      <c r="AF192" s="20" t="str">
        <f>DATA!AM185</f>
        <v>-</v>
      </c>
      <c r="AG192" s="20" t="str">
        <f>DATA!AN185</f>
        <v>-</v>
      </c>
      <c r="AH192" s="20" t="str">
        <f>DATA!AO185</f>
        <v>-</v>
      </c>
      <c r="AI192" s="20" t="str">
        <f>DATA!AP185</f>
        <v>-</v>
      </c>
      <c r="AJ192" s="20" t="str">
        <f>DATA!AY185</f>
        <v>-</v>
      </c>
      <c r="AK192" s="20" t="e">
        <f>DATA!#REF!</f>
        <v>#REF!</v>
      </c>
      <c r="AL192" s="20" t="str">
        <f>DATA!AZ185</f>
        <v>-</v>
      </c>
      <c r="AM192" s="37" t="str">
        <f>DATA!BA185</f>
        <v>-</v>
      </c>
    </row>
    <row r="193" spans="1:39" s="6" customFormat="1" ht="63.75" hidden="1" customHeight="1">
      <c r="A193" s="6">
        <f>DATA!A186</f>
        <v>133</v>
      </c>
      <c r="B193" s="6">
        <f>DATA!B186</f>
        <v>0</v>
      </c>
      <c r="C193" s="6" t="str">
        <f>DATA!D186</f>
        <v>NON-INFRASTRUKTUR</v>
      </c>
      <c r="D193" s="6">
        <f>DATA!E186</f>
        <v>11</v>
      </c>
      <c r="E193" s="6" t="str">
        <f>DATA!F186</f>
        <v>Kementerian Kesehatan</v>
      </c>
      <c r="F193" s="6" t="str">
        <f>DATA!H186</f>
        <v>Referral Health Services Program</v>
      </c>
      <c r="G193" s="6" t="str">
        <f>DATA!I186</f>
        <v>D</v>
      </c>
      <c r="H193" s="6" t="str">
        <f>DATA!J186</f>
        <v>Program Pelayanan Kesehatan Rujukan</v>
      </c>
      <c r="I193" s="6">
        <f>DATA!K186</f>
        <v>1</v>
      </c>
      <c r="J193" s="38"/>
      <c r="K193" s="39"/>
      <c r="L193" s="39"/>
      <c r="M193" s="40"/>
      <c r="N193" s="67" t="str">
        <f>DATA!L186</f>
        <v>Strengthening of National Referral Hospitals, Province Referral Hospital and Vertical Technical Units</v>
      </c>
      <c r="O193" s="42">
        <f>DATA!Q186</f>
        <v>0.33333333333333331</v>
      </c>
      <c r="P193" s="42">
        <f>DATA!R186</f>
        <v>0</v>
      </c>
      <c r="Q193" s="42">
        <f>DATA!S186</f>
        <v>0</v>
      </c>
      <c r="R193" s="83">
        <f>DATA!T186</f>
        <v>0</v>
      </c>
      <c r="S193" s="83"/>
      <c r="T193" s="83">
        <f>DATA!V186</f>
        <v>0</v>
      </c>
      <c r="U193" s="83">
        <f>DATA!W186</f>
        <v>0</v>
      </c>
      <c r="V193" s="83">
        <f>DATA!X186</f>
        <v>0</v>
      </c>
      <c r="W193" s="84" t="str">
        <f>DATA!Y186</f>
        <v>IDB</v>
      </c>
      <c r="X193" s="42" t="str">
        <f>DATA!Z186</f>
        <v>Multilateral</v>
      </c>
      <c r="Y193" s="83">
        <f>DATA!AA186</f>
        <v>250000000</v>
      </c>
      <c r="Z193" s="83">
        <f>DATA!AG186</f>
        <v>0</v>
      </c>
      <c r="AA193" s="42" t="str">
        <f>DATA!AH186</f>
        <v>Tanpa keterangan</v>
      </c>
      <c r="AB193" s="67" t="str">
        <f>DATA!AI186</f>
        <v>-</v>
      </c>
      <c r="AC193" s="67" t="str">
        <f>DATA!AJ186</f>
        <v>-</v>
      </c>
      <c r="AD193" s="124" t="str">
        <f>DATA!AK186</f>
        <v>-</v>
      </c>
      <c r="AE193" s="67" t="str">
        <f>DATA!AL186</f>
        <v>-</v>
      </c>
      <c r="AF193" s="42">
        <f>DATA!AM186</f>
        <v>0</v>
      </c>
      <c r="AG193" s="42" t="str">
        <f>DATA!AN186</f>
        <v>belum ada keterangan</v>
      </c>
      <c r="AH193" s="42" t="str">
        <f>DATA!AO186</f>
        <v>belum ada keterangan</v>
      </c>
      <c r="AI193" s="42" t="str">
        <f>DATA!AP186</f>
        <v>belum ada proses tender/lelang</v>
      </c>
      <c r="AJ193" s="42" t="str">
        <f>DATA!AY186</f>
        <v>- (tidak ada data)
- Surat Sekjen nomor PR.02.03/I/1814/2015 tanggal 9 September 2015</v>
      </c>
      <c r="AK193" s="42" t="e">
        <f>DATA!#REF!</f>
        <v>#REF!</v>
      </c>
      <c r="AL193" s="42">
        <f>DATA!AZ186</f>
        <v>0</v>
      </c>
      <c r="AM193" s="67" t="str">
        <f>DATA!BA186</f>
        <v>Meningkatkan sarana dan prasarana di 14 rumah sakit pusat rujukan nasional, 20 rumah sakit rujukan provinsi dan 39 UPT (unit pelaksana teknis) vertikal sebagai pusat rujukan tersier</v>
      </c>
    </row>
    <row r="194" spans="1:39" s="6" customFormat="1" ht="63.75" hidden="1" customHeight="1">
      <c r="A194" s="6">
        <f>DATA!A187</f>
        <v>134</v>
      </c>
      <c r="B194" s="6">
        <f>DATA!B187</f>
        <v>0</v>
      </c>
      <c r="C194" s="6" t="str">
        <f>DATA!D187</f>
        <v>NON-INFRASTRUKTUR</v>
      </c>
      <c r="D194" s="6">
        <f>DATA!E187</f>
        <v>11</v>
      </c>
      <c r="E194" s="6" t="str">
        <f>DATA!F187</f>
        <v>Kementerian Kesehatan</v>
      </c>
      <c r="F194" s="6" t="str">
        <f>DATA!H187</f>
        <v>Referral Health Services Program</v>
      </c>
      <c r="G194" s="6" t="str">
        <f>DATA!I187</f>
        <v>D</v>
      </c>
      <c r="H194" s="6" t="str">
        <f>DATA!J187</f>
        <v>Program Pelayanan Kesehatan Rujukan</v>
      </c>
      <c r="I194" s="6">
        <f>DATA!K187</f>
        <v>1</v>
      </c>
      <c r="J194" s="38"/>
      <c r="K194" s="39"/>
      <c r="L194" s="39"/>
      <c r="M194" s="38"/>
      <c r="N194" s="67" t="str">
        <f>DATA!L187</f>
        <v>Strengthening of National Referral Hospitals, Province Referral Hospital and Vertical Technical Units</v>
      </c>
      <c r="O194" s="42">
        <f>DATA!Q187</f>
        <v>0.33333333333333331</v>
      </c>
      <c r="P194" s="42">
        <f>DATA!R187</f>
        <v>0</v>
      </c>
      <c r="Q194" s="42">
        <f>DATA!S187</f>
        <v>0</v>
      </c>
      <c r="R194" s="83">
        <f>DATA!T187</f>
        <v>0</v>
      </c>
      <c r="S194" s="83"/>
      <c r="T194" s="83">
        <f>DATA!V187</f>
        <v>0</v>
      </c>
      <c r="U194" s="83">
        <f>DATA!W187</f>
        <v>0</v>
      </c>
      <c r="V194" s="83">
        <f>DATA!X187</f>
        <v>0</v>
      </c>
      <c r="W194" s="84" t="str">
        <f>DATA!Y187</f>
        <v>Jerman (KfW)</v>
      </c>
      <c r="X194" s="42" t="str">
        <f>DATA!Z187</f>
        <v>Bilateral</v>
      </c>
      <c r="Y194" s="83">
        <f>DATA!AA187</f>
        <v>250000000</v>
      </c>
      <c r="Z194" s="83">
        <f>DATA!AG187</f>
        <v>0</v>
      </c>
      <c r="AA194" s="42" t="str">
        <f>DATA!AH187</f>
        <v>Tanpa keterangan</v>
      </c>
      <c r="AB194" s="67" t="str">
        <f>DATA!AI187</f>
        <v>-</v>
      </c>
      <c r="AC194" s="67" t="str">
        <f>DATA!AJ187</f>
        <v>-</v>
      </c>
      <c r="AD194" s="67" t="str">
        <f>DATA!AK187</f>
        <v>-</v>
      </c>
      <c r="AE194" s="67" t="str">
        <f>DATA!AL187</f>
        <v>-</v>
      </c>
      <c r="AF194" s="42">
        <f>DATA!AM187</f>
        <v>0</v>
      </c>
      <c r="AG194" s="42" t="str">
        <f>DATA!AN187</f>
        <v>belum ada keterangan</v>
      </c>
      <c r="AH194" s="42" t="str">
        <f>DATA!AO187</f>
        <v>belum ada keterangan</v>
      </c>
      <c r="AI194" s="42" t="str">
        <f>DATA!AP187</f>
        <v>belum ada proses tender/lelang</v>
      </c>
      <c r="AJ194" s="42" t="str">
        <f>DATA!AY187</f>
        <v>- Keg ini bukan area prioritas dari Pem. Jerman
- Surat Sekjen nomor PR.02.03/I/1814/2015 tanggal 9 September 2015</v>
      </c>
      <c r="AK194" s="42" t="e">
        <f>DATA!#REF!</f>
        <v>#REF!</v>
      </c>
      <c r="AL194" s="42">
        <f>DATA!AZ187</f>
        <v>0</v>
      </c>
      <c r="AM194" s="67" t="str">
        <f>DATA!BA187</f>
        <v>Meningkatkan sarana dan prasarana di 14 rumah sakit pusat rujukan nasional, 20 rumah sakit rujukan provinsi dan 39 UPT (unit pelaksana teknis) vertikal sebagai pusat rujukan tersier</v>
      </c>
    </row>
    <row r="195" spans="1:39" s="6" customFormat="1" ht="63.75" hidden="1" customHeight="1">
      <c r="A195" s="6">
        <f>DATA!A188</f>
        <v>135</v>
      </c>
      <c r="B195" s="6">
        <f>DATA!B188</f>
        <v>0</v>
      </c>
      <c r="C195" s="6" t="str">
        <f>DATA!D188</f>
        <v>NON-INFRASTRUKTUR</v>
      </c>
      <c r="D195" s="6">
        <f>DATA!E188</f>
        <v>11</v>
      </c>
      <c r="E195" s="6" t="str">
        <f>DATA!F188</f>
        <v>Kementerian Kesehatan</v>
      </c>
      <c r="F195" s="6" t="str">
        <f>DATA!H188</f>
        <v>Referral Health Services Program</v>
      </c>
      <c r="G195" s="6" t="str">
        <f>DATA!I188</f>
        <v>D</v>
      </c>
      <c r="H195" s="6" t="str">
        <f>DATA!J188</f>
        <v>Program Pelayanan Kesehatan Rujukan</v>
      </c>
      <c r="I195" s="6">
        <f>DATA!K188</f>
        <v>1</v>
      </c>
      <c r="J195" s="38"/>
      <c r="K195" s="71"/>
      <c r="L195" s="71"/>
      <c r="M195" s="43"/>
      <c r="N195" s="67" t="str">
        <f>DATA!L188</f>
        <v>Strengthening of National Referral Hospitals, Province Referral Hospital and Vertical Technical Units</v>
      </c>
      <c r="O195" s="42">
        <f>DATA!Q188</f>
        <v>0.33333333333333331</v>
      </c>
      <c r="P195" s="42">
        <f>DATA!R188</f>
        <v>0</v>
      </c>
      <c r="Q195" s="42">
        <f>DATA!S188</f>
        <v>0</v>
      </c>
      <c r="R195" s="83">
        <f>DATA!T188</f>
        <v>0</v>
      </c>
      <c r="S195" s="83"/>
      <c r="T195" s="83">
        <f>DATA!V188</f>
        <v>0</v>
      </c>
      <c r="U195" s="83">
        <f>DATA!W188</f>
        <v>0</v>
      </c>
      <c r="V195" s="83">
        <f>DATA!X188</f>
        <v>0</v>
      </c>
      <c r="W195" s="84" t="str">
        <f>DATA!Y188</f>
        <v>Belum Ada Indikasi</v>
      </c>
      <c r="X195" s="42" t="str">
        <f>DATA!Z188</f>
        <v>Belum Ada Indikasi</v>
      </c>
      <c r="Y195" s="83">
        <f>DATA!AA188</f>
        <v>755600000</v>
      </c>
      <c r="Z195" s="83">
        <f>DATA!AG188</f>
        <v>-755600000</v>
      </c>
      <c r="AA195" s="42" t="str">
        <f>DATA!AH188</f>
        <v>Tanpa keterangan</v>
      </c>
      <c r="AB195" s="67" t="str">
        <f>DATA!AI188</f>
        <v>-</v>
      </c>
      <c r="AC195" s="67" t="str">
        <f>DATA!AJ188</f>
        <v>-</v>
      </c>
      <c r="AD195" s="67" t="str">
        <f>DATA!AK188</f>
        <v>-</v>
      </c>
      <c r="AE195" s="67" t="str">
        <f>DATA!AL188</f>
        <v>-</v>
      </c>
      <c r="AF195" s="42">
        <f>DATA!AM188</f>
        <v>0</v>
      </c>
      <c r="AG195" s="42" t="str">
        <f>DATA!AN188</f>
        <v>belum ada keterangan</v>
      </c>
      <c r="AH195" s="42" t="str">
        <f>DATA!AO188</f>
        <v>belum ada keterangan</v>
      </c>
      <c r="AI195" s="42" t="str">
        <f>DATA!AP188</f>
        <v>belum ada proses tender/lelang</v>
      </c>
      <c r="AJ195" s="42" t="str">
        <f>DATA!AY188</f>
        <v>Surat Sekjen nomor PR.02.03/I/1814/2015 tanggal 9 September 2015</v>
      </c>
      <c r="AK195" s="42" t="e">
        <f>DATA!#REF!</f>
        <v>#REF!</v>
      </c>
      <c r="AL195" s="42">
        <f>DATA!AZ188</f>
        <v>0</v>
      </c>
      <c r="AM195" s="67" t="str">
        <f>DATA!BA188</f>
        <v>Meningkatkan sarana dan prasarana di 14 rumah sakit pusat rujukan nasional, 20 rumah sakit rujukan provinsi dan 39 UPT (unit pelaksana teknis) vertikal sebagai pusat rujukan tersier</v>
      </c>
    </row>
    <row r="196" spans="1:39" s="4" customFormat="1" ht="24.95" hidden="1" customHeight="1">
      <c r="J196" s="107"/>
      <c r="K196" s="25">
        <f>DATA!E189</f>
        <v>12</v>
      </c>
      <c r="L196" s="108" t="str">
        <f>DATA!F189</f>
        <v>Pemprov. Aceh</v>
      </c>
      <c r="M196" s="25"/>
      <c r="N196" s="27"/>
      <c r="O196" s="26"/>
      <c r="P196" s="26"/>
      <c r="Q196" s="26"/>
      <c r="R196" s="80">
        <f>+R197</f>
        <v>106800000</v>
      </c>
      <c r="S196" s="80"/>
      <c r="T196" s="80">
        <f t="shared" ref="T196:Z197" si="26">+T197</f>
        <v>10700000</v>
      </c>
      <c r="U196" s="80">
        <f t="shared" si="26"/>
        <v>0</v>
      </c>
      <c r="V196" s="80">
        <f t="shared" si="26"/>
        <v>117500000</v>
      </c>
      <c r="W196" s="80"/>
      <c r="X196" s="80" t="str">
        <f t="shared" si="26"/>
        <v>Bilateral</v>
      </c>
      <c r="Y196" s="80">
        <f t="shared" si="26"/>
        <v>106800000</v>
      </c>
      <c r="Z196" s="80">
        <f t="shared" si="26"/>
        <v>0</v>
      </c>
      <c r="AA196" s="26"/>
      <c r="AB196" s="27"/>
      <c r="AC196" s="27"/>
      <c r="AD196" s="27"/>
      <c r="AE196" s="27"/>
      <c r="AF196" s="26"/>
      <c r="AG196" s="26"/>
      <c r="AH196" s="26"/>
      <c r="AI196" s="26"/>
      <c r="AJ196" s="26"/>
      <c r="AK196" s="26"/>
      <c r="AL196" s="26"/>
      <c r="AM196" s="27"/>
    </row>
    <row r="197" spans="1:39" s="5" customFormat="1" ht="33.75" hidden="1" customHeight="1">
      <c r="J197" s="28"/>
      <c r="K197" s="29"/>
      <c r="L197" s="30" t="str">
        <f>DATA!I189</f>
        <v>A</v>
      </c>
      <c r="M197" s="31" t="str">
        <f>DATA!J189</f>
        <v>Program Pelayanan Kesehatan Rujukan</v>
      </c>
      <c r="N197" s="51"/>
      <c r="O197" s="31"/>
      <c r="P197" s="31"/>
      <c r="Q197" s="31"/>
      <c r="R197" s="81">
        <f>+R198</f>
        <v>106800000</v>
      </c>
      <c r="S197" s="81"/>
      <c r="T197" s="81">
        <f t="shared" si="26"/>
        <v>10700000</v>
      </c>
      <c r="U197" s="81">
        <f t="shared" si="26"/>
        <v>0</v>
      </c>
      <c r="V197" s="81">
        <f t="shared" si="26"/>
        <v>117500000</v>
      </c>
      <c r="W197" s="81"/>
      <c r="X197" s="81" t="str">
        <f t="shared" si="26"/>
        <v>Bilateral</v>
      </c>
      <c r="Y197" s="81">
        <f t="shared" si="26"/>
        <v>106800000</v>
      </c>
      <c r="Z197" s="81">
        <f t="shared" si="26"/>
        <v>0</v>
      </c>
      <c r="AA197" s="31"/>
      <c r="AB197" s="32"/>
      <c r="AC197" s="32"/>
      <c r="AD197" s="32"/>
      <c r="AE197" s="32"/>
      <c r="AF197" s="31"/>
      <c r="AG197" s="31"/>
      <c r="AH197" s="31"/>
      <c r="AI197" s="31"/>
      <c r="AJ197" s="31"/>
      <c r="AK197" s="31"/>
      <c r="AL197" s="31"/>
      <c r="AM197" s="32"/>
    </row>
    <row r="198" spans="1:39" s="8" customFormat="1" ht="63.75" hidden="1" customHeight="1">
      <c r="A198" s="10">
        <f>DATA!A189</f>
        <v>136</v>
      </c>
      <c r="B198" s="10">
        <f>DATA!B189</f>
        <v>0</v>
      </c>
      <c r="C198" s="10" t="str">
        <f>DATA!D189</f>
        <v>NON-INFRASTRUKTUR</v>
      </c>
      <c r="D198" s="10">
        <f>DATA!E189</f>
        <v>12</v>
      </c>
      <c r="E198" s="10" t="str">
        <f>DATA!F189</f>
        <v>Pemprov. Aceh</v>
      </c>
      <c r="F198" s="10" t="str">
        <f>DATA!H189</f>
        <v>Health Services Referral Program</v>
      </c>
      <c r="G198" s="10" t="str">
        <f>DATA!I189</f>
        <v>A</v>
      </c>
      <c r="H198" s="10" t="str">
        <f>DATA!J189</f>
        <v>Program Pelayanan Kesehatan Rujukan</v>
      </c>
      <c r="I198" s="10">
        <f>DATA!K189</f>
        <v>1</v>
      </c>
      <c r="J198" s="57"/>
      <c r="K198" s="111"/>
      <c r="L198" s="103"/>
      <c r="M198" s="60">
        <f>DATA!K189</f>
        <v>1</v>
      </c>
      <c r="N198" s="61" t="str">
        <f>DATA!L189</f>
        <v>Reengineering and Improving The Hospital and Referral System in Selected Aceh Districts</v>
      </c>
      <c r="O198" s="20">
        <f>DATA!Q189</f>
        <v>1</v>
      </c>
      <c r="P198" s="20">
        <f>DATA!R189</f>
        <v>1</v>
      </c>
      <c r="Q198" s="20">
        <f>DATA!S189</f>
        <v>108</v>
      </c>
      <c r="R198" s="89">
        <f>DATA!T189</f>
        <v>106800000</v>
      </c>
      <c r="S198" s="89"/>
      <c r="T198" s="89">
        <f>DATA!V189</f>
        <v>10700000</v>
      </c>
      <c r="U198" s="77">
        <f>DATA!W189</f>
        <v>0</v>
      </c>
      <c r="V198" s="89">
        <f>DATA!X189</f>
        <v>117500000</v>
      </c>
      <c r="W198" s="90" t="str">
        <f>DATA!Y189</f>
        <v>Jerman (KfW)</v>
      </c>
      <c r="X198" s="20" t="str">
        <f>DATA!Z189</f>
        <v>Bilateral</v>
      </c>
      <c r="Y198" s="89">
        <f>DATA!AA189</f>
        <v>106800000</v>
      </c>
      <c r="Z198" s="89">
        <f>DATA!AG189</f>
        <v>0</v>
      </c>
      <c r="AA198" s="103" t="str">
        <f>DATA!AH189</f>
        <v>Tanpa keterangan</v>
      </c>
      <c r="AB198" s="61" t="str">
        <f>DATA!AI189</f>
        <v xml:space="preserve">- Sudah ada R/C
- Green Book 2015
</v>
      </c>
      <c r="AC198" s="61" t="str">
        <f>DATA!AJ189</f>
        <v>FS, DED</v>
      </c>
      <c r="AD198" s="131">
        <f>DATA!AK189</f>
        <v>1</v>
      </c>
      <c r="AE198" s="61" t="str">
        <f>DATA!AL189</f>
        <v>-</v>
      </c>
      <c r="AF198" s="20" t="str">
        <f>DATA!AM189</f>
        <v>2016; 2015</v>
      </c>
      <c r="AG198" s="20" t="str">
        <f>DATA!AN189</f>
        <v>dalam proses
(memiliki FS dan DED)</v>
      </c>
      <c r="AH198" s="20" t="str">
        <f>DATA!AO189</f>
        <v>siap</v>
      </c>
      <c r="AI198" s="20" t="str">
        <f>DATA!AP189</f>
        <v>belum ada proses tender/lelang</v>
      </c>
      <c r="AJ198" s="20" t="str">
        <f>DATA!AY189</f>
        <v>Surat Kepala Dinas Kesehatan Prov. Aceh nomor 443.02/998/V/2015 tanggal 27 April 2015 tentang penyampaian dokumen kesiapan (RC)</v>
      </c>
      <c r="AK198" s="20" t="e">
        <f>DATA!#REF!</f>
        <v>#REF!</v>
      </c>
      <c r="AL198" s="20">
        <f>DATA!AZ189</f>
        <v>0</v>
      </c>
      <c r="AM198" s="37" t="str">
        <f>DATA!BA189</f>
        <v xml:space="preserve">Pengembangan infrastruktur (pembangunan rumah sakit baru, rehabilitasi rumah sakit lama, dan kantor dinas kesehatan, pengadaan peralatan dan operasional, dan peningkatan SDM rumah sakit </v>
      </c>
    </row>
    <row r="199" spans="1:39" s="4" customFormat="1" ht="24.95" hidden="1" customHeight="1">
      <c r="J199" s="107"/>
      <c r="K199" s="25">
        <f>DATA!E190</f>
        <v>13</v>
      </c>
      <c r="L199" s="108" t="str">
        <f>DATA!F190</f>
        <v>Kementerian Pertanian</v>
      </c>
      <c r="M199" s="25"/>
      <c r="N199" s="27"/>
      <c r="O199" s="26"/>
      <c r="P199" s="26"/>
      <c r="Q199" s="26"/>
      <c r="R199" s="80">
        <f>+R200+R209</f>
        <v>1445742600</v>
      </c>
      <c r="S199" s="80"/>
      <c r="T199" s="80">
        <f t="shared" ref="T199:Z199" si="27">+T200+T209</f>
        <v>154464300</v>
      </c>
      <c r="U199" s="80">
        <f t="shared" si="27"/>
        <v>500000</v>
      </c>
      <c r="V199" s="80">
        <f t="shared" si="27"/>
        <v>1600706900</v>
      </c>
      <c r="W199" s="80"/>
      <c r="X199" s="80" t="e">
        <f t="shared" si="27"/>
        <v>#VALUE!</v>
      </c>
      <c r="Y199" s="80">
        <f t="shared" si="27"/>
        <v>1445742600</v>
      </c>
      <c r="Z199" s="80">
        <f t="shared" si="27"/>
        <v>-746842600</v>
      </c>
      <c r="AA199" s="26"/>
      <c r="AB199" s="27"/>
      <c r="AC199" s="27"/>
      <c r="AD199" s="27"/>
      <c r="AE199" s="27"/>
      <c r="AF199" s="26"/>
      <c r="AG199" s="26"/>
      <c r="AH199" s="26"/>
      <c r="AI199" s="26"/>
      <c r="AJ199" s="26"/>
      <c r="AK199" s="26"/>
      <c r="AL199" s="26"/>
      <c r="AM199" s="27"/>
    </row>
    <row r="200" spans="1:39" s="5" customFormat="1" ht="33.75" hidden="1" customHeight="1">
      <c r="J200" s="28"/>
      <c r="K200" s="29"/>
      <c r="L200" s="30" t="str">
        <f>DATA!I190</f>
        <v>A</v>
      </c>
      <c r="M200" s="31" t="str">
        <f>DATA!J190</f>
        <v>Program Penyediaan dan Pengembangan Prasarana dan Sarana Pertanian</v>
      </c>
      <c r="N200" s="51"/>
      <c r="O200" s="31"/>
      <c r="P200" s="31"/>
      <c r="Q200" s="31"/>
      <c r="R200" s="81">
        <f>+R201+R205</f>
        <v>1346842600</v>
      </c>
      <c r="S200" s="81"/>
      <c r="T200" s="81">
        <f t="shared" ref="T200:Z200" si="28">+T201+T205</f>
        <v>134684300</v>
      </c>
      <c r="U200" s="81">
        <f t="shared" si="28"/>
        <v>0</v>
      </c>
      <c r="V200" s="81">
        <f t="shared" si="28"/>
        <v>1481526900</v>
      </c>
      <c r="W200" s="81"/>
      <c r="X200" s="81">
        <f t="shared" si="28"/>
        <v>0</v>
      </c>
      <c r="Y200" s="81">
        <f t="shared" si="28"/>
        <v>1346842600</v>
      </c>
      <c r="Z200" s="81">
        <f t="shared" si="28"/>
        <v>-746842600</v>
      </c>
      <c r="AA200" s="31"/>
      <c r="AB200" s="32"/>
      <c r="AC200" s="32"/>
      <c r="AD200" s="32"/>
      <c r="AE200" s="32"/>
      <c r="AF200" s="31"/>
      <c r="AG200" s="31"/>
      <c r="AH200" s="31"/>
      <c r="AI200" s="31"/>
      <c r="AJ200" s="31"/>
      <c r="AK200" s="31"/>
      <c r="AL200" s="31"/>
      <c r="AM200" s="32"/>
    </row>
    <row r="201" spans="1:39" ht="24.75" hidden="1" customHeight="1">
      <c r="A201" s="10">
        <f>DATA!A190</f>
        <v>137</v>
      </c>
      <c r="B201" s="10">
        <f>DATA!B190</f>
        <v>0</v>
      </c>
      <c r="C201" s="10" t="str">
        <f>DATA!D190</f>
        <v>NON-INFRASTRUKTUR</v>
      </c>
      <c r="D201" s="10">
        <f>DATA!E190</f>
        <v>13</v>
      </c>
      <c r="E201" s="10" t="str">
        <f>DATA!F190</f>
        <v>Kementerian Pertanian</v>
      </c>
      <c r="F201" s="10" t="str">
        <f>DATA!H190</f>
        <v>Provision and Development of Agriculture Infrastructure Program</v>
      </c>
      <c r="G201" s="10" t="str">
        <f>DATA!I190</f>
        <v>A</v>
      </c>
      <c r="H201" s="10" t="str">
        <f>DATA!J190</f>
        <v>Program Penyediaan dan Pengembangan Prasarana dan Sarana Pertanian</v>
      </c>
      <c r="I201" s="10">
        <f>DATA!K190</f>
        <v>1</v>
      </c>
      <c r="J201" s="33"/>
      <c r="K201" s="34"/>
      <c r="L201" s="35"/>
      <c r="M201" s="36">
        <f>DATA!K190</f>
        <v>1</v>
      </c>
      <c r="N201" s="37" t="str">
        <f>DATA!L190</f>
        <v>Extensification of New Paddy Field Area</v>
      </c>
      <c r="O201" s="20">
        <f>DATA!Q190</f>
        <v>0</v>
      </c>
      <c r="P201" s="20">
        <f>DATA!R190</f>
        <v>1</v>
      </c>
      <c r="Q201" s="20">
        <f>DATA!S190</f>
        <v>109</v>
      </c>
      <c r="R201" s="77">
        <f>DATA!T190</f>
        <v>811166600</v>
      </c>
      <c r="S201" s="77"/>
      <c r="T201" s="77">
        <f>DATA!V190</f>
        <v>81116700</v>
      </c>
      <c r="U201" s="77">
        <f>DATA!W190</f>
        <v>0</v>
      </c>
      <c r="V201" s="77">
        <f>DATA!X190</f>
        <v>892283300</v>
      </c>
      <c r="W201" s="78" t="str">
        <f>DATA!Y190</f>
        <v>-</v>
      </c>
      <c r="X201" s="20">
        <f>DATA!Z190</f>
        <v>0</v>
      </c>
      <c r="Y201" s="77">
        <f>DATA!AA190</f>
        <v>811166600</v>
      </c>
      <c r="Z201" s="77">
        <f>DATA!AG190</f>
        <v>-461166600</v>
      </c>
      <c r="AA201" s="20" t="str">
        <f>DATA!AH190</f>
        <v>-</v>
      </c>
      <c r="AB201" s="37" t="str">
        <f>DATA!AI190</f>
        <v>-</v>
      </c>
      <c r="AC201" s="37" t="str">
        <f>DATA!AJ190</f>
        <v>-</v>
      </c>
      <c r="AD201" s="37" t="str">
        <f>DATA!AK190</f>
        <v>-</v>
      </c>
      <c r="AE201" s="37" t="str">
        <f>DATA!AL190</f>
        <v>-</v>
      </c>
      <c r="AF201" s="20" t="str">
        <f>DATA!AM190</f>
        <v>-</v>
      </c>
      <c r="AG201" s="20" t="str">
        <f>DATA!AN190</f>
        <v>-</v>
      </c>
      <c r="AH201" s="20" t="str">
        <f>DATA!AO190</f>
        <v>-</v>
      </c>
      <c r="AI201" s="20" t="str">
        <f>DATA!AP190</f>
        <v>-</v>
      </c>
      <c r="AJ201" s="20" t="str">
        <f>DATA!AY190</f>
        <v>-</v>
      </c>
      <c r="AK201" s="20" t="e">
        <f>DATA!#REF!</f>
        <v>#REF!</v>
      </c>
      <c r="AL201" s="20">
        <f>DATA!AZ190</f>
        <v>0</v>
      </c>
      <c r="AM201" s="37" t="str">
        <f>DATA!BA190</f>
        <v>-</v>
      </c>
    </row>
    <row r="202" spans="1:39" s="6" customFormat="1" ht="76.5" hidden="1">
      <c r="A202" s="6">
        <f>DATA!A191</f>
        <v>137</v>
      </c>
      <c r="B202" s="6">
        <f>DATA!B191</f>
        <v>0</v>
      </c>
      <c r="C202" s="6" t="str">
        <f>DATA!D191</f>
        <v>NON-INFRASTRUKTUR</v>
      </c>
      <c r="D202" s="6">
        <f>DATA!E191</f>
        <v>13</v>
      </c>
      <c r="E202" s="6" t="str">
        <f>DATA!F191</f>
        <v>Kementerian Pertanian</v>
      </c>
      <c r="F202" s="6" t="str">
        <f>DATA!H191</f>
        <v>Provision and Development of Agriculture Infrastructure Program</v>
      </c>
      <c r="G202" s="6" t="str">
        <f>DATA!I191</f>
        <v>A</v>
      </c>
      <c r="H202" s="6" t="str">
        <f>DATA!J191</f>
        <v>Program Penyediaan dan Pengembangan Prasarana dan Sarana Pertanian</v>
      </c>
      <c r="I202" s="6">
        <f>DATA!K191</f>
        <v>1</v>
      </c>
      <c r="J202" s="38"/>
      <c r="K202" s="39"/>
      <c r="L202" s="39"/>
      <c r="M202" s="40"/>
      <c r="N202" s="67" t="str">
        <f>DATA!L191</f>
        <v>Extensification of New Paddy Field Area</v>
      </c>
      <c r="O202" s="42">
        <f>DATA!Q191</f>
        <v>0.33333333333333331</v>
      </c>
      <c r="P202" s="42">
        <f>DATA!R191</f>
        <v>0</v>
      </c>
      <c r="Q202" s="42">
        <f>DATA!S191</f>
        <v>0</v>
      </c>
      <c r="R202" s="83">
        <f>DATA!T191</f>
        <v>0</v>
      </c>
      <c r="S202" s="83"/>
      <c r="T202" s="83">
        <f>DATA!V191</f>
        <v>0</v>
      </c>
      <c r="U202" s="83">
        <f>DATA!W191</f>
        <v>0</v>
      </c>
      <c r="V202" s="83">
        <f>DATA!X191</f>
        <v>0</v>
      </c>
      <c r="W202" s="84" t="str">
        <f>DATA!Y191</f>
        <v>Bank Dunia</v>
      </c>
      <c r="X202" s="42" t="str">
        <f>DATA!Z191</f>
        <v>Multilateral</v>
      </c>
      <c r="Y202" s="83">
        <f>DATA!AA191</f>
        <v>225000000</v>
      </c>
      <c r="Z202" s="83">
        <f>DATA!AG191</f>
        <v>0</v>
      </c>
      <c r="AA202" s="42" t="str">
        <f>DATA!AH191</f>
        <v>Tanpa keterangan</v>
      </c>
      <c r="AB202" s="67" t="str">
        <f>DATA!AI191</f>
        <v>-</v>
      </c>
      <c r="AC202" s="67" t="str">
        <f>DATA!AJ191</f>
        <v xml:space="preserve">TOR </v>
      </c>
      <c r="AD202" s="115">
        <f>DATA!AK191</f>
        <v>0</v>
      </c>
      <c r="AE202" s="67" t="str">
        <f>DATA!AL191</f>
        <v>-</v>
      </c>
      <c r="AF202" s="42">
        <f>DATA!AM191</f>
        <v>0</v>
      </c>
      <c r="AG202" s="42" t="str">
        <f>DATA!AN191</f>
        <v>dalam proses
(penyusunan FS)</v>
      </c>
      <c r="AH202" s="42" t="str">
        <f>DATA!AO191</f>
        <v>belum ada keterangan</v>
      </c>
      <c r="AI202" s="42" t="str">
        <f>DATA!AP191</f>
        <v>belum ada proses tender/lelang</v>
      </c>
      <c r="AJ202" s="42" t="str">
        <f>DATA!AY191</f>
        <v>Surat Plh. Kepala Pusat Kem.Pertanian nomor 246/KL.230/A.6.3/09/2015 tgl 9 September 2015</v>
      </c>
      <c r="AK202" s="42" t="e">
        <f>DATA!#REF!</f>
        <v>#REF!</v>
      </c>
      <c r="AL202" s="42">
        <f>DATA!AZ191</f>
        <v>0</v>
      </c>
      <c r="AM202" s="67" t="str">
        <f>DATA!BA191</f>
        <v>Pembentukan lahan pertanian padi baru di 34 provinsi, meliputi: identifikasi calon petani dan calon lokasi (CPCL), survey/investigasi, penetapan lokasi, penyiapan lahan (land clearing and land leveling), bantuan sarana produksi, dan pertanian untuk budidaya padi.</v>
      </c>
    </row>
    <row r="203" spans="1:39" s="6" customFormat="1" ht="76.5" hidden="1">
      <c r="A203" s="6">
        <f>DATA!A192</f>
        <v>138</v>
      </c>
      <c r="B203" s="6">
        <f>DATA!B192</f>
        <v>0</v>
      </c>
      <c r="C203" s="6" t="str">
        <f>DATA!D192</f>
        <v>NON-INFRASTRUKTUR</v>
      </c>
      <c r="D203" s="6">
        <f>DATA!E192</f>
        <v>13</v>
      </c>
      <c r="E203" s="6" t="str">
        <f>DATA!F192</f>
        <v>Kementerian Pertanian</v>
      </c>
      <c r="F203" s="6" t="str">
        <f>DATA!H192</f>
        <v>Provision and Development of Agriculture Infrastructure Program</v>
      </c>
      <c r="G203" s="6" t="str">
        <f>DATA!I192</f>
        <v>A</v>
      </c>
      <c r="H203" s="6" t="str">
        <f>DATA!J192</f>
        <v>Program Penyediaan dan Pengembangan Prasarana dan Sarana Pertanian</v>
      </c>
      <c r="I203" s="6">
        <f>DATA!K192</f>
        <v>1</v>
      </c>
      <c r="J203" s="38"/>
      <c r="K203" s="39"/>
      <c r="L203" s="39"/>
      <c r="M203" s="38"/>
      <c r="N203" s="67" t="str">
        <f>DATA!L192</f>
        <v>Extensification of New Paddy Field Area</v>
      </c>
      <c r="O203" s="42">
        <f>DATA!Q192</f>
        <v>0.33333333333333331</v>
      </c>
      <c r="P203" s="42">
        <f>DATA!R192</f>
        <v>0</v>
      </c>
      <c r="Q203" s="42">
        <f>DATA!S192</f>
        <v>0</v>
      </c>
      <c r="R203" s="83">
        <f>DATA!T192</f>
        <v>0</v>
      </c>
      <c r="S203" s="83"/>
      <c r="T203" s="83">
        <f>DATA!V192</f>
        <v>0</v>
      </c>
      <c r="U203" s="83">
        <f>DATA!W192</f>
        <v>0</v>
      </c>
      <c r="V203" s="83">
        <f>DATA!X192</f>
        <v>0</v>
      </c>
      <c r="W203" s="84" t="str">
        <f>DATA!Y192</f>
        <v>IDB</v>
      </c>
      <c r="X203" s="42" t="str">
        <f>DATA!Z192</f>
        <v>Multilateral</v>
      </c>
      <c r="Y203" s="83">
        <f>DATA!AA192</f>
        <v>125000000</v>
      </c>
      <c r="Z203" s="83">
        <f>DATA!AG192</f>
        <v>0</v>
      </c>
      <c r="AA203" s="42" t="str">
        <f>DATA!AH192</f>
        <v>Tanpa keterangan</v>
      </c>
      <c r="AB203" s="67" t="str">
        <f>DATA!AI192</f>
        <v>-</v>
      </c>
      <c r="AC203" s="67" t="str">
        <f>DATA!AJ192</f>
        <v>-</v>
      </c>
      <c r="AD203" s="115" t="str">
        <f>DATA!AK192</f>
        <v>-</v>
      </c>
      <c r="AE203" s="67" t="str">
        <f>DATA!AL192</f>
        <v>-</v>
      </c>
      <c r="AF203" s="42">
        <f>DATA!AM192</f>
        <v>0</v>
      </c>
      <c r="AG203" s="42" t="str">
        <f>DATA!AN192</f>
        <v>dalam proses
(penyusunan FS)</v>
      </c>
      <c r="AH203" s="42" t="str">
        <f>DATA!AO192</f>
        <v>belum ada keterangan</v>
      </c>
      <c r="AI203" s="42" t="str">
        <f>DATA!AP192</f>
        <v>belum ada proses tender/lelang</v>
      </c>
      <c r="AJ203" s="42" t="str">
        <f>DATA!AY192</f>
        <v>Surat Plh. Kepala Pusat Kem.Pertanian nomor 246/KL.230/A.6.3/09/2015 tgl 9 September 2015</v>
      </c>
      <c r="AK203" s="42" t="e">
        <f>DATA!#REF!</f>
        <v>#REF!</v>
      </c>
      <c r="AL203" s="42">
        <f>DATA!AZ192</f>
        <v>0</v>
      </c>
      <c r="AM203" s="67" t="str">
        <f>DATA!BA192</f>
        <v>Pembentukan lahan pertanian padi baru di 34 provinsi, meliputi: identifikasi calon petani dan calon lokasi (CPCL), survey/investigasi, penetapan lokasi, penyiapan lahan (land clearing and land leveling), bantuan sarana produksi, dan pertanian untuk budidaya padi.</v>
      </c>
    </row>
    <row r="204" spans="1:39" s="6" customFormat="1" ht="76.5" hidden="1">
      <c r="A204" s="6">
        <f>DATA!A193</f>
        <v>139</v>
      </c>
      <c r="B204" s="6">
        <f>DATA!B193</f>
        <v>0</v>
      </c>
      <c r="C204" s="6" t="str">
        <f>DATA!D193</f>
        <v>NON-INFRASTRUKTUR</v>
      </c>
      <c r="D204" s="6">
        <f>DATA!E193</f>
        <v>13</v>
      </c>
      <c r="E204" s="6" t="str">
        <f>DATA!F193</f>
        <v>Kementerian Pertanian</v>
      </c>
      <c r="F204" s="6" t="str">
        <f>DATA!H193</f>
        <v>Provision and Development of Agriculture Infrastructure Program</v>
      </c>
      <c r="G204" s="6" t="str">
        <f>DATA!I193</f>
        <v>A</v>
      </c>
      <c r="H204" s="6" t="str">
        <f>DATA!J193</f>
        <v>Program Penyediaan dan Pengembangan Prasarana dan Sarana Pertanian</v>
      </c>
      <c r="I204" s="6">
        <f>DATA!K193</f>
        <v>1</v>
      </c>
      <c r="J204" s="38"/>
      <c r="K204" s="39"/>
      <c r="L204" s="39"/>
      <c r="M204" s="43"/>
      <c r="N204" s="67" t="str">
        <f>DATA!L193</f>
        <v>Extensification of New Paddy Field Area</v>
      </c>
      <c r="O204" s="42">
        <f>DATA!Q193</f>
        <v>0.33333333333333331</v>
      </c>
      <c r="P204" s="42">
        <f>DATA!R193</f>
        <v>0</v>
      </c>
      <c r="Q204" s="42">
        <f>DATA!S193</f>
        <v>0</v>
      </c>
      <c r="R204" s="83">
        <f>DATA!T193</f>
        <v>0</v>
      </c>
      <c r="S204" s="83"/>
      <c r="T204" s="83">
        <f>DATA!V193</f>
        <v>0</v>
      </c>
      <c r="U204" s="83">
        <f>DATA!W193</f>
        <v>0</v>
      </c>
      <c r="V204" s="83">
        <f>DATA!X193</f>
        <v>0</v>
      </c>
      <c r="W204" s="84" t="str">
        <f>DATA!Y193</f>
        <v>Belum Ada Indikasi</v>
      </c>
      <c r="X204" s="42" t="str">
        <f>DATA!Z193</f>
        <v>Belum Ada Indikasi</v>
      </c>
      <c r="Y204" s="83">
        <f>DATA!AA193</f>
        <v>461166600</v>
      </c>
      <c r="Z204" s="83">
        <f>DATA!AG193</f>
        <v>-461166600</v>
      </c>
      <c r="AA204" s="42" t="str">
        <f>DATA!AH193</f>
        <v>Tanpa keterangan</v>
      </c>
      <c r="AB204" s="67" t="str">
        <f>DATA!AI193</f>
        <v>-</v>
      </c>
      <c r="AC204" s="67" t="str">
        <f>DATA!AJ193</f>
        <v>-</v>
      </c>
      <c r="AD204" s="115" t="str">
        <f>DATA!AK193</f>
        <v>-</v>
      </c>
      <c r="AE204" s="67" t="str">
        <f>DATA!AL193</f>
        <v>-</v>
      </c>
      <c r="AF204" s="42">
        <f>DATA!AM193</f>
        <v>0</v>
      </c>
      <c r="AG204" s="42" t="str">
        <f>DATA!AN193</f>
        <v>belum ada keterangan</v>
      </c>
      <c r="AH204" s="42" t="str">
        <f>DATA!AO193</f>
        <v>belum ada keterangan</v>
      </c>
      <c r="AI204" s="42" t="str">
        <f>DATA!AP193</f>
        <v>belum ada proses tender/lelang</v>
      </c>
      <c r="AJ204" s="42" t="str">
        <f>DATA!AY193</f>
        <v>Surat Plh. Kepala Pusat Kem.Pertanian nomor 246/KL.230/A.6.3/09/2015 tgl 9 September 2015</v>
      </c>
      <c r="AK204" s="42" t="e">
        <f>DATA!#REF!</f>
        <v>#REF!</v>
      </c>
      <c r="AL204" s="42">
        <f>DATA!AZ193</f>
        <v>0</v>
      </c>
      <c r="AM204" s="67" t="str">
        <f>DATA!BA193</f>
        <v>Pembentukan lahan pertanian padi baru di 34 provinsi, meliputi: identifikasi calon petani dan calon lokasi (CPCL), survey/investigasi, penetapan lokasi, penyiapan lahan (land clearing and land leveling), bantuan sarana produksi, dan pertanian untuk budidaya padi.</v>
      </c>
    </row>
    <row r="205" spans="1:39" ht="60.75" hidden="1" customHeight="1">
      <c r="A205" s="10">
        <f>DATA!A194</f>
        <v>140</v>
      </c>
      <c r="B205" s="10">
        <f>DATA!B194</f>
        <v>0</v>
      </c>
      <c r="C205" s="10" t="str">
        <f>DATA!D194</f>
        <v>NON-INFRASTRUKTUR</v>
      </c>
      <c r="D205" s="10">
        <f>DATA!E194</f>
        <v>13</v>
      </c>
      <c r="E205" s="10" t="str">
        <f>DATA!F194</f>
        <v>Kementerian Pertanian</v>
      </c>
      <c r="F205" s="10" t="str">
        <f>DATA!H194</f>
        <v>Provision and Development of Agriculture Infrastructure Program</v>
      </c>
      <c r="G205" s="10" t="str">
        <f>DATA!I194</f>
        <v>A</v>
      </c>
      <c r="H205" s="10" t="str">
        <f>DATA!J194</f>
        <v>Program Penyediaan dan Pengembangan Prasarana dan Sarana Pertanian</v>
      </c>
      <c r="I205" s="10">
        <f>DATA!K194</f>
        <v>2</v>
      </c>
      <c r="J205" s="33"/>
      <c r="K205" s="34"/>
      <c r="L205" s="34"/>
      <c r="M205" s="36">
        <f>DATA!K194</f>
        <v>2</v>
      </c>
      <c r="N205" s="37" t="str">
        <f>DATA!L194</f>
        <v>Upland Development for National Food Security</v>
      </c>
      <c r="O205" s="20">
        <f>DATA!Q194</f>
        <v>0</v>
      </c>
      <c r="P205" s="20">
        <f>DATA!R194</f>
        <v>1</v>
      </c>
      <c r="Q205" s="20">
        <f>DATA!S194</f>
        <v>110</v>
      </c>
      <c r="R205" s="77">
        <f>DATA!T194</f>
        <v>535676000</v>
      </c>
      <c r="S205" s="77"/>
      <c r="T205" s="77">
        <f>DATA!V194</f>
        <v>53567600</v>
      </c>
      <c r="U205" s="77">
        <f>DATA!W194</f>
        <v>0</v>
      </c>
      <c r="V205" s="77">
        <f>DATA!X194</f>
        <v>589243600</v>
      </c>
      <c r="W205" s="78" t="str">
        <f>DATA!Y194</f>
        <v>-</v>
      </c>
      <c r="X205" s="20">
        <f>DATA!Z194</f>
        <v>0</v>
      </c>
      <c r="Y205" s="77">
        <f>DATA!AA194</f>
        <v>535676000</v>
      </c>
      <c r="Z205" s="77">
        <f>DATA!AG194</f>
        <v>-285676000</v>
      </c>
      <c r="AA205" s="20" t="str">
        <f>DATA!AH194</f>
        <v>-</v>
      </c>
      <c r="AB205" s="37" t="str">
        <f>DATA!AI194</f>
        <v>-</v>
      </c>
      <c r="AC205" s="37" t="str">
        <f>DATA!AJ194</f>
        <v xml:space="preserve">TOR </v>
      </c>
      <c r="AD205" s="115">
        <f>DATA!AK194</f>
        <v>0</v>
      </c>
      <c r="AE205" s="37" t="str">
        <f>DATA!AL194</f>
        <v>-</v>
      </c>
      <c r="AF205" s="20">
        <f>DATA!AM194</f>
        <v>0</v>
      </c>
      <c r="AG205" s="20" t="str">
        <f>DATA!AN194</f>
        <v>-</v>
      </c>
      <c r="AH205" s="20" t="str">
        <f>DATA!AO194</f>
        <v>tanpa keterangan</v>
      </c>
      <c r="AI205" s="20" t="str">
        <f>DATA!AP194</f>
        <v>belum ada proses tender/lelang</v>
      </c>
      <c r="AJ205" s="20" t="str">
        <f>DATA!AY194</f>
        <v>Surat Plh. Kepala Pusat Kem.Pertanian nomor 246/KL.230/A.6.3/09/2015 tgl 9 September 2015</v>
      </c>
      <c r="AK205" s="20" t="e">
        <f>DATA!#REF!</f>
        <v>#REF!</v>
      </c>
      <c r="AL205" s="20">
        <f>DATA!AZ194</f>
        <v>0</v>
      </c>
      <c r="AM205" s="37" t="str">
        <f>DATA!BA194</f>
        <v>Rencana penggunaan lahan di dataran tinggi berdasarkan kesesuaiannya, konservasi lahan dan air di dataran tinggi, dan budidaya pertanian ramah lingkungan untuk dataran tinggi</v>
      </c>
    </row>
    <row r="206" spans="1:39" s="6" customFormat="1" ht="61.5" hidden="1" customHeight="1">
      <c r="A206" s="6">
        <f>DATA!A195</f>
        <v>140</v>
      </c>
      <c r="B206" s="6">
        <f>DATA!B195</f>
        <v>0</v>
      </c>
      <c r="C206" s="6" t="str">
        <f>DATA!D195</f>
        <v>NON-INFRASTRUKTUR</v>
      </c>
      <c r="D206" s="6">
        <f>DATA!E195</f>
        <v>13</v>
      </c>
      <c r="E206" s="6" t="str">
        <f>DATA!F195</f>
        <v>Kementerian Pertanian</v>
      </c>
      <c r="F206" s="6" t="str">
        <f>DATA!H195</f>
        <v>Provision and Development of Agriculture Infrastructure Program</v>
      </c>
      <c r="G206" s="6" t="str">
        <f>DATA!I195</f>
        <v>A</v>
      </c>
      <c r="H206" s="6" t="str">
        <f>DATA!J195</f>
        <v>Program Penyediaan dan Pengembangan Prasarana dan Sarana Pertanian</v>
      </c>
      <c r="I206" s="6">
        <f>DATA!K195</f>
        <v>2</v>
      </c>
      <c r="J206" s="38"/>
      <c r="K206" s="39"/>
      <c r="L206" s="39"/>
      <c r="M206" s="40"/>
      <c r="N206" s="67" t="str">
        <f>DATA!L195</f>
        <v>Upland Development for National Food Security</v>
      </c>
      <c r="O206" s="42">
        <f>DATA!Q195</f>
        <v>0.33333333333333331</v>
      </c>
      <c r="P206" s="42">
        <f>DATA!R195</f>
        <v>0</v>
      </c>
      <c r="Q206" s="42">
        <f>DATA!S195</f>
        <v>0</v>
      </c>
      <c r="R206" s="83">
        <f>DATA!T195</f>
        <v>0</v>
      </c>
      <c r="S206" s="83"/>
      <c r="T206" s="83">
        <f>DATA!V195</f>
        <v>0</v>
      </c>
      <c r="U206" s="83">
        <f>DATA!W195</f>
        <v>0</v>
      </c>
      <c r="V206" s="83">
        <f>DATA!X195</f>
        <v>0</v>
      </c>
      <c r="W206" s="84" t="str">
        <f>DATA!Y195</f>
        <v>Bank Dunia</v>
      </c>
      <c r="X206" s="42" t="str">
        <f>DATA!Z195</f>
        <v>Multilateral</v>
      </c>
      <c r="Y206" s="83">
        <f>DATA!AA195</f>
        <v>125000000</v>
      </c>
      <c r="Z206" s="83">
        <f>DATA!AG195</f>
        <v>0</v>
      </c>
      <c r="AA206" s="42" t="str">
        <f>DATA!AH195</f>
        <v>Tanpa keterangan</v>
      </c>
      <c r="AB206" s="67" t="str">
        <f>DATA!AI195</f>
        <v>-</v>
      </c>
      <c r="AC206" s="67" t="str">
        <f>DATA!AJ195</f>
        <v xml:space="preserve">TOR </v>
      </c>
      <c r="AD206" s="115">
        <f>DATA!AK195</f>
        <v>0</v>
      </c>
      <c r="AE206" s="67" t="str">
        <f>DATA!AL195</f>
        <v>-</v>
      </c>
      <c r="AF206" s="42">
        <f>DATA!AM195</f>
        <v>0</v>
      </c>
      <c r="AG206" s="42" t="str">
        <f>DATA!AN195</f>
        <v>dalam proses
(penyusunan FS)</v>
      </c>
      <c r="AH206" s="42" t="str">
        <f>DATA!AO195</f>
        <v>belum ada keterangan</v>
      </c>
      <c r="AI206" s="42" t="str">
        <f>DATA!AP195</f>
        <v>belum ada proses tender/lelang</v>
      </c>
      <c r="AJ206" s="42" t="str">
        <f>DATA!AY195</f>
        <v>Surat Plh. Kepala Pusat Kem.Pertanian nomor 246/KL.230/A.6.3/09/2015 tgl 9 September 2015</v>
      </c>
      <c r="AK206" s="42" t="e">
        <f>DATA!#REF!</f>
        <v>#REF!</v>
      </c>
      <c r="AL206" s="42">
        <f>DATA!AZ195</f>
        <v>0</v>
      </c>
      <c r="AM206" s="67" t="str">
        <f>DATA!BA195</f>
        <v>Rencana penggunaan lahan di dataran tinggi berdasarkan kesesuaiannya, konservasi lahan dan air di dataran tinggi, dan budidaya pertanian ramah lingkungan untuk dataran tinggi</v>
      </c>
    </row>
    <row r="207" spans="1:39" s="6" customFormat="1" ht="51" hidden="1">
      <c r="A207" s="6">
        <f>DATA!A196</f>
        <v>141</v>
      </c>
      <c r="B207" s="6">
        <f>DATA!B196</f>
        <v>0</v>
      </c>
      <c r="C207" s="6" t="str">
        <f>DATA!D196</f>
        <v>NON-INFRASTRUKTUR</v>
      </c>
      <c r="D207" s="6">
        <f>DATA!E196</f>
        <v>13</v>
      </c>
      <c r="E207" s="6" t="str">
        <f>DATA!F196</f>
        <v>Kementerian Pertanian</v>
      </c>
      <c r="F207" s="6" t="str">
        <f>DATA!H196</f>
        <v>Provision and Development of Agriculture Infrastructure Program</v>
      </c>
      <c r="G207" s="6" t="str">
        <f>DATA!I196</f>
        <v>A</v>
      </c>
      <c r="H207" s="6" t="str">
        <f>DATA!J196</f>
        <v>Program Penyediaan dan Pengembangan Prasarana dan Sarana Pertanian</v>
      </c>
      <c r="I207" s="6">
        <f>DATA!K196</f>
        <v>2</v>
      </c>
      <c r="J207" s="38"/>
      <c r="K207" s="39"/>
      <c r="L207" s="39"/>
      <c r="M207" s="38"/>
      <c r="N207" s="67" t="str">
        <f>DATA!L196</f>
        <v>Upland Development for National Food Security</v>
      </c>
      <c r="O207" s="42">
        <f>DATA!Q196</f>
        <v>0.33333333333333331</v>
      </c>
      <c r="P207" s="42">
        <f>DATA!R196</f>
        <v>0</v>
      </c>
      <c r="Q207" s="42">
        <f>DATA!S196</f>
        <v>0</v>
      </c>
      <c r="R207" s="83">
        <f>DATA!T196</f>
        <v>0</v>
      </c>
      <c r="S207" s="83"/>
      <c r="T207" s="83">
        <f>DATA!V196</f>
        <v>0</v>
      </c>
      <c r="U207" s="83">
        <f>DATA!W196</f>
        <v>0</v>
      </c>
      <c r="V207" s="83">
        <f>DATA!X196</f>
        <v>0</v>
      </c>
      <c r="W207" s="84" t="str">
        <f>DATA!Y196</f>
        <v>IDB</v>
      </c>
      <c r="X207" s="42" t="str">
        <f>DATA!Z196</f>
        <v>Multilateral</v>
      </c>
      <c r="Y207" s="83">
        <f>DATA!AA196</f>
        <v>125000000</v>
      </c>
      <c r="Z207" s="83">
        <f>DATA!AG196</f>
        <v>0</v>
      </c>
      <c r="AA207" s="42" t="str">
        <f>DATA!AH196</f>
        <v>Tanpa keterangan</v>
      </c>
      <c r="AB207" s="67" t="str">
        <f>DATA!AI196</f>
        <v>-</v>
      </c>
      <c r="AC207" s="67" t="str">
        <f>DATA!AJ196</f>
        <v>-</v>
      </c>
      <c r="AD207" s="115" t="str">
        <f>DATA!AK196</f>
        <v>-</v>
      </c>
      <c r="AE207" s="67" t="str">
        <f>DATA!AL196</f>
        <v>-</v>
      </c>
      <c r="AF207" s="42">
        <f>DATA!AM196</f>
        <v>0</v>
      </c>
      <c r="AG207" s="42" t="str">
        <f>DATA!AN196</f>
        <v>dalam proses
(penyusunan FS)</v>
      </c>
      <c r="AH207" s="42" t="str">
        <f>DATA!AO196</f>
        <v>belum ada keterangan</v>
      </c>
      <c r="AI207" s="42" t="str">
        <f>DATA!AP196</f>
        <v>belum ada proses tender/lelang</v>
      </c>
      <c r="AJ207" s="42" t="str">
        <f>DATA!AY196</f>
        <v>Surat Plh. Kepala Pusat Kem.Pertanian nomor 246/KL.230/A.6.3/09/2015 tgl 9 September 2015</v>
      </c>
      <c r="AK207" s="42" t="e">
        <f>DATA!#REF!</f>
        <v>#REF!</v>
      </c>
      <c r="AL207" s="42">
        <f>DATA!AZ196</f>
        <v>0</v>
      </c>
      <c r="AM207" s="67" t="str">
        <f>DATA!BA196</f>
        <v>Rencana penggunaan lahan di dataran tinggi berdasarkan kesesuaiannya, konservasi lahan dan air di dataran tinggi, dan budidaya pertanian ramah lingkungan untuk dataran tinggi</v>
      </c>
    </row>
    <row r="208" spans="1:39" s="6" customFormat="1" ht="65.25" hidden="1" customHeight="1">
      <c r="A208" s="6">
        <f>DATA!A197</f>
        <v>142</v>
      </c>
      <c r="B208" s="6">
        <f>DATA!B197</f>
        <v>0</v>
      </c>
      <c r="C208" s="6" t="str">
        <f>DATA!D197</f>
        <v>NON-INFRASTRUKTUR</v>
      </c>
      <c r="D208" s="6">
        <f>DATA!E197</f>
        <v>13</v>
      </c>
      <c r="E208" s="6" t="str">
        <f>DATA!F197</f>
        <v>Kementerian Pertanian</v>
      </c>
      <c r="F208" s="6" t="str">
        <f>DATA!H197</f>
        <v>Provision and Development of Agriculture Infrastructure Program</v>
      </c>
      <c r="G208" s="6" t="str">
        <f>DATA!I197</f>
        <v>A</v>
      </c>
      <c r="H208" s="6" t="str">
        <f>DATA!J197</f>
        <v>Program Penyediaan dan Pengembangan Prasarana dan Sarana Pertanian</v>
      </c>
      <c r="I208" s="6">
        <f>DATA!K197</f>
        <v>2</v>
      </c>
      <c r="J208" s="38"/>
      <c r="K208" s="39"/>
      <c r="L208" s="71"/>
      <c r="M208" s="43"/>
      <c r="N208" s="67" t="str">
        <f>DATA!L197</f>
        <v>Upland Development for National Food Security</v>
      </c>
      <c r="O208" s="42">
        <f>DATA!Q197</f>
        <v>0.33333333333333331</v>
      </c>
      <c r="P208" s="42">
        <f>DATA!R197</f>
        <v>0</v>
      </c>
      <c r="Q208" s="42">
        <f>DATA!S197</f>
        <v>0</v>
      </c>
      <c r="R208" s="83">
        <f>DATA!T197</f>
        <v>0</v>
      </c>
      <c r="S208" s="83"/>
      <c r="T208" s="83">
        <f>DATA!V197</f>
        <v>0</v>
      </c>
      <c r="U208" s="83">
        <f>DATA!W197</f>
        <v>0</v>
      </c>
      <c r="V208" s="83">
        <f>DATA!X197</f>
        <v>0</v>
      </c>
      <c r="W208" s="84" t="str">
        <f>DATA!Y197</f>
        <v>Belum Ada Indikasi</v>
      </c>
      <c r="X208" s="42" t="str">
        <f>DATA!Z197</f>
        <v>Belum Ada Indikasi</v>
      </c>
      <c r="Y208" s="83">
        <f>DATA!AA197</f>
        <v>285676000</v>
      </c>
      <c r="Z208" s="83">
        <f>DATA!AG197</f>
        <v>-285676000</v>
      </c>
      <c r="AA208" s="42" t="str">
        <f>DATA!AH197</f>
        <v>Tanpa keterangan</v>
      </c>
      <c r="AB208" s="67" t="str">
        <f>DATA!AI197</f>
        <v>-</v>
      </c>
      <c r="AC208" s="67" t="str">
        <f>DATA!AJ197</f>
        <v>-</v>
      </c>
      <c r="AD208" s="115" t="str">
        <f>DATA!AK197</f>
        <v>-</v>
      </c>
      <c r="AE208" s="67" t="str">
        <f>DATA!AL197</f>
        <v>-</v>
      </c>
      <c r="AF208" s="42">
        <f>DATA!AM197</f>
        <v>0</v>
      </c>
      <c r="AG208" s="42" t="str">
        <f>DATA!AN197</f>
        <v>belum ada keterangan</v>
      </c>
      <c r="AH208" s="42" t="str">
        <f>DATA!AO197</f>
        <v>belum ada keterangan</v>
      </c>
      <c r="AI208" s="42" t="str">
        <f>DATA!AP197</f>
        <v>belum ada proses tender/lelang</v>
      </c>
      <c r="AJ208" s="42" t="str">
        <f>DATA!AY197</f>
        <v>Surat Plh. Kepala Pusat Kem.Pertanian nomor 246/KL.230/A.6.3/09/2015 tgl 9 September 2015</v>
      </c>
      <c r="AK208" s="42" t="e">
        <f>DATA!#REF!</f>
        <v>#REF!</v>
      </c>
      <c r="AL208" s="42">
        <f>DATA!AZ197</f>
        <v>0</v>
      </c>
      <c r="AM208" s="67" t="str">
        <f>DATA!BA197</f>
        <v>Rencana penggunaan lahan di dataran tinggi berdasarkan kesesuaiannya, konservasi lahan dan air di dataran tinggi, dan budidaya pertanian ramah lingkungan untuk dataran tinggi</v>
      </c>
    </row>
    <row r="209" spans="1:39" s="5" customFormat="1" ht="33.75" hidden="1" customHeight="1">
      <c r="J209" s="28"/>
      <c r="K209" s="50"/>
      <c r="L209" s="30" t="str">
        <f>DATA!I198</f>
        <v>B</v>
      </c>
      <c r="M209" s="31" t="str">
        <f>DATA!J198</f>
        <v>Program Peningkatan Penyuluhan, Pendidikan, dan Pelatihan Pertanian</v>
      </c>
      <c r="N209" s="51"/>
      <c r="O209" s="31"/>
      <c r="P209" s="31"/>
      <c r="Q209" s="31"/>
      <c r="R209" s="81">
        <f>+R210+R211</f>
        <v>98900000</v>
      </c>
      <c r="S209" s="81"/>
      <c r="T209" s="81">
        <f t="shared" ref="T209:Z209" si="29">+T210+T211</f>
        <v>19780000</v>
      </c>
      <c r="U209" s="81">
        <f t="shared" si="29"/>
        <v>500000</v>
      </c>
      <c r="V209" s="81">
        <f t="shared" si="29"/>
        <v>119180000</v>
      </c>
      <c r="W209" s="81"/>
      <c r="X209" s="81" t="e">
        <f t="shared" si="29"/>
        <v>#VALUE!</v>
      </c>
      <c r="Y209" s="81">
        <f t="shared" si="29"/>
        <v>98900000</v>
      </c>
      <c r="Z209" s="81">
        <f t="shared" si="29"/>
        <v>0</v>
      </c>
      <c r="AA209" s="31"/>
      <c r="AB209" s="32"/>
      <c r="AC209" s="32"/>
      <c r="AD209" s="115" t="str">
        <f>DATA!AK198</f>
        <v>-</v>
      </c>
      <c r="AE209" s="32"/>
      <c r="AF209" s="31"/>
      <c r="AG209" s="31"/>
      <c r="AH209" s="31"/>
      <c r="AI209" s="31"/>
      <c r="AJ209" s="31"/>
      <c r="AK209" s="31"/>
      <c r="AL209" s="31"/>
      <c r="AM209" s="32"/>
    </row>
    <row r="210" spans="1:39" ht="106.5" hidden="1" customHeight="1">
      <c r="A210" s="10">
        <f>DATA!A198</f>
        <v>143</v>
      </c>
      <c r="B210" s="10">
        <f>DATA!B198</f>
        <v>0</v>
      </c>
      <c r="C210" s="10" t="str">
        <f>DATA!D198</f>
        <v>NON-INFRASTRUKTUR</v>
      </c>
      <c r="D210" s="10">
        <f>DATA!E198</f>
        <v>13</v>
      </c>
      <c r="E210" s="10" t="str">
        <f>DATA!F198</f>
        <v>Kementerian Pertanian</v>
      </c>
      <c r="F210" s="10" t="str">
        <f>DATA!H198</f>
        <v>Agriculture Extention, Education, and Training Improvement Program</v>
      </c>
      <c r="G210" s="10" t="str">
        <f>DATA!I198</f>
        <v>B</v>
      </c>
      <c r="H210" s="10" t="str">
        <f>DATA!J198</f>
        <v>Program Peningkatan Penyuluhan, Pendidikan, dan Pelatihan Pertanian</v>
      </c>
      <c r="I210" s="10">
        <f>DATA!K198</f>
        <v>1</v>
      </c>
      <c r="J210" s="33"/>
      <c r="K210" s="34"/>
      <c r="L210" s="35"/>
      <c r="M210" s="36">
        <f>DATA!K198</f>
        <v>1</v>
      </c>
      <c r="N210" s="37" t="str">
        <f>DATA!L198</f>
        <v>Young Enterpreneur Growth and Development for Sustainable Agricultural Development</v>
      </c>
      <c r="O210" s="20">
        <f>DATA!Q198</f>
        <v>1</v>
      </c>
      <c r="P210" s="20">
        <f>DATA!R198</f>
        <v>1</v>
      </c>
      <c r="Q210" s="20">
        <f>DATA!S198</f>
        <v>111</v>
      </c>
      <c r="R210" s="77">
        <f>DATA!T198</f>
        <v>68900000</v>
      </c>
      <c r="S210" s="77"/>
      <c r="T210" s="77">
        <f>DATA!V198</f>
        <v>13780000</v>
      </c>
      <c r="U210" s="77">
        <f>DATA!W198</f>
        <v>0</v>
      </c>
      <c r="V210" s="77">
        <f>DATA!X198</f>
        <v>82680000</v>
      </c>
      <c r="W210" s="78" t="str">
        <f>DATA!Y198</f>
        <v>IFAD</v>
      </c>
      <c r="X210" s="20" t="str">
        <f>DATA!Z198</f>
        <v>Multilateral</v>
      </c>
      <c r="Y210" s="77">
        <f>DATA!AA198</f>
        <v>68900000</v>
      </c>
      <c r="Z210" s="77">
        <f>DATA!AG198</f>
        <v>0</v>
      </c>
      <c r="AA210" s="20" t="str">
        <f>DATA!AH198</f>
        <v>Tanpa keterangan</v>
      </c>
      <c r="AB210" s="37" t="str">
        <f>DATA!AI198</f>
        <v>Dalam tahap diskusi awal dengan pihak lender untuk penyempurnaan proposal</v>
      </c>
      <c r="AC210" s="37" t="str">
        <f>DATA!AJ198</f>
        <v>-</v>
      </c>
      <c r="AD210" s="115" t="str">
        <f>DATA!AK199</f>
        <v>-</v>
      </c>
      <c r="AE210" s="37" t="str">
        <f>DATA!AL198</f>
        <v>-</v>
      </c>
      <c r="AF210" s="20">
        <f>DATA!AM198</f>
        <v>0</v>
      </c>
      <c r="AG210" s="20" t="str">
        <f>DATA!AN198</f>
        <v>belum ada keterangan</v>
      </c>
      <c r="AH210" s="20" t="str">
        <f>DATA!AO198</f>
        <v>belum ada keterangan</v>
      </c>
      <c r="AI210" s="20" t="str">
        <f>DATA!AP198</f>
        <v>belum ada proses tender/lelang</v>
      </c>
      <c r="AJ210" s="20" t="str">
        <f>DATA!AY198</f>
        <v>Surat Plh. Kepala Pusat Kem.Pertanian nomor 246/KL.230/A.6.3/09/2015 tgl 9 September 2015</v>
      </c>
      <c r="AK210" s="20" t="e">
        <f>DATA!#REF!</f>
        <v>#REF!</v>
      </c>
      <c r="AL210" s="20">
        <f>DATA!AZ198</f>
        <v>0</v>
      </c>
      <c r="AM210" s="37"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row>
    <row r="211" spans="1:39" ht="63.75" hidden="1">
      <c r="A211" s="10">
        <f>DATA!A199</f>
        <v>144</v>
      </c>
      <c r="B211" s="10">
        <f>DATA!B199</f>
        <v>0</v>
      </c>
      <c r="C211" s="10" t="str">
        <f>DATA!D199</f>
        <v>NON-INFRASTRUKTUR</v>
      </c>
      <c r="D211" s="10">
        <f>DATA!E199</f>
        <v>13</v>
      </c>
      <c r="E211" s="10" t="str">
        <f>DATA!F199</f>
        <v>Kementerian Pertanian</v>
      </c>
      <c r="F211" s="10" t="str">
        <f>DATA!H199</f>
        <v>Agriculture Extention, Education, and Training Improvement Program</v>
      </c>
      <c r="G211" s="10" t="str">
        <f>DATA!I199</f>
        <v>B</v>
      </c>
      <c r="H211" s="10" t="str">
        <f>DATA!J199</f>
        <v>Program Peningkatan Penyuluhan, Pendidikan, dan Pelatihan Pertanian</v>
      </c>
      <c r="I211" s="10">
        <f>DATA!K199</f>
        <v>2</v>
      </c>
      <c r="J211" s="33"/>
      <c r="K211" s="54"/>
      <c r="L211" s="54"/>
      <c r="M211" s="36">
        <f>DATA!K199</f>
        <v>2</v>
      </c>
      <c r="N211" s="37" t="str">
        <f>DATA!L199</f>
        <v>Rural Empowerment and Agricultural Development (READ) Programme in Sulawesi Island – Phase II</v>
      </c>
      <c r="O211" s="20">
        <f>DATA!Q199</f>
        <v>1</v>
      </c>
      <c r="P211" s="20">
        <f>DATA!R199</f>
        <v>1</v>
      </c>
      <c r="Q211" s="20">
        <f>DATA!S199</f>
        <v>112</v>
      </c>
      <c r="R211" s="77">
        <f>DATA!T199</f>
        <v>30000000</v>
      </c>
      <c r="S211" s="77"/>
      <c r="T211" s="77">
        <f>DATA!V199</f>
        <v>6000000</v>
      </c>
      <c r="U211" s="77">
        <f>DATA!W199</f>
        <v>500000</v>
      </c>
      <c r="V211" s="77">
        <f>DATA!X199</f>
        <v>36500000</v>
      </c>
      <c r="W211" s="78" t="str">
        <f>DATA!Y199</f>
        <v>IFAD</v>
      </c>
      <c r="X211" s="20" t="str">
        <f>DATA!Z199</f>
        <v>Multilateral</v>
      </c>
      <c r="Y211" s="77">
        <f>DATA!AA199</f>
        <v>30000000</v>
      </c>
      <c r="Z211" s="77">
        <f>DATA!AG199</f>
        <v>0</v>
      </c>
      <c r="AA211" s="20" t="str">
        <f>DATA!AH199</f>
        <v>Tanpa keterangan</v>
      </c>
      <c r="AB211" s="37" t="str">
        <f>DATA!AI199</f>
        <v>Dalam tahap diskusi awal dengan pihak lender untuk penyempurnaan proposal</v>
      </c>
      <c r="AC211" s="37" t="str">
        <f>DATA!AJ199</f>
        <v>-</v>
      </c>
      <c r="AD211" s="115" t="str">
        <f>DATA!AK200</f>
        <v>-</v>
      </c>
      <c r="AE211" s="37" t="str">
        <f>DATA!AL199</f>
        <v>-</v>
      </c>
      <c r="AF211" s="20">
        <f>DATA!AM199</f>
        <v>0</v>
      </c>
      <c r="AG211" s="20" t="str">
        <f>DATA!AN199</f>
        <v>belum ada keterangan</v>
      </c>
      <c r="AH211" s="20" t="str">
        <f>DATA!AO199</f>
        <v>belum ada keterangan</v>
      </c>
      <c r="AI211" s="20" t="str">
        <f>DATA!AP199</f>
        <v>belum ada proses tender/lelang</v>
      </c>
      <c r="AJ211" s="20" t="str">
        <f>DATA!AY199</f>
        <v>Surat Plh. Kepala Pusat Kem.Pertanian nomor 246/KL.230/A.6.3/09/2015 tgl 9 September 2015</v>
      </c>
      <c r="AK211" s="20" t="e">
        <f>DATA!#REF!</f>
        <v>#REF!</v>
      </c>
      <c r="AL211" s="20">
        <f>DATA!AZ199</f>
        <v>0</v>
      </c>
      <c r="AM211" s="37" t="str">
        <f>DATA!BA199</f>
        <v>Pemberdayaan masyarakat petani, peningkatan mata pencaharian, dan pembangunan infrastruktur pertanian</v>
      </c>
    </row>
    <row r="212" spans="1:39" s="4" customFormat="1" ht="24.95" hidden="1" customHeight="1">
      <c r="J212" s="107"/>
      <c r="K212" s="25">
        <f>DATA!E200</f>
        <v>14</v>
      </c>
      <c r="L212" s="108" t="str">
        <f>DATA!F200</f>
        <v>Kementerian Ketenagakerjaan</v>
      </c>
      <c r="M212" s="25"/>
      <c r="N212" s="27"/>
      <c r="O212" s="26"/>
      <c r="P212" s="26"/>
      <c r="Q212" s="26"/>
      <c r="R212" s="80">
        <f>+R213</f>
        <v>92308000</v>
      </c>
      <c r="S212" s="80"/>
      <c r="T212" s="80">
        <f t="shared" ref="T212:Z213" si="30">+T213</f>
        <v>2500000</v>
      </c>
      <c r="U212" s="80">
        <f t="shared" si="30"/>
        <v>0</v>
      </c>
      <c r="V212" s="80">
        <f t="shared" si="30"/>
        <v>94808000</v>
      </c>
      <c r="W212" s="120" t="str">
        <f t="shared" si="30"/>
        <v>-</v>
      </c>
      <c r="X212" s="80" t="str">
        <f t="shared" si="30"/>
        <v>Multi Lender</v>
      </c>
      <c r="Y212" s="80">
        <f t="shared" si="30"/>
        <v>92308000</v>
      </c>
      <c r="Z212" s="80">
        <f t="shared" si="30"/>
        <v>0</v>
      </c>
      <c r="AA212" s="26"/>
      <c r="AB212" s="27"/>
      <c r="AC212" s="27"/>
      <c r="AD212" s="27"/>
      <c r="AE212" s="27"/>
      <c r="AF212" s="26"/>
      <c r="AG212" s="26"/>
      <c r="AH212" s="26"/>
      <c r="AI212" s="26"/>
      <c r="AJ212" s="26"/>
      <c r="AK212" s="26"/>
      <c r="AL212" s="26"/>
      <c r="AM212" s="27"/>
    </row>
    <row r="213" spans="1:39" s="5" customFormat="1" ht="33.75" hidden="1" customHeight="1">
      <c r="J213" s="28"/>
      <c r="K213" s="29"/>
      <c r="L213" s="30" t="str">
        <f>DATA!I206</f>
        <v>A</v>
      </c>
      <c r="M213" s="31" t="str">
        <f>DATA!J206</f>
        <v>Program Pengembangan dan Pembinaan Meteorologi, Klimatologi, dan Geofisika</v>
      </c>
      <c r="N213" s="51"/>
      <c r="O213" s="31"/>
      <c r="P213" s="31"/>
      <c r="Q213" s="31"/>
      <c r="R213" s="81">
        <f>+R214</f>
        <v>92308000</v>
      </c>
      <c r="S213" s="81"/>
      <c r="T213" s="81">
        <f t="shared" si="30"/>
        <v>2500000</v>
      </c>
      <c r="U213" s="81">
        <f t="shared" si="30"/>
        <v>0</v>
      </c>
      <c r="V213" s="81">
        <f t="shared" si="30"/>
        <v>94808000</v>
      </c>
      <c r="W213" s="121" t="s">
        <v>21</v>
      </c>
      <c r="X213" s="81" t="str">
        <f t="shared" si="30"/>
        <v>Multi Lender</v>
      </c>
      <c r="Y213" s="81">
        <f t="shared" si="30"/>
        <v>92308000</v>
      </c>
      <c r="Z213" s="81">
        <f t="shared" si="30"/>
        <v>0</v>
      </c>
      <c r="AA213" s="31"/>
      <c r="AB213" s="32"/>
      <c r="AC213" s="32"/>
      <c r="AD213" s="32"/>
      <c r="AE213" s="32"/>
      <c r="AF213" s="31"/>
      <c r="AG213" s="31"/>
      <c r="AH213" s="31"/>
      <c r="AI213" s="31"/>
      <c r="AJ213" s="31"/>
      <c r="AK213" s="31"/>
      <c r="AL213" s="31"/>
      <c r="AM213" s="32"/>
    </row>
    <row r="214" spans="1:39" ht="47.25" hidden="1" customHeight="1">
      <c r="A214" s="10">
        <f>DATA!A200</f>
        <v>145</v>
      </c>
      <c r="B214" s="10">
        <f>DATA!B200</f>
        <v>0</v>
      </c>
      <c r="C214" s="10" t="str">
        <f>DATA!D200</f>
        <v>NON-INFRASTRUKTUR</v>
      </c>
      <c r="D214" s="10">
        <f>DATA!E200</f>
        <v>14</v>
      </c>
      <c r="E214" s="10" t="str">
        <f>DATA!F200</f>
        <v>Kementerian Ketenagakerjaan</v>
      </c>
      <c r="F214" s="10" t="str">
        <f>DATA!H200</f>
        <v>Improving Labor Competitiveness Program</v>
      </c>
      <c r="G214" s="10" t="str">
        <f>DATA!I200</f>
        <v>A</v>
      </c>
      <c r="H214" s="10" t="str">
        <f>DATA!J200</f>
        <v>Program Peningkatan Daya Saing Tenaga Kerja</v>
      </c>
      <c r="I214" s="10">
        <f>DATA!K200</f>
        <v>1</v>
      </c>
      <c r="J214" s="33"/>
      <c r="K214" s="54"/>
      <c r="L214" s="20"/>
      <c r="M214" s="36">
        <f>DATA!K200</f>
        <v>1</v>
      </c>
      <c r="N214" s="37" t="str">
        <f>DATA!L200</f>
        <v>Development of Maritime Vocational Training Centers</v>
      </c>
      <c r="O214" s="20">
        <f>DATA!Q200</f>
        <v>1</v>
      </c>
      <c r="P214" s="20">
        <f>DATA!R200</f>
        <v>1</v>
      </c>
      <c r="Q214" s="20">
        <f>DATA!S200</f>
        <v>113</v>
      </c>
      <c r="R214" s="77">
        <f>DATA!T200</f>
        <v>92308000</v>
      </c>
      <c r="S214" s="77"/>
      <c r="T214" s="77">
        <f>DATA!V200</f>
        <v>2500000</v>
      </c>
      <c r="U214" s="77">
        <f>DATA!W200</f>
        <v>0</v>
      </c>
      <c r="V214" s="77">
        <f>DATA!X200</f>
        <v>94808000</v>
      </c>
      <c r="W214" s="78" t="str">
        <f>DATA!Y200</f>
        <v>Austria/ JICA/ Singapura</v>
      </c>
      <c r="X214" s="20" t="str">
        <f>DATA!Z200</f>
        <v>Multi Lender</v>
      </c>
      <c r="Y214" s="77">
        <f>DATA!AA200</f>
        <v>92308000</v>
      </c>
      <c r="Z214" s="77">
        <f>DATA!AG200</f>
        <v>0</v>
      </c>
      <c r="AA214" s="20" t="str">
        <f>DATA!AH200</f>
        <v>Tanpa keterangan</v>
      </c>
      <c r="AB214" s="37" t="str">
        <f>DATA!AI200</f>
        <v>-</v>
      </c>
      <c r="AC214" s="37" t="str">
        <f>DATA!AJ200</f>
        <v>-</v>
      </c>
      <c r="AD214" s="37" t="str">
        <f>DATA!AK200</f>
        <v>-</v>
      </c>
      <c r="AE214" s="37" t="str">
        <f>DATA!AL200</f>
        <v>-</v>
      </c>
      <c r="AF214" s="20">
        <f>DATA!AM200</f>
        <v>0</v>
      </c>
      <c r="AG214" s="20" t="str">
        <f>DATA!AN200</f>
        <v>belum ada keterangan</v>
      </c>
      <c r="AH214" s="20" t="str">
        <f>DATA!AO200</f>
        <v>belum ada keterangan</v>
      </c>
      <c r="AI214" s="20" t="str">
        <f>DATA!AP200</f>
        <v>belum ada proses tender/lelang</v>
      </c>
      <c r="AJ214" s="20" t="str">
        <f>DATA!AY200</f>
        <v xml:space="preserve">- Semula indikasi pendanaan oleh IDB namun pihak Kem. Naker mengkonfirmasikan bahwa Lender keg ini belum ada indikasi lender
- Konfirmasi Lender Austria didapatkan dari rapat dgn Dit. Multilateral tgl 15 Okt' 2015 di R.SG-4
</v>
      </c>
      <c r="AK214" s="20" t="e">
        <f>DATA!#REF!</f>
        <v>#REF!</v>
      </c>
      <c r="AL214" s="20" t="str">
        <f>DATA!AZ200</f>
        <v>Konfirmasi Lender Austria didapatkan dari rapat dgn Dit. Multilateral tgl 15 Okt' 2015 di R.SG-4</v>
      </c>
      <c r="AM214" s="37" t="str">
        <f>DATA!BA200</f>
        <v>Penyediaan sarana dan peralatan BLK Maritim, rehabilitasi Workshop, pengembangan Software Pelatihan, dan Training of Trainers (ToT)</v>
      </c>
    </row>
    <row r="215" spans="1:39" s="4" customFormat="1" ht="24.95" hidden="1" customHeight="1">
      <c r="J215" s="107"/>
      <c r="K215" s="25">
        <f>DATA!E201</f>
        <v>15</v>
      </c>
      <c r="L215" s="108" t="str">
        <f>DATA!F201</f>
        <v>Kementerian Kelautan dan Perikanan</v>
      </c>
      <c r="M215" s="25"/>
      <c r="N215" s="27"/>
      <c r="O215" s="26"/>
      <c r="P215" s="26"/>
      <c r="Q215" s="26"/>
      <c r="R215" s="80">
        <f>+R216</f>
        <v>107000000</v>
      </c>
      <c r="S215" s="80"/>
      <c r="T215" s="80">
        <f t="shared" ref="T215:Z216" si="31">+T216</f>
        <v>4261000</v>
      </c>
      <c r="U215" s="80">
        <f t="shared" si="31"/>
        <v>2160000</v>
      </c>
      <c r="V215" s="80">
        <f t="shared" si="31"/>
        <v>113421000</v>
      </c>
      <c r="W215" s="80"/>
      <c r="X215" s="80" t="str">
        <f>+X216</f>
        <v>-</v>
      </c>
      <c r="Y215" s="80">
        <f>+Y216</f>
        <v>107000000</v>
      </c>
      <c r="Z215" s="80">
        <f>+Z216</f>
        <v>-107000000</v>
      </c>
      <c r="AA215" s="26"/>
      <c r="AB215" s="27"/>
      <c r="AC215" s="27"/>
      <c r="AD215" s="27"/>
      <c r="AE215" s="27"/>
      <c r="AF215" s="26"/>
      <c r="AG215" s="26"/>
      <c r="AH215" s="26"/>
      <c r="AI215" s="26"/>
      <c r="AJ215" s="26"/>
      <c r="AK215" s="26"/>
      <c r="AL215" s="26"/>
      <c r="AM215" s="27"/>
    </row>
    <row r="216" spans="1:39" s="5" customFormat="1" ht="33.75" hidden="1" customHeight="1">
      <c r="J216" s="28"/>
      <c r="K216" s="116"/>
      <c r="L216" s="30" t="str">
        <f>DATA!I201</f>
        <v>A</v>
      </c>
      <c r="M216" s="31" t="str">
        <f>DATA!J201</f>
        <v>Program Peningkatan Fasilitas Perikanan</v>
      </c>
      <c r="N216" s="51"/>
      <c r="O216" s="31"/>
      <c r="P216" s="31"/>
      <c r="Q216" s="31"/>
      <c r="R216" s="81">
        <f>+R217</f>
        <v>107000000</v>
      </c>
      <c r="S216" s="81"/>
      <c r="T216" s="81">
        <f t="shared" si="31"/>
        <v>4261000</v>
      </c>
      <c r="U216" s="81">
        <f t="shared" si="31"/>
        <v>2160000</v>
      </c>
      <c r="V216" s="81">
        <f t="shared" si="31"/>
        <v>113421000</v>
      </c>
      <c r="W216" s="81"/>
      <c r="X216" s="81" t="str">
        <f t="shared" si="31"/>
        <v>-</v>
      </c>
      <c r="Y216" s="81">
        <f t="shared" si="31"/>
        <v>107000000</v>
      </c>
      <c r="Z216" s="81">
        <f t="shared" si="31"/>
        <v>-107000000</v>
      </c>
      <c r="AA216" s="31"/>
      <c r="AB216" s="32"/>
      <c r="AC216" s="32"/>
      <c r="AD216" s="32"/>
      <c r="AE216" s="32"/>
      <c r="AF216" s="31"/>
      <c r="AG216" s="31"/>
      <c r="AH216" s="31"/>
      <c r="AI216" s="31"/>
      <c r="AJ216" s="31"/>
      <c r="AK216" s="31"/>
      <c r="AL216" s="31"/>
      <c r="AM216" s="32"/>
    </row>
    <row r="217" spans="1:39" ht="58.5" hidden="1" customHeight="1">
      <c r="A217" s="10">
        <f>DATA!A201</f>
        <v>146</v>
      </c>
      <c r="B217" s="10">
        <f>DATA!B201</f>
        <v>0</v>
      </c>
      <c r="C217" s="10" t="str">
        <f>DATA!D201</f>
        <v>NON-INFRASTRUKTUR</v>
      </c>
      <c r="D217" s="10">
        <f>DATA!E201</f>
        <v>15</v>
      </c>
      <c r="E217" s="10" t="str">
        <f>DATA!F201</f>
        <v>Kementerian Kelautan dan Perikanan</v>
      </c>
      <c r="F217" s="10" t="str">
        <f>DATA!H201</f>
        <v>Improvement of Fisheries Facilities Program</v>
      </c>
      <c r="G217" s="10" t="str">
        <f>DATA!I201</f>
        <v>A</v>
      </c>
      <c r="H217" s="10" t="str">
        <f>DATA!J201</f>
        <v>Program Peningkatan Fasilitas Perikanan</v>
      </c>
      <c r="I217" s="10">
        <f>DATA!K201</f>
        <v>1</v>
      </c>
      <c r="J217" s="33"/>
      <c r="K217" s="20"/>
      <c r="L217" s="20"/>
      <c r="M217" s="36">
        <f>DATA!K201</f>
        <v>1</v>
      </c>
      <c r="N217" s="37" t="str">
        <f>DATA!L201</f>
        <v xml:space="preserve">Outer Ring Fishing Ports Development - Phase I </v>
      </c>
      <c r="O217" s="20">
        <f>DATA!Q201</f>
        <v>1</v>
      </c>
      <c r="P217" s="20">
        <f>DATA!R201</f>
        <v>1</v>
      </c>
      <c r="Q217" s="20">
        <f>DATA!S201</f>
        <v>114</v>
      </c>
      <c r="R217" s="77">
        <f>DATA!T201</f>
        <v>107000000</v>
      </c>
      <c r="S217" s="77"/>
      <c r="T217" s="77">
        <f>DATA!V201</f>
        <v>4261000</v>
      </c>
      <c r="U217" s="77">
        <f>DATA!W201</f>
        <v>2160000</v>
      </c>
      <c r="V217" s="77">
        <f>DATA!X201</f>
        <v>113421000</v>
      </c>
      <c r="W217" s="78" t="str">
        <f>DATA!Y201</f>
        <v>-</v>
      </c>
      <c r="X217" s="20" t="str">
        <f>DATA!Z201</f>
        <v>-</v>
      </c>
      <c r="Y217" s="77">
        <f>DATA!AA201</f>
        <v>107000000</v>
      </c>
      <c r="Z217" s="77">
        <f>DATA!AG201</f>
        <v>-107000000</v>
      </c>
      <c r="AA217" s="20" t="str">
        <f>DATA!AH201</f>
        <v>Tanpa keterangan</v>
      </c>
      <c r="AB217" s="37" t="str">
        <f>DATA!AI201</f>
        <v>-</v>
      </c>
      <c r="AC217" s="37" t="str">
        <f>DATA!AJ201</f>
        <v>sudah ada RC</v>
      </c>
      <c r="AD217" s="37" t="str">
        <f>DATA!AK201</f>
        <v>-</v>
      </c>
      <c r="AE217" s="37" t="str">
        <f>DATA!AL201</f>
        <v>-</v>
      </c>
      <c r="AF217" s="20">
        <f>DATA!AM201</f>
        <v>0</v>
      </c>
      <c r="AG217" s="20" t="str">
        <f>DATA!AN201</f>
        <v>dalam proses
(memiliki FS)</v>
      </c>
      <c r="AH217" s="20" t="str">
        <f>DATA!AO201</f>
        <v>belum ada keterangan</v>
      </c>
      <c r="AI217" s="20" t="str">
        <f>DATA!AP201</f>
        <v>belum ada proses tender/lelang</v>
      </c>
      <c r="AJ217" s="20" t="str">
        <f>DATA!AY201</f>
        <v>- berdasarkan data/dokumen pada Bluebook sebelumnya. Semula indikasi lender Prancis, kemudian Kem. KKP mengkonfirmasikan bahwa belum ada indikasi lender
- Belum ada konfirmasi</v>
      </c>
      <c r="AK217" s="20" t="e">
        <f>DATA!#REF!</f>
        <v>#REF!</v>
      </c>
      <c r="AL217" s="20">
        <f>DATA!AZ201</f>
        <v>0</v>
      </c>
      <c r="AM217" s="37" t="str">
        <f>DATA!BA201</f>
        <v>Pekerjaan pembangunan dan peningkatan fasilitas pelabuhan perikanan serta pelatihan dan pendidikan SDM di 8 lokasi prioritas yang memiliki standar pelayanan berskala internasional</v>
      </c>
    </row>
    <row r="218" spans="1:39" s="4" customFormat="1" ht="24.95" hidden="1" customHeight="1">
      <c r="J218" s="107"/>
      <c r="K218" s="25">
        <f>DATA!E206</f>
        <v>16</v>
      </c>
      <c r="L218" s="108" t="str">
        <f>DATA!F206</f>
        <v>Badan Meteorologi, Klimatologi dan Geofisika (BMKG)</v>
      </c>
      <c r="M218" s="25"/>
      <c r="N218" s="27"/>
      <c r="O218" s="26"/>
      <c r="P218" s="26"/>
      <c r="Q218" s="26"/>
      <c r="R218" s="80">
        <f>+R219</f>
        <v>150000000</v>
      </c>
      <c r="S218" s="80"/>
      <c r="T218" s="80">
        <f t="shared" ref="T218:Z219" si="32">+T219</f>
        <v>9000000</v>
      </c>
      <c r="U218" s="80">
        <f t="shared" si="32"/>
        <v>0</v>
      </c>
      <c r="V218" s="80">
        <f t="shared" si="32"/>
        <v>159000000</v>
      </c>
      <c r="W218" s="80">
        <f t="shared" si="32"/>
        <v>0</v>
      </c>
      <c r="X218" s="80">
        <f t="shared" si="32"/>
        <v>0</v>
      </c>
      <c r="Y218" s="80">
        <f t="shared" si="32"/>
        <v>150000000</v>
      </c>
      <c r="Z218" s="80">
        <f t="shared" si="32"/>
        <v>0</v>
      </c>
      <c r="AA218" s="26"/>
      <c r="AB218" s="27"/>
      <c r="AC218" s="27"/>
      <c r="AD218" s="27"/>
      <c r="AE218" s="27"/>
      <c r="AF218" s="26"/>
      <c r="AG218" s="26"/>
      <c r="AH218" s="26"/>
      <c r="AI218" s="26"/>
      <c r="AJ218" s="26"/>
      <c r="AK218" s="26"/>
      <c r="AL218" s="26"/>
      <c r="AM218" s="27"/>
    </row>
    <row r="219" spans="1:39" s="5" customFormat="1" ht="33.75" hidden="1" customHeight="1">
      <c r="J219" s="28"/>
      <c r="K219" s="29"/>
      <c r="L219" s="30" t="str">
        <f>DATA!I206</f>
        <v>A</v>
      </c>
      <c r="M219" s="31" t="str">
        <f>DATA!J206</f>
        <v>Program Pengembangan dan Pembinaan Meteorologi, Klimatologi, dan Geofisika</v>
      </c>
      <c r="N219" s="51"/>
      <c r="O219" s="31"/>
      <c r="P219" s="31"/>
      <c r="Q219" s="31"/>
      <c r="R219" s="81">
        <f>+R220</f>
        <v>150000000</v>
      </c>
      <c r="S219" s="81"/>
      <c r="T219" s="81">
        <f t="shared" si="32"/>
        <v>9000000</v>
      </c>
      <c r="U219" s="81">
        <f t="shared" si="32"/>
        <v>0</v>
      </c>
      <c r="V219" s="81">
        <f t="shared" si="32"/>
        <v>159000000</v>
      </c>
      <c r="W219" s="82"/>
      <c r="X219" s="31"/>
      <c r="Y219" s="81">
        <f t="shared" si="32"/>
        <v>150000000</v>
      </c>
      <c r="Z219" s="81">
        <f t="shared" si="32"/>
        <v>0</v>
      </c>
      <c r="AA219" s="31"/>
      <c r="AB219" s="32"/>
      <c r="AC219" s="32"/>
      <c r="AD219" s="32"/>
      <c r="AE219" s="32"/>
      <c r="AF219" s="31"/>
      <c r="AG219" s="31"/>
      <c r="AH219" s="31"/>
      <c r="AI219" s="31"/>
      <c r="AJ219" s="31"/>
      <c r="AK219" s="31"/>
      <c r="AL219" s="31"/>
      <c r="AM219" s="32"/>
    </row>
    <row r="220" spans="1:39" ht="102" hidden="1">
      <c r="A220" s="10">
        <f>DATA!A206</f>
        <v>147</v>
      </c>
      <c r="B220" s="10">
        <f>DATA!B206</f>
        <v>0</v>
      </c>
      <c r="C220" s="10" t="str">
        <f>DATA!D206</f>
        <v>NON-INFRASTRUKTUR</v>
      </c>
      <c r="D220" s="10">
        <f>DATA!E206</f>
        <v>16</v>
      </c>
      <c r="E220" s="10" t="str">
        <f>DATA!F206</f>
        <v>Badan Meteorologi, Klimatologi dan Geofisika (BMKG)</v>
      </c>
      <c r="F220" s="10" t="str">
        <f>DATA!H206</f>
        <v>Program for Capacity Development and Guidance of Meteorology, Climatology, and Geophysics</v>
      </c>
      <c r="G220" s="10" t="str">
        <f>DATA!I206</f>
        <v>A</v>
      </c>
      <c r="H220" s="10" t="str">
        <f>DATA!J206</f>
        <v>Program Pengembangan dan Pembinaan Meteorologi, Klimatologi, dan Geofisika</v>
      </c>
      <c r="I220" s="10">
        <f>DATA!K206</f>
        <v>1</v>
      </c>
      <c r="J220" s="33"/>
      <c r="K220" s="54"/>
      <c r="L220" s="36"/>
      <c r="M220" s="36">
        <f>DATA!K206</f>
        <v>1</v>
      </c>
      <c r="N220" s="37" t="str">
        <f>DATA!L206</f>
        <v xml:space="preserve">Strengthening Climate and Weather Service Capacity – Phase II:
a) Kegiatan lanjutan dari kegiatan Strengthening BMKG Climate and Weather Services Capacity Phase I
b) Kegiatan pengembangan sistem Layanan Informasi Meteorologi Maritim </v>
      </c>
      <c r="O220" s="20">
        <f>DATA!Q206</f>
        <v>1</v>
      </c>
      <c r="P220" s="20">
        <f>DATA!R206</f>
        <v>1</v>
      </c>
      <c r="Q220" s="20">
        <f>DATA!S206</f>
        <v>115</v>
      </c>
      <c r="R220" s="77">
        <f>DATA!T206</f>
        <v>150000000</v>
      </c>
      <c r="S220" s="77"/>
      <c r="T220" s="77">
        <f>DATA!V206</f>
        <v>9000000</v>
      </c>
      <c r="U220" s="77">
        <f>DATA!W206</f>
        <v>0</v>
      </c>
      <c r="V220" s="77">
        <f>DATA!X206</f>
        <v>159000000</v>
      </c>
      <c r="W220" s="78" t="str">
        <f>DATA!Y206</f>
        <v>US EXIM</v>
      </c>
      <c r="X220" s="20" t="str">
        <f>DATA!Z206</f>
        <v>Bilateral</v>
      </c>
      <c r="Y220" s="77">
        <f>DATA!AA206</f>
        <v>150000000</v>
      </c>
      <c r="Z220" s="77">
        <f>DATA!AG206</f>
        <v>0</v>
      </c>
      <c r="AA220" s="20" t="str">
        <f>DATA!AH206</f>
        <v>Tanpa keterangan</v>
      </c>
      <c r="AB220" s="37" t="str">
        <f>DATA!AI206</f>
        <v>a) Siap
b) -</v>
      </c>
      <c r="AC220" s="37" t="str">
        <f>DATA!AJ206</f>
        <v>a) Siap
b) -</v>
      </c>
      <c r="AD220" s="37" t="str">
        <f>DATA!AK206</f>
        <v>a) Siap
b) Siap</v>
      </c>
      <c r="AE220" s="37" t="str">
        <f>DATA!AL206</f>
        <v>a) -
b) -</v>
      </c>
      <c r="AF220" s="20">
        <f>DATA!AM206</f>
        <v>0</v>
      </c>
      <c r="AG220" s="20" t="str">
        <f>DATA!AN206</f>
        <v>dalam proses
(penyusunan FS)</v>
      </c>
      <c r="AH220" s="20" t="str">
        <f>DATA!AO206</f>
        <v>siap</v>
      </c>
      <c r="AI220" s="20" t="str">
        <f>DATA!AP206</f>
        <v>belum ada proses tender/lelang</v>
      </c>
      <c r="AJ220" s="20" t="str">
        <f>DATA!AY206</f>
        <v>- Terintegrasi dengan sarana dan sistem hasil kegiatan fase 1 yang sudah terbangun sebelumnya
- Surat Kepala BMKG nomor KU.205/003/KB/IX/2015 tanggal 8 September 2015</v>
      </c>
      <c r="AK220" s="20" t="e">
        <f>DATA!#REF!</f>
        <v>#REF!</v>
      </c>
      <c r="AL220" s="20">
        <f>DATA!AZ206</f>
        <v>0</v>
      </c>
      <c r="AM220" s="37"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row>
    <row r="221" spans="1:39" s="4" customFormat="1" ht="24.95" hidden="1" customHeight="1">
      <c r="J221" s="107"/>
      <c r="K221" s="25">
        <f>DATA!E207</f>
        <v>17</v>
      </c>
      <c r="L221" s="108" t="str">
        <f>DATA!F207</f>
        <v>Badan Pengkajian dan Penerapan Teknologi (BPPT)</v>
      </c>
      <c r="M221" s="25"/>
      <c r="N221" s="27"/>
      <c r="O221" s="26"/>
      <c r="P221" s="26"/>
      <c r="Q221" s="26"/>
      <c r="R221" s="80">
        <f>+R222</f>
        <v>114400000</v>
      </c>
      <c r="S221" s="80"/>
      <c r="T221" s="80">
        <f t="shared" ref="T221:Z222" si="33">+T222</f>
        <v>17200000</v>
      </c>
      <c r="U221" s="80">
        <f t="shared" si="33"/>
        <v>0</v>
      </c>
      <c r="V221" s="80">
        <f t="shared" si="33"/>
        <v>131600000</v>
      </c>
      <c r="W221" s="122"/>
      <c r="X221" s="26"/>
      <c r="Y221" s="80">
        <f>+Y222</f>
        <v>114400000</v>
      </c>
      <c r="Z221" s="80">
        <f>+Z222</f>
        <v>0</v>
      </c>
      <c r="AA221" s="26"/>
      <c r="AB221" s="27"/>
      <c r="AC221" s="27"/>
      <c r="AD221" s="27"/>
      <c r="AE221" s="27"/>
      <c r="AF221" s="26"/>
      <c r="AG221" s="26"/>
      <c r="AH221" s="26"/>
      <c r="AI221" s="26"/>
      <c r="AJ221" s="26"/>
      <c r="AK221" s="26"/>
      <c r="AL221" s="26"/>
      <c r="AM221" s="27"/>
    </row>
    <row r="222" spans="1:39" s="5" customFormat="1" ht="33.75" hidden="1" customHeight="1">
      <c r="J222" s="28"/>
      <c r="K222" s="29"/>
      <c r="L222" s="30" t="str">
        <f>DATA!I207</f>
        <v>A</v>
      </c>
      <c r="M222" s="31" t="str">
        <f>DATA!J207</f>
        <v>Program Pembangunan Science Park dan Technopark</v>
      </c>
      <c r="N222" s="51"/>
      <c r="O222" s="31"/>
      <c r="P222" s="31"/>
      <c r="Q222" s="31"/>
      <c r="R222" s="81">
        <f>+R223</f>
        <v>114400000</v>
      </c>
      <c r="S222" s="81"/>
      <c r="T222" s="81">
        <f t="shared" si="33"/>
        <v>17200000</v>
      </c>
      <c r="U222" s="81">
        <f t="shared" si="33"/>
        <v>0</v>
      </c>
      <c r="V222" s="81">
        <f t="shared" si="33"/>
        <v>131600000</v>
      </c>
      <c r="W222" s="81"/>
      <c r="X222" s="81" t="str">
        <f t="shared" si="33"/>
        <v>Bilateral</v>
      </c>
      <c r="Y222" s="81">
        <f t="shared" si="33"/>
        <v>114400000</v>
      </c>
      <c r="Z222" s="81">
        <f t="shared" si="33"/>
        <v>0</v>
      </c>
      <c r="AA222" s="31"/>
      <c r="AB222" s="32"/>
      <c r="AC222" s="32"/>
      <c r="AD222" s="32"/>
      <c r="AE222" s="32"/>
      <c r="AF222" s="31"/>
      <c r="AG222" s="31"/>
      <c r="AH222" s="31"/>
      <c r="AI222" s="31"/>
      <c r="AJ222" s="31"/>
      <c r="AK222" s="31"/>
      <c r="AL222" s="31"/>
      <c r="AM222" s="32"/>
    </row>
    <row r="223" spans="1:39" ht="91.5" hidden="1" customHeight="1">
      <c r="A223" s="10">
        <f>DATA!A207</f>
        <v>148</v>
      </c>
      <c r="B223" s="10">
        <f>DATA!B207</f>
        <v>0</v>
      </c>
      <c r="C223" s="10" t="str">
        <f>DATA!D207</f>
        <v>NON-INFRASTRUKTUR</v>
      </c>
      <c r="D223" s="10">
        <f>DATA!E207</f>
        <v>17</v>
      </c>
      <c r="E223" s="10" t="str">
        <f>DATA!F207</f>
        <v>Badan Pengkajian dan Penerapan Teknologi (BPPT)</v>
      </c>
      <c r="F223" s="10" t="str">
        <f>DATA!H207</f>
        <v>Science Park and Technopark Development Program</v>
      </c>
      <c r="G223" s="10" t="str">
        <f>DATA!I207</f>
        <v>A</v>
      </c>
      <c r="H223" s="10" t="str">
        <f>DATA!J207</f>
        <v>Program Pembangunan Science Park dan Technopark</v>
      </c>
      <c r="I223" s="10">
        <f>DATA!K207</f>
        <v>1</v>
      </c>
      <c r="J223" s="52"/>
      <c r="K223" s="54"/>
      <c r="L223" s="36"/>
      <c r="M223" s="36">
        <f>DATA!K207</f>
        <v>1</v>
      </c>
      <c r="N223" s="37" t="str">
        <f>DATA!L207</f>
        <v>Development of Maritime National Science and Technology Park (NTSP) in the Northern Penajam Paser and Revitalization Infrastructure Marine Survey</v>
      </c>
      <c r="O223" s="20">
        <f>DATA!Q207</f>
        <v>1</v>
      </c>
      <c r="P223" s="20">
        <f>DATA!R207</f>
        <v>1</v>
      </c>
      <c r="Q223" s="20">
        <f>DATA!S207</f>
        <v>116</v>
      </c>
      <c r="R223" s="77">
        <f>DATA!T207</f>
        <v>114400000</v>
      </c>
      <c r="S223" s="77"/>
      <c r="T223" s="77">
        <f>DATA!V207</f>
        <v>17200000</v>
      </c>
      <c r="U223" s="77">
        <f>DATA!W207</f>
        <v>0</v>
      </c>
      <c r="V223" s="77">
        <f>DATA!X207</f>
        <v>131600000</v>
      </c>
      <c r="W223" s="78" t="str">
        <f>DATA!Y207</f>
        <v xml:space="preserve">Perancis (AFD)  </v>
      </c>
      <c r="X223" s="20" t="str">
        <f>DATA!Z207</f>
        <v>Bilateral</v>
      </c>
      <c r="Y223" s="77">
        <f>DATA!AA207</f>
        <v>114400000</v>
      </c>
      <c r="Z223" s="77">
        <f>DATA!AG207</f>
        <v>0</v>
      </c>
      <c r="AA223" s="20" t="str">
        <f>DATA!AH207</f>
        <v>Tanpa keterangan</v>
      </c>
      <c r="AB223" s="37" t="str">
        <f>DATA!AI207</f>
        <v xml:space="preserve">  (1) Development of Maritime NTSP: (tidak ada data)
(2) Revitalization Infrastructure Marine Survey: (tidak ada data)  </v>
      </c>
      <c r="AC223" s="37" t="str">
        <f>DATA!AJ207</f>
        <v xml:space="preserve">  (1) Development of Maritime NTSP: Pra-FS
(2) Revitalization Infrastructure Marine Survey: (tidak ada data)  </v>
      </c>
      <c r="AD223" s="37" t="str">
        <f>DATA!AK207</f>
        <v xml:space="preserve">  (1) Development of Maritime NTSP: 20%
(2) Revitalization Infrastructure Marine Survey: tidak memerlukan lahan  </v>
      </c>
      <c r="AE223" s="37" t="str">
        <f>DATA!AL207</f>
        <v xml:space="preserve">  (1) Development of Maritime NTSP: belum ada tender
(2) Revitalization Infrastructure Marine Survey:belum ada tender  </v>
      </c>
      <c r="AF223" s="20">
        <f>DATA!AM207</f>
        <v>0</v>
      </c>
      <c r="AG223" s="20" t="str">
        <f>DATA!AN207</f>
        <v>dalam proses
(penyusunan FS)</v>
      </c>
      <c r="AH223" s="20" t="str">
        <f>DATA!AO207</f>
        <v>dalam proses
(pelaksanaan)</v>
      </c>
      <c r="AI223" s="20" t="str">
        <f>DATA!AP207</f>
        <v>belum ada proses tender/lelang</v>
      </c>
      <c r="AJ223" s="20" t="str">
        <f>DATA!AY207</f>
        <v>- Selain Perancis , pihak BPPT mengkonfirmasikan bahwa Korea berminat untuk menjadi lender pada proyek NSTP Maritim Kab. PPU
- Pelaksanaannya direncanakan tahun 2016 dan tahun 2017
-  Konfirmasi melalui e-mail tanggal 10 Sept 2015</v>
      </c>
      <c r="AK223" s="20" t="e">
        <f>DATA!#REF!</f>
        <v>#REF!</v>
      </c>
      <c r="AL223" s="20">
        <f>DATA!AZ207</f>
        <v>0</v>
      </c>
      <c r="AM223" s="37" t="str">
        <f>DATA!BA207</f>
        <v>Pembangunan dermaga kapal riset, laboratorium kemaritiman, workshop, dan sarana prasarana penunjang darat lainnya serta Revitalisasi 4 buah kapal riset Baruna Jaya I, II, III, dan IV dan peralatan survei kelautan lainnya</v>
      </c>
    </row>
    <row r="224" spans="1:39" s="3" customFormat="1" ht="30" hidden="1" customHeight="1">
      <c r="J224" s="3363" t="s">
        <v>477</v>
      </c>
      <c r="K224" s="3364"/>
      <c r="L224" s="3364"/>
      <c r="M224" s="3364"/>
      <c r="N224" s="3365"/>
      <c r="O224" s="119"/>
      <c r="P224" s="119"/>
      <c r="Q224" s="119"/>
      <c r="R224" s="123">
        <f>+R8+R161</f>
        <v>39876907800</v>
      </c>
      <c r="S224" s="123"/>
      <c r="T224" s="123">
        <f>+T8+T161</f>
        <v>5212917900</v>
      </c>
      <c r="U224" s="123">
        <f>+U8+U161</f>
        <v>19660000</v>
      </c>
      <c r="V224" s="123">
        <f>+V8+V161</f>
        <v>45085941000</v>
      </c>
      <c r="W224" s="123"/>
      <c r="X224" s="123" t="e">
        <f>+X8+X161</f>
        <v>#VALUE!</v>
      </c>
      <c r="Y224" s="123">
        <f>+Y8+Y161</f>
        <v>39686527800</v>
      </c>
      <c r="Z224" s="123">
        <f>+Z8+Z161</f>
        <v>-2146834004</v>
      </c>
      <c r="AA224" s="119"/>
      <c r="AB224" s="125"/>
      <c r="AC224" s="125"/>
      <c r="AD224" s="125"/>
      <c r="AE224" s="125"/>
      <c r="AF224" s="119"/>
      <c r="AG224" s="119"/>
      <c r="AH224" s="119"/>
      <c r="AI224" s="119"/>
      <c r="AJ224" s="119"/>
      <c r="AK224" s="119"/>
      <c r="AL224" s="119"/>
      <c r="AM224" s="125"/>
    </row>
  </sheetData>
  <autoFilter ref="A7:AM224">
    <filterColumn colId="26">
      <filters>
        <filter val="2016"/>
      </filters>
    </filterColumn>
    <filterColumn colId="27">
      <filters>
        <filter val="- Green Book 2015"/>
        <filter val="- Sudah ada R/C_x000a_- Green Book 2015"/>
        <filter val="- Sudah ada R/C_x000a_- Green Book 2015_x000a_"/>
        <filter val="- Sudah ada RC- Green Book 2015"/>
        <filter val="- Sudah ada RC_x000a_- Green Book 2015"/>
        <filter val="- Sudah ada RC_x000a_- Green Book 2015_x000a_- Dalam proses pembahasan skema pinjaman"/>
        <filter val="- Sudah ada RC_x000a_- Green Book 2015_x000a_- Dalam proses persiapan penandatanganan Loan Agreement"/>
      </filters>
    </filterColumn>
  </autoFilter>
  <mergeCells count="14">
    <mergeCell ref="J1:AM1"/>
    <mergeCell ref="J2:AE2"/>
    <mergeCell ref="W5:Y5"/>
    <mergeCell ref="AB5:AE5"/>
    <mergeCell ref="J224:N224"/>
    <mergeCell ref="R5:R6"/>
    <mergeCell ref="S5:S6"/>
    <mergeCell ref="T5:T6"/>
    <mergeCell ref="U5:U6"/>
    <mergeCell ref="V5:V6"/>
    <mergeCell ref="Z5:Z6"/>
    <mergeCell ref="AA5:AA6"/>
    <mergeCell ref="AM5:AM6"/>
    <mergeCell ref="J5:N6"/>
  </mergeCells>
  <printOptions horizontalCentered="1"/>
  <pageMargins left="0.39305555555555599" right="0.39305555555555599" top="0.39305555555555599" bottom="0.39305555555555599" header="0.31458333333333299" footer="0.196527777777778"/>
  <pageSetup paperSize="9" scale="45" fitToHeight="0" orientation="landscape"/>
  <headerFooter>
    <oddFooter>&amp;R&amp;"Cambria,Italic"&amp;9&amp;P/&amp;N</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pageSetUpPr fitToPage="1"/>
  </sheetPr>
  <dimension ref="A1:AM228"/>
  <sheetViews>
    <sheetView topLeftCell="J1" zoomScale="70" zoomScaleNormal="70" workbookViewId="0">
      <pane ySplit="7" topLeftCell="A8" activePane="bottomLeft" state="frozen"/>
      <selection pane="bottomLeft" activeCell="R34" sqref="R34"/>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3.42578125" style="10" customWidth="1"/>
    <col min="14" max="14" width="43.7109375" style="12" customWidth="1"/>
    <col min="15" max="17" width="9.140625" style="10" hidden="1" customWidth="1"/>
    <col min="18" max="19" width="21" style="13" customWidth="1"/>
    <col min="20" max="20" width="20.140625" style="13" customWidth="1"/>
    <col min="21" max="21" width="15.85546875" style="13" hidden="1" customWidth="1"/>
    <col min="22" max="22" width="21" style="13" customWidth="1"/>
    <col min="23" max="23" width="20.85546875" style="14" customWidth="1"/>
    <col min="24" max="24" width="1.28515625" style="10" hidden="1" customWidth="1"/>
    <col min="25" max="25" width="21" style="13" customWidth="1"/>
    <col min="26" max="26" width="20.28515625" style="13" customWidth="1"/>
    <col min="27" max="27" width="16.42578125" style="10" customWidth="1"/>
    <col min="28" max="31" width="20.7109375" style="12" customWidth="1"/>
    <col min="32" max="32" width="31.28515625" style="10" hidden="1" customWidth="1"/>
    <col min="33" max="33" width="33.5703125" style="10" hidden="1" customWidth="1"/>
    <col min="34" max="34" width="26.7109375" style="10" hidden="1" customWidth="1"/>
    <col min="35" max="35" width="24" style="10" hidden="1" customWidth="1"/>
    <col min="36" max="36" width="29.28515625" style="10" hidden="1" customWidth="1"/>
    <col min="37" max="37" width="20.140625" style="10" hidden="1" customWidth="1"/>
    <col min="38" max="38" width="22.5703125" style="10" hidden="1" customWidth="1"/>
    <col min="39" max="39" width="45.7109375" style="12" hidden="1" customWidth="1"/>
    <col min="40" max="16384" width="9.140625" style="10"/>
  </cols>
  <sheetData>
    <row r="1" spans="1:39" s="1" customFormat="1" ht="18">
      <c r="J1" s="3356" t="s">
        <v>481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row>
    <row r="2" spans="1:39" s="1" customFormat="1" ht="18">
      <c r="J2" s="3357" t="s">
        <v>482</v>
      </c>
      <c r="K2" s="3358"/>
      <c r="L2" s="3358"/>
      <c r="M2" s="3358"/>
      <c r="N2" s="3358"/>
      <c r="O2" s="3358"/>
      <c r="P2" s="3358"/>
      <c r="Q2" s="3358"/>
      <c r="R2" s="3358"/>
      <c r="S2" s="3358"/>
      <c r="T2" s="3358"/>
      <c r="U2" s="3358"/>
      <c r="V2" s="3358"/>
      <c r="W2" s="3358"/>
      <c r="X2" s="3358"/>
      <c r="Y2" s="3358"/>
      <c r="Z2" s="3358"/>
      <c r="AA2" s="3358"/>
      <c r="AB2" s="3358"/>
      <c r="AC2" s="3358"/>
      <c r="AD2" s="3358"/>
      <c r="AE2" s="3358"/>
      <c r="AF2" s="15"/>
      <c r="AG2" s="15"/>
      <c r="AH2" s="15"/>
      <c r="AI2" s="15"/>
      <c r="AJ2" s="15"/>
      <c r="AK2" s="15"/>
      <c r="AL2" s="15"/>
      <c r="AM2" s="15"/>
    </row>
    <row r="3" spans="1:39" s="1" customFormat="1" ht="15.75" customHeight="1">
      <c r="J3" s="15"/>
      <c r="K3" s="15"/>
      <c r="L3" s="15"/>
      <c r="M3" s="15"/>
      <c r="N3" s="15"/>
      <c r="O3" s="15"/>
      <c r="P3" s="15"/>
      <c r="Q3" s="15"/>
      <c r="R3" s="73"/>
      <c r="S3" s="73"/>
      <c r="T3" s="73"/>
      <c r="U3" s="73"/>
      <c r="V3" s="73"/>
      <c r="W3" s="15"/>
      <c r="X3" s="15"/>
      <c r="Y3" s="15"/>
      <c r="Z3" s="73"/>
      <c r="AA3" s="15"/>
      <c r="AB3" s="15"/>
      <c r="AC3" s="15"/>
      <c r="AD3" s="15"/>
      <c r="AE3" s="94" t="s">
        <v>483</v>
      </c>
      <c r="AF3" s="15"/>
      <c r="AG3" s="15"/>
      <c r="AH3" s="15"/>
      <c r="AI3" s="15"/>
      <c r="AJ3" s="15"/>
      <c r="AK3" s="15"/>
      <c r="AL3" s="15"/>
      <c r="AM3" s="15"/>
    </row>
    <row r="4" spans="1:39">
      <c r="AM4" s="106" t="s">
        <v>483</v>
      </c>
    </row>
    <row r="5" spans="1:39" s="2" customFormat="1" ht="24.95" customHeight="1">
      <c r="J5" s="3359" t="s">
        <v>484</v>
      </c>
      <c r="K5" s="3359"/>
      <c r="L5" s="3359"/>
      <c r="M5" s="3359"/>
      <c r="N5" s="3359"/>
      <c r="O5" s="16"/>
      <c r="P5" s="16"/>
      <c r="Q5" s="16"/>
      <c r="R5" s="3366" t="s">
        <v>493</v>
      </c>
      <c r="S5" s="3368" t="s">
        <v>1455</v>
      </c>
      <c r="T5" s="3366" t="s">
        <v>487</v>
      </c>
      <c r="U5" s="3366" t="s">
        <v>488</v>
      </c>
      <c r="V5" s="3366" t="s">
        <v>477</v>
      </c>
      <c r="W5" s="3359" t="s">
        <v>7</v>
      </c>
      <c r="X5" s="3359"/>
      <c r="Y5" s="3359"/>
      <c r="Z5" s="3368" t="s">
        <v>489</v>
      </c>
      <c r="AA5" s="3370" t="s">
        <v>490</v>
      </c>
      <c r="AB5" s="3360" t="s">
        <v>9</v>
      </c>
      <c r="AC5" s="3361"/>
      <c r="AD5" s="3361"/>
      <c r="AE5" s="3362"/>
      <c r="AF5" s="16"/>
      <c r="AG5" s="16"/>
      <c r="AH5" s="16"/>
      <c r="AI5" s="16"/>
      <c r="AJ5" s="16"/>
      <c r="AK5" s="16"/>
      <c r="AL5" s="16"/>
      <c r="AM5" s="3370" t="s">
        <v>492</v>
      </c>
    </row>
    <row r="6" spans="1:39" s="2" customFormat="1" ht="24.95" customHeight="1">
      <c r="J6" s="3359"/>
      <c r="K6" s="3359"/>
      <c r="L6" s="3359"/>
      <c r="M6" s="3359"/>
      <c r="N6" s="3359"/>
      <c r="O6" s="16"/>
      <c r="P6" s="16"/>
      <c r="Q6" s="16"/>
      <c r="R6" s="3367"/>
      <c r="S6" s="3369"/>
      <c r="T6" s="3367"/>
      <c r="U6" s="3367"/>
      <c r="V6" s="3367"/>
      <c r="W6" s="76" t="s">
        <v>11</v>
      </c>
      <c r="X6" s="16"/>
      <c r="Y6" s="75" t="s">
        <v>493</v>
      </c>
      <c r="Z6" s="3369"/>
      <c r="AA6" s="3371"/>
      <c r="AB6" s="95" t="s">
        <v>13</v>
      </c>
      <c r="AC6" s="95" t="s">
        <v>14</v>
      </c>
      <c r="AD6" s="95" t="s">
        <v>15</v>
      </c>
      <c r="AE6" s="95" t="s">
        <v>16</v>
      </c>
      <c r="AF6" s="16"/>
      <c r="AG6" s="16"/>
      <c r="AH6" s="16"/>
      <c r="AI6" s="16"/>
      <c r="AJ6" s="16"/>
      <c r="AK6" s="16"/>
      <c r="AL6" s="16"/>
      <c r="AM6" s="3371"/>
    </row>
    <row r="7" spans="1:39">
      <c r="J7" s="17"/>
      <c r="K7" s="18"/>
      <c r="L7" s="18"/>
      <c r="M7" s="18"/>
      <c r="N7" s="19"/>
      <c r="O7" s="20"/>
      <c r="P7" s="20"/>
      <c r="Q7" s="20"/>
      <c r="R7" s="77"/>
      <c r="S7" s="77"/>
      <c r="T7" s="77"/>
      <c r="U7" s="77"/>
      <c r="V7" s="77"/>
      <c r="W7" s="78"/>
      <c r="X7" s="20" t="str">
        <f>BB[[#Headers],[BILA-MULTI]]</f>
        <v>BILA-MULTI</v>
      </c>
      <c r="Y7" s="77"/>
      <c r="Z7" s="77"/>
      <c r="AA7" s="20"/>
      <c r="AB7" s="37"/>
      <c r="AC7" s="37"/>
      <c r="AD7" s="37"/>
      <c r="AE7" s="37"/>
      <c r="AF7" s="20" t="s">
        <v>497</v>
      </c>
      <c r="AG7" s="20" t="s">
        <v>498</v>
      </c>
      <c r="AH7" s="20" t="s">
        <v>499</v>
      </c>
      <c r="AI7" s="20" t="s">
        <v>500</v>
      </c>
      <c r="AJ7" s="20" t="s">
        <v>10</v>
      </c>
      <c r="AK7" s="20" t="s">
        <v>501</v>
      </c>
      <c r="AL7" s="20" t="s">
        <v>502</v>
      </c>
      <c r="AM7" s="37"/>
    </row>
    <row r="8" spans="1:39" s="3" customFormat="1" ht="30" hidden="1" customHeight="1">
      <c r="A8" s="3" t="s">
        <v>21</v>
      </c>
      <c r="B8" s="3" t="s">
        <v>21</v>
      </c>
      <c r="C8" s="3" t="s">
        <v>21</v>
      </c>
      <c r="D8" s="3" t="s">
        <v>21</v>
      </c>
      <c r="E8" s="3" t="s">
        <v>21</v>
      </c>
      <c r="F8" s="3" t="s">
        <v>21</v>
      </c>
      <c r="G8" s="3" t="s">
        <v>21</v>
      </c>
      <c r="H8" s="3" t="s">
        <v>21</v>
      </c>
      <c r="I8" s="3" t="s">
        <v>21</v>
      </c>
      <c r="J8" s="21" t="str">
        <f>DATA!B2</f>
        <v>I</v>
      </c>
      <c r="K8" s="22" t="str">
        <f>DATA!D2</f>
        <v>INFRASTRUKTUR</v>
      </c>
      <c r="L8" s="22"/>
      <c r="M8" s="22"/>
      <c r="N8" s="23"/>
      <c r="O8" s="22"/>
      <c r="P8" s="22"/>
      <c r="Q8" s="22"/>
      <c r="R8" s="79">
        <f>+R9+R125+R128+R136+R139+R144+R147</f>
        <v>35286135700</v>
      </c>
      <c r="S8" s="79"/>
      <c r="T8" s="79">
        <f>+T9+T125+T128+T136+T139+T144+T147</f>
        <v>4724797700</v>
      </c>
      <c r="U8" s="79">
        <f>+U9+U125+U128+U136+U139+U144+U147</f>
        <v>17000000</v>
      </c>
      <c r="V8" s="79">
        <f>+V9+V125+V128+V136+V139+V144+V147</f>
        <v>39777933400</v>
      </c>
      <c r="W8" s="79"/>
      <c r="X8" s="79" t="e">
        <f>+X9+X125+X128+X136+X139+X144+X147</f>
        <v>#VALUE!</v>
      </c>
      <c r="Y8" s="79">
        <f>+Y9+Y125+Y128+Y136+Y139+Y144+Y147</f>
        <v>35095755700</v>
      </c>
      <c r="Z8" s="79">
        <f>+Z9+Z125+Z128+Z136+Z139+Z144+Z147</f>
        <v>-537391404</v>
      </c>
      <c r="AA8" s="22"/>
      <c r="AB8" s="23"/>
      <c r="AC8" s="23"/>
      <c r="AD8" s="23"/>
      <c r="AE8" s="23"/>
      <c r="AF8" s="22"/>
      <c r="AG8" s="22"/>
      <c r="AH8" s="22"/>
      <c r="AI8" s="22"/>
      <c r="AJ8" s="22"/>
      <c r="AK8" s="22"/>
      <c r="AL8" s="22"/>
      <c r="AM8" s="23"/>
    </row>
    <row r="9" spans="1:39" s="4" customFormat="1" ht="24.95" hidden="1" customHeight="1">
      <c r="J9" s="24"/>
      <c r="K9" s="25">
        <f>DATA!E2</f>
        <v>1</v>
      </c>
      <c r="L9" s="26" t="str">
        <f>DATA!F2</f>
        <v>Kementerian Pekerjaan Umum dan Perumahan Rakyat</v>
      </c>
      <c r="M9" s="26"/>
      <c r="N9" s="27"/>
      <c r="O9" s="26"/>
      <c r="P9" s="26"/>
      <c r="Q9" s="26"/>
      <c r="R9" s="80">
        <f>+R10+R19+R25+R35+R53+R66+R69+R76+R90+R94+R109+R119+R123</f>
        <v>22288199000</v>
      </c>
      <c r="S9" s="80"/>
      <c r="T9" s="80">
        <f>+T10+T19+T25+T35+T53+T66+T69+T76+T90+T94+T109+T119+T123</f>
        <v>2886244500</v>
      </c>
      <c r="U9" s="80">
        <f>+U10+U19+U25+U35+U53+U66+U69+U76+U90+U94+U109+U119+U123</f>
        <v>7000000</v>
      </c>
      <c r="V9" s="80">
        <f>+V10+V19+V25+V35+V53+V66+V69+V76+V90+V94+V109+V119+V123</f>
        <v>24931443500</v>
      </c>
      <c r="W9" s="80"/>
      <c r="X9" s="80" t="e">
        <f>+X10+X19+X25+X35+X53+X66+X69+X76+X90+X94+X109+X119+X123</f>
        <v>#VALUE!</v>
      </c>
      <c r="Y9" s="80">
        <f>+Y10+Y19+Y25+Y35+Y53+Y66+Y69+Y76+Y90+Y94+Y109+Y119+Y123</f>
        <v>22097819000</v>
      </c>
      <c r="Z9" s="80">
        <f>+Z10+Z19+Z25+Z35+Z53+Z66+Z69+Z76+Z90+Z94+Z109+Z119+Z123</f>
        <v>-126391404</v>
      </c>
      <c r="AA9" s="26"/>
      <c r="AB9" s="27"/>
      <c r="AC9" s="27"/>
      <c r="AD9" s="27"/>
      <c r="AE9" s="27"/>
      <c r="AF9" s="26"/>
      <c r="AG9" s="26"/>
      <c r="AH9" s="26"/>
      <c r="AI9" s="26"/>
      <c r="AJ9" s="26"/>
      <c r="AK9" s="26"/>
      <c r="AL9" s="26"/>
      <c r="AM9" s="27"/>
    </row>
    <row r="10" spans="1:39" s="5" customFormat="1" ht="24.95" hidden="1" customHeight="1">
      <c r="J10" s="28"/>
      <c r="K10" s="29"/>
      <c r="L10" s="30" t="str">
        <f>DATA!I2</f>
        <v>A</v>
      </c>
      <c r="M10" s="31" t="str">
        <f>DATA!J2</f>
        <v xml:space="preserve">Program Pembangunan Jalan Tol </v>
      </c>
      <c r="N10" s="32"/>
      <c r="O10" s="31"/>
      <c r="P10" s="31"/>
      <c r="Q10" s="31"/>
      <c r="R10" s="81">
        <f>+R11+R14</f>
        <v>2025000000</v>
      </c>
      <c r="S10" s="81"/>
      <c r="T10" s="81">
        <f>+T11+T14</f>
        <v>173650000</v>
      </c>
      <c r="U10" s="81">
        <f>+U11+U14</f>
        <v>0</v>
      </c>
      <c r="V10" s="81">
        <f>+V11+V14</f>
        <v>2198650000</v>
      </c>
      <c r="W10" s="82"/>
      <c r="X10" s="31"/>
      <c r="Y10" s="81">
        <f>+Y11+Y14</f>
        <v>2025000000</v>
      </c>
      <c r="Z10" s="81">
        <f>+Z11+Z14</f>
        <v>0</v>
      </c>
      <c r="AA10" s="31"/>
      <c r="AB10" s="32"/>
      <c r="AC10" s="32"/>
      <c r="AD10" s="32"/>
      <c r="AE10" s="32"/>
      <c r="AF10" s="31"/>
      <c r="AG10" s="31"/>
      <c r="AH10" s="31"/>
      <c r="AI10" s="31"/>
      <c r="AJ10" s="31"/>
      <c r="AK10" s="31"/>
      <c r="AL10" s="31"/>
      <c r="AM10" s="32"/>
    </row>
    <row r="11" spans="1:39" ht="30" hidden="1" customHeight="1">
      <c r="A11" s="10">
        <f>DATA!A2</f>
        <v>1</v>
      </c>
      <c r="B11" s="10" t="str">
        <f>DATA!B2</f>
        <v>I</v>
      </c>
      <c r="C11" s="10" t="str">
        <f>DATA!D2</f>
        <v>INFRASTRUKTUR</v>
      </c>
      <c r="D11" s="10">
        <f>DATA!E2</f>
        <v>1</v>
      </c>
      <c r="E11" s="10" t="str">
        <f>DATA!F2</f>
        <v>Kementerian Pekerjaan Umum dan Perumahan Rakyat</v>
      </c>
      <c r="F11" s="10" t="str">
        <f>DATA!H2</f>
        <v>Toll Road Development Program</v>
      </c>
      <c r="G11" s="10" t="str">
        <f>DATA!I2</f>
        <v>A</v>
      </c>
      <c r="H11" s="10" t="str">
        <f>DATA!J2</f>
        <v xml:space="preserve">Program Pembangunan Jalan Tol </v>
      </c>
      <c r="I11" s="10">
        <f>DATA!K2</f>
        <v>1</v>
      </c>
      <c r="J11" s="33"/>
      <c r="K11" s="34"/>
      <c r="L11" s="35"/>
      <c r="M11" s="36">
        <f>DATA!K2</f>
        <v>1</v>
      </c>
      <c r="N11" s="37" t="str">
        <f>DATA!L2</f>
        <v>Toll Road Development in Kalimantan, Sumatera, and Java Islands</v>
      </c>
      <c r="O11" s="20">
        <f>DATA!Q2</f>
        <v>0</v>
      </c>
      <c r="P11" s="20">
        <f>DATA!R2</f>
        <v>1</v>
      </c>
      <c r="Q11" s="20">
        <f>DATA!S2</f>
        <v>1</v>
      </c>
      <c r="R11" s="77">
        <f>DATA!T2</f>
        <v>1250000000</v>
      </c>
      <c r="S11" s="77"/>
      <c r="T11" s="77">
        <f>DATA!V2</f>
        <v>101250000</v>
      </c>
      <c r="U11" s="77">
        <f>DATA!W2</f>
        <v>0</v>
      </c>
      <c r="V11" s="77">
        <f>DATA!X2</f>
        <v>1351250000</v>
      </c>
      <c r="W11" s="78" t="str">
        <f>DATA!Y2</f>
        <v>-</v>
      </c>
      <c r="X11" s="20">
        <f>DATA!Z2</f>
        <v>0</v>
      </c>
      <c r="Y11" s="77">
        <f>DATA!AA2</f>
        <v>1250000000</v>
      </c>
      <c r="Z11" s="77">
        <f>DATA!AG2</f>
        <v>0</v>
      </c>
      <c r="AA11" s="20" t="str">
        <f>DATA!AH2</f>
        <v>-</v>
      </c>
      <c r="AB11" s="37" t="str">
        <f>DATA!AI2</f>
        <v>-</v>
      </c>
      <c r="AC11" s="37" t="str">
        <f>DATA!AJ2</f>
        <v>-</v>
      </c>
      <c r="AD11" s="37" t="str">
        <f>DATA!AK2</f>
        <v>-</v>
      </c>
      <c r="AE11" s="37" t="str">
        <f>DATA!AL2</f>
        <v>-</v>
      </c>
      <c r="AF11" s="20" t="str">
        <f>DATA!AM2</f>
        <v>-</v>
      </c>
      <c r="AG11" s="20" t="str">
        <f>DATA!AN2</f>
        <v>-</v>
      </c>
      <c r="AH11" s="20" t="str">
        <f>DATA!AO2</f>
        <v>-</v>
      </c>
      <c r="AI11" s="20" t="str">
        <f>DATA!AP2</f>
        <v>-</v>
      </c>
      <c r="AJ11" s="20" t="str">
        <f>DATA!AY2</f>
        <v>-</v>
      </c>
      <c r="AK11" s="20" t="e">
        <f>DATA!#REF!</f>
        <v>#REF!</v>
      </c>
      <c r="AL11" s="20" t="str">
        <f>DATA!AZ2</f>
        <v>-</v>
      </c>
      <c r="AM11" s="37" t="str">
        <f>DATA!BA2</f>
        <v>-</v>
      </c>
    </row>
    <row r="12" spans="1:39" s="6" customFormat="1" ht="43.5" hidden="1" customHeight="1">
      <c r="A12" s="6">
        <f>DATA!A3</f>
        <v>1</v>
      </c>
      <c r="B12" s="6">
        <f>DATA!B3</f>
        <v>0</v>
      </c>
      <c r="C12" s="6" t="str">
        <f>DATA!D3</f>
        <v>INFRASTRUKTUR</v>
      </c>
      <c r="D12" s="6">
        <f>DATA!E3</f>
        <v>1</v>
      </c>
      <c r="E12" s="6" t="str">
        <f>DATA!F3</f>
        <v>Kementerian Pekerjaan Umum dan Perumahan Rakyat</v>
      </c>
      <c r="F12" s="6" t="str">
        <f>DATA!H3</f>
        <v>Toll Road Development Program</v>
      </c>
      <c r="G12" s="6" t="str">
        <f>DATA!I3</f>
        <v>A</v>
      </c>
      <c r="H12" s="6" t="str">
        <f>DATA!J3</f>
        <v xml:space="preserve">Program Pembangunan Jalan Tol </v>
      </c>
      <c r="I12" s="6">
        <f>DATA!K3</f>
        <v>1</v>
      </c>
      <c r="J12" s="38"/>
      <c r="K12" s="39"/>
      <c r="L12" s="39"/>
      <c r="M12" s="40"/>
      <c r="N12" s="41" t="str">
        <f>DATA!L3</f>
        <v>Toll Road Development in Kalimantan, Sumatera, and Java Islands</v>
      </c>
      <c r="O12" s="42">
        <f>DATA!Q3</f>
        <v>0.5</v>
      </c>
      <c r="P12" s="42">
        <f>DATA!R3</f>
        <v>0</v>
      </c>
      <c r="Q12" s="42">
        <f>DATA!S3</f>
        <v>0</v>
      </c>
      <c r="R12" s="83">
        <f>DATA!T3</f>
        <v>0</v>
      </c>
      <c r="S12" s="83">
        <f>DATA!U3</f>
        <v>0</v>
      </c>
      <c r="T12" s="83">
        <f>DATA!V3</f>
        <v>0</v>
      </c>
      <c r="U12" s="83">
        <f>DATA!W3</f>
        <v>0</v>
      </c>
      <c r="V12" s="83">
        <f>DATA!X3</f>
        <v>0</v>
      </c>
      <c r="W12" s="84" t="str">
        <f>DATA!Y3</f>
        <v>RRT</v>
      </c>
      <c r="X12" s="42" t="str">
        <f>DATA!Z3</f>
        <v>Bilateral</v>
      </c>
      <c r="Y12" s="83">
        <f>DATA!AA3</f>
        <v>1000000000</v>
      </c>
      <c r="Z12" s="83">
        <f>DATA!AG3</f>
        <v>0</v>
      </c>
      <c r="AA12" s="42">
        <f>DATA!AH3</f>
        <v>2016</v>
      </c>
      <c r="AB12" s="67" t="str">
        <f>DATA!AI3</f>
        <v>-</v>
      </c>
      <c r="AC12" s="67" t="str">
        <f>DATA!AJ3</f>
        <v>FS, AMDAL, LARAP</v>
      </c>
      <c r="AD12" s="67" t="str">
        <f>DATA!AK3</f>
        <v>(1) Cisumdawu I: 80 %
(2) Serang-Panimbang: 25%</v>
      </c>
      <c r="AE12" s="67" t="str">
        <f>DATA!AL3</f>
        <v>-</v>
      </c>
      <c r="AF12" s="42" t="str">
        <f>DATA!AM3</f>
        <v>-</v>
      </c>
      <c r="AG12" s="42" t="str">
        <f>DATA!AN3</f>
        <v>siap</v>
      </c>
      <c r="AH12" s="42" t="str">
        <f>DATA!AO3</f>
        <v>dalam proses
(pelaksanaan &lt; 50%)</v>
      </c>
      <c r="AI12" s="42" t="str">
        <f>DATA!AP3</f>
        <v>belum ada proses tender/lelang</v>
      </c>
      <c r="AJ12" s="42" t="str">
        <f>DATA!AY3</f>
        <v>- Konfirmasi melalui surat Sekjen nomor KU.01.12-Sj/636 tgl 23 Oktober 2015
- Terdiri dari 3 kegiatan: (1) seksi 1 (Ruas Cisumdawu I); (2) Serang-Panimbang; (3) Belum ditentukan
- Prioritas ruas Cisumdawu I</v>
      </c>
      <c r="AK12" s="42" t="e">
        <f>DATA!#REF!</f>
        <v>#REF!</v>
      </c>
      <c r="AL12" s="42">
        <f>DATA!AZ3</f>
        <v>0</v>
      </c>
      <c r="AM12" s="67" t="str">
        <f>DATA!BA3</f>
        <v>Pembangunan jalan tol di provinsi Kalimantan Timur, Banten, dan Sumatera Utara dengan panjang sekitar 150 km</v>
      </c>
    </row>
    <row r="13" spans="1:39" s="6" customFormat="1" ht="45.75" hidden="1" customHeight="1">
      <c r="A13" s="6">
        <f>DATA!A4</f>
        <v>2</v>
      </c>
      <c r="B13" s="6">
        <f>DATA!B4</f>
        <v>0</v>
      </c>
      <c r="C13" s="6" t="str">
        <f>DATA!D4</f>
        <v>INFRASTRUKTUR</v>
      </c>
      <c r="D13" s="6">
        <f>DATA!E4</f>
        <v>1</v>
      </c>
      <c r="E13" s="6" t="str">
        <f>DATA!F4</f>
        <v>Kementerian Pekerjaan Umum dan Perumahan Rakyat</v>
      </c>
      <c r="F13" s="6" t="str">
        <f>DATA!H4</f>
        <v>Toll Road Development Program</v>
      </c>
      <c r="G13" s="6" t="str">
        <f>DATA!I4</f>
        <v>A</v>
      </c>
      <c r="H13" s="6" t="str">
        <f>DATA!J4</f>
        <v xml:space="preserve">Program Pembangunan Jalan Tol </v>
      </c>
      <c r="I13" s="6">
        <f>DATA!K4</f>
        <v>1</v>
      </c>
      <c r="J13" s="38"/>
      <c r="K13" s="39"/>
      <c r="L13" s="39"/>
      <c r="M13" s="43"/>
      <c r="N13" s="41" t="str">
        <f>DATA!L4</f>
        <v>Toll Road Development in Kalimantan, Sumatera, and Java Islands</v>
      </c>
      <c r="O13" s="42">
        <f>DATA!Q4</f>
        <v>0.5</v>
      </c>
      <c r="P13" s="42">
        <f>DATA!R4</f>
        <v>0</v>
      </c>
      <c r="Q13" s="42">
        <f>DATA!S4</f>
        <v>0</v>
      </c>
      <c r="R13" s="83">
        <f>DATA!T4</f>
        <v>0</v>
      </c>
      <c r="S13" s="83">
        <f>DATA!U4</f>
        <v>0</v>
      </c>
      <c r="T13" s="83">
        <f>DATA!V4</f>
        <v>0</v>
      </c>
      <c r="U13" s="83">
        <f>DATA!W4</f>
        <v>0</v>
      </c>
      <c r="V13" s="83">
        <f>DATA!X4</f>
        <v>0</v>
      </c>
      <c r="W13" s="84" t="str">
        <f>DATA!Y4</f>
        <v>Korea</v>
      </c>
      <c r="X13" s="42" t="str">
        <f>DATA!Z4</f>
        <v>Bilateral</v>
      </c>
      <c r="Y13" s="83">
        <f>DATA!AA4</f>
        <v>250000000</v>
      </c>
      <c r="Z13" s="83">
        <f>DATA!AG4</f>
        <v>0</v>
      </c>
      <c r="AA13" s="42">
        <f>DATA!AH4</f>
        <v>2016</v>
      </c>
      <c r="AB13" s="67" t="str">
        <f>DATA!AI4</f>
        <v>-</v>
      </c>
      <c r="AC13" s="67" t="str">
        <f>DATA!AJ4</f>
        <v>FS, AMDAL, LARAP</v>
      </c>
      <c r="AD13" s="67" t="str">
        <f>DATA!AK4</f>
        <v>(1) Cisumdawu I: 80 %
(2) Serang-Panimbang: 25%</v>
      </c>
      <c r="AE13" s="67" t="str">
        <f>DATA!AL4</f>
        <v>-</v>
      </c>
      <c r="AF13" s="42" t="str">
        <f>DATA!AM4</f>
        <v>-</v>
      </c>
      <c r="AG13" s="42" t="str">
        <f>DATA!AN4</f>
        <v>siap</v>
      </c>
      <c r="AH13" s="42" t="str">
        <f>DATA!AO4</f>
        <v>dalam proses
(pelaksanaan &lt; 50%)</v>
      </c>
      <c r="AI13" s="42" t="str">
        <f>DATA!AP4</f>
        <v>belum ada proses tender/lelang</v>
      </c>
      <c r="AJ13" s="42" t="str">
        <f>DATA!AY4</f>
        <v>- Konfirmasi melalui surat Sekjen nomor KU.01.12-Sj/636 tgl 23 Oktober 2015
- Terdiri dari 3 kegiatan: (1) seksi 1 (Ruas Cisumdawu I); (2) Serang-Panimbang; (3) Belum ditentukan
- Prioritas ruas Cisumdawu I</v>
      </c>
      <c r="AK13" s="42" t="e">
        <f>DATA!#REF!</f>
        <v>#REF!</v>
      </c>
      <c r="AL13" s="42">
        <f>DATA!AZ4</f>
        <v>0</v>
      </c>
      <c r="AM13" s="67" t="str">
        <f>DATA!BA4</f>
        <v>Pembangunan jalan tol di provinsi Kalimantan Timur, Banten, dan Sumatera Utara dengan panjang sekitar 150 km</v>
      </c>
    </row>
    <row r="14" spans="1:39" ht="29.25" hidden="1" customHeight="1">
      <c r="A14" s="10">
        <f>DATA!A5</f>
        <v>3</v>
      </c>
      <c r="B14" s="10">
        <f>DATA!B5</f>
        <v>0</v>
      </c>
      <c r="C14" s="10" t="str">
        <f>DATA!D5</f>
        <v>INFRASTRUKTUR</v>
      </c>
      <c r="D14" s="10">
        <f>DATA!E5</f>
        <v>1</v>
      </c>
      <c r="E14" s="10" t="str">
        <f>DATA!F5</f>
        <v>Kementerian Pekerjaan Umum dan Perumahan Rakyat</v>
      </c>
      <c r="F14" s="10" t="str">
        <f>DATA!H5</f>
        <v>Toll Road Development Program</v>
      </c>
      <c r="G14" s="10" t="str">
        <f>DATA!I5</f>
        <v>A</v>
      </c>
      <c r="H14" s="10" t="str">
        <f>DATA!J5</f>
        <v xml:space="preserve">Program Pembangunan Jalan Tol </v>
      </c>
      <c r="I14" s="10">
        <f>DATA!K5</f>
        <v>2</v>
      </c>
      <c r="J14" s="33"/>
      <c r="K14" s="34"/>
      <c r="L14" s="34"/>
      <c r="M14" s="36">
        <f>DATA!K5</f>
        <v>2</v>
      </c>
      <c r="N14" s="37" t="str">
        <f>DATA!L5</f>
        <v>Toll Road Development in Selected Area:</v>
      </c>
      <c r="O14" s="20">
        <f>DATA!Q5</f>
        <v>0</v>
      </c>
      <c r="P14" s="20">
        <f>DATA!R5</f>
        <v>0</v>
      </c>
      <c r="Q14" s="20">
        <f>DATA!S5</f>
        <v>0</v>
      </c>
      <c r="R14" s="77">
        <f>DATA!T5</f>
        <v>775000000</v>
      </c>
      <c r="S14" s="83">
        <f>DATA!U5</f>
        <v>775000000</v>
      </c>
      <c r="T14" s="77">
        <f>DATA!V5</f>
        <v>72400000</v>
      </c>
      <c r="U14" s="77">
        <f>DATA!W5</f>
        <v>0</v>
      </c>
      <c r="V14" s="77">
        <f>DATA!X5</f>
        <v>847400000</v>
      </c>
      <c r="W14" s="78" t="str">
        <f>DATA!Y5</f>
        <v>-</v>
      </c>
      <c r="X14" s="20">
        <f>DATA!Z5</f>
        <v>0</v>
      </c>
      <c r="Y14" s="77">
        <f>DATA!AA5</f>
        <v>775000000</v>
      </c>
      <c r="Z14" s="77">
        <f>DATA!AG5</f>
        <v>0</v>
      </c>
      <c r="AA14" s="20" t="str">
        <f>DATA!AH5</f>
        <v>-</v>
      </c>
      <c r="AB14" s="37" t="str">
        <f>DATA!AI5</f>
        <v>-</v>
      </c>
      <c r="AC14" s="37" t="str">
        <f>DATA!AJ5</f>
        <v>-</v>
      </c>
      <c r="AD14" s="37" t="str">
        <f>DATA!AK5</f>
        <v>-</v>
      </c>
      <c r="AE14" s="37" t="str">
        <f>DATA!AL5</f>
        <v>-</v>
      </c>
      <c r="AF14" s="20" t="str">
        <f>DATA!AM5</f>
        <v>-</v>
      </c>
      <c r="AG14" s="20">
        <f>DATA!AN5</f>
        <v>0</v>
      </c>
      <c r="AH14" s="20" t="str">
        <f>DATA!AO5</f>
        <v>-</v>
      </c>
      <c r="AI14" s="20">
        <f>DATA!AP5</f>
        <v>0</v>
      </c>
      <c r="AJ14" s="20" t="str">
        <f>DATA!AY5</f>
        <v>Konfirmasi melalui surat Sekjen nomor KU.01.12-Sj/636 tgl 23 Oktober 2015</v>
      </c>
      <c r="AK14" s="20" t="e">
        <f>DATA!#REF!</f>
        <v>#REF!</v>
      </c>
      <c r="AL14" s="20">
        <f>DATA!AZ5</f>
        <v>0</v>
      </c>
      <c r="AM14" s="37" t="str">
        <f>DATA!BA5</f>
        <v>Pembangunan jalan tol di berbagai wilayah dengan total sepanjang 55,94 km</v>
      </c>
    </row>
    <row r="15" spans="1:39" s="6" customFormat="1" ht="57" hidden="1" customHeight="1">
      <c r="A15" s="6">
        <f>DATA!A6</f>
        <v>4</v>
      </c>
      <c r="B15" s="6">
        <f>DATA!B6</f>
        <v>0</v>
      </c>
      <c r="C15" s="6" t="str">
        <f>DATA!D6</f>
        <v>INFRASTRUKTUR</v>
      </c>
      <c r="D15" s="6">
        <f>DATA!E6</f>
        <v>1</v>
      </c>
      <c r="E15" s="6" t="str">
        <f>DATA!F6</f>
        <v>Kementerian Pekerjaan Umum dan Perumahan Rakyat</v>
      </c>
      <c r="F15" s="6" t="str">
        <f>DATA!H6</f>
        <v>Toll Road Development Program</v>
      </c>
      <c r="G15" s="6" t="str">
        <f>DATA!I6</f>
        <v>A</v>
      </c>
      <c r="H15" s="6" t="str">
        <f>DATA!J6</f>
        <v xml:space="preserve">Program Pembangunan Jalan Tol </v>
      </c>
      <c r="I15" s="6">
        <f>DATA!K6</f>
        <v>2</v>
      </c>
      <c r="J15" s="38"/>
      <c r="K15" s="39"/>
      <c r="L15" s="39"/>
      <c r="M15" s="72"/>
      <c r="N15" s="41" t="str">
        <f>DATA!L6</f>
        <v>Development of Cileunyi - Sumedang - Dawuan Toll Road Phase II</v>
      </c>
      <c r="O15" s="42">
        <f>DATA!Q6</f>
        <v>1</v>
      </c>
      <c r="P15" s="42">
        <f>DATA!R6</f>
        <v>1</v>
      </c>
      <c r="Q15" s="42">
        <f>DATA!S6</f>
        <v>2</v>
      </c>
      <c r="R15" s="83">
        <f>DATA!T6</f>
        <v>330000000</v>
      </c>
      <c r="S15" s="83">
        <f>DATA!U6</f>
        <v>330000000</v>
      </c>
      <c r="T15" s="83">
        <f>DATA!V6</f>
        <v>26000000</v>
      </c>
      <c r="U15" s="83">
        <f>DATA!W6</f>
        <v>0</v>
      </c>
      <c r="V15" s="83">
        <f>DATA!X6</f>
        <v>356000000</v>
      </c>
      <c r="W15" s="84" t="str">
        <f>DATA!Y6</f>
        <v>RRT</v>
      </c>
      <c r="X15" s="42" t="str">
        <f>DATA!Z6</f>
        <v>Bilateral</v>
      </c>
      <c r="Y15" s="83">
        <f>DATA!AA6</f>
        <v>330000000</v>
      </c>
      <c r="Z15" s="83">
        <f>DATA!AG6</f>
        <v>0</v>
      </c>
      <c r="AA15" s="42">
        <f>DATA!AH6</f>
        <v>2015</v>
      </c>
      <c r="AB15" s="67" t="str">
        <f>DATA!AI6</f>
        <v>- Sudah ada R/C
- Green Book 2015
- Proses LA</v>
      </c>
      <c r="AC15" s="67" t="str">
        <f>DATA!AJ6</f>
        <v>FS, DED</v>
      </c>
      <c r="AD15" s="115">
        <f>DATA!AK6</f>
        <v>0.80200000000000005</v>
      </c>
      <c r="AE15" s="67" t="str">
        <f>DATA!AL6</f>
        <v>Kontrak sudah ditandatangani</v>
      </c>
      <c r="AF15" s="42" t="str">
        <f>DATA!AR6</f>
        <v>Nilai pinjaman di:
- GB 16 USD 219.399 ribu
- GB 15 USD 235.000 ribu</v>
      </c>
      <c r="AG15" s="42" t="str">
        <f>DATA!AN6</f>
        <v>(memiliki FS dan DED)</v>
      </c>
      <c r="AH15" s="42" t="str">
        <f>DATA!AO6</f>
        <v>dalam proses
(pelaksanaan 80%)</v>
      </c>
      <c r="AI15" s="42" t="str">
        <f>DATA!AP6</f>
        <v>dalam proses tender/lelang</v>
      </c>
      <c r="AJ15" s="42" t="str">
        <f>DATA!AY6</f>
        <v>Konfirmasi melalui surat Sekjen nomor KU.01.12-Sj/636 tgl 23 Oktober 2015</v>
      </c>
      <c r="AK15" s="42" t="e">
        <f>DATA!#REF!</f>
        <v>#REF!</v>
      </c>
      <c r="AL15" s="42">
        <f>DATA!AZ6</f>
        <v>0</v>
      </c>
      <c r="AM15" s="67" t="str">
        <f>DATA!BA6</f>
        <v>- Pembangunan jalan tol Cileunyi-Sumedang-Dawuan sepanjang 11,1 km 
- Pelayanan konsultasi untuk DED dan pengawasan konstruksi</v>
      </c>
    </row>
    <row r="16" spans="1:39" s="6" customFormat="1" ht="36.75" hidden="1" customHeight="1">
      <c r="A16" s="6">
        <f>DATA!A7</f>
        <v>5</v>
      </c>
      <c r="B16" s="6">
        <f>DATA!B7</f>
        <v>0</v>
      </c>
      <c r="C16" s="6" t="str">
        <f>DATA!D7</f>
        <v>INFRASTRUKTUR</v>
      </c>
      <c r="D16" s="6">
        <f>DATA!E7</f>
        <v>1</v>
      </c>
      <c r="E16" s="6" t="str">
        <f>DATA!F7</f>
        <v>Kementerian Pekerjaan Umum dan Perumahan Rakyat</v>
      </c>
      <c r="F16" s="6" t="str">
        <f>DATA!H7</f>
        <v>Toll Road Development Program</v>
      </c>
      <c r="G16" s="6" t="str">
        <f>DATA!I7</f>
        <v>A</v>
      </c>
      <c r="H16" s="6" t="str">
        <f>DATA!J7</f>
        <v xml:space="preserve">Program Pembangunan Jalan Tol </v>
      </c>
      <c r="I16" s="6">
        <f>DATA!K7</f>
        <v>2</v>
      </c>
      <c r="J16" s="38"/>
      <c r="K16" s="39"/>
      <c r="L16" s="39"/>
      <c r="M16" s="72"/>
      <c r="N16" s="41" t="str">
        <f>DATA!L7</f>
        <v xml:space="preserve">Toll Road Development of Balikpapan - Samarinda </v>
      </c>
      <c r="O16" s="42">
        <f>DATA!Q7</f>
        <v>1</v>
      </c>
      <c r="P16" s="42">
        <f>DATA!R7</f>
        <v>1</v>
      </c>
      <c r="Q16" s="42">
        <f>DATA!S7</f>
        <v>3</v>
      </c>
      <c r="R16" s="83">
        <f>DATA!T7</f>
        <v>65000000</v>
      </c>
      <c r="S16" s="83">
        <f>DATA!U7</f>
        <v>65000000</v>
      </c>
      <c r="T16" s="83">
        <f>DATA!V7</f>
        <v>6500000</v>
      </c>
      <c r="U16" s="83">
        <f>DATA!W7</f>
        <v>0</v>
      </c>
      <c r="V16" s="83">
        <f>DATA!X7</f>
        <v>71500000</v>
      </c>
      <c r="W16" s="84" t="str">
        <f>DATA!Y7</f>
        <v>RRT</v>
      </c>
      <c r="X16" s="42" t="str">
        <f>DATA!Z7</f>
        <v>Bilateral</v>
      </c>
      <c r="Y16" s="83">
        <f>DATA!AA7</f>
        <v>65000000</v>
      </c>
      <c r="Z16" s="83">
        <f>DATA!AG7</f>
        <v>0</v>
      </c>
      <c r="AA16" s="42">
        <f>DATA!AH7</f>
        <v>2015</v>
      </c>
      <c r="AB16" s="67" t="str">
        <f>DATA!AI7</f>
        <v>- Sudah ada R/C
- Green Book 2015
- Loan Agreement tgl 29 Des'15</v>
      </c>
      <c r="AC16" s="67" t="str">
        <f>DATA!AJ7</f>
        <v>FS, DED</v>
      </c>
      <c r="AD16" s="115">
        <f>DATA!AK7</f>
        <v>0.55200000000000005</v>
      </c>
      <c r="AE16" s="67" t="str">
        <f>DATA!AL7</f>
        <v>Kontrak sudah ditandatangani</v>
      </c>
      <c r="AF16" s="42" t="str">
        <f>DATA!AR7</f>
        <v>Nilai pinjaman di GB USD 65.000 ribu</v>
      </c>
      <c r="AG16" s="42" t="str">
        <f>DATA!AN7</f>
        <v>(memiliki FS dan DED)</v>
      </c>
      <c r="AH16" s="42" t="str">
        <f>DATA!AO7</f>
        <v>dalam proses
(pelaksanaan 55%)</v>
      </c>
      <c r="AI16" s="42" t="str">
        <f>DATA!AP7</f>
        <v>dalam proses tender/lelang</v>
      </c>
      <c r="AJ16" s="42" t="str">
        <f>DATA!AY7</f>
        <v>Konfirmasi melalui surat Sekjen nomor KU.01.12-Sj/636 tgl 23 Oktober 2015</v>
      </c>
      <c r="AK16" s="42" t="e">
        <f>DATA!#REF!</f>
        <v>#REF!</v>
      </c>
      <c r="AL16" s="42">
        <f>DATA!AZ7</f>
        <v>0</v>
      </c>
      <c r="AM16" s="67" t="str">
        <f>DATA!BA7</f>
        <v xml:space="preserve">Pembangunan jalan tol Balikpapan-Samarinda sepanjang 11,09 km </v>
      </c>
    </row>
    <row r="17" spans="1:39" s="6" customFormat="1" ht="33" hidden="1" customHeight="1">
      <c r="A17" s="6">
        <f>DATA!A8</f>
        <v>6</v>
      </c>
      <c r="B17" s="6">
        <f>DATA!B8</f>
        <v>0</v>
      </c>
      <c r="C17" s="6" t="str">
        <f>DATA!D8</f>
        <v>INFRASTRUKTUR</v>
      </c>
      <c r="D17" s="6">
        <f>DATA!E8</f>
        <v>1</v>
      </c>
      <c r="E17" s="6" t="str">
        <f>DATA!F8</f>
        <v>Kementerian Pekerjaan Umum dan Perumahan Rakyat</v>
      </c>
      <c r="F17" s="6" t="str">
        <f>DATA!H8</f>
        <v>Toll Road Development Program</v>
      </c>
      <c r="G17" s="6" t="str">
        <f>DATA!I8</f>
        <v>A</v>
      </c>
      <c r="H17" s="6" t="str">
        <f>DATA!J8</f>
        <v xml:space="preserve">Program Pembangunan Jalan Tol </v>
      </c>
      <c r="I17" s="6">
        <f>DATA!K8</f>
        <v>2</v>
      </c>
      <c r="J17" s="38"/>
      <c r="K17" s="39"/>
      <c r="L17" s="39"/>
      <c r="M17" s="72"/>
      <c r="N17" s="41" t="str">
        <f>DATA!L8</f>
        <v xml:space="preserve">Toll Road Development of Manado - Bitung </v>
      </c>
      <c r="O17" s="42">
        <f>DATA!Q8</f>
        <v>1</v>
      </c>
      <c r="P17" s="42">
        <f>DATA!R8</f>
        <v>1</v>
      </c>
      <c r="Q17" s="42">
        <f>DATA!S8</f>
        <v>4</v>
      </c>
      <c r="R17" s="83">
        <f>DATA!T8</f>
        <v>80000000</v>
      </c>
      <c r="S17" s="83">
        <f>DATA!U8</f>
        <v>80000000</v>
      </c>
      <c r="T17" s="83">
        <f>DATA!V8</f>
        <v>8000000</v>
      </c>
      <c r="U17" s="83">
        <f>DATA!W8</f>
        <v>0</v>
      </c>
      <c r="V17" s="83">
        <f>DATA!X8</f>
        <v>88000000</v>
      </c>
      <c r="W17" s="84" t="str">
        <f>DATA!Y8</f>
        <v>RRT</v>
      </c>
      <c r="X17" s="42" t="str">
        <f>DATA!Z8</f>
        <v>Bilateral</v>
      </c>
      <c r="Y17" s="83">
        <f>DATA!AA8</f>
        <v>80000000</v>
      </c>
      <c r="Z17" s="83">
        <f>DATA!AG8</f>
        <v>0</v>
      </c>
      <c r="AA17" s="42">
        <f>DATA!AH8</f>
        <v>2015</v>
      </c>
      <c r="AB17" s="67" t="str">
        <f>DATA!AI8</f>
        <v>- Sudah ada R/C
- Green Book 2015
- Proses LA</v>
      </c>
      <c r="AC17" s="67" t="str">
        <f>DATA!AJ8</f>
        <v>FS, DED</v>
      </c>
      <c r="AD17" s="115">
        <f>DATA!AK8</f>
        <v>0.93840000000000001</v>
      </c>
      <c r="AE17" s="67" t="str">
        <f>DATA!AL8</f>
        <v>Kontrak sudah ditandatangani</v>
      </c>
      <c r="AF17" s="42" t="str">
        <f>DATA!AR8</f>
        <v>Nilai pinjaman di: 
- GB 16 USD 78.100 ribu
- GB 15 USD 80.000 ribu</v>
      </c>
      <c r="AG17" s="42" t="str">
        <f>DATA!AN8</f>
        <v>(memiliki FS dan DED)</v>
      </c>
      <c r="AH17" s="42" t="str">
        <f>DATA!AO8</f>
        <v>dalam proses
(pelaksanaan 94%)</v>
      </c>
      <c r="AI17" s="42" t="str">
        <f>DATA!AP8</f>
        <v>dalam proses tender/lelang</v>
      </c>
      <c r="AJ17" s="42" t="str">
        <f>DATA!AY8</f>
        <v>Konfirmasi melalui surat Sekjen nomor KU.01.12-Sj/636 tgl 23 Oktober 2015</v>
      </c>
      <c r="AK17" s="42" t="e">
        <f>DATA!#REF!</f>
        <v>#REF!</v>
      </c>
      <c r="AL17" s="42">
        <f>DATA!AZ8</f>
        <v>0</v>
      </c>
      <c r="AM17" s="67" t="str">
        <f>DATA!BA8</f>
        <v xml:space="preserve">Pembangunan jalan tol Manado-Bitung sepanjang 7,3 km </v>
      </c>
    </row>
    <row r="18" spans="1:39" s="6" customFormat="1" ht="34.5" hidden="1" customHeight="1">
      <c r="A18" s="6">
        <f>DATA!A9</f>
        <v>7</v>
      </c>
      <c r="B18" s="6">
        <f>DATA!B9</f>
        <v>0</v>
      </c>
      <c r="C18" s="6" t="str">
        <f>DATA!D9</f>
        <v>INFRASTRUKTUR</v>
      </c>
      <c r="D18" s="6">
        <f>DATA!E9</f>
        <v>1</v>
      </c>
      <c r="E18" s="6" t="str">
        <f>DATA!F9</f>
        <v>Kementerian Pekerjaan Umum dan Perumahan Rakyat</v>
      </c>
      <c r="F18" s="6" t="str">
        <f>DATA!H9</f>
        <v>Toll Road Development Program</v>
      </c>
      <c r="G18" s="6" t="str">
        <f>DATA!I9</f>
        <v>A</v>
      </c>
      <c r="H18" s="6" t="str">
        <f>DATA!J9</f>
        <v xml:space="preserve">Program Pembangunan Jalan Tol </v>
      </c>
      <c r="I18" s="6">
        <f>DATA!K9</f>
        <v>2</v>
      </c>
      <c r="J18" s="38"/>
      <c r="K18" s="39"/>
      <c r="L18" s="39"/>
      <c r="M18" s="40"/>
      <c r="N18" s="126" t="str">
        <f>DATA!L9</f>
        <v xml:space="preserve">Toll Road Development of Solo - Kertosono </v>
      </c>
      <c r="O18" s="42">
        <f>DATA!Q9</f>
        <v>1</v>
      </c>
      <c r="P18" s="42">
        <f>DATA!R9</f>
        <v>1</v>
      </c>
      <c r="Q18" s="42">
        <f>DATA!S9</f>
        <v>5</v>
      </c>
      <c r="R18" s="83">
        <f>DATA!T9</f>
        <v>300000000</v>
      </c>
      <c r="S18" s="83">
        <f>DATA!U9</f>
        <v>300000000</v>
      </c>
      <c r="T18" s="83">
        <f>DATA!V9</f>
        <v>31900000</v>
      </c>
      <c r="U18" s="83">
        <f>DATA!W9</f>
        <v>0</v>
      </c>
      <c r="V18" s="83">
        <f>DATA!X9</f>
        <v>331900000</v>
      </c>
      <c r="W18" s="84" t="str">
        <f>DATA!Y9</f>
        <v>RRT</v>
      </c>
      <c r="X18" s="42" t="str">
        <f>DATA!Z9</f>
        <v>Bilateral</v>
      </c>
      <c r="Y18" s="83">
        <f>DATA!AA9</f>
        <v>300000000</v>
      </c>
      <c r="Z18" s="83">
        <f>DATA!AG9</f>
        <v>0</v>
      </c>
      <c r="AA18" s="42">
        <f>DATA!AH9</f>
        <v>2015</v>
      </c>
      <c r="AB18" s="67" t="str">
        <f>DATA!AI9</f>
        <v>- Sudah ada R/C
- Green Book 2015
- Loan Agreement tgl 29 Des'15</v>
      </c>
      <c r="AC18" s="67" t="str">
        <f>DATA!AJ9</f>
        <v>FS, DED</v>
      </c>
      <c r="AD18" s="115">
        <f>DATA!AK9</f>
        <v>0.62229999999999996</v>
      </c>
      <c r="AE18" s="67" t="str">
        <f>DATA!AL9</f>
        <v>Kontrak sudah ditandatangani</v>
      </c>
      <c r="AF18" s="42" t="str">
        <f>DATA!AR9</f>
        <v>Nilai pinjaman di GB USD 200.000 ribu</v>
      </c>
      <c r="AG18" s="42" t="str">
        <f>DATA!AN9</f>
        <v>(memiliki FS dan DED)</v>
      </c>
      <c r="AH18" s="42" t="str">
        <f>DATA!AO9</f>
        <v>dalam proses
(pelaksanaan 62%)</v>
      </c>
      <c r="AI18" s="42" t="str">
        <f>DATA!AP9</f>
        <v>dalam proses tender/lelang</v>
      </c>
      <c r="AJ18" s="42" t="str">
        <f>DATA!AY9</f>
        <v>Konfirmasi melalui surat Sekjen nomor KU.01.12-Sj/636 tgl 23 Oktober 2015</v>
      </c>
      <c r="AK18" s="42" t="e">
        <f>DATA!#REF!</f>
        <v>#REF!</v>
      </c>
      <c r="AL18" s="42">
        <f>DATA!AZ9</f>
        <v>0</v>
      </c>
      <c r="AM18" s="67" t="str">
        <f>DATA!BA9</f>
        <v xml:space="preserve">Pembangunan jalan tol Solo-Kertosono sepanjang 26,45 km </v>
      </c>
    </row>
    <row r="19" spans="1:39" s="5" customFormat="1" ht="33.75" hidden="1" customHeight="1">
      <c r="J19" s="28"/>
      <c r="K19" s="50"/>
      <c r="L19" s="30" t="str">
        <f>DATA!I10</f>
        <v>B</v>
      </c>
      <c r="M19" s="31" t="str">
        <f>DATA!J10</f>
        <v xml:space="preserve">Program Pembangunan / Peningkatan Jembatan </v>
      </c>
      <c r="N19" s="51"/>
      <c r="O19" s="31"/>
      <c r="P19" s="31"/>
      <c r="Q19" s="31"/>
      <c r="R19" s="81">
        <f>SUM(R20:R24)</f>
        <v>1500000000</v>
      </c>
      <c r="S19" s="81"/>
      <c r="T19" s="81">
        <f t="shared" ref="T19:Z19" si="0">SUM(T20:T24)</f>
        <v>126500000</v>
      </c>
      <c r="U19" s="81">
        <f t="shared" si="0"/>
        <v>0</v>
      </c>
      <c r="V19" s="81">
        <f t="shared" si="0"/>
        <v>1626500000</v>
      </c>
      <c r="W19" s="81"/>
      <c r="X19" s="81">
        <f t="shared" si="0"/>
        <v>0</v>
      </c>
      <c r="Y19" s="81">
        <f t="shared" si="0"/>
        <v>1500000000</v>
      </c>
      <c r="Z19" s="81">
        <f t="shared" si="0"/>
        <v>0</v>
      </c>
      <c r="AA19" s="31"/>
      <c r="AB19" s="32"/>
      <c r="AC19" s="32"/>
      <c r="AD19" s="32"/>
      <c r="AE19" s="32"/>
      <c r="AF19" s="31"/>
      <c r="AG19" s="31"/>
      <c r="AH19" s="31"/>
      <c r="AI19" s="31"/>
      <c r="AJ19" s="31"/>
      <c r="AK19" s="31"/>
      <c r="AL19" s="31"/>
      <c r="AM19" s="32"/>
    </row>
    <row r="20" spans="1:39" ht="45" hidden="1" customHeight="1">
      <c r="A20" s="10">
        <f>DATA!A10</f>
        <v>8</v>
      </c>
      <c r="B20" s="10">
        <f>DATA!B10</f>
        <v>0</v>
      </c>
      <c r="C20" s="10" t="str">
        <f>DATA!D10</f>
        <v>INFRASTRUKTUR</v>
      </c>
      <c r="D20" s="10">
        <f>DATA!E10</f>
        <v>1</v>
      </c>
      <c r="E20" s="10" t="str">
        <f>DATA!F10</f>
        <v>Kementerian Pekerjaan Umum dan Perumahan Rakyat</v>
      </c>
      <c r="F20" s="10" t="str">
        <f>DATA!H10</f>
        <v>Development and Improvement of National Bridges Program</v>
      </c>
      <c r="G20" s="10" t="str">
        <f>DATA!I10</f>
        <v>B</v>
      </c>
      <c r="H20" s="10" t="str">
        <f>DATA!J10</f>
        <v xml:space="preserve">Program Pembangunan / Peningkatan Jembatan </v>
      </c>
      <c r="I20" s="10">
        <f>DATA!K10</f>
        <v>1</v>
      </c>
      <c r="J20" s="33"/>
      <c r="K20" s="34"/>
      <c r="L20" s="35"/>
      <c r="M20" s="52">
        <f>DATA!K10</f>
        <v>1</v>
      </c>
      <c r="N20" s="53" t="str">
        <f>DATA!L10</f>
        <v>Material Procurement for Construction and Bridge Rehabilitation</v>
      </c>
      <c r="O20" s="20">
        <f>DATA!Q10</f>
        <v>1</v>
      </c>
      <c r="P20" s="20">
        <f>DATA!R10</f>
        <v>1</v>
      </c>
      <c r="Q20" s="20">
        <f>DATA!S10</f>
        <v>6</v>
      </c>
      <c r="R20" s="77">
        <f>DATA!T10</f>
        <v>450000000</v>
      </c>
      <c r="S20" s="83">
        <f>DATA!U10</f>
        <v>450000000</v>
      </c>
      <c r="T20" s="77">
        <f>DATA!V10</f>
        <v>0</v>
      </c>
      <c r="U20" s="77">
        <f>DATA!W10</f>
        <v>0</v>
      </c>
      <c r="V20" s="77">
        <f>DATA!X10</f>
        <v>450000000</v>
      </c>
      <c r="W20" s="78" t="str">
        <f>DATA!Y10</f>
        <v>Spanyol/RRT</v>
      </c>
      <c r="X20" s="20" t="str">
        <f>DATA!Z10</f>
        <v>Multi Lender</v>
      </c>
      <c r="Y20" s="77">
        <f>DATA!AA10</f>
        <v>450000000</v>
      </c>
      <c r="Z20" s="77">
        <f>DATA!AG10</f>
        <v>0</v>
      </c>
      <c r="AA20" s="20">
        <f>DATA!AH10</f>
        <v>2017</v>
      </c>
      <c r="AB20" s="37" t="str">
        <f>DATA!AI10</f>
        <v>-</v>
      </c>
      <c r="AC20" s="37" t="str">
        <f>DATA!AJ10</f>
        <v>-</v>
      </c>
      <c r="AD20" s="37" t="str">
        <f>DATA!AK10</f>
        <v>-</v>
      </c>
      <c r="AE20" s="37" t="str">
        <f>DATA!AL10</f>
        <v>-</v>
      </c>
      <c r="AF20" s="20" t="str">
        <f>DATA!AR10</f>
        <v>belum ada dokumen R/C</v>
      </c>
      <c r="AG20" s="20" t="str">
        <f>DATA!AN10</f>
        <v>belum ada keterangan</v>
      </c>
      <c r="AH20" s="20" t="str">
        <f>DATA!AO10</f>
        <v>belum ada keterangan</v>
      </c>
      <c r="AI20" s="20" t="str">
        <f>DATA!AP10</f>
        <v>belum ada proses tender/lelang</v>
      </c>
      <c r="AJ20" s="20" t="str">
        <f>DATA!AY10</f>
        <v>- Konfirmasi melalui surat Sekjen nomor KU.01.12-Sj/636 tgl 23 Oktober 2015
- Telah ada pengalaman sebelumnya dengan Loan Spanyol</v>
      </c>
      <c r="AK20" s="20" t="e">
        <f>DATA!#REF!</f>
        <v>#REF!</v>
      </c>
      <c r="AL20" s="20">
        <f>DATA!AZ10</f>
        <v>0</v>
      </c>
      <c r="AM20" s="37" t="str">
        <f>DATA!BA10</f>
        <v>Pengadaan material rangka jembatan untuk pekerjaan konstruksi dan rehabilitasi sekitar 55.000 m jembatan yang ada di Indonesia</v>
      </c>
    </row>
    <row r="21" spans="1:39" ht="45" hidden="1" customHeight="1">
      <c r="A21" s="10">
        <f>DATA!A11</f>
        <v>9</v>
      </c>
      <c r="B21" s="10">
        <f>DATA!B11</f>
        <v>0</v>
      </c>
      <c r="C21" s="10" t="str">
        <f>DATA!D11</f>
        <v>INFRASTRUKTUR</v>
      </c>
      <c r="D21" s="10">
        <f>DATA!E11</f>
        <v>1</v>
      </c>
      <c r="E21" s="10" t="str">
        <f>DATA!F11</f>
        <v>Kementerian Pekerjaan Umum dan Perumahan Rakyat</v>
      </c>
      <c r="F21" s="10" t="str">
        <f>DATA!H11</f>
        <v>Development and Improvement of National Bridges Program</v>
      </c>
      <c r="G21" s="10" t="str">
        <f>DATA!I11</f>
        <v>B</v>
      </c>
      <c r="H21" s="10" t="str">
        <f>DATA!J11</f>
        <v xml:space="preserve">Program Pembangunan / Peningkatan Jembatan </v>
      </c>
      <c r="I21" s="10">
        <f>DATA!K11</f>
        <v>2</v>
      </c>
      <c r="J21" s="33"/>
      <c r="K21" s="34"/>
      <c r="L21" s="34"/>
      <c r="M21" s="36">
        <f>DATA!K11</f>
        <v>2</v>
      </c>
      <c r="N21" s="37" t="str">
        <f>DATA!L11</f>
        <v>Development of Fly Over/ Under Pass for Railways Crossing</v>
      </c>
      <c r="O21" s="20">
        <f>DATA!Q11</f>
        <v>1</v>
      </c>
      <c r="P21" s="20">
        <f>DATA!R11</f>
        <v>1</v>
      </c>
      <c r="Q21" s="20">
        <f>DATA!S11</f>
        <v>7</v>
      </c>
      <c r="R21" s="77">
        <f>DATA!T11</f>
        <v>250000000</v>
      </c>
      <c r="S21" s="83">
        <f>DATA!U11</f>
        <v>250000000</v>
      </c>
      <c r="T21" s="77">
        <f>DATA!V11</f>
        <v>50000000</v>
      </c>
      <c r="U21" s="77">
        <f>DATA!W11</f>
        <v>0</v>
      </c>
      <c r="V21" s="77">
        <f>DATA!X11</f>
        <v>300000000</v>
      </c>
      <c r="W21" s="78" t="str">
        <f>DATA!Y11</f>
        <v>JICA</v>
      </c>
      <c r="X21" s="20" t="str">
        <f>DATA!Z11</f>
        <v>Bilateral</v>
      </c>
      <c r="Y21" s="77">
        <f>DATA!AA11</f>
        <v>250000000</v>
      </c>
      <c r="Z21" s="77">
        <f>DATA!AG11</f>
        <v>0</v>
      </c>
      <c r="AA21" s="20">
        <f>DATA!AH11</f>
        <v>2017</v>
      </c>
      <c r="AB21" s="37" t="str">
        <f>DATA!AI11</f>
        <v>-</v>
      </c>
      <c r="AC21" s="37" t="str">
        <f>DATA!AJ11</f>
        <v>Penyusunan FS dan BD</v>
      </c>
      <c r="AD21" s="37" t="str">
        <f>DATA!AK11</f>
        <v>-</v>
      </c>
      <c r="AE21" s="37" t="str">
        <f>DATA!AL11</f>
        <v>-</v>
      </c>
      <c r="AF21" s="20" t="str">
        <f>DATA!AR11</f>
        <v>belum ada dokumen R/C</v>
      </c>
      <c r="AG21" s="20" t="str">
        <f>DATA!AN11</f>
        <v>dalam proses
(penyusunan FS)</v>
      </c>
      <c r="AH21" s="20" t="str">
        <f>DATA!AO11</f>
        <v>belum ada keterangan</v>
      </c>
      <c r="AI21" s="20" t="str">
        <f>DATA!AP11</f>
        <v>belum ada proses tender/lelang</v>
      </c>
      <c r="AJ21" s="20" t="str">
        <f>DATA!AY11</f>
        <v>- Konfirmasi melalui surat Sekjen nomor KU.01.12-Sj/636 tgl 23 Oktober 2015</v>
      </c>
      <c r="AK21" s="20" t="e">
        <f>DATA!#REF!</f>
        <v>#REF!</v>
      </c>
      <c r="AL21" s="20">
        <f>DATA!AZ11</f>
        <v>0</v>
      </c>
      <c r="AM21" s="37" t="str">
        <f>DATA!BA11</f>
        <v>Pembangunan fly over/ under pass untuk persimpangan jalan dengan jalan kereta sepanjang 7 km di Jawa dan Sumatera</v>
      </c>
    </row>
    <row r="22" spans="1:39" ht="43.5" hidden="1" customHeight="1">
      <c r="A22" s="10">
        <f>DATA!A12</f>
        <v>10</v>
      </c>
      <c r="B22" s="10">
        <f>DATA!B12</f>
        <v>0</v>
      </c>
      <c r="C22" s="10" t="str">
        <f>DATA!D12</f>
        <v>INFRASTRUKTUR</v>
      </c>
      <c r="D22" s="10">
        <f>DATA!E12</f>
        <v>1</v>
      </c>
      <c r="E22" s="10" t="str">
        <f>DATA!F12</f>
        <v>Kementerian Pekerjaan Umum dan Perumahan Rakyat</v>
      </c>
      <c r="F22" s="10" t="str">
        <f>DATA!H12</f>
        <v>Development and Improvement of National Bridges Program</v>
      </c>
      <c r="G22" s="10" t="str">
        <f>DATA!I12</f>
        <v>B</v>
      </c>
      <c r="H22" s="10" t="str">
        <f>DATA!J12</f>
        <v xml:space="preserve">Program Pembangunan / Peningkatan Jembatan </v>
      </c>
      <c r="I22" s="10">
        <f>DATA!K12</f>
        <v>3</v>
      </c>
      <c r="J22" s="33"/>
      <c r="K22" s="34"/>
      <c r="L22" s="34"/>
      <c r="M22" s="36">
        <f>DATA!K12</f>
        <v>3</v>
      </c>
      <c r="N22" s="37" t="str">
        <f>DATA!L12</f>
        <v>Development of Fly Over/ Under Pass in Major Cities</v>
      </c>
      <c r="O22" s="20">
        <f>DATA!Q12</f>
        <v>1</v>
      </c>
      <c r="P22" s="20">
        <f>DATA!R12</f>
        <v>1</v>
      </c>
      <c r="Q22" s="20">
        <f>DATA!S12</f>
        <v>8</v>
      </c>
      <c r="R22" s="77">
        <f>DATA!T12</f>
        <v>270000000</v>
      </c>
      <c r="S22" s="83">
        <f>DATA!U12</f>
        <v>270000000</v>
      </c>
      <c r="T22" s="77">
        <f>DATA!V12</f>
        <v>50000000</v>
      </c>
      <c r="U22" s="77">
        <f>DATA!W12</f>
        <v>0</v>
      </c>
      <c r="V22" s="77">
        <f>DATA!X12</f>
        <v>320000000</v>
      </c>
      <c r="W22" s="78" t="str">
        <f>DATA!Y12</f>
        <v>JICA</v>
      </c>
      <c r="X22" s="20" t="str">
        <f>DATA!Z12</f>
        <v>Bilateral</v>
      </c>
      <c r="Y22" s="77">
        <f>DATA!AA12</f>
        <v>270000000</v>
      </c>
      <c r="Z22" s="77">
        <f>DATA!AG12</f>
        <v>0</v>
      </c>
      <c r="AA22" s="20">
        <f>DATA!AH12</f>
        <v>2017</v>
      </c>
      <c r="AB22" s="37" t="str">
        <f>DATA!AI12</f>
        <v>-</v>
      </c>
      <c r="AC22" s="37" t="str">
        <f>DATA!AJ12</f>
        <v>Penyusunan FS dan BD</v>
      </c>
      <c r="AD22" s="37" t="str">
        <f>DATA!AK12</f>
        <v>-</v>
      </c>
      <c r="AE22" s="37" t="str">
        <f>DATA!AL12</f>
        <v>-</v>
      </c>
      <c r="AF22" s="20" t="str">
        <f>DATA!AR12</f>
        <v>belum ada dokumen R/C</v>
      </c>
      <c r="AG22" s="20" t="str">
        <f>DATA!AN12</f>
        <v>dalam proses
 (penyusunan FS)</v>
      </c>
      <c r="AH22" s="20" t="str">
        <f>DATA!AO12</f>
        <v>belum ada keterangan</v>
      </c>
      <c r="AI22" s="20" t="str">
        <f>DATA!AP12</f>
        <v>belum ada proses tender/lelang</v>
      </c>
      <c r="AJ22" s="20" t="str">
        <f>DATA!AY12</f>
        <v>Konfirmasi melalui surat Sekjen nomor KU.01.12-Sj/636 tgl 23 Oktober 2015</v>
      </c>
      <c r="AK22" s="20" t="e">
        <f>DATA!#REF!</f>
        <v>#REF!</v>
      </c>
      <c r="AL22" s="20">
        <f>DATA!AZ12</f>
        <v>0</v>
      </c>
      <c r="AM22" s="37" t="str">
        <f>DATA!BA12</f>
        <v>Pembangunan fly over/ under pass sepanjang kurang lebih 8 km untuk 9 kota besar yang ada di Jawa dan Sumatera</v>
      </c>
    </row>
    <row r="23" spans="1:39" ht="35.25" hidden="1" customHeight="1">
      <c r="A23" s="10">
        <f>DATA!A13</f>
        <v>11</v>
      </c>
      <c r="B23" s="10">
        <f>DATA!B13</f>
        <v>0</v>
      </c>
      <c r="C23" s="10" t="str">
        <f>DATA!D13</f>
        <v>INFRASTRUKTUR</v>
      </c>
      <c r="D23" s="10">
        <f>DATA!E13</f>
        <v>1</v>
      </c>
      <c r="E23" s="10" t="str">
        <f>DATA!F13</f>
        <v>Kementerian Pekerjaan Umum dan Perumahan Rakyat</v>
      </c>
      <c r="F23" s="10" t="str">
        <f>DATA!H13</f>
        <v>Development and Improvement of National Bridges Program</v>
      </c>
      <c r="G23" s="10" t="str">
        <f>DATA!I13</f>
        <v>B</v>
      </c>
      <c r="H23" s="10" t="str">
        <f>DATA!J13</f>
        <v xml:space="preserve">Program Pembangunan / Peningkatan Jembatan </v>
      </c>
      <c r="I23" s="10">
        <f>DATA!K13</f>
        <v>4</v>
      </c>
      <c r="J23" s="33"/>
      <c r="K23" s="34"/>
      <c r="L23" s="34"/>
      <c r="M23" s="36">
        <f>DATA!K13</f>
        <v>4</v>
      </c>
      <c r="N23" s="37" t="str">
        <f>DATA!L13</f>
        <v>Balinka - Matur - Ngarai Sianok Tunnel Construction</v>
      </c>
      <c r="O23" s="20">
        <f>DATA!Q13</f>
        <v>1</v>
      </c>
      <c r="P23" s="20">
        <f>DATA!R13</f>
        <v>1</v>
      </c>
      <c r="Q23" s="20">
        <f>DATA!S13</f>
        <v>9</v>
      </c>
      <c r="R23" s="77">
        <f>DATA!T13</f>
        <v>175000000</v>
      </c>
      <c r="S23" s="83">
        <f>DATA!U13</f>
        <v>175000000</v>
      </c>
      <c r="T23" s="77">
        <f>DATA!V13</f>
        <v>8750000</v>
      </c>
      <c r="U23" s="77">
        <f>DATA!W13</f>
        <v>0</v>
      </c>
      <c r="V23" s="77">
        <f>DATA!X13</f>
        <v>183750000</v>
      </c>
      <c r="W23" s="78" t="str">
        <f>DATA!Y13</f>
        <v>Korea/RRT</v>
      </c>
      <c r="X23" s="20" t="str">
        <f>DATA!Z13</f>
        <v>Multi Lender</v>
      </c>
      <c r="Y23" s="77">
        <f>DATA!AA13</f>
        <v>175000000</v>
      </c>
      <c r="Z23" s="77">
        <f>DATA!AG13</f>
        <v>0</v>
      </c>
      <c r="AA23" s="20">
        <f>DATA!AH13</f>
        <v>2017</v>
      </c>
      <c r="AB23" s="37" t="str">
        <f>DATA!AI13</f>
        <v>-</v>
      </c>
      <c r="AC23" s="37" t="str">
        <f>DATA!AJ13</f>
        <v>FS, DED, SP2LP</v>
      </c>
      <c r="AD23" s="37" t="str">
        <f>DATA!AK13</f>
        <v>-</v>
      </c>
      <c r="AE23" s="37" t="str">
        <f>DATA!AL13</f>
        <v>-</v>
      </c>
      <c r="AF23" s="20" t="str">
        <f>DATA!AR13</f>
        <v>belum ada dokumen R/C</v>
      </c>
      <c r="AG23" s="20" t="str">
        <f>DATA!AN13</f>
        <v>dalam proses
(memiliki FS dan DED)</v>
      </c>
      <c r="AH23" s="20" t="str">
        <f>DATA!AO13</f>
        <v>belum ada keterangan</v>
      </c>
      <c r="AI23" s="20" t="str">
        <f>DATA!AP13</f>
        <v>belum ada proses tender/lelang</v>
      </c>
      <c r="AJ23" s="20" t="str">
        <f>DATA!AY13</f>
        <v>Konfirmasi melalui surat Sekjen nomor KU.01.12-Sj/636 tgl 23 Oktober 2015</v>
      </c>
      <c r="AK23" s="20" t="e">
        <f>DATA!#REF!</f>
        <v>#REF!</v>
      </c>
      <c r="AL23" s="20">
        <f>DATA!AZ13</f>
        <v>0</v>
      </c>
      <c r="AM23" s="37" t="str">
        <f>DATA!BA13</f>
        <v xml:space="preserve">Pembangunan terowongan, jembatan dan jalan sepanjang 5 km di daerah Balinka-Ngarai Sianok, Sumatera Barat </v>
      </c>
    </row>
    <row r="24" spans="1:39" ht="58.5" hidden="1" customHeight="1">
      <c r="A24" s="10">
        <f>DATA!A14</f>
        <v>12</v>
      </c>
      <c r="B24" s="10">
        <f>DATA!B14</f>
        <v>0</v>
      </c>
      <c r="C24" s="10" t="str">
        <f>DATA!D14</f>
        <v>INFRASTRUKTUR</v>
      </c>
      <c r="D24" s="10">
        <f>DATA!E14</f>
        <v>1</v>
      </c>
      <c r="E24" s="10" t="str">
        <f>DATA!F14</f>
        <v>Kementerian Pekerjaan Umum dan Perumahan Rakyat</v>
      </c>
      <c r="F24" s="10" t="str">
        <f>DATA!H14</f>
        <v>Development and Improvement of National Bridges Program</v>
      </c>
      <c r="G24" s="10" t="str">
        <f>DATA!I14</f>
        <v>B</v>
      </c>
      <c r="H24" s="10" t="str">
        <f>DATA!J14</f>
        <v xml:space="preserve">Program Pembangunan / Peningkatan Jembatan </v>
      </c>
      <c r="I24" s="10">
        <f>DATA!K14</f>
        <v>5</v>
      </c>
      <c r="J24" s="33"/>
      <c r="K24" s="34"/>
      <c r="L24" s="54"/>
      <c r="M24" s="36">
        <f>DATA!K14</f>
        <v>5</v>
      </c>
      <c r="N24" s="37" t="str">
        <f>DATA!L14</f>
        <v>Long Span Bridge Development for Selected Area</v>
      </c>
      <c r="O24" s="20">
        <f>DATA!Q14</f>
        <v>1</v>
      </c>
      <c r="P24" s="20">
        <f>DATA!R14</f>
        <v>1</v>
      </c>
      <c r="Q24" s="20">
        <f>DATA!S14</f>
        <v>10</v>
      </c>
      <c r="R24" s="77">
        <f>DATA!T14</f>
        <v>355000000</v>
      </c>
      <c r="S24" s="83">
        <f>DATA!U14</f>
        <v>355000000</v>
      </c>
      <c r="T24" s="77">
        <f>DATA!V14</f>
        <v>17750000</v>
      </c>
      <c r="U24" s="77">
        <f>DATA!W14</f>
        <v>0</v>
      </c>
      <c r="V24" s="77">
        <f>DATA!X14</f>
        <v>372750000</v>
      </c>
      <c r="W24" s="78" t="str">
        <f>DATA!Y14</f>
        <v>Korea/RRT</v>
      </c>
      <c r="X24" s="20" t="str">
        <f>DATA!Z14</f>
        <v>Multi Lender</v>
      </c>
      <c r="Y24" s="77">
        <f>DATA!AA14</f>
        <v>355000000</v>
      </c>
      <c r="Z24" s="77">
        <f>DATA!AG14</f>
        <v>0</v>
      </c>
      <c r="AA24" s="20" t="str">
        <f>DATA!AH14</f>
        <v>Tanpa keterangan</v>
      </c>
      <c r="AB24" s="37" t="str">
        <f>DATA!AI14</f>
        <v>-</v>
      </c>
      <c r="AC24" s="37" t="str">
        <f>DATA!AJ14</f>
        <v>-</v>
      </c>
      <c r="AD24" s="37" t="str">
        <f>DATA!AK14</f>
        <v>-</v>
      </c>
      <c r="AE24" s="37" t="str">
        <f>DATA!AL14</f>
        <v>-</v>
      </c>
      <c r="AF24" s="20" t="str">
        <f>DATA!AR14</f>
        <v>belum ada dokumen R/C</v>
      </c>
      <c r="AG24" s="20" t="str">
        <f>DATA!AN14</f>
        <v>belum ada keterangan</v>
      </c>
      <c r="AH24" s="20" t="str">
        <f>DATA!AO14</f>
        <v>belum ada keterangan</v>
      </c>
      <c r="AI24" s="20" t="str">
        <f>DATA!AP14</f>
        <v>belum ada proses tender/lelang</v>
      </c>
      <c r="AJ24" s="20" t="str">
        <f>DATA!AY14</f>
        <v>Konfirmasi melalui surat Sekjen nomor KU.01.12-Sj/636 tgl 23 Oktober 2015</v>
      </c>
      <c r="AK24" s="20" t="e">
        <f>DATA!#REF!</f>
        <v>#REF!</v>
      </c>
      <c r="AL24" s="20">
        <f>DATA!AZ14</f>
        <v>0</v>
      </c>
      <c r="AM24" s="37" t="str">
        <f>DATA!BA14</f>
        <v>Pembangunan jembatan bentang panjang 5.000 m (pada area tertentu) di wilayah Pulau Jawa dan Sumatera yang dipisahkan oleh oleh sungai, rawa, danau, selat, saluran besar.</v>
      </c>
    </row>
    <row r="25" spans="1:39" s="5" customFormat="1" ht="33.75" hidden="1" customHeight="1">
      <c r="J25" s="28"/>
      <c r="K25" s="50"/>
      <c r="L25" s="30" t="str">
        <f>DATA!I15</f>
        <v>C</v>
      </c>
      <c r="M25" s="31" t="str">
        <f>DATA!J16</f>
        <v>Program Pembangunan / Peningkatan Jalan</v>
      </c>
      <c r="N25" s="51"/>
      <c r="O25" s="31"/>
      <c r="P25" s="31"/>
      <c r="Q25" s="31"/>
      <c r="R25" s="81">
        <f>SUM(R26:R33)</f>
        <v>2000000000</v>
      </c>
      <c r="S25" s="81"/>
      <c r="T25" s="81">
        <f>SUM(T27:T33)</f>
        <v>350000000</v>
      </c>
      <c r="U25" s="81">
        <f>SUM(U27:U33)</f>
        <v>0</v>
      </c>
      <c r="V25" s="81">
        <f>SUM(V27:V33)</f>
        <v>2100000000</v>
      </c>
      <c r="W25" s="81"/>
      <c r="X25" s="81">
        <f>SUM(X27:X33)</f>
        <v>0</v>
      </c>
      <c r="Y25" s="81">
        <f>SUM(Y27:Y33)</f>
        <v>1750000000</v>
      </c>
      <c r="Z25" s="81">
        <f>SUM(Z27:Z33)</f>
        <v>0</v>
      </c>
      <c r="AA25" s="31"/>
      <c r="AB25" s="32"/>
      <c r="AC25" s="32"/>
      <c r="AD25" s="32"/>
      <c r="AE25" s="32"/>
      <c r="AF25" s="31"/>
      <c r="AG25" s="31"/>
      <c r="AH25" s="31"/>
      <c r="AI25" s="31"/>
      <c r="AJ25" s="31"/>
      <c r="AK25" s="31"/>
      <c r="AL25" s="31"/>
      <c r="AM25" s="32"/>
    </row>
    <row r="26" spans="1:39" s="5" customFormat="1" ht="33.75" hidden="1" customHeight="1">
      <c r="J26" s="28"/>
      <c r="K26" s="50"/>
      <c r="L26" s="55"/>
      <c r="M26" s="36">
        <f>DATA!K15</f>
        <v>1</v>
      </c>
      <c r="N26" s="37" t="str">
        <f>DATA!L15</f>
        <v>Urban Arterial Road Improvement Project</v>
      </c>
      <c r="O26" s="37">
        <f>DATA!Q15</f>
        <v>1</v>
      </c>
      <c r="P26" s="37">
        <f>DATA!R15</f>
        <v>1</v>
      </c>
      <c r="Q26" s="37">
        <f>DATA!S15</f>
        <v>0</v>
      </c>
      <c r="R26" s="87">
        <f>DATA!T15</f>
        <v>250000000</v>
      </c>
      <c r="S26" s="87">
        <f>DATA!U15</f>
        <v>205000000</v>
      </c>
      <c r="T26" s="87">
        <f>DATA!V15</f>
        <v>50000000</v>
      </c>
      <c r="U26" s="87">
        <f>DATA!W15</f>
        <v>0</v>
      </c>
      <c r="V26" s="87">
        <f>DATA!X15</f>
        <v>300000000</v>
      </c>
      <c r="W26" s="78" t="str">
        <f>DATA!Y15</f>
        <v>JICA</v>
      </c>
      <c r="X26" s="37" t="str">
        <f>DATA!Z15</f>
        <v>Multilateral</v>
      </c>
      <c r="Y26" s="87">
        <f>DATA!AA15</f>
        <v>205000000</v>
      </c>
      <c r="Z26" s="87">
        <f>DATA!AG15</f>
        <v>0</v>
      </c>
      <c r="AA26" s="37">
        <f>DATA!AH15</f>
        <v>2016</v>
      </c>
      <c r="AB26" s="56" t="str">
        <f>DATA!AI15</f>
        <v>-</v>
      </c>
      <c r="AC26" s="56" t="str">
        <f>DATA!AJ15</f>
        <v>Sebagian telah ada FS, DED dan AMDAL</v>
      </c>
      <c r="AD26" s="56" t="str">
        <f>DATA!AK15</f>
        <v>-</v>
      </c>
      <c r="AE26" s="56" t="str">
        <f>DATA!AL15</f>
        <v>-</v>
      </c>
      <c r="AF26" s="31"/>
      <c r="AG26" s="31"/>
      <c r="AH26" s="31"/>
      <c r="AI26" s="31"/>
      <c r="AJ26" s="31"/>
      <c r="AK26" s="31"/>
      <c r="AL26" s="31"/>
      <c r="AM26" s="32"/>
    </row>
    <row r="27" spans="1:39" ht="37.5" hidden="1" customHeight="1">
      <c r="A27" s="10">
        <f>DATA!A16</f>
        <v>14</v>
      </c>
      <c r="B27" s="10">
        <f>DATA!B16</f>
        <v>0</v>
      </c>
      <c r="C27" s="10" t="str">
        <f>DATA!D16</f>
        <v>INFRASTRUKTUR</v>
      </c>
      <c r="D27" s="10">
        <f>DATA!E16</f>
        <v>1</v>
      </c>
      <c r="E27" s="10" t="str">
        <f>DATA!F16</f>
        <v>Kementerian Pekerjaan Umum dan Perumahan Rakyat</v>
      </c>
      <c r="F27" s="10" t="str">
        <f>DATA!H16</f>
        <v>Development and Improvement of National Roads Program</v>
      </c>
      <c r="G27" s="10" t="str">
        <f>DATA!I16</f>
        <v>C</v>
      </c>
      <c r="H27" s="10" t="str">
        <f>DATA!J16</f>
        <v>Program Pembangunan / Peningkatan Jalan</v>
      </c>
      <c r="I27" s="10">
        <f>DATA!K16</f>
        <v>2</v>
      </c>
      <c r="J27" s="33"/>
      <c r="K27" s="34"/>
      <c r="L27" s="34"/>
      <c r="M27" s="36">
        <f>DATA!K16</f>
        <v>2</v>
      </c>
      <c r="N27" s="37" t="str">
        <f>DATA!L16</f>
        <v>Construction of Development of Trans South-South, Eastern Java</v>
      </c>
      <c r="O27" s="20">
        <f>DATA!Q16</f>
        <v>1</v>
      </c>
      <c r="P27" s="20">
        <f>DATA!R16</f>
        <v>1</v>
      </c>
      <c r="Q27" s="20">
        <f>DATA!S16</f>
        <v>12</v>
      </c>
      <c r="R27" s="77">
        <f>DATA!T16</f>
        <v>250000000</v>
      </c>
      <c r="S27" s="77">
        <f>DATA!U16</f>
        <v>250000000</v>
      </c>
      <c r="T27" s="77">
        <f>DATA!V16</f>
        <v>50000000</v>
      </c>
      <c r="U27" s="77">
        <f>DATA!W16</f>
        <v>0</v>
      </c>
      <c r="V27" s="77">
        <f>DATA!X16</f>
        <v>300000000</v>
      </c>
      <c r="W27" s="88" t="str">
        <f>DATA!Y16</f>
        <v>IDB</v>
      </c>
      <c r="X27" s="77" t="str">
        <f>DATA!Z16</f>
        <v>Multilateral</v>
      </c>
      <c r="Y27" s="77">
        <f>DATA!AA16</f>
        <v>250000000</v>
      </c>
      <c r="Z27" s="77">
        <f>DATA!AG16</f>
        <v>0</v>
      </c>
      <c r="AA27" s="100">
        <f>DATA!AH16</f>
        <v>2016</v>
      </c>
      <c r="AB27" s="101" t="str">
        <f>DATA!AI16</f>
        <v>-</v>
      </c>
      <c r="AC27" s="101" t="str">
        <f>DATA!AJ16</f>
        <v>FS ada, DED dan AMDAL sebagian</v>
      </c>
      <c r="AD27" s="101" t="str">
        <f>DATA!AK16</f>
        <v>-</v>
      </c>
      <c r="AE27" s="56" t="str">
        <f>DATA!AL16</f>
        <v>-</v>
      </c>
      <c r="AF27" s="20" t="str">
        <f>DATA!AM16</f>
        <v>Rev. 2016</v>
      </c>
      <c r="AG27" s="20" t="str">
        <f>DATA!AN16</f>
        <v>siap</v>
      </c>
      <c r="AH27" s="20" t="str">
        <f>DATA!AO16</f>
        <v>belum ada keterangan</v>
      </c>
      <c r="AI27" s="20" t="str">
        <f>DATA!AP16</f>
        <v>belum ada proses tender/lelang</v>
      </c>
      <c r="AJ27" s="20" t="str">
        <f>DATA!AY16</f>
        <v>Konfirmasi melalui surat Sekjen nomor KU.01.12-Sj/636 tgl 23 Oktober 2015</v>
      </c>
      <c r="AK27" s="20" t="e">
        <f>DATA!#REF!</f>
        <v>#REF!</v>
      </c>
      <c r="AL27" s="20">
        <f>DATA!AZ16</f>
        <v>0</v>
      </c>
      <c r="AM27" s="37" t="str">
        <f>DATA!BA16</f>
        <v>Pembangunan dan peningkatan 200 km jalan Trans Selatan Selatan Pulau Jawa</v>
      </c>
    </row>
    <row r="28" spans="1:39" ht="45.75" hidden="1" customHeight="1">
      <c r="A28" s="10">
        <f>DATA!A17</f>
        <v>15</v>
      </c>
      <c r="B28" s="10">
        <f>DATA!B17</f>
        <v>0</v>
      </c>
      <c r="C28" s="10" t="str">
        <f>DATA!D17</f>
        <v>INFRASTRUKTUR</v>
      </c>
      <c r="D28" s="10">
        <f>DATA!E17</f>
        <v>1</v>
      </c>
      <c r="E28" s="10" t="str">
        <f>DATA!F17</f>
        <v>Kementerian Pekerjaan Umum dan Perumahan Rakyat</v>
      </c>
      <c r="F28" s="10" t="str">
        <f>DATA!H17</f>
        <v>Development and Improvement of National Roads Program</v>
      </c>
      <c r="G28" s="10" t="str">
        <f>DATA!I17</f>
        <v>C</v>
      </c>
      <c r="H28" s="10" t="str">
        <f>DATA!J17</f>
        <v>Program Pembangunan / Peningkatan Jalan</v>
      </c>
      <c r="I28" s="10">
        <f>DATA!K17</f>
        <v>3</v>
      </c>
      <c r="J28" s="33"/>
      <c r="K28" s="34"/>
      <c r="L28" s="34"/>
      <c r="M28" s="36">
        <f>DATA!K17</f>
        <v>3</v>
      </c>
      <c r="N28" s="37" t="str">
        <f>DATA!L17</f>
        <v>Road Improvement Project to Support Integrated Land and Sea Toll Way - Northern Area</v>
      </c>
      <c r="O28" s="20">
        <f>DATA!Q17</f>
        <v>1</v>
      </c>
      <c r="P28" s="20">
        <f>DATA!R17</f>
        <v>1</v>
      </c>
      <c r="Q28" s="20">
        <f>DATA!S17</f>
        <v>13</v>
      </c>
      <c r="R28" s="77">
        <f>DATA!T17</f>
        <v>250000000</v>
      </c>
      <c r="S28" s="83">
        <f>DATA!U16</f>
        <v>250000000</v>
      </c>
      <c r="T28" s="77">
        <f>DATA!V17</f>
        <v>50000000</v>
      </c>
      <c r="U28" s="77">
        <f>DATA!W17</f>
        <v>0</v>
      </c>
      <c r="V28" s="77">
        <f>DATA!X17</f>
        <v>300000000</v>
      </c>
      <c r="W28" s="78" t="str">
        <f>DATA!Y17</f>
        <v>Bank Dunia</v>
      </c>
      <c r="X28" s="20" t="str">
        <f>DATA!Z17</f>
        <v>Multilateral</v>
      </c>
      <c r="Y28" s="77">
        <f>DATA!AA17</f>
        <v>250000000</v>
      </c>
      <c r="Z28" s="77">
        <f>DATA!AG17</f>
        <v>0</v>
      </c>
      <c r="AA28" s="20" t="str">
        <f>DATA!AH17</f>
        <v>Tanpa keterangan</v>
      </c>
      <c r="AB28" s="56" t="str">
        <f>DATA!AI17</f>
        <v>-</v>
      </c>
      <c r="AC28" s="56" t="str">
        <f>DATA!AJ17</f>
        <v>-</v>
      </c>
      <c r="AD28" s="56" t="str">
        <f>DATA!AK17</f>
        <v>-</v>
      </c>
      <c r="AE28" s="56" t="str">
        <f>DATA!AL17</f>
        <v>-</v>
      </c>
      <c r="AF28" s="20">
        <f>DATA!AM17</f>
        <v>0</v>
      </c>
      <c r="AG28" s="20" t="str">
        <f>DATA!AN17</f>
        <v>belum ada keterangan</v>
      </c>
      <c r="AH28" s="20" t="str">
        <f>DATA!AO17</f>
        <v>belum ada keterangan</v>
      </c>
      <c r="AI28" s="20" t="str">
        <f>DATA!AP17</f>
        <v>belum ada proses tender/lelang</v>
      </c>
      <c r="AJ28" s="20" t="str">
        <f>DATA!AY17</f>
        <v>Konfirmasi melalui surat Sekjen nomor KU.01.12-Sj/636 tgl 23 Oktober 2015</v>
      </c>
      <c r="AK28" s="20" t="e">
        <f>DATA!#REF!</f>
        <v>#REF!</v>
      </c>
      <c r="AL28" s="20" t="str">
        <f>DATA!AZ17</f>
        <v>termasuk ES (akan dipecah?) -&gt; konfirmasi tgl 15 Okt' 15</v>
      </c>
      <c r="AM28" s="37" t="str">
        <f>DATA!BA17</f>
        <v>Pembangunan/peningkatan 200 km jalan untuk mendukung tol laut bagian utara termasuk (i) koridor Aceh - Medan - Riau dan (ii) Medan - Sibolga</v>
      </c>
    </row>
    <row r="29" spans="1:39" ht="84" hidden="1" customHeight="1">
      <c r="A29" s="10">
        <f>DATA!A18</f>
        <v>16</v>
      </c>
      <c r="B29" s="10">
        <f>DATA!B18</f>
        <v>0</v>
      </c>
      <c r="C29" s="10" t="str">
        <f>DATA!D18</f>
        <v>INFRASTRUKTUR</v>
      </c>
      <c r="D29" s="10">
        <f>DATA!E18</f>
        <v>1</v>
      </c>
      <c r="E29" s="10" t="str">
        <f>DATA!F18</f>
        <v>Kementerian Pekerjaan Umum dan Perumahan Rakyat</v>
      </c>
      <c r="F29" s="10" t="str">
        <f>DATA!H18</f>
        <v>Development and Improvement of National Roads Program</v>
      </c>
      <c r="G29" s="10" t="str">
        <f>DATA!I18</f>
        <v>C</v>
      </c>
      <c r="H29" s="10" t="str">
        <f>DATA!J18</f>
        <v>Program Pembangunan / Peningkatan Jalan</v>
      </c>
      <c r="I29" s="10">
        <f>DATA!K18</f>
        <v>4</v>
      </c>
      <c r="J29" s="33"/>
      <c r="K29" s="34"/>
      <c r="L29" s="34"/>
      <c r="M29" s="36">
        <f>DATA!K18</f>
        <v>4</v>
      </c>
      <c r="N29" s="37" t="str">
        <f>DATA!L18</f>
        <v>Road Improvement Project to Support Integrated Land and Sea Toll Way - Southern Area</v>
      </c>
      <c r="O29" s="20">
        <f>DATA!Q18</f>
        <v>1</v>
      </c>
      <c r="P29" s="20">
        <f>DATA!R18</f>
        <v>1</v>
      </c>
      <c r="Q29" s="20">
        <f>DATA!S18</f>
        <v>14</v>
      </c>
      <c r="R29" s="77">
        <f>DATA!T18</f>
        <v>250000000</v>
      </c>
      <c r="S29" s="83">
        <f>DATA!U17</f>
        <v>250000000</v>
      </c>
      <c r="T29" s="77">
        <f>DATA!V18</f>
        <v>50000000</v>
      </c>
      <c r="U29" s="77">
        <f>DATA!W18</f>
        <v>0</v>
      </c>
      <c r="V29" s="77">
        <f>DATA!X18</f>
        <v>300000000</v>
      </c>
      <c r="W29" s="78" t="str">
        <f>DATA!Y18</f>
        <v>Bank Dunia/ADB</v>
      </c>
      <c r="X29" s="20" t="str">
        <f>DATA!Z18</f>
        <v>Multi Lender</v>
      </c>
      <c r="Y29" s="77">
        <f>DATA!AA18</f>
        <v>250000000</v>
      </c>
      <c r="Z29" s="77">
        <f>DATA!AG18</f>
        <v>0</v>
      </c>
      <c r="AA29" s="20" t="str">
        <f>DATA!AH18</f>
        <v>Tanpa keterangan</v>
      </c>
      <c r="AB29" s="56" t="str">
        <f>DATA!AI18</f>
        <v>-</v>
      </c>
      <c r="AC29" s="56" t="str">
        <f>DATA!AJ18</f>
        <v>-</v>
      </c>
      <c r="AD29" s="56" t="str">
        <f>DATA!AK18</f>
        <v>-</v>
      </c>
      <c r="AE29" s="56" t="str">
        <f>DATA!AL18</f>
        <v>-</v>
      </c>
      <c r="AF29" s="20" t="str">
        <f>DATA!AR18</f>
        <v>belum ada dokumen R/C</v>
      </c>
      <c r="AG29" s="20" t="str">
        <f>DATA!AN18</f>
        <v>belum ada keterangan</v>
      </c>
      <c r="AH29" s="20" t="str">
        <f>DATA!AO18</f>
        <v>belum ada keterangan</v>
      </c>
      <c r="AI29" s="20" t="str">
        <f>DATA!AP18</f>
        <v>belum ada proses tender/lelang</v>
      </c>
      <c r="AJ29" s="20" t="str">
        <f>DATA!AY18</f>
        <v>Konfirmasi melalui surat Sekjen nomor KU.01.12-Sj/636 tgl 23 Oktober 2015</v>
      </c>
      <c r="AK29" s="20" t="e">
        <f>DATA!#REF!</f>
        <v>#REF!</v>
      </c>
      <c r="AL29" s="20">
        <f>DATA!AZ18</f>
        <v>0</v>
      </c>
      <c r="AM29" s="37"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row>
    <row r="30" spans="1:39" ht="46.5" hidden="1" customHeight="1">
      <c r="A30" s="10">
        <f>DATA!A19</f>
        <v>17</v>
      </c>
      <c r="B30" s="10">
        <f>DATA!B19</f>
        <v>0</v>
      </c>
      <c r="C30" s="10" t="str">
        <f>DATA!D19</f>
        <v>INFRASTRUKTUR</v>
      </c>
      <c r="D30" s="10">
        <f>DATA!E19</f>
        <v>1</v>
      </c>
      <c r="E30" s="10" t="str">
        <f>DATA!F19</f>
        <v>Kementerian Pekerjaan Umum dan Perumahan Rakyat</v>
      </c>
      <c r="F30" s="10" t="str">
        <f>DATA!H19</f>
        <v>Development and Improvement of National Roads Program</v>
      </c>
      <c r="G30" s="10" t="str">
        <f>DATA!I19</f>
        <v>C</v>
      </c>
      <c r="H30" s="10" t="str">
        <f>DATA!J19</f>
        <v>Program Pembangunan / Peningkatan Jalan</v>
      </c>
      <c r="I30" s="10">
        <f>DATA!K19</f>
        <v>5</v>
      </c>
      <c r="J30" s="33"/>
      <c r="K30" s="34"/>
      <c r="L30" s="34"/>
      <c r="M30" s="36">
        <f>DATA!K19</f>
        <v>5</v>
      </c>
      <c r="N30" s="37" t="str">
        <f>DATA!L19</f>
        <v>National Road Improvement in West and South Kalimantan</v>
      </c>
      <c r="O30" s="20">
        <f>DATA!Q19</f>
        <v>1</v>
      </c>
      <c r="P30" s="20">
        <f>DATA!R19</f>
        <v>1</v>
      </c>
      <c r="Q30" s="20">
        <f>DATA!S19</f>
        <v>15</v>
      </c>
      <c r="R30" s="77">
        <f>DATA!T19</f>
        <v>250000000</v>
      </c>
      <c r="S30" s="83">
        <f>DATA!U18</f>
        <v>250000000</v>
      </c>
      <c r="T30" s="77">
        <f>DATA!V19</f>
        <v>50000000</v>
      </c>
      <c r="U30" s="77">
        <f>DATA!W19</f>
        <v>0</v>
      </c>
      <c r="V30" s="77">
        <f>DATA!X19</f>
        <v>300000000</v>
      </c>
      <c r="W30" s="78" t="str">
        <f>DATA!Y19</f>
        <v>IDB</v>
      </c>
      <c r="X30" s="20" t="str">
        <f>DATA!Z19</f>
        <v>Multilateral</v>
      </c>
      <c r="Y30" s="77">
        <f>DATA!AA19</f>
        <v>250000000</v>
      </c>
      <c r="Z30" s="77">
        <f>DATA!AG19</f>
        <v>0</v>
      </c>
      <c r="AA30" s="20">
        <f>DATA!AH19</f>
        <v>2017</v>
      </c>
      <c r="AB30" s="56" t="str">
        <f>DATA!AI19</f>
        <v>-</v>
      </c>
      <c r="AC30" s="56" t="str">
        <f>DATA!AJ19</f>
        <v>-</v>
      </c>
      <c r="AD30" s="56" t="str">
        <f>DATA!AK19</f>
        <v>-</v>
      </c>
      <c r="AE30" s="56" t="str">
        <f>DATA!AL19</f>
        <v>-</v>
      </c>
      <c r="AF30" s="20" t="str">
        <f>DATA!AR19</f>
        <v>belum ada dokumen R/C</v>
      </c>
      <c r="AG30" s="20" t="str">
        <f>DATA!AN19</f>
        <v>belum ada keterangan</v>
      </c>
      <c r="AH30" s="20" t="str">
        <f>DATA!AO19</f>
        <v>belum ada keterangan</v>
      </c>
      <c r="AI30" s="20" t="str">
        <f>DATA!AP19</f>
        <v>belum ada proses tender/lelang</v>
      </c>
      <c r="AJ30" s="20" t="str">
        <f>DATA!AY19</f>
        <v>Konfirmasi melalui surat Sekjen nomor KU.01.12-Sj/636 tgl 23 Oktober 2015</v>
      </c>
      <c r="AK30" s="20" t="e">
        <f>DATA!#REF!</f>
        <v>#REF!</v>
      </c>
      <c r="AL30" s="20">
        <f>DATA!AZ19</f>
        <v>0</v>
      </c>
      <c r="AM30" s="37" t="str">
        <f>DATA!BA19</f>
        <v>Pembangunan/peningkatan 200 km jalan di daerah koridor perbatasan di Kalimantan Barat dan jalan internasional di Kalimantan Selatan</v>
      </c>
    </row>
    <row r="31" spans="1:39" ht="36.75" hidden="1" customHeight="1">
      <c r="A31" s="10">
        <f>DATA!A20</f>
        <v>18</v>
      </c>
      <c r="B31" s="10">
        <f>DATA!B20</f>
        <v>0</v>
      </c>
      <c r="C31" s="10" t="str">
        <f>DATA!D20</f>
        <v>INFRASTRUKTUR</v>
      </c>
      <c r="D31" s="10">
        <f>DATA!E20</f>
        <v>1</v>
      </c>
      <c r="E31" s="10" t="str">
        <f>DATA!F20</f>
        <v>Kementerian Pekerjaan Umum dan Perumahan Rakyat</v>
      </c>
      <c r="F31" s="10" t="str">
        <f>DATA!H20</f>
        <v>Development and Improvement of National Roads Program</v>
      </c>
      <c r="G31" s="10" t="str">
        <f>DATA!I20</f>
        <v>C</v>
      </c>
      <c r="H31" s="10" t="str">
        <f>DATA!J20</f>
        <v>Program Pembangunan / Peningkatan Jalan</v>
      </c>
      <c r="I31" s="10">
        <f>DATA!K20</f>
        <v>6</v>
      </c>
      <c r="J31" s="33"/>
      <c r="K31" s="34"/>
      <c r="L31" s="34"/>
      <c r="M31" s="36">
        <f>DATA!K20</f>
        <v>6</v>
      </c>
      <c r="N31" s="37" t="str">
        <f>DATA!L20</f>
        <v>National Road Improvement in Central Kalimantan</v>
      </c>
      <c r="O31" s="20">
        <f>DATA!Q20</f>
        <v>1</v>
      </c>
      <c r="P31" s="20">
        <f>DATA!R20</f>
        <v>1</v>
      </c>
      <c r="Q31" s="20">
        <f>DATA!S20</f>
        <v>16</v>
      </c>
      <c r="R31" s="77">
        <f>DATA!T20</f>
        <v>250000000</v>
      </c>
      <c r="S31" s="83">
        <f>DATA!U19</f>
        <v>250000000</v>
      </c>
      <c r="T31" s="77">
        <f>DATA!V20</f>
        <v>50000000</v>
      </c>
      <c r="U31" s="77">
        <f>DATA!W20</f>
        <v>0</v>
      </c>
      <c r="V31" s="77">
        <f>DATA!X20</f>
        <v>300000000</v>
      </c>
      <c r="W31" s="78" t="str">
        <f>DATA!Y20</f>
        <v>Bank Dunia/ADB</v>
      </c>
      <c r="X31" s="20" t="str">
        <f>DATA!Z20</f>
        <v>Multi Lender</v>
      </c>
      <c r="Y31" s="77">
        <f>DATA!AA20</f>
        <v>250000000</v>
      </c>
      <c r="Z31" s="77">
        <f>DATA!AG20</f>
        <v>0</v>
      </c>
      <c r="AA31" s="20" t="str">
        <f>DATA!AH20</f>
        <v>Tanpa keterangan</v>
      </c>
      <c r="AB31" s="56" t="str">
        <f>DATA!AI20</f>
        <v>-</v>
      </c>
      <c r="AC31" s="56" t="str">
        <f>DATA!AJ20</f>
        <v xml:space="preserve">FS, BD, AMDAL, Penyusunan DED, SP2LP </v>
      </c>
      <c r="AD31" s="56" t="str">
        <f>DATA!AK20</f>
        <v>-</v>
      </c>
      <c r="AE31" s="56" t="str">
        <f>DATA!AL20</f>
        <v>-</v>
      </c>
      <c r="AF31" s="20" t="str">
        <f>DATA!AR20</f>
        <v>belum ada dokumen R/C</v>
      </c>
      <c r="AG31" s="20" t="str">
        <f>DATA!AN20</f>
        <v>siap</v>
      </c>
      <c r="AH31" s="20" t="str">
        <f>DATA!AO20</f>
        <v>belum ada keterangan</v>
      </c>
      <c r="AI31" s="20" t="str">
        <f>DATA!AP20</f>
        <v>belum ada proses tender/lelang</v>
      </c>
      <c r="AJ31" s="20" t="str">
        <f>DATA!AY20</f>
        <v>Konfirmasi melalui surat Sekjen nomor KU.01.12-Sj/636 tgl 23 Oktober 2015</v>
      </c>
      <c r="AK31" s="20" t="e">
        <f>DATA!#REF!</f>
        <v>#REF!</v>
      </c>
      <c r="AL31" s="20">
        <f>DATA!AZ20</f>
        <v>0</v>
      </c>
      <c r="AM31" s="37" t="str">
        <f>DATA!BA20</f>
        <v>Pembangunan 200 km jalan di wilayah Kalimantan Tengah</v>
      </c>
    </row>
    <row r="32" spans="1:39" ht="31.5" hidden="1" customHeight="1">
      <c r="A32" s="10">
        <f>DATA!A21</f>
        <v>19</v>
      </c>
      <c r="B32" s="10">
        <f>DATA!B21</f>
        <v>0</v>
      </c>
      <c r="C32" s="10" t="str">
        <f>DATA!D21</f>
        <v>INFRASTRUKTUR</v>
      </c>
      <c r="D32" s="10">
        <f>DATA!E21</f>
        <v>1</v>
      </c>
      <c r="E32" s="10" t="str">
        <f>DATA!F21</f>
        <v>Kementerian Pekerjaan Umum dan Perumahan Rakyat</v>
      </c>
      <c r="F32" s="10" t="str">
        <f>DATA!H21</f>
        <v>Development and Improvement of National Roads Program</v>
      </c>
      <c r="G32" s="10" t="str">
        <f>DATA!I21</f>
        <v>C</v>
      </c>
      <c r="H32" s="10" t="str">
        <f>DATA!J21</f>
        <v>Program Pembangunan / Peningkatan Jalan</v>
      </c>
      <c r="I32" s="10">
        <f>DATA!K21</f>
        <v>7</v>
      </c>
      <c r="J32" s="33"/>
      <c r="K32" s="34"/>
      <c r="L32" s="34"/>
      <c r="M32" s="36">
        <f>DATA!K21</f>
        <v>7</v>
      </c>
      <c r="N32" s="37" t="str">
        <f>DATA!L21</f>
        <v>National Road Improvement in North and East Kalimantan</v>
      </c>
      <c r="O32" s="20">
        <f>DATA!Q21</f>
        <v>1</v>
      </c>
      <c r="P32" s="20">
        <f>DATA!R21</f>
        <v>1</v>
      </c>
      <c r="Q32" s="20">
        <f>DATA!S21</f>
        <v>17</v>
      </c>
      <c r="R32" s="77">
        <f>DATA!T21</f>
        <v>250000000</v>
      </c>
      <c r="S32" s="83">
        <f>DATA!U20</f>
        <v>250000000</v>
      </c>
      <c r="T32" s="77">
        <f>DATA!V21</f>
        <v>50000000</v>
      </c>
      <c r="U32" s="77">
        <f>DATA!W21</f>
        <v>0</v>
      </c>
      <c r="V32" s="77">
        <f>DATA!X21</f>
        <v>300000000</v>
      </c>
      <c r="W32" s="78" t="str">
        <f>DATA!Y21</f>
        <v>IDB</v>
      </c>
      <c r="X32" s="20" t="str">
        <f>DATA!Z21</f>
        <v>Multilateral</v>
      </c>
      <c r="Y32" s="77">
        <f>DATA!AA21</f>
        <v>250000000</v>
      </c>
      <c r="Z32" s="77">
        <f>DATA!AG21</f>
        <v>0</v>
      </c>
      <c r="AA32" s="20">
        <f>DATA!AH21</f>
        <v>2016</v>
      </c>
      <c r="AB32" s="56" t="str">
        <f>DATA!AI21</f>
        <v>-</v>
      </c>
      <c r="AC32" s="56" t="str">
        <f>DATA!AJ21</f>
        <v>FS dan BD ada, DED dan AMDAL sebagian</v>
      </c>
      <c r="AD32" s="56" t="str">
        <f>DATA!AK21</f>
        <v>-</v>
      </c>
      <c r="AE32" s="56" t="str">
        <f>DATA!AL21</f>
        <v>-</v>
      </c>
      <c r="AF32" s="20" t="str">
        <f>DATA!AR21</f>
        <v>belum ada dokumen R/C</v>
      </c>
      <c r="AG32" s="20" t="str">
        <f>DATA!AN21</f>
        <v>siap</v>
      </c>
      <c r="AH32" s="20" t="str">
        <f>DATA!AO21</f>
        <v>belum ada keterangan</v>
      </c>
      <c r="AI32" s="20" t="str">
        <f>DATA!AP21</f>
        <v>belum ada proses tender/lelang</v>
      </c>
      <c r="AJ32" s="20" t="str">
        <f>DATA!AY21</f>
        <v>Konfirmasi melalui surat Sekjen nomor KU.01.12-Sj/636 tgl 23 Oktober 201515</v>
      </c>
      <c r="AK32" s="20" t="e">
        <f>DATA!#REF!</f>
        <v>#REF!</v>
      </c>
      <c r="AL32" s="20">
        <f>DATA!AZ21</f>
        <v>0</v>
      </c>
      <c r="AM32" s="37" t="str">
        <f>DATA!BA21</f>
        <v>Pembangunan 200 km jalan di wilayah Kalimantan Utara dan Kalimantan Timur</v>
      </c>
    </row>
    <row r="33" spans="1:39" ht="48" hidden="1" customHeight="1">
      <c r="A33" s="10">
        <f>DATA!A22</f>
        <v>20</v>
      </c>
      <c r="B33" s="10">
        <f>DATA!B22</f>
        <v>0</v>
      </c>
      <c r="C33" s="10" t="str">
        <f>DATA!D22</f>
        <v>INFRASTRUKTUR</v>
      </c>
      <c r="D33" s="10">
        <f>DATA!E22</f>
        <v>1</v>
      </c>
      <c r="E33" s="10" t="str">
        <f>DATA!F22</f>
        <v>Kementerian Pekerjaan Umum dan Perumahan Rakyat</v>
      </c>
      <c r="F33" s="10" t="str">
        <f>DATA!H22</f>
        <v>Development and Improvement of National Roads Program</v>
      </c>
      <c r="G33" s="10" t="str">
        <f>DATA!I22</f>
        <v>C</v>
      </c>
      <c r="H33" s="10" t="str">
        <f>DATA!J22</f>
        <v>Program Pembangunan / Peningkatan Jalan</v>
      </c>
      <c r="I33" s="10">
        <f>DATA!K22</f>
        <v>8</v>
      </c>
      <c r="J33" s="33"/>
      <c r="K33" s="34"/>
      <c r="L33" s="54"/>
      <c r="M33" s="36">
        <f>DATA!K22</f>
        <v>8</v>
      </c>
      <c r="N33" s="37" t="str">
        <f>DATA!L22</f>
        <v>Road Improvement Project in Sulawesi Island and Major Cities</v>
      </c>
      <c r="O33" s="20">
        <f>DATA!Q22</f>
        <v>1</v>
      </c>
      <c r="P33" s="20">
        <f>DATA!R22</f>
        <v>1</v>
      </c>
      <c r="Q33" s="20">
        <f>DATA!S22</f>
        <v>18</v>
      </c>
      <c r="R33" s="77">
        <f>DATA!T22</f>
        <v>250000000</v>
      </c>
      <c r="S33" s="83">
        <f>DATA!U21</f>
        <v>250000000</v>
      </c>
      <c r="T33" s="77">
        <f>DATA!V22</f>
        <v>50000000</v>
      </c>
      <c r="U33" s="77">
        <f>DATA!W22</f>
        <v>0</v>
      </c>
      <c r="V33" s="77">
        <f>DATA!X22</f>
        <v>300000000</v>
      </c>
      <c r="W33" s="78" t="str">
        <f>DATA!Y22</f>
        <v>IDB</v>
      </c>
      <c r="X33" s="20" t="str">
        <f>DATA!Z22</f>
        <v>Multilateral</v>
      </c>
      <c r="Y33" s="77">
        <f>DATA!AA22</f>
        <v>250000000</v>
      </c>
      <c r="Z33" s="77">
        <f>DATA!AG22</f>
        <v>0</v>
      </c>
      <c r="AA33" s="20">
        <f>DATA!AH22</f>
        <v>2016</v>
      </c>
      <c r="AB33" s="56" t="str">
        <f>DATA!AI22</f>
        <v>-</v>
      </c>
      <c r="AC33" s="56" t="str">
        <f>DATA!AJ22</f>
        <v>FS, AMDAL</v>
      </c>
      <c r="AD33" s="56" t="str">
        <f>DATA!AK22</f>
        <v>-</v>
      </c>
      <c r="AE33" s="56" t="str">
        <f>DATA!AL22</f>
        <v>-</v>
      </c>
      <c r="AF33" s="20" t="str">
        <f>DATA!AR22</f>
        <v>belum ada dokumen R/C</v>
      </c>
      <c r="AG33" s="20" t="str">
        <f>DATA!AN22</f>
        <v>siap</v>
      </c>
      <c r="AH33" s="20" t="str">
        <f>DATA!AO22</f>
        <v>belum ada keterangan</v>
      </c>
      <c r="AI33" s="20" t="str">
        <f>DATA!AP22</f>
        <v>belum ada proses tender/lelang</v>
      </c>
      <c r="AJ33" s="20" t="str">
        <f>DATA!AY22</f>
        <v xml:space="preserve">Konfirmasi melalui surat Sekjen nomor KU.01.12-Sj/636 tgl 23 Oktober 2015
</v>
      </c>
      <c r="AK33" s="20" t="e">
        <f>DATA!#REF!</f>
        <v>#REF!</v>
      </c>
      <c r="AL33" s="20" t="str">
        <f>DATA!AZ22</f>
        <v xml:space="preserve">Lender kembali IDB berdasarkan hasil konfirmasi rapat dgn Dit,Multilateral tgl 15 Okt'15 </v>
      </c>
      <c r="AM33" s="37" t="str">
        <f>DATA!BA22</f>
        <v xml:space="preserve">Pembangunan jalan (ringroad dan bypass) sepanjang sekitar 200 km di wilayah metropolitan Mamminasata dan Gorontalo Outer Ring Road </v>
      </c>
    </row>
    <row r="34" spans="1:39" s="8" customFormat="1" ht="48" customHeight="1">
      <c r="A34" s="10"/>
      <c r="B34" s="10"/>
      <c r="C34" s="10"/>
      <c r="D34" s="10"/>
      <c r="E34" s="10"/>
      <c r="F34" s="10"/>
      <c r="G34" s="10"/>
      <c r="H34" s="10"/>
      <c r="I34" s="10"/>
      <c r="J34" s="57"/>
      <c r="K34" s="58"/>
      <c r="L34" s="111"/>
      <c r="M34" s="60">
        <f>DATA!K23</f>
        <v>9</v>
      </c>
      <c r="N34" s="127" t="str">
        <f>DATA!L23</f>
        <v>Engineering Service for National Roads Development Project</v>
      </c>
      <c r="O34" s="36">
        <f>DATA!Q23</f>
        <v>0</v>
      </c>
      <c r="P34" s="36">
        <f>DATA!R23</f>
        <v>1</v>
      </c>
      <c r="Q34" s="36">
        <f>DATA!S23</f>
        <v>0</v>
      </c>
      <c r="R34" s="128">
        <f>DATA!T23</f>
        <v>0</v>
      </c>
      <c r="S34" s="128">
        <f>DATA!U23</f>
        <v>45000000</v>
      </c>
      <c r="T34" s="128">
        <f>DATA!V23</f>
        <v>0</v>
      </c>
      <c r="U34" s="88">
        <f>DATA!W23</f>
        <v>0</v>
      </c>
      <c r="V34" s="128">
        <f>DATA!X23</f>
        <v>0</v>
      </c>
      <c r="W34" s="128" t="str">
        <f>DATA!Y23</f>
        <v>ADB</v>
      </c>
      <c r="X34" s="88" t="str">
        <f>DATA!Z23</f>
        <v>Multilateral</v>
      </c>
      <c r="Y34" s="128">
        <f>DATA!AA23</f>
        <v>45000000</v>
      </c>
      <c r="Z34" s="128">
        <f>DATA!AG23</f>
        <v>0</v>
      </c>
      <c r="AA34" s="129">
        <f>DATA!AH23</f>
        <v>2016</v>
      </c>
      <c r="AB34" s="127" t="str">
        <f>DATA!AI23</f>
        <v>- Sudah ada R/C
- Green Book 2015</v>
      </c>
      <c r="AC34" s="127" t="str">
        <f>DATA!AJ23</f>
        <v>-</v>
      </c>
      <c r="AD34" s="127" t="str">
        <f>DATA!AK23</f>
        <v>-</v>
      </c>
      <c r="AE34" s="127" t="str">
        <f>DATA!AL23</f>
        <v>-</v>
      </c>
      <c r="AF34" s="20"/>
      <c r="AG34" s="20"/>
      <c r="AH34" s="20"/>
      <c r="AI34" s="20"/>
      <c r="AJ34" s="20"/>
      <c r="AK34" s="20"/>
      <c r="AL34" s="20"/>
      <c r="AM34" s="37"/>
    </row>
    <row r="35" spans="1:39" s="5" customFormat="1" ht="33.75" hidden="1" customHeight="1">
      <c r="J35" s="28"/>
      <c r="K35" s="50"/>
      <c r="L35" s="30" t="str">
        <f>DATA!I24</f>
        <v>D</v>
      </c>
      <c r="M35" s="31" t="str">
        <f>DATA!J24</f>
        <v>Program Pembangunan Air Minum</v>
      </c>
      <c r="N35" s="51"/>
      <c r="O35" s="31"/>
      <c r="P35" s="31"/>
      <c r="Q35" s="31"/>
      <c r="R35" s="81">
        <f>+R36+R37+R38+R47</f>
        <v>1197680000</v>
      </c>
      <c r="S35" s="81"/>
      <c r="T35" s="81">
        <f>+T36+T37+T38+T47</f>
        <v>59434000</v>
      </c>
      <c r="U35" s="81">
        <f>+U36+U37+U38+U47</f>
        <v>0</v>
      </c>
      <c r="V35" s="81">
        <f>+V36+V37+V38+V47</f>
        <v>1257114000</v>
      </c>
      <c r="W35" s="81"/>
      <c r="X35" s="81" t="e">
        <f>+X36+X37+X38+X47</f>
        <v>#VALUE!</v>
      </c>
      <c r="Y35" s="81">
        <f>+Y36+Y37+Y38+Y47</f>
        <v>1197680000</v>
      </c>
      <c r="Z35" s="81">
        <f>+Z36+Z37+Z38+Z47</f>
        <v>0</v>
      </c>
      <c r="AA35" s="31"/>
      <c r="AB35" s="32"/>
      <c r="AC35" s="32"/>
      <c r="AD35" s="32"/>
      <c r="AE35" s="32"/>
      <c r="AF35" s="31"/>
      <c r="AG35" s="31"/>
      <c r="AH35" s="31"/>
      <c r="AI35" s="31"/>
      <c r="AJ35" s="31"/>
      <c r="AK35" s="31"/>
      <c r="AL35" s="31"/>
      <c r="AM35" s="32"/>
    </row>
    <row r="36" spans="1:39" ht="42" hidden="1" customHeight="1">
      <c r="A36" s="10">
        <f>DATA!A24</f>
        <v>21</v>
      </c>
      <c r="B36" s="10">
        <f>DATA!B24</f>
        <v>0</v>
      </c>
      <c r="C36" s="10" t="str">
        <f>DATA!D24</f>
        <v>INFRASTRUKTUR</v>
      </c>
      <c r="D36" s="10">
        <f>DATA!E24</f>
        <v>1</v>
      </c>
      <c r="E36" s="10" t="str">
        <f>DATA!F24</f>
        <v>Kementerian Pekerjaan Umum dan Perumahan Rakyat</v>
      </c>
      <c r="F36" s="10" t="str">
        <f>DATA!H24</f>
        <v>Drinking Water Development Program</v>
      </c>
      <c r="G36" s="10" t="str">
        <f>DATA!I24</f>
        <v>D</v>
      </c>
      <c r="H36" s="10" t="str">
        <f>DATA!J24</f>
        <v>Program Pembangunan Air Minum</v>
      </c>
      <c r="I36" s="10">
        <f>DATA!K24</f>
        <v>1</v>
      </c>
      <c r="J36" s="33"/>
      <c r="K36" s="34"/>
      <c r="L36" s="35"/>
      <c r="M36" s="36">
        <f>DATA!K24</f>
        <v>1</v>
      </c>
      <c r="N36" s="37" t="str">
        <f>DATA!L24</f>
        <v>Community Based Water and Sanitation Program  (PAMSIMAS)</v>
      </c>
      <c r="O36" s="20">
        <f>DATA!Q24</f>
        <v>1</v>
      </c>
      <c r="P36" s="20">
        <f>DATA!R24</f>
        <v>1</v>
      </c>
      <c r="Q36" s="20">
        <f>DATA!S24</f>
        <v>19</v>
      </c>
      <c r="R36" s="77">
        <f>DATA!T24</f>
        <v>300000000</v>
      </c>
      <c r="S36" s="77"/>
      <c r="T36" s="77">
        <f>DATA!V24</f>
        <v>15000000</v>
      </c>
      <c r="U36" s="77">
        <f>DATA!W24</f>
        <v>0</v>
      </c>
      <c r="V36" s="77">
        <f>DATA!X24</f>
        <v>315000000</v>
      </c>
      <c r="W36" s="78" t="str">
        <f>DATA!Y24</f>
        <v>Bank Dunia</v>
      </c>
      <c r="X36" s="20" t="str">
        <f>DATA!Z24</f>
        <v>Multilateral</v>
      </c>
      <c r="Y36" s="77">
        <f>DATA!AA24</f>
        <v>300000000</v>
      </c>
      <c r="Z36" s="77">
        <f>DATA!AG24</f>
        <v>0</v>
      </c>
      <c r="AA36" s="20">
        <f>DATA!AH24</f>
        <v>2016</v>
      </c>
      <c r="AB36" s="37" t="str">
        <f>DATA!AI24</f>
        <v xml:space="preserve">- Green Book 2015
- Sudah negosiasi
- Tender konsultan </v>
      </c>
      <c r="AC36" s="37" t="str">
        <f>DATA!AJ24</f>
        <v xml:space="preserve">FS, DED
</v>
      </c>
      <c r="AD36" s="37" t="str">
        <f>DATA!AK24</f>
        <v>-</v>
      </c>
      <c r="AE36" s="37" t="str">
        <f>DATA!AL24</f>
        <v>-</v>
      </c>
      <c r="AF36" s="20" t="str">
        <f>DATA!AR24</f>
        <v>-</v>
      </c>
      <c r="AG36" s="20" t="str">
        <f>DATA!AN24</f>
        <v>dalam proses
(memiliki FS dan DED)</v>
      </c>
      <c r="AH36" s="20" t="str">
        <f>DATA!AO24</f>
        <v>belum ada keterangan</v>
      </c>
      <c r="AI36" s="20" t="str">
        <f>DATA!AP24</f>
        <v>belum ada proses tender/lelang</v>
      </c>
      <c r="AJ36"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K36" s="20" t="e">
        <f>DATA!#REF!</f>
        <v>#REF!</v>
      </c>
      <c r="AL36" s="20">
        <f>DATA!AZ24</f>
        <v>0</v>
      </c>
      <c r="AM36" s="37" t="str">
        <f>DATA!BA24</f>
        <v>Peningkatan kualitas pemukiman dan penyediaan air bersih berkelanjutan yang melayani 719.500 Sambungan Rumah (SR).</v>
      </c>
    </row>
    <row r="37" spans="1:39" ht="75" hidden="1" customHeight="1">
      <c r="A37" s="10">
        <f>DATA!A25</f>
        <v>22</v>
      </c>
      <c r="B37" s="10">
        <f>DATA!B25</f>
        <v>0</v>
      </c>
      <c r="C37" s="10" t="str">
        <f>DATA!D25</f>
        <v>INFRASTRUKTUR</v>
      </c>
      <c r="D37" s="10">
        <f>DATA!E25</f>
        <v>1</v>
      </c>
      <c r="E37" s="10" t="str">
        <f>DATA!F25</f>
        <v>Kementerian Pekerjaan Umum dan Perumahan Rakyat</v>
      </c>
      <c r="F37" s="10" t="str">
        <f>DATA!H25</f>
        <v>Drinking Water Development Program</v>
      </c>
      <c r="G37" s="10" t="str">
        <f>DATA!I25</f>
        <v>D</v>
      </c>
      <c r="H37" s="10" t="str">
        <f>DATA!J25</f>
        <v>Program Pembangunan Air Minum</v>
      </c>
      <c r="I37" s="10">
        <f>DATA!K25</f>
        <v>2</v>
      </c>
      <c r="J37" s="33"/>
      <c r="K37" s="34"/>
      <c r="L37" s="34"/>
      <c r="M37" s="36">
        <f>DATA!K25</f>
        <v>2</v>
      </c>
      <c r="N37" s="37" t="str">
        <f>DATA!L25</f>
        <v>National Urban Water Supply</v>
      </c>
      <c r="O37" s="20">
        <f>DATA!Q25</f>
        <v>1</v>
      </c>
      <c r="P37" s="20">
        <f>DATA!R25</f>
        <v>1</v>
      </c>
      <c r="Q37" s="20">
        <f>DATA!S25</f>
        <v>20</v>
      </c>
      <c r="R37" s="77">
        <f>DATA!T25</f>
        <v>100000000</v>
      </c>
      <c r="S37" s="77"/>
      <c r="T37" s="77">
        <f>DATA!V25</f>
        <v>5000000</v>
      </c>
      <c r="U37" s="77">
        <f>DATA!W25</f>
        <v>0</v>
      </c>
      <c r="V37" s="77">
        <f>DATA!X25</f>
        <v>105000000</v>
      </c>
      <c r="W37" s="78" t="str">
        <f>DATA!Y25</f>
        <v>Bank Dunia</v>
      </c>
      <c r="X37" s="20" t="str">
        <f>DATA!Z25</f>
        <v>Multilateral</v>
      </c>
      <c r="Y37" s="77">
        <f>DATA!AA25</f>
        <v>100000000</v>
      </c>
      <c r="Z37" s="77">
        <f>DATA!AG25</f>
        <v>0</v>
      </c>
      <c r="AA37" s="20">
        <f>DATA!AH25</f>
        <v>2017</v>
      </c>
      <c r="AB37" s="37">
        <f>DATA!AI25</f>
        <v>0</v>
      </c>
      <c r="AC37" s="37" t="str">
        <f>DATA!AJ25</f>
        <v>-</v>
      </c>
      <c r="AD37" s="37" t="str">
        <f>DATA!AK25</f>
        <v>-</v>
      </c>
      <c r="AE37" s="37" t="str">
        <f>DATA!AL25</f>
        <v>-</v>
      </c>
      <c r="AF37" s="20" t="str">
        <f>DATA!AR25</f>
        <v>belum ada dokumen R/C</v>
      </c>
      <c r="AG37" s="20" t="str">
        <f>DATA!AN25</f>
        <v>belum ada keterangan</v>
      </c>
      <c r="AH37" s="20" t="str">
        <f>DATA!AO25</f>
        <v>belum ada keterangan</v>
      </c>
      <c r="AI37" s="20" t="str">
        <f>DATA!AP25</f>
        <v>belum ada proses tender/lelang</v>
      </c>
      <c r="AJ37" s="20" t="str">
        <f>DATA!AY25</f>
        <v>Konfirmasi melalui surat Sekjen nomor KU.01.12-Sj/636 tgl 23 Oktober 2015</v>
      </c>
      <c r="AK37" s="20" t="e">
        <f>DATA!#REF!</f>
        <v>#REF!</v>
      </c>
      <c r="AL37" s="20">
        <f>DATA!AZ25</f>
        <v>0</v>
      </c>
      <c r="AM37" s="37" t="str">
        <f>DATA!BA25</f>
        <v>Pembangunan Sistem Pengelolaan Air Mimum (SPAM) perkotaan sebesar 239,808 Sambungan Rumah (SR) untuk perluasan akses pelayanan air minum, termasuk kegiatan penguatan kapasitas pendanaan dan kelembagaan.</v>
      </c>
    </row>
    <row r="38" spans="1:39" s="9" customFormat="1" ht="60.75" hidden="1" customHeight="1">
      <c r="A38" s="9">
        <f>DATA!A26</f>
        <v>23</v>
      </c>
      <c r="B38" s="9">
        <f>DATA!B26</f>
        <v>0</v>
      </c>
      <c r="C38" s="9" t="str">
        <f>DATA!D26</f>
        <v>INFRASTRUKTUR</v>
      </c>
      <c r="D38" s="9">
        <f>DATA!E26</f>
        <v>1</v>
      </c>
      <c r="E38" s="9" t="str">
        <f>DATA!F26</f>
        <v>Kementerian Pekerjaan Umum dan Perumahan Rakyat</v>
      </c>
      <c r="F38" s="9" t="str">
        <f>DATA!H26</f>
        <v>Drinking Water Development Program</v>
      </c>
      <c r="G38" s="9" t="str">
        <f>DATA!I26</f>
        <v>D</v>
      </c>
      <c r="H38" s="9" t="str">
        <f>DATA!J26</f>
        <v>Program Pembangunan Air Minum</v>
      </c>
      <c r="I38" s="9">
        <f>DATA!K26</f>
        <v>3</v>
      </c>
      <c r="J38" s="62"/>
      <c r="K38" s="63"/>
      <c r="L38" s="63"/>
      <c r="M38" s="64">
        <f>DATA!K26</f>
        <v>3</v>
      </c>
      <c r="N38" s="65" t="str">
        <f>DATA!L26</f>
        <v>The Development of Regional Water Supply System in Selected Area:</v>
      </c>
      <c r="O38" s="66">
        <f>DATA!Q26</f>
        <v>0</v>
      </c>
      <c r="P38" s="66">
        <f>DATA!R26</f>
        <v>0</v>
      </c>
      <c r="Q38" s="66">
        <f>DATA!S26</f>
        <v>0</v>
      </c>
      <c r="R38" s="91">
        <f>DATA!T26</f>
        <v>672680000</v>
      </c>
      <c r="S38" s="91"/>
      <c r="T38" s="91">
        <f>DATA!V26</f>
        <v>33634000</v>
      </c>
      <c r="U38" s="91">
        <f>DATA!W26</f>
        <v>0</v>
      </c>
      <c r="V38" s="91">
        <f>DATA!X26</f>
        <v>706314000</v>
      </c>
      <c r="W38" s="92" t="str">
        <f>DATA!Y26</f>
        <v>-</v>
      </c>
      <c r="X38" s="66">
        <f>DATA!Z26</f>
        <v>0</v>
      </c>
      <c r="Y38" s="91">
        <f>DATA!AA26</f>
        <v>672680000</v>
      </c>
      <c r="Z38" s="91">
        <f>DATA!AG26</f>
        <v>0</v>
      </c>
      <c r="AA38" s="66" t="str">
        <f>DATA!AH26</f>
        <v>-</v>
      </c>
      <c r="AB38" s="65" t="str">
        <f>DATA!AI26</f>
        <v>-</v>
      </c>
      <c r="AC38" s="65" t="str">
        <f>DATA!AJ26</f>
        <v>-</v>
      </c>
      <c r="AD38" s="65" t="str">
        <f>DATA!AK26</f>
        <v>-</v>
      </c>
      <c r="AE38" s="65" t="str">
        <f>DATA!AL26</f>
        <v>-</v>
      </c>
      <c r="AF38" s="66">
        <f>DATA!AM26</f>
        <v>0</v>
      </c>
      <c r="AG38" s="66" t="str">
        <f>DATA!AN26</f>
        <v>-</v>
      </c>
      <c r="AH38" s="66" t="str">
        <f>DATA!AO26</f>
        <v>-</v>
      </c>
      <c r="AI38" s="66">
        <f>DATA!AP26</f>
        <v>0</v>
      </c>
      <c r="AJ38" s="66" t="str">
        <f>DATA!AY26</f>
        <v>Konfirmasi melalui surat Sekjen nomor KU.01.12-Sj/636 tgl 23 Oktober 2015</v>
      </c>
      <c r="AK38" s="66" t="e">
        <f>DATA!#REF!</f>
        <v>#REF!</v>
      </c>
      <c r="AL38" s="66">
        <f>DATA!AZ26</f>
        <v>0</v>
      </c>
      <c r="AM38" s="65" t="str">
        <f>DATA!BA26</f>
        <v>Pembangunan Instalasi Pengolahan Air (IPA) di 8 wilayah dengan total kapasitas 20.450 lt/dt dan pembangunan jaringan transmisi air minum untuk 882.441 Sambungan Rumah (SR)</v>
      </c>
    </row>
    <row r="39" spans="1:39" s="6" customFormat="1" ht="60.75" hidden="1" customHeight="1">
      <c r="A39" s="6">
        <f>DATA!A27</f>
        <v>24</v>
      </c>
      <c r="B39" s="6">
        <f>DATA!B27</f>
        <v>0</v>
      </c>
      <c r="C39" s="6" t="str">
        <f>DATA!D27</f>
        <v>INFRASTRUKTUR</v>
      </c>
      <c r="D39" s="6">
        <f>DATA!E27</f>
        <v>1</v>
      </c>
      <c r="E39" s="6" t="str">
        <f>DATA!F27</f>
        <v>Kementerian Pekerjaan Umum dan Perumahan Rakyat</v>
      </c>
      <c r="F39" s="6" t="str">
        <f>DATA!H27</f>
        <v>Drinking Water Development Program</v>
      </c>
      <c r="G39" s="6" t="str">
        <f>DATA!I27</f>
        <v>D</v>
      </c>
      <c r="H39" s="6" t="str">
        <f>DATA!J27</f>
        <v>Program Pembangunan Air Minum</v>
      </c>
      <c r="I39" s="6">
        <f>DATA!K27</f>
        <v>3</v>
      </c>
      <c r="J39" s="38"/>
      <c r="K39" s="39"/>
      <c r="L39" s="39"/>
      <c r="M39" s="40"/>
      <c r="N39" s="67" t="str">
        <f>DATA!L27</f>
        <v xml:space="preserve">Mamminasata Water Supply Development Project </v>
      </c>
      <c r="O39" s="42">
        <f>DATA!Q27</f>
        <v>1</v>
      </c>
      <c r="P39" s="42">
        <f>DATA!R27</f>
        <v>1</v>
      </c>
      <c r="Q39" s="42">
        <f>DATA!S27</f>
        <v>21</v>
      </c>
      <c r="R39" s="83">
        <f>DATA!T27</f>
        <v>100000000</v>
      </c>
      <c r="S39" s="83"/>
      <c r="T39" s="83">
        <f>DATA!V27</f>
        <v>5000000</v>
      </c>
      <c r="U39" s="83">
        <f>DATA!W27</f>
        <v>0</v>
      </c>
      <c r="V39" s="83">
        <f>DATA!X27</f>
        <v>105000000</v>
      </c>
      <c r="W39" s="84" t="str">
        <f>DATA!Y27</f>
        <v>JICA</v>
      </c>
      <c r="X39" s="42" t="str">
        <f>DATA!Z27</f>
        <v>Bilateral</v>
      </c>
      <c r="Y39" s="83">
        <f>DATA!AA27</f>
        <v>100000000</v>
      </c>
      <c r="Z39" s="83">
        <f>DATA!AG27</f>
        <v>0</v>
      </c>
      <c r="AA39" s="42">
        <f>DATA!AH27</f>
        <v>2016</v>
      </c>
      <c r="AB39" s="67" t="str">
        <f>DATA!AI27</f>
        <v>-</v>
      </c>
      <c r="AC39" s="67" t="str">
        <f>DATA!AJ27</f>
        <v>FS , AMDAL, DED</v>
      </c>
      <c r="AD39" s="67" t="str">
        <f>DATA!AK27</f>
        <v>Proses pembebasan lahan oleh Pemda</v>
      </c>
      <c r="AE39" s="67" t="str">
        <f>DATA!AL27</f>
        <v>-</v>
      </c>
      <c r="AF39" s="42">
        <f>DATA!AM27</f>
        <v>0</v>
      </c>
      <c r="AG39" s="42" t="str">
        <f>DATA!AN27</f>
        <v>siap</v>
      </c>
      <c r="AH39" s="42" t="str">
        <f>DATA!AO27</f>
        <v>dalam proses
(persiapan)</v>
      </c>
      <c r="AI39" s="42" t="str">
        <f>DATA!AP27</f>
        <v>belum ada proses tender/lelang</v>
      </c>
      <c r="AJ39" s="42" t="str">
        <f>DATA!AY27</f>
        <v>Konfirmasi melalui surat Sekjen nomor KU.01.12-Sj/636 tgl 23 Oktober 2015</v>
      </c>
      <c r="AK39" s="42" t="e">
        <f>DATA!#REF!</f>
        <v>#REF!</v>
      </c>
      <c r="AL39" s="42">
        <f>DATA!AZ27</f>
        <v>0</v>
      </c>
      <c r="AM39" s="67" t="str">
        <f>DATA!BA27</f>
        <v>Pembangunan IPA Somba Opu Tahap II, kap. 1.000 lt/dt dan pembangunan jaringan pipa transmisi air minum untuk melayani 149.925 SR di wilayah Makassar, Maros, Gowa dan Takalar.</v>
      </c>
    </row>
    <row r="40" spans="1:39" s="6" customFormat="1" ht="88.5" hidden="1" customHeight="1">
      <c r="A40" s="6">
        <f>DATA!A28</f>
        <v>25</v>
      </c>
      <c r="B40" s="6">
        <f>DATA!B28</f>
        <v>0</v>
      </c>
      <c r="C40" s="6" t="str">
        <f>DATA!D28</f>
        <v>INFRASTRUKTUR</v>
      </c>
      <c r="D40" s="6">
        <f>DATA!E28</f>
        <v>1</v>
      </c>
      <c r="E40" s="6" t="str">
        <f>DATA!F28</f>
        <v>Kementerian Pekerjaan Umum dan Perumahan Rakyat</v>
      </c>
      <c r="F40" s="6" t="str">
        <f>DATA!H28</f>
        <v>Drinking Water Development Program</v>
      </c>
      <c r="G40" s="6" t="str">
        <f>DATA!I28</f>
        <v>D</v>
      </c>
      <c r="H40" s="6" t="str">
        <f>DATA!J28</f>
        <v>Program Pembangunan Air Minum</v>
      </c>
      <c r="I40" s="6">
        <f>DATA!K28</f>
        <v>3</v>
      </c>
      <c r="J40" s="38"/>
      <c r="K40" s="39"/>
      <c r="L40" s="39"/>
      <c r="M40" s="38"/>
      <c r="N40" s="67" t="str">
        <f>DATA!L28</f>
        <v xml:space="preserve">The Development of Regional Water Supply System in Benteng Kobema </v>
      </c>
      <c r="O40" s="42">
        <f>DATA!Q28</f>
        <v>1</v>
      </c>
      <c r="P40" s="42">
        <f>DATA!R28</f>
        <v>1</v>
      </c>
      <c r="Q40" s="42">
        <f>DATA!S28</f>
        <v>22</v>
      </c>
      <c r="R40" s="83">
        <f>DATA!T28</f>
        <v>74300000</v>
      </c>
      <c r="S40" s="83"/>
      <c r="T40" s="83">
        <f>DATA!V28</f>
        <v>3715000</v>
      </c>
      <c r="U40" s="83">
        <f>DATA!W28</f>
        <v>0</v>
      </c>
      <c r="V40" s="83">
        <f>DATA!X28</f>
        <v>78015000</v>
      </c>
      <c r="W40" s="84" t="str">
        <f>DATA!Y28</f>
        <v>Bank Dunia/JICA/ADB</v>
      </c>
      <c r="X40" s="42" t="str">
        <f>DATA!Z28</f>
        <v>Multi Lender</v>
      </c>
      <c r="Y40" s="83">
        <f>DATA!AA28</f>
        <v>74300000</v>
      </c>
      <c r="Z40" s="83">
        <f>DATA!AG28</f>
        <v>0</v>
      </c>
      <c r="AA40" s="42">
        <f>DATA!AH28</f>
        <v>2017</v>
      </c>
      <c r="AB40" s="67" t="str">
        <f>DATA!AI28</f>
        <v>-</v>
      </c>
      <c r="AC40" s="67" t="str">
        <f>DATA!AJ28</f>
        <v>RISPAM, DED, SIPA, Organisasi Pelaksana, DDUB</v>
      </c>
      <c r="AD40" s="67" t="str">
        <f>DATA!AK28</f>
        <v>Proses pembebasan lahan oleh Pemda</v>
      </c>
      <c r="AE40" s="67" t="str">
        <f>DATA!AL28</f>
        <v>-</v>
      </c>
      <c r="AF40" s="42">
        <f>DATA!AM28</f>
        <v>0</v>
      </c>
      <c r="AG40" s="42" t="str">
        <f>DATA!AN28</f>
        <v>dalam proses
(penyusunan FS)</v>
      </c>
      <c r="AH40" s="42" t="str">
        <f>DATA!AO28</f>
        <v>dalam proses
(persiapan)</v>
      </c>
      <c r="AI40" s="42" t="str">
        <f>DATA!AP28</f>
        <v>belum ada proses tender/lelang</v>
      </c>
      <c r="AJ40" s="42" t="str">
        <f>DATA!AY28</f>
        <v>Konfirmasi melalui surat Sekjen nomor KU.01.12-Sj/636 tgl 23 Oktober 2015</v>
      </c>
      <c r="AK40" s="42" t="e">
        <f>DATA!#REF!</f>
        <v>#REF!</v>
      </c>
      <c r="AL40" s="42" t="str">
        <f>DATA!AZ28</f>
        <v>JICA &amp; ADB juga diindikasikan akan mendanai kegiatan ini meskipun belum ada pembicaraan</v>
      </c>
      <c r="AM40" s="67"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row>
    <row r="41" spans="1:39" s="6" customFormat="1" ht="87" hidden="1" customHeight="1">
      <c r="A41" s="6">
        <f>DATA!A29</f>
        <v>26</v>
      </c>
      <c r="B41" s="6">
        <f>DATA!B29</f>
        <v>0</v>
      </c>
      <c r="C41" s="6" t="str">
        <f>DATA!D29</f>
        <v>INFRASTRUKTUR</v>
      </c>
      <c r="D41" s="6">
        <f>DATA!E29</f>
        <v>1</v>
      </c>
      <c r="E41" s="6" t="str">
        <f>DATA!F29</f>
        <v>Kementerian Pekerjaan Umum dan Perumahan Rakyat</v>
      </c>
      <c r="F41" s="6" t="str">
        <f>DATA!H29</f>
        <v>Drinking Water Development Program</v>
      </c>
      <c r="G41" s="6" t="str">
        <f>DATA!I29</f>
        <v>D</v>
      </c>
      <c r="H41" s="6" t="str">
        <f>DATA!J29</f>
        <v>Program Pembangunan Air Minum</v>
      </c>
      <c r="I41" s="6">
        <f>DATA!K29</f>
        <v>3</v>
      </c>
      <c r="J41" s="38"/>
      <c r="K41" s="39"/>
      <c r="L41" s="39"/>
      <c r="M41" s="38"/>
      <c r="N41" s="67" t="str">
        <f>DATA!L29</f>
        <v xml:space="preserve">The Development of Regional Water Supply System in Wosusokas </v>
      </c>
      <c r="O41" s="42">
        <f>DATA!Q29</f>
        <v>1</v>
      </c>
      <c r="P41" s="42">
        <f>DATA!R29</f>
        <v>1</v>
      </c>
      <c r="Q41" s="42">
        <f>DATA!S29</f>
        <v>23</v>
      </c>
      <c r="R41" s="83">
        <f>DATA!T29</f>
        <v>106200000</v>
      </c>
      <c r="S41" s="83"/>
      <c r="T41" s="83">
        <f>DATA!V29</f>
        <v>5310000</v>
      </c>
      <c r="U41" s="83">
        <f>DATA!W29</f>
        <v>0</v>
      </c>
      <c r="V41" s="83">
        <f>DATA!X29</f>
        <v>111510000</v>
      </c>
      <c r="W41" s="84" t="str">
        <f>DATA!Y29</f>
        <v>Jerman (KfW)</v>
      </c>
      <c r="X41" s="42" t="str">
        <f>DATA!Z29</f>
        <v>Bilateral</v>
      </c>
      <c r="Y41" s="83">
        <f>DATA!AA29</f>
        <v>106200000</v>
      </c>
      <c r="Z41" s="83">
        <f>DATA!AG29</f>
        <v>0</v>
      </c>
      <c r="AA41" s="42">
        <f>DATA!AH29</f>
        <v>2017</v>
      </c>
      <c r="AB41" s="67" t="str">
        <f>DATA!AI29</f>
        <v>-</v>
      </c>
      <c r="AC41" s="67" t="str">
        <f>DATA!AJ29</f>
        <v>RISPAM, DED, SIPA, Organisasi Pelaksana, DDUB</v>
      </c>
      <c r="AD41" s="67" t="str">
        <f>DATA!AK29</f>
        <v>Proses pembebasan lahan oleh Pemda</v>
      </c>
      <c r="AE41" s="67" t="str">
        <f>DATA!AL29</f>
        <v>-</v>
      </c>
      <c r="AF41" s="42">
        <f>DATA!AM29</f>
        <v>0</v>
      </c>
      <c r="AG41" s="42" t="str">
        <f>DATA!AN29</f>
        <v>dalam proses
(penyusunan FS)</v>
      </c>
      <c r="AH41" s="42" t="str">
        <f>DATA!AO29</f>
        <v>dalam proses
(persiapan)</v>
      </c>
      <c r="AI41" s="42" t="str">
        <f>DATA!AP29</f>
        <v>belum ada proses tender/lelang</v>
      </c>
      <c r="AJ41" s="42" t="str">
        <f>DATA!AY29</f>
        <v>Konfirmasi melalui surat Sekjen nomor KU.01.12-Sj/636 tgl 23 Oktober 2015</v>
      </c>
      <c r="AK41" s="42" t="e">
        <f>DATA!#REF!</f>
        <v>#REF!</v>
      </c>
      <c r="AL41" s="42">
        <f>DATA!AZ29</f>
        <v>0</v>
      </c>
      <c r="AM41" s="67"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row>
    <row r="42" spans="1:39" s="6" customFormat="1" ht="89.25" hidden="1">
      <c r="A42" s="6">
        <f>DATA!A30</f>
        <v>27</v>
      </c>
      <c r="B42" s="6">
        <f>DATA!B30</f>
        <v>0</v>
      </c>
      <c r="C42" s="6" t="str">
        <f>DATA!D30</f>
        <v>INFRASTRUKTUR</v>
      </c>
      <c r="D42" s="6">
        <f>DATA!E30</f>
        <v>1</v>
      </c>
      <c r="E42" s="6" t="str">
        <f>DATA!F30</f>
        <v>Kementerian Pekerjaan Umum dan Perumahan Rakyat</v>
      </c>
      <c r="F42" s="6" t="str">
        <f>DATA!H30</f>
        <v>Drinking Water Development Program</v>
      </c>
      <c r="G42" s="6" t="str">
        <f>DATA!I30</f>
        <v>D</v>
      </c>
      <c r="H42" s="6" t="str">
        <f>DATA!J30</f>
        <v>Program Pembangunan Air Minum</v>
      </c>
      <c r="I42" s="6">
        <f>DATA!K30</f>
        <v>3</v>
      </c>
      <c r="J42" s="38"/>
      <c r="K42" s="39"/>
      <c r="L42" s="39"/>
      <c r="M42" s="38"/>
      <c r="N42" s="67" t="str">
        <f>DATA!L30</f>
        <v xml:space="preserve">The Development of Regional Water Supply System of Jatigede </v>
      </c>
      <c r="O42" s="42">
        <f>DATA!Q30</f>
        <v>1</v>
      </c>
      <c r="P42" s="42">
        <f>DATA!R30</f>
        <v>1</v>
      </c>
      <c r="Q42" s="42">
        <f>DATA!S30</f>
        <v>24</v>
      </c>
      <c r="R42" s="83">
        <f>DATA!T30</f>
        <v>167000000</v>
      </c>
      <c r="S42" s="83"/>
      <c r="T42" s="83">
        <f>DATA!V30</f>
        <v>8350000</v>
      </c>
      <c r="U42" s="83">
        <f>DATA!W30</f>
        <v>0</v>
      </c>
      <c r="V42" s="83">
        <f>DATA!X30</f>
        <v>175350000</v>
      </c>
      <c r="W42" s="84" t="str">
        <f>DATA!Y30</f>
        <v>Bank Dunia/JICA/ADB</v>
      </c>
      <c r="X42" s="42" t="str">
        <f>DATA!Z30</f>
        <v>Multi Lender</v>
      </c>
      <c r="Y42" s="83">
        <f>DATA!AA30</f>
        <v>140620000</v>
      </c>
      <c r="Z42" s="83">
        <f>DATA!AG30</f>
        <v>0</v>
      </c>
      <c r="AA42" s="42">
        <f>DATA!AH30</f>
        <v>2017</v>
      </c>
      <c r="AB42" s="67" t="str">
        <f>DATA!AI30</f>
        <v>-</v>
      </c>
      <c r="AC42" s="67" t="str">
        <f>DATA!AJ30</f>
        <v>-</v>
      </c>
      <c r="AD42" s="67" t="str">
        <f>DATA!AK30</f>
        <v>-</v>
      </c>
      <c r="AE42" s="67" t="str">
        <f>DATA!AL30</f>
        <v>-</v>
      </c>
      <c r="AF42" s="42">
        <f>DATA!AM30</f>
        <v>0</v>
      </c>
      <c r="AG42" s="42" t="str">
        <f>DATA!AN30</f>
        <v>belum ada keterangan</v>
      </c>
      <c r="AH42" s="42" t="str">
        <f>DATA!AO30</f>
        <v>belum ada keterangan</v>
      </c>
      <c r="AI42" s="42" t="str">
        <f>DATA!AP30</f>
        <v>belum ada proses tender/lelang</v>
      </c>
      <c r="AJ42" s="42" t="str">
        <f>DATA!AY30</f>
        <v>Konfirmasi melalui surat Sekjen nomor KU.01.12-Sj/636 tgl 23 Oktober 2015</v>
      </c>
      <c r="AK42" s="42" t="e">
        <f>DATA!#REF!</f>
        <v>#REF!</v>
      </c>
      <c r="AL42" s="42">
        <f>DATA!AZ30</f>
        <v>0</v>
      </c>
      <c r="AM42" s="67"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row>
    <row r="43" spans="1:39" s="6" customFormat="1" ht="88.5" hidden="1" customHeight="1">
      <c r="A43" s="6">
        <f>DATA!A31</f>
        <v>28</v>
      </c>
      <c r="B43" s="6">
        <f>DATA!B31</f>
        <v>0</v>
      </c>
      <c r="C43" s="6" t="str">
        <f>DATA!D31</f>
        <v>INFRASTRUKTUR</v>
      </c>
      <c r="D43" s="6">
        <f>DATA!E31</f>
        <v>1</v>
      </c>
      <c r="E43" s="6" t="str">
        <f>DATA!F31</f>
        <v>Kementerian Pekerjaan Umum dan Perumahan Rakyat</v>
      </c>
      <c r="F43" s="6" t="str">
        <f>DATA!H31</f>
        <v>Drinking Water Development Program</v>
      </c>
      <c r="G43" s="6" t="str">
        <f>DATA!I31</f>
        <v>D</v>
      </c>
      <c r="H43" s="6" t="str">
        <f>DATA!J31</f>
        <v>Program Pembangunan Air Minum</v>
      </c>
      <c r="I43" s="6">
        <f>DATA!K31</f>
        <v>3</v>
      </c>
      <c r="J43" s="38"/>
      <c r="K43" s="39"/>
      <c r="L43" s="39"/>
      <c r="M43" s="38"/>
      <c r="N43" s="67" t="str">
        <f>DATA!L31</f>
        <v>The Development of Regional Water Supply System of Petanglong</v>
      </c>
      <c r="O43" s="42">
        <f>DATA!Q31</f>
        <v>1</v>
      </c>
      <c r="P43" s="42">
        <f>DATA!R31</f>
        <v>1</v>
      </c>
      <c r="Q43" s="42">
        <f>DATA!S31</f>
        <v>25</v>
      </c>
      <c r="R43" s="83">
        <f>DATA!T31</f>
        <v>95380000</v>
      </c>
      <c r="S43" s="83"/>
      <c r="T43" s="83">
        <f>DATA!V31</f>
        <v>4769000</v>
      </c>
      <c r="U43" s="83">
        <f>DATA!W31</f>
        <v>0</v>
      </c>
      <c r="V43" s="83">
        <f>DATA!X31</f>
        <v>100149000</v>
      </c>
      <c r="W43" s="84" t="str">
        <f>DATA!Y31</f>
        <v>Bank Dunia/JICA/ADB</v>
      </c>
      <c r="X43" s="42" t="str">
        <f>DATA!Z31</f>
        <v>Multi Lender</v>
      </c>
      <c r="Y43" s="83">
        <f>DATA!AA31</f>
        <v>95380000</v>
      </c>
      <c r="Z43" s="83">
        <f>DATA!AG31</f>
        <v>0</v>
      </c>
      <c r="AA43" s="42">
        <f>DATA!AH31</f>
        <v>2017</v>
      </c>
      <c r="AB43" s="67" t="str">
        <f>DATA!AI31</f>
        <v>Tahap persiapan project</v>
      </c>
      <c r="AC43" s="67" t="str">
        <f>DATA!AJ31</f>
        <v>-</v>
      </c>
      <c r="AD43" s="67" t="str">
        <f>DATA!AK31</f>
        <v>-</v>
      </c>
      <c r="AE43" s="67" t="str">
        <f>DATA!AL31</f>
        <v>-</v>
      </c>
      <c r="AF43" s="42">
        <f>DATA!AM31</f>
        <v>0</v>
      </c>
      <c r="AG43" s="42" t="str">
        <f>DATA!AN31</f>
        <v>belum ada keterangan</v>
      </c>
      <c r="AH43" s="42" t="str">
        <f>DATA!AO31</f>
        <v>belum ada keterangan</v>
      </c>
      <c r="AI43" s="42" t="str">
        <f>DATA!AP31</f>
        <v>belum ada proses tender/lelang</v>
      </c>
      <c r="AJ43" s="42" t="str">
        <f>DATA!AY31</f>
        <v>Konfirmasi melalui surat Sekjen nomor KU.01.12-Sj/636 tgl 23 Oktober 2015</v>
      </c>
      <c r="AK43" s="42" t="e">
        <f>DATA!#REF!</f>
        <v>#REF!</v>
      </c>
      <c r="AL43" s="42">
        <f>DATA!AZ31</f>
        <v>0</v>
      </c>
      <c r="AM43" s="67" t="str">
        <f>DATA!BA31</f>
        <v>Pembangunan intake dan transmisi air baku, pembangunan IPA dengan kapasitas 1.100 lt/dt untuk sistem pengelolaan air minum yang berkapasitas 1.100 lt/dt, dan untuk penyediaan SPAM yang melayani 142.999 SR  di wilayah Kab. Batang, Kota Pekalongan, Kab. Pekalongan</v>
      </c>
    </row>
    <row r="44" spans="1:39" s="6" customFormat="1" ht="76.5" hidden="1">
      <c r="A44" s="6">
        <f>DATA!A32</f>
        <v>29</v>
      </c>
      <c r="B44" s="6">
        <f>DATA!B32</f>
        <v>0</v>
      </c>
      <c r="C44" s="6" t="str">
        <f>DATA!D32</f>
        <v>INFRASTRUKTUR</v>
      </c>
      <c r="D44" s="6">
        <f>DATA!E32</f>
        <v>1</v>
      </c>
      <c r="E44" s="6" t="str">
        <f>DATA!F32</f>
        <v>Kementerian Pekerjaan Umum dan Perumahan Rakyat</v>
      </c>
      <c r="F44" s="6" t="str">
        <f>DATA!H32</f>
        <v>Drinking Water Development Program</v>
      </c>
      <c r="G44" s="6" t="str">
        <f>DATA!I32</f>
        <v>D</v>
      </c>
      <c r="H44" s="6" t="str">
        <f>DATA!J32</f>
        <v>Program Pembangunan Air Minum</v>
      </c>
      <c r="I44" s="6">
        <f>DATA!K32</f>
        <v>3</v>
      </c>
      <c r="J44" s="38"/>
      <c r="K44" s="39"/>
      <c r="L44" s="39"/>
      <c r="M44" s="38"/>
      <c r="N44" s="67" t="str">
        <f>DATA!L32</f>
        <v xml:space="preserve">The Development of Regional Water Supply System of Durolis </v>
      </c>
      <c r="O44" s="42">
        <f>DATA!Q32</f>
        <v>1</v>
      </c>
      <c r="P44" s="42">
        <f>DATA!R32</f>
        <v>1</v>
      </c>
      <c r="Q44" s="42">
        <f>DATA!S32</f>
        <v>26</v>
      </c>
      <c r="R44" s="83">
        <f>DATA!T32</f>
        <v>33400000</v>
      </c>
      <c r="S44" s="83"/>
      <c r="T44" s="83">
        <f>DATA!V32</f>
        <v>1670000</v>
      </c>
      <c r="U44" s="83">
        <f>DATA!W32</f>
        <v>0</v>
      </c>
      <c r="V44" s="83">
        <f>DATA!X32</f>
        <v>35070000</v>
      </c>
      <c r="W44" s="84" t="str">
        <f>DATA!Y32</f>
        <v>Bank Dunia/JICA/ADB</v>
      </c>
      <c r="X44" s="42" t="str">
        <f>DATA!Z32</f>
        <v>Multi Lender</v>
      </c>
      <c r="Y44" s="83">
        <f>DATA!AA32</f>
        <v>33400000</v>
      </c>
      <c r="Z44" s="83">
        <f>DATA!AG32</f>
        <v>0</v>
      </c>
      <c r="AA44" s="42">
        <f>DATA!AH32</f>
        <v>2017</v>
      </c>
      <c r="AB44" s="67" t="str">
        <f>DATA!AI32</f>
        <v>-</v>
      </c>
      <c r="AC44" s="67" t="str">
        <f>DATA!AJ32</f>
        <v>FS, DED, AMDAL</v>
      </c>
      <c r="AD44" s="67" t="str">
        <f>DATA!AK32</f>
        <v xml:space="preserve"> Lahan sudah tersedia </v>
      </c>
      <c r="AE44" s="67" t="str">
        <f>DATA!AL32</f>
        <v>-</v>
      </c>
      <c r="AF44" s="42">
        <f>DATA!AM32</f>
        <v>0</v>
      </c>
      <c r="AG44" s="42" t="str">
        <f>DATA!AN32</f>
        <v>siap</v>
      </c>
      <c r="AH44" s="42" t="str">
        <f>DATA!AO32</f>
        <v>siap</v>
      </c>
      <c r="AI44" s="42" t="str">
        <f>DATA!AP32</f>
        <v>belum ada proses tender/lelang</v>
      </c>
      <c r="AJ44" s="42" t="str">
        <f>DATA!AY32</f>
        <v>Konfirmasi melalui surat Sekjen nomor KU.01.12-Sj/636 tgl 23 Oktober 2015</v>
      </c>
      <c r="AK44" s="42" t="e">
        <f>DATA!#REF!</f>
        <v>#REF!</v>
      </c>
      <c r="AL44" s="42" t="str">
        <f>DATA!AZ32</f>
        <v>ADB juga diindikasikan akan mendanai kegiatan ini</v>
      </c>
      <c r="AM44" s="67" t="str">
        <f>DATA!BA32</f>
        <v>Pembangunan unit air baku, unit produksi dan distribusi utama, unit pelayanan dan unit pengelolaan untuk sistem pengelolaan air minum yang berkapasitas 500 lt/dt dan untuk melayani masyarakat sebesar 24.000 SR di wilayah Dumai, Rokan Hilir dan Bengkalis</v>
      </c>
    </row>
    <row r="45" spans="1:39" s="6" customFormat="1" ht="86.25" hidden="1" customHeight="1">
      <c r="A45" s="6">
        <f>DATA!A33</f>
        <v>30</v>
      </c>
      <c r="B45" s="6">
        <f>DATA!B33</f>
        <v>0</v>
      </c>
      <c r="C45" s="6" t="str">
        <f>DATA!D33</f>
        <v>INFRASTRUKTUR</v>
      </c>
      <c r="D45" s="6">
        <f>DATA!E33</f>
        <v>1</v>
      </c>
      <c r="E45" s="6" t="str">
        <f>DATA!F33</f>
        <v>Kementerian Pekerjaan Umum dan Perumahan Rakyat</v>
      </c>
      <c r="F45" s="6" t="str">
        <f>DATA!H33</f>
        <v>Drinking Water Development Program</v>
      </c>
      <c r="G45" s="6" t="str">
        <f>DATA!I33</f>
        <v>D</v>
      </c>
      <c r="H45" s="6" t="str">
        <f>DATA!J33</f>
        <v>Program Pembangunan Air Minum</v>
      </c>
      <c r="I45" s="6">
        <f>DATA!K33</f>
        <v>3</v>
      </c>
      <c r="J45" s="38"/>
      <c r="K45" s="39"/>
      <c r="L45" s="39"/>
      <c r="M45" s="38"/>
      <c r="N45" s="67" t="str">
        <f>DATA!L33</f>
        <v xml:space="preserve">The Development of Regional Water Supply System of  Banten - Jakarta from Karian Dam </v>
      </c>
      <c r="O45" s="42">
        <f>DATA!Q33</f>
        <v>1</v>
      </c>
      <c r="P45" s="42">
        <f>DATA!R33</f>
        <v>1</v>
      </c>
      <c r="Q45" s="42">
        <f>DATA!S33</f>
        <v>27</v>
      </c>
      <c r="R45" s="83">
        <f>DATA!T33</f>
        <v>40000000</v>
      </c>
      <c r="S45" s="83"/>
      <c r="T45" s="83">
        <f>DATA!V33</f>
        <v>2000000</v>
      </c>
      <c r="U45" s="83">
        <f>DATA!W33</f>
        <v>0</v>
      </c>
      <c r="V45" s="83">
        <f>DATA!X33</f>
        <v>42000000</v>
      </c>
      <c r="W45" s="84" t="str">
        <f>DATA!Y33</f>
        <v>Korea</v>
      </c>
      <c r="X45" s="42" t="str">
        <f>DATA!Z33</f>
        <v>Bilateral</v>
      </c>
      <c r="Y45" s="83">
        <f>DATA!AA33</f>
        <v>40000000</v>
      </c>
      <c r="Z45" s="83">
        <f>DATA!AG33</f>
        <v>0</v>
      </c>
      <c r="AA45" s="42">
        <f>DATA!AH33</f>
        <v>2017</v>
      </c>
      <c r="AB45" s="67" t="str">
        <f>DATA!AI33</f>
        <v>-</v>
      </c>
      <c r="AC45" s="67" t="str">
        <f>DATA!AJ33</f>
        <v>FS</v>
      </c>
      <c r="AD45" s="67" t="str">
        <f>DATA!AK33</f>
        <v>Proses pembebasan lahan oleh Pemda</v>
      </c>
      <c r="AE45" s="67" t="str">
        <f>DATA!AL33</f>
        <v>-</v>
      </c>
      <c r="AF45" s="42">
        <f>DATA!AM33</f>
        <v>0</v>
      </c>
      <c r="AG45" s="42" t="str">
        <f>DATA!AN33</f>
        <v>dalam proses
(memiliki FS)</v>
      </c>
      <c r="AH45" s="42" t="str">
        <f>DATA!AO33</f>
        <v>dalam proses
(persiapan)</v>
      </c>
      <c r="AI45" s="42" t="str">
        <f>DATA!AP33</f>
        <v>belum ada proses tender/lelang</v>
      </c>
      <c r="AJ45" s="42" t="str">
        <f>DATA!AY33</f>
        <v>Konfirmasi melalui surat Sekjen nomor KU.01.12-Sj/636 tgl 23 Oktober 2015</v>
      </c>
      <c r="AK45" s="42" t="e">
        <f>DATA!#REF!</f>
        <v>#REF!</v>
      </c>
      <c r="AL45" s="42">
        <f>DATA!AZ33</f>
        <v>0</v>
      </c>
      <c r="AM45" s="67"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row>
    <row r="46" spans="1:39" s="6" customFormat="1" ht="56.25" hidden="1" customHeight="1">
      <c r="A46" s="6">
        <f>DATA!A34</f>
        <v>31</v>
      </c>
      <c r="B46" s="6">
        <f>DATA!B34</f>
        <v>0</v>
      </c>
      <c r="C46" s="6" t="str">
        <f>DATA!D34</f>
        <v>INFRASTRUKTUR</v>
      </c>
      <c r="D46" s="6">
        <f>DATA!E34</f>
        <v>1</v>
      </c>
      <c r="E46" s="6" t="str">
        <f>DATA!F34</f>
        <v>Kementerian Pekerjaan Umum dan Perumahan Rakyat</v>
      </c>
      <c r="F46" s="6" t="str">
        <f>DATA!H34</f>
        <v>Drinking Water Development Program</v>
      </c>
      <c r="G46" s="6" t="str">
        <f>DATA!I34</f>
        <v>D</v>
      </c>
      <c r="H46" s="6" t="str">
        <f>DATA!J34</f>
        <v>Program Pembangunan Air Minum</v>
      </c>
      <c r="I46" s="6">
        <f>DATA!K34</f>
        <v>3</v>
      </c>
      <c r="J46" s="38"/>
      <c r="K46" s="39"/>
      <c r="L46" s="39"/>
      <c r="M46" s="43"/>
      <c r="N46" s="67" t="str">
        <f>DATA!L34</f>
        <v xml:space="preserve">The Development of Regional Water Supply System of Mebidang </v>
      </c>
      <c r="O46" s="42">
        <f>DATA!Q34</f>
        <v>1</v>
      </c>
      <c r="P46" s="42">
        <f>DATA!R34</f>
        <v>1</v>
      </c>
      <c r="Q46" s="42">
        <f>DATA!S34</f>
        <v>28</v>
      </c>
      <c r="R46" s="83">
        <f>DATA!T34</f>
        <v>56400000</v>
      </c>
      <c r="S46" s="83"/>
      <c r="T46" s="83">
        <f>DATA!V34</f>
        <v>2820000</v>
      </c>
      <c r="U46" s="83">
        <f>DATA!W34</f>
        <v>0</v>
      </c>
      <c r="V46" s="83">
        <f>DATA!X34</f>
        <v>59220000</v>
      </c>
      <c r="W46" s="84" t="str">
        <f>DATA!Y34</f>
        <v>Jerman (KfW)</v>
      </c>
      <c r="X46" s="42" t="str">
        <f>DATA!Z34</f>
        <v>Bilateral</v>
      </c>
      <c r="Y46" s="83">
        <f>DATA!AA34</f>
        <v>56400000</v>
      </c>
      <c r="Z46" s="83">
        <f>DATA!AG34</f>
        <v>0</v>
      </c>
      <c r="AA46" s="42">
        <f>DATA!AH34</f>
        <v>2017</v>
      </c>
      <c r="AB46" s="67" t="str">
        <f>DATA!AI34</f>
        <v>-</v>
      </c>
      <c r="AC46" s="67" t="str">
        <f>DATA!AJ34</f>
        <v>FS, DED</v>
      </c>
      <c r="AD46" s="67" t="str">
        <f>DATA!AK34</f>
        <v>Proses pembebasan lahan oleh Pemda</v>
      </c>
      <c r="AE46" s="67" t="str">
        <f>DATA!AL34</f>
        <v>-</v>
      </c>
      <c r="AF46" s="42">
        <f>DATA!AM34</f>
        <v>0</v>
      </c>
      <c r="AG46" s="42" t="str">
        <f>DATA!AN34</f>
        <v>dalam proses
(memiliki FS dan DED)</v>
      </c>
      <c r="AH46" s="42" t="str">
        <f>DATA!AO34</f>
        <v>dalam proses
(persiapan)</v>
      </c>
      <c r="AI46" s="42" t="str">
        <f>DATA!AP34</f>
        <v>belum ada proses tender/lelang</v>
      </c>
      <c r="AJ46" s="42" t="str">
        <f>DATA!AY34</f>
        <v>Konfirmasi melalui surat Sekjen nomor KU.01.12-Sj/636 tgl 23 Oktober 2015</v>
      </c>
      <c r="AK46" s="42" t="e">
        <f>DATA!#REF!</f>
        <v>#REF!</v>
      </c>
      <c r="AL46" s="42">
        <f>DATA!AZ34</f>
        <v>0</v>
      </c>
      <c r="AM46" s="67" t="str">
        <f>DATA!BA34</f>
        <v>Pembangunan IPA dengan kapasitas 1.250 lt/dt, pembangunan jaringan pipa transmisi untuk penyediaan air minum yang melayani 84.558 SR di wilayah Medan, Binjai, dan Deli Serdang.</v>
      </c>
    </row>
    <row r="47" spans="1:39" ht="48.75" hidden="1" customHeight="1">
      <c r="A47" s="10">
        <f>DATA!A35</f>
        <v>32</v>
      </c>
      <c r="B47" s="10">
        <f>DATA!B35</f>
        <v>0</v>
      </c>
      <c r="C47" s="10" t="str">
        <f>DATA!D35</f>
        <v>INFRASTRUKTUR</v>
      </c>
      <c r="D47" s="10">
        <f>DATA!E35</f>
        <v>1</v>
      </c>
      <c r="E47" s="10" t="str">
        <f>DATA!F35</f>
        <v>Kementerian Pekerjaan Umum dan Perumahan Rakyat</v>
      </c>
      <c r="F47" s="10" t="str">
        <f>DATA!H35</f>
        <v>Drinking Water Development Program</v>
      </c>
      <c r="G47" s="10" t="str">
        <f>DATA!I35</f>
        <v>D</v>
      </c>
      <c r="H47" s="10" t="str">
        <f>DATA!J35</f>
        <v>Program Pembangunan Air Minum</v>
      </c>
      <c r="I47" s="10">
        <f>DATA!K35</f>
        <v>4</v>
      </c>
      <c r="J47" s="33"/>
      <c r="K47" s="34"/>
      <c r="L47" s="34"/>
      <c r="M47" s="36">
        <f>DATA!K35</f>
        <v>4</v>
      </c>
      <c r="N47" s="37" t="str">
        <f>DATA!L35</f>
        <v>Water Supply System and Small Scale Water Treatment:</v>
      </c>
      <c r="O47" s="20">
        <f>DATA!Q35</f>
        <v>0</v>
      </c>
      <c r="P47" s="20">
        <f>DATA!R35</f>
        <v>0</v>
      </c>
      <c r="Q47" s="20">
        <f>DATA!S35</f>
        <v>0</v>
      </c>
      <c r="R47" s="77">
        <f>DATA!T35</f>
        <v>125000000</v>
      </c>
      <c r="S47" s="77"/>
      <c r="T47" s="77">
        <f>DATA!V35</f>
        <v>5800000</v>
      </c>
      <c r="U47" s="77">
        <f>DATA!W35</f>
        <v>0</v>
      </c>
      <c r="V47" s="77">
        <f>DATA!X35</f>
        <v>130800000</v>
      </c>
      <c r="W47" s="78" t="str">
        <f>DATA!Y35</f>
        <v>-</v>
      </c>
      <c r="X47" s="20">
        <f>DATA!Z35</f>
        <v>0</v>
      </c>
      <c r="Y47" s="77">
        <f>DATA!AA35</f>
        <v>125000000</v>
      </c>
      <c r="Z47" s="77">
        <f>DATA!AG35</f>
        <v>0</v>
      </c>
      <c r="AA47" s="20" t="str">
        <f>DATA!AH35</f>
        <v>-</v>
      </c>
      <c r="AB47" s="37" t="str">
        <f>DATA!AI35</f>
        <v>-</v>
      </c>
      <c r="AC47" s="37" t="str">
        <f>DATA!AJ35</f>
        <v>-</v>
      </c>
      <c r="AD47" s="37" t="str">
        <f>DATA!AK35</f>
        <v>-</v>
      </c>
      <c r="AE47" s="37" t="str">
        <f>DATA!AL35</f>
        <v>-</v>
      </c>
      <c r="AF47" s="20">
        <f>DATA!AM35</f>
        <v>0</v>
      </c>
      <c r="AG47" s="20" t="str">
        <f>DATA!AN35</f>
        <v>-</v>
      </c>
      <c r="AH47" s="20" t="str">
        <f>DATA!AO35</f>
        <v>-</v>
      </c>
      <c r="AI47" s="20">
        <f>DATA!AP35</f>
        <v>0</v>
      </c>
      <c r="AJ47" s="20" t="str">
        <f>DATA!AY35</f>
        <v>Konfirmasi melalui surat Sekjen nomor KU.01.12-Sj/636 tgl 23 Oktober 2015</v>
      </c>
      <c r="AK47" s="20" t="e">
        <f>DATA!#REF!</f>
        <v>#REF!</v>
      </c>
      <c r="AL47" s="20">
        <f>DATA!AZ35</f>
        <v>0</v>
      </c>
      <c r="AM47" s="37" t="str">
        <f>DATA!BA35</f>
        <v>Pengadaan dan pembangunan Instalasi Pengolahan Air Minum skala kecil untuk penanganan keadaan darurat dan Ibu Kota Kecamatan (IKK) terpilih</v>
      </c>
    </row>
    <row r="48" spans="1:39" s="6" customFormat="1" ht="66.75" hidden="1" customHeight="1">
      <c r="A48" s="6">
        <f>DATA!A36</f>
        <v>33</v>
      </c>
      <c r="B48" s="6">
        <f>DATA!B36</f>
        <v>0</v>
      </c>
      <c r="C48" s="6" t="str">
        <f>DATA!D36</f>
        <v>INFRASTRUKTUR</v>
      </c>
      <c r="D48" s="6">
        <f>DATA!E36</f>
        <v>1</v>
      </c>
      <c r="E48" s="6" t="str">
        <f>DATA!F36</f>
        <v>Kementerian Pekerjaan Umum dan Perumahan Rakyat</v>
      </c>
      <c r="F48" s="6" t="str">
        <f>DATA!H36</f>
        <v>Drinking Water Development Program</v>
      </c>
      <c r="G48" s="6" t="str">
        <f>DATA!I36</f>
        <v>D</v>
      </c>
      <c r="H48" s="6" t="str">
        <f>DATA!J36</f>
        <v>Program Pembangunan Air Minum</v>
      </c>
      <c r="I48" s="6">
        <f>DATA!K36</f>
        <v>4</v>
      </c>
      <c r="J48" s="38"/>
      <c r="K48" s="39"/>
      <c r="L48" s="39"/>
      <c r="M48" s="40"/>
      <c r="N48" s="67" t="str">
        <f>DATA!L36</f>
        <v xml:space="preserve">Small Scale Water Treatment Plants for Emergency Relief </v>
      </c>
      <c r="O48" s="42">
        <f>DATA!Q36</f>
        <v>1</v>
      </c>
      <c r="P48" s="42">
        <f>DATA!R36</f>
        <v>1</v>
      </c>
      <c r="Q48" s="42">
        <f>DATA!S36</f>
        <v>29</v>
      </c>
      <c r="R48" s="83">
        <f>DATA!T36</f>
        <v>25000000</v>
      </c>
      <c r="S48" s="83"/>
      <c r="T48" s="83">
        <f>DATA!V36</f>
        <v>800000</v>
      </c>
      <c r="U48" s="83">
        <f>DATA!W36</f>
        <v>0</v>
      </c>
      <c r="V48" s="83">
        <f>DATA!X36</f>
        <v>25800000</v>
      </c>
      <c r="W48" s="84" t="str">
        <f>DATA!Y36</f>
        <v>Spanyol</v>
      </c>
      <c r="X48" s="42" t="str">
        <f>DATA!Z36</f>
        <v>Bilateral</v>
      </c>
      <c r="Y48" s="83">
        <f>DATA!AA36</f>
        <v>25000000</v>
      </c>
      <c r="Z48" s="83">
        <f>DATA!AG36</f>
        <v>0</v>
      </c>
      <c r="AA48" s="42">
        <f>DATA!AH36</f>
        <v>2016</v>
      </c>
      <c r="AB48" s="67" t="str">
        <f>DATA!AI36</f>
        <v>- Sudah ada R/C
- Green Book 2015
 - Proses Loan Agreement</v>
      </c>
      <c r="AC48" s="67" t="str">
        <f>DATA!AJ36</f>
        <v>FS</v>
      </c>
      <c r="AD48" s="67" t="str">
        <f>DATA!AK36</f>
        <v>-</v>
      </c>
      <c r="AE48" s="67" t="str">
        <f>DATA!AL36</f>
        <v>-</v>
      </c>
      <c r="AF48" s="42" t="str">
        <f>DATA!AM36</f>
        <v>2016; 2015</v>
      </c>
      <c r="AG48" s="42" t="str">
        <f>DATA!AN36</f>
        <v>siap</v>
      </c>
      <c r="AH48" s="42" t="str">
        <f>DATA!AO36</f>
        <v>dalam proses
(persiapan)</v>
      </c>
      <c r="AI48" s="42" t="str">
        <f>DATA!AP36</f>
        <v>belum ada proses tender/lelang</v>
      </c>
      <c r="AJ48" s="42" t="str">
        <f>DATA!AY36</f>
        <v>Konfirmasi melalui surat Sekjen nomor KU.01.12-Sj/636 tgl 23 Oktober 2015</v>
      </c>
      <c r="AK48" s="42" t="e">
        <f>DATA!#REF!</f>
        <v>#REF!</v>
      </c>
      <c r="AL48" s="42">
        <f>DATA!AZ36</f>
        <v>0</v>
      </c>
      <c r="AM48" s="67" t="str">
        <f>DATA!BA36</f>
        <v>Pengadaan Instalasi Pengolahan Air (IPA) yang dapat dipindahkan (mobile) untuk penanganan keadaan darurat,  yang dilengkapi dengan alat pendukung, truk, dan sistem komunikasi di 4 lokasi (kota Medan, Bekasi, Makassar, dan Surabaya)</v>
      </c>
    </row>
    <row r="49" spans="1:39" ht="35.25" hidden="1" customHeight="1">
      <c r="J49" s="33"/>
      <c r="K49" s="34"/>
      <c r="L49" s="34"/>
      <c r="M49" s="33"/>
      <c r="N49" s="37" t="str">
        <f>DATA!L37</f>
        <v>IKK Water Supply Program and Small Water Treatment Plant for Water Scarcity Area</v>
      </c>
      <c r="O49" s="20">
        <f>DATA!Q37</f>
        <v>0</v>
      </c>
      <c r="P49" s="20">
        <f>DATA!R37</f>
        <v>1</v>
      </c>
      <c r="Q49" s="20">
        <f>DATA!S37</f>
        <v>30</v>
      </c>
      <c r="R49" s="77">
        <f>DATA!T37</f>
        <v>100000000</v>
      </c>
      <c r="S49" s="77"/>
      <c r="T49" s="77">
        <f>DATA!V37</f>
        <v>5000000</v>
      </c>
      <c r="U49" s="77">
        <f>DATA!W37</f>
        <v>0</v>
      </c>
      <c r="V49" s="77">
        <f>DATA!X37</f>
        <v>105000000</v>
      </c>
      <c r="W49" s="78" t="str">
        <f>DATA!Y37</f>
        <v>-</v>
      </c>
      <c r="X49" s="20">
        <f>DATA!Z37</f>
        <v>0</v>
      </c>
      <c r="Y49" s="77">
        <f>DATA!AA37</f>
        <v>100000000</v>
      </c>
      <c r="Z49" s="77">
        <f>DATA!AG37</f>
        <v>0</v>
      </c>
      <c r="AA49" s="104" t="str">
        <f>DATA!AH37</f>
        <v>-</v>
      </c>
      <c r="AB49" s="105" t="str">
        <f>DATA!AI37</f>
        <v>-</v>
      </c>
      <c r="AC49" s="105" t="str">
        <f>DATA!AJ37</f>
        <v>-</v>
      </c>
      <c r="AD49" s="105" t="str">
        <f>DATA!AK37</f>
        <v>-</v>
      </c>
      <c r="AE49" s="105" t="str">
        <f>DATA!AL37</f>
        <v>-</v>
      </c>
      <c r="AF49" s="104" t="str">
        <f>DATA!AM37</f>
        <v>-</v>
      </c>
      <c r="AG49" s="104" t="str">
        <f>DATA!AN37</f>
        <v>-</v>
      </c>
      <c r="AH49" s="104" t="str">
        <f>DATA!AO37</f>
        <v>-</v>
      </c>
      <c r="AI49" s="104" t="str">
        <f>DATA!AP37</f>
        <v>-</v>
      </c>
      <c r="AJ49" s="104" t="str">
        <f>DATA!AY37</f>
        <v>Konfirmasi melalui surat Sekjen nomor KU.01.12-Sj/636 tgl 23 Oktober 2015</v>
      </c>
      <c r="AK49" s="104" t="e">
        <f>DATA!#REF!</f>
        <v>#REF!</v>
      </c>
      <c r="AL49" s="104" t="str">
        <f>DATA!AZ37</f>
        <v>-</v>
      </c>
      <c r="AM49" s="105" t="str">
        <f>DATA!BA37</f>
        <v>-</v>
      </c>
    </row>
    <row r="50" spans="1:39" s="6" customFormat="1" ht="89.25" hidden="1">
      <c r="A50" s="6">
        <f>DATA!A38</f>
        <v>34</v>
      </c>
      <c r="B50" s="6">
        <f>DATA!B38</f>
        <v>0</v>
      </c>
      <c r="C50" s="6" t="str">
        <f>DATA!D38</f>
        <v>INFRASTRUKTUR</v>
      </c>
      <c r="D50" s="6">
        <f>DATA!E38</f>
        <v>1</v>
      </c>
      <c r="E50" s="6" t="str">
        <f>DATA!F38</f>
        <v>Kementerian Pekerjaan Umum dan Perumahan Rakyat</v>
      </c>
      <c r="F50" s="6" t="str">
        <f>DATA!H38</f>
        <v>Drinking Water Development Program</v>
      </c>
      <c r="G50" s="6" t="str">
        <f>DATA!I38</f>
        <v>D</v>
      </c>
      <c r="H50" s="6" t="str">
        <f>DATA!J38</f>
        <v>Program Pembangunan Air Minum</v>
      </c>
      <c r="I50" s="6">
        <f>DATA!K38</f>
        <v>4</v>
      </c>
      <c r="J50" s="38"/>
      <c r="K50" s="39"/>
      <c r="L50" s="71"/>
      <c r="M50" s="43"/>
      <c r="N50" s="67" t="str">
        <f>DATA!L38</f>
        <v>IKK Water Supply Program and Small Water Treatment Plant for Water Scarcity Area</v>
      </c>
      <c r="O50" s="42">
        <f>DATA!Q38</f>
        <v>0.5</v>
      </c>
      <c r="P50" s="42">
        <f>DATA!R38</f>
        <v>0</v>
      </c>
      <c r="Q50" s="42">
        <f>DATA!S38</f>
        <v>0</v>
      </c>
      <c r="R50" s="83">
        <f>DATA!T38</f>
        <v>0</v>
      </c>
      <c r="S50" s="83"/>
      <c r="T50" s="83">
        <f>DATA!V38</f>
        <v>0</v>
      </c>
      <c r="U50" s="83">
        <f>DATA!W38</f>
        <v>0</v>
      </c>
      <c r="V50" s="83">
        <f>DATA!X38</f>
        <v>0</v>
      </c>
      <c r="W50" s="84" t="str">
        <f>DATA!Y38</f>
        <v>Hungaria</v>
      </c>
      <c r="X50" s="42" t="str">
        <f>DATA!Z38</f>
        <v>Bilateral</v>
      </c>
      <c r="Y50" s="83">
        <f>DATA!AA38</f>
        <v>50000000</v>
      </c>
      <c r="Z50" s="83">
        <f>DATA!AG38</f>
        <v>0</v>
      </c>
      <c r="AA50" s="42">
        <f>DATA!AH38</f>
        <v>2016</v>
      </c>
      <c r="AB50" s="67" t="str">
        <f>DATA!AI38</f>
        <v>- Sudah ada R/C
- Green Book 2015
- Proses LA</v>
      </c>
      <c r="AC50" s="67" t="str">
        <f>DATA!AJ38</f>
        <v>Surat minat, RISPAM, DED, SIPA, Organisasi Pelaksana, DDUB</v>
      </c>
      <c r="AD50" s="67" t="str">
        <f>DATA!AK38</f>
        <v>Sebagian lokasi dalam proses pembebasan lahan oleh Pemda</v>
      </c>
      <c r="AE50" s="67" t="str">
        <f>DATA!AL38</f>
        <v>Dalam proses pengadaan</v>
      </c>
      <c r="AF50" s="42" t="str">
        <f>DATA!AM38</f>
        <v>2016; 2015</v>
      </c>
      <c r="AG50" s="42" t="str">
        <f>DATA!AN38</f>
        <v>siap</v>
      </c>
      <c r="AH50" s="42" t="str">
        <f>DATA!AO38</f>
        <v>dalam proses
(pelaksanaan &lt;50%)</v>
      </c>
      <c r="AI50" s="42" t="str">
        <f>DATA!AP38</f>
        <v>dalam proses tender/lelang</v>
      </c>
      <c r="AJ50" s="42" t="str">
        <f>DATA!AY38</f>
        <v>Konfirmasi melalui surat Sekjen nomor KU.01.12-Sj/636 tgl 23 Oktober 2015</v>
      </c>
      <c r="AK50" s="42" t="e">
        <f>DATA!#REF!</f>
        <v>#REF!</v>
      </c>
      <c r="AL50" s="42"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M50" s="67"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row>
    <row r="51" spans="1:39" s="6" customFormat="1" ht="30" hidden="1" customHeight="1">
      <c r="J51" s="38"/>
      <c r="K51" s="39"/>
      <c r="L51" s="71"/>
      <c r="M51" s="43"/>
      <c r="N51" s="67" t="str">
        <f>DATA!L39</f>
        <v>IKK Water Supply Program and Small Water Treatment Plant for Water Scarcity Area</v>
      </c>
      <c r="O51" s="42">
        <f>DATA!Q39</f>
        <v>0.5</v>
      </c>
      <c r="P51" s="42">
        <f>DATA!R39</f>
        <v>0</v>
      </c>
      <c r="Q51" s="42">
        <f>DATA!S39</f>
        <v>0</v>
      </c>
      <c r="R51" s="83">
        <f>DATA!T39</f>
        <v>0</v>
      </c>
      <c r="S51" s="83"/>
      <c r="T51" s="83">
        <f>DATA!V39</f>
        <v>0</v>
      </c>
      <c r="U51" s="83">
        <f>DATA!W39</f>
        <v>0</v>
      </c>
      <c r="V51" s="83">
        <f>DATA!X39</f>
        <v>0</v>
      </c>
      <c r="W51" s="84" t="str">
        <f>DATA!Y39</f>
        <v>IDB</v>
      </c>
      <c r="X51" s="42" t="str">
        <f>DATA!Z39</f>
        <v>Multilateral</v>
      </c>
      <c r="Y51" s="83">
        <f>DATA!AA39</f>
        <v>50000000</v>
      </c>
      <c r="Z51" s="83">
        <f>DATA!AG39</f>
        <v>0</v>
      </c>
      <c r="AA51" s="42">
        <f>DATA!AH39</f>
        <v>2017</v>
      </c>
      <c r="AB51" s="67" t="str">
        <f>DATA!AI39</f>
        <v>-</v>
      </c>
      <c r="AC51" s="67" t="str">
        <f>DATA!AJ39</f>
        <v>-</v>
      </c>
      <c r="AD51" s="67" t="str">
        <f>DATA!AK39</f>
        <v>-</v>
      </c>
      <c r="AE51" s="67" t="str">
        <f>DATA!AL39</f>
        <v>-</v>
      </c>
      <c r="AF51" s="42">
        <f>DATA!AM39</f>
        <v>0</v>
      </c>
      <c r="AG51" s="42" t="str">
        <f>DATA!AN39</f>
        <v>siap</v>
      </c>
      <c r="AH51" s="42" t="str">
        <f>DATA!AO39</f>
        <v>dalam proses
(pelaksanaan &lt;50%)</v>
      </c>
      <c r="AI51" s="42" t="str">
        <f>DATA!AP39</f>
        <v>belum ada proses tender/lelang</v>
      </c>
      <c r="AJ51" s="42" t="str">
        <f>DATA!AY39</f>
        <v>Konfirmasi melalui surat Sekjen nomor KU.01.12-Sj/636 tgl 23 Oktober 2015</v>
      </c>
      <c r="AK51" s="42" t="e">
        <f>DATA!#REF!</f>
        <v>#REF!</v>
      </c>
      <c r="AL51" s="42">
        <f>DATA!AZ39</f>
        <v>0</v>
      </c>
      <c r="AM51" s="67">
        <f>DATA!BA39</f>
        <v>0</v>
      </c>
    </row>
    <row r="52" spans="1:39" s="7" customFormat="1" ht="37.5" customHeight="1">
      <c r="A52" s="6"/>
      <c r="B52" s="6"/>
      <c r="C52" s="6"/>
      <c r="D52" s="6"/>
      <c r="E52" s="6"/>
      <c r="F52" s="6"/>
      <c r="G52" s="6"/>
      <c r="H52" s="6"/>
      <c r="I52" s="6"/>
      <c r="J52" s="44"/>
      <c r="K52" s="45"/>
      <c r="L52" s="69"/>
      <c r="M52" s="60">
        <f>DATA!K40</f>
        <v>5</v>
      </c>
      <c r="N52" s="61" t="str">
        <f>DATA!L40</f>
        <v>Engineering Service for Water Supply Development Project</v>
      </c>
      <c r="O52" s="20">
        <f>DATA!Q40</f>
        <v>0</v>
      </c>
      <c r="P52" s="20">
        <f>DATA!R40</f>
        <v>1</v>
      </c>
      <c r="Q52" s="20">
        <f>DATA!S40</f>
        <v>0</v>
      </c>
      <c r="R52" s="89">
        <f>DATA!T40</f>
        <v>0</v>
      </c>
      <c r="S52" s="89"/>
      <c r="T52" s="89">
        <f>DATA!V40</f>
        <v>0</v>
      </c>
      <c r="U52" s="77">
        <f>DATA!W40</f>
        <v>0</v>
      </c>
      <c r="V52" s="89">
        <f>DATA!X40</f>
        <v>0</v>
      </c>
      <c r="W52" s="90" t="str">
        <f>DATA!Y40</f>
        <v>ADB</v>
      </c>
      <c r="X52" s="20" t="str">
        <f>DATA!Z40</f>
        <v>Multilateral</v>
      </c>
      <c r="Y52" s="89">
        <f>DATA!AA40</f>
        <v>26380000</v>
      </c>
      <c r="Z52" s="89">
        <f>DATA!AG40</f>
        <v>0</v>
      </c>
      <c r="AA52" s="103">
        <f>DATA!AH40</f>
        <v>2016</v>
      </c>
      <c r="AB52" s="61" t="str">
        <f>DATA!AI40</f>
        <v>- Green Book 2015</v>
      </c>
      <c r="AC52" s="61" t="str">
        <f>DATA!AJ40</f>
        <v>-</v>
      </c>
      <c r="AD52" s="61" t="str">
        <f>DATA!AK40</f>
        <v>-</v>
      </c>
      <c r="AE52" s="61" t="str">
        <f>DATA!AL40</f>
        <v>-</v>
      </c>
      <c r="AF52" s="42"/>
      <c r="AG52" s="42"/>
      <c r="AH52" s="42"/>
      <c r="AI52" s="42"/>
      <c r="AJ52" s="42"/>
      <c r="AK52" s="42"/>
      <c r="AL52" s="42"/>
      <c r="AM52" s="67"/>
    </row>
    <row r="53" spans="1:39" s="5" customFormat="1" ht="33.75" hidden="1" customHeight="1">
      <c r="J53" s="28"/>
      <c r="K53" s="50"/>
      <c r="L53" s="30" t="str">
        <f>DATA!I41</f>
        <v>E</v>
      </c>
      <c r="M53" s="31" t="str">
        <f>DATA!J41</f>
        <v xml:space="preserve">Program Pembangunan Sistem Pengelolaan Air Limbah </v>
      </c>
      <c r="N53" s="51"/>
      <c r="O53" s="31"/>
      <c r="P53" s="31"/>
      <c r="Q53" s="31"/>
      <c r="R53" s="81">
        <f>+R54+R57+R58+R59+R63+R64</f>
        <v>3583000000</v>
      </c>
      <c r="S53" s="81"/>
      <c r="T53" s="81">
        <f t="shared" ref="T53:Z53" si="1">+T54+T57+T58+T59+T63+T64</f>
        <v>179150000</v>
      </c>
      <c r="U53" s="81">
        <f t="shared" si="1"/>
        <v>0</v>
      </c>
      <c r="V53" s="81">
        <f t="shared" si="1"/>
        <v>3762150000</v>
      </c>
      <c r="W53" s="81"/>
      <c r="X53" s="81" t="e">
        <f t="shared" si="1"/>
        <v>#VALUE!</v>
      </c>
      <c r="Y53" s="81">
        <f t="shared" si="1"/>
        <v>3583000000</v>
      </c>
      <c r="Z53" s="81">
        <f t="shared" si="1"/>
        <v>0</v>
      </c>
      <c r="AA53" s="31"/>
      <c r="AB53" s="32"/>
      <c r="AC53" s="32"/>
      <c r="AD53" s="32"/>
      <c r="AE53" s="32"/>
      <c r="AF53" s="31"/>
      <c r="AG53" s="31"/>
      <c r="AH53" s="31"/>
      <c r="AI53" s="31"/>
      <c r="AJ53" s="31"/>
      <c r="AK53" s="31"/>
      <c r="AL53" s="31"/>
      <c r="AM53" s="32"/>
    </row>
    <row r="54" spans="1:39" ht="57.75" hidden="1" customHeight="1">
      <c r="A54" s="10">
        <f>DATA!A41</f>
        <v>35</v>
      </c>
      <c r="B54" s="10">
        <f>DATA!B41</f>
        <v>0</v>
      </c>
      <c r="C54" s="10" t="str">
        <f>DATA!D41</f>
        <v>INFRASTRUKTUR</v>
      </c>
      <c r="D54" s="10">
        <f>DATA!E41</f>
        <v>1</v>
      </c>
      <c r="E54" s="10" t="str">
        <f>DATA!F41</f>
        <v>Kementerian Pekerjaan Umum dan Perumahan Rakyat</v>
      </c>
      <c r="F54" s="10" t="str">
        <f>DATA!H41</f>
        <v>Development of Waste Water Management Program</v>
      </c>
      <c r="G54" s="10" t="str">
        <f>DATA!I41</f>
        <v>E</v>
      </c>
      <c r="H54" s="10" t="str">
        <f>DATA!J41</f>
        <v xml:space="preserve">Program Pembangunan Sistem Pengelolaan Air Limbah </v>
      </c>
      <c r="I54" s="10">
        <f>DATA!K41</f>
        <v>1</v>
      </c>
      <c r="J54" s="33"/>
      <c r="K54" s="34"/>
      <c r="L54" s="35"/>
      <c r="M54" s="36">
        <f>DATA!K41</f>
        <v>1</v>
      </c>
      <c r="N54" s="37" t="str">
        <f>DATA!L41</f>
        <v>Community Based Sanitation Program (SANIMAS)</v>
      </c>
      <c r="O54" s="37">
        <f>DATA!Q41</f>
        <v>0</v>
      </c>
      <c r="P54" s="37">
        <f>DATA!R41</f>
        <v>1</v>
      </c>
      <c r="Q54" s="37">
        <f>DATA!S41</f>
        <v>31</v>
      </c>
      <c r="R54" s="87">
        <f>DATA!T41</f>
        <v>250000000</v>
      </c>
      <c r="S54" s="87"/>
      <c r="T54" s="87">
        <f>DATA!V41</f>
        <v>12500000</v>
      </c>
      <c r="U54" s="87">
        <f>DATA!W41</f>
        <v>0</v>
      </c>
      <c r="V54" s="87">
        <f>DATA!X41</f>
        <v>262500000</v>
      </c>
      <c r="W54" s="37" t="str">
        <f>DATA!Y41</f>
        <v>-</v>
      </c>
      <c r="X54" s="37">
        <f>DATA!Z41</f>
        <v>0</v>
      </c>
      <c r="Y54" s="37">
        <f>DATA!AA41</f>
        <v>250000000</v>
      </c>
      <c r="Z54" s="87">
        <f>DATA!AG41</f>
        <v>0</v>
      </c>
      <c r="AA54" s="37" t="str">
        <f>DATA!AH41</f>
        <v>-</v>
      </c>
      <c r="AB54" s="37" t="str">
        <f>DATA!AI41</f>
        <v>-</v>
      </c>
      <c r="AC54" s="37" t="str">
        <f>DATA!AJ41</f>
        <v>-</v>
      </c>
      <c r="AD54" s="37" t="str">
        <f>DATA!AK41</f>
        <v>-</v>
      </c>
      <c r="AE54" s="37" t="str">
        <f>DATA!AL41</f>
        <v>-</v>
      </c>
      <c r="AF54" s="37" t="str">
        <f>DATA!AM41</f>
        <v>-</v>
      </c>
      <c r="AG54" s="37" t="str">
        <f>DATA!AN41</f>
        <v>-</v>
      </c>
      <c r="AH54" s="37" t="str">
        <f>DATA!AO41</f>
        <v>-</v>
      </c>
      <c r="AI54" s="37" t="str">
        <f>DATA!AP41</f>
        <v>belum ada proses tender/lelang</v>
      </c>
      <c r="AJ54" s="37" t="str">
        <f>DATA!AY41</f>
        <v>- Merupakan kelanjutan dari kegiatan Urban Sanitation and Rural Infrastructure Support to PNPM Mandiri Projrct (USRI) yang telah berakhir pada tanggal 30 Juni 2015
- Konfirmasi melalui surat Sekjen nomor KU.01.12-Sj/636 tgl 23 Oktober 2015</v>
      </c>
      <c r="AK54" s="37" t="e">
        <f>DATA!#REF!</f>
        <v>#REF!</v>
      </c>
      <c r="AL54" s="37" t="str">
        <f>DATA!AZ41</f>
        <v>- ADB akan co-financing dengan IDB dan diindikasikan akan mendanai kegiatan ini sebesar USD 125 juta untuk wilayah Indonesia Timur
'- IDB akan co-financing dengan ADB dan diindikasikan akan mendanai kegiatan ini sebesar USD 25 juta untuk wilayah Indonesia Barat</v>
      </c>
      <c r="AM54" s="37" t="str">
        <f>DATA!BA41</f>
        <v>Bantuan langsung masyarakat, penguatan institusi pengelola, dan jasa konsultasi.</v>
      </c>
    </row>
    <row r="55" spans="1:39" s="6" customFormat="1" ht="55.5" hidden="1" customHeight="1">
      <c r="J55" s="38"/>
      <c r="K55" s="39"/>
      <c r="L55" s="39"/>
      <c r="M55" s="72"/>
      <c r="N55" s="67" t="str">
        <f>DATA!L42</f>
        <v>Community Based Sanitation Program (SANIMAS)</v>
      </c>
      <c r="O55" s="67">
        <f>DATA!Q42</f>
        <v>0.5</v>
      </c>
      <c r="P55" s="67">
        <f>DATA!R42</f>
        <v>1</v>
      </c>
      <c r="Q55" s="67">
        <f>DATA!S42</f>
        <v>31</v>
      </c>
      <c r="R55" s="93">
        <f>DATA!T42</f>
        <v>0</v>
      </c>
      <c r="S55" s="93"/>
      <c r="T55" s="93">
        <f>DATA!V42</f>
        <v>0</v>
      </c>
      <c r="U55" s="93">
        <f>DATA!W42</f>
        <v>0</v>
      </c>
      <c r="V55" s="93">
        <f>DATA!X42</f>
        <v>0</v>
      </c>
      <c r="W55" s="84" t="str">
        <f>DATA!Y42</f>
        <v>ADB</v>
      </c>
      <c r="X55" s="67" t="str">
        <f>DATA!Z42</f>
        <v>Multilateral</v>
      </c>
      <c r="Y55" s="67">
        <f>DATA!AA42</f>
        <v>125000000</v>
      </c>
      <c r="Z55" s="93">
        <f>DATA!AG42</f>
        <v>0</v>
      </c>
      <c r="AA55" s="67">
        <f>DATA!AH42</f>
        <v>2016</v>
      </c>
      <c r="AB55" s="67" t="str">
        <f>DATA!AI42</f>
        <v>-</v>
      </c>
      <c r="AC55" s="67" t="str">
        <f>DATA!AJ42</f>
        <v>-</v>
      </c>
      <c r="AD55" s="67" t="str">
        <f>DATA!AK42</f>
        <v>Tidak ada kegiatan pengadaan lahan, lahan akan diperoleh dari masyarakat</v>
      </c>
      <c r="AE55" s="67" t="str">
        <f>DATA!AL42</f>
        <v>-</v>
      </c>
      <c r="AF55" s="67">
        <f>DATA!AM42</f>
        <v>0</v>
      </c>
      <c r="AG55" s="67" t="str">
        <f>DATA!AN42</f>
        <v>belum ada keterangan</v>
      </c>
      <c r="AH55" s="67" t="str">
        <f>DATA!AO42</f>
        <v>tidak butuh lahan</v>
      </c>
      <c r="AI55" s="67" t="str">
        <f>DATA!AP42</f>
        <v>belum ada proses tender/lelang</v>
      </c>
      <c r="AJ55" s="67" t="str">
        <f>DATA!AY42</f>
        <v>- Merupakan kelanjutan dari kegiatan Urban Sanitation and Rural Infrastructure Support to PNPM Mandiri Projrct (USRI) yang telah berakhir pada tanggal 30 Juni 2015
- Konfirmasi melalui e-mail tanggal 17, 18, dan 21 Sept 2015</v>
      </c>
      <c r="AK55" s="67" t="e">
        <f>DATA!#REF!</f>
        <v>#REF!</v>
      </c>
      <c r="AL55" s="6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M55" s="67" t="str">
        <f>DATA!BA42</f>
        <v>Bantuan langsung masyarakat, penguatan institusi pengelola, dan jasa konsultasi.</v>
      </c>
    </row>
    <row r="56" spans="1:39" s="6" customFormat="1" ht="46.5" hidden="1" customHeight="1">
      <c r="J56" s="38"/>
      <c r="K56" s="39"/>
      <c r="L56" s="39"/>
      <c r="M56" s="72"/>
      <c r="N56" s="67" t="str">
        <f>DATA!L43</f>
        <v>Community Based Sanitation Program (SANIMAS)</v>
      </c>
      <c r="O56" s="67">
        <f>DATA!Q43</f>
        <v>0.5</v>
      </c>
      <c r="P56" s="67">
        <f>DATA!R43</f>
        <v>1</v>
      </c>
      <c r="Q56" s="67">
        <f>DATA!S43</f>
        <v>31</v>
      </c>
      <c r="R56" s="93">
        <f>DATA!T43</f>
        <v>0</v>
      </c>
      <c r="S56" s="93"/>
      <c r="T56" s="93">
        <f>DATA!V43</f>
        <v>0</v>
      </c>
      <c r="U56" s="93">
        <f>DATA!W43</f>
        <v>0</v>
      </c>
      <c r="V56" s="93">
        <f>DATA!X43</f>
        <v>0</v>
      </c>
      <c r="W56" s="84" t="str">
        <f>DATA!Y43</f>
        <v>IDB</v>
      </c>
      <c r="X56" s="67" t="str">
        <f>DATA!Z43</f>
        <v>Multilateral</v>
      </c>
      <c r="Y56" s="67">
        <f>DATA!AA43</f>
        <v>125000000</v>
      </c>
      <c r="Z56" s="93">
        <f>DATA!AG43</f>
        <v>0</v>
      </c>
      <c r="AA56" s="67">
        <f>DATA!AH43</f>
        <v>2017</v>
      </c>
      <c r="AB56" s="67" t="str">
        <f>DATA!AI43</f>
        <v>-</v>
      </c>
      <c r="AC56" s="67" t="str">
        <f>DATA!AJ43</f>
        <v>-</v>
      </c>
      <c r="AD56" s="67" t="str">
        <f>DATA!AK43</f>
        <v>Tidak ada kegiatan pengadaan lahan, lahan akan diperoleh dari masyarakat</v>
      </c>
      <c r="AE56" s="67" t="str">
        <f>DATA!AL43</f>
        <v>-</v>
      </c>
      <c r="AF56" s="67">
        <f>DATA!AM43</f>
        <v>0</v>
      </c>
      <c r="AG56" s="67" t="str">
        <f>DATA!AN43</f>
        <v>belum ada keterangan</v>
      </c>
      <c r="AH56" s="67" t="str">
        <f>DATA!AO43</f>
        <v>tidak butuh lahan</v>
      </c>
      <c r="AI56" s="67" t="str">
        <f>DATA!AP43</f>
        <v>belum ada proses tender/lelang</v>
      </c>
      <c r="AJ56" s="67" t="str">
        <f>DATA!AY43</f>
        <v>- Merupakan kelanjutan dari kegiatan Urban Sanitation and Rural Infrastructure Support to PNPM Mandiri Projrct (USRI) yang telah berakhir pada tanggal 30 Juni 2015
- Konfirmasi melalui surat Sekjen nomor KU.01.12-Sj/636 tgl 23 Oktober 2015</v>
      </c>
      <c r="AK56" s="67" t="e">
        <f>DATA!#REF!</f>
        <v>#REF!</v>
      </c>
      <c r="AL56" s="6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M56" s="67" t="str">
        <f>DATA!BA43</f>
        <v>Bantuan langsung masyarakat, penguatan institusi pengelola, dan jasa konsultasi.</v>
      </c>
    </row>
    <row r="57" spans="1:39" ht="80.25" hidden="1" customHeight="1">
      <c r="A57" s="10">
        <f>DATA!A44</f>
        <v>36</v>
      </c>
      <c r="B57" s="10">
        <f>DATA!B44</f>
        <v>0</v>
      </c>
      <c r="C57" s="10" t="str">
        <f>DATA!D44</f>
        <v>INFRASTRUKTUR</v>
      </c>
      <c r="D57" s="10">
        <f>DATA!E44</f>
        <v>1</v>
      </c>
      <c r="E57" s="10" t="str">
        <f>DATA!F44</f>
        <v>Kementerian Pekerjaan Umum dan Perumahan Rakyat</v>
      </c>
      <c r="F57" s="10" t="str">
        <f>DATA!H44</f>
        <v>Development of Waste Water Management Program</v>
      </c>
      <c r="G57" s="10" t="str">
        <f>DATA!I44</f>
        <v>E</v>
      </c>
      <c r="H57" s="10" t="str">
        <f>DATA!J44</f>
        <v xml:space="preserve">Program Pembangunan Sistem Pengelolaan Air Limbah </v>
      </c>
      <c r="I57" s="10">
        <f>DATA!K44</f>
        <v>2</v>
      </c>
      <c r="J57" s="33"/>
      <c r="K57" s="34"/>
      <c r="L57" s="34"/>
      <c r="M57" s="36">
        <f>DATA!K44</f>
        <v>2</v>
      </c>
      <c r="N57" s="37" t="str">
        <f>DATA!L44</f>
        <v>Jakarta Sewerage Development Project - Zone 1 and Zone 6</v>
      </c>
      <c r="O57" s="20">
        <f>DATA!Q44</f>
        <v>1</v>
      </c>
      <c r="P57" s="20">
        <f>DATA!R44</f>
        <v>1</v>
      </c>
      <c r="Q57" s="20">
        <f>DATA!S44</f>
        <v>32</v>
      </c>
      <c r="R57" s="77">
        <f>DATA!T44</f>
        <v>1950000000</v>
      </c>
      <c r="S57" s="77"/>
      <c r="T57" s="77">
        <f>DATA!V44</f>
        <v>97500000</v>
      </c>
      <c r="U57" s="77">
        <f>DATA!W44</f>
        <v>0</v>
      </c>
      <c r="V57" s="77">
        <f>DATA!X44</f>
        <v>2047500000</v>
      </c>
      <c r="W57" s="78" t="str">
        <f>DATA!Y44</f>
        <v>JICA</v>
      </c>
      <c r="X57" s="20" t="str">
        <f>DATA!Z44</f>
        <v>Bilateral</v>
      </c>
      <c r="Y57" s="77">
        <f>DATA!AA44</f>
        <v>1950000000</v>
      </c>
      <c r="Z57" s="77">
        <f>DATA!AG44</f>
        <v>0</v>
      </c>
      <c r="AA57" s="20">
        <f>DATA!AH44</f>
        <v>2017</v>
      </c>
      <c r="AB57" s="37" t="str">
        <f>DATA!AI44</f>
        <v>-</v>
      </c>
      <c r="AC57" s="37" t="str">
        <f>DATA!AJ44</f>
        <v>- FS
- Penyusunan DED</v>
      </c>
      <c r="AD57" s="37" t="str">
        <f>DATA!AK44</f>
        <v>Lahan untuk IPAL sudah dibebaskan</v>
      </c>
      <c r="AE57" s="37" t="str">
        <f>DATA!AL44</f>
        <v>-</v>
      </c>
      <c r="AF57" s="20">
        <f>DATA!AM44</f>
        <v>0</v>
      </c>
      <c r="AG57" s="20" t="str">
        <f>DATA!AN44</f>
        <v>dalam proses
(memiliki FS)</v>
      </c>
      <c r="AH57" s="20" t="str">
        <f>DATA!AO44</f>
        <v>dalam proses</v>
      </c>
      <c r="AI57" s="20" t="str">
        <f>DATA!AP44</f>
        <v>belum ada proses tender/lelang</v>
      </c>
      <c r="AJ57" s="20" t="str">
        <f>DATA!AY44</f>
        <v>Konfirmasi melalui surat Sekjen nomor KU.01.12-Sj/636 tgl 23 Oktober 2015</v>
      </c>
      <c r="AK57" s="20" t="e">
        <f>DATA!#REF!</f>
        <v>#REF!</v>
      </c>
      <c r="AL57" s="20">
        <f>DATA!AZ44</f>
        <v>0</v>
      </c>
      <c r="AM57" s="37" t="str">
        <f>DATA!BA44</f>
        <v>Pembangunan jaringan perpipaan dan Instalasi Pengolahan Air Limbah (IPAL) terpusat di Zona-1 dan Zona-6, pembangunan unit stasiun pompa, serta penyusunan Detail Engineering Design (DED) untuk IPAL Terpusat Zona 6</v>
      </c>
    </row>
    <row r="58" spans="1:39" ht="51" hidden="1" customHeight="1">
      <c r="A58" s="10">
        <f>DATA!A45</f>
        <v>37</v>
      </c>
      <c r="B58" s="10">
        <f>DATA!B45</f>
        <v>0</v>
      </c>
      <c r="C58" s="10" t="str">
        <f>DATA!D45</f>
        <v>INFRASTRUKTUR</v>
      </c>
      <c r="D58" s="10">
        <f>DATA!E45</f>
        <v>1</v>
      </c>
      <c r="E58" s="10" t="str">
        <f>DATA!F45</f>
        <v>Kementerian Pekerjaan Umum dan Perumahan Rakyat</v>
      </c>
      <c r="F58" s="10" t="str">
        <f>DATA!H45</f>
        <v>Development of Waste Water Management Program</v>
      </c>
      <c r="G58" s="10" t="str">
        <f>DATA!I45</f>
        <v>E</v>
      </c>
      <c r="H58" s="10" t="str">
        <f>DATA!J45</f>
        <v xml:space="preserve">Program Pembangunan Sistem Pengelolaan Air Limbah </v>
      </c>
      <c r="I58" s="10">
        <f>DATA!K45</f>
        <v>3</v>
      </c>
      <c r="J58" s="33"/>
      <c r="K58" s="34"/>
      <c r="L58" s="34"/>
      <c r="M58" s="36">
        <f>DATA!K45</f>
        <v>3</v>
      </c>
      <c r="N58" s="37" t="str">
        <f>DATA!L45</f>
        <v>The Development of Sewage Treatment Plant Facility in Priority Area</v>
      </c>
      <c r="O58" s="20">
        <f>DATA!Q45</f>
        <v>1</v>
      </c>
      <c r="P58" s="20">
        <f>DATA!R45</f>
        <v>1</v>
      </c>
      <c r="Q58" s="20">
        <f>DATA!S45</f>
        <v>33</v>
      </c>
      <c r="R58" s="77">
        <f>DATA!T45</f>
        <v>75000000</v>
      </c>
      <c r="S58" s="77"/>
      <c r="T58" s="77">
        <f>DATA!V45</f>
        <v>3750000</v>
      </c>
      <c r="U58" s="77">
        <f>DATA!W45</f>
        <v>0</v>
      </c>
      <c r="V58" s="77">
        <f>DATA!X45</f>
        <v>78750000</v>
      </c>
      <c r="W58" s="78" t="str">
        <f>DATA!Y45</f>
        <v>Bank Dunia/JICA</v>
      </c>
      <c r="X58" s="20" t="str">
        <f>DATA!Z45</f>
        <v>Multi Lender</v>
      </c>
      <c r="Y58" s="77">
        <f>DATA!AA45</f>
        <v>75000000</v>
      </c>
      <c r="Z58" s="77">
        <f>DATA!AG45</f>
        <v>0</v>
      </c>
      <c r="AA58" s="20">
        <f>DATA!AH45</f>
        <v>2018</v>
      </c>
      <c r="AB58" s="37" t="str">
        <f>DATA!AI45</f>
        <v>-</v>
      </c>
      <c r="AC58" s="37" t="str">
        <f>DATA!AJ45</f>
        <v>FS disiapkan melalui APBN TA 2015</v>
      </c>
      <c r="AD58" s="37" t="str">
        <f>DATA!AK45</f>
        <v>-</v>
      </c>
      <c r="AE58" s="37" t="str">
        <f>DATA!AL45</f>
        <v>-</v>
      </c>
      <c r="AF58" s="20">
        <f>DATA!AM45</f>
        <v>0</v>
      </c>
      <c r="AG58" s="20" t="str">
        <f>DATA!AN45</f>
        <v>dalam proses
(memiliki FS)</v>
      </c>
      <c r="AH58" s="20" t="str">
        <f>DATA!AO45</f>
        <v>belum ada keterangan</v>
      </c>
      <c r="AI58" s="20" t="str">
        <f>DATA!AP45</f>
        <v>belum ada proses tender/lelang</v>
      </c>
      <c r="AJ58" s="20" t="str">
        <f>DATA!AY45</f>
        <v>- Sedang dalam konsep desain bentuk kegiatan
- 'Konfirmasi melalui surat Sekjen nomor KU.01.12-Sj/636 tgl 23 Oktober 2015</v>
      </c>
      <c r="AK58" s="20" t="e">
        <f>DATA!#REF!</f>
        <v>#REF!</v>
      </c>
      <c r="AL58" s="20" t="str">
        <f>DATA!AZ45</f>
        <v>JICA diindikasikan juga akan mendanai kegaiatan ini</v>
      </c>
      <c r="AM58" s="37" t="str">
        <f>DATA!BA45</f>
        <v>Penyediaan sarana prasarana Instalasi Pengolahan Lumpur Tinja (IPLT), seperti mobil tinja, pompa penyedot dan unit IPLT.</v>
      </c>
    </row>
    <row r="59" spans="1:39" ht="22.5" hidden="1" customHeight="1">
      <c r="A59" s="10">
        <f>DATA!A46</f>
        <v>38</v>
      </c>
      <c r="B59" s="10">
        <f>DATA!B46</f>
        <v>0</v>
      </c>
      <c r="C59" s="10" t="str">
        <f>DATA!D46</f>
        <v>INFRASTRUKTUR</v>
      </c>
      <c r="D59" s="10">
        <f>DATA!E46</f>
        <v>1</v>
      </c>
      <c r="E59" s="10" t="str">
        <f>DATA!F46</f>
        <v>Kementerian Pekerjaan Umum dan Perumahan Rakyat</v>
      </c>
      <c r="F59" s="10" t="str">
        <f>DATA!H46</f>
        <v>Development of Waste Water Management Program</v>
      </c>
      <c r="G59" s="10" t="str">
        <f>DATA!I46</f>
        <v>E</v>
      </c>
      <c r="H59" s="10" t="str">
        <f>DATA!J46</f>
        <v xml:space="preserve">Program Pembangunan Sistem Pengelolaan Air Limbah </v>
      </c>
      <c r="I59" s="10">
        <f>DATA!K46</f>
        <v>4</v>
      </c>
      <c r="J59" s="33"/>
      <c r="K59" s="34"/>
      <c r="L59" s="34"/>
      <c r="M59" s="36">
        <f>DATA!K46</f>
        <v>4</v>
      </c>
      <c r="N59" s="37" t="str">
        <f>DATA!L46</f>
        <v>Sewerage System Development in Indonesia</v>
      </c>
      <c r="O59" s="20">
        <f>DATA!Q46</f>
        <v>0</v>
      </c>
      <c r="P59" s="20">
        <f>DATA!R46</f>
        <v>1</v>
      </c>
      <c r="Q59" s="20">
        <f>DATA!S46</f>
        <v>34</v>
      </c>
      <c r="R59" s="77">
        <f>DATA!T46</f>
        <v>975000000</v>
      </c>
      <c r="S59" s="77"/>
      <c r="T59" s="77">
        <f>DATA!V46</f>
        <v>48750000</v>
      </c>
      <c r="U59" s="77">
        <f>DATA!W46</f>
        <v>0</v>
      </c>
      <c r="V59" s="77">
        <f>DATA!X46</f>
        <v>1023750000</v>
      </c>
      <c r="W59" s="78" t="str">
        <f>DATA!Y46</f>
        <v>-</v>
      </c>
      <c r="X59" s="20">
        <f>DATA!Z46</f>
        <v>0</v>
      </c>
      <c r="Y59" s="77">
        <f>DATA!AA46</f>
        <v>975000000</v>
      </c>
      <c r="Z59" s="77">
        <f>DATA!AG46</f>
        <v>0</v>
      </c>
      <c r="AA59" s="20"/>
      <c r="AB59" s="37" t="str">
        <f>DATA!AI46</f>
        <v>-</v>
      </c>
      <c r="AC59" s="37" t="str">
        <f>DATA!AJ46</f>
        <v>-</v>
      </c>
      <c r="AD59" s="37" t="str">
        <f>DATA!AK46</f>
        <v>-</v>
      </c>
      <c r="AE59" s="37" t="str">
        <f>DATA!AL46</f>
        <v>-</v>
      </c>
      <c r="AF59" s="20" t="str">
        <f>DATA!AM46</f>
        <v>-</v>
      </c>
      <c r="AG59" s="20" t="str">
        <f>DATA!AN46</f>
        <v>-</v>
      </c>
      <c r="AH59" s="20" t="str">
        <f>DATA!AO46</f>
        <v>-</v>
      </c>
      <c r="AI59" s="20" t="str">
        <f>DATA!AP46</f>
        <v>-</v>
      </c>
      <c r="AJ59" s="20" t="str">
        <f>DATA!AY46</f>
        <v>Konfirmasi melalui surat Sekjen nomor KU.01.12-Sj/636 tgl 23 Oktober 2015</v>
      </c>
      <c r="AK59" s="20" t="e">
        <f>DATA!#REF!</f>
        <v>#REF!</v>
      </c>
      <c r="AL59" s="20" t="str">
        <f>DATA!AZ46</f>
        <v>-</v>
      </c>
      <c r="AM59" s="37" t="str">
        <f>DATA!BA46</f>
        <v>-</v>
      </c>
    </row>
    <row r="60" spans="1:39" s="6" customFormat="1" ht="48.75" hidden="1" customHeight="1">
      <c r="A60" s="6">
        <f>DATA!A47</f>
        <v>38</v>
      </c>
      <c r="B60" s="6">
        <f>DATA!B47</f>
        <v>0</v>
      </c>
      <c r="C60" s="6" t="str">
        <f>DATA!D47</f>
        <v>INFRASTRUKTUR</v>
      </c>
      <c r="D60" s="6">
        <f>DATA!E47</f>
        <v>1</v>
      </c>
      <c r="E60" s="6" t="str">
        <f>DATA!F47</f>
        <v>Kementerian Pekerjaan Umum dan Perumahan Rakyat</v>
      </c>
      <c r="F60" s="6" t="str">
        <f>DATA!H47</f>
        <v>Development of Waste Water Management Program</v>
      </c>
      <c r="G60" s="6" t="str">
        <f>DATA!I47</f>
        <v>E</v>
      </c>
      <c r="H60" s="6" t="str">
        <f>DATA!J47</f>
        <v xml:space="preserve">Program Pembangunan Sistem Pengelolaan Air Limbah </v>
      </c>
      <c r="I60" s="6">
        <f>DATA!K47</f>
        <v>4</v>
      </c>
      <c r="J60" s="38"/>
      <c r="K60" s="39"/>
      <c r="L60" s="39"/>
      <c r="M60" s="40"/>
      <c r="N60" s="67" t="str">
        <f>DATA!L47</f>
        <v>Sewerage System Development in Indonesia</v>
      </c>
      <c r="O60" s="42">
        <f>DATA!Q47</f>
        <v>0.25</v>
      </c>
      <c r="P60" s="42">
        <f>DATA!R47</f>
        <v>0</v>
      </c>
      <c r="Q60" s="42">
        <f>DATA!S47</f>
        <v>0</v>
      </c>
      <c r="R60" s="83">
        <f>DATA!T47</f>
        <v>0</v>
      </c>
      <c r="S60" s="83"/>
      <c r="T60" s="83">
        <f>DATA!V47</f>
        <v>0</v>
      </c>
      <c r="U60" s="83">
        <f>DATA!W47</f>
        <v>0</v>
      </c>
      <c r="V60" s="83">
        <f>DATA!X47</f>
        <v>0</v>
      </c>
      <c r="W60" s="84" t="str">
        <f>DATA!Y47</f>
        <v>ADB</v>
      </c>
      <c r="X60" s="42" t="str">
        <f>DATA!Z47</f>
        <v>Multilateral</v>
      </c>
      <c r="Y60" s="83">
        <f>DATA!AA47</f>
        <v>424800000</v>
      </c>
      <c r="Z60" s="83">
        <f>DATA!AG47</f>
        <v>0</v>
      </c>
      <c r="AA60" s="42">
        <f>DATA!AH47</f>
        <v>2017</v>
      </c>
      <c r="AB60" s="67" t="str">
        <f>DATA!AI47</f>
        <v>-</v>
      </c>
      <c r="AC60" s="67" t="str">
        <f>DATA!AJ47</f>
        <v>-</v>
      </c>
      <c r="AD60" s="67" t="str">
        <f>DATA!AK47</f>
        <v>-</v>
      </c>
      <c r="AE60" s="67" t="str">
        <f>DATA!AL47</f>
        <v>-</v>
      </c>
      <c r="AF60" s="42">
        <f>DATA!AM47</f>
        <v>0</v>
      </c>
      <c r="AG60" s="42" t="str">
        <f>DATA!AN47</f>
        <v>belum ada keterangan</v>
      </c>
      <c r="AH60" s="42" t="str">
        <f>DATA!AO47</f>
        <v>belum ada keterangan</v>
      </c>
      <c r="AI60" s="42" t="str">
        <f>DATA!AP47</f>
        <v>belum ada proses tender/lelang</v>
      </c>
      <c r="AJ60" s="42" t="str">
        <f>DATA!AY47</f>
        <v>- termasuk ESP senilai USD 26,38 juta, indikasi Lender ADB
- belum ada proses penyiapan
- Konfirmasi melalui surat Sekjen nomor KU.01.12-Sj/636 tgl 23 Oktober 2015</v>
      </c>
      <c r="AK60" s="42" t="e">
        <f>DATA!#REF!</f>
        <v>#REF!</v>
      </c>
      <c r="AL60" s="42" t="str">
        <f>DATA!AZ47</f>
        <v>Sudah ada pembicaraan awal</v>
      </c>
      <c r="AM60" s="67" t="str">
        <f>DATA!BA47</f>
        <v>Pembangunan fisik sarana dan prasarana sanitasi serta Instalasi Pengolahan Air Limbah (IPAL) dan penguatan kapasitas lembaga pengelola</v>
      </c>
    </row>
    <row r="61" spans="1:39" s="6" customFormat="1" ht="43.5" hidden="1" customHeight="1">
      <c r="A61" s="6">
        <f>DATA!A48</f>
        <v>39</v>
      </c>
      <c r="B61" s="6">
        <f>DATA!B48</f>
        <v>0</v>
      </c>
      <c r="C61" s="6" t="str">
        <f>DATA!D48</f>
        <v>INFRASTRUKTUR</v>
      </c>
      <c r="D61" s="6">
        <f>DATA!E48</f>
        <v>1</v>
      </c>
      <c r="E61" s="6" t="str">
        <f>DATA!F48</f>
        <v>Kementerian Pekerjaan Umum dan Perumahan Rakyat</v>
      </c>
      <c r="F61" s="6" t="str">
        <f>DATA!H48</f>
        <v>Development of Waste Water Management Program</v>
      </c>
      <c r="G61" s="6" t="str">
        <f>DATA!I48</f>
        <v>E</v>
      </c>
      <c r="H61" s="6" t="str">
        <f>DATA!J48</f>
        <v xml:space="preserve">Program Pembangunan Sistem Pengelolaan Air Limbah </v>
      </c>
      <c r="I61" s="6">
        <f>DATA!K48</f>
        <v>4</v>
      </c>
      <c r="J61" s="38"/>
      <c r="K61" s="39"/>
      <c r="L61" s="39"/>
      <c r="M61" s="38"/>
      <c r="N61" s="67" t="str">
        <f>DATA!L48</f>
        <v>Sewerage System Development in Indonesia</v>
      </c>
      <c r="O61" s="42">
        <f>DATA!Q48</f>
        <v>0.25</v>
      </c>
      <c r="P61" s="42">
        <f>DATA!R48</f>
        <v>0</v>
      </c>
      <c r="Q61" s="42">
        <f>DATA!S48</f>
        <v>0</v>
      </c>
      <c r="R61" s="83">
        <f>DATA!T48</f>
        <v>0</v>
      </c>
      <c r="S61" s="83"/>
      <c r="T61" s="83">
        <f>DATA!V48</f>
        <v>0</v>
      </c>
      <c r="U61" s="83">
        <f>DATA!W48</f>
        <v>0</v>
      </c>
      <c r="V61" s="83">
        <f>DATA!X48</f>
        <v>0</v>
      </c>
      <c r="W61" s="84" t="str">
        <f>DATA!Y48</f>
        <v>IDB</v>
      </c>
      <c r="X61" s="42" t="str">
        <f>DATA!Z48</f>
        <v>Multilateral</v>
      </c>
      <c r="Y61" s="83">
        <f>DATA!AA48</f>
        <v>325000000</v>
      </c>
      <c r="Z61" s="83">
        <f>DATA!AG48</f>
        <v>0</v>
      </c>
      <c r="AA61" s="42">
        <f>DATA!AH48</f>
        <v>2017</v>
      </c>
      <c r="AB61" s="67" t="str">
        <f>DATA!AI48</f>
        <v>-</v>
      </c>
      <c r="AC61" s="67" t="str">
        <f>DATA!AJ48</f>
        <v>-</v>
      </c>
      <c r="AD61" s="67" t="str">
        <f>DATA!AK48</f>
        <v>-</v>
      </c>
      <c r="AE61" s="67" t="str">
        <f>DATA!AL48</f>
        <v>-</v>
      </c>
      <c r="AF61" s="42">
        <f>DATA!AM48</f>
        <v>0</v>
      </c>
      <c r="AG61" s="42" t="str">
        <f>DATA!AN48</f>
        <v>belum ada keterangan</v>
      </c>
      <c r="AH61" s="42" t="str">
        <f>DATA!AO48</f>
        <v>belum ada keterangan</v>
      </c>
      <c r="AI61" s="42" t="str">
        <f>DATA!AP48</f>
        <v>belum ada proses tender/lelang</v>
      </c>
      <c r="AJ61" s="42" t="str">
        <f>DATA!AY48</f>
        <v>- belum ada proses penyiapan
- Konfirmasi melalui surat Sekjen nomor KU.01.12-Sj/636 tgl 23 Oktober 2015</v>
      </c>
      <c r="AK61" s="42" t="e">
        <f>DATA!#REF!</f>
        <v>#REF!</v>
      </c>
      <c r="AL61" s="42" t="str">
        <f>DATA!AZ48</f>
        <v>Sudah ada pembicaraan awal</v>
      </c>
      <c r="AM61" s="67" t="str">
        <f>DATA!BA48</f>
        <v>Pembangunan fisik sarana dan prasarana sanitasi serta Instalasi Pengolahan Air Limbah (IPAL) dan penguatan kapasitas lembaga pengelola</v>
      </c>
    </row>
    <row r="62" spans="1:39" s="6" customFormat="1" ht="45.75" hidden="1" customHeight="1">
      <c r="A62" s="6">
        <f>DATA!A49</f>
        <v>40</v>
      </c>
      <c r="B62" s="6">
        <f>DATA!B49</f>
        <v>0</v>
      </c>
      <c r="C62" s="6" t="str">
        <f>DATA!D49</f>
        <v>INFRASTRUKTUR</v>
      </c>
      <c r="D62" s="6">
        <f>DATA!E49</f>
        <v>1</v>
      </c>
      <c r="E62" s="6" t="str">
        <f>DATA!F49</f>
        <v>Kementerian Pekerjaan Umum dan Perumahan Rakyat</v>
      </c>
      <c r="F62" s="6" t="str">
        <f>DATA!H49</f>
        <v>Development of Waste Water Management Program</v>
      </c>
      <c r="G62" s="6" t="str">
        <f>DATA!I49</f>
        <v>E</v>
      </c>
      <c r="H62" s="6" t="str">
        <f>DATA!J49</f>
        <v xml:space="preserve">Program Pembangunan Sistem Pengelolaan Air Limbah </v>
      </c>
      <c r="I62" s="6">
        <f>DATA!K49</f>
        <v>4</v>
      </c>
      <c r="J62" s="38"/>
      <c r="K62" s="39"/>
      <c r="L62" s="39"/>
      <c r="M62" s="43"/>
      <c r="N62" s="67" t="str">
        <f>DATA!L49</f>
        <v>Sewerage System Development in Indonesia</v>
      </c>
      <c r="O62" s="42">
        <f>DATA!Q49</f>
        <v>0.25</v>
      </c>
      <c r="P62" s="42">
        <f>DATA!R49</f>
        <v>0</v>
      </c>
      <c r="Q62" s="42">
        <f>DATA!S49</f>
        <v>0</v>
      </c>
      <c r="R62" s="83">
        <f>DATA!T49</f>
        <v>0</v>
      </c>
      <c r="S62" s="83"/>
      <c r="T62" s="83">
        <f>DATA!V49</f>
        <v>0</v>
      </c>
      <c r="U62" s="83">
        <f>DATA!W49</f>
        <v>0</v>
      </c>
      <c r="V62" s="83">
        <f>DATA!X49</f>
        <v>0</v>
      </c>
      <c r="W62" s="84" t="str">
        <f>DATA!Y49</f>
        <v>Bank Dunia</v>
      </c>
      <c r="X62" s="42" t="str">
        <f>DATA!Z49</f>
        <v>Multilateral</v>
      </c>
      <c r="Y62" s="83">
        <f>DATA!AA49</f>
        <v>200000000</v>
      </c>
      <c r="Z62" s="83">
        <f>DATA!AG49</f>
        <v>0</v>
      </c>
      <c r="AA62" s="42">
        <f>DATA!AH49</f>
        <v>2017</v>
      </c>
      <c r="AB62" s="67" t="str">
        <f>DATA!AI49</f>
        <v>-</v>
      </c>
      <c r="AC62" s="67" t="str">
        <f>DATA!AJ49</f>
        <v>-</v>
      </c>
      <c r="AD62" s="67" t="str">
        <f>DATA!AK49</f>
        <v>-</v>
      </c>
      <c r="AE62" s="67" t="str">
        <f>DATA!AL49</f>
        <v>-</v>
      </c>
      <c r="AF62" s="42">
        <f>DATA!AM49</f>
        <v>0</v>
      </c>
      <c r="AG62" s="42" t="str">
        <f>DATA!AN49</f>
        <v>belum ada keterangan</v>
      </c>
      <c r="AH62" s="42" t="str">
        <f>DATA!AO49</f>
        <v>belum ada keterangan</v>
      </c>
      <c r="AI62" s="42" t="str">
        <f>DATA!AP49</f>
        <v>belum ada proses tender/lelang</v>
      </c>
      <c r="AJ62" s="42" t="str">
        <f>DATA!AY49</f>
        <v>- belum ada proses penyiapan
- Konfirmasi melalui surat Sekjen nomor KU.01.12-Sj/636 tgl 23 Oktober 2015</v>
      </c>
      <c r="AK62" s="42" t="e">
        <f>DATA!#REF!</f>
        <v>#REF!</v>
      </c>
      <c r="AL62" s="42" t="str">
        <f>DATA!AZ49</f>
        <v>Sudah ada pembicaraan awal</v>
      </c>
      <c r="AM62" s="67" t="str">
        <f>DATA!BA49</f>
        <v>Pembangunan fisik sarana dan prasarana sanitasi serta Instalasi Pengolahan Air Limbah (IPAL) dan penguatan kapasitas lembaga pengelola</v>
      </c>
    </row>
    <row r="63" spans="1:39" ht="43.5" hidden="1" customHeight="1">
      <c r="A63" s="10">
        <f>DATA!A51</f>
        <v>41</v>
      </c>
      <c r="B63" s="10">
        <f>DATA!B51</f>
        <v>0</v>
      </c>
      <c r="C63" s="10" t="str">
        <f>DATA!D51</f>
        <v>INFRASTRUKTUR</v>
      </c>
      <c r="D63" s="10">
        <f>DATA!E51</f>
        <v>1</v>
      </c>
      <c r="E63" s="10" t="str">
        <f>DATA!F51</f>
        <v>Kementerian Pekerjaan Umum dan Perumahan Rakyat</v>
      </c>
      <c r="F63" s="10" t="str">
        <f>DATA!H51</f>
        <v>Development of Waste Water Management Program</v>
      </c>
      <c r="G63" s="10" t="str">
        <f>DATA!I51</f>
        <v>E</v>
      </c>
      <c r="H63" s="10" t="str">
        <f>DATA!J51</f>
        <v xml:space="preserve">Program Pembangunan Sistem Pengelolaan Air Limbah </v>
      </c>
      <c r="I63" s="10">
        <f>DATA!K51</f>
        <v>5</v>
      </c>
      <c r="J63" s="33"/>
      <c r="K63" s="34"/>
      <c r="L63" s="34"/>
      <c r="M63" s="36">
        <f>DATA!K51</f>
        <v>5</v>
      </c>
      <c r="N63" s="37" t="str">
        <f>DATA!L51</f>
        <v>Denpasar Sewerage Development Project - Phase III</v>
      </c>
      <c r="O63" s="20">
        <f>DATA!Q51</f>
        <v>1</v>
      </c>
      <c r="P63" s="20">
        <f>DATA!R51</f>
        <v>1</v>
      </c>
      <c r="Q63" s="20">
        <f>DATA!S51</f>
        <v>35</v>
      </c>
      <c r="R63" s="77">
        <f>DATA!T51</f>
        <v>233000000</v>
      </c>
      <c r="S63" s="77"/>
      <c r="T63" s="77">
        <f>DATA!V51</f>
        <v>11650000</v>
      </c>
      <c r="U63" s="77">
        <f>DATA!W51</f>
        <v>0</v>
      </c>
      <c r="V63" s="77">
        <f>DATA!X51</f>
        <v>244650000</v>
      </c>
      <c r="W63" s="78" t="str">
        <f>DATA!Y51</f>
        <v>JICA</v>
      </c>
      <c r="X63" s="20" t="str">
        <f>DATA!Z51</f>
        <v>Bilateral</v>
      </c>
      <c r="Y63" s="77">
        <f>DATA!AA51</f>
        <v>233000000</v>
      </c>
      <c r="Z63" s="77">
        <f>DATA!AG51</f>
        <v>0</v>
      </c>
      <c r="AA63" s="20">
        <f>DATA!AH51</f>
        <v>2018</v>
      </c>
      <c r="AB63" s="37" t="str">
        <f>DATA!AI51</f>
        <v>-</v>
      </c>
      <c r="AC63" s="37" t="str">
        <f>DATA!AJ51</f>
        <v>Penyusunan DED</v>
      </c>
      <c r="AD63" s="37" t="str">
        <f>DATA!AK51</f>
        <v>-</v>
      </c>
      <c r="AE63" s="37" t="str">
        <f>DATA!AL51</f>
        <v>-</v>
      </c>
      <c r="AF63" s="20">
        <f>DATA!AM51</f>
        <v>0</v>
      </c>
      <c r="AG63" s="20" t="str">
        <f>DATA!AN51</f>
        <v>dalam proses
(memiliki FS)</v>
      </c>
      <c r="AH63" s="20" t="str">
        <f>DATA!AO51</f>
        <v>belum ada keterangan</v>
      </c>
      <c r="AI63" s="20" t="str">
        <f>DATA!AP51</f>
        <v>belum ada proses tender/lelang</v>
      </c>
      <c r="AJ63" s="20" t="str">
        <f>DATA!AY51</f>
        <v>Konfirmasi melalui surat Sekjen nomor KU.01.12-Sj/636 tgl 23 Oktober 2015</v>
      </c>
      <c r="AK63" s="20" t="e">
        <f>DATA!#REF!</f>
        <v>#REF!</v>
      </c>
      <c r="AL63" s="20">
        <f>DATA!AZ51</f>
        <v>0</v>
      </c>
      <c r="AM63" s="37" t="str">
        <f>DATA!BA51</f>
        <v>Pembangunan jaringan perpipaan dengan area pelayanan 2.200 Ha, stasiun pompa sejumlah 2 unit, dan instalasi pengolahan air limbah.</v>
      </c>
    </row>
    <row r="64" spans="1:39" ht="36.75" hidden="1" customHeight="1">
      <c r="A64" s="10">
        <f>DATA!A52</f>
        <v>42</v>
      </c>
      <c r="B64" s="10">
        <f>DATA!B52</f>
        <v>0</v>
      </c>
      <c r="C64" s="10" t="str">
        <f>DATA!D52</f>
        <v>INFRASTRUKTUR</v>
      </c>
      <c r="D64" s="10">
        <f>DATA!E52</f>
        <v>1</v>
      </c>
      <c r="E64" s="10" t="str">
        <f>DATA!F52</f>
        <v>Kementerian Pekerjaan Umum dan Perumahan Rakyat</v>
      </c>
      <c r="F64" s="10" t="str">
        <f>DATA!H52</f>
        <v>Development of Waste Water Management Program</v>
      </c>
      <c r="G64" s="10" t="str">
        <f>DATA!I52</f>
        <v>E</v>
      </c>
      <c r="H64" s="10" t="str">
        <f>DATA!J52</f>
        <v xml:space="preserve">Program Pembangunan Sistem Pengelolaan Air Limbah </v>
      </c>
      <c r="I64" s="10">
        <f>DATA!K52</f>
        <v>6</v>
      </c>
      <c r="J64" s="33"/>
      <c r="K64" s="34"/>
      <c r="L64" s="54"/>
      <c r="M64" s="36">
        <f>DATA!K52</f>
        <v>6</v>
      </c>
      <c r="N64" s="37" t="str">
        <f>DATA!L52</f>
        <v>The Development and Optimization of Wastewater Treatment in Greater Bandung</v>
      </c>
      <c r="O64" s="20">
        <f>DATA!Q52</f>
        <v>1</v>
      </c>
      <c r="P64" s="20">
        <f>DATA!R52</f>
        <v>1</v>
      </c>
      <c r="Q64" s="20">
        <f>DATA!S52</f>
        <v>36</v>
      </c>
      <c r="R64" s="77">
        <f>DATA!T52</f>
        <v>100000000</v>
      </c>
      <c r="S64" s="77"/>
      <c r="T64" s="77">
        <f>DATA!V52</f>
        <v>5000000</v>
      </c>
      <c r="U64" s="77">
        <f>DATA!W52</f>
        <v>0</v>
      </c>
      <c r="V64" s="77">
        <f>DATA!X52</f>
        <v>105000000</v>
      </c>
      <c r="W64" s="78" t="str">
        <f>DATA!Y52</f>
        <v>Jerman (KfW)</v>
      </c>
      <c r="X64" s="20" t="str">
        <f>DATA!Z52</f>
        <v>Bilateral</v>
      </c>
      <c r="Y64" s="77">
        <f>DATA!AA52</f>
        <v>100000000</v>
      </c>
      <c r="Z64" s="77">
        <f>DATA!AG52</f>
        <v>0</v>
      </c>
      <c r="AA64" s="20">
        <f>DATA!AH52</f>
        <v>2017</v>
      </c>
      <c r="AB64" s="37" t="str">
        <f>DATA!AI52</f>
        <v>Master Plan</v>
      </c>
      <c r="AC64" s="37" t="str">
        <f>DATA!AJ52</f>
        <v>Pra FS</v>
      </c>
      <c r="AD64" s="37" t="str">
        <f>DATA!AK52</f>
        <v>-</v>
      </c>
      <c r="AE64" s="37" t="str">
        <f>DATA!AL52</f>
        <v>-</v>
      </c>
      <c r="AF64" s="20">
        <f>DATA!AM52</f>
        <v>0</v>
      </c>
      <c r="AG64" s="20" t="str">
        <f>DATA!AN52</f>
        <v>dalam proses
(penyusunan FS)</v>
      </c>
      <c r="AH64" s="20" t="str">
        <f>DATA!AO52</f>
        <v>belum ada keterangan</v>
      </c>
      <c r="AI64" s="20" t="str">
        <f>DATA!AP52</f>
        <v>belum ada proses tender/lelang</v>
      </c>
      <c r="AJ64" s="20" t="str">
        <f>DATA!AY52</f>
        <v>Konfirmasi melalui surat Sekjen nomor KU.01.12-Sj/636 tgl 23 Oktober 2015</v>
      </c>
      <c r="AK64" s="20" t="e">
        <f>DATA!#REF!</f>
        <v>#REF!</v>
      </c>
      <c r="AL64" s="20">
        <f>DATA!AZ52</f>
        <v>0</v>
      </c>
      <c r="AM64" s="37" t="str">
        <f>DATA!BA52</f>
        <v>Review master plan air limbah dan optimalisasi Instalasi Pengolahan Air Limbah (IPAL) Bojongsoang.</v>
      </c>
    </row>
    <row r="65" spans="1:39" s="8" customFormat="1" ht="36.75" customHeight="1">
      <c r="A65" s="10"/>
      <c r="B65" s="10"/>
      <c r="C65" s="10"/>
      <c r="D65" s="10"/>
      <c r="E65" s="10"/>
      <c r="F65" s="10"/>
      <c r="G65" s="10"/>
      <c r="H65" s="10"/>
      <c r="I65" s="10"/>
      <c r="J65" s="57"/>
      <c r="K65" s="58"/>
      <c r="L65" s="111"/>
      <c r="M65" s="60">
        <f>DATA!K53</f>
        <v>7</v>
      </c>
      <c r="N65" s="127" t="str">
        <f>DATA!L53</f>
        <v>Engineering Service for Sanitation Improvement Project</v>
      </c>
      <c r="O65" s="36">
        <f>DATA!Q53</f>
        <v>0</v>
      </c>
      <c r="P65" s="36">
        <f>DATA!R53</f>
        <v>0</v>
      </c>
      <c r="Q65" s="36">
        <f>DATA!S53</f>
        <v>0</v>
      </c>
      <c r="R65" s="128">
        <f>DATA!T53</f>
        <v>0</v>
      </c>
      <c r="S65" s="128">
        <f>DATA!U53</f>
        <v>25200000</v>
      </c>
      <c r="T65" s="128">
        <f>DATA!V53</f>
        <v>0</v>
      </c>
      <c r="U65" s="88">
        <f>DATA!W53</f>
        <v>0</v>
      </c>
      <c r="V65" s="128">
        <f>DATA!X53</f>
        <v>25200000</v>
      </c>
      <c r="W65" s="128" t="str">
        <f>DATA!Y53</f>
        <v>ADB</v>
      </c>
      <c r="X65" s="88" t="str">
        <f>DATA!Z53</f>
        <v>Multilateral</v>
      </c>
      <c r="Y65" s="128">
        <f>DATA!AA53</f>
        <v>25200000</v>
      </c>
      <c r="Z65" s="128">
        <f>DATA!AG53</f>
        <v>0</v>
      </c>
      <c r="AA65" s="129">
        <f>DATA!AH53</f>
        <v>2016</v>
      </c>
      <c r="AB65" s="130" t="str">
        <f>DATA!AI53</f>
        <v>- Green Book 2015</v>
      </c>
      <c r="AC65" s="130" t="str">
        <f>DATA!AJ53</f>
        <v>-</v>
      </c>
      <c r="AD65" s="130" t="str">
        <f>DATA!AK53</f>
        <v>-</v>
      </c>
      <c r="AE65" s="130" t="str">
        <f>DATA!AL53</f>
        <v>-</v>
      </c>
      <c r="AF65" s="20"/>
      <c r="AG65" s="20"/>
      <c r="AH65" s="20"/>
      <c r="AI65" s="20"/>
      <c r="AJ65" s="20"/>
      <c r="AK65" s="20"/>
      <c r="AL65" s="20"/>
      <c r="AM65" s="37"/>
    </row>
    <row r="66" spans="1:39" s="5" customFormat="1" ht="33.75" hidden="1" customHeight="1">
      <c r="J66" s="28"/>
      <c r="K66" s="50"/>
      <c r="L66" s="30" t="str">
        <f>DATA!I54</f>
        <v>F</v>
      </c>
      <c r="M66" s="31" t="str">
        <f>DATA!J54</f>
        <v xml:space="preserve">Program Pembangunan Sistem Pengelolaan Persampahan </v>
      </c>
      <c r="N66" s="51"/>
      <c r="O66" s="31"/>
      <c r="P66" s="31"/>
      <c r="Q66" s="31"/>
      <c r="R66" s="81">
        <f>+R67+R68</f>
        <v>250000000</v>
      </c>
      <c r="S66" s="81"/>
      <c r="T66" s="81">
        <f>+T67+T68</f>
        <v>12500000</v>
      </c>
      <c r="U66" s="81">
        <f>+U67+U68</f>
        <v>0</v>
      </c>
      <c r="V66" s="81">
        <f>+V67+V68</f>
        <v>262500000</v>
      </c>
      <c r="W66" s="81"/>
      <c r="X66" s="81" t="e">
        <f>+X67+X68</f>
        <v>#VALUE!</v>
      </c>
      <c r="Y66" s="81">
        <f>+Y67+Y68</f>
        <v>250000000</v>
      </c>
      <c r="Z66" s="81">
        <f>+Z67+Z68</f>
        <v>0</v>
      </c>
      <c r="AA66" s="31"/>
      <c r="AB66" s="32"/>
      <c r="AC66" s="32"/>
      <c r="AD66" s="32"/>
      <c r="AE66" s="32"/>
      <c r="AF66" s="31"/>
      <c r="AG66" s="31"/>
      <c r="AH66" s="31"/>
      <c r="AI66" s="31"/>
      <c r="AJ66" s="31"/>
      <c r="AK66" s="31"/>
      <c r="AL66" s="31"/>
      <c r="AM66" s="32"/>
    </row>
    <row r="67" spans="1:39" ht="69.75" hidden="1" customHeight="1">
      <c r="A67" s="10">
        <f>DATA!A54</f>
        <v>43</v>
      </c>
      <c r="B67" s="10">
        <f>DATA!B54</f>
        <v>0</v>
      </c>
      <c r="C67" s="10" t="str">
        <f>DATA!D54</f>
        <v>INFRASTRUKTUR</v>
      </c>
      <c r="D67" s="10">
        <f>DATA!E54</f>
        <v>1</v>
      </c>
      <c r="E67" s="10" t="str">
        <f>DATA!F54</f>
        <v>Kementerian Pekerjaan Umum dan Perumahan Rakyat</v>
      </c>
      <c r="F67" s="10" t="str">
        <f>DATA!H54</f>
        <v>Development of Solid Waste Management Program</v>
      </c>
      <c r="G67" s="10" t="str">
        <f>DATA!I54</f>
        <v>F</v>
      </c>
      <c r="H67" s="10" t="str">
        <f>DATA!J54</f>
        <v xml:space="preserve">Program Pembangunan Sistem Pengelolaan Persampahan </v>
      </c>
      <c r="I67" s="10">
        <f>DATA!K54</f>
        <v>1</v>
      </c>
      <c r="J67" s="33"/>
      <c r="K67" s="34"/>
      <c r="L67" s="35"/>
      <c r="M67" s="36">
        <f>DATA!K54</f>
        <v>1</v>
      </c>
      <c r="N67" s="37" t="str">
        <f>DATA!L54</f>
        <v xml:space="preserve">Advanced Solid Waste Management for Sustainable Urban Development (Advance SWM-SUD) </v>
      </c>
      <c r="O67" s="20">
        <f>DATA!Q54</f>
        <v>1</v>
      </c>
      <c r="P67" s="20">
        <f>DATA!R54</f>
        <v>1</v>
      </c>
      <c r="Q67" s="20">
        <f>DATA!S54</f>
        <v>37</v>
      </c>
      <c r="R67" s="77">
        <f>DATA!T54</f>
        <v>150000000</v>
      </c>
      <c r="S67" s="77"/>
      <c r="T67" s="77">
        <f>DATA!V54</f>
        <v>7500000</v>
      </c>
      <c r="U67" s="77">
        <f>DATA!W54</f>
        <v>0</v>
      </c>
      <c r="V67" s="77">
        <f>DATA!X54</f>
        <v>157500000</v>
      </c>
      <c r="W67" s="78" t="str">
        <f>DATA!Y54</f>
        <v>Jerman (KfW)</v>
      </c>
      <c r="X67" s="20" t="str">
        <f>DATA!Z54</f>
        <v>Bilateral</v>
      </c>
      <c r="Y67" s="77">
        <f>DATA!AA54</f>
        <v>150000000</v>
      </c>
      <c r="Z67" s="77">
        <f>DATA!AG54</f>
        <v>0</v>
      </c>
      <c r="AA67" s="20">
        <f>DATA!AH54</f>
        <v>2017</v>
      </c>
      <c r="AB67" s="37" t="str">
        <f>DATA!AI54</f>
        <v>-</v>
      </c>
      <c r="AC67" s="37" t="str">
        <f>DATA!AJ54</f>
        <v>Telah dilakukan kajian awal oleh tim FFM KfW</v>
      </c>
      <c r="AD67" s="37" t="str">
        <f>DATA!AK54</f>
        <v>-</v>
      </c>
      <c r="AE67" s="37" t="str">
        <f>DATA!AL54</f>
        <v>-</v>
      </c>
      <c r="AF67" s="20">
        <f>DATA!AM54</f>
        <v>0</v>
      </c>
      <c r="AG67" s="20" t="str">
        <f>DATA!AN54</f>
        <v>dalam proses
(penyusunan FS)</v>
      </c>
      <c r="AH67" s="20" t="str">
        <f>DATA!AO54</f>
        <v>belum ada keterangan</v>
      </c>
      <c r="AI67" s="20" t="str">
        <f>DATA!AP54</f>
        <v>belum ada proses tender/lelang</v>
      </c>
      <c r="AJ67" s="20" t="str">
        <f>DATA!AY54</f>
        <v>- belum ada proses penyiapan
- Konfirmasi melalui surat Sekjen nomor KU.01.12-Sj/636 tgl 23 Oktober 2015</v>
      </c>
      <c r="AK67" s="20" t="e">
        <f>DATA!#REF!</f>
        <v>#REF!</v>
      </c>
      <c r="AL67" s="20">
        <f>DATA!AZ54</f>
        <v>0</v>
      </c>
      <c r="AM67" s="37" t="str">
        <f>DATA!BA54</f>
        <v>Pembangunan TPA baru, pembangunan unit sistem teknologi pengolahan sampah, pembangunan Intermediete Treatment Facility (ITF), infrastruktur penunjang, buffer zone, dan supervisi kegiatan konstruksi.</v>
      </c>
    </row>
    <row r="68" spans="1:39" ht="51" hidden="1">
      <c r="A68" s="10">
        <f>DATA!A55</f>
        <v>44</v>
      </c>
      <c r="B68" s="10">
        <f>DATA!B55</f>
        <v>0</v>
      </c>
      <c r="C68" s="10" t="str">
        <f>DATA!D55</f>
        <v>INFRASTRUKTUR</v>
      </c>
      <c r="D68" s="10">
        <f>DATA!E55</f>
        <v>1</v>
      </c>
      <c r="E68" s="10" t="str">
        <f>DATA!F55</f>
        <v>Kementerian Pekerjaan Umum dan Perumahan Rakyat</v>
      </c>
      <c r="F68" s="10" t="str">
        <f>DATA!H55</f>
        <v>Development of Solid Waste Management Program</v>
      </c>
      <c r="G68" s="10" t="str">
        <f>DATA!I55</f>
        <v>F</v>
      </c>
      <c r="H68" s="10" t="str">
        <f>DATA!J55</f>
        <v xml:space="preserve">Program Pembangunan Sistem Pengelolaan Persampahan </v>
      </c>
      <c r="I68" s="10">
        <f>DATA!K55</f>
        <v>2</v>
      </c>
      <c r="J68" s="33"/>
      <c r="K68" s="34"/>
      <c r="L68" s="54"/>
      <c r="M68" s="36">
        <f>DATA!K55</f>
        <v>2</v>
      </c>
      <c r="N68" s="37" t="str">
        <f>DATA!L55</f>
        <v>The Improvement of Solid Waste Management to Support Regional Area and Metropolitan Cities</v>
      </c>
      <c r="O68" s="20">
        <f>DATA!Q55</f>
        <v>1</v>
      </c>
      <c r="P68" s="20">
        <f>DATA!R55</f>
        <v>1</v>
      </c>
      <c r="Q68" s="20">
        <f>DATA!S55</f>
        <v>38</v>
      </c>
      <c r="R68" s="77">
        <f>DATA!T55</f>
        <v>100000000</v>
      </c>
      <c r="S68" s="77"/>
      <c r="T68" s="77">
        <f>DATA!V55</f>
        <v>5000000</v>
      </c>
      <c r="U68" s="77">
        <f>DATA!W55</f>
        <v>0</v>
      </c>
      <c r="V68" s="77">
        <f>DATA!X55</f>
        <v>105000000</v>
      </c>
      <c r="W68" s="78" t="str">
        <f>DATA!Y55</f>
        <v>Bank Dunia</v>
      </c>
      <c r="X68" s="20" t="str">
        <f>DATA!Z55</f>
        <v>Multilateral</v>
      </c>
      <c r="Y68" s="77">
        <f>DATA!AA55</f>
        <v>100000000</v>
      </c>
      <c r="Z68" s="77">
        <f>DATA!AG55</f>
        <v>0</v>
      </c>
      <c r="AA68" s="20">
        <f>DATA!AH55</f>
        <v>2016</v>
      </c>
      <c r="AB68" s="37" t="str">
        <f>DATA!AI55</f>
        <v>-</v>
      </c>
      <c r="AC68" s="37" t="str">
        <f>DATA!AJ55</f>
        <v>DED dalam proses finalisasi</v>
      </c>
      <c r="AD68" s="37" t="str">
        <f>DATA!AK55</f>
        <v>Dalam proses kepemilikan lahan</v>
      </c>
      <c r="AE68" s="37" t="str">
        <f>DATA!AL55</f>
        <v>Belum ada tindak lanjut</v>
      </c>
      <c r="AF68" s="20">
        <f>DATA!AM55</f>
        <v>0</v>
      </c>
      <c r="AG68" s="20" t="str">
        <f>DATA!AN55</f>
        <v>dalam proses
(memiliki FS)</v>
      </c>
      <c r="AH68" s="20" t="str">
        <f>DATA!AO55</f>
        <v>dalam proses
(persiapan)</v>
      </c>
      <c r="AI68" s="20" t="str">
        <f>DATA!AP55</f>
        <v>belum ada proses tender/lelang</v>
      </c>
      <c r="AJ68" s="20" t="str">
        <f>DATA!AY55</f>
        <v xml:space="preserve">- Konfirmasi melalui surat Sekjen nomor KU.01.12-Sj/636 tgl 23 Oktober 2015
- Bank Dunia membantu proses studi, DED, FS (CDIA, INDII Facility) </v>
      </c>
      <c r="AK68" s="20" t="e">
        <f>DATA!#REF!</f>
        <v>#REF!</v>
      </c>
      <c r="AL68" s="20" t="str">
        <f>DATA!AZ55</f>
        <v>- FS
- Diusulkan untuk masuk Green Book 2016</v>
      </c>
      <c r="AM68" s="37" t="str">
        <f>DATA!BA55</f>
        <v>Pembangunan TPA Sanitary Landfill  baru, pembangunan Intermediete Treatment Facility (ITF), dan pengembangan konsep Reuse, Reduce, and Recycle (3R).</v>
      </c>
    </row>
    <row r="69" spans="1:39" s="5" customFormat="1" ht="33.75" hidden="1" customHeight="1">
      <c r="J69" s="28"/>
      <c r="K69" s="50"/>
      <c r="L69" s="30" t="str">
        <f>DATA!I56</f>
        <v>G</v>
      </c>
      <c r="M69" s="31" t="str">
        <f>DATA!J56</f>
        <v>Program Penanganan Kumuh</v>
      </c>
      <c r="N69" s="51"/>
      <c r="O69" s="31"/>
      <c r="P69" s="31"/>
      <c r="Q69" s="31"/>
      <c r="R69" s="81">
        <f>+R70+R71+R74+R75</f>
        <v>3614740000</v>
      </c>
      <c r="S69" s="81"/>
      <c r="T69" s="81">
        <f t="shared" ref="T69:Z69" si="2">+T70+T71+T74+T75</f>
        <v>180737000</v>
      </c>
      <c r="U69" s="81">
        <f t="shared" si="2"/>
        <v>0</v>
      </c>
      <c r="V69" s="81">
        <f t="shared" si="2"/>
        <v>3795477000</v>
      </c>
      <c r="W69" s="81"/>
      <c r="X69" s="81" t="e">
        <f t="shared" si="2"/>
        <v>#VALUE!</v>
      </c>
      <c r="Y69" s="81">
        <f t="shared" si="2"/>
        <v>3614740000</v>
      </c>
      <c r="Z69" s="81">
        <f t="shared" si="2"/>
        <v>0</v>
      </c>
      <c r="AA69" s="31"/>
      <c r="AB69" s="32"/>
      <c r="AC69" s="32"/>
      <c r="AD69" s="32"/>
      <c r="AE69" s="32"/>
      <c r="AF69" s="31"/>
      <c r="AG69" s="31"/>
      <c r="AH69" s="31"/>
      <c r="AI69" s="31"/>
      <c r="AJ69" s="31"/>
      <c r="AK69" s="31"/>
      <c r="AL69" s="31"/>
      <c r="AM69" s="32"/>
    </row>
    <row r="70" spans="1:39" ht="180.75" hidden="1" customHeight="1">
      <c r="A70" s="10">
        <f>DATA!A56</f>
        <v>45</v>
      </c>
      <c r="B70" s="10">
        <f>DATA!B56</f>
        <v>0</v>
      </c>
      <c r="C70" s="10" t="str">
        <f>DATA!D56</f>
        <v>INFRASTRUKTUR</v>
      </c>
      <c r="D70" s="10">
        <f>DATA!E56</f>
        <v>1</v>
      </c>
      <c r="E70" s="10" t="str">
        <f>DATA!F56</f>
        <v>Kementerian Pekerjaan Umum dan Perumahan Rakyat</v>
      </c>
      <c r="F70" s="10" t="str">
        <f>DATA!H56</f>
        <v>Slum Alleviation Program</v>
      </c>
      <c r="G70" s="10" t="str">
        <f>DATA!I56</f>
        <v>G</v>
      </c>
      <c r="H70" s="10" t="str">
        <f>DATA!J56</f>
        <v>Program Penanganan Kumuh</v>
      </c>
      <c r="I70" s="10">
        <f>DATA!K56</f>
        <v>1</v>
      </c>
      <c r="J70" s="33"/>
      <c r="K70" s="34"/>
      <c r="L70" s="35"/>
      <c r="M70" s="36">
        <f>DATA!K56</f>
        <v>1</v>
      </c>
      <c r="N70" s="37" t="str">
        <f>DATA!L56</f>
        <v>Slum Improvement in Strategic Human Settlements Area (SISHA)</v>
      </c>
      <c r="O70" s="20">
        <f>DATA!Q56</f>
        <v>1</v>
      </c>
      <c r="P70" s="20">
        <f>DATA!R56</f>
        <v>1</v>
      </c>
      <c r="Q70" s="20">
        <f>DATA!S56</f>
        <v>39</v>
      </c>
      <c r="R70" s="77">
        <f>DATA!T56</f>
        <v>2100000000</v>
      </c>
      <c r="S70" s="77"/>
      <c r="T70" s="77">
        <f>DATA!V56</f>
        <v>105000000</v>
      </c>
      <c r="U70" s="77">
        <f>DATA!W56</f>
        <v>0</v>
      </c>
      <c r="V70" s="77">
        <f>DATA!X56</f>
        <v>2205000000</v>
      </c>
      <c r="W70" s="109" t="str">
        <f>DATA!Y56</f>
        <v>Bank Dunia/JICA/ADB</v>
      </c>
      <c r="X70" s="20" t="str">
        <f>DATA!Z56</f>
        <v>Multi Lender</v>
      </c>
      <c r="Y70" s="77">
        <f>DATA!AA56</f>
        <v>2100000000</v>
      </c>
      <c r="Z70" s="77">
        <f>DATA!AG56</f>
        <v>0</v>
      </c>
      <c r="AA70" s="20">
        <f>DATA!AH56</f>
        <v>2017</v>
      </c>
      <c r="AB70" s="37" t="str">
        <f>DATA!AI56</f>
        <v>-</v>
      </c>
      <c r="AC70" s="37" t="str">
        <f>DATA!AJ56</f>
        <v>117 kab/kota telah terfasilitasi pendampingan penyusunan rencana kawasan permukiman kumuh perkotaan (RKPKP) tahun 2015 sebagai rencana pencegahan dan peningkatan kualitas permukiman dan perumahan kumuh perkotaan.</v>
      </c>
      <c r="AD70" s="37" t="str">
        <f>DATA!AK56</f>
        <v xml:space="preserve">Pemerintah Daerah sudah menetapkan SK Bupati / Walikota untuk Penetapan Lokasi Perumahan Kumuh dan Permukiman Kumuh. </v>
      </c>
      <c r="AE70" s="37" t="str">
        <f>DATA!AL56</f>
        <v>-</v>
      </c>
      <c r="AF70" s="20">
        <f>DATA!AM56</f>
        <v>0</v>
      </c>
      <c r="AG70" s="20" t="str">
        <f>DATA!AN56</f>
        <v>dalam proses
(penyusunan FS)</v>
      </c>
      <c r="AH70" s="20" t="str">
        <f>DATA!AO56</f>
        <v>dalam proses
(perencanaan)</v>
      </c>
      <c r="AI70" s="20" t="str">
        <f>DATA!AP56</f>
        <v>belum ada proses tender/lelang</v>
      </c>
      <c r="AJ70" s="20" t="str">
        <f>DATA!AY56</f>
        <v>- Konsep kegiatan belum siap
- Konfirmasi melalui surat Sekjen nomor KU.01.12-Sj/636 tgl 23 Oktober 2015</v>
      </c>
      <c r="AK70" s="20" t="e">
        <f>DATA!#REF!</f>
        <v>#REF!</v>
      </c>
      <c r="AL70" s="20">
        <f>DATA!AZ56</f>
        <v>0</v>
      </c>
      <c r="AM70" s="37" t="str">
        <f>DATA!BA56</f>
        <v>Penanganan kawasan kumuh sebesar 4.400 ha</v>
      </c>
    </row>
    <row r="71" spans="1:39" ht="30" hidden="1" customHeight="1">
      <c r="A71" s="10">
        <f>DATA!A57</f>
        <v>46</v>
      </c>
      <c r="B71" s="10">
        <f>DATA!B57</f>
        <v>0</v>
      </c>
      <c r="C71" s="10" t="str">
        <f>DATA!D57</f>
        <v>INFRASTRUKTUR</v>
      </c>
      <c r="D71" s="10">
        <f>DATA!E57</f>
        <v>1</v>
      </c>
      <c r="E71" s="10" t="str">
        <f>DATA!F57</f>
        <v>Kementerian Pekerjaan Umum dan Perumahan Rakyat</v>
      </c>
      <c r="F71" s="10" t="str">
        <f>DATA!H57</f>
        <v>Slum Alleviation Program</v>
      </c>
      <c r="G71" s="10" t="str">
        <f>DATA!I57</f>
        <v>G</v>
      </c>
      <c r="H71" s="10" t="str">
        <f>DATA!J57</f>
        <v>Program Penanganan Kumuh</v>
      </c>
      <c r="I71" s="10">
        <f>DATA!K57</f>
        <v>2</v>
      </c>
      <c r="J71" s="33"/>
      <c r="K71" s="34"/>
      <c r="L71" s="34"/>
      <c r="M71" s="36">
        <f>DATA!K57</f>
        <v>2</v>
      </c>
      <c r="N71" s="37" t="str">
        <f>DATA!L57</f>
        <v>National Slum Upgrading</v>
      </c>
      <c r="O71" s="20">
        <f>DATA!Q57</f>
        <v>0</v>
      </c>
      <c r="P71" s="20">
        <f>DATA!R57</f>
        <v>1</v>
      </c>
      <c r="Q71" s="20">
        <f>DATA!S57</f>
        <v>40</v>
      </c>
      <c r="R71" s="77">
        <f>DATA!T57</f>
        <v>1052640000</v>
      </c>
      <c r="S71" s="77"/>
      <c r="T71" s="77">
        <f>DATA!V57</f>
        <v>52632000</v>
      </c>
      <c r="U71" s="77">
        <f>DATA!W57</f>
        <v>0</v>
      </c>
      <c r="V71" s="77">
        <f>DATA!X57</f>
        <v>1105272000</v>
      </c>
      <c r="W71" s="78" t="str">
        <f>DATA!Y57</f>
        <v>-</v>
      </c>
      <c r="X71" s="20">
        <f>DATA!Z57</f>
        <v>0</v>
      </c>
      <c r="Y71" s="77">
        <f>DATA!AA57</f>
        <v>1052640000</v>
      </c>
      <c r="Z71" s="77">
        <f>DATA!AG57</f>
        <v>0</v>
      </c>
      <c r="AA71" s="20" t="str">
        <f>DATA!AH57</f>
        <v>-</v>
      </c>
      <c r="AB71" s="37" t="str">
        <f>DATA!AI57</f>
        <v>-</v>
      </c>
      <c r="AC71" s="37" t="str">
        <f>DATA!AJ57</f>
        <v>-</v>
      </c>
      <c r="AD71" s="37" t="str">
        <f>DATA!AK57</f>
        <v>-</v>
      </c>
      <c r="AE71" s="37" t="str">
        <f>DATA!AL57</f>
        <v>-</v>
      </c>
      <c r="AF71" s="20" t="str">
        <f>DATA!AM57</f>
        <v>-</v>
      </c>
      <c r="AG71" s="20" t="str">
        <f>DATA!AN57</f>
        <v>-</v>
      </c>
      <c r="AH71" s="20" t="str">
        <f>DATA!AO57</f>
        <v>-</v>
      </c>
      <c r="AI71" s="20" t="str">
        <f>DATA!AP57</f>
        <v>-</v>
      </c>
      <c r="AJ71" s="20" t="str">
        <f>DATA!AY57</f>
        <v>Konfirmasi melalui surat Sekjen nomor KU.01.12-Sj/636 tgl 23 Oktober 2015</v>
      </c>
      <c r="AK71" s="20" t="e">
        <f>DATA!#REF!</f>
        <v>#REF!</v>
      </c>
      <c r="AL71" s="20" t="str">
        <f>DATA!AZ57</f>
        <v>-</v>
      </c>
      <c r="AM71" s="37" t="str">
        <f>DATA!BA57</f>
        <v>-</v>
      </c>
    </row>
    <row r="72" spans="1:39" s="6" customFormat="1" ht="209.25" hidden="1" customHeight="1">
      <c r="A72" s="6">
        <f>DATA!A58</f>
        <v>46</v>
      </c>
      <c r="B72" s="6">
        <f>DATA!B58</f>
        <v>0</v>
      </c>
      <c r="C72" s="6" t="str">
        <f>DATA!D58</f>
        <v>INFRASTRUKTUR</v>
      </c>
      <c r="D72" s="6">
        <f>DATA!E58</f>
        <v>1</v>
      </c>
      <c r="E72" s="6" t="str">
        <f>DATA!F58</f>
        <v>Kementerian Pekerjaan Umum dan Perumahan Rakyat</v>
      </c>
      <c r="F72" s="6" t="str">
        <f>DATA!H58</f>
        <v>Slum Alleviation Program</v>
      </c>
      <c r="G72" s="6" t="str">
        <f>DATA!I58</f>
        <v>G</v>
      </c>
      <c r="H72" s="6" t="str">
        <f>DATA!J58</f>
        <v>Program Penanganan Kumuh</v>
      </c>
      <c r="I72" s="6">
        <f>DATA!K58</f>
        <v>2</v>
      </c>
      <c r="J72" s="38"/>
      <c r="K72" s="39"/>
      <c r="L72" s="39"/>
      <c r="M72" s="40"/>
      <c r="N72" s="67" t="str">
        <f>DATA!L58</f>
        <v>National Slum Upgrading</v>
      </c>
      <c r="O72" s="42">
        <f>DATA!Q58</f>
        <v>0.25</v>
      </c>
      <c r="P72" s="42">
        <f>DATA!R58</f>
        <v>0</v>
      </c>
      <c r="Q72" s="42">
        <f>DATA!S58</f>
        <v>0</v>
      </c>
      <c r="R72" s="83">
        <f>DATA!T58</f>
        <v>0</v>
      </c>
      <c r="S72" s="83"/>
      <c r="T72" s="83">
        <f>DATA!V58</f>
        <v>0</v>
      </c>
      <c r="U72" s="83">
        <f>DATA!W58</f>
        <v>0</v>
      </c>
      <c r="V72" s="83">
        <f>DATA!X58</f>
        <v>0</v>
      </c>
      <c r="W72" s="84" t="str">
        <f>DATA!Y58</f>
        <v>IDB</v>
      </c>
      <c r="X72" s="42" t="str">
        <f>DATA!Z58</f>
        <v>Multilateral</v>
      </c>
      <c r="Y72" s="83">
        <f>DATA!AA58</f>
        <v>329760000</v>
      </c>
      <c r="Z72" s="83">
        <f>DATA!AG58</f>
        <v>0</v>
      </c>
      <c r="AA72" s="42">
        <f>DATA!AH58</f>
        <v>2016</v>
      </c>
      <c r="AB72" s="67" t="str">
        <f>DATA!AI58</f>
        <v>Green Book 2016</v>
      </c>
      <c r="AC72" s="67" t="str">
        <f>DATA!AJ58</f>
        <v>- Concept Paper, Baseline Survey, Draft Guidelines.
- Surat Komitmen Pemda untuk penanganan kumuh.</v>
      </c>
      <c r="AD72" s="67"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E72" s="67" t="str">
        <f>DATA!AL58</f>
        <v>-</v>
      </c>
      <c r="AF72" s="42">
        <f>DATA!AM58</f>
        <v>2016</v>
      </c>
      <c r="AG72" s="42" t="str">
        <f>DATA!AN58</f>
        <v>dalam proses
(penyusunan FS)</v>
      </c>
      <c r="AH72" s="42" t="str">
        <f>DATA!AO58</f>
        <v>tidak butuh lahan</v>
      </c>
      <c r="AI72" s="42" t="str">
        <f>DATA!AP58</f>
        <v>belum ada proses tender/lelang</v>
      </c>
      <c r="AJ72" s="42"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K72" s="42" t="e">
        <f>DATA!#REF!</f>
        <v>#REF!</v>
      </c>
      <c r="AL72" s="42" t="str">
        <f>DATA!AZ58</f>
        <v>Sudah ada R/C</v>
      </c>
      <c r="AM72" s="67" t="str">
        <f>DATA!BA58</f>
        <v>Peningkatan kualitas permukiman di 21 provinsi, 257 kabupaten/kota,  6.626 kelurahan</v>
      </c>
    </row>
    <row r="73" spans="1:39" s="6" customFormat="1" ht="201" hidden="1" customHeight="1">
      <c r="A73" s="6">
        <f>DATA!A59</f>
        <v>47</v>
      </c>
      <c r="B73" s="6">
        <f>DATA!B59</f>
        <v>0</v>
      </c>
      <c r="C73" s="6" t="str">
        <f>DATA!D59</f>
        <v>INFRASTRUKTUR</v>
      </c>
      <c r="D73" s="6">
        <f>DATA!E59</f>
        <v>1</v>
      </c>
      <c r="E73" s="6" t="str">
        <f>DATA!F59</f>
        <v>Kementerian Pekerjaan Umum dan Perumahan Rakyat</v>
      </c>
      <c r="F73" s="6" t="str">
        <f>DATA!H59</f>
        <v>Slum Alleviation Program</v>
      </c>
      <c r="G73" s="6" t="str">
        <f>DATA!I59</f>
        <v>G</v>
      </c>
      <c r="H73" s="6" t="str">
        <f>DATA!J59</f>
        <v>Program Penanganan Kumuh</v>
      </c>
      <c r="I73" s="6">
        <f>DATA!K59</f>
        <v>2</v>
      </c>
      <c r="J73" s="38"/>
      <c r="K73" s="39"/>
      <c r="L73" s="39"/>
      <c r="M73" s="43"/>
      <c r="N73" s="67" t="str">
        <f>DATA!L59</f>
        <v>National Slum Upgrading</v>
      </c>
      <c r="O73" s="42">
        <f>DATA!Q59</f>
        <v>0.25</v>
      </c>
      <c r="P73" s="42">
        <f>DATA!R59</f>
        <v>0</v>
      </c>
      <c r="Q73" s="42">
        <f>DATA!S59</f>
        <v>0</v>
      </c>
      <c r="R73" s="83">
        <f>DATA!T59</f>
        <v>0</v>
      </c>
      <c r="S73" s="83"/>
      <c r="T73" s="83">
        <f>DATA!V59</f>
        <v>0</v>
      </c>
      <c r="U73" s="83">
        <f>DATA!W59</f>
        <v>0</v>
      </c>
      <c r="V73" s="83">
        <f>DATA!X59</f>
        <v>0</v>
      </c>
      <c r="W73" s="84" t="str">
        <f>DATA!Y59</f>
        <v>Bank Dunia</v>
      </c>
      <c r="X73" s="42" t="str">
        <f>DATA!Z59</f>
        <v>Multilateral</v>
      </c>
      <c r="Y73" s="83">
        <f>DATA!AA59</f>
        <v>216500000</v>
      </c>
      <c r="Z73" s="83">
        <f>DATA!AG59</f>
        <v>0</v>
      </c>
      <c r="AA73" s="42">
        <f>DATA!AH59</f>
        <v>2016</v>
      </c>
      <c r="AB73" s="67" t="str">
        <f>DATA!AI59</f>
        <v>Green Book 2016</v>
      </c>
      <c r="AC73" s="67" t="str">
        <f>DATA!AJ59</f>
        <v>- Concept Paper, Baseline Survey, Draft Guidelines.
- Surat Komitmen Pemda untuk penanganan kumuh.</v>
      </c>
      <c r="AD73" s="67"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E73" s="67" t="str">
        <f>DATA!AL59</f>
        <v>-</v>
      </c>
      <c r="AF73" s="42">
        <f>DATA!AM59</f>
        <v>2016</v>
      </c>
      <c r="AG73" s="42" t="str">
        <f>DATA!AN59</f>
        <v>dalam proses
(penyusunan FS)</v>
      </c>
      <c r="AH73" s="42" t="str">
        <f>DATA!AO59</f>
        <v>tidak butuh lahan</v>
      </c>
      <c r="AI73" s="42" t="str">
        <f>DATA!AP59</f>
        <v>belum ada proses tender/lelang</v>
      </c>
      <c r="AJ73" s="42"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K73" s="42" t="e">
        <f>DATA!#REF!</f>
        <v>#REF!</v>
      </c>
      <c r="AL73" s="42" t="str">
        <f>DATA!AZ59</f>
        <v>Sudah ada R/C</v>
      </c>
      <c r="AM73" s="67" t="str">
        <f>DATA!BA59</f>
        <v>Peningkatan kualitas permukiman di 21 provinsi, 257 kabupaten/kota,  6.626 kelurahan</v>
      </c>
    </row>
    <row r="74" spans="1:39" ht="89.25" hidden="1" customHeight="1">
      <c r="A74" s="10">
        <f>DATA!A62</f>
        <v>48</v>
      </c>
      <c r="B74" s="10">
        <f>DATA!B62</f>
        <v>0</v>
      </c>
      <c r="C74" s="10" t="str">
        <f>DATA!D62</f>
        <v>INFRASTRUKTUR</v>
      </c>
      <c r="D74" s="10">
        <f>DATA!E62</f>
        <v>1</v>
      </c>
      <c r="E74" s="10" t="str">
        <f>DATA!F62</f>
        <v>Kementerian Pekerjaan Umum dan Perumahan Rakyat</v>
      </c>
      <c r="F74" s="10" t="str">
        <f>DATA!H62</f>
        <v>Slum Alleviation Program</v>
      </c>
      <c r="G74" s="10" t="str">
        <f>DATA!I62</f>
        <v>G</v>
      </c>
      <c r="H74" s="10" t="str">
        <f>DATA!J62</f>
        <v>Program Penanganan Kumuh</v>
      </c>
      <c r="I74" s="10">
        <f>DATA!K62</f>
        <v>3</v>
      </c>
      <c r="J74" s="33"/>
      <c r="K74" s="34"/>
      <c r="L74" s="34"/>
      <c r="M74" s="36">
        <f>DATA!K62</f>
        <v>3</v>
      </c>
      <c r="N74" s="37" t="str">
        <f>DATA!L62</f>
        <v>Rural Settlement Infrastructure Development (RSID)</v>
      </c>
      <c r="O74" s="20">
        <f>DATA!Q62</f>
        <v>1</v>
      </c>
      <c r="P74" s="20">
        <f>DATA!R62</f>
        <v>1</v>
      </c>
      <c r="Q74" s="20">
        <f>DATA!S62</f>
        <v>41</v>
      </c>
      <c r="R74" s="77">
        <f>DATA!T62</f>
        <v>201000000</v>
      </c>
      <c r="S74" s="77"/>
      <c r="T74" s="77">
        <f>DATA!V62</f>
        <v>10050000</v>
      </c>
      <c r="U74" s="77">
        <f>DATA!W62</f>
        <v>0</v>
      </c>
      <c r="V74" s="77">
        <f>DATA!X62</f>
        <v>211050000</v>
      </c>
      <c r="W74" s="78" t="str">
        <f>DATA!Y62</f>
        <v>JICA</v>
      </c>
      <c r="X74" s="20" t="str">
        <f>DATA!Z62</f>
        <v>Bilateral</v>
      </c>
      <c r="Y74" s="77">
        <f>DATA!AA62</f>
        <v>201000000</v>
      </c>
      <c r="Z74" s="77">
        <f>DATA!AG62</f>
        <v>0</v>
      </c>
      <c r="AA74" s="20">
        <f>DATA!AH62</f>
        <v>2016</v>
      </c>
      <c r="AB74" s="37" t="str">
        <f>DATA!AI62</f>
        <v>-</v>
      </c>
      <c r="AC74" s="37" t="str">
        <f>DATA!AJ62</f>
        <v>30 (tiga puluh) kabupaten yang sudah mempunyai Perda RTRW dan mempunyai Perda Kawasan Strategis Kabupaten (KSK)</v>
      </c>
      <c r="AD74" s="37" t="str">
        <f>DATA!AK62</f>
        <v>belum ada pedoman teknis untuk pemenuhan lahan.</v>
      </c>
      <c r="AE74" s="37" t="str">
        <f>DATA!AL62</f>
        <v>belum ada</v>
      </c>
      <c r="AF74" s="20">
        <f>DATA!AM62</f>
        <v>0</v>
      </c>
      <c r="AG74" s="20" t="str">
        <f>DATA!AN62</f>
        <v>dalam proses
(penyusunan FS)</v>
      </c>
      <c r="AH74" s="20" t="str">
        <f>DATA!AO62</f>
        <v>dalam proses
(perencanaan)</v>
      </c>
      <c r="AI74" s="20" t="str">
        <f>DATA!AP62</f>
        <v>belum ada proses tender/lelang</v>
      </c>
      <c r="AJ74" s="20" t="str">
        <f>DATA!AY62</f>
        <v>- semula Lender adalah IDB, namun berdasarkan hasil konfirmasi Kem. PUPR, Lender keg ini adalah JICA
- konsep kegiatan belum siap
- Konfirmasi melalui surat Sekjen nomor KU.01.12-Sj/636 tgl 23 Oktober 2015</v>
      </c>
      <c r="AK74" s="20" t="e">
        <f>DATA!#REF!</f>
        <v>#REF!</v>
      </c>
      <c r="AL74" s="20">
        <f>DATA!AZ62</f>
        <v>0</v>
      </c>
      <c r="AM74" s="37" t="str">
        <f>DATA!BA62</f>
        <v xml:space="preserve">Pembangunan infrastruktur perdesaan seluas 18.589 ha </v>
      </c>
    </row>
    <row r="75" spans="1:39" ht="80.25" hidden="1" customHeight="1">
      <c r="A75" s="10">
        <f>DATA!A63</f>
        <v>49</v>
      </c>
      <c r="B75" s="10">
        <f>DATA!B63</f>
        <v>0</v>
      </c>
      <c r="C75" s="10" t="str">
        <f>DATA!D63</f>
        <v>INFRASTRUKTUR</v>
      </c>
      <c r="D75" s="10">
        <f>DATA!E63</f>
        <v>1</v>
      </c>
      <c r="E75" s="10" t="str">
        <f>DATA!F63</f>
        <v>Kementerian Pekerjaan Umum dan Perumahan Rakyat</v>
      </c>
      <c r="F75" s="10" t="str">
        <f>DATA!H63</f>
        <v>Slum Alleviation Program</v>
      </c>
      <c r="G75" s="10" t="str">
        <f>DATA!I63</f>
        <v>G</v>
      </c>
      <c r="H75" s="10" t="str">
        <f>DATA!J63</f>
        <v>Program Penanganan Kumuh</v>
      </c>
      <c r="I75" s="10">
        <f>DATA!K63</f>
        <v>4</v>
      </c>
      <c r="J75" s="33"/>
      <c r="K75" s="34"/>
      <c r="L75" s="54"/>
      <c r="M75" s="36">
        <f>DATA!K63</f>
        <v>4</v>
      </c>
      <c r="N75" s="37" t="str">
        <f>DATA!L63</f>
        <v>Building Administration and Capacity Enforcement Development for Seismic Resilience</v>
      </c>
      <c r="O75" s="20">
        <f>DATA!Q63</f>
        <v>1</v>
      </c>
      <c r="P75" s="20">
        <f>DATA!R63</f>
        <v>1</v>
      </c>
      <c r="Q75" s="20">
        <f>DATA!S63</f>
        <v>42</v>
      </c>
      <c r="R75" s="77">
        <f>DATA!T63</f>
        <v>261100000</v>
      </c>
      <c r="S75" s="77"/>
      <c r="T75" s="77">
        <f>DATA!V63</f>
        <v>13055000</v>
      </c>
      <c r="U75" s="77">
        <f>DATA!W63</f>
        <v>0</v>
      </c>
      <c r="V75" s="77">
        <f>DATA!X63</f>
        <v>274155000</v>
      </c>
      <c r="W75" s="78" t="str">
        <f>DATA!Y63</f>
        <v>JICA</v>
      </c>
      <c r="X75" s="20" t="str">
        <f>DATA!Z63</f>
        <v>Bilateral</v>
      </c>
      <c r="Y75" s="77">
        <f>DATA!AA63</f>
        <v>261100000</v>
      </c>
      <c r="Z75" s="77">
        <f>DATA!AG63</f>
        <v>0</v>
      </c>
      <c r="AA75" s="20">
        <f>DATA!AH63</f>
        <v>2016</v>
      </c>
      <c r="AB75" s="37" t="str">
        <f>DATA!AI63</f>
        <v>-</v>
      </c>
      <c r="AC75" s="37" t="str">
        <f>DATA!AJ63</f>
        <v>246 dari total 514 kota / kabupaten telah mengeluarkan Peraturan Daerah Bangunan Gedung).</v>
      </c>
      <c r="AD75" s="37" t="str">
        <f>DATA!AK63</f>
        <v>tidak ada kegiatan pengadaan lahan.</v>
      </c>
      <c r="AE75" s="37" t="str">
        <f>DATA!AL63</f>
        <v>belum ada</v>
      </c>
      <c r="AF75" s="20">
        <f>DATA!AM63</f>
        <v>0</v>
      </c>
      <c r="AG75" s="20" t="str">
        <f>DATA!AN63</f>
        <v>dalam proses
(penyusunan FS)</v>
      </c>
      <c r="AH75" s="20" t="str">
        <f>DATA!AO63</f>
        <v>tidak butuh lahan</v>
      </c>
      <c r="AI75" s="20" t="str">
        <f>DATA!AP63</f>
        <v>belum ada proses tender/lelang</v>
      </c>
      <c r="AJ75" s="20" t="str">
        <f>DATA!AY63</f>
        <v>- konsep kegiatan belum siap
- Konfirmasi melalui surat Sekjen nomor KU.01.12-Sj/636 tgl 23 Oktober 2015</v>
      </c>
      <c r="AK75" s="20" t="e">
        <f>DATA!#REF!</f>
        <v>#REF!</v>
      </c>
      <c r="AL75" s="20" t="str">
        <f>DATA!AZ63</f>
        <v>- JICA diindikasikan akan mendanai kegiatan ini dan sudah ada kajian dengan pihak JICA</v>
      </c>
      <c r="AM75" s="37" t="str">
        <f>DATA!BA63</f>
        <v>Pengembangan panduan/guidelines untuk 455 kota/kabupaten mengenai bangunan tahan gempa dan sosialisasi metode perkuatan/retrofitting untuk bangunan tahan gempa.</v>
      </c>
    </row>
    <row r="76" spans="1:39" s="5" customFormat="1" ht="33.75" hidden="1" customHeight="1">
      <c r="J76" s="28"/>
      <c r="K76" s="50"/>
      <c r="L76" s="30" t="str">
        <f>DATA!I67</f>
        <v>I</v>
      </c>
      <c r="M76" s="31" t="str">
        <f>DATA!J67</f>
        <v>Program Pengembangan dan Pengelolaan Irigasi</v>
      </c>
      <c r="N76" s="51"/>
      <c r="O76" s="31"/>
      <c r="P76" s="31"/>
      <c r="Q76" s="31"/>
      <c r="R76" s="81">
        <f>SUM(R77,R81:R89)</f>
        <v>3257531000</v>
      </c>
      <c r="S76" s="81"/>
      <c r="T76" s="81">
        <f t="shared" ref="T76:Z76" si="3">SUM(T77,T81:T89)</f>
        <v>345159500</v>
      </c>
      <c r="U76" s="81">
        <f t="shared" si="3"/>
        <v>0</v>
      </c>
      <c r="V76" s="81">
        <f t="shared" si="3"/>
        <v>3602690500</v>
      </c>
      <c r="W76" s="81"/>
      <c r="X76" s="81">
        <f t="shared" si="3"/>
        <v>0</v>
      </c>
      <c r="Y76" s="81">
        <f t="shared" si="3"/>
        <v>3257531000</v>
      </c>
      <c r="Z76" s="81">
        <f t="shared" si="3"/>
        <v>0</v>
      </c>
      <c r="AA76" s="31"/>
      <c r="AB76" s="32"/>
      <c r="AC76" s="32"/>
      <c r="AD76" s="32"/>
      <c r="AE76" s="32"/>
      <c r="AF76" s="31"/>
      <c r="AG76" s="31"/>
      <c r="AH76" s="31"/>
      <c r="AI76" s="31"/>
      <c r="AJ76" s="31"/>
      <c r="AK76" s="31"/>
      <c r="AL76" s="31"/>
      <c r="AM76" s="32"/>
    </row>
    <row r="77" spans="1:39" ht="51" hidden="1">
      <c r="A77" s="10">
        <f>DATA!A65</f>
        <v>50</v>
      </c>
      <c r="B77" s="10">
        <f>DATA!B65</f>
        <v>0</v>
      </c>
      <c r="C77" s="10" t="str">
        <f>DATA!D65</f>
        <v>INFRASTRUKTUR</v>
      </c>
      <c r="D77" s="10">
        <f>DATA!E65</f>
        <v>1</v>
      </c>
      <c r="E77" s="10" t="str">
        <f>DATA!F65</f>
        <v>Kementerian Pekerjaan Umum dan Perumahan Rakyat</v>
      </c>
      <c r="F77" s="10" t="str">
        <f>DATA!H65</f>
        <v>Slum Alleviation Program</v>
      </c>
      <c r="G77" s="10" t="str">
        <f>DATA!I65</f>
        <v>I</v>
      </c>
      <c r="H77" s="10" t="str">
        <f>DATA!J65</f>
        <v>Program Pengembangan dan Pengelolaan Irigasi</v>
      </c>
      <c r="I77" s="10">
        <f>DATA!K65</f>
        <v>1</v>
      </c>
      <c r="J77" s="33"/>
      <c r="K77" s="34"/>
      <c r="L77" s="35"/>
      <c r="M77" s="36">
        <f>DATA!K65</f>
        <v>1</v>
      </c>
      <c r="N77" s="37" t="str">
        <f>DATA!L65</f>
        <v>Integrated Participatory Development and Management of Irrigation Project:</v>
      </c>
      <c r="O77" s="20">
        <f>DATA!Q65</f>
        <v>0</v>
      </c>
      <c r="P77" s="20">
        <f>DATA!R65</f>
        <v>0</v>
      </c>
      <c r="Q77" s="20">
        <f>DATA!S65</f>
        <v>0</v>
      </c>
      <c r="R77" s="77">
        <f>DATA!T65</f>
        <v>1200000000</v>
      </c>
      <c r="S77" s="77"/>
      <c r="T77" s="77">
        <f>DATA!V65</f>
        <v>120000000</v>
      </c>
      <c r="U77" s="77">
        <f>DATA!W65</f>
        <v>0</v>
      </c>
      <c r="V77" s="77">
        <f>DATA!X65</f>
        <v>1320000000</v>
      </c>
      <c r="W77" s="78" t="str">
        <f>DATA!Y65</f>
        <v>-</v>
      </c>
      <c r="X77" s="20">
        <f>DATA!Z65</f>
        <v>0</v>
      </c>
      <c r="Y77" s="77">
        <f>DATA!AA65</f>
        <v>1200000000</v>
      </c>
      <c r="Z77" s="77">
        <f>DATA!AG65</f>
        <v>0</v>
      </c>
      <c r="AA77" s="20" t="str">
        <f>DATA!AH65</f>
        <v>-</v>
      </c>
      <c r="AB77" s="37" t="str">
        <f>DATA!AI65</f>
        <v>-</v>
      </c>
      <c r="AC77" s="37" t="str">
        <f>DATA!AJ65</f>
        <v>-</v>
      </c>
      <c r="AD77" s="37" t="str">
        <f>DATA!AK65</f>
        <v>-</v>
      </c>
      <c r="AE77" s="37" t="str">
        <f>DATA!AL65</f>
        <v>-</v>
      </c>
      <c r="AF77" s="20" t="str">
        <f>DATA!AM65</f>
        <v>-</v>
      </c>
      <c r="AG77" s="20" t="str">
        <f>DATA!AN65</f>
        <v>-</v>
      </c>
      <c r="AH77" s="20" t="str">
        <f>DATA!AO65</f>
        <v>-</v>
      </c>
      <c r="AI77" s="20" t="str">
        <f>DATA!AP65</f>
        <v>-</v>
      </c>
      <c r="AJ77" s="20" t="str">
        <f>DATA!AY65</f>
        <v>Konfirmasi melalui surat Sekjen nomor KU.01.12-Sj/636 tgl 23 Oktober 2015</v>
      </c>
      <c r="AK77" s="20" t="e">
        <f>DATA!#REF!</f>
        <v>#REF!</v>
      </c>
      <c r="AL77" s="20">
        <f>DATA!AZ65</f>
        <v>0</v>
      </c>
      <c r="AM77" s="37" t="str">
        <f>DATA!BA65</f>
        <v>Pembangunan lanjutan proyek irigasi dengan total seluas 193.858 Ha dan pembangunan irigasi baru seluas 10.000 Ha yang tersebar di berbagai wilayah di Indonesia</v>
      </c>
    </row>
    <row r="78" spans="1:39" s="7" customFormat="1" ht="88.5" customHeight="1">
      <c r="A78" s="6">
        <f>DATA!A67</f>
        <v>51</v>
      </c>
      <c r="B78" s="6">
        <f>DATA!B67</f>
        <v>0</v>
      </c>
      <c r="C78" s="6" t="str">
        <f>DATA!D67</f>
        <v>INFRASTRUKTUR</v>
      </c>
      <c r="D78" s="6">
        <f>DATA!E67</f>
        <v>1</v>
      </c>
      <c r="E78" s="6" t="str">
        <f>DATA!F67</f>
        <v>Kementerian Pekerjaan Umum dan Perumahan Rakyat</v>
      </c>
      <c r="F78" s="6" t="str">
        <f>DATA!H67</f>
        <v xml:space="preserve">Development and Management of Irrigation Program </v>
      </c>
      <c r="G78" s="6" t="str">
        <f>DATA!I67</f>
        <v>I</v>
      </c>
      <c r="H78" s="6" t="str">
        <f>DATA!J67</f>
        <v>Program Pengembangan dan Pengelolaan Irigasi</v>
      </c>
      <c r="I78" s="6">
        <f>DATA!K67</f>
        <v>1</v>
      </c>
      <c r="J78" s="44"/>
      <c r="K78" s="45"/>
      <c r="L78" s="45"/>
      <c r="M78" s="48"/>
      <c r="N78" s="68" t="str">
        <f>DATA!L67</f>
        <v>Integrated Participatory Development and Management of Irrigation Project - Phase I</v>
      </c>
      <c r="O78" s="42">
        <f>DATA!Q67</f>
        <v>0.5</v>
      </c>
      <c r="P78" s="42">
        <f>DATA!R67</f>
        <v>0</v>
      </c>
      <c r="Q78" s="42">
        <f>DATA!S67</f>
        <v>43</v>
      </c>
      <c r="R78" s="85">
        <f>DATA!T67</f>
        <v>0</v>
      </c>
      <c r="S78" s="85"/>
      <c r="T78" s="85">
        <f>DATA!V67</f>
        <v>0</v>
      </c>
      <c r="U78" s="83">
        <f>DATA!W67</f>
        <v>0</v>
      </c>
      <c r="V78" s="85">
        <f>DATA!X67</f>
        <v>0</v>
      </c>
      <c r="W78" s="86" t="str">
        <f>DATA!Y67</f>
        <v>ADB</v>
      </c>
      <c r="X78" s="42" t="str">
        <f>DATA!Z67</f>
        <v>Multilateral</v>
      </c>
      <c r="Y78" s="85">
        <f>DATA!AA67</f>
        <v>600000000</v>
      </c>
      <c r="Z78" s="85">
        <f>DATA!AG67</f>
        <v>0</v>
      </c>
      <c r="AA78" s="98">
        <f>DATA!AH67</f>
        <v>2016</v>
      </c>
      <c r="AB78" s="68" t="str">
        <f>DATA!AI67</f>
        <v>- Sudah ada RC
- Green Book 2015
- Dalam proses pembahasan skema pinjaman</v>
      </c>
      <c r="AC78" s="68" t="str">
        <f>DATA!AJ67</f>
        <v>FS, DED, AMDAL, LARAP</v>
      </c>
      <c r="AD78" s="68" t="str">
        <f>DATA!AK67</f>
        <v>-</v>
      </c>
      <c r="AE78" s="68" t="str">
        <f>DATA!AL67</f>
        <v>Belum ada tender/lelang</v>
      </c>
      <c r="AF78" s="42" t="str">
        <f>DATA!AM67</f>
        <v>2016; 2015</v>
      </c>
      <c r="AG78" s="42" t="str">
        <f>DATA!AN67</f>
        <v>siap</v>
      </c>
      <c r="AH78" s="42" t="str">
        <f>DATA!AO67</f>
        <v>belum ada keterangan</v>
      </c>
      <c r="AI78" s="42" t="str">
        <f>DATA!AP67</f>
        <v>belum ada proses tender/lelang</v>
      </c>
      <c r="AJ78" s="42" t="str">
        <f>DATA!AY67</f>
        <v>- Cofinancing ADB USD 600 juta dan IFAD USD 100 juta
- Konfirmasi melalui surat Sekjen nomor KU.01.12-Sj/636 tgl 23 Oktober 2015</v>
      </c>
      <c r="AK78" s="42" t="e">
        <f>DATA!#REF!</f>
        <v>#REF!</v>
      </c>
      <c r="AL78" s="42" t="str">
        <f>DATA!AZ67</f>
        <v>termasuk RBL</v>
      </c>
      <c r="AM78" s="67"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79" spans="1:39" s="6" customFormat="1" ht="86.25" hidden="1" customHeight="1">
      <c r="A79" s="6">
        <f>DATA!A68</f>
        <v>52</v>
      </c>
      <c r="B79" s="6">
        <f>DATA!B68</f>
        <v>0</v>
      </c>
      <c r="C79" s="6" t="str">
        <f>DATA!D68</f>
        <v>INFRASTRUKTUR</v>
      </c>
      <c r="D79" s="6">
        <f>DATA!E68</f>
        <v>1</v>
      </c>
      <c r="E79" s="6" t="str">
        <f>DATA!F68</f>
        <v>Kementerian Pekerjaan Umum dan Perumahan Rakyat</v>
      </c>
      <c r="F79" s="6" t="str">
        <f>DATA!H68</f>
        <v xml:space="preserve">Development and Management of Irrigation Program </v>
      </c>
      <c r="G79" s="6" t="str">
        <f>DATA!I68</f>
        <v>I</v>
      </c>
      <c r="H79" s="6" t="str">
        <f>DATA!J68</f>
        <v>Program Pengembangan dan Pengelolaan Irigasi</v>
      </c>
      <c r="I79" s="6">
        <f>DATA!K68</f>
        <v>1</v>
      </c>
      <c r="J79" s="38"/>
      <c r="K79" s="39"/>
      <c r="L79" s="39"/>
      <c r="M79" s="38"/>
      <c r="N79" s="67" t="str">
        <f>DATA!L68</f>
        <v>Integrated Participatory Development and Management of Irrigation Project - Phase I</v>
      </c>
      <c r="O79" s="42">
        <f>DATA!Q68</f>
        <v>0.5</v>
      </c>
      <c r="P79" s="42">
        <f>DATA!R68</f>
        <v>0</v>
      </c>
      <c r="Q79" s="42">
        <f>DATA!S68</f>
        <v>0</v>
      </c>
      <c r="R79" s="83">
        <f>DATA!T68</f>
        <v>0</v>
      </c>
      <c r="S79" s="83"/>
      <c r="T79" s="83">
        <f>DATA!V68</f>
        <v>0</v>
      </c>
      <c r="U79" s="83">
        <f>DATA!W68</f>
        <v>0</v>
      </c>
      <c r="V79" s="83">
        <f>DATA!X68</f>
        <v>0</v>
      </c>
      <c r="W79" s="84" t="str">
        <f>DATA!Y68</f>
        <v>IFAD</v>
      </c>
      <c r="X79" s="42" t="str">
        <f>DATA!Z68</f>
        <v>Multilateral</v>
      </c>
      <c r="Y79" s="83">
        <f>DATA!AA68</f>
        <v>100000000</v>
      </c>
      <c r="Z79" s="83">
        <f>DATA!AG68</f>
        <v>0</v>
      </c>
      <c r="AA79" s="42">
        <f>DATA!AH68</f>
        <v>2015</v>
      </c>
      <c r="AB79" s="67" t="str">
        <f>DATA!AI68</f>
        <v>- Sudah ada RC
- Green Book 2015
- Dalam proses pembahasan skema pinjaman</v>
      </c>
      <c r="AC79" s="67" t="str">
        <f>DATA!AJ68</f>
        <v>FS, DED, AMDAL, LARAP</v>
      </c>
      <c r="AD79" s="67" t="str">
        <f>DATA!AK68</f>
        <v>-</v>
      </c>
      <c r="AE79" s="67" t="str">
        <f>DATA!AL68</f>
        <v>Belum ada tender/lelang</v>
      </c>
      <c r="AF79" s="42" t="str">
        <f>DATA!AM68</f>
        <v>2016; 2015</v>
      </c>
      <c r="AG79" s="42" t="str">
        <f>DATA!AN68</f>
        <v>siap</v>
      </c>
      <c r="AH79" s="42" t="str">
        <f>DATA!AO68</f>
        <v>belum ada keterangan</v>
      </c>
      <c r="AI79" s="42" t="str">
        <f>DATA!AP68</f>
        <v>belum ada proses tender/lelang</v>
      </c>
      <c r="AJ79" s="42" t="str">
        <f>DATA!AY68</f>
        <v>- Cofinancing ADB USD 600 juta dan IFAD USD 100 juta
- Konfirmasi melalui surat Sekjen nomor KU.01.12-Sj/636 tgl 23 Oktober 2015</v>
      </c>
      <c r="AK79" s="42" t="e">
        <f>DATA!#REF!</f>
        <v>#REF!</v>
      </c>
      <c r="AL79" s="42">
        <f>DATA!AZ68</f>
        <v>0</v>
      </c>
      <c r="AM79" s="67"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0" spans="1:39" s="6" customFormat="1" ht="52.5" hidden="1" customHeight="1">
      <c r="A80" s="6">
        <f>DATA!A70</f>
        <v>53</v>
      </c>
      <c r="B80" s="6">
        <f>DATA!B70</f>
        <v>0</v>
      </c>
      <c r="C80" s="6" t="str">
        <f>DATA!D70</f>
        <v>INFRASTRUKTUR</v>
      </c>
      <c r="D80" s="6">
        <f>DATA!E70</f>
        <v>1</v>
      </c>
      <c r="E80" s="6" t="str">
        <f>DATA!F70</f>
        <v>Kementerian Pekerjaan Umum dan Perumahan Rakyat</v>
      </c>
      <c r="F80" s="6" t="str">
        <f>DATA!H70</f>
        <v xml:space="preserve">Development and Management of Irrigation Program </v>
      </c>
      <c r="G80" s="6" t="str">
        <f>DATA!I70</f>
        <v>I</v>
      </c>
      <c r="H80" s="6" t="str">
        <f>DATA!J70</f>
        <v>Program Pengembangan dan Pengelolaan Irigasi</v>
      </c>
      <c r="I80" s="6">
        <f>DATA!K70</f>
        <v>1</v>
      </c>
      <c r="J80" s="38"/>
      <c r="K80" s="39"/>
      <c r="L80" s="39"/>
      <c r="M80" s="43"/>
      <c r="N80" s="67" t="str">
        <f>DATA!L70</f>
        <v>Integrated Participatory Development and Management of Irrigation Project - Phase II</v>
      </c>
      <c r="O80" s="42">
        <f>DATA!Q70</f>
        <v>1</v>
      </c>
      <c r="P80" s="42">
        <f>DATA!R70</f>
        <v>0</v>
      </c>
      <c r="Q80" s="42">
        <f>DATA!S70</f>
        <v>44</v>
      </c>
      <c r="R80" s="83">
        <f>DATA!T70</f>
        <v>500000000</v>
      </c>
      <c r="S80" s="83"/>
      <c r="T80" s="83">
        <f>DATA!V70</f>
        <v>50000000</v>
      </c>
      <c r="U80" s="83">
        <f>DATA!W70</f>
        <v>0</v>
      </c>
      <c r="V80" s="83">
        <f>DATA!X70</f>
        <v>550000000</v>
      </c>
      <c r="W80" s="84" t="str">
        <f>DATA!Y70</f>
        <v>ADB</v>
      </c>
      <c r="X80" s="42" t="str">
        <f>DATA!Z70</f>
        <v>Multilateral</v>
      </c>
      <c r="Y80" s="83">
        <f>DATA!AA70</f>
        <v>500000000</v>
      </c>
      <c r="Z80" s="83">
        <f>DATA!AG70</f>
        <v>0</v>
      </c>
      <c r="AA80" s="42" t="str">
        <f>DATA!AH70</f>
        <v>Tanpa keterangan</v>
      </c>
      <c r="AB80" s="67" t="str">
        <f>DATA!AI70</f>
        <v>-</v>
      </c>
      <c r="AC80" s="67" t="str">
        <f>DATA!AJ70</f>
        <v>-</v>
      </c>
      <c r="AD80" s="67" t="str">
        <f>DATA!AK70</f>
        <v>-</v>
      </c>
      <c r="AE80" s="67" t="str">
        <f>DATA!AL70</f>
        <v>-</v>
      </c>
      <c r="AF80" s="42" t="str">
        <f>DATA!AR70</f>
        <v>- untuk yang Phase II: belum ada penyiapan
- belum ada dokumen R/C</v>
      </c>
      <c r="AG80" s="42" t="str">
        <f>DATA!AN70</f>
        <v>belum ada keterangan</v>
      </c>
      <c r="AH80" s="42" t="str">
        <f>DATA!AO70</f>
        <v>belum ada keterangan</v>
      </c>
      <c r="AI80" s="42" t="str">
        <f>DATA!AP70</f>
        <v>belum ada proses tender/lelang</v>
      </c>
      <c r="AJ80" s="42" t="str">
        <f>DATA!AY70</f>
        <v>Konfirmasi melalui surat Sekjen nomor KU.01.12-Sj/636 tgl 23 Oktober 2015</v>
      </c>
      <c r="AK80" s="42" t="e">
        <f>DATA!#REF!</f>
        <v>#REF!</v>
      </c>
      <c r="AL80" s="42">
        <f>DATA!AZ70</f>
        <v>0</v>
      </c>
      <c r="AM80" s="67" t="str">
        <f>DATA!BA70</f>
        <v xml:space="preserve">Pembangunan irigasi baru dengan luas lebih dari 10.000 Ha, perbaikan sistem irigasi seluas 172.880 Ha yang tersebar di seluruh Indonesia. </v>
      </c>
    </row>
    <row r="81" spans="1:39" ht="45.75" hidden="1" customHeight="1">
      <c r="A81" s="10">
        <f>DATA!A72</f>
        <v>54</v>
      </c>
      <c r="B81" s="10">
        <f>DATA!B72</f>
        <v>0</v>
      </c>
      <c r="C81" s="10" t="str">
        <f>DATA!D72</f>
        <v>INFRASTRUKTUR</v>
      </c>
      <c r="D81" s="10">
        <f>DATA!E72</f>
        <v>1</v>
      </c>
      <c r="E81" s="10" t="str">
        <f>DATA!F72</f>
        <v>Kementerian Pekerjaan Umum dan Perumahan Rakyat</v>
      </c>
      <c r="F81" s="10" t="str">
        <f>DATA!H72</f>
        <v xml:space="preserve">Development and Management of Irrigation Program </v>
      </c>
      <c r="G81" s="10" t="str">
        <f>DATA!I72</f>
        <v>I</v>
      </c>
      <c r="H81" s="10" t="str">
        <f>DATA!J72</f>
        <v>Program Pengembangan dan Pengelolaan Irigasi</v>
      </c>
      <c r="I81" s="10">
        <f>DATA!K72</f>
        <v>2</v>
      </c>
      <c r="J81" s="33"/>
      <c r="K81" s="34"/>
      <c r="L81" s="34"/>
      <c r="M81" s="36">
        <f>DATA!K72</f>
        <v>2</v>
      </c>
      <c r="N81" s="37" t="str">
        <f>DATA!L72</f>
        <v>The Urgent Rehabilitation of Strategic Irrigation for Western Region of Indonesia</v>
      </c>
      <c r="O81" s="20">
        <f>DATA!Q72</f>
        <v>1</v>
      </c>
      <c r="P81" s="20">
        <f>DATA!R72</f>
        <v>1</v>
      </c>
      <c r="Q81" s="20">
        <f>DATA!S72</f>
        <v>45</v>
      </c>
      <c r="R81" s="77">
        <f>DATA!T72</f>
        <v>195778000</v>
      </c>
      <c r="S81" s="77"/>
      <c r="T81" s="77">
        <f>DATA!V72</f>
        <v>27149500</v>
      </c>
      <c r="U81" s="77">
        <f>DATA!W72</f>
        <v>0</v>
      </c>
      <c r="V81" s="77">
        <f>DATA!X72</f>
        <v>222927500</v>
      </c>
      <c r="W81" s="78" t="str">
        <f>DATA!Y72</f>
        <v>Korea</v>
      </c>
      <c r="X81" s="20" t="str">
        <f>DATA!Z72</f>
        <v>Bilateral</v>
      </c>
      <c r="Y81" s="77">
        <f>DATA!AA72</f>
        <v>195778000</v>
      </c>
      <c r="Z81" s="77">
        <f>DATA!AG72</f>
        <v>0</v>
      </c>
      <c r="AA81" s="20">
        <f>DATA!AH72</f>
        <v>2016</v>
      </c>
      <c r="AB81" s="37" t="str">
        <f>DATA!AI72</f>
        <v>- Sudah ada R/C
- Green Book 2015</v>
      </c>
      <c r="AC81" s="37" t="str">
        <f>DATA!AJ72</f>
        <v>FS, DED, AMDAL, LARAP</v>
      </c>
      <c r="AD81" s="37" t="str">
        <f>DATA!AK72</f>
        <v>Tidak dibutuhkan lahan</v>
      </c>
      <c r="AE81" s="37" t="str">
        <f>DATA!AL72</f>
        <v>Belum ada tender/lelang</v>
      </c>
      <c r="AF81" s="20" t="str">
        <f>DATA!AR72</f>
        <v>-</v>
      </c>
      <c r="AG81" s="20" t="str">
        <f>DATA!AN72</f>
        <v>belum ada keterangan</v>
      </c>
      <c r="AH81" s="20" t="str">
        <f>DATA!AO72</f>
        <v>belum ada keterangan</v>
      </c>
      <c r="AI81" s="20" t="str">
        <f>DATA!AP72</f>
        <v>belum ada proses tender/lelang</v>
      </c>
      <c r="AJ81" s="20" t="str">
        <f>DATA!AY72</f>
        <v>Konfirmasi melalui surat Sekjen nomor KU.01.12-Sj/636 tgl 23 Oktober 2015</v>
      </c>
      <c r="AK81" s="20" t="e">
        <f>DATA!#REF!</f>
        <v>#REF!</v>
      </c>
      <c r="AL81" s="20">
        <f>DATA!AZ72</f>
        <v>0</v>
      </c>
      <c r="AM81" s="37" t="str">
        <f>DATA!BA72</f>
        <v xml:space="preserve">Melakukan rehabilitasi fasilitas irigasi, meningkatkan sistem irigasi dan drainase dan peningkatan kapasitas O&amp;P seluas 38,523 Ha </v>
      </c>
    </row>
    <row r="82" spans="1:39" ht="111" hidden="1" customHeight="1">
      <c r="A82" s="10">
        <f>DATA!A73</f>
        <v>55</v>
      </c>
      <c r="B82" s="10">
        <f>DATA!B73</f>
        <v>0</v>
      </c>
      <c r="C82" s="10" t="str">
        <f>DATA!D73</f>
        <v>INFRASTRUKTUR</v>
      </c>
      <c r="D82" s="10">
        <f>DATA!E73</f>
        <v>1</v>
      </c>
      <c r="E82" s="10" t="str">
        <f>DATA!F73</f>
        <v>Kementerian Pekerjaan Umum dan Perumahan Rakyat</v>
      </c>
      <c r="F82" s="10" t="str">
        <f>DATA!H73</f>
        <v xml:space="preserve">Development and Management of Irrigation Program </v>
      </c>
      <c r="G82" s="10" t="str">
        <f>DATA!I73</f>
        <v>I</v>
      </c>
      <c r="H82" s="10" t="str">
        <f>DATA!J73</f>
        <v>Program Pengembangan dan Pengelolaan Irigasi</v>
      </c>
      <c r="I82" s="10">
        <f>DATA!K73</f>
        <v>3</v>
      </c>
      <c r="J82" s="33"/>
      <c r="K82" s="34"/>
      <c r="L82" s="34"/>
      <c r="M82" s="36">
        <f>DATA!K73</f>
        <v>3</v>
      </c>
      <c r="N82" s="37" t="str">
        <f>DATA!L73</f>
        <v>Rentang Modernization Strategic Irrigation (RIMP)</v>
      </c>
      <c r="O82" s="20">
        <f>DATA!Q73</f>
        <v>1</v>
      </c>
      <c r="P82" s="20">
        <f>DATA!R73</f>
        <v>1</v>
      </c>
      <c r="Q82" s="20">
        <f>DATA!S73</f>
        <v>46</v>
      </c>
      <c r="R82" s="77">
        <f>DATA!T73</f>
        <v>480000000</v>
      </c>
      <c r="S82" s="77"/>
      <c r="T82" s="77">
        <f>DATA!V73</f>
        <v>48000000</v>
      </c>
      <c r="U82" s="77">
        <f>DATA!W73</f>
        <v>0</v>
      </c>
      <c r="V82" s="77">
        <f>DATA!X73</f>
        <v>528000000</v>
      </c>
      <c r="W82" s="78" t="str">
        <f>DATA!Y73</f>
        <v>JICA</v>
      </c>
      <c r="X82" s="20" t="str">
        <f>DATA!Z73</f>
        <v>Bilateral</v>
      </c>
      <c r="Y82" s="77">
        <f>DATA!AA73</f>
        <v>480000000</v>
      </c>
      <c r="Z82" s="77">
        <f>DATA!AG73</f>
        <v>0</v>
      </c>
      <c r="AA82" s="20">
        <f>DATA!AH73</f>
        <v>2017</v>
      </c>
      <c r="AB82" s="37" t="str">
        <f>DATA!AI73</f>
        <v>Sudah ada R/C</v>
      </c>
      <c r="AC82" s="37" t="str">
        <f>DATA!AJ73</f>
        <v>FS, DED, AMDAL</v>
      </c>
      <c r="AD82" s="37" t="str">
        <f>DATA!AK73</f>
        <v>Tidak dibutuhkan lahan</v>
      </c>
      <c r="AE82" s="37" t="str">
        <f>DATA!AL73</f>
        <v>-</v>
      </c>
      <c r="AF82" s="20" t="str">
        <f>DATA!AR73</f>
        <v>-</v>
      </c>
      <c r="AG82" s="20" t="str">
        <f>DATA!AN73</f>
        <v>siap</v>
      </c>
      <c r="AH82" s="20" t="str">
        <f>DATA!AO73</f>
        <v>tidak butuh lahan</v>
      </c>
      <c r="AI82" s="20" t="str">
        <f>DATA!AP73</f>
        <v>belum ada proses tender/lelang</v>
      </c>
      <c r="AJ82" s="20" t="str">
        <f>DATA!AY73</f>
        <v>Konfirmasi melalui surat Sekjen nomor KU.01.12-Sj/636 tgl 23 Oktober 2015</v>
      </c>
      <c r="AK82" s="20" t="e">
        <f>DATA!#REF!</f>
        <v>#REF!</v>
      </c>
      <c r="AL82" s="20">
        <f>DATA!AZ73</f>
        <v>0</v>
      </c>
      <c r="AM82" s="37"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row>
    <row r="83" spans="1:39" ht="76.5" hidden="1">
      <c r="A83" s="10">
        <f>DATA!A74</f>
        <v>56</v>
      </c>
      <c r="B83" s="10">
        <f>DATA!B74</f>
        <v>0</v>
      </c>
      <c r="C83" s="10" t="str">
        <f>DATA!D74</f>
        <v>INFRASTRUKTUR</v>
      </c>
      <c r="D83" s="10">
        <f>DATA!E74</f>
        <v>1</v>
      </c>
      <c r="E83" s="10" t="str">
        <f>DATA!F74</f>
        <v>Kementerian Pekerjaan Umum dan Perumahan Rakyat</v>
      </c>
      <c r="F83" s="10" t="str">
        <f>DATA!H74</f>
        <v xml:space="preserve">Development and Management of Irrigation Program </v>
      </c>
      <c r="G83" s="10" t="str">
        <f>DATA!I74</f>
        <v>I</v>
      </c>
      <c r="H83" s="10" t="str">
        <f>DATA!J74</f>
        <v>Program Pengembangan dan Pengelolaan Irigasi</v>
      </c>
      <c r="I83" s="10">
        <f>DATA!K74</f>
        <v>4</v>
      </c>
      <c r="J83" s="33"/>
      <c r="K83" s="34"/>
      <c r="L83" s="34"/>
      <c r="M83" s="36">
        <f>DATA!K74</f>
        <v>4</v>
      </c>
      <c r="N83" s="37" t="str">
        <f>DATA!L74</f>
        <v>Komering Irrigation Project Stage III</v>
      </c>
      <c r="O83" s="20">
        <f>DATA!Q74</f>
        <v>1</v>
      </c>
      <c r="P83" s="20">
        <f>DATA!R74</f>
        <v>1</v>
      </c>
      <c r="Q83" s="20">
        <f>DATA!S74</f>
        <v>47</v>
      </c>
      <c r="R83" s="77">
        <f>DATA!T74</f>
        <v>120000000</v>
      </c>
      <c r="S83" s="77"/>
      <c r="T83" s="77">
        <f>DATA!V74</f>
        <v>12000000</v>
      </c>
      <c r="U83" s="77">
        <f>DATA!W74</f>
        <v>0</v>
      </c>
      <c r="V83" s="77">
        <f>DATA!X74</f>
        <v>132000000</v>
      </c>
      <c r="W83" s="78" t="str">
        <f>DATA!Y74</f>
        <v>JICA</v>
      </c>
      <c r="X83" s="20" t="str">
        <f>DATA!Z74</f>
        <v>Bilateral</v>
      </c>
      <c r="Y83" s="77">
        <f>DATA!AA74</f>
        <v>120000000</v>
      </c>
      <c r="Z83" s="77">
        <f>DATA!AG74</f>
        <v>0</v>
      </c>
      <c r="AA83" s="20">
        <f>DATA!AH74</f>
        <v>2017</v>
      </c>
      <c r="AB83" s="37" t="str">
        <f>DATA!AI74</f>
        <v xml:space="preserve">Sudah ada R/C
</v>
      </c>
      <c r="AC83" s="37" t="str">
        <f>DATA!AJ74</f>
        <v>FS, DED, AMDAL, LARAP</v>
      </c>
      <c r="AD83" s="37" t="str">
        <f>DATA!AK74</f>
        <v>-</v>
      </c>
      <c r="AE83" s="37" t="str">
        <f>DATA!AL74</f>
        <v>-</v>
      </c>
      <c r="AF83" s="20" t="str">
        <f>DATA!AR74</f>
        <v>Nilai pinjaman di:
- Rev. GB 16 USD 145.568 ribu
- GB 16 USD 120.000 ribu</v>
      </c>
      <c r="AG83" s="20" t="str">
        <f>DATA!AN74</f>
        <v>siap</v>
      </c>
      <c r="AH83" s="20" t="str">
        <f>DATA!AO74</f>
        <v>belum ada keterangan</v>
      </c>
      <c r="AI83" s="20" t="str">
        <f>DATA!AP74</f>
        <v>belum ada proses tender/lelang</v>
      </c>
      <c r="AJ83" s="20" t="str">
        <f>DATA!AY74</f>
        <v>Konfirmasi melalui surat Sekjen nomor KU.01.12-Sj/636 tgl 23 Oktober 2015</v>
      </c>
      <c r="AK83" s="20" t="e">
        <f>DATA!#REF!</f>
        <v>#REF!</v>
      </c>
      <c r="AL83" s="20">
        <f>DATA!AZ74</f>
        <v>0</v>
      </c>
      <c r="AM83" s="37"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row>
    <row r="84" spans="1:39" ht="57.75" hidden="1" customHeight="1">
      <c r="A84" s="10">
        <f>DATA!A75</f>
        <v>57</v>
      </c>
      <c r="B84" s="10">
        <f>DATA!B75</f>
        <v>0</v>
      </c>
      <c r="C84" s="10" t="str">
        <f>DATA!D75</f>
        <v>INFRASTRUKTUR</v>
      </c>
      <c r="D84" s="10">
        <f>DATA!E75</f>
        <v>1</v>
      </c>
      <c r="E84" s="10" t="str">
        <f>DATA!F75</f>
        <v>Kementerian Pekerjaan Umum dan Perumahan Rakyat</v>
      </c>
      <c r="F84" s="10" t="str">
        <f>DATA!H75</f>
        <v xml:space="preserve">Development and Management of Irrigation Program </v>
      </c>
      <c r="G84" s="10" t="str">
        <f>DATA!I75</f>
        <v>I</v>
      </c>
      <c r="H84" s="10" t="str">
        <f>DATA!J75</f>
        <v>Program Pengembangan dan Pengelolaan Irigasi</v>
      </c>
      <c r="I84" s="10">
        <f>DATA!K75</f>
        <v>5</v>
      </c>
      <c r="J84" s="33"/>
      <c r="K84" s="34"/>
      <c r="L84" s="34"/>
      <c r="M84" s="36">
        <f>DATA!K75</f>
        <v>5</v>
      </c>
      <c r="N84" s="37" t="str">
        <f>DATA!L75</f>
        <v>Irrigation Development in North Sumatera</v>
      </c>
      <c r="O84" s="20">
        <f>DATA!Q75</f>
        <v>1</v>
      </c>
      <c r="P84" s="20">
        <f>DATA!R75</f>
        <v>1</v>
      </c>
      <c r="Q84" s="20">
        <f>DATA!S75</f>
        <v>48</v>
      </c>
      <c r="R84" s="77">
        <f>DATA!T75</f>
        <v>350000000</v>
      </c>
      <c r="S84" s="77"/>
      <c r="T84" s="77">
        <f>DATA!V75</f>
        <v>35000000</v>
      </c>
      <c r="U84" s="77">
        <f>DATA!W75</f>
        <v>0</v>
      </c>
      <c r="V84" s="77">
        <f>DATA!X75</f>
        <v>385000000</v>
      </c>
      <c r="W84" s="78" t="str">
        <f>DATA!Y75</f>
        <v>ADB</v>
      </c>
      <c r="X84" s="20" t="str">
        <f>DATA!Z75</f>
        <v>Multilateral</v>
      </c>
      <c r="Y84" s="77">
        <f>DATA!AA75</f>
        <v>350000000</v>
      </c>
      <c r="Z84" s="77">
        <f>DATA!AG75</f>
        <v>0</v>
      </c>
      <c r="AA84" s="20" t="str">
        <f>DATA!AH75</f>
        <v>Tanpa keterangan</v>
      </c>
      <c r="AB84" s="37" t="str">
        <f>DATA!AI75</f>
        <v>-</v>
      </c>
      <c r="AC84" s="37" t="str">
        <f>DATA!AJ75</f>
        <v>FS, DED, LARAP</v>
      </c>
      <c r="AD84" s="37" t="str">
        <f>DATA!AK75</f>
        <v>-</v>
      </c>
      <c r="AE84" s="37" t="str">
        <f>DATA!AL75</f>
        <v>-</v>
      </c>
      <c r="AF84" s="20" t="str">
        <f>DATA!AR75</f>
        <v>belum ada dokumen R/C</v>
      </c>
      <c r="AG84" s="20" t="str">
        <f>DATA!AN75</f>
        <v>dalam proses
(memiliki FS dan DED)</v>
      </c>
      <c r="AH84" s="20" t="str">
        <f>DATA!AO75</f>
        <v>belum ada keterangan</v>
      </c>
      <c r="AI84" s="20" t="str">
        <f>DATA!AP75</f>
        <v>belum ada proses tender/lelang</v>
      </c>
      <c r="AJ84" s="20" t="str">
        <f>DATA!AY75</f>
        <v>- dengan skema RBL
- Konfirmasi melalui surat Sekjen nomor KU.01.12-Sj/636 tgl 23 Oktober 2015</v>
      </c>
      <c r="AK84" s="20" t="e">
        <f>DATA!#REF!</f>
        <v>#REF!</v>
      </c>
      <c r="AL84" s="20" t="str">
        <f>DATA!AZ75</f>
        <v>JICA&amp;IDB diindikasikan akan mendanai kegiatan ini namun belum ada keputusan</v>
      </c>
      <c r="AM84" s="37" t="str">
        <f>DATA!BA75</f>
        <v>Pembahasan lahan dan relokasi, pengadaan, pembangunan bangunan utama, pembangunan jaringan irigasi seluas ±100.000 Ha, pencetakan lahan sawah, dan penyusunan O&amp;P</v>
      </c>
    </row>
    <row r="85" spans="1:39" ht="51" hidden="1">
      <c r="A85" s="10">
        <f>DATA!A76</f>
        <v>58</v>
      </c>
      <c r="B85" s="10">
        <f>DATA!B76</f>
        <v>0</v>
      </c>
      <c r="C85" s="10" t="str">
        <f>DATA!D76</f>
        <v>INFRASTRUKTUR</v>
      </c>
      <c r="D85" s="10">
        <f>DATA!E76</f>
        <v>1</v>
      </c>
      <c r="E85" s="10" t="str">
        <f>DATA!F76</f>
        <v>Kementerian Pekerjaan Umum dan Perumahan Rakyat</v>
      </c>
      <c r="F85" s="10" t="str">
        <f>DATA!H76</f>
        <v xml:space="preserve">Development and Management of Irrigation Program </v>
      </c>
      <c r="G85" s="10" t="str">
        <f>DATA!I76</f>
        <v>I</v>
      </c>
      <c r="H85" s="10" t="str">
        <f>DATA!J76</f>
        <v>Program Pengembangan dan Pengelolaan Irigasi</v>
      </c>
      <c r="I85" s="10">
        <f>DATA!K76</f>
        <v>6</v>
      </c>
      <c r="J85" s="33"/>
      <c r="K85" s="34"/>
      <c r="L85" s="34"/>
      <c r="M85" s="36">
        <f>DATA!K76</f>
        <v>6</v>
      </c>
      <c r="N85" s="37" t="str">
        <f>DATA!L76</f>
        <v>Integrated Participatory Development and Management of Lhok Guci and Peureulak Irrigation Project</v>
      </c>
      <c r="O85" s="20">
        <f>DATA!Q76</f>
        <v>1</v>
      </c>
      <c r="P85" s="20">
        <f>DATA!R76</f>
        <v>1</v>
      </c>
      <c r="Q85" s="20">
        <f>DATA!S76</f>
        <v>49</v>
      </c>
      <c r="R85" s="77">
        <f>DATA!T76</f>
        <v>161298000</v>
      </c>
      <c r="S85" s="77"/>
      <c r="T85" s="77">
        <f>DATA!V76</f>
        <v>24195000</v>
      </c>
      <c r="U85" s="77">
        <f>DATA!W76</f>
        <v>0</v>
      </c>
      <c r="V85" s="77">
        <f>DATA!X76</f>
        <v>185493000</v>
      </c>
      <c r="W85" s="78" t="str">
        <f>DATA!Y76</f>
        <v>ADB</v>
      </c>
      <c r="X85" s="20" t="str">
        <f>DATA!Z76</f>
        <v>Multilateral</v>
      </c>
      <c r="Y85" s="77">
        <f>DATA!AA76</f>
        <v>161298000</v>
      </c>
      <c r="Z85" s="77">
        <f>DATA!AG76</f>
        <v>0</v>
      </c>
      <c r="AA85" s="20" t="str">
        <f>DATA!AH76</f>
        <v>Tanpa keterangan</v>
      </c>
      <c r="AB85" s="37" t="str">
        <f>DATA!AI76</f>
        <v>-</v>
      </c>
      <c r="AC85" s="37" t="str">
        <f>DATA!AJ76</f>
        <v>FS, DED, LARAP</v>
      </c>
      <c r="AD85" s="37" t="str">
        <f>DATA!AK76</f>
        <v>-</v>
      </c>
      <c r="AE85" s="37" t="str">
        <f>DATA!AL76</f>
        <v>-</v>
      </c>
      <c r="AF85" s="20" t="str">
        <f>DATA!AR76</f>
        <v>belum ada dokumen R/C</v>
      </c>
      <c r="AG85" s="20" t="str">
        <f>DATA!AN76</f>
        <v>dalam proses
(memiliki FS dan DED)</v>
      </c>
      <c r="AH85" s="20" t="str">
        <f>DATA!AO76</f>
        <v>belum ada keterangan</v>
      </c>
      <c r="AI85" s="20" t="str">
        <f>DATA!AP76</f>
        <v>belum ada proses tender/lelang</v>
      </c>
      <c r="AJ85" s="20" t="str">
        <f>DATA!AY76</f>
        <v>- dengan skema RBL
- Konfirmasi melalui surat Sekjen nomor KU.01.12-Sj/636 tgl 23 Oktober 2015</v>
      </c>
      <c r="AK85" s="20" t="e">
        <f>DATA!#REF!</f>
        <v>#REF!</v>
      </c>
      <c r="AL85" s="20" t="str">
        <f>DATA!AZ76</f>
        <v>JICA&amp;IDB diindikasikan akan mendanai kegiatan ini namun belum ada keputusan</v>
      </c>
      <c r="AM85" s="37" t="str">
        <f>DATA!BA76</f>
        <v>Mendukung pengembangan terpadu fasilitas irigasi 18.542 Ha (lhok guci)  dan 5.000 Ha (peureulak) dengan SID partisipatif, konstruksi, dan operasi pemeliharaan.</v>
      </c>
    </row>
    <row r="86" spans="1:39" ht="88.5" hidden="1" customHeight="1">
      <c r="A86" s="10">
        <f>DATA!A77</f>
        <v>59</v>
      </c>
      <c r="B86" s="10">
        <f>DATA!B77</f>
        <v>0</v>
      </c>
      <c r="C86" s="10" t="str">
        <f>DATA!D77</f>
        <v>INFRASTRUKTUR</v>
      </c>
      <c r="D86" s="10">
        <f>DATA!E77</f>
        <v>1</v>
      </c>
      <c r="E86" s="10" t="str">
        <f>DATA!F77</f>
        <v>Kementerian Pekerjaan Umum dan Perumahan Rakyat</v>
      </c>
      <c r="F86" s="10" t="str">
        <f>DATA!H77</f>
        <v xml:space="preserve">Development and Management of Irrigation Program </v>
      </c>
      <c r="G86" s="10" t="str">
        <f>DATA!I77</f>
        <v>I</v>
      </c>
      <c r="H86" s="10" t="str">
        <f>DATA!J77</f>
        <v>Program Pengembangan dan Pengelolaan Irigasi</v>
      </c>
      <c r="I86" s="10">
        <f>DATA!K77</f>
        <v>7</v>
      </c>
      <c r="J86" s="33"/>
      <c r="K86" s="34"/>
      <c r="L86" s="34"/>
      <c r="M86" s="36">
        <f>DATA!K77</f>
        <v>7</v>
      </c>
      <c r="N86" s="37" t="str">
        <f>DATA!L77</f>
        <v>Modernization Strategic Irrigation Project (MSIP)</v>
      </c>
      <c r="O86" s="20">
        <f>DATA!Q77</f>
        <v>1</v>
      </c>
      <c r="P86" s="20">
        <f>DATA!R77</f>
        <v>1</v>
      </c>
      <c r="Q86" s="20">
        <f>DATA!S77</f>
        <v>50</v>
      </c>
      <c r="R86" s="77">
        <f>DATA!T77</f>
        <v>278355000</v>
      </c>
      <c r="S86" s="77"/>
      <c r="T86" s="77">
        <f>DATA!V77</f>
        <v>28000000</v>
      </c>
      <c r="U86" s="77">
        <f>DATA!W77</f>
        <v>0</v>
      </c>
      <c r="V86" s="77">
        <f>DATA!X77</f>
        <v>306355000</v>
      </c>
      <c r="W86" s="78" t="str">
        <f>DATA!Y77</f>
        <v>JICA</v>
      </c>
      <c r="X86" s="20" t="str">
        <f>DATA!Z77</f>
        <v>Bilateral</v>
      </c>
      <c r="Y86" s="77">
        <f>DATA!AA77</f>
        <v>278355000</v>
      </c>
      <c r="Z86" s="77">
        <f>DATA!AG77</f>
        <v>0</v>
      </c>
      <c r="AA86" s="20">
        <f>DATA!AH77</f>
        <v>2017</v>
      </c>
      <c r="AB86" s="37" t="str">
        <f>DATA!AI77</f>
        <v>-</v>
      </c>
      <c r="AC86" s="37" t="str">
        <f>DATA!AJ77</f>
        <v>-</v>
      </c>
      <c r="AD86" s="37" t="str">
        <f>DATA!AK77</f>
        <v>-</v>
      </c>
      <c r="AE86" s="37" t="str">
        <f>DATA!AL77</f>
        <v>-</v>
      </c>
      <c r="AF86" s="20" t="str">
        <f>DATA!AR77</f>
        <v>belum ada dokumen R/C</v>
      </c>
      <c r="AG86" s="20" t="str">
        <f>DATA!AN77</f>
        <v>belum ada keterangan</v>
      </c>
      <c r="AH86" s="20" t="str">
        <f>DATA!AO77</f>
        <v>belum ada keterangan</v>
      </c>
      <c r="AI86" s="20" t="str">
        <f>DATA!AP77</f>
        <v>belum ada proses tender/lelang</v>
      </c>
      <c r="AJ86" s="20" t="str">
        <f>DATA!AY77</f>
        <v>Konfirmasi melalui surat Sekjen nomor KU.01.12-Sj/636 tgl 23 Oktober 2015</v>
      </c>
      <c r="AK86" s="20" t="e">
        <f>DATA!#REF!</f>
        <v>#REF!</v>
      </c>
      <c r="AL86" s="20">
        <f>DATA!AZ77</f>
        <v>0</v>
      </c>
      <c r="AM86" s="37"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row>
    <row r="87" spans="1:39" ht="102" hidden="1">
      <c r="A87" s="10">
        <f>DATA!A78</f>
        <v>60</v>
      </c>
      <c r="B87" s="10">
        <f>DATA!B78</f>
        <v>0</v>
      </c>
      <c r="C87" s="10" t="str">
        <f>DATA!D78</f>
        <v>INFRASTRUKTUR</v>
      </c>
      <c r="D87" s="10">
        <f>DATA!E78</f>
        <v>1</v>
      </c>
      <c r="E87" s="10" t="str">
        <f>DATA!F78</f>
        <v>Kementerian Pekerjaan Umum dan Perumahan Rakyat</v>
      </c>
      <c r="F87" s="10" t="str">
        <f>DATA!H78</f>
        <v xml:space="preserve">Development and Management of Irrigation Program </v>
      </c>
      <c r="G87" s="10" t="str">
        <f>DATA!I78</f>
        <v>I</v>
      </c>
      <c r="H87" s="10" t="str">
        <f>DATA!J78</f>
        <v>Program Pengembangan dan Pengelolaan Irigasi</v>
      </c>
      <c r="I87" s="10">
        <f>DATA!K78</f>
        <v>8</v>
      </c>
      <c r="J87" s="33"/>
      <c r="K87" s="34"/>
      <c r="L87" s="34"/>
      <c r="M87" s="36">
        <f>DATA!K78</f>
        <v>8</v>
      </c>
      <c r="N87" s="37" t="str">
        <f>DATA!L78</f>
        <v>Urgent Rehabilitation of  Irrigation Project in Indonesia (URIP)</v>
      </c>
      <c r="O87" s="20">
        <f>DATA!Q78</f>
        <v>1</v>
      </c>
      <c r="P87" s="20">
        <f>DATA!R78</f>
        <v>1</v>
      </c>
      <c r="Q87" s="20">
        <f>DATA!S78</f>
        <v>51</v>
      </c>
      <c r="R87" s="77">
        <f>DATA!T78</f>
        <v>272100000</v>
      </c>
      <c r="S87" s="77"/>
      <c r="T87" s="77">
        <f>DATA!V78</f>
        <v>40815000</v>
      </c>
      <c r="U87" s="77">
        <f>DATA!W78</f>
        <v>0</v>
      </c>
      <c r="V87" s="77">
        <f>DATA!X78</f>
        <v>312915000</v>
      </c>
      <c r="W87" s="78" t="str">
        <f>DATA!Y78</f>
        <v>Bank Dunia</v>
      </c>
      <c r="X87" s="20" t="str">
        <f>DATA!Z78</f>
        <v>Multilateral</v>
      </c>
      <c r="Y87" s="77">
        <f>DATA!AA78</f>
        <v>272100000</v>
      </c>
      <c r="Z87" s="77">
        <f>DATA!AG78</f>
        <v>0</v>
      </c>
      <c r="AA87" s="20" t="str">
        <f>DATA!AH78</f>
        <v>Tanpa keterangan</v>
      </c>
      <c r="AB87" s="37" t="str">
        <f>DATA!AI78</f>
        <v>-</v>
      </c>
      <c r="AC87" s="37" t="str">
        <f>DATA!AJ78</f>
        <v>-</v>
      </c>
      <c r="AD87" s="37" t="str">
        <f>DATA!AK78</f>
        <v>-</v>
      </c>
      <c r="AE87" s="37" t="str">
        <f>DATA!AL78</f>
        <v>-</v>
      </c>
      <c r="AF87" s="20" t="str">
        <f>DATA!AR78</f>
        <v>belum ada dokumen R/C</v>
      </c>
      <c r="AG87" s="20" t="str">
        <f>DATA!AN78</f>
        <v>belum ada keterangan</v>
      </c>
      <c r="AH87" s="20" t="str">
        <f>DATA!AO78</f>
        <v>belum ada keterangan</v>
      </c>
      <c r="AI87" s="20" t="str">
        <f>DATA!AP78</f>
        <v>belum ada proses tender/lelang</v>
      </c>
      <c r="AJ87" s="20" t="str">
        <f>DATA!AY78</f>
        <v>Konfirmasi melalui surat Sekjen nomor KU.01.12-Sj/636 tgl 23 Oktober 2015</v>
      </c>
      <c r="AK87" s="20" t="e">
        <f>DATA!#REF!</f>
        <v>#REF!</v>
      </c>
      <c r="AL87" s="20" t="str">
        <f>DATA!AZ78</f>
        <v xml:space="preserve">Belum ada pembicaraan dgn Bank Dunia </v>
      </c>
      <c r="AM87" s="37"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row>
    <row r="88" spans="1:39" ht="69" hidden="1" customHeight="1">
      <c r="A88" s="10">
        <f>DATA!A79</f>
        <v>61</v>
      </c>
      <c r="B88" s="10">
        <f>DATA!B79</f>
        <v>0</v>
      </c>
      <c r="C88" s="10" t="str">
        <f>DATA!D79</f>
        <v>INFRASTRUKTUR</v>
      </c>
      <c r="D88" s="10">
        <f>DATA!E79</f>
        <v>1</v>
      </c>
      <c r="E88" s="10" t="str">
        <f>DATA!F79</f>
        <v>Kementerian Pekerjaan Umum dan Perumahan Rakyat</v>
      </c>
      <c r="F88" s="10" t="str">
        <f>DATA!H79</f>
        <v xml:space="preserve">Development and Management of Irrigation Program </v>
      </c>
      <c r="G88" s="10" t="str">
        <f>DATA!I79</f>
        <v>I</v>
      </c>
      <c r="H88" s="10" t="str">
        <f>DATA!J79</f>
        <v>Program Pengembangan dan Pengelolaan Irigasi</v>
      </c>
      <c r="I88" s="10">
        <f>DATA!K79</f>
        <v>9</v>
      </c>
      <c r="J88" s="33"/>
      <c r="K88" s="34"/>
      <c r="L88" s="34"/>
      <c r="M88" s="36">
        <f>DATA!K79</f>
        <v>9</v>
      </c>
      <c r="N88" s="37" t="str">
        <f>DATA!L79</f>
        <v>Revitalization Groundwater Irrigation in Indonesia</v>
      </c>
      <c r="O88" s="20">
        <f>DATA!Q79</f>
        <v>1</v>
      </c>
      <c r="P88" s="20">
        <f>DATA!R79</f>
        <v>1</v>
      </c>
      <c r="Q88" s="20">
        <f>DATA!S79</f>
        <v>52</v>
      </c>
      <c r="R88" s="77">
        <f>DATA!T79</f>
        <v>100000000</v>
      </c>
      <c r="S88" s="77"/>
      <c r="T88" s="77">
        <f>DATA!V79</f>
        <v>10000000</v>
      </c>
      <c r="U88" s="77">
        <f>DATA!W79</f>
        <v>0</v>
      </c>
      <c r="V88" s="77">
        <f>DATA!X79</f>
        <v>110000000</v>
      </c>
      <c r="W88" s="78" t="str">
        <f>DATA!Y79</f>
        <v>JICA</v>
      </c>
      <c r="X88" s="20" t="str">
        <f>DATA!Z79</f>
        <v>Bilateral</v>
      </c>
      <c r="Y88" s="77">
        <f>DATA!AA79</f>
        <v>100000000</v>
      </c>
      <c r="Z88" s="77">
        <f>DATA!AG79</f>
        <v>0</v>
      </c>
      <c r="AA88" s="20">
        <f>DATA!AH79</f>
        <v>2017</v>
      </c>
      <c r="AB88" s="37" t="str">
        <f>DATA!AI79</f>
        <v>-</v>
      </c>
      <c r="AC88" s="37" t="str">
        <f>DATA!AJ79</f>
        <v>-</v>
      </c>
      <c r="AD88" s="37" t="str">
        <f>DATA!AK79</f>
        <v>-</v>
      </c>
      <c r="AE88" s="37" t="str">
        <f>DATA!AL79</f>
        <v>-</v>
      </c>
      <c r="AF88" s="20" t="str">
        <f>DATA!AR79</f>
        <v>belum ada dokumen R/C</v>
      </c>
      <c r="AG88" s="20" t="str">
        <f>DATA!AN79</f>
        <v>belum ada keterangan</v>
      </c>
      <c r="AH88" s="20" t="str">
        <f>DATA!AO79</f>
        <v>belum ada keterangan</v>
      </c>
      <c r="AI88" s="20" t="str">
        <f>DATA!AP79</f>
        <v>belum ada proses tender/lelang</v>
      </c>
      <c r="AJ88" s="20" t="str">
        <f>DATA!AY79</f>
        <v>Konfirmasi melalui surat Sekjen nomor KU.01.12-Sj/636 tgl 23 Oktober 2015</v>
      </c>
      <c r="AK88" s="20" t="e">
        <f>DATA!#REF!</f>
        <v>#REF!</v>
      </c>
      <c r="AL88" s="20">
        <f>DATA!AZ79</f>
        <v>0</v>
      </c>
      <c r="AM88" s="37" t="str">
        <f>DATA!BA79</f>
        <v>Kegiatan review desain dan kegiatan konstruksi  meliputi: rehabilitasi 772 sumur, perbaikan pipa distribusi air tanah 1.618 km, perbaikan bangunan rumah pompa, penggantian mesin pompa dan atau penggerak</v>
      </c>
    </row>
    <row r="89" spans="1:39" s="8" customFormat="1" ht="96" customHeight="1">
      <c r="A89" s="10">
        <f>DATA!A80</f>
        <v>62</v>
      </c>
      <c r="B89" s="10">
        <f>DATA!B80</f>
        <v>0</v>
      </c>
      <c r="C89" s="10" t="str">
        <f>DATA!D80</f>
        <v>INFRASTRUKTUR</v>
      </c>
      <c r="D89" s="10">
        <f>DATA!E80</f>
        <v>1</v>
      </c>
      <c r="E89" s="10" t="str">
        <f>DATA!F80</f>
        <v>Kementerian Pekerjaan Umum dan Perumahan Rakyat</v>
      </c>
      <c r="F89" s="10" t="str">
        <f>DATA!H80</f>
        <v xml:space="preserve">Development and Management of Irrigation Program </v>
      </c>
      <c r="G89" s="10" t="str">
        <f>DATA!I80</f>
        <v>I</v>
      </c>
      <c r="H89" s="10" t="str">
        <f>DATA!J80</f>
        <v>Program Pengembangan dan Pengelolaan Irigasi</v>
      </c>
      <c r="I89" s="10">
        <f>DATA!K80</f>
        <v>10</v>
      </c>
      <c r="J89" s="57"/>
      <c r="K89" s="58"/>
      <c r="L89" s="111"/>
      <c r="M89" s="60">
        <f>DATA!K80</f>
        <v>10</v>
      </c>
      <c r="N89" s="61" t="str">
        <f>DATA!L80</f>
        <v>Engineering Service for Irrigation and Low Land Development Project</v>
      </c>
      <c r="O89" s="20">
        <f>DATA!Q80</f>
        <v>1</v>
      </c>
      <c r="P89" s="20">
        <f>DATA!R80</f>
        <v>1</v>
      </c>
      <c r="Q89" s="20">
        <f>DATA!S80</f>
        <v>53</v>
      </c>
      <c r="R89" s="89">
        <f>DATA!T80</f>
        <v>100000000</v>
      </c>
      <c r="S89" s="89"/>
      <c r="T89" s="89">
        <f>DATA!V80</f>
        <v>0</v>
      </c>
      <c r="U89" s="77">
        <f>DATA!W80</f>
        <v>0</v>
      </c>
      <c r="V89" s="89">
        <f>DATA!X80</f>
        <v>100000000</v>
      </c>
      <c r="W89" s="90" t="str">
        <f>DATA!Y80</f>
        <v>ADB</v>
      </c>
      <c r="X89" s="20" t="str">
        <f>DATA!Z80</f>
        <v>Multilateral</v>
      </c>
      <c r="Y89" s="89">
        <f>DATA!AA80</f>
        <v>100000000</v>
      </c>
      <c r="Z89" s="89">
        <f>DATA!AG80</f>
        <v>0</v>
      </c>
      <c r="AA89" s="103">
        <f>DATA!AH80</f>
        <v>2016</v>
      </c>
      <c r="AB89" s="61" t="str">
        <f>DATA!AI80</f>
        <v>- Sudah ada RC- Green Book 2015</v>
      </c>
      <c r="AC89" s="61" t="str">
        <f>DATA!AJ80</f>
        <v>FS, DED</v>
      </c>
      <c r="AD89" s="61" t="str">
        <f>DATA!AK80</f>
        <v>Tidak membutuhkan lahan</v>
      </c>
      <c r="AE89" s="61" t="str">
        <f>DATA!AL80</f>
        <v>Belum ada tender/lelang</v>
      </c>
      <c r="AF89" s="20" t="str">
        <f>DATA!AR80</f>
        <v>- sudah GB 2016  
- Nilai pinjaman di GB 38.100 ribu</v>
      </c>
      <c r="AG89" s="20" t="str">
        <f>DATA!AN80</f>
        <v>siap</v>
      </c>
      <c r="AH89" s="20" t="str">
        <f>DATA!AO80</f>
        <v>tidak butuh lahan</v>
      </c>
      <c r="AI89" s="20" t="str">
        <f>DATA!AP80</f>
        <v>belum ada proses tender/lelang</v>
      </c>
      <c r="AJ89"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K89" s="20" t="e">
        <f>DATA!#REF!</f>
        <v>#REF!</v>
      </c>
      <c r="AL89" s="20">
        <f>DATA!AZ80</f>
        <v>0</v>
      </c>
      <c r="AM89" s="37"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row>
    <row r="90" spans="1:39" s="5" customFormat="1" ht="33.75" hidden="1" customHeight="1">
      <c r="J90" s="28"/>
      <c r="K90" s="50"/>
      <c r="L90" s="30" t="str">
        <f>DATA!I81</f>
        <v>J</v>
      </c>
      <c r="M90" s="31" t="str">
        <f>DATA!J81</f>
        <v xml:space="preserve">Program Penyediaan dan Pengelolaan Air Baku </v>
      </c>
      <c r="N90" s="51"/>
      <c r="O90" s="31"/>
      <c r="P90" s="31"/>
      <c r="Q90" s="31"/>
      <c r="R90" s="81">
        <f>SUM(R91:R93)</f>
        <v>623862000</v>
      </c>
      <c r="S90" s="81"/>
      <c r="T90" s="81">
        <f t="shared" ref="T90:Z90" si="4">SUM(T91:T93)</f>
        <v>201074000</v>
      </c>
      <c r="U90" s="81">
        <f t="shared" si="4"/>
        <v>0</v>
      </c>
      <c r="V90" s="81">
        <f t="shared" si="4"/>
        <v>824936000</v>
      </c>
      <c r="W90" s="81"/>
      <c r="X90" s="81">
        <f t="shared" si="4"/>
        <v>0</v>
      </c>
      <c r="Y90" s="81">
        <f t="shared" si="4"/>
        <v>623862000</v>
      </c>
      <c r="Z90" s="81">
        <f t="shared" si="4"/>
        <v>0</v>
      </c>
      <c r="AA90" s="31"/>
      <c r="AB90" s="32"/>
      <c r="AC90" s="32"/>
      <c r="AD90" s="32"/>
      <c r="AE90" s="32"/>
      <c r="AF90" s="31"/>
      <c r="AG90" s="31"/>
      <c r="AH90" s="31"/>
      <c r="AI90" s="31"/>
      <c r="AJ90" s="31"/>
      <c r="AK90" s="31"/>
      <c r="AL90" s="31"/>
      <c r="AM90" s="32"/>
    </row>
    <row r="91" spans="1:39" ht="58.5" hidden="1" customHeight="1">
      <c r="A91" s="10">
        <f>DATA!A81</f>
        <v>63</v>
      </c>
      <c r="B91" s="10">
        <f>DATA!B81</f>
        <v>0</v>
      </c>
      <c r="C91" s="10" t="str">
        <f>DATA!D81</f>
        <v>INFRASTRUKTUR</v>
      </c>
      <c r="D91" s="10">
        <f>DATA!E81</f>
        <v>1</v>
      </c>
      <c r="E91" s="10" t="str">
        <f>DATA!F81</f>
        <v>Kementerian Pekerjaan Umum dan Perumahan Rakyat</v>
      </c>
      <c r="F91" s="10" t="str">
        <f>DATA!H81</f>
        <v>Provision and Management of Bulk Water Supply Program</v>
      </c>
      <c r="G91" s="10" t="str">
        <f>DATA!I81</f>
        <v>J</v>
      </c>
      <c r="H91" s="10" t="str">
        <f>DATA!J81</f>
        <v xml:space="preserve">Program Penyediaan dan Pengelolaan Air Baku </v>
      </c>
      <c r="I91" s="10">
        <f>DATA!K81</f>
        <v>1</v>
      </c>
      <c r="J91" s="33"/>
      <c r="K91" s="34"/>
      <c r="L91" s="35"/>
      <c r="M91" s="36">
        <f>DATA!K81</f>
        <v>1</v>
      </c>
      <c r="N91" s="37" t="str">
        <f>DATA!L81</f>
        <v>Integrated Citarum Water Resources Management Investment Program II</v>
      </c>
      <c r="O91" s="20">
        <f>DATA!Q81</f>
        <v>1</v>
      </c>
      <c r="P91" s="20">
        <f>DATA!R81</f>
        <v>1</v>
      </c>
      <c r="Q91" s="20">
        <f>DATA!S81</f>
        <v>54</v>
      </c>
      <c r="R91" s="77">
        <f>DATA!T81</f>
        <v>200000000</v>
      </c>
      <c r="S91" s="77"/>
      <c r="T91" s="77">
        <f>DATA!V81</f>
        <v>20000000</v>
      </c>
      <c r="U91" s="77">
        <f>DATA!W81</f>
        <v>0</v>
      </c>
      <c r="V91" s="77">
        <f>DATA!X81</f>
        <v>220000000</v>
      </c>
      <c r="W91" s="78" t="str">
        <f>DATA!Y81</f>
        <v>ADB</v>
      </c>
      <c r="X91" s="20" t="str">
        <f>DATA!Z81</f>
        <v>Multilateral</v>
      </c>
      <c r="Y91" s="77">
        <f>DATA!AA81</f>
        <v>200000000</v>
      </c>
      <c r="Z91" s="77">
        <f>DATA!AG81</f>
        <v>0</v>
      </c>
      <c r="AA91" s="20" t="str">
        <f>DATA!AH81</f>
        <v>Tanpa keterangan</v>
      </c>
      <c r="AB91" s="37" t="str">
        <f>DATA!AI81</f>
        <v>-</v>
      </c>
      <c r="AC91" s="37" t="str">
        <f>DATA!AJ81</f>
        <v>FS, DED</v>
      </c>
      <c r="AD91" s="37" t="str">
        <f>DATA!AK81</f>
        <v>Penyusunan dokumen LARAP</v>
      </c>
      <c r="AE91" s="37" t="str">
        <f>DATA!AL81</f>
        <v>-</v>
      </c>
      <c r="AF91" s="20" t="str">
        <f>DATA!AR81</f>
        <v>belum ada dokumen R/C</v>
      </c>
      <c r="AG91" s="20" t="str">
        <f>DATA!AN81</f>
        <v>dalam proses
(memiliki FS dan DED)</v>
      </c>
      <c r="AH91" s="20" t="str">
        <f>DATA!AO81</f>
        <v>dalam proses
(perencanaan)</v>
      </c>
      <c r="AI91" s="20" t="str">
        <f>DATA!AP81</f>
        <v>belum ada proses tender/lelang</v>
      </c>
      <c r="AJ91" s="20" t="str">
        <f>DATA!AY81</f>
        <v>Konfirmasi melalui surat Sekjen nomor KU.01.12-Sj/636 tgl 23 Oktober 2015</v>
      </c>
      <c r="AK91" s="20" t="e">
        <f>DATA!#REF!</f>
        <v>#REF!</v>
      </c>
      <c r="AL91" s="20" t="str">
        <f>DATA!AZ81</f>
        <v>ada penolakan dari ADB untuk membiayai kegiatan ini (info P'Dewo)</v>
      </c>
      <c r="AM91" s="37" t="str">
        <f>DATA!BA81</f>
        <v>Pengembangan air baku di sungai citarum dan sekeliling bandung untuk memenuhi kebutuhan air baku lebih kurang 1,5 m3/det di Bandung serta menghindari erosi sungai Citarum</v>
      </c>
    </row>
    <row r="92" spans="1:39" ht="46.5" hidden="1" customHeight="1">
      <c r="A92" s="10">
        <f>DATA!A82</f>
        <v>64</v>
      </c>
      <c r="B92" s="10">
        <f>DATA!B82</f>
        <v>0</v>
      </c>
      <c r="C92" s="10" t="str">
        <f>DATA!D82</f>
        <v>INFRASTRUKTUR</v>
      </c>
      <c r="D92" s="10">
        <f>DATA!E82</f>
        <v>1</v>
      </c>
      <c r="E92" s="10" t="str">
        <f>DATA!F82</f>
        <v>Kementerian Pekerjaan Umum dan Perumahan Rakyat</v>
      </c>
      <c r="F92" s="10" t="str">
        <f>DATA!H82</f>
        <v>Provision and Management of Bulk Water Supply Program</v>
      </c>
      <c r="G92" s="10" t="str">
        <f>DATA!I82</f>
        <v>I</v>
      </c>
      <c r="H92" s="10" t="str">
        <f>DATA!J82</f>
        <v xml:space="preserve">Program Penyediaan dan Pengelolaan Air Baku </v>
      </c>
      <c r="I92" s="10">
        <f>DATA!K82</f>
        <v>2</v>
      </c>
      <c r="J92" s="33"/>
      <c r="K92" s="34"/>
      <c r="L92" s="34"/>
      <c r="M92" s="36">
        <f>DATA!K82</f>
        <v>2</v>
      </c>
      <c r="N92" s="37" t="str">
        <f>DATA!L82</f>
        <v>Karian Dam-Serpong Water Conveyance and Supply System Project</v>
      </c>
      <c r="O92" s="20">
        <f>DATA!Q82</f>
        <v>1</v>
      </c>
      <c r="P92" s="20">
        <f>DATA!R82</f>
        <v>1</v>
      </c>
      <c r="Q92" s="20">
        <f>DATA!S82</f>
        <v>55</v>
      </c>
      <c r="R92" s="77">
        <f>DATA!T82</f>
        <v>373862000</v>
      </c>
      <c r="S92" s="77"/>
      <c r="T92" s="77">
        <f>DATA!V82</f>
        <v>181074000</v>
      </c>
      <c r="U92" s="77">
        <f>DATA!W82</f>
        <v>0</v>
      </c>
      <c r="V92" s="77">
        <f>DATA!X82</f>
        <v>554936000</v>
      </c>
      <c r="W92" s="78" t="str">
        <f>DATA!Y82</f>
        <v>Korea</v>
      </c>
      <c r="X92" s="20" t="str">
        <f>DATA!Z82</f>
        <v>Bilateral</v>
      </c>
      <c r="Y92" s="77">
        <f>DATA!AA82</f>
        <v>373862000</v>
      </c>
      <c r="Z92" s="77">
        <f>DATA!AG82</f>
        <v>0</v>
      </c>
      <c r="AA92" s="20" t="str">
        <f>DATA!AH82</f>
        <v>Tanpa keterangan</v>
      </c>
      <c r="AB92" s="37" t="str">
        <f>DATA!AI82</f>
        <v>-</v>
      </c>
      <c r="AC92" s="37" t="str">
        <f>DATA!AJ82</f>
        <v>FS</v>
      </c>
      <c r="AD92" s="37" t="str">
        <f>DATA!AK82</f>
        <v>Persiapan penyusunan dokumen LARAP</v>
      </c>
      <c r="AE92" s="37" t="str">
        <f>DATA!AL82</f>
        <v>-</v>
      </c>
      <c r="AF92" s="20" t="str">
        <f>DATA!AR82</f>
        <v>belum ada dokumen R/C</v>
      </c>
      <c r="AG92" s="20" t="str">
        <f>DATA!AN82</f>
        <v>dalam proses
(memiliki FS)</v>
      </c>
      <c r="AH92" s="20" t="str">
        <f>DATA!AO82</f>
        <v>dalam proses
(perencanaan)</v>
      </c>
      <c r="AI92" s="20" t="str">
        <f>DATA!AP82</f>
        <v>belum ada proses tender/lelang</v>
      </c>
      <c r="AJ92" s="20" t="str">
        <f>DATA!AY82</f>
        <v>Konfirmasi melalui surat Sekjen nomor KU.01.12-Sj/636 tgl 23 Oktober 2015</v>
      </c>
      <c r="AK92" s="20" t="e">
        <f>DATA!#REF!</f>
        <v>#REF!</v>
      </c>
      <c r="AL92" s="20">
        <f>DATA!AZ82</f>
        <v>0</v>
      </c>
      <c r="AM92" s="37" t="str">
        <f>DATA!BA82</f>
        <v>Pembangunan sistem air baku sepanjang 47,9 km dari Bendungan Karian ke Serpong untuk meningkatkan pasokan air di Banten dan Jakarta</v>
      </c>
    </row>
    <row r="93" spans="1:39" s="8" customFormat="1" ht="57.75" customHeight="1">
      <c r="A93" s="10">
        <f>DATA!A83</f>
        <v>65</v>
      </c>
      <c r="B93" s="10">
        <f>DATA!B83</f>
        <v>0</v>
      </c>
      <c r="C93" s="10" t="str">
        <f>DATA!D83</f>
        <v>INFRASTRUKTUR</v>
      </c>
      <c r="D93" s="10">
        <f>DATA!E83</f>
        <v>1</v>
      </c>
      <c r="E93" s="10" t="str">
        <f>DATA!F83</f>
        <v>Kementerian Pekerjaan Umum dan Perumahan Rakyat</v>
      </c>
      <c r="F93" s="10" t="str">
        <f>DATA!H83</f>
        <v>Provision and Management of Bulk Water Supply Program</v>
      </c>
      <c r="G93" s="10" t="str">
        <f>DATA!I83</f>
        <v>I</v>
      </c>
      <c r="H93" s="10" t="str">
        <f>DATA!J83</f>
        <v xml:space="preserve">Program Penyediaan dan Pengelolaan Air Baku </v>
      </c>
      <c r="I93" s="10">
        <f>DATA!K83</f>
        <v>3</v>
      </c>
      <c r="J93" s="57"/>
      <c r="K93" s="58"/>
      <c r="L93" s="111"/>
      <c r="M93" s="60">
        <f>DATA!K83</f>
        <v>3</v>
      </c>
      <c r="N93" s="61" t="str">
        <f>DATA!L83</f>
        <v>Engineering Service for Bulk Water and Water Supply Development Project</v>
      </c>
      <c r="O93" s="20">
        <f>DATA!Q83</f>
        <v>1</v>
      </c>
      <c r="P93" s="20">
        <f>DATA!R83</f>
        <v>1</v>
      </c>
      <c r="Q93" s="20">
        <f>DATA!S83</f>
        <v>56</v>
      </c>
      <c r="R93" s="89">
        <f>DATA!T83</f>
        <v>50000000</v>
      </c>
      <c r="S93" s="89"/>
      <c r="T93" s="89">
        <f>DATA!V83</f>
        <v>0</v>
      </c>
      <c r="U93" s="77">
        <f>DATA!W83</f>
        <v>0</v>
      </c>
      <c r="V93" s="89">
        <f>DATA!X83</f>
        <v>50000000</v>
      </c>
      <c r="W93" s="90" t="str">
        <f>DATA!Y83</f>
        <v>ADB</v>
      </c>
      <c r="X93" s="20" t="str">
        <f>DATA!Z83</f>
        <v>Multilateral</v>
      </c>
      <c r="Y93" s="89">
        <f>DATA!AA83</f>
        <v>50000000</v>
      </c>
      <c r="Z93" s="89">
        <f>DATA!AG83</f>
        <v>0</v>
      </c>
      <c r="AA93" s="103">
        <f>DATA!AH83</f>
        <v>2016</v>
      </c>
      <c r="AB93" s="61" t="str">
        <f>DATA!AI83</f>
        <v>- Sudah ada RC
- Green Book 2015</v>
      </c>
      <c r="AC93" s="61" t="str">
        <f>DATA!AJ83</f>
        <v>FS, DED</v>
      </c>
      <c r="AD93" s="61" t="str">
        <f>DATA!AK83</f>
        <v>Tidak membutuhkan lahan</v>
      </c>
      <c r="AE93" s="61" t="str">
        <f>DATA!AL83</f>
        <v>Belum ada tender/lelang</v>
      </c>
      <c r="AF93" s="20" t="str">
        <f>DATA!AR83</f>
        <v>- sudah GB 2016  
- Nilai pinjaman di GB USD 2.000 ribu</v>
      </c>
      <c r="AG93" s="20" t="str">
        <f>DATA!AN83</f>
        <v>siap</v>
      </c>
      <c r="AH93" s="20" t="str">
        <f>DATA!AO83</f>
        <v>tidak butuh lahan</v>
      </c>
      <c r="AI93" s="20" t="str">
        <f>DATA!AP83</f>
        <v>belum ada proses tender/lelang</v>
      </c>
      <c r="AJ93"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K93" s="20" t="e">
        <f>DATA!#REF!</f>
        <v>#REF!</v>
      </c>
      <c r="AL93" s="20">
        <f>DATA!AZ83</f>
        <v>0</v>
      </c>
      <c r="AM93" s="37" t="str">
        <f>DATA!BA83</f>
        <v>Membuat perencanaan dan analisis untuk mendukung pembangunan sistem air baku dan menyediakan fasilitas pendukung pengembangan air baku masyarakat</v>
      </c>
    </row>
    <row r="94" spans="1:39" s="5" customFormat="1" ht="33.75" hidden="1" customHeight="1">
      <c r="J94" s="28"/>
      <c r="K94" s="50"/>
      <c r="L94" s="30" t="str">
        <f>DATA!I84</f>
        <v>J</v>
      </c>
      <c r="M94" s="31" t="str">
        <f>DATA!J84</f>
        <v xml:space="preserve">Program Pembangunan Waduk </v>
      </c>
      <c r="N94" s="51"/>
      <c r="O94" s="31"/>
      <c r="P94" s="31"/>
      <c r="Q94" s="31"/>
      <c r="R94" s="81">
        <f>SUM(R95:R108)</f>
        <v>2133750000</v>
      </c>
      <c r="S94" s="81"/>
      <c r="T94" s="81">
        <f t="shared" ref="T94:Y94" si="5">SUM(T95:T108)</f>
        <v>963200000</v>
      </c>
      <c r="U94" s="81">
        <f t="shared" si="5"/>
        <v>0</v>
      </c>
      <c r="V94" s="81">
        <f t="shared" si="5"/>
        <v>3096950000</v>
      </c>
      <c r="W94" s="81"/>
      <c r="X94" s="81">
        <f t="shared" si="5"/>
        <v>0</v>
      </c>
      <c r="Y94" s="81">
        <f t="shared" si="5"/>
        <v>2233750000</v>
      </c>
      <c r="Z94" s="81">
        <f>SUM(Z95:Z104)</f>
        <v>-76391404</v>
      </c>
      <c r="AA94" s="31"/>
      <c r="AB94" s="32"/>
      <c r="AC94" s="32"/>
      <c r="AD94" s="32"/>
      <c r="AE94" s="32"/>
      <c r="AF94" s="31"/>
      <c r="AG94" s="31"/>
      <c r="AH94" s="31"/>
      <c r="AI94" s="31"/>
      <c r="AJ94" s="31"/>
      <c r="AK94" s="31"/>
      <c r="AL94" s="31"/>
      <c r="AM94" s="32"/>
    </row>
    <row r="95" spans="1:39" ht="76.5" hidden="1">
      <c r="A95" s="10">
        <f>DATA!A84</f>
        <v>66</v>
      </c>
      <c r="B95" s="10">
        <f>DATA!B84</f>
        <v>0</v>
      </c>
      <c r="C95" s="10" t="str">
        <f>DATA!D84</f>
        <v>INFRASTRUKTUR</v>
      </c>
      <c r="D95" s="10">
        <f>DATA!E84</f>
        <v>1</v>
      </c>
      <c r="E95" s="10" t="str">
        <f>DATA!F84</f>
        <v>Kementerian Pekerjaan Umum dan Perumahan Rakyat</v>
      </c>
      <c r="F95" s="10" t="str">
        <f>DATA!H84</f>
        <v>Dam Development Program</v>
      </c>
      <c r="G95" s="10" t="str">
        <f>DATA!I84</f>
        <v>J</v>
      </c>
      <c r="H95" s="10" t="str">
        <f>DATA!J84</f>
        <v xml:space="preserve">Program Pembangunan Waduk </v>
      </c>
      <c r="I95" s="10">
        <f>DATA!K84</f>
        <v>1</v>
      </c>
      <c r="J95" s="33"/>
      <c r="K95" s="34"/>
      <c r="L95" s="35"/>
      <c r="M95" s="36">
        <f>DATA!K84</f>
        <v>1</v>
      </c>
      <c r="N95" s="37" t="str">
        <f>DATA!L84</f>
        <v>Jambo Aye Multipurpose Dam Project</v>
      </c>
      <c r="O95" s="20">
        <f>DATA!Q84</f>
        <v>1</v>
      </c>
      <c r="P95" s="20">
        <f>DATA!R84</f>
        <v>1</v>
      </c>
      <c r="Q95" s="20">
        <f>DATA!S84</f>
        <v>57</v>
      </c>
      <c r="R95" s="77">
        <f>DATA!T84</f>
        <v>662200000</v>
      </c>
      <c r="S95" s="77"/>
      <c r="T95" s="77">
        <f>DATA!V84</f>
        <v>460700000</v>
      </c>
      <c r="U95" s="77">
        <f>DATA!W84</f>
        <v>0</v>
      </c>
      <c r="V95" s="77">
        <f>DATA!X84</f>
        <v>1122900000</v>
      </c>
      <c r="W95" s="78" t="str">
        <f>DATA!Y84</f>
        <v>Rupiah Murni</v>
      </c>
      <c r="X95" s="20" t="str">
        <f>DATA!Z84</f>
        <v>Pendanaan Dengan Rupiah Murni</v>
      </c>
      <c r="Y95" s="77">
        <f>DATA!AA84</f>
        <v>662200000</v>
      </c>
      <c r="Z95" s="77">
        <f>DATA!AG84</f>
        <v>0</v>
      </c>
      <c r="AA95" s="20">
        <f>DATA!AH84</f>
        <v>2018</v>
      </c>
      <c r="AB95" s="37" t="str">
        <f>DATA!AI84</f>
        <v>-</v>
      </c>
      <c r="AC95" s="37" t="str">
        <f>DATA!AJ84</f>
        <v xml:space="preserve">AMDAL siap dan penyiapan Review DED </v>
      </c>
      <c r="AD95" s="37" t="str">
        <f>DATA!AK84</f>
        <v>LARAP</v>
      </c>
      <c r="AE95" s="37" t="str">
        <f>DATA!AL84</f>
        <v>-</v>
      </c>
      <c r="AF95" s="20" t="str">
        <f>DATA!AR84</f>
        <v>belum ada dokumen R/C</v>
      </c>
      <c r="AG95" s="20" t="str">
        <f>DATA!AN84</f>
        <v>belum ada keterangan</v>
      </c>
      <c r="AH95" s="20" t="str">
        <f>DATA!AO84</f>
        <v>dalam proses
(perencanaan)</v>
      </c>
      <c r="AI95" s="20" t="str">
        <f>DATA!AP84</f>
        <v>belum ada proses tender/lelang</v>
      </c>
      <c r="AJ95" s="20" t="str">
        <f>DATA!AY84</f>
        <v>- Konfirmasi melalui surat Sekjen nomor KU.01.12-Sj/636 tgl 23 Oktober 2015
- Kegiatan akan dilaksanakan oleh pendanaan rupiah murni APBN</v>
      </c>
      <c r="AK95" s="20" t="e">
        <f>DATA!#REF!</f>
        <v>#REF!</v>
      </c>
      <c r="AL95" s="20">
        <f>DATA!AZ84</f>
        <v>0</v>
      </c>
      <c r="AM95" s="37" t="str">
        <f>DATA!BA84</f>
        <v>Meningkatkan luas areal irigasi sebesar ± 10.000 Ha dengan perbaikan akses jalan, relokasi penduduk, pembebasan lahan, pekerajaan pengelakan sungai jambo aye dan reubek, pembangunan bendungan dan pendukung lainnya, pembangunan fasilitas PLTA 106 MW</v>
      </c>
    </row>
    <row r="96" spans="1:39" ht="84" hidden="1" customHeight="1">
      <c r="A96" s="10">
        <f>DATA!A85</f>
        <v>67</v>
      </c>
      <c r="B96" s="10">
        <f>DATA!B85</f>
        <v>0</v>
      </c>
      <c r="C96" s="10" t="str">
        <f>DATA!D85</f>
        <v>INFRASTRUKTUR</v>
      </c>
      <c r="D96" s="10">
        <f>DATA!E85</f>
        <v>1</v>
      </c>
      <c r="E96" s="10" t="str">
        <f>DATA!F85</f>
        <v>Kementerian Pekerjaan Umum dan Perumahan Rakyat</v>
      </c>
      <c r="F96" s="10" t="str">
        <f>DATA!H85</f>
        <v>Dam Development Program</v>
      </c>
      <c r="G96" s="10" t="str">
        <f>DATA!I85</f>
        <v>J</v>
      </c>
      <c r="H96" s="10" t="str">
        <f>DATA!J85</f>
        <v xml:space="preserve">Program Pembangunan Waduk </v>
      </c>
      <c r="I96" s="10">
        <f>DATA!K85</f>
        <v>2</v>
      </c>
      <c r="J96" s="33"/>
      <c r="K96" s="34"/>
      <c r="L96" s="34"/>
      <c r="M96" s="36">
        <f>DATA!K85</f>
        <v>2</v>
      </c>
      <c r="N96" s="37" t="str">
        <f>DATA!L85</f>
        <v>Komering Multipurpose Dam Project - Phase II</v>
      </c>
      <c r="O96" s="20">
        <f>DATA!Q85</f>
        <v>1</v>
      </c>
      <c r="P96" s="20">
        <f>DATA!R85</f>
        <v>1</v>
      </c>
      <c r="Q96" s="20">
        <f>DATA!S85</f>
        <v>58</v>
      </c>
      <c r="R96" s="77">
        <f>DATA!T85</f>
        <v>200000000</v>
      </c>
      <c r="S96" s="77"/>
      <c r="T96" s="77">
        <f>DATA!V85</f>
        <v>20000000</v>
      </c>
      <c r="U96" s="77">
        <f>DATA!W85</f>
        <v>0</v>
      </c>
      <c r="V96" s="77">
        <f>DATA!X85</f>
        <v>220000000</v>
      </c>
      <c r="W96" s="78" t="str">
        <f>DATA!Y85</f>
        <v>Rupiah Murni</v>
      </c>
      <c r="X96" s="20" t="str">
        <f>DATA!Z85</f>
        <v>Pendanaan Dengan Rupiah Murni</v>
      </c>
      <c r="Y96" s="77">
        <f>DATA!AA85</f>
        <v>200000000</v>
      </c>
      <c r="Z96" s="77">
        <f>DATA!AG85</f>
        <v>0</v>
      </c>
      <c r="AA96" s="20">
        <f>DATA!AH85</f>
        <v>2016</v>
      </c>
      <c r="AB96" s="37" t="str">
        <f>DATA!AI85</f>
        <v>-</v>
      </c>
      <c r="AC96" s="37" t="str">
        <f>DATA!AJ85</f>
        <v>FS, DED, AMDAL</v>
      </c>
      <c r="AD96" s="37" t="str">
        <f>DATA!AK85</f>
        <v>Revisi RTRW Kabupaten, LARAP</v>
      </c>
      <c r="AE96" s="37" t="str">
        <f>DATA!AL85</f>
        <v>-</v>
      </c>
      <c r="AF96" s="20" t="str">
        <f>DATA!AR85</f>
        <v>belum ada dokumen R/C</v>
      </c>
      <c r="AG96" s="20" t="str">
        <f>DATA!AN85</f>
        <v>dalam proses
(penyusunan FS)</v>
      </c>
      <c r="AH96" s="20" t="str">
        <f>DATA!AO85</f>
        <v>dalam proses
(perencanaan)</v>
      </c>
      <c r="AI96" s="20" t="str">
        <f>DATA!AP85</f>
        <v>belum ada proses tender/lelang</v>
      </c>
      <c r="AJ96" s="20" t="str">
        <f>DATA!AY85</f>
        <v>- Konfirmasi melalui surat Sekjen nomor KU.01.12-Sj/636 tgl 23 Oktober 2015
- Kegiatan akan dilaksanakan oleh pendanaan rupiah murni APBN</v>
      </c>
      <c r="AK96" s="20" t="e">
        <f>DATA!#REF!</f>
        <v>#REF!</v>
      </c>
      <c r="AL96" s="20">
        <f>DATA!AZ85</f>
        <v>0</v>
      </c>
      <c r="AM96" s="37" t="str">
        <f>DATA!BA85</f>
        <v>Pembangunan bendungan komering 110 juta cm3, pembangunan fasilitas tenaga hidrolik, komponen lunak untuk memperkuat O&amp;P, Hydropower 20,80 MW, pembangunan sistem irigasi utama dan tersier skema Lempuing untuk 8.500 Ha, dan perbaikan fasilitas irigasi yang ada</v>
      </c>
    </row>
    <row r="97" spans="1:39" ht="102" hidden="1">
      <c r="A97" s="10">
        <f>DATA!A86</f>
        <v>68</v>
      </c>
      <c r="B97" s="10">
        <f>DATA!B86</f>
        <v>0</v>
      </c>
      <c r="C97" s="10" t="str">
        <f>DATA!D86</f>
        <v>INFRASTRUKTUR</v>
      </c>
      <c r="D97" s="10">
        <f>DATA!E86</f>
        <v>1</v>
      </c>
      <c r="E97" s="10" t="str">
        <f>DATA!F86</f>
        <v>Kementerian Pekerjaan Umum dan Perumahan Rakyat</v>
      </c>
      <c r="F97" s="10" t="str">
        <f>DATA!H86</f>
        <v>Dam Development Program</v>
      </c>
      <c r="G97" s="10" t="str">
        <f>DATA!I86</f>
        <v>J</v>
      </c>
      <c r="H97" s="10" t="str">
        <f>DATA!J86</f>
        <v xml:space="preserve">Program Pembangunan Waduk </v>
      </c>
      <c r="I97" s="10">
        <f>DATA!K86</f>
        <v>3</v>
      </c>
      <c r="J97" s="33"/>
      <c r="K97" s="34"/>
      <c r="L97" s="34"/>
      <c r="M97" s="36">
        <f>DATA!K86</f>
        <v>3</v>
      </c>
      <c r="N97" s="37" t="str">
        <f>DATA!L86</f>
        <v>Pelosika Multipurpose Dam Construction Project</v>
      </c>
      <c r="O97" s="20">
        <f>DATA!Q86</f>
        <v>1</v>
      </c>
      <c r="P97" s="20">
        <f>DATA!R86</f>
        <v>1</v>
      </c>
      <c r="Q97" s="20">
        <f>DATA!S86</f>
        <v>59</v>
      </c>
      <c r="R97" s="77">
        <f>DATA!T86</f>
        <v>200000000</v>
      </c>
      <c r="S97" s="77"/>
      <c r="T97" s="77">
        <f>DATA!V86</f>
        <v>170000000</v>
      </c>
      <c r="U97" s="77">
        <f>DATA!W86</f>
        <v>0</v>
      </c>
      <c r="V97" s="77">
        <f>DATA!X86</f>
        <v>370000000</v>
      </c>
      <c r="W97" s="78" t="str">
        <f>DATA!Y86</f>
        <v>Rupiah Murni</v>
      </c>
      <c r="X97" s="20" t="str">
        <f>DATA!Z86</f>
        <v>Pendanaan Dengan Rupiah Murni</v>
      </c>
      <c r="Y97" s="77">
        <f>DATA!AA86</f>
        <v>200000000</v>
      </c>
      <c r="Z97" s="77">
        <f>DATA!AG86</f>
        <v>0</v>
      </c>
      <c r="AA97" s="20">
        <f>DATA!AH86</f>
        <v>2017</v>
      </c>
      <c r="AB97" s="37" t="str">
        <f>DATA!AI86</f>
        <v>-</v>
      </c>
      <c r="AC97" s="37" t="str">
        <f>DATA!AJ86</f>
        <v>AMDAL, geologi detail 2015 dan Penyiapan Review DED</v>
      </c>
      <c r="AD97" s="37" t="str">
        <f>DATA!AK86</f>
        <v>LARAP</v>
      </c>
      <c r="AE97" s="37" t="str">
        <f>DATA!AL86</f>
        <v>-</v>
      </c>
      <c r="AF97" s="20" t="str">
        <f>DATA!AR86</f>
        <v>belum ada dokumen R/C</v>
      </c>
      <c r="AG97" s="20" t="str">
        <f>DATA!AN86</f>
        <v>dalam proses
(penyusunan FS)</v>
      </c>
      <c r="AH97" s="20" t="str">
        <f>DATA!AO86</f>
        <v>dalam proses
(perencanaan)</v>
      </c>
      <c r="AI97" s="20" t="str">
        <f>DATA!AP86</f>
        <v>belum ada proses tender/lelang</v>
      </c>
      <c r="AJ97" s="20" t="str">
        <f>DATA!AY86</f>
        <v>- Konfirmasi melalui surat Sekjen nomor KU.01.12-Sj/636 tgl 23 Oktober 2015
- Kegiatan akan dilaksanakan oleh pendanaan rupiah murni APBN</v>
      </c>
      <c r="AK97" s="20" t="e">
        <f>DATA!#REF!</f>
        <v>#REF!</v>
      </c>
      <c r="AL97" s="20">
        <f>DATA!AZ86</f>
        <v>0</v>
      </c>
      <c r="AM97" s="37"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row>
    <row r="98" spans="1:39" ht="90.75" hidden="1" customHeight="1">
      <c r="A98" s="10">
        <f>DATA!A87</f>
        <v>69</v>
      </c>
      <c r="B98" s="10">
        <f>DATA!B87</f>
        <v>0</v>
      </c>
      <c r="C98" s="10" t="str">
        <f>DATA!D87</f>
        <v>INFRASTRUKTUR</v>
      </c>
      <c r="D98" s="10">
        <f>DATA!E87</f>
        <v>1</v>
      </c>
      <c r="E98" s="10" t="str">
        <f>DATA!F87</f>
        <v>Kementerian Pekerjaan Umum dan Perumahan Rakyat</v>
      </c>
      <c r="F98" s="10" t="str">
        <f>DATA!H87</f>
        <v>Dam Development Program</v>
      </c>
      <c r="G98" s="10" t="str">
        <f>DATA!I87</f>
        <v>J</v>
      </c>
      <c r="H98" s="10" t="str">
        <f>DATA!J87</f>
        <v xml:space="preserve">Program Pembangunan Waduk </v>
      </c>
      <c r="I98" s="10">
        <f>DATA!K87</f>
        <v>4</v>
      </c>
      <c r="J98" s="33"/>
      <c r="K98" s="34"/>
      <c r="L98" s="34"/>
      <c r="M98" s="36">
        <f>DATA!K87</f>
        <v>4</v>
      </c>
      <c r="N98" s="37" t="str">
        <f>DATA!L87</f>
        <v>Lambakan  Dam Project</v>
      </c>
      <c r="O98" s="20">
        <f>DATA!Q87</f>
        <v>1</v>
      </c>
      <c r="P98" s="20">
        <f>DATA!R87</f>
        <v>1</v>
      </c>
      <c r="Q98" s="20">
        <f>DATA!S87</f>
        <v>60</v>
      </c>
      <c r="R98" s="77">
        <f>DATA!T87</f>
        <v>258000000</v>
      </c>
      <c r="S98" s="77"/>
      <c r="T98" s="77">
        <f>DATA!V87</f>
        <v>227000000</v>
      </c>
      <c r="U98" s="77">
        <f>DATA!W87</f>
        <v>0</v>
      </c>
      <c r="V98" s="77">
        <f>DATA!X87</f>
        <v>485000000</v>
      </c>
      <c r="W98" s="78" t="str">
        <f>DATA!Y87</f>
        <v>IDB</v>
      </c>
      <c r="X98" s="20" t="str">
        <f>DATA!Z87</f>
        <v>Multilateral</v>
      </c>
      <c r="Y98" s="77">
        <f>DATA!AA87</f>
        <v>258000000</v>
      </c>
      <c r="Z98" s="77">
        <f>DATA!AG87</f>
        <v>0</v>
      </c>
      <c r="AA98" s="20" t="str">
        <f>DATA!AH87</f>
        <v>Tanpa keterangan</v>
      </c>
      <c r="AB98" s="37" t="str">
        <f>DATA!AI87</f>
        <v>-</v>
      </c>
      <c r="AC98" s="37" t="str">
        <f>DATA!AJ87</f>
        <v>AMDAL (2017), geologi detail 2015 dan Penyiapan Review DED</v>
      </c>
      <c r="AD98" s="37" t="str">
        <f>DATA!AK87</f>
        <v>LARAP (2016)</v>
      </c>
      <c r="AE98" s="37" t="str">
        <f>DATA!AL87</f>
        <v>-</v>
      </c>
      <c r="AF98" s="20" t="str">
        <f>DATA!AR87</f>
        <v>belum ada dokumen R/C</v>
      </c>
      <c r="AG98" s="20" t="str">
        <f>DATA!AN87</f>
        <v>dalam proses
(penyusunan FS)</v>
      </c>
      <c r="AH98" s="20" t="str">
        <f>DATA!AO87</f>
        <v>dalam proses
(perencanaan)</v>
      </c>
      <c r="AI98" s="20" t="str">
        <f>DATA!AP87</f>
        <v>belum ada proses tender/lelang</v>
      </c>
      <c r="AJ98" s="20" t="str">
        <f>DATA!AY87</f>
        <v>Konfirmasi melalui surat Sekjen nomor KU.01.12-Sj/636 tgl 23 Oktober 2015</v>
      </c>
      <c r="AK98" s="20" t="e">
        <f>DATA!#REF!</f>
        <v>#REF!</v>
      </c>
      <c r="AL98" s="20">
        <f>DATA!AZ87</f>
        <v>0</v>
      </c>
      <c r="AM98" s="37" t="str">
        <f>DATA!BA87</f>
        <v>Pembangunan PLTA sebesar 15 MW, pembangunan sistem irigasi untuk mengairi 18.000 Ha, menyediakan air baku 12 m3/det untuk Kabupaten pasir, Kabupaten  Penajam Pasir Utara dan Kota Balikpapan, 4. Pembangunan tanggul penahan banjir di DAS Telake sampai 30%</v>
      </c>
    </row>
    <row r="99" spans="1:39" ht="60.75" hidden="1" customHeight="1">
      <c r="A99" s="10">
        <f>DATA!A88</f>
        <v>70</v>
      </c>
      <c r="B99" s="10">
        <f>DATA!B88</f>
        <v>0</v>
      </c>
      <c r="C99" s="10" t="str">
        <f>DATA!D88</f>
        <v>INFRASTRUKTUR</v>
      </c>
      <c r="D99" s="10">
        <f>DATA!E88</f>
        <v>1</v>
      </c>
      <c r="E99" s="10" t="str">
        <f>DATA!F88</f>
        <v>Kementerian Pekerjaan Umum dan Perumahan Rakyat</v>
      </c>
      <c r="F99" s="10" t="str">
        <f>DATA!H88</f>
        <v>Dam Development Program</v>
      </c>
      <c r="G99" s="10" t="str">
        <f>DATA!I88</f>
        <v>J</v>
      </c>
      <c r="H99" s="10" t="str">
        <f>DATA!J88</f>
        <v xml:space="preserve">Program Pembangunan Waduk </v>
      </c>
      <c r="I99" s="10">
        <f>DATA!K88</f>
        <v>5</v>
      </c>
      <c r="J99" s="33"/>
      <c r="K99" s="34"/>
      <c r="L99" s="34"/>
      <c r="M99" s="36">
        <f>DATA!K88</f>
        <v>5</v>
      </c>
      <c r="N99" s="37" t="str">
        <f>DATA!L88</f>
        <v>Jenelata Dam Construction Project</v>
      </c>
      <c r="O99" s="20">
        <f>DATA!Q88</f>
        <v>1</v>
      </c>
      <c r="P99" s="20">
        <f>DATA!R88</f>
        <v>1</v>
      </c>
      <c r="Q99" s="20">
        <f>DATA!S88</f>
        <v>61</v>
      </c>
      <c r="R99" s="77">
        <f>DATA!T88</f>
        <v>200000000</v>
      </c>
      <c r="S99" s="77"/>
      <c r="T99" s="77">
        <f>DATA!V88</f>
        <v>20000000</v>
      </c>
      <c r="U99" s="77">
        <f>DATA!W88</f>
        <v>0</v>
      </c>
      <c r="V99" s="77">
        <f>DATA!X88</f>
        <v>220000000</v>
      </c>
      <c r="W99" s="78" t="str">
        <f>DATA!Y88</f>
        <v>RRT</v>
      </c>
      <c r="X99" s="20" t="str">
        <f>DATA!Z88</f>
        <v>Bilateral</v>
      </c>
      <c r="Y99" s="77">
        <f>DATA!AA88</f>
        <v>200000000</v>
      </c>
      <c r="Z99" s="77">
        <f>DATA!AG88</f>
        <v>0</v>
      </c>
      <c r="AA99" s="20">
        <f>DATA!AH88</f>
        <v>2018</v>
      </c>
      <c r="AB99" s="37" t="str">
        <f>DATA!AI88</f>
        <v>-</v>
      </c>
      <c r="AC99" s="37" t="str">
        <f>DATA!AJ88</f>
        <v>model test, penyelidikan geologi 2015, AMDAL (2015)</v>
      </c>
      <c r="AD99" s="37" t="str">
        <f>DATA!AK88</f>
        <v>LARAP (2016)</v>
      </c>
      <c r="AE99" s="37" t="str">
        <f>DATA!AL88</f>
        <v>-</v>
      </c>
      <c r="AF99" s="20" t="str">
        <f>DATA!AR88</f>
        <v>belum ada dokumen R/C</v>
      </c>
      <c r="AG99" s="20" t="str">
        <f>DATA!AN88</f>
        <v>siap</v>
      </c>
      <c r="AH99" s="20" t="str">
        <f>DATA!AO88</f>
        <v>dalam proses
(perencanaan)</v>
      </c>
      <c r="AI99" s="20" t="str">
        <f>DATA!AP88</f>
        <v>belum ada proses tender/lelang</v>
      </c>
      <c r="AJ99" s="20" t="str">
        <f>DATA!AY88</f>
        <v>Konfirmasi melalui surat Sekjen nomor KU.01.12-Sj/636 tgl 23 Oktober 2015</v>
      </c>
      <c r="AK99" s="20" t="e">
        <f>DATA!#REF!</f>
        <v>#REF!</v>
      </c>
      <c r="AL99" s="20">
        <f>DATA!AZ88</f>
        <v>0</v>
      </c>
      <c r="AM99" s="37" t="str">
        <f>DATA!BA88</f>
        <v>Membangun bendungan 223 juta m3, melakukan rehabilitasi jalan, membangun fasilitas PLTA ± 10,9 MW untuk kebutuhan energi listrik Kab.Gowa, perbaikan dan peningkatan jaringan irigasi 24.400 ha</v>
      </c>
    </row>
    <row r="100" spans="1:39" ht="48" hidden="1" customHeight="1">
      <c r="A100" s="10">
        <f>DATA!A89</f>
        <v>71</v>
      </c>
      <c r="B100" s="10">
        <f>DATA!B89</f>
        <v>0</v>
      </c>
      <c r="C100" s="10" t="str">
        <f>DATA!D89</f>
        <v>INFRASTRUKTUR</v>
      </c>
      <c r="D100" s="10">
        <f>DATA!E89</f>
        <v>1</v>
      </c>
      <c r="E100" s="10" t="str">
        <f>DATA!F89</f>
        <v>Kementerian Pekerjaan Umum dan Perumahan Rakyat</v>
      </c>
      <c r="F100" s="10" t="str">
        <f>DATA!H89</f>
        <v>Dam Development Program</v>
      </c>
      <c r="G100" s="10" t="str">
        <f>DATA!I89</f>
        <v>J</v>
      </c>
      <c r="H100" s="10" t="str">
        <f>DATA!J89</f>
        <v xml:space="preserve">Program Pembangunan Waduk </v>
      </c>
      <c r="I100" s="10">
        <f>DATA!K89</f>
        <v>6</v>
      </c>
      <c r="J100" s="33"/>
      <c r="K100" s="34"/>
      <c r="L100" s="34"/>
      <c r="M100" s="36">
        <f>DATA!K89</f>
        <v>6</v>
      </c>
      <c r="N100" s="37" t="str">
        <f>DATA!L89</f>
        <v>Bonehulu Dam Construction Project</v>
      </c>
      <c r="O100" s="20">
        <f>DATA!Q89</f>
        <v>1</v>
      </c>
      <c r="P100" s="20">
        <f>DATA!R89</f>
        <v>1</v>
      </c>
      <c r="Q100" s="20">
        <f>DATA!S89</f>
        <v>62</v>
      </c>
      <c r="R100" s="77">
        <f>DATA!T89</f>
        <v>128250000</v>
      </c>
      <c r="S100" s="77"/>
      <c r="T100" s="77">
        <f>DATA!V89</f>
        <v>21000000</v>
      </c>
      <c r="U100" s="77">
        <f>DATA!W89</f>
        <v>0</v>
      </c>
      <c r="V100" s="77">
        <f>DATA!X89</f>
        <v>149250000</v>
      </c>
      <c r="W100" s="78" t="str">
        <f>DATA!Y89</f>
        <v>RRT</v>
      </c>
      <c r="X100" s="20" t="str">
        <f>DATA!Z89</f>
        <v>Bilateral</v>
      </c>
      <c r="Y100" s="77">
        <f>DATA!AA89</f>
        <v>128250000</v>
      </c>
      <c r="Z100" s="77">
        <f>DATA!AG89</f>
        <v>0</v>
      </c>
      <c r="AA100" s="20">
        <f>DATA!AH89</f>
        <v>2019</v>
      </c>
      <c r="AB100" s="37" t="str">
        <f>DATA!AI89</f>
        <v>-</v>
      </c>
      <c r="AC100" s="37" t="str">
        <f>DATA!AJ89</f>
        <v>DD, model test, penyelidikan geologi 2015, AMDAL (2017)</v>
      </c>
      <c r="AD100" s="37" t="str">
        <f>DATA!AK89</f>
        <v>LARAP (2015)</v>
      </c>
      <c r="AE100" s="37" t="str">
        <f>DATA!AL89</f>
        <v>-</v>
      </c>
      <c r="AF100" s="20" t="str">
        <f>DATA!AR89</f>
        <v>belum ada dokumen R/C</v>
      </c>
      <c r="AG100" s="20" t="str">
        <f>DATA!AN89</f>
        <v>dalam proses
(penyusunan FS)</v>
      </c>
      <c r="AH100" s="20" t="str">
        <f>DATA!AO89</f>
        <v>dalam proses
(perencanaan)</v>
      </c>
      <c r="AI100" s="20" t="str">
        <f>DATA!AP89</f>
        <v>belum ada proses tender/lelang</v>
      </c>
      <c r="AJ100" s="20" t="str">
        <f>DATA!AY89</f>
        <v>Konfirmasi melalui surat Sekjen nomor KU.01.12-Sj/636 tgl 23 Oktober 2015</v>
      </c>
      <c r="AK100" s="20" t="e">
        <f>DATA!#REF!</f>
        <v>#REF!</v>
      </c>
      <c r="AL100" s="20">
        <f>DATA!AZ89</f>
        <v>0</v>
      </c>
      <c r="AM100" s="37" t="str">
        <f>DATA!BA89</f>
        <v>Pembangunan PLTA sebesar 9,99 MW, Pembangunan sistem irigasi mengairi 6.800 Ha</v>
      </c>
    </row>
    <row r="101" spans="1:39" ht="59.25" hidden="1" customHeight="1">
      <c r="A101" s="10">
        <f>DATA!A90</f>
        <v>72</v>
      </c>
      <c r="B101" s="10">
        <f>DATA!B90</f>
        <v>0</v>
      </c>
      <c r="C101" s="10" t="str">
        <f>DATA!D90</f>
        <v>INFRASTRUKTUR</v>
      </c>
      <c r="D101" s="10">
        <f>DATA!E90</f>
        <v>1</v>
      </c>
      <c r="E101" s="10" t="str">
        <f>DATA!F90</f>
        <v>Kementerian Pekerjaan Umum dan Perumahan Rakyat</v>
      </c>
      <c r="F101" s="10" t="str">
        <f>DATA!H90</f>
        <v>Dam Development Program</v>
      </c>
      <c r="G101" s="10" t="str">
        <f>DATA!I90</f>
        <v>J</v>
      </c>
      <c r="H101" s="10" t="str">
        <f>DATA!J90</f>
        <v xml:space="preserve">Program Pembangunan Waduk </v>
      </c>
      <c r="I101" s="10">
        <f>DATA!K90</f>
        <v>7</v>
      </c>
      <c r="J101" s="33"/>
      <c r="K101" s="34"/>
      <c r="L101" s="34"/>
      <c r="M101" s="36">
        <f>DATA!K90</f>
        <v>7</v>
      </c>
      <c r="N101" s="37" t="str">
        <f>DATA!L90</f>
        <v>Ladongi Dam Construction Project</v>
      </c>
      <c r="O101" s="20">
        <f>DATA!Q90</f>
        <v>1</v>
      </c>
      <c r="P101" s="20">
        <f>DATA!R90</f>
        <v>1</v>
      </c>
      <c r="Q101" s="20">
        <f>DATA!S90</f>
        <v>63</v>
      </c>
      <c r="R101" s="77">
        <f>DATA!T90</f>
        <v>70000000</v>
      </c>
      <c r="S101" s="77"/>
      <c r="T101" s="77">
        <f>DATA!V90</f>
        <v>7000000</v>
      </c>
      <c r="U101" s="77">
        <f>DATA!W90</f>
        <v>0</v>
      </c>
      <c r="V101" s="77">
        <f>DATA!X90</f>
        <v>77000000</v>
      </c>
      <c r="W101" s="78" t="str">
        <f>DATA!Y90</f>
        <v>RRT</v>
      </c>
      <c r="X101" s="20" t="str">
        <f>DATA!Z90</f>
        <v>Bilateral</v>
      </c>
      <c r="Y101" s="77">
        <f>DATA!AA90</f>
        <v>70000000</v>
      </c>
      <c r="Z101" s="77">
        <f>DATA!AG90</f>
        <v>0</v>
      </c>
      <c r="AA101" s="20">
        <f>DATA!AH90</f>
        <v>2017</v>
      </c>
      <c r="AB101" s="37" t="str">
        <f>DATA!AI90</f>
        <v>-</v>
      </c>
      <c r="AC101" s="37" t="str">
        <f>DATA!AJ90</f>
        <v>SID, AMDAL (2015), penyelidikan geologi, DD, model test 2015</v>
      </c>
      <c r="AD101" s="37" t="str">
        <f>DATA!AK90</f>
        <v>LARAP (2015)</v>
      </c>
      <c r="AE101" s="37" t="str">
        <f>DATA!AL90</f>
        <v>-</v>
      </c>
      <c r="AF101" s="20" t="str">
        <f>DATA!AR90</f>
        <v>belum ada dokumen R/C</v>
      </c>
      <c r="AG101" s="20" t="str">
        <f>DATA!AN90</f>
        <v>siap</v>
      </c>
      <c r="AH101" s="20" t="str">
        <f>DATA!AO90</f>
        <v>dalam proses
(perencanaan)</v>
      </c>
      <c r="AI101" s="20" t="str">
        <f>DATA!AP90</f>
        <v>belum ada proses tender/lelang</v>
      </c>
      <c r="AJ101" s="20" t="str">
        <f>DATA!AY90</f>
        <v>Konfirmasi melalui surat Sekjen nomor KU.01.12-Sj/636 tgl 23 Oktober 2015</v>
      </c>
      <c r="AK101" s="20" t="e">
        <f>DATA!#REF!</f>
        <v>#REF!</v>
      </c>
      <c r="AL101" s="20">
        <f>DATA!AZ90</f>
        <v>0</v>
      </c>
      <c r="AM101" s="37" t="str">
        <f>DATA!BA90</f>
        <v>Membangun bendungan 25,57 juta m3  dan fasilitas pendukungnya, Melakukan rehabilitasi jalan akses, Membangun PLTA 1,15 MW untuk  Kab.Kolaka Timur dan Perbaikan jaringan irigasi</v>
      </c>
    </row>
    <row r="102" spans="1:39" ht="80.25" hidden="1" customHeight="1">
      <c r="A102" s="10">
        <f>DATA!A91</f>
        <v>73</v>
      </c>
      <c r="B102" s="10">
        <f>DATA!B91</f>
        <v>0</v>
      </c>
      <c r="C102" s="10" t="str">
        <f>DATA!D91</f>
        <v>INFRASTRUKTUR</v>
      </c>
      <c r="D102" s="10">
        <f>DATA!E91</f>
        <v>1</v>
      </c>
      <c r="E102" s="10" t="str">
        <f>DATA!F91</f>
        <v>Kementerian Pekerjaan Umum dan Perumahan Rakyat</v>
      </c>
      <c r="F102" s="10" t="str">
        <f>DATA!H91</f>
        <v>Dam Development Program</v>
      </c>
      <c r="G102" s="10" t="str">
        <f>DATA!I91</f>
        <v>J</v>
      </c>
      <c r="H102" s="10" t="str">
        <f>DATA!J91</f>
        <v xml:space="preserve">Program Pembangunan Waduk </v>
      </c>
      <c r="I102" s="10">
        <f>DATA!K91</f>
        <v>8</v>
      </c>
      <c r="J102" s="33"/>
      <c r="K102" s="34"/>
      <c r="L102" s="34"/>
      <c r="M102" s="36">
        <f>DATA!K91</f>
        <v>8</v>
      </c>
      <c r="N102" s="37" t="str">
        <f>DATA!L91</f>
        <v>Kuwil Kawangkoan Dam Construction Project</v>
      </c>
      <c r="O102" s="20">
        <f>DATA!Q91</f>
        <v>1</v>
      </c>
      <c r="P102" s="20">
        <f>DATA!R91</f>
        <v>1</v>
      </c>
      <c r="Q102" s="20">
        <f>DATA!S91</f>
        <v>64</v>
      </c>
      <c r="R102" s="77">
        <f>DATA!T91</f>
        <v>110000000</v>
      </c>
      <c r="S102" s="77"/>
      <c r="T102" s="77">
        <f>DATA!V91</f>
        <v>11000000</v>
      </c>
      <c r="U102" s="77">
        <f>DATA!W91</f>
        <v>0</v>
      </c>
      <c r="V102" s="77">
        <f>DATA!X91</f>
        <v>121000000</v>
      </c>
      <c r="W102" s="78" t="str">
        <f>DATA!Y91</f>
        <v>Rupiah Murni</v>
      </c>
      <c r="X102" s="20" t="str">
        <f>DATA!Z91</f>
        <v>Pendanaan Dengan Rupiah Murni</v>
      </c>
      <c r="Y102" s="77">
        <f>DATA!AA91</f>
        <v>110000000</v>
      </c>
      <c r="Z102" s="77">
        <f>DATA!AG91</f>
        <v>0</v>
      </c>
      <c r="AA102" s="20">
        <f>DATA!AH91</f>
        <v>2016</v>
      </c>
      <c r="AB102" s="37" t="str">
        <f>DATA!AI91</f>
        <v>-</v>
      </c>
      <c r="AC102" s="37" t="str">
        <f>DATA!AJ91</f>
        <v>Sertifikasi desain, penyelidikan geologi, AMDAL</v>
      </c>
      <c r="AD102" s="37" t="str">
        <f>DATA!AK91</f>
        <v>LARAP</v>
      </c>
      <c r="AE102" s="37" t="str">
        <f>DATA!AL91</f>
        <v>Dalam proses tender</v>
      </c>
      <c r="AF102" s="20" t="str">
        <f>DATA!AR91</f>
        <v>belum ada dokumen R/C</v>
      </c>
      <c r="AG102" s="20" t="str">
        <f>DATA!AN91</f>
        <v>dalam proses
(penyusunan FS)</v>
      </c>
      <c r="AH102" s="20" t="str">
        <f>DATA!AO91</f>
        <v>dalam proses
(perencanaan)</v>
      </c>
      <c r="AI102" s="20" t="str">
        <f>DATA!AP91</f>
        <v>belum ada proses tender/lelang</v>
      </c>
      <c r="AJ102" s="20" t="str">
        <f>DATA!AY91</f>
        <v>- Konfirmasi melalui surat Sekjen nomor KU.01.12-Sj/636 tgl 23 Oktober 2015
- Kegiatan akan dilaksanakan oleh pendanaan rupiah murni APBN</v>
      </c>
      <c r="AK102" s="20" t="e">
        <f>DATA!#REF!</f>
        <v>#REF!</v>
      </c>
      <c r="AL102" s="20">
        <f>DATA!AZ91</f>
        <v>0</v>
      </c>
      <c r="AM102" s="37" t="str">
        <f>DATA!BA91</f>
        <v>Melakukan konservasi sumber daya air, pelestarian lingkungan, dan pengendalian banjir, Membangun bendungan dan fasilitas pendukungnya, Melakukan rehabilitasi jalan akses , Membangun fasilitas PLTA ± 1.3 MW untuk provinsi Sulawesi Utara</v>
      </c>
    </row>
    <row r="103" spans="1:39" ht="74.25" hidden="1" customHeight="1">
      <c r="A103" s="10">
        <f>DATA!A92</f>
        <v>74</v>
      </c>
      <c r="B103" s="10">
        <f>DATA!B92</f>
        <v>0</v>
      </c>
      <c r="C103" s="10" t="str">
        <f>DATA!D92</f>
        <v>INFRASTRUKTUR</v>
      </c>
      <c r="D103" s="10">
        <f>DATA!E92</f>
        <v>1</v>
      </c>
      <c r="E103" s="10" t="str">
        <f>DATA!F92</f>
        <v>Kementerian Pekerjaan Umum dan Perumahan Rakyat</v>
      </c>
      <c r="F103" s="10" t="str">
        <f>DATA!H92</f>
        <v>Dam Development Program</v>
      </c>
      <c r="G103" s="10" t="str">
        <f>DATA!I92</f>
        <v>J</v>
      </c>
      <c r="H103" s="10" t="str">
        <f>DATA!J92</f>
        <v xml:space="preserve">Program Pembangunan Waduk </v>
      </c>
      <c r="I103" s="10">
        <f>DATA!K92</f>
        <v>9</v>
      </c>
      <c r="J103" s="33"/>
      <c r="K103" s="34"/>
      <c r="L103" s="34"/>
      <c r="M103" s="36">
        <f>DATA!K92</f>
        <v>9</v>
      </c>
      <c r="N103" s="37" t="str">
        <f>DATA!L92</f>
        <v>Lompatan Harimau Dam Construction Project (Rokan Kiri Dam Construction Project)</v>
      </c>
      <c r="O103" s="20">
        <f>DATA!Q92</f>
        <v>1</v>
      </c>
      <c r="P103" s="20">
        <f>DATA!R92</f>
        <v>1</v>
      </c>
      <c r="Q103" s="20">
        <f>DATA!S92</f>
        <v>65</v>
      </c>
      <c r="R103" s="77">
        <f>DATA!T92</f>
        <v>152100000</v>
      </c>
      <c r="S103" s="77"/>
      <c r="T103" s="77">
        <f>DATA!V92</f>
        <v>26500000</v>
      </c>
      <c r="U103" s="77">
        <f>DATA!W92</f>
        <v>0</v>
      </c>
      <c r="V103" s="77">
        <f>DATA!X92</f>
        <v>178600000</v>
      </c>
      <c r="W103" s="78" t="str">
        <f>DATA!Y92</f>
        <v>RRT</v>
      </c>
      <c r="X103" s="20" t="str">
        <f>DATA!Z92</f>
        <v>Bilateral</v>
      </c>
      <c r="Y103" s="77">
        <f>DATA!AA92</f>
        <v>152100000</v>
      </c>
      <c r="Z103" s="77">
        <f>DATA!AG92</f>
        <v>0</v>
      </c>
      <c r="AA103" s="20">
        <f>DATA!AH92</f>
        <v>2018</v>
      </c>
      <c r="AB103" s="37" t="str">
        <f>DATA!AI92</f>
        <v>-</v>
      </c>
      <c r="AC103" s="37" t="str">
        <f>DATA!AJ92</f>
        <v>FS (2015), DED (2016), AMDAL (2016)</v>
      </c>
      <c r="AD103" s="37" t="str">
        <f>DATA!AK92</f>
        <v>LARAP (2015)</v>
      </c>
      <c r="AE103" s="37" t="str">
        <f>DATA!AL92</f>
        <v>-</v>
      </c>
      <c r="AF103" s="20" t="str">
        <f>DATA!AR92</f>
        <v>belum ada dokumen R/C</v>
      </c>
      <c r="AG103" s="20" t="str">
        <f>DATA!AN92</f>
        <v>dalam proses
(memiliki FS)</v>
      </c>
      <c r="AH103" s="20" t="str">
        <f>DATA!AO92</f>
        <v>dalam proses
(perencanaan)</v>
      </c>
      <c r="AI103" s="20" t="str">
        <f>DATA!AP92</f>
        <v>belum ada proses tender/lelang</v>
      </c>
      <c r="AJ103" s="20" t="str">
        <f>DATA!AY92</f>
        <v>- Konfirmasi melalui surat Sekjen nomor KU.01.12-Sj/636 tgl 23 Oktober 2015
- Nama kegiatan diusulkan untuk diubah menjadi Rokan Kiri Dam Construction Project</v>
      </c>
      <c r="AK103" s="20" t="e">
        <f>DATA!#REF!</f>
        <v>#REF!</v>
      </c>
      <c r="AL103" s="20">
        <f>DATA!AZ92</f>
        <v>0</v>
      </c>
      <c r="AM103" s="37" t="str">
        <f>DATA!BA92</f>
        <v>Membangun bendungan dan fasilitas pendukungnya untuk kebutuhan irigasi seluas 4000 Ha, Melakukan konservasi SDA, pelestarian lingkungan, dan pengendalian banjir dan Membangun fasilitas PLTA ± 74,40 MW untuk Kab.Rokan</v>
      </c>
    </row>
    <row r="104" spans="1:39" ht="106.5" hidden="1" customHeight="1">
      <c r="A104" s="10">
        <f>DATA!A93</f>
        <v>75</v>
      </c>
      <c r="B104" s="10">
        <f>DATA!B93</f>
        <v>0</v>
      </c>
      <c r="C104" s="10" t="str">
        <f>DATA!D93</f>
        <v>INFRASTRUKTUR</v>
      </c>
      <c r="D104" s="10">
        <f>DATA!E93</f>
        <v>1</v>
      </c>
      <c r="E104" s="10" t="str">
        <f>DATA!F93</f>
        <v>Kementerian Pekerjaan Umum dan Perumahan Rakyat</v>
      </c>
      <c r="F104" s="10" t="str">
        <f>DATA!H93</f>
        <v>Dam Development Program</v>
      </c>
      <c r="G104" s="10" t="str">
        <f>DATA!I93</f>
        <v>J</v>
      </c>
      <c r="H104" s="10" t="str">
        <f>DATA!J93</f>
        <v xml:space="preserve">Program Pembangunan Waduk </v>
      </c>
      <c r="I104" s="10">
        <f>DATA!K93</f>
        <v>10</v>
      </c>
      <c r="J104" s="33"/>
      <c r="K104" s="34"/>
      <c r="L104" s="34"/>
      <c r="M104" s="36">
        <f>DATA!K93</f>
        <v>10</v>
      </c>
      <c r="N104" s="37" t="str">
        <f>DATA!L93</f>
        <v>Engineering Service for Dam Multipurpose Development Project</v>
      </c>
      <c r="O104" s="20">
        <f>DATA!Q93</f>
        <v>0</v>
      </c>
      <c r="P104" s="20">
        <f>DATA!R93</f>
        <v>1</v>
      </c>
      <c r="Q104" s="20">
        <f>DATA!S93</f>
        <v>66</v>
      </c>
      <c r="R104" s="77">
        <f>DATA!T93</f>
        <v>100000000</v>
      </c>
      <c r="S104" s="77"/>
      <c r="T104" s="77">
        <f>DATA!V93</f>
        <v>0</v>
      </c>
      <c r="U104" s="77">
        <f>DATA!W93</f>
        <v>0</v>
      </c>
      <c r="V104" s="77">
        <f>DATA!X93</f>
        <v>100000000</v>
      </c>
      <c r="W104" s="77">
        <f>DATA!Y93</f>
        <v>0</v>
      </c>
      <c r="X104" s="77">
        <f>DATA!Z93</f>
        <v>0</v>
      </c>
      <c r="Y104" s="77">
        <f>DATA!AA93</f>
        <v>100000000</v>
      </c>
      <c r="Z104" s="77">
        <f>DATA!AG93</f>
        <v>-76391404</v>
      </c>
      <c r="AA104" s="77" t="str">
        <f>DATA!AH93</f>
        <v>-</v>
      </c>
      <c r="AB104" s="77">
        <f>DATA!AI93</f>
        <v>0</v>
      </c>
      <c r="AC104" s="77">
        <f>DATA!AJ93</f>
        <v>0</v>
      </c>
      <c r="AD104" s="77">
        <f>DATA!AK93</f>
        <v>0</v>
      </c>
      <c r="AE104" s="77">
        <f>DATA!AL93</f>
        <v>0</v>
      </c>
      <c r="AF104" s="77" t="str">
        <f>DATA!AM93</f>
        <v>-</v>
      </c>
      <c r="AG104" s="104" t="str">
        <f>DATA!AN93</f>
        <v>-</v>
      </c>
      <c r="AH104" s="104" t="str">
        <f>DATA!AO93</f>
        <v>-</v>
      </c>
      <c r="AI104" s="104">
        <f>DATA!AP93</f>
        <v>0</v>
      </c>
      <c r="AJ104" s="20" t="str">
        <f>DATA!AY93</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4" s="20" t="e">
        <f>DATA!#REF!</f>
        <v>#REF!</v>
      </c>
      <c r="AL104" s="20">
        <f>DATA!AZ93</f>
        <v>0</v>
      </c>
      <c r="AM104" s="37" t="str">
        <f>DATA!BA93</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5" spans="1:39" s="7" customFormat="1" ht="106.5" customHeight="1">
      <c r="A105" s="6"/>
      <c r="B105" s="6"/>
      <c r="C105" s="6"/>
      <c r="D105" s="6"/>
      <c r="E105" s="6"/>
      <c r="F105" s="6"/>
      <c r="G105" s="6"/>
      <c r="H105" s="6"/>
      <c r="I105" s="6"/>
      <c r="J105" s="44"/>
      <c r="K105" s="45"/>
      <c r="L105" s="45"/>
      <c r="M105" s="46"/>
      <c r="N105" s="68" t="str">
        <f>DATA!L94</f>
        <v>Engineering Service for Dam Multipurpose Development Project</v>
      </c>
      <c r="O105" s="42">
        <f>DATA!Q94</f>
        <v>0.33333333333333298</v>
      </c>
      <c r="P105" s="42">
        <f>DATA!R94</f>
        <v>0</v>
      </c>
      <c r="Q105" s="42">
        <f>DATA!S94</f>
        <v>66</v>
      </c>
      <c r="R105" s="85">
        <f>DATA!T94</f>
        <v>0</v>
      </c>
      <c r="S105" s="85"/>
      <c r="T105" s="85">
        <f>DATA!V94</f>
        <v>0</v>
      </c>
      <c r="U105" s="83">
        <f>DATA!W94</f>
        <v>0</v>
      </c>
      <c r="V105" s="85">
        <f>DATA!X94</f>
        <v>0</v>
      </c>
      <c r="W105" s="86" t="str">
        <f>DATA!Y94</f>
        <v>ADB</v>
      </c>
      <c r="X105" s="42" t="str">
        <f>DATA!Z94</f>
        <v>Multilateral</v>
      </c>
      <c r="Y105" s="85">
        <f>DATA!AA94</f>
        <v>1930000</v>
      </c>
      <c r="Z105" s="85">
        <f>DATA!AG94</f>
        <v>0</v>
      </c>
      <c r="AA105" s="98">
        <f>DATA!AH94</f>
        <v>2016</v>
      </c>
      <c r="AB105" s="68" t="str">
        <f>DATA!AI94</f>
        <v>- Sudah ada RC
- Green Book 2015</v>
      </c>
      <c r="AC105" s="68" t="str">
        <f>DATA!AJ94</f>
        <v>FS, DED</v>
      </c>
      <c r="AD105" s="68" t="str">
        <f>DATA!AK94</f>
        <v>Tidak membutuhkan lahan</v>
      </c>
      <c r="AE105" s="68" t="str">
        <f>DATA!AL94</f>
        <v>Belum ada tender/lelang</v>
      </c>
      <c r="AF105" s="42" t="str">
        <f>DATA!AM94</f>
        <v>2016; 2015</v>
      </c>
      <c r="AG105" s="42" t="str">
        <f>DATA!AN94</f>
        <v>siap</v>
      </c>
      <c r="AH105" s="42" t="str">
        <f>DATA!AO94</f>
        <v>tidak butuh lahan</v>
      </c>
      <c r="AI105" s="42" t="str">
        <f>DATA!AP94</f>
        <v>belum ada proses tender/lelang</v>
      </c>
      <c r="AJ105" s="42"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5" s="42" t="e">
        <f>DATA!#REF!</f>
        <v>#REF!</v>
      </c>
      <c r="AL105" s="42">
        <f>DATA!AZ94</f>
        <v>0</v>
      </c>
      <c r="AM105" s="67"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6" spans="1:39" s="6" customFormat="1" ht="106.5" hidden="1" customHeight="1">
      <c r="J106" s="38"/>
      <c r="K106" s="39"/>
      <c r="L106" s="39"/>
      <c r="M106" s="72"/>
      <c r="N106" s="67" t="str">
        <f>DATA!L95</f>
        <v>Engineering Service for Dam Multipurpose Development Project</v>
      </c>
      <c r="O106" s="42">
        <f>DATA!Q95</f>
        <v>0.33333333333333298</v>
      </c>
      <c r="P106" s="42">
        <f>DATA!R95</f>
        <v>0</v>
      </c>
      <c r="Q106" s="42">
        <f>DATA!S95</f>
        <v>66</v>
      </c>
      <c r="R106" s="83">
        <f>DATA!T95</f>
        <v>0</v>
      </c>
      <c r="S106" s="83"/>
      <c r="T106" s="83">
        <f>DATA!V95</f>
        <v>0</v>
      </c>
      <c r="U106" s="83">
        <f>DATA!W95</f>
        <v>0</v>
      </c>
      <c r="V106" s="83">
        <f>DATA!X95</f>
        <v>0</v>
      </c>
      <c r="W106" s="84" t="str">
        <f>DATA!Y95</f>
        <v>Korea</v>
      </c>
      <c r="X106" s="42" t="str">
        <f>DATA!Z95</f>
        <v>Bilateral</v>
      </c>
      <c r="Y106" s="83">
        <f>DATA!AA95</f>
        <v>21678596</v>
      </c>
      <c r="Z106" s="83">
        <f>DATA!AG95</f>
        <v>0</v>
      </c>
      <c r="AA106" s="42">
        <f>DATA!AH95</f>
        <v>2016</v>
      </c>
      <c r="AB106" s="67" t="str">
        <f>DATA!AI95</f>
        <v>- Sudah ada RC
- Diusulkan GB 2016</v>
      </c>
      <c r="AC106" s="67" t="str">
        <f>DATA!AJ95</f>
        <v>FS, DED</v>
      </c>
      <c r="AD106" s="67" t="str">
        <f>DATA!AK95</f>
        <v>Tidak membutuhkan lahan</v>
      </c>
      <c r="AE106" s="67" t="str">
        <f>DATA!AL95</f>
        <v>Belum ada tender/lelang</v>
      </c>
      <c r="AF106" s="42">
        <f>DATA!AM95</f>
        <v>2016</v>
      </c>
      <c r="AG106" s="42" t="str">
        <f>DATA!AN95</f>
        <v>siap</v>
      </c>
      <c r="AH106" s="42" t="str">
        <f>DATA!AO95</f>
        <v>tidak butuh lahan</v>
      </c>
      <c r="AI106" s="42" t="str">
        <f>DATA!AP95</f>
        <v>belum ada proses tender/lelang</v>
      </c>
      <c r="AJ106" s="42"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6" s="42" t="e">
        <f>DATA!#REF!</f>
        <v>#REF!</v>
      </c>
      <c r="AL106" s="42">
        <f>DATA!AZ95</f>
        <v>0</v>
      </c>
      <c r="AM106" s="67"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7" spans="1:39" s="6" customFormat="1" ht="106.5" hidden="1" customHeight="1">
      <c r="J107" s="38"/>
      <c r="K107" s="39"/>
      <c r="L107" s="39"/>
      <c r="M107" s="72"/>
      <c r="N107" s="67" t="str">
        <f>DATA!L96</f>
        <v>Engineering Service for Dam Multipurpose Development Project</v>
      </c>
      <c r="O107" s="42">
        <f>DATA!Q96</f>
        <v>0.33333333333333298</v>
      </c>
      <c r="P107" s="42">
        <f>DATA!R96</f>
        <v>0</v>
      </c>
      <c r="Q107" s="42">
        <f>DATA!S96</f>
        <v>66</v>
      </c>
      <c r="R107" s="83">
        <f>DATA!T96</f>
        <v>0</v>
      </c>
      <c r="S107" s="83"/>
      <c r="T107" s="83">
        <f>DATA!V96</f>
        <v>0</v>
      </c>
      <c r="U107" s="83">
        <f>DATA!W96</f>
        <v>0</v>
      </c>
      <c r="V107" s="83">
        <f>DATA!X96</f>
        <v>0</v>
      </c>
      <c r="W107" s="84" t="str">
        <f>DATA!Y96</f>
        <v>Belum Ada Indikasi</v>
      </c>
      <c r="X107" s="42" t="str">
        <f>DATA!Z96</f>
        <v>Belum Ada Indikasi</v>
      </c>
      <c r="Y107" s="83">
        <f>DATA!AA96</f>
        <v>76391404</v>
      </c>
      <c r="Z107" s="83">
        <f>DATA!AG96</f>
        <v>-76391404</v>
      </c>
      <c r="AA107" s="42" t="str">
        <f>DATA!AH96</f>
        <v>Tanpa keterangan</v>
      </c>
      <c r="AB107" s="67" t="str">
        <f>DATA!AI96</f>
        <v>-</v>
      </c>
      <c r="AC107" s="67" t="str">
        <f>DATA!AJ96</f>
        <v>-</v>
      </c>
      <c r="AD107" s="67" t="str">
        <f>DATA!AK96</f>
        <v>-</v>
      </c>
      <c r="AE107" s="67" t="str">
        <f>DATA!AL96</f>
        <v>-</v>
      </c>
      <c r="AF107" s="42"/>
      <c r="AG107" s="42"/>
      <c r="AH107" s="42"/>
      <c r="AI107" s="42"/>
      <c r="AJ107" s="42"/>
      <c r="AK107" s="42"/>
      <c r="AL107" s="42"/>
      <c r="AM107" s="67"/>
    </row>
    <row r="108" spans="1:39" s="8" customFormat="1" ht="63.75">
      <c r="A108" s="10">
        <f>DATA!A97</f>
        <v>76</v>
      </c>
      <c r="B108" s="10">
        <f>DATA!B97</f>
        <v>0</v>
      </c>
      <c r="C108" s="10" t="str">
        <f>DATA!D97</f>
        <v>INFRASTRUKTUR</v>
      </c>
      <c r="D108" s="10">
        <f>DATA!E97</f>
        <v>1</v>
      </c>
      <c r="E108" s="10" t="str">
        <f>DATA!F97</f>
        <v>Kementerian Pekerjaan Umum dan Perumahan Rakyat</v>
      </c>
      <c r="F108" s="10" t="str">
        <f>DATA!H97</f>
        <v>Dam Development Program</v>
      </c>
      <c r="G108" s="10" t="str">
        <f>DATA!I97</f>
        <v>J</v>
      </c>
      <c r="H108" s="10" t="str">
        <f>DATA!J97</f>
        <v xml:space="preserve">Program Pembangunan Waduk </v>
      </c>
      <c r="I108" s="10">
        <f>DATA!K97</f>
        <v>11</v>
      </c>
      <c r="J108" s="57"/>
      <c r="K108" s="58"/>
      <c r="L108" s="111"/>
      <c r="M108" s="60">
        <f>DATA!K97</f>
        <v>11</v>
      </c>
      <c r="N108" s="61" t="str">
        <f>DATA!L97</f>
        <v>Additional Loan for Jatigede Dam Project 2</v>
      </c>
      <c r="O108" s="20">
        <f>DATA!Q97</f>
        <v>1</v>
      </c>
      <c r="P108" s="20">
        <f>DATA!R97</f>
        <v>1</v>
      </c>
      <c r="Q108" s="20">
        <f>DATA!S97</f>
        <v>67</v>
      </c>
      <c r="R108" s="89">
        <f>DATA!T97</f>
        <v>53200000</v>
      </c>
      <c r="S108" s="89"/>
      <c r="T108" s="89">
        <f>DATA!V97</f>
        <v>0</v>
      </c>
      <c r="U108" s="77">
        <f>DATA!W97</f>
        <v>0</v>
      </c>
      <c r="V108" s="89">
        <f>DATA!X97</f>
        <v>53200000</v>
      </c>
      <c r="W108" s="90" t="str">
        <f>DATA!Y97</f>
        <v>RRT</v>
      </c>
      <c r="X108" s="20" t="str">
        <f>DATA!Z97</f>
        <v>Bilateral</v>
      </c>
      <c r="Y108" s="89">
        <f>DATA!AA97</f>
        <v>53200000</v>
      </c>
      <c r="Z108" s="89">
        <f>DATA!AG97</f>
        <v>0</v>
      </c>
      <c r="AA108" s="103">
        <f>DATA!AH97</f>
        <v>2016</v>
      </c>
      <c r="AB108" s="61" t="str">
        <f>DATA!AI97</f>
        <v>- Sudah ada RC
- Green Book 2015</v>
      </c>
      <c r="AC108" s="61" t="str">
        <f>DATA!AJ97</f>
        <v>FS, DED, persiapan impounding 2015</v>
      </c>
      <c r="AD108" s="61" t="str">
        <f>DATA!AK97</f>
        <v>- Proses perijinan penggunaan lahan dari Bupati dan Kemenhut
- Proses administrasi kependudukan</v>
      </c>
      <c r="AE108" s="61" t="str">
        <f>DATA!AL97</f>
        <v>Belum ada tender/lelang</v>
      </c>
      <c r="AF108" s="20" t="str">
        <f>DATA!AR97</f>
        <v>-</v>
      </c>
      <c r="AG108" s="20" t="str">
        <f>DATA!AN97</f>
        <v>dalam proses
(memiliki FS dan DED)</v>
      </c>
      <c r="AH108" s="20" t="str">
        <f>DATA!AO97</f>
        <v>dalam proses
(persiapan)</v>
      </c>
      <c r="AI108" s="20" t="str">
        <f>DATA!AP97</f>
        <v>belum ada proses tender/lelang</v>
      </c>
      <c r="AJ108" s="20" t="str">
        <f>DATA!AY97</f>
        <v>Konfirmasi melalui surat Sekjen nomor KU.01.12-Sj/636 tgl 23 Oktober 2015</v>
      </c>
      <c r="AK108" s="20" t="e">
        <f>DATA!#REF!</f>
        <v>#REF!</v>
      </c>
      <c r="AL108" s="20">
        <f>DATA!AZ97</f>
        <v>0</v>
      </c>
      <c r="AM108" s="37" t="str">
        <f>DATA!BA97</f>
        <v>Menyediakan air untuk keperluan irigasi sebesar 59,63 m3/dt dan membangun infrastruktur untuk PLTA 110 MW.</v>
      </c>
    </row>
    <row r="109" spans="1:39" s="5" customFormat="1" ht="33.75" hidden="1" customHeight="1">
      <c r="J109" s="28"/>
      <c r="K109" s="50"/>
      <c r="L109" s="30" t="str">
        <f>DATA!I98</f>
        <v>K</v>
      </c>
      <c r="M109" s="31" t="str">
        <f>DATA!J98</f>
        <v>Program Mitigasi Terhadap Daya Rusak Air</v>
      </c>
      <c r="N109" s="51"/>
      <c r="O109" s="31"/>
      <c r="P109" s="31"/>
      <c r="Q109" s="31"/>
      <c r="R109" s="81">
        <f>+R110+R111+R112+R113+R114+R115+R116</f>
        <v>1152636000</v>
      </c>
      <c r="S109" s="81"/>
      <c r="T109" s="81">
        <f t="shared" ref="T109:Z109" si="6">+T110+T111+T112+T113+T114+T115+T116</f>
        <v>149840000</v>
      </c>
      <c r="U109" s="81">
        <f t="shared" si="6"/>
        <v>0</v>
      </c>
      <c r="V109" s="81">
        <f t="shared" si="6"/>
        <v>1302476000</v>
      </c>
      <c r="W109" s="81"/>
      <c r="X109" s="81" t="e">
        <f t="shared" si="6"/>
        <v>#VALUE!</v>
      </c>
      <c r="Y109" s="81">
        <f t="shared" si="6"/>
        <v>1112256000</v>
      </c>
      <c r="Z109" s="81">
        <f t="shared" si="6"/>
        <v>0</v>
      </c>
      <c r="AA109" s="31"/>
      <c r="AB109" s="32"/>
      <c r="AC109" s="32"/>
      <c r="AD109" s="32"/>
      <c r="AE109" s="32"/>
      <c r="AF109" s="31"/>
      <c r="AG109" s="31"/>
      <c r="AH109" s="31"/>
      <c r="AI109" s="31"/>
      <c r="AJ109" s="31"/>
      <c r="AK109" s="31"/>
      <c r="AL109" s="31"/>
      <c r="AM109" s="32"/>
    </row>
    <row r="110" spans="1:39" ht="51" hidden="1" customHeight="1">
      <c r="A110" s="10">
        <f>DATA!A98</f>
        <v>77</v>
      </c>
      <c r="B110" s="10">
        <f>DATA!B98</f>
        <v>0</v>
      </c>
      <c r="C110" s="10" t="str">
        <f>DATA!D98</f>
        <v>INFRASTRUKTUR</v>
      </c>
      <c r="D110" s="10">
        <f>DATA!E98</f>
        <v>1</v>
      </c>
      <c r="E110" s="10" t="str">
        <f>DATA!F98</f>
        <v>Kementerian Pekerjaan Umum dan Perumahan Rakyat</v>
      </c>
      <c r="F110" s="10" t="str">
        <f>DATA!H98</f>
        <v>Mitigation of Water Hazards Program</v>
      </c>
      <c r="G110" s="10" t="str">
        <f>DATA!I98</f>
        <v>K</v>
      </c>
      <c r="H110" s="10" t="str">
        <f>DATA!J98</f>
        <v>Program Mitigasi Terhadap Daya Rusak Air</v>
      </c>
      <c r="I110" s="10">
        <f>DATA!K98</f>
        <v>1</v>
      </c>
      <c r="J110" s="33"/>
      <c r="K110" s="34"/>
      <c r="L110" s="35"/>
      <c r="M110" s="36">
        <f>DATA!K98</f>
        <v>1</v>
      </c>
      <c r="N110" s="37" t="str">
        <f>DATA!L98</f>
        <v>Lower Solo River Improvement Project - Phase II</v>
      </c>
      <c r="O110" s="20">
        <f>DATA!Q98</f>
        <v>1</v>
      </c>
      <c r="P110" s="20">
        <f>DATA!R98</f>
        <v>1</v>
      </c>
      <c r="Q110" s="20">
        <f>DATA!S98</f>
        <v>68</v>
      </c>
      <c r="R110" s="77">
        <f>DATA!T98</f>
        <v>155836000</v>
      </c>
      <c r="S110" s="77"/>
      <c r="T110" s="77">
        <f>DATA!V98</f>
        <v>22500000</v>
      </c>
      <c r="U110" s="77">
        <f>DATA!W98</f>
        <v>0</v>
      </c>
      <c r="V110" s="77">
        <f>DATA!X98</f>
        <v>178336000</v>
      </c>
      <c r="W110" s="78" t="str">
        <f>DATA!Y98</f>
        <v>JICA</v>
      </c>
      <c r="X110" s="20" t="str">
        <f>DATA!Z98</f>
        <v>Bilateral</v>
      </c>
      <c r="Y110" s="77">
        <f>DATA!AA98</f>
        <v>155836000</v>
      </c>
      <c r="Z110" s="77">
        <f>DATA!AG98</f>
        <v>0</v>
      </c>
      <c r="AA110" s="20">
        <f>DATA!AH98</f>
        <v>2018</v>
      </c>
      <c r="AB110" s="37" t="str">
        <f>DATA!AI98</f>
        <v>-</v>
      </c>
      <c r="AC110" s="37" t="str">
        <f>DATA!AJ98</f>
        <v>FS, DED, AMDAL</v>
      </c>
      <c r="AD110" s="37" t="str">
        <f>DATA!AK98</f>
        <v>LARAP</v>
      </c>
      <c r="AE110" s="37" t="str">
        <f>DATA!AL98</f>
        <v>-</v>
      </c>
      <c r="AF110" s="20" t="str">
        <f>DATA!AR98</f>
        <v>belum ada dokumen R/C</v>
      </c>
      <c r="AG110" s="20" t="str">
        <f>DATA!AN98</f>
        <v>siap</v>
      </c>
      <c r="AH110" s="20" t="str">
        <f>DATA!AO98</f>
        <v>dalam proses
(perencanaan)</v>
      </c>
      <c r="AI110" s="20" t="str">
        <f>DATA!AP98</f>
        <v>belum ada proses tender/lelang</v>
      </c>
      <c r="AJ110" s="20" t="str">
        <f>DATA!AY98</f>
        <v>Konfirmasi melalui surat Sekjen nomor KU.01.12-Sj/636 tgl 23 Oktober 2015</v>
      </c>
      <c r="AK110" s="20" t="e">
        <f>DATA!#REF!</f>
        <v>#REF!</v>
      </c>
      <c r="AL110" s="20">
        <f>DATA!AZ98</f>
        <v>0</v>
      </c>
      <c r="AM110" s="37" t="str">
        <f>DATA!BA98</f>
        <v>Pekerjaan konstruksi dan supervisi pelaksanaan tanggul, parapet wall, pelindung tebing, sluiceway, jembatan, alur sudetan dan bangunan sungai lainnya</v>
      </c>
    </row>
    <row r="111" spans="1:39" ht="72.75" hidden="1" customHeight="1">
      <c r="A111" s="10">
        <f>DATA!A99</f>
        <v>78</v>
      </c>
      <c r="B111" s="10">
        <f>DATA!B99</f>
        <v>0</v>
      </c>
      <c r="C111" s="10" t="str">
        <f>DATA!D99</f>
        <v>INFRASTRUKTUR</v>
      </c>
      <c r="D111" s="10">
        <f>DATA!E99</f>
        <v>1</v>
      </c>
      <c r="E111" s="10" t="str">
        <f>DATA!F99</f>
        <v>Kementerian Pekerjaan Umum dan Perumahan Rakyat</v>
      </c>
      <c r="F111" s="10" t="str">
        <f>DATA!H99</f>
        <v>Mitigation of Water Hazards Program</v>
      </c>
      <c r="G111" s="10" t="str">
        <f>DATA!I99</f>
        <v>K</v>
      </c>
      <c r="H111" s="10" t="str">
        <f>DATA!J99</f>
        <v>Program Mitigasi Terhadap Daya Rusak Air</v>
      </c>
      <c r="I111" s="10">
        <f>DATA!K99</f>
        <v>2</v>
      </c>
      <c r="J111" s="33"/>
      <c r="K111" s="34"/>
      <c r="L111" s="34"/>
      <c r="M111" s="36">
        <f>DATA!K99</f>
        <v>2</v>
      </c>
      <c r="N111" s="37" t="str">
        <f>DATA!L99</f>
        <v>Comprehensive Countermeasure for Sediment &amp; Flood Problems in South Sulawesi Province</v>
      </c>
      <c r="O111" s="20">
        <f>DATA!Q99</f>
        <v>1</v>
      </c>
      <c r="P111" s="20">
        <f>DATA!R99</f>
        <v>1</v>
      </c>
      <c r="Q111" s="20">
        <f>DATA!S99</f>
        <v>69</v>
      </c>
      <c r="R111" s="77">
        <f>DATA!T99</f>
        <v>108100000</v>
      </c>
      <c r="S111" s="77"/>
      <c r="T111" s="77">
        <f>DATA!V99</f>
        <v>3900000</v>
      </c>
      <c r="U111" s="77">
        <f>DATA!W99</f>
        <v>0</v>
      </c>
      <c r="V111" s="77">
        <f>DATA!X99</f>
        <v>112000000</v>
      </c>
      <c r="W111" s="78" t="str">
        <f>DATA!Y99</f>
        <v>JICA</v>
      </c>
      <c r="X111" s="20" t="str">
        <f>DATA!Z99</f>
        <v>Bilateral</v>
      </c>
      <c r="Y111" s="77">
        <f>DATA!AA99</f>
        <v>108100000</v>
      </c>
      <c r="Z111" s="77">
        <f>DATA!AG99</f>
        <v>0</v>
      </c>
      <c r="AA111" s="20">
        <f>DATA!AH99</f>
        <v>2018</v>
      </c>
      <c r="AB111" s="37" t="str">
        <f>DATA!AI99</f>
        <v>-</v>
      </c>
      <c r="AC111" s="37" t="str">
        <f>DATA!AJ99</f>
        <v>FS, DED</v>
      </c>
      <c r="AD111" s="37" t="str">
        <f>DATA!AK99</f>
        <v>-</v>
      </c>
      <c r="AE111" s="37" t="str">
        <f>DATA!AL99</f>
        <v>-</v>
      </c>
      <c r="AF111" s="20" t="str">
        <f>DATA!AR99</f>
        <v>belum ada dokumen R/C</v>
      </c>
      <c r="AG111" s="20" t="str">
        <f>DATA!AN99</f>
        <v>dalam proses
(memiliki FS dan DED)</v>
      </c>
      <c r="AH111" s="20" t="str">
        <f>DATA!AO99</f>
        <v>belum ada keterangan</v>
      </c>
      <c r="AI111" s="20" t="str">
        <f>DATA!AP99</f>
        <v>belum ada proses tender/lelang</v>
      </c>
      <c r="AJ111" s="20" t="str">
        <f>DATA!AY99</f>
        <v>Konfirmasi melalui surat Sekjen nomor KU.01.12-Sj/636 tgl 23 Oktober 2015</v>
      </c>
      <c r="AK111" s="20" t="e">
        <f>DATA!#REF!</f>
        <v>#REF!</v>
      </c>
      <c r="AL111" s="20">
        <f>DATA!AZ99</f>
        <v>0</v>
      </c>
      <c r="AM111" s="37" t="str">
        <f>DATA!BA99</f>
        <v>Rehabilitasi intake waduk bili-bili (1 buah), konstruksi giant sand trap facility (1 buah) di ujung waduk bili-bili dan konstruksi bangunan pengendali sedimen di luar kaldera untuk antisipasi potensi runtuhan lanjutan Bawakaraeng</v>
      </c>
    </row>
    <row r="112" spans="1:39" ht="38.25" hidden="1">
      <c r="A112" s="10">
        <f>DATA!A100</f>
        <v>79</v>
      </c>
      <c r="B112" s="10">
        <f>DATA!B100</f>
        <v>0</v>
      </c>
      <c r="C112" s="10" t="str">
        <f>DATA!D100</f>
        <v>INFRASTRUKTUR</v>
      </c>
      <c r="D112" s="10">
        <f>DATA!E100</f>
        <v>1</v>
      </c>
      <c r="E112" s="10" t="str">
        <f>DATA!F100</f>
        <v>Kementerian Pekerjaan Umum dan Perumahan Rakyat</v>
      </c>
      <c r="F112" s="10" t="str">
        <f>DATA!H100</f>
        <v>Mitigation of Water Hazards Program</v>
      </c>
      <c r="G112" s="10" t="str">
        <f>DATA!I100</f>
        <v>K</v>
      </c>
      <c r="H112" s="10" t="str">
        <f>DATA!J100</f>
        <v>Program Mitigasi Terhadap Daya Rusak Air</v>
      </c>
      <c r="I112" s="10">
        <f>DATA!K100</f>
        <v>3</v>
      </c>
      <c r="J112" s="33"/>
      <c r="K112" s="34"/>
      <c r="L112" s="34"/>
      <c r="M112" s="36">
        <f>DATA!K100</f>
        <v>3</v>
      </c>
      <c r="N112" s="37" t="str">
        <f>DATA!L100</f>
        <v>Bali Beach Conservation Project - Phase II</v>
      </c>
      <c r="O112" s="20">
        <f>DATA!Q100</f>
        <v>1</v>
      </c>
      <c r="P112" s="20">
        <f>DATA!R100</f>
        <v>1</v>
      </c>
      <c r="Q112" s="20">
        <f>DATA!S100</f>
        <v>70</v>
      </c>
      <c r="R112" s="77">
        <f>DATA!T100</f>
        <v>150000000</v>
      </c>
      <c r="S112" s="77"/>
      <c r="T112" s="77">
        <f>DATA!V100</f>
        <v>15000000</v>
      </c>
      <c r="U112" s="77">
        <f>DATA!W100</f>
        <v>0</v>
      </c>
      <c r="V112" s="77">
        <f>DATA!X100</f>
        <v>165000000</v>
      </c>
      <c r="W112" s="78" t="str">
        <f>DATA!Y100</f>
        <v>JICA</v>
      </c>
      <c r="X112" s="20" t="str">
        <f>DATA!Z100</f>
        <v>Bilateral</v>
      </c>
      <c r="Y112" s="77">
        <f>DATA!AA100</f>
        <v>150000000</v>
      </c>
      <c r="Z112" s="77">
        <f>DATA!AG100</f>
        <v>0</v>
      </c>
      <c r="AA112" s="20">
        <f>DATA!AH100</f>
        <v>2017</v>
      </c>
      <c r="AB112" s="37" t="str">
        <f>DATA!AI100</f>
        <v>-</v>
      </c>
      <c r="AC112" s="37" t="str">
        <f>DATA!AJ100</f>
        <v>FS</v>
      </c>
      <c r="AD112" s="37" t="str">
        <f>DATA!AK100</f>
        <v>-</v>
      </c>
      <c r="AE112" s="37" t="str">
        <f>DATA!AL100</f>
        <v>-</v>
      </c>
      <c r="AF112" s="20" t="str">
        <f>DATA!AR100</f>
        <v>Nilai pinjaman di GB USD 90.247 ribu</v>
      </c>
      <c r="AG112" s="20" t="str">
        <f>DATA!AN100</f>
        <v>dalam proses
(memiliki FS)</v>
      </c>
      <c r="AH112" s="20" t="str">
        <f>DATA!AO100</f>
        <v>belum ada keterangan</v>
      </c>
      <c r="AI112" s="20" t="str">
        <f>DATA!AP100</f>
        <v>belum ada proses tender/lelang</v>
      </c>
      <c r="AJ112" s="20" t="str">
        <f>DATA!AY100</f>
        <v>- Konfirmasi melalui surat Sekjen nomor KU.01.12-Sj/636 tgl 23 Oktober 2015
- MoD Fact Finding belum dapat ditandatangani dan ditentukan kemudian</v>
      </c>
      <c r="AK112" s="20" t="e">
        <f>DATA!#REF!</f>
        <v>#REF!</v>
      </c>
      <c r="AL112" s="20">
        <f>DATA!AZ100</f>
        <v>0</v>
      </c>
      <c r="AM112" s="37" t="str">
        <f>DATA!BA100</f>
        <v>Pengamanan dan konservasi pantai timur bali (sanur utara ~ candidasa) dan Pantai Kuta Utara – Legian – Seminyak dan Canggu</v>
      </c>
    </row>
    <row r="113" spans="1:39" ht="33" hidden="1" customHeight="1">
      <c r="A113" s="10">
        <f>DATA!A101</f>
        <v>80</v>
      </c>
      <c r="B113" s="10">
        <f>DATA!B101</f>
        <v>0</v>
      </c>
      <c r="C113" s="10" t="str">
        <f>DATA!D101</f>
        <v>INFRASTRUKTUR</v>
      </c>
      <c r="D113" s="10">
        <f>DATA!E101</f>
        <v>1</v>
      </c>
      <c r="E113" s="10" t="str">
        <f>DATA!F101</f>
        <v>Kementerian Pekerjaan Umum dan Perumahan Rakyat</v>
      </c>
      <c r="F113" s="10" t="str">
        <f>DATA!H101</f>
        <v>Mitigation of Water Hazards Program</v>
      </c>
      <c r="G113" s="10" t="str">
        <f>DATA!I101</f>
        <v>K</v>
      </c>
      <c r="H113" s="10" t="str">
        <f>DATA!J101</f>
        <v>Program Mitigasi Terhadap Daya Rusak Air</v>
      </c>
      <c r="I113" s="10">
        <f>DATA!K101</f>
        <v>4</v>
      </c>
      <c r="J113" s="33"/>
      <c r="K113" s="34"/>
      <c r="L113" s="34"/>
      <c r="M113" s="36">
        <f>DATA!K101</f>
        <v>4</v>
      </c>
      <c r="N113" s="37" t="str">
        <f>DATA!L101</f>
        <v xml:space="preserve">Urgent Disaster Reduction of Mt. Sinabung, Mt. Semeru, Mt. Kelud Mt. Lokon, and Mt. Gamalama </v>
      </c>
      <c r="O113" s="20">
        <f>DATA!Q101</f>
        <v>1</v>
      </c>
      <c r="P113" s="20">
        <f>DATA!R101</f>
        <v>1</v>
      </c>
      <c r="Q113" s="20">
        <f>DATA!S101</f>
        <v>71</v>
      </c>
      <c r="R113" s="77">
        <f>DATA!T101</f>
        <v>260000000</v>
      </c>
      <c r="S113" s="77"/>
      <c r="T113" s="77">
        <f>DATA!V101</f>
        <v>26000000</v>
      </c>
      <c r="U113" s="77">
        <f>DATA!W101</f>
        <v>0</v>
      </c>
      <c r="V113" s="77">
        <f>DATA!X101</f>
        <v>286000000</v>
      </c>
      <c r="W113" s="78" t="str">
        <f>DATA!Y101</f>
        <v>JICA</v>
      </c>
      <c r="X113" s="20" t="str">
        <f>DATA!Z101</f>
        <v>Bilateral</v>
      </c>
      <c r="Y113" s="77">
        <f>DATA!AA101</f>
        <v>260000000</v>
      </c>
      <c r="Z113" s="77">
        <f>DATA!AG101</f>
        <v>0</v>
      </c>
      <c r="AA113" s="20">
        <f>DATA!AH101</f>
        <v>2017</v>
      </c>
      <c r="AB113" s="37" t="str">
        <f>DATA!AI101</f>
        <v>-</v>
      </c>
      <c r="AC113" s="37" t="str">
        <f>DATA!AJ101</f>
        <v>FS, DED, AMDAL</v>
      </c>
      <c r="AD113" s="37" t="str">
        <f>DATA!AK101</f>
        <v>LARAP</v>
      </c>
      <c r="AE113" s="37" t="str">
        <f>DATA!AL101</f>
        <v>-</v>
      </c>
      <c r="AF113" s="20" t="str">
        <f>DATA!AR101</f>
        <v>belum ada dokumen R/C</v>
      </c>
      <c r="AG113" s="20" t="str">
        <f>DATA!AN101</f>
        <v>siap</v>
      </c>
      <c r="AH113" s="20" t="str">
        <f>DATA!AO101</f>
        <v>dalam proses
(persiapan)</v>
      </c>
      <c r="AI113" s="20" t="str">
        <f>DATA!AP101</f>
        <v>belum ada proses tender/lelang</v>
      </c>
      <c r="AJ113" s="20" t="str">
        <f>DATA!AY101</f>
        <v>Konfirmasi melalui surat Sekjen nomor KU.01.12-Sj/636 tgl 23 Oktober 2015</v>
      </c>
      <c r="AK113" s="20" t="e">
        <f>DATA!#REF!</f>
        <v>#REF!</v>
      </c>
      <c r="AL113" s="20">
        <f>DATA!AZ101</f>
        <v>0</v>
      </c>
      <c r="AM113" s="37" t="str">
        <f>DATA!BA101</f>
        <v>Tersedianya fasilitas Sabo dan bangunan pengontrol sedimen lainnya.</v>
      </c>
    </row>
    <row r="114" spans="1:39" ht="53.25" hidden="1" customHeight="1">
      <c r="A114" s="10">
        <f>DATA!A102</f>
        <v>81</v>
      </c>
      <c r="B114" s="10">
        <f>DATA!B102</f>
        <v>0</v>
      </c>
      <c r="C114" s="10" t="str">
        <f>DATA!D102</f>
        <v>INFRASTRUKTUR</v>
      </c>
      <c r="D114" s="10">
        <f>DATA!E102</f>
        <v>1</v>
      </c>
      <c r="E114" s="10" t="str">
        <f>DATA!F102</f>
        <v>Kementerian Pekerjaan Umum dan Perumahan Rakyat</v>
      </c>
      <c r="F114" s="10" t="str">
        <f>DATA!H102</f>
        <v>Mitigation of Water Hazards Program</v>
      </c>
      <c r="G114" s="10" t="str">
        <f>DATA!I102</f>
        <v>K</v>
      </c>
      <c r="H114" s="10" t="str">
        <f>DATA!J102</f>
        <v>Program Mitigasi Terhadap Daya Rusak Air</v>
      </c>
      <c r="I114" s="10">
        <f>DATA!K102</f>
        <v>5</v>
      </c>
      <c r="J114" s="33"/>
      <c r="K114" s="34"/>
      <c r="L114" s="34"/>
      <c r="M114" s="36">
        <f>DATA!K102</f>
        <v>5</v>
      </c>
      <c r="N114" s="37" t="str">
        <f>DATA!L102</f>
        <v xml:space="preserve">Urban Flood Control System Improvement in Selected Cities -Phase II  </v>
      </c>
      <c r="O114" s="20">
        <f>DATA!Q102</f>
        <v>1</v>
      </c>
      <c r="P114" s="20">
        <f>DATA!R102</f>
        <v>1</v>
      </c>
      <c r="Q114" s="20">
        <f>DATA!S102</f>
        <v>72</v>
      </c>
      <c r="R114" s="77">
        <f>DATA!T102</f>
        <v>120000000</v>
      </c>
      <c r="S114" s="77"/>
      <c r="T114" s="77">
        <f>DATA!V102</f>
        <v>12000000</v>
      </c>
      <c r="U114" s="77">
        <f>DATA!W102</f>
        <v>0</v>
      </c>
      <c r="V114" s="77">
        <f>DATA!X102</f>
        <v>132000000</v>
      </c>
      <c r="W114" s="78" t="str">
        <f>DATA!Y102</f>
        <v>JICA</v>
      </c>
      <c r="X114" s="20" t="str">
        <f>DATA!Z102</f>
        <v>Bilateral</v>
      </c>
      <c r="Y114" s="77">
        <f>DATA!AA102</f>
        <v>120000000</v>
      </c>
      <c r="Z114" s="77">
        <f>DATA!AG102</f>
        <v>0</v>
      </c>
      <c r="AA114" s="20">
        <f>DATA!AH102</f>
        <v>2018</v>
      </c>
      <c r="AB114" s="37" t="str">
        <f>DATA!AI102</f>
        <v>-</v>
      </c>
      <c r="AC114" s="37" t="str">
        <f>DATA!AJ102</f>
        <v>FS, DED, AMDAL</v>
      </c>
      <c r="AD114" s="37" t="str">
        <f>DATA!AK102</f>
        <v>LARAP</v>
      </c>
      <c r="AE114" s="37" t="str">
        <f>DATA!AL102</f>
        <v>-</v>
      </c>
      <c r="AF114" s="20" t="str">
        <f>DATA!AR102</f>
        <v>belum ada dokumen R/C</v>
      </c>
      <c r="AG114" s="20" t="str">
        <f>DATA!AN102</f>
        <v>siap</v>
      </c>
      <c r="AH114" s="20" t="str">
        <f>DATA!AO102</f>
        <v>dalam proses
(perencanaan)</v>
      </c>
      <c r="AI114" s="20" t="str">
        <f>DATA!AP102</f>
        <v>belum ada proses tender/lelang</v>
      </c>
      <c r="AJ114" s="20" t="str">
        <f>DATA!AY102</f>
        <v>Konfirmasi melalui surat Sekjen nomor KU.01.12-Sj/636 tgl 23 Oktober 2015</v>
      </c>
      <c r="AK114" s="20" t="e">
        <f>DATA!#REF!</f>
        <v>#REF!</v>
      </c>
      <c r="AL114" s="20">
        <f>DATA!AZ102</f>
        <v>0</v>
      </c>
      <c r="AM114" s="37" t="str">
        <f>DATA!BA102</f>
        <v>Meningkatkan kapasitas sistem sungai dengan total panjang 4.35 km dan drainase di kota-kota untuk mengalirkan air hujan dengan pembangunan tanggul 6,5 Km</v>
      </c>
    </row>
    <row r="115" spans="1:39" s="8" customFormat="1" ht="46.5" customHeight="1">
      <c r="A115" s="10">
        <f>DATA!A104</f>
        <v>0</v>
      </c>
      <c r="B115" s="10">
        <f>DATA!B104</f>
        <v>0</v>
      </c>
      <c r="C115" s="10" t="str">
        <f>DATA!D104</f>
        <v>INFRASTRUKTUR</v>
      </c>
      <c r="D115" s="10">
        <f>DATA!E104</f>
        <v>1</v>
      </c>
      <c r="E115" s="10" t="str">
        <f>DATA!F104</f>
        <v>Kementerian Pekerjaan Umum dan Perumahan Rakyat</v>
      </c>
      <c r="F115" s="10" t="str">
        <f>DATA!H104</f>
        <v>Mitigation of Water Hazards Program</v>
      </c>
      <c r="G115" s="10" t="str">
        <f>DATA!I104</f>
        <v>K</v>
      </c>
      <c r="H115" s="10" t="str">
        <f>DATA!J104</f>
        <v>Program Mitigasi Terhadap Daya Rusak Air</v>
      </c>
      <c r="I115" s="10">
        <f>DATA!K104</f>
        <v>6</v>
      </c>
      <c r="J115" s="57"/>
      <c r="K115" s="58"/>
      <c r="L115" s="58"/>
      <c r="M115" s="60">
        <f>DATA!K104</f>
        <v>6</v>
      </c>
      <c r="N115" s="61" t="str">
        <f>DATA!L104</f>
        <v>Engineering Service for Coastal and River Development Project</v>
      </c>
      <c r="O115" s="20">
        <f>DATA!Q104</f>
        <v>1</v>
      </c>
      <c r="P115" s="20">
        <f>DATA!R104</f>
        <v>1</v>
      </c>
      <c r="Q115" s="20">
        <f>DATA!S104</f>
        <v>73</v>
      </c>
      <c r="R115" s="89">
        <f>DATA!T104</f>
        <v>50000000</v>
      </c>
      <c r="S115" s="89"/>
      <c r="T115" s="89">
        <f>DATA!V104</f>
        <v>0</v>
      </c>
      <c r="U115" s="77">
        <f>DATA!W104</f>
        <v>0</v>
      </c>
      <c r="V115" s="89">
        <f>DATA!X104</f>
        <v>50000000</v>
      </c>
      <c r="W115" s="90" t="str">
        <f>DATA!Y104</f>
        <v>ADB</v>
      </c>
      <c r="X115" s="20" t="str">
        <f>DATA!Z104</f>
        <v>Multilateral</v>
      </c>
      <c r="Y115" s="89">
        <f>DATA!AA104</f>
        <v>9620000</v>
      </c>
      <c r="Z115" s="89">
        <f>DATA!AG104</f>
        <v>0</v>
      </c>
      <c r="AA115" s="103">
        <f>DATA!AH104</f>
        <v>2016</v>
      </c>
      <c r="AB115" s="61" t="str">
        <f>DATA!AI104</f>
        <v>- Sudah ada RC
- Green Book 2016</v>
      </c>
      <c r="AC115" s="61" t="str">
        <f>DATA!AJ104</f>
        <v>FS, DED</v>
      </c>
      <c r="AD115" s="61" t="str">
        <f>DATA!AK104</f>
        <v>Tidak membutuhkan lahan</v>
      </c>
      <c r="AE115" s="61" t="str">
        <f>DATA!AL104</f>
        <v>Belum ada tender/lelang</v>
      </c>
      <c r="AF115" s="20" t="str">
        <f>DATA!AM104</f>
        <v>2016; 2015</v>
      </c>
      <c r="AG115" s="20" t="str">
        <f>DATA!AN104</f>
        <v>siap</v>
      </c>
      <c r="AH115" s="20" t="str">
        <f>DATA!AO104</f>
        <v>tidak butuh lahan</v>
      </c>
      <c r="AI115" s="20" t="str">
        <f>DATA!AP104</f>
        <v>belum ada proses tender/lelang</v>
      </c>
      <c r="AJ115"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K115" s="20" t="e">
        <f>DATA!#REF!</f>
        <v>#REF!</v>
      </c>
      <c r="AL115" s="20">
        <f>DATA!AZ104</f>
        <v>0</v>
      </c>
      <c r="AM115" s="37" t="str">
        <f>DATA!BA104</f>
        <v>Analisis rencana teknis pembangunan infrastruktur sungai di 33 balai wilayah sungai  dan pantai beserta fasilitasnya, O&amp;P dan pengadaan barang dan jasa</v>
      </c>
    </row>
    <row r="116" spans="1:39" ht="49.5" hidden="1" customHeight="1">
      <c r="A116" s="10">
        <f>DATA!A107</f>
        <v>80</v>
      </c>
      <c r="B116" s="10">
        <f>DATA!B107</f>
        <v>0</v>
      </c>
      <c r="C116" s="10" t="str">
        <f>DATA!D107</f>
        <v>INFRASTRUKTUR</v>
      </c>
      <c r="D116" s="10">
        <f>DATA!E107</f>
        <v>1</v>
      </c>
      <c r="E116" s="10" t="str">
        <f>DATA!F107</f>
        <v>Kementerian Pekerjaan Umum dan Perumahan Rakyat</v>
      </c>
      <c r="F116" s="10" t="str">
        <f>DATA!H107</f>
        <v>Mitigation of Water Hazards Program</v>
      </c>
      <c r="G116" s="10" t="str">
        <f>DATA!I107</f>
        <v>K</v>
      </c>
      <c r="H116" s="10" t="str">
        <f>DATA!J107</f>
        <v>Program Mitigasi Terhadap Daya Rusak Air</v>
      </c>
      <c r="I116" s="10">
        <f>DATA!K107</f>
        <v>7</v>
      </c>
      <c r="J116" s="33"/>
      <c r="K116" s="34"/>
      <c r="L116" s="34"/>
      <c r="M116" s="36">
        <f>DATA!K107</f>
        <v>7</v>
      </c>
      <c r="N116" s="37" t="str">
        <f>DATA!L107</f>
        <v>Flood Management in Selected River Basins:</v>
      </c>
      <c r="O116" s="20">
        <f>DATA!Q107</f>
        <v>0</v>
      </c>
      <c r="P116" s="20">
        <f>DATA!R107</f>
        <v>0</v>
      </c>
      <c r="Q116" s="20">
        <f>DATA!S107</f>
        <v>0</v>
      </c>
      <c r="R116" s="77">
        <f>DATA!T107</f>
        <v>308700000</v>
      </c>
      <c r="S116" s="77"/>
      <c r="T116" s="77">
        <f>DATA!V107</f>
        <v>70440000</v>
      </c>
      <c r="U116" s="77">
        <f>DATA!W107</f>
        <v>0</v>
      </c>
      <c r="V116" s="77">
        <f>DATA!X107</f>
        <v>379140000</v>
      </c>
      <c r="W116" s="78" t="str">
        <f>DATA!Y107</f>
        <v>-</v>
      </c>
      <c r="X116" s="20">
        <f>DATA!Z107</f>
        <v>0</v>
      </c>
      <c r="Y116" s="77">
        <f>DATA!AA107</f>
        <v>308700000</v>
      </c>
      <c r="Z116" s="77">
        <f>DATA!AG107</f>
        <v>0</v>
      </c>
      <c r="AA116" s="20" t="str">
        <f>DATA!AH107</f>
        <v>-</v>
      </c>
      <c r="AB116" s="37" t="str">
        <f>DATA!AI107</f>
        <v>-</v>
      </c>
      <c r="AC116" s="37" t="str">
        <f>DATA!AJ107</f>
        <v>-</v>
      </c>
      <c r="AD116" s="37" t="str">
        <f>DATA!AK107</f>
        <v>-</v>
      </c>
      <c r="AE116" s="37" t="str">
        <f>DATA!AL107</f>
        <v>-</v>
      </c>
      <c r="AF116" s="20" t="str">
        <f>DATA!AM107</f>
        <v>-</v>
      </c>
      <c r="AG116" s="20">
        <f>DATA!AN107</f>
        <v>0</v>
      </c>
      <c r="AH116" s="20" t="str">
        <f>DATA!AO107</f>
        <v>-</v>
      </c>
      <c r="AI116" s="20">
        <f>DATA!AP107</f>
        <v>0</v>
      </c>
      <c r="AJ116" s="20" t="str">
        <f>DATA!AY107</f>
        <v>Konfirmasi melalui surat Sekjen nomor KU.01.12-Sj/636 tgl 23 Oktober 2015</v>
      </c>
      <c r="AK116" s="20" t="e">
        <f>DATA!#REF!</f>
        <v>#REF!</v>
      </c>
      <c r="AL116" s="20">
        <f>DATA!AZ107</f>
        <v>0</v>
      </c>
      <c r="AM116" s="37" t="str">
        <f>DATA!BA107</f>
        <v>Meningkatkan kesiapan untuk mengelola dan memitigasi banjir melalui pendekatan pengelolaan banjir terpadu di DAS terpilih yang tersebar di seluruh Indonesia</v>
      </c>
    </row>
    <row r="117" spans="1:39" s="6" customFormat="1" ht="38.25" hidden="1">
      <c r="A117" s="6">
        <f>DATA!A108</f>
        <v>83</v>
      </c>
      <c r="B117" s="6">
        <f>DATA!B108</f>
        <v>0</v>
      </c>
      <c r="C117" s="6" t="str">
        <f>DATA!D108</f>
        <v>INFRASTRUKTUR</v>
      </c>
      <c r="D117" s="6">
        <f>DATA!E108</f>
        <v>1</v>
      </c>
      <c r="E117" s="6" t="str">
        <f>DATA!F108</f>
        <v>Kementerian Pekerjaan Umum dan Perumahan Rakyat</v>
      </c>
      <c r="F117" s="6" t="str">
        <f>DATA!H108</f>
        <v>Mitigation of Water Hazards Program</v>
      </c>
      <c r="G117" s="6" t="str">
        <f>DATA!I108</f>
        <v>K</v>
      </c>
      <c r="H117" s="6" t="str">
        <f>DATA!J108</f>
        <v>Program Mitigasi Terhadap Daya Rusak Air</v>
      </c>
      <c r="I117" s="6">
        <f>DATA!K108</f>
        <v>7</v>
      </c>
      <c r="J117" s="38"/>
      <c r="K117" s="39"/>
      <c r="L117" s="39"/>
      <c r="M117" s="72"/>
      <c r="N117" s="67" t="str">
        <f>DATA!L108</f>
        <v>Flood Management in Selected River Basins Sector Project (Additional Financing)</v>
      </c>
      <c r="O117" s="42">
        <f>DATA!Q108</f>
        <v>1</v>
      </c>
      <c r="P117" s="42">
        <f>DATA!R108</f>
        <v>1</v>
      </c>
      <c r="Q117" s="42">
        <f>DATA!S108</f>
        <v>74</v>
      </c>
      <c r="R117" s="83">
        <f>DATA!T108</f>
        <v>200000000</v>
      </c>
      <c r="S117" s="83"/>
      <c r="T117" s="83">
        <f>DATA!V108</f>
        <v>20000000</v>
      </c>
      <c r="U117" s="83">
        <f>DATA!W108</f>
        <v>0</v>
      </c>
      <c r="V117" s="83">
        <f>DATA!X108</f>
        <v>220000000</v>
      </c>
      <c r="W117" s="84" t="str">
        <f>DATA!Y108</f>
        <v>Belum Ada Indikasi</v>
      </c>
      <c r="X117" s="42" t="str">
        <f>DATA!Z108</f>
        <v>Multilateral</v>
      </c>
      <c r="Y117" s="83">
        <f>DATA!AA108</f>
        <v>200000000</v>
      </c>
      <c r="Z117" s="83">
        <f>DATA!AG108</f>
        <v>0</v>
      </c>
      <c r="AA117" s="42" t="str">
        <f>DATA!AH108</f>
        <v>Tanpa keterangan</v>
      </c>
      <c r="AB117" s="67" t="str">
        <f>DATA!AI108</f>
        <v>-</v>
      </c>
      <c r="AC117" s="67" t="str">
        <f>DATA!AJ108</f>
        <v>-</v>
      </c>
      <c r="AD117" s="67" t="str">
        <f>DATA!AK108</f>
        <v>-</v>
      </c>
      <c r="AE117" s="67" t="str">
        <f>DATA!AL108</f>
        <v>-</v>
      </c>
      <c r="AF117" s="42" t="str">
        <f>DATA!AR108</f>
        <v>belum ada dokumen R/C</v>
      </c>
      <c r="AG117" s="42" t="str">
        <f>DATA!AN108</f>
        <v>belum ada keterangan</v>
      </c>
      <c r="AH117" s="42" t="str">
        <f>DATA!AO108</f>
        <v>belum ada keterangan</v>
      </c>
      <c r="AI117" s="42" t="str">
        <f>DATA!AP108</f>
        <v>belum ada proses tender/lelang</v>
      </c>
      <c r="AJ117" s="42" t="str">
        <f>DATA!AY108</f>
        <v>Konfirmasi melalui surat Sekjen nomor KU.01.12-Sj/636 tgl 23 Oktober 2015</v>
      </c>
      <c r="AK117" s="42" t="e">
        <f>DATA!#REF!</f>
        <v>#REF!</v>
      </c>
      <c r="AL117" s="42" t="str">
        <f>DATA!AZ108</f>
        <v>untuk wilayah Banten</v>
      </c>
      <c r="AM117" s="67" t="str">
        <f>DATA!BA108</f>
        <v>Meningkatkan kesiapan untuk mengelola dan memitigasi banjir melalui pendekatan pengelolaan banjir terpadu di DAS terpilih</v>
      </c>
    </row>
    <row r="118" spans="1:39" s="6" customFormat="1" ht="87" hidden="1" customHeight="1">
      <c r="A118" s="6">
        <f>DATA!A109</f>
        <v>84</v>
      </c>
      <c r="B118" s="6">
        <f>DATA!B109</f>
        <v>0</v>
      </c>
      <c r="C118" s="6" t="str">
        <f>DATA!D109</f>
        <v>INFRASTRUKTUR</v>
      </c>
      <c r="D118" s="6">
        <f>DATA!E109</f>
        <v>1</v>
      </c>
      <c r="E118" s="6" t="str">
        <f>DATA!F109</f>
        <v>Kementerian Pekerjaan Umum dan Perumahan Rakyat</v>
      </c>
      <c r="F118" s="6" t="str">
        <f>DATA!H109</f>
        <v>Mitigation of Water Hazards Program</v>
      </c>
      <c r="G118" s="6" t="str">
        <f>DATA!I109</f>
        <v>K</v>
      </c>
      <c r="H118" s="6" t="str">
        <f>DATA!J109</f>
        <v>Program Mitigasi Terhadap Daya Rusak Air</v>
      </c>
      <c r="I118" s="6">
        <f>DATA!K109</f>
        <v>7</v>
      </c>
      <c r="J118" s="38"/>
      <c r="K118" s="39"/>
      <c r="L118" s="71"/>
      <c r="M118" s="72"/>
      <c r="N118" s="67" t="str">
        <f>DATA!L109</f>
        <v>Flood Management in Selected River Basins</v>
      </c>
      <c r="O118" s="42">
        <f>DATA!Q109</f>
        <v>1</v>
      </c>
      <c r="P118" s="42">
        <f>DATA!R109</f>
        <v>1</v>
      </c>
      <c r="Q118" s="42">
        <f>DATA!S109</f>
        <v>75</v>
      </c>
      <c r="R118" s="83">
        <f>DATA!T109</f>
        <v>108700000</v>
      </c>
      <c r="S118" s="83"/>
      <c r="T118" s="83">
        <f>DATA!V109</f>
        <v>50440000</v>
      </c>
      <c r="U118" s="83">
        <f>DATA!W109</f>
        <v>0</v>
      </c>
      <c r="V118" s="83">
        <f>DATA!X109</f>
        <v>159140000</v>
      </c>
      <c r="W118" s="84" t="str">
        <f>DATA!Y109</f>
        <v>ADB</v>
      </c>
      <c r="X118" s="42" t="str">
        <f>DATA!Z109</f>
        <v>Multilateral</v>
      </c>
      <c r="Y118" s="83">
        <f>DATA!AA109</f>
        <v>108700000</v>
      </c>
      <c r="Z118" s="83">
        <f>DATA!AG109</f>
        <v>0</v>
      </c>
      <c r="AA118" s="42" t="str">
        <f>DATA!AH109</f>
        <v>Tanpa keterangan</v>
      </c>
      <c r="AB118" s="67" t="str">
        <f>DATA!AI109</f>
        <v>- Sudah ada RC
- Green Book 2015</v>
      </c>
      <c r="AC118" s="67" t="str">
        <f>DATA!AJ109</f>
        <v>FS, DED</v>
      </c>
      <c r="AD118" s="67" t="str">
        <f>DATA!AK109</f>
        <v>- Penetapan lokasi dengan SK Gubernur Banten dan Gubernur Maluku
- Izin AMDAL dengan SK Walikota Ambon</v>
      </c>
      <c r="AE118" s="67" t="str">
        <f>DATA!AL109</f>
        <v>Belum ada tender/lelang</v>
      </c>
      <c r="AF118" s="42" t="str">
        <f>DATA!AR109</f>
        <v>-</v>
      </c>
      <c r="AG118" s="42" t="str">
        <f>DATA!AN109</f>
        <v>dalam proses
(memiliki FS dan DED)</v>
      </c>
      <c r="AH118" s="42" t="str">
        <f>DATA!AO109</f>
        <v>dalam proses
(persiapan)</v>
      </c>
      <c r="AI118" s="42" t="str">
        <f>DATA!AP109</f>
        <v>belum ada proses tender/lelang</v>
      </c>
      <c r="AJ118" s="42" t="str">
        <f>DATA!AY109</f>
        <v>Konfirmasi melalui surat Sekjen nomor KU.01.12-Sj/636 tgl 23 Oktober 2015</v>
      </c>
      <c r="AK118" s="42" t="e">
        <f>DATA!#REF!</f>
        <v>#REF!</v>
      </c>
      <c r="AL118" s="42" t="str">
        <f>DATA!AZ109</f>
        <v>Ambon appraisal MoU 2015</v>
      </c>
      <c r="AM118" s="67" t="str">
        <f>DATA!BA109</f>
        <v>Meningkatkan kesiapan untuk mengelola dan memitigasi banjir melalui pendekatan pengelolaan banjir terpadu di DAS Ciujung, DAS Batu Merah, dan DAS Way Ruhu</v>
      </c>
    </row>
    <row r="119" spans="1:39" s="5" customFormat="1" ht="33.75" hidden="1" customHeight="1">
      <c r="J119" s="28"/>
      <c r="K119" s="50"/>
      <c r="L119" s="30" t="str">
        <f>DATA!I110</f>
        <v>L</v>
      </c>
      <c r="M119" s="31" t="str">
        <f>DATA!J110</f>
        <v xml:space="preserve">Program Pengelolaan Infrastruktur Sumber Daya Air </v>
      </c>
      <c r="N119" s="51"/>
      <c r="O119" s="31"/>
      <c r="P119" s="31"/>
      <c r="Q119" s="31"/>
      <c r="R119" s="81">
        <f>+R120+R121+R122</f>
        <v>650000000</v>
      </c>
      <c r="S119" s="81"/>
      <c r="T119" s="81">
        <f t="shared" ref="T119:Z119" si="7">+T120+T121+T122</f>
        <v>130000000</v>
      </c>
      <c r="U119" s="81">
        <f t="shared" si="7"/>
        <v>0</v>
      </c>
      <c r="V119" s="81">
        <f t="shared" si="7"/>
        <v>780000000</v>
      </c>
      <c r="W119" s="81"/>
      <c r="X119" s="81" t="e">
        <f t="shared" si="7"/>
        <v>#VALUE!</v>
      </c>
      <c r="Y119" s="81">
        <f t="shared" si="7"/>
        <v>650000000</v>
      </c>
      <c r="Z119" s="81">
        <f t="shared" si="7"/>
        <v>-50000000</v>
      </c>
      <c r="AA119" s="31"/>
      <c r="AB119" s="32"/>
      <c r="AC119" s="32"/>
      <c r="AD119" s="32"/>
      <c r="AE119" s="32"/>
      <c r="AF119" s="31"/>
      <c r="AG119" s="31"/>
      <c r="AH119" s="31"/>
      <c r="AI119" s="31"/>
      <c r="AJ119" s="31"/>
      <c r="AK119" s="31"/>
      <c r="AL119" s="31"/>
      <c r="AM119" s="32"/>
    </row>
    <row r="120" spans="1:39" ht="58.5" hidden="1" customHeight="1">
      <c r="A120" s="10">
        <f>DATA!A110</f>
        <v>85</v>
      </c>
      <c r="B120" s="10">
        <f>DATA!B110</f>
        <v>0</v>
      </c>
      <c r="C120" s="10" t="str">
        <f>DATA!D110</f>
        <v>INFRASTRUKTUR</v>
      </c>
      <c r="D120" s="10">
        <f>DATA!E110</f>
        <v>1</v>
      </c>
      <c r="E120" s="10" t="str">
        <f>DATA!F110</f>
        <v>Kementerian Pekerjaan Umum dan Perumahan Rakyat</v>
      </c>
      <c r="F120" s="10" t="str">
        <f>DATA!H110</f>
        <v>Management of Water Resources Infrastructure Program</v>
      </c>
      <c r="G120" s="10" t="str">
        <f>DATA!I110</f>
        <v>L</v>
      </c>
      <c r="H120" s="10" t="str">
        <f>DATA!J110</f>
        <v xml:space="preserve">Program Pengelolaan Infrastruktur Sumber Daya Air </v>
      </c>
      <c r="I120" s="10">
        <f>DATA!K110</f>
        <v>1</v>
      </c>
      <c r="J120" s="33"/>
      <c r="K120" s="34"/>
      <c r="L120" s="35"/>
      <c r="M120" s="36">
        <f>DATA!K110</f>
        <v>1</v>
      </c>
      <c r="N120" s="37" t="str">
        <f>DATA!L110</f>
        <v xml:space="preserve">Dam Operational Improvement and Safety Project (DOISP) - Phase II </v>
      </c>
      <c r="O120" s="20">
        <f>DATA!Q110</f>
        <v>1</v>
      </c>
      <c r="P120" s="20">
        <f>DATA!R110</f>
        <v>1</v>
      </c>
      <c r="Q120" s="20">
        <f>DATA!S110</f>
        <v>76</v>
      </c>
      <c r="R120" s="77">
        <f>DATA!T110</f>
        <v>250000000</v>
      </c>
      <c r="S120" s="77"/>
      <c r="T120" s="77">
        <f>DATA!V110</f>
        <v>50000000</v>
      </c>
      <c r="U120" s="77">
        <f>DATA!W110</f>
        <v>0</v>
      </c>
      <c r="V120" s="77">
        <f>DATA!X110</f>
        <v>300000000</v>
      </c>
      <c r="W120" s="78" t="str">
        <f>DATA!Y110</f>
        <v>Bank Dunia</v>
      </c>
      <c r="X120" s="20" t="str">
        <f>DATA!Z110</f>
        <v>Multilateral</v>
      </c>
      <c r="Y120" s="77">
        <f>DATA!AA110</f>
        <v>250000000</v>
      </c>
      <c r="Z120" s="77">
        <f>DATA!AG110</f>
        <v>0</v>
      </c>
      <c r="AA120" s="20" t="str">
        <f>DATA!AH110</f>
        <v>Tanpa keterangan</v>
      </c>
      <c r="AB120" s="37" t="str">
        <f>DATA!AI110</f>
        <v>-</v>
      </c>
      <c r="AC120" s="37" t="str">
        <f>DATA!AJ110</f>
        <v>FS</v>
      </c>
      <c r="AD120" s="37" t="str">
        <f>DATA!AK110</f>
        <v>-</v>
      </c>
      <c r="AE120" s="37" t="str">
        <f>DATA!AL110</f>
        <v>-</v>
      </c>
      <c r="AF120" s="20" t="str">
        <f>DATA!AR110</f>
        <v>-</v>
      </c>
      <c r="AG120" s="20" t="str">
        <f>DATA!AN110</f>
        <v>dalam proses
(memiliki FS)</v>
      </c>
      <c r="AH120" s="20" t="str">
        <f>DATA!AO110</f>
        <v>belum ada keterangan</v>
      </c>
      <c r="AI120" s="20" t="str">
        <f>DATA!AP110</f>
        <v>belum ada proses tender/lelang</v>
      </c>
      <c r="AJ120" s="20" t="str">
        <f>DATA!AY110</f>
        <v>Konfirmasi melalui surat Sekjen nomor KU.01.12-Sj/636 tgl 23 Oktober 2015</v>
      </c>
      <c r="AK120" s="20" t="e">
        <f>DATA!#REF!</f>
        <v>#REF!</v>
      </c>
      <c r="AL120" s="20">
        <f>DATA!AZ110</f>
        <v>0</v>
      </c>
      <c r="AM120" s="37" t="str">
        <f>DATA!BA110</f>
        <v>Peningkatan operasi dan keamanan 63 bendungan, peningkatan OP dan kapasitas SDM, mitigasi sedimentasi waduk, peningkatan institusi keamanan bendungan dan manajemen proyek</v>
      </c>
    </row>
    <row r="121" spans="1:39" ht="50.25" hidden="1" customHeight="1">
      <c r="A121" s="10">
        <f>DATA!A113</f>
        <v>86</v>
      </c>
      <c r="B121" s="10">
        <f>DATA!B113</f>
        <v>0</v>
      </c>
      <c r="C121" s="10" t="str">
        <f>DATA!D113</f>
        <v>INFRASTRUKTUR</v>
      </c>
      <c r="D121" s="10">
        <f>DATA!E113</f>
        <v>1</v>
      </c>
      <c r="E121" s="10" t="str">
        <f>DATA!F113</f>
        <v>Kementerian Pekerjaan Umum dan Perumahan Rakyat</v>
      </c>
      <c r="F121" s="10" t="str">
        <f>DATA!H113</f>
        <v>Management of Water Resources Infrastructure Program</v>
      </c>
      <c r="G121" s="10" t="str">
        <f>DATA!I113</f>
        <v>L</v>
      </c>
      <c r="H121" s="10" t="str">
        <f>DATA!J113</f>
        <v xml:space="preserve">Program Pengelolaan Infrastruktur Sumber Daya Air </v>
      </c>
      <c r="I121" s="10">
        <f>DATA!K113</f>
        <v>2</v>
      </c>
      <c r="J121" s="33"/>
      <c r="K121" s="34"/>
      <c r="L121" s="34"/>
      <c r="M121" s="36">
        <f>DATA!K113</f>
        <v>2</v>
      </c>
      <c r="N121" s="37" t="str">
        <f>DATA!L113</f>
        <v xml:space="preserve">Enhanced Water Security Investment Program    </v>
      </c>
      <c r="O121" s="20">
        <f>DATA!Q113</f>
        <v>1</v>
      </c>
      <c r="P121" s="20">
        <f>DATA!R113</f>
        <v>1</v>
      </c>
      <c r="Q121" s="20">
        <f>DATA!S113</f>
        <v>77</v>
      </c>
      <c r="R121" s="77">
        <f>DATA!T113</f>
        <v>350000000</v>
      </c>
      <c r="S121" s="77"/>
      <c r="T121" s="77">
        <f>DATA!V113</f>
        <v>70000000</v>
      </c>
      <c r="U121" s="77">
        <f>DATA!W113</f>
        <v>0</v>
      </c>
      <c r="V121" s="77">
        <f>DATA!X113</f>
        <v>420000000</v>
      </c>
      <c r="W121" s="78" t="str">
        <f>DATA!Y113</f>
        <v>ADB</v>
      </c>
      <c r="X121" s="20" t="str">
        <f>DATA!Z113</f>
        <v>Multilateral</v>
      </c>
      <c r="Y121" s="77">
        <f>DATA!AA113</f>
        <v>350000000</v>
      </c>
      <c r="Z121" s="77">
        <f>DATA!AG113</f>
        <v>0</v>
      </c>
      <c r="AA121" s="20" t="str">
        <f>DATA!AH113</f>
        <v>Tanpa keterangan</v>
      </c>
      <c r="AB121" s="37" t="str">
        <f>DATA!AI113</f>
        <v>-</v>
      </c>
      <c r="AC121" s="37" t="str">
        <f>DATA!AJ113</f>
        <v>-</v>
      </c>
      <c r="AD121" s="37" t="str">
        <f>DATA!AK113</f>
        <v>-</v>
      </c>
      <c r="AE121" s="37" t="str">
        <f>DATA!AL113</f>
        <v>-</v>
      </c>
      <c r="AF121" s="20" t="str">
        <f>DATA!AR113</f>
        <v>belum ada dokumen R/C</v>
      </c>
      <c r="AG121" s="20" t="str">
        <f>DATA!AN113</f>
        <v>belum ada keterangan</v>
      </c>
      <c r="AH121" s="20" t="str">
        <f>DATA!AO113</f>
        <v>belum ada keterangan</v>
      </c>
      <c r="AI121" s="20" t="str">
        <f>DATA!AP113</f>
        <v>belum ada proses tender/lelang</v>
      </c>
      <c r="AJ121" s="20" t="str">
        <f>DATA!AY113</f>
        <v>Konfirmasi melalui surat Sekjen nomor KU.01.12-Sj/636 tgl 23 Oktober 2015</v>
      </c>
      <c r="AK121" s="20" t="e">
        <f>DATA!#REF!</f>
        <v>#REF!</v>
      </c>
      <c r="AL121" s="20" t="str">
        <f>DATA!AZ113</f>
        <v>Belum ada pembicaraan dgn ADB</v>
      </c>
      <c r="AM121" s="37" t="str">
        <f>DATA!BA113</f>
        <v>Peningkatan kapasitas waduk, pemanfaatan potensi bendungan untuk pembangkit listrik dan manajemen proyek</v>
      </c>
    </row>
    <row r="122" spans="1:39" ht="32.25" hidden="1" customHeight="1">
      <c r="A122" s="10">
        <f>DATA!A114</f>
        <v>87</v>
      </c>
      <c r="B122" s="10">
        <f>DATA!B114</f>
        <v>0</v>
      </c>
      <c r="C122" s="10" t="str">
        <f>DATA!D114</f>
        <v>INFRASTRUKTUR</v>
      </c>
      <c r="D122" s="10">
        <f>DATA!E114</f>
        <v>1</v>
      </c>
      <c r="E122" s="10" t="str">
        <f>DATA!F114</f>
        <v>Kementerian Pekerjaan Umum dan Perumahan Rakyat</v>
      </c>
      <c r="F122" s="10" t="str">
        <f>DATA!H114</f>
        <v>Management of Water Resources Infrastructure Program</v>
      </c>
      <c r="G122" s="10" t="str">
        <f>DATA!I114</f>
        <v>L</v>
      </c>
      <c r="H122" s="10" t="str">
        <f>DATA!J114</f>
        <v xml:space="preserve">Program Pengelolaan Infrastruktur Sumber Daya Air </v>
      </c>
      <c r="I122" s="10">
        <f>DATA!K114</f>
        <v>3</v>
      </c>
      <c r="J122" s="33"/>
      <c r="K122" s="34"/>
      <c r="L122" s="54"/>
      <c r="M122" s="36">
        <f>DATA!K114</f>
        <v>3</v>
      </c>
      <c r="N122" s="37" t="str">
        <f>DATA!L114</f>
        <v>Engineering Service for Water Resources Infrastructure Management</v>
      </c>
      <c r="O122" s="20">
        <f>DATA!Q114</f>
        <v>1</v>
      </c>
      <c r="P122" s="20">
        <f>DATA!R114</f>
        <v>1</v>
      </c>
      <c r="Q122" s="20">
        <f>DATA!S114</f>
        <v>78</v>
      </c>
      <c r="R122" s="77">
        <f>DATA!T114</f>
        <v>50000000</v>
      </c>
      <c r="S122" s="77"/>
      <c r="T122" s="77">
        <f>DATA!V114</f>
        <v>10000000</v>
      </c>
      <c r="U122" s="77">
        <f>DATA!W114</f>
        <v>0</v>
      </c>
      <c r="V122" s="77">
        <f>DATA!X114</f>
        <v>60000000</v>
      </c>
      <c r="W122" s="78" t="str">
        <f>DATA!Y114</f>
        <v>Belum Ada Indikasi</v>
      </c>
      <c r="X122" s="20" t="str">
        <f>DATA!Z114</f>
        <v>Multilateral</v>
      </c>
      <c r="Y122" s="77">
        <f>DATA!AA114</f>
        <v>50000000</v>
      </c>
      <c r="Z122" s="77">
        <f>DATA!AG114</f>
        <v>-50000000</v>
      </c>
      <c r="AA122" s="20" t="str">
        <f>DATA!AH114</f>
        <v>Tanpa keterangan</v>
      </c>
      <c r="AB122" s="37" t="str">
        <f>DATA!AI114</f>
        <v>-</v>
      </c>
      <c r="AC122" s="37" t="str">
        <f>DATA!AJ114</f>
        <v>-</v>
      </c>
      <c r="AD122" s="37" t="str">
        <f>DATA!AK114</f>
        <v>-</v>
      </c>
      <c r="AE122" s="37" t="str">
        <f>DATA!AL114</f>
        <v>-</v>
      </c>
      <c r="AF122" s="20" t="str">
        <f>DATA!AR114</f>
        <v>belum ada dokumen R/C</v>
      </c>
      <c r="AG122" s="20" t="str">
        <f>DATA!AN114</f>
        <v>siap</v>
      </c>
      <c r="AH122" s="20" t="str">
        <f>DATA!AO114</f>
        <v>tidak butuh lahan</v>
      </c>
      <c r="AI122" s="20" t="str">
        <f>DATA!AP114</f>
        <v>belum ada proses tender/lelang</v>
      </c>
      <c r="AJ122" s="20" t="str">
        <f>DATA!AY114</f>
        <v>Konfirmasi melalui surat Sekjen nomor KU.01.12-Sj/636 tgl 23 Oktober 2015</v>
      </c>
      <c r="AK122" s="20" t="e">
        <f>DATA!#REF!</f>
        <v>#REF!</v>
      </c>
      <c r="AL122" s="20" t="str">
        <f>DATA!AZ114</f>
        <v>Belum ada pembicaraan dgn ADB</v>
      </c>
      <c r="AM122" s="37" t="str">
        <f>DATA!BA114</f>
        <v>Engineering services dan management project untuk pengelolaan infrastruktur sumber daya air</v>
      </c>
    </row>
    <row r="123" spans="1:39" s="5" customFormat="1" ht="33.75" hidden="1" customHeight="1">
      <c r="J123" s="28"/>
      <c r="K123" s="50"/>
      <c r="L123" s="30" t="str">
        <f>DATA!I117</f>
        <v>M</v>
      </c>
      <c r="M123" s="31" t="str">
        <f>DATA!J117</f>
        <v>Program Penyediaaan Perumahan Bagi MBR</v>
      </c>
      <c r="N123" s="51"/>
      <c r="O123" s="31"/>
      <c r="P123" s="31"/>
      <c r="Q123" s="31"/>
      <c r="R123" s="81">
        <f>+R124</f>
        <v>300000000</v>
      </c>
      <c r="S123" s="81"/>
      <c r="T123" s="81">
        <f t="shared" ref="T123:Z123" si="8">+T124</f>
        <v>15000000</v>
      </c>
      <c r="U123" s="81">
        <f t="shared" si="8"/>
        <v>7000000</v>
      </c>
      <c r="V123" s="81">
        <f t="shared" si="8"/>
        <v>322000000</v>
      </c>
      <c r="W123" s="81"/>
      <c r="X123" s="81" t="str">
        <f t="shared" si="8"/>
        <v>Multilateral</v>
      </c>
      <c r="Y123" s="81">
        <f t="shared" si="8"/>
        <v>300000000</v>
      </c>
      <c r="Z123" s="81">
        <f t="shared" si="8"/>
        <v>0</v>
      </c>
      <c r="AA123" s="31"/>
      <c r="AB123" s="32"/>
      <c r="AC123" s="32"/>
      <c r="AD123" s="32"/>
      <c r="AE123" s="32"/>
      <c r="AF123" s="31"/>
      <c r="AG123" s="31"/>
      <c r="AH123" s="31"/>
      <c r="AI123" s="31"/>
      <c r="AJ123" s="31"/>
      <c r="AK123" s="31"/>
      <c r="AL123" s="31"/>
      <c r="AM123" s="32"/>
    </row>
    <row r="124" spans="1:39" ht="45.75" hidden="1" customHeight="1">
      <c r="A124" s="10">
        <f>DATA!A117</f>
        <v>88</v>
      </c>
      <c r="B124" s="10">
        <f>DATA!B117</f>
        <v>0</v>
      </c>
      <c r="C124" s="10" t="str">
        <f>DATA!D117</f>
        <v>INFRASTRUKTUR</v>
      </c>
      <c r="D124" s="10">
        <f>DATA!E117</f>
        <v>1</v>
      </c>
      <c r="E124" s="10" t="str">
        <f>DATA!F117</f>
        <v>Kementerian Pekerjaan Umum dan Perumahan Rakyat</v>
      </c>
      <c r="F124" s="10" t="str">
        <f>DATA!H117</f>
        <v>Program for Provision of Housing For Low-Income Households</v>
      </c>
      <c r="G124" s="10" t="str">
        <f>DATA!I117</f>
        <v>M</v>
      </c>
      <c r="H124" s="10" t="str">
        <f>DATA!J117</f>
        <v>Program Penyediaaan Perumahan Bagi MBR</v>
      </c>
      <c r="I124" s="10">
        <f>DATA!K117</f>
        <v>1</v>
      </c>
      <c r="J124" s="33"/>
      <c r="K124" s="54"/>
      <c r="L124" s="20"/>
      <c r="M124" s="36">
        <f>DATA!K117</f>
        <v>1</v>
      </c>
      <c r="N124" s="37" t="str">
        <f>DATA!L117</f>
        <v xml:space="preserve">Financial Support for Low Income Households </v>
      </c>
      <c r="O124" s="20">
        <f>DATA!Q117</f>
        <v>0</v>
      </c>
      <c r="P124" s="20">
        <f>DATA!R117</f>
        <v>0</v>
      </c>
      <c r="Q124" s="20">
        <f>DATA!S117</f>
        <v>79</v>
      </c>
      <c r="R124" s="77">
        <f>DATA!T117</f>
        <v>300000000</v>
      </c>
      <c r="S124" s="77"/>
      <c r="T124" s="77">
        <f>DATA!V117</f>
        <v>15000000</v>
      </c>
      <c r="U124" s="77">
        <f>DATA!W117</f>
        <v>7000000</v>
      </c>
      <c r="V124" s="77">
        <f>DATA!X117</f>
        <v>322000000</v>
      </c>
      <c r="W124" s="78" t="str">
        <f>DATA!Y117</f>
        <v>Bank Dunia</v>
      </c>
      <c r="X124" s="20" t="str">
        <f>DATA!Z117</f>
        <v>Multilateral</v>
      </c>
      <c r="Y124" s="77">
        <f>DATA!AA117</f>
        <v>300000000</v>
      </c>
      <c r="Z124" s="77">
        <f>DATA!AG117</f>
        <v>0</v>
      </c>
      <c r="AA124" s="20">
        <f>DATA!AH117</f>
        <v>2017</v>
      </c>
      <c r="AB124" s="37" t="str">
        <f>DATA!AI117</f>
        <v>Penyusunan R/C</v>
      </c>
      <c r="AC124" s="37" t="str">
        <f>DATA!AJ117</f>
        <v>-</v>
      </c>
      <c r="AD124" s="37" t="str">
        <f>DATA!AK117</f>
        <v>-</v>
      </c>
      <c r="AE124" s="37" t="str">
        <f>DATA!AL117</f>
        <v>-</v>
      </c>
      <c r="AF124" s="20" t="str">
        <f>DATA!AR117</f>
        <v>belum ada dokumen R/C</v>
      </c>
      <c r="AG124" s="20" t="str">
        <f>DATA!AN117</f>
        <v>belum ada keterangan</v>
      </c>
      <c r="AH124" s="20" t="str">
        <f>DATA!AO117</f>
        <v>belum ada keterangan</v>
      </c>
      <c r="AI124" s="20" t="str">
        <f>DATA!AP117</f>
        <v>belum ada proses tender/lelang</v>
      </c>
      <c r="AJ124" s="20" t="str">
        <f>DATA!AY117</f>
        <v>Konfirmasi melalui surat Sekjen nomor KU.01.12-Sj/636 tgl 23 Oktober 2015</v>
      </c>
      <c r="AK124" s="20" t="e">
        <f>DATA!#REF!</f>
        <v>#REF!</v>
      </c>
      <c r="AL124" s="20" t="str">
        <f>DATA!AZ117</f>
        <v>Tujuan kegiatan ini adalah untuk membantu uang muka pembangunan rumah</v>
      </c>
      <c r="AM124" s="37" t="str">
        <f>DATA!BA117</f>
        <v>Peningkatan kapasitas lembaga pembiayaan, pengembangan sistem pembiayaan perumahan mikro, dan pengembangan  sistem pembiayaan perumahan</v>
      </c>
    </row>
    <row r="125" spans="1:39" s="4" customFormat="1" ht="24.95" hidden="1" customHeight="1">
      <c r="J125" s="107"/>
      <c r="K125" s="25">
        <f>DATA!E118</f>
        <v>2</v>
      </c>
      <c r="L125" s="108" t="str">
        <f>DATA!F118</f>
        <v>PERUMNAS</v>
      </c>
      <c r="M125" s="26"/>
      <c r="N125" s="27"/>
      <c r="O125" s="26"/>
      <c r="P125" s="26"/>
      <c r="Q125" s="26"/>
      <c r="R125" s="80">
        <f>+R126</f>
        <v>200000000</v>
      </c>
      <c r="S125" s="80"/>
      <c r="T125" s="80">
        <f t="shared" ref="T125:Z126" si="9">+T126</f>
        <v>20000000</v>
      </c>
      <c r="U125" s="80">
        <f t="shared" si="9"/>
        <v>0</v>
      </c>
      <c r="V125" s="80">
        <f t="shared" si="9"/>
        <v>220000000</v>
      </c>
      <c r="W125" s="80"/>
      <c r="X125" s="80" t="str">
        <f t="shared" si="9"/>
        <v>Bilateral</v>
      </c>
      <c r="Y125" s="80">
        <f t="shared" si="9"/>
        <v>200000000</v>
      </c>
      <c r="Z125" s="80">
        <f t="shared" si="9"/>
        <v>0</v>
      </c>
      <c r="AA125" s="26"/>
      <c r="AB125" s="27"/>
      <c r="AC125" s="27"/>
      <c r="AD125" s="27"/>
      <c r="AE125" s="27"/>
      <c r="AF125" s="26"/>
      <c r="AG125" s="26"/>
      <c r="AH125" s="26"/>
      <c r="AI125" s="26"/>
      <c r="AJ125" s="26"/>
      <c r="AK125" s="26"/>
      <c r="AL125" s="26"/>
      <c r="AM125" s="27"/>
    </row>
    <row r="126" spans="1:39" s="5" customFormat="1" ht="33.75" hidden="1" customHeight="1">
      <c r="J126" s="28"/>
      <c r="K126" s="29"/>
      <c r="L126" s="30" t="str">
        <f>DATA!I118</f>
        <v>A</v>
      </c>
      <c r="M126" s="31" t="str">
        <f>DATA!J118</f>
        <v>Program Penyediaaan Perumahan Bagi MBR</v>
      </c>
      <c r="N126" s="51"/>
      <c r="O126" s="31"/>
      <c r="P126" s="31"/>
      <c r="Q126" s="31"/>
      <c r="R126" s="81">
        <f>+R127</f>
        <v>200000000</v>
      </c>
      <c r="S126" s="81"/>
      <c r="T126" s="81">
        <f t="shared" si="9"/>
        <v>20000000</v>
      </c>
      <c r="U126" s="81">
        <f t="shared" si="9"/>
        <v>0</v>
      </c>
      <c r="V126" s="81">
        <f t="shared" si="9"/>
        <v>220000000</v>
      </c>
      <c r="W126" s="81"/>
      <c r="X126" s="81" t="str">
        <f t="shared" si="9"/>
        <v>Bilateral</v>
      </c>
      <c r="Y126" s="81">
        <f t="shared" si="9"/>
        <v>200000000</v>
      </c>
      <c r="Z126" s="81">
        <f t="shared" si="9"/>
        <v>0</v>
      </c>
      <c r="AA126" s="31"/>
      <c r="AB126" s="32"/>
      <c r="AC126" s="32"/>
      <c r="AD126" s="32"/>
      <c r="AE126" s="32"/>
      <c r="AF126" s="31"/>
      <c r="AG126" s="31"/>
      <c r="AH126" s="31"/>
      <c r="AI126" s="31"/>
      <c r="AJ126" s="31"/>
      <c r="AK126" s="31"/>
      <c r="AL126" s="31"/>
      <c r="AM126" s="32"/>
    </row>
    <row r="127" spans="1:39" ht="63.75" hidden="1">
      <c r="A127" s="10">
        <f>DATA!A118</f>
        <v>89</v>
      </c>
      <c r="B127" s="10">
        <f>DATA!B118</f>
        <v>0</v>
      </c>
      <c r="C127" s="10" t="str">
        <f>DATA!D118</f>
        <v>INFRASTRUKTUR</v>
      </c>
      <c r="D127" s="10">
        <f>DATA!E118</f>
        <v>2</v>
      </c>
      <c r="E127" s="10" t="str">
        <f>DATA!F118</f>
        <v>PERUMNAS</v>
      </c>
      <c r="F127" s="10" t="str">
        <f>DATA!H118</f>
        <v>Program for Provision of Housing For Low-Income Households</v>
      </c>
      <c r="G127" s="10" t="str">
        <f>DATA!I118</f>
        <v>A</v>
      </c>
      <c r="H127" s="10" t="str">
        <f>DATA!J118</f>
        <v>Program Penyediaaan Perumahan Bagi MBR</v>
      </c>
      <c r="I127" s="10">
        <f>DATA!K118</f>
        <v>1</v>
      </c>
      <c r="J127" s="33"/>
      <c r="K127" s="54"/>
      <c r="L127" s="20"/>
      <c r="M127" s="36">
        <f>DATA!K118</f>
        <v>1</v>
      </c>
      <c r="N127" s="37" t="str">
        <f>DATA!L118</f>
        <v>Support for National Housing and Urban Development Cooperation</v>
      </c>
      <c r="O127" s="20">
        <f>DATA!Q118</f>
        <v>1</v>
      </c>
      <c r="P127" s="20">
        <f>DATA!R118</f>
        <v>1</v>
      </c>
      <c r="Q127" s="20">
        <f>DATA!S118</f>
        <v>80</v>
      </c>
      <c r="R127" s="77">
        <f>DATA!T118</f>
        <v>200000000</v>
      </c>
      <c r="S127" s="77"/>
      <c r="T127" s="77">
        <f>DATA!V118</f>
        <v>20000000</v>
      </c>
      <c r="U127" s="77">
        <f>DATA!W118</f>
        <v>0</v>
      </c>
      <c r="V127" s="77">
        <f>DATA!X118</f>
        <v>220000000</v>
      </c>
      <c r="W127" s="78" t="str">
        <f>DATA!Y118</f>
        <v>JICA</v>
      </c>
      <c r="X127" s="20" t="str">
        <f>DATA!Z118</f>
        <v>Bilateral</v>
      </c>
      <c r="Y127" s="77">
        <f>DATA!AA118</f>
        <v>200000000</v>
      </c>
      <c r="Z127" s="77">
        <f>DATA!AG118</f>
        <v>0</v>
      </c>
      <c r="AA127" s="20">
        <f>DATA!AH118</f>
        <v>2017</v>
      </c>
      <c r="AB127" s="37" t="str">
        <f>DATA!AI118</f>
        <v>Penyusunan R/C</v>
      </c>
      <c r="AC127" s="37" t="str">
        <f>DATA!AJ118</f>
        <v>FS, DED</v>
      </c>
      <c r="AD127" s="37" t="str">
        <f>DATA!AK118</f>
        <v>100% (lahan milik PERUMNAS)</v>
      </c>
      <c r="AE127" s="37" t="str">
        <f>DATA!AL118</f>
        <v>Mengikuti tahapan setiap project sesuai Standart Operational Procedure (SOP) Perumnas</v>
      </c>
      <c r="AF127" s="20" t="str">
        <f>DATA!AR118</f>
        <v>belum ada dokumen R/C</v>
      </c>
      <c r="AG127" s="20" t="str">
        <f>DATA!AN118</f>
        <v>dalam proses
(memiliki FS dan DED)</v>
      </c>
      <c r="AH127" s="20" t="str">
        <f>DATA!AO118</f>
        <v>siap</v>
      </c>
      <c r="AI127" s="20" t="str">
        <f>DATA!AP118</f>
        <v>belum ada proses tender/lelang</v>
      </c>
      <c r="AJ127"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K127" s="20" t="e">
        <f>DATA!#REF!</f>
        <v>#REF!</v>
      </c>
      <c r="AL127" s="20">
        <f>DATA!AZ118</f>
        <v>0</v>
      </c>
      <c r="AM127" s="37" t="str">
        <f>DATA!BA118</f>
        <v>Membangun 69.784 unit rumah (35.438 unit rumah sederhana tapak dan 34.346 unit rumah susun), meremajakan 3.816 unit rumah susun, dan mengelola perumahan umum (property management)</v>
      </c>
    </row>
    <row r="128" spans="1:39" s="4" customFormat="1" ht="24.95" hidden="1" customHeight="1">
      <c r="J128" s="107"/>
      <c r="K128" s="25">
        <f>DATA!E119</f>
        <v>3</v>
      </c>
      <c r="L128" s="108" t="str">
        <f>DATA!F119</f>
        <v>Kementerian Perhubungan</v>
      </c>
      <c r="M128" s="25"/>
      <c r="N128" s="27"/>
      <c r="O128" s="26"/>
      <c r="P128" s="26"/>
      <c r="Q128" s="26"/>
      <c r="R128" s="80">
        <f>+R129</f>
        <v>5765336700</v>
      </c>
      <c r="S128" s="80"/>
      <c r="T128" s="80">
        <f t="shared" ref="T128:Z128" si="10">+T129</f>
        <v>647453200</v>
      </c>
      <c r="U128" s="80">
        <f t="shared" si="10"/>
        <v>0</v>
      </c>
      <c r="V128" s="80">
        <f t="shared" si="10"/>
        <v>6412789900</v>
      </c>
      <c r="W128" s="80"/>
      <c r="X128" s="80" t="e">
        <f t="shared" si="10"/>
        <v>#VALUE!</v>
      </c>
      <c r="Y128" s="80">
        <f t="shared" si="10"/>
        <v>5765336700</v>
      </c>
      <c r="Z128" s="80">
        <f t="shared" si="10"/>
        <v>0</v>
      </c>
      <c r="AA128" s="26"/>
      <c r="AB128" s="27"/>
      <c r="AC128" s="27"/>
      <c r="AD128" s="27"/>
      <c r="AE128" s="27"/>
      <c r="AF128" s="26"/>
      <c r="AG128" s="26"/>
      <c r="AH128" s="26"/>
      <c r="AI128" s="26"/>
      <c r="AJ128" s="26"/>
      <c r="AK128" s="26"/>
      <c r="AL128" s="26"/>
      <c r="AM128" s="27"/>
    </row>
    <row r="129" spans="1:39" s="5" customFormat="1" ht="33.75" hidden="1" customHeight="1">
      <c r="J129" s="28"/>
      <c r="K129" s="29"/>
      <c r="L129" s="30" t="str">
        <f>DATA!I119</f>
        <v>A</v>
      </c>
      <c r="M129" s="31" t="str">
        <f>DATA!J119</f>
        <v>Program Pengembangan Perkeretaapian</v>
      </c>
      <c r="N129" s="51"/>
      <c r="O129" s="31"/>
      <c r="P129" s="31"/>
      <c r="Q129" s="31"/>
      <c r="R129" s="81">
        <f>+R130+R133+R134+R135</f>
        <v>5765336700</v>
      </c>
      <c r="S129" s="81"/>
      <c r="T129" s="81">
        <f t="shared" ref="T129:Z129" si="11">+T130+T133+T134+T135</f>
        <v>647453200</v>
      </c>
      <c r="U129" s="81">
        <f t="shared" si="11"/>
        <v>0</v>
      </c>
      <c r="V129" s="81">
        <f t="shared" si="11"/>
        <v>6412789900</v>
      </c>
      <c r="W129" s="81"/>
      <c r="X129" s="81" t="e">
        <f t="shared" si="11"/>
        <v>#VALUE!</v>
      </c>
      <c r="Y129" s="81">
        <f t="shared" si="11"/>
        <v>5765336700</v>
      </c>
      <c r="Z129" s="81">
        <f t="shared" si="11"/>
        <v>0</v>
      </c>
      <c r="AA129" s="31"/>
      <c r="AB129" s="32"/>
      <c r="AC129" s="32"/>
      <c r="AD129" s="32"/>
      <c r="AE129" s="32"/>
      <c r="AF129" s="31"/>
      <c r="AG129" s="31"/>
      <c r="AH129" s="31"/>
      <c r="AI129" s="31"/>
      <c r="AJ129" s="31"/>
      <c r="AK129" s="31"/>
      <c r="AL129" s="31"/>
      <c r="AM129" s="32"/>
    </row>
    <row r="130" spans="1:39" ht="27.75" hidden="1" customHeight="1">
      <c r="A130" s="10">
        <f>DATA!A119</f>
        <v>90</v>
      </c>
      <c r="B130" s="10">
        <f>DATA!B119</f>
        <v>0</v>
      </c>
      <c r="C130" s="10" t="str">
        <f>DATA!D119</f>
        <v>INFRASTRUKTUR</v>
      </c>
      <c r="D130" s="10">
        <f>DATA!E119</f>
        <v>3</v>
      </c>
      <c r="E130" s="10" t="str">
        <f>DATA!F119</f>
        <v>Kementerian Perhubungan</v>
      </c>
      <c r="F130" s="10" t="str">
        <f>DATA!H119</f>
        <v>Railway Development Program</v>
      </c>
      <c r="G130" s="10" t="str">
        <f>DATA!I119</f>
        <v>A</v>
      </c>
      <c r="H130" s="10" t="str">
        <f>DATA!J119</f>
        <v>Program Pengembangan Perkeretaapian</v>
      </c>
      <c r="I130" s="10">
        <f>DATA!K119</f>
        <v>1</v>
      </c>
      <c r="J130" s="33"/>
      <c r="K130" s="34"/>
      <c r="L130" s="35"/>
      <c r="M130" s="36">
        <f>DATA!K119</f>
        <v>1</v>
      </c>
      <c r="N130" s="37" t="str">
        <f>DATA!L119</f>
        <v>Procurement of Track Material and Turn Out:</v>
      </c>
      <c r="O130" s="20">
        <f>DATA!Q119</f>
        <v>0</v>
      </c>
      <c r="P130" s="20">
        <f>DATA!R119</f>
        <v>0</v>
      </c>
      <c r="Q130" s="20">
        <f>DATA!S119</f>
        <v>0</v>
      </c>
      <c r="R130" s="77">
        <f>DATA!T119</f>
        <v>492336700</v>
      </c>
      <c r="S130" s="77"/>
      <c r="T130" s="77">
        <f>DATA!V119</f>
        <v>119453200</v>
      </c>
      <c r="U130" s="77">
        <f>DATA!W119</f>
        <v>0</v>
      </c>
      <c r="V130" s="77">
        <f>DATA!X119</f>
        <v>611789900</v>
      </c>
      <c r="W130" s="78" t="str">
        <f>DATA!Y119</f>
        <v>-</v>
      </c>
      <c r="X130" s="20">
        <f>DATA!Z119</f>
        <v>0</v>
      </c>
      <c r="Y130" s="77">
        <f>DATA!AA119</f>
        <v>492336700</v>
      </c>
      <c r="Z130" s="77">
        <f>DATA!AG119</f>
        <v>0</v>
      </c>
      <c r="AA130" s="20" t="str">
        <f>DATA!AH119</f>
        <v>-</v>
      </c>
      <c r="AB130" s="37" t="str">
        <f>DATA!AI119</f>
        <v>-</v>
      </c>
      <c r="AC130" s="37" t="str">
        <f>DATA!AJ119</f>
        <v>-</v>
      </c>
      <c r="AD130" s="37" t="str">
        <f>DATA!AK119</f>
        <v>-</v>
      </c>
      <c r="AE130" s="37" t="str">
        <f>DATA!AL119</f>
        <v>-</v>
      </c>
      <c r="AF130" s="20" t="str">
        <f>DATA!AM119</f>
        <v>-</v>
      </c>
      <c r="AG130" s="20">
        <f>DATA!AN119</f>
        <v>0</v>
      </c>
      <c r="AH130" s="20" t="str">
        <f>DATA!AO119</f>
        <v>-</v>
      </c>
      <c r="AI130" s="20">
        <f>DATA!AP119</f>
        <v>0</v>
      </c>
      <c r="AJ130" s="20" t="str">
        <f>DATA!AY119</f>
        <v>Surat Kepala Biro Perencanaan nomor 548/BI/SRT/IX/2015 tgl 10 September 2015</v>
      </c>
      <c r="AK130" s="20" t="e">
        <f>DATA!#REF!</f>
        <v>#REF!</v>
      </c>
      <c r="AL130" s="20">
        <f>DATA!AZ119</f>
        <v>0</v>
      </c>
      <c r="AM130" s="37" t="str">
        <f>DATA!BA119</f>
        <v>Pengadaan 4.500 km track material dan pengadaan 650 unit wesel</v>
      </c>
    </row>
    <row r="131" spans="1:39" s="7" customFormat="1" ht="89.25">
      <c r="A131" s="6">
        <f>DATA!A120</f>
        <v>91</v>
      </c>
      <c r="B131" s="6">
        <f>DATA!B120</f>
        <v>0</v>
      </c>
      <c r="C131" s="6" t="str">
        <f>DATA!D120</f>
        <v>INFRASTRUKTUR</v>
      </c>
      <c r="D131" s="6">
        <f>DATA!E120</f>
        <v>3</v>
      </c>
      <c r="E131" s="6" t="str">
        <f>DATA!F120</f>
        <v>Kementerian Perhubungan</v>
      </c>
      <c r="F131" s="6" t="str">
        <f>DATA!H120</f>
        <v>Railway Development Program</v>
      </c>
      <c r="G131" s="6" t="str">
        <f>DATA!I120</f>
        <v>A</v>
      </c>
      <c r="H131" s="6" t="str">
        <f>DATA!J120</f>
        <v>Program Pengembangan Perkeretaapian</v>
      </c>
      <c r="I131" s="6">
        <f>DATA!K120</f>
        <v>1</v>
      </c>
      <c r="J131" s="44"/>
      <c r="K131" s="45"/>
      <c r="L131" s="45"/>
      <c r="M131" s="48"/>
      <c r="N131" s="68" t="str">
        <f>DATA!L120</f>
        <v>Procurement of Track Material and Turn Out - Phase II</v>
      </c>
      <c r="O131" s="42">
        <f>DATA!Q120</f>
        <v>1</v>
      </c>
      <c r="P131" s="42">
        <f>DATA!R120</f>
        <v>1</v>
      </c>
      <c r="Q131" s="42">
        <f>DATA!S120</f>
        <v>81</v>
      </c>
      <c r="R131" s="85">
        <f>DATA!T120</f>
        <v>200000000</v>
      </c>
      <c r="S131" s="85"/>
      <c r="T131" s="85">
        <f>DATA!V120</f>
        <v>46369000</v>
      </c>
      <c r="U131" s="83">
        <f>DATA!W120</f>
        <v>0</v>
      </c>
      <c r="V131" s="85">
        <f>DATA!X120</f>
        <v>246369000</v>
      </c>
      <c r="W131" s="86" t="str">
        <f>DATA!Y120</f>
        <v>RRT</v>
      </c>
      <c r="X131" s="42" t="str">
        <f>DATA!Z120</f>
        <v>Bilateral</v>
      </c>
      <c r="Y131" s="85">
        <f>DATA!AA120</f>
        <v>200000000</v>
      </c>
      <c r="Z131" s="85">
        <f>DATA!AG120</f>
        <v>0</v>
      </c>
      <c r="AA131" s="98">
        <f>DATA!AH120</f>
        <v>2016</v>
      </c>
      <c r="AB131" s="68" t="str">
        <f>DATA!AI120</f>
        <v>- Sudah ada R/C
- Green Book 2015
- Proses E/N dan LA
- Dalam proses persiapan penandatanganan Loan Agreement</v>
      </c>
      <c r="AC131" s="68" t="str">
        <f>DATA!AJ120</f>
        <v>- TOR
- RAB</v>
      </c>
      <c r="AD131" s="68" t="str">
        <f>DATA!AK120</f>
        <v xml:space="preserve">Tidak butuh pengadaan lahan </v>
      </c>
      <c r="AE131" s="68" t="str">
        <f>DATA!AL120</f>
        <v>Proses persetujuan draft kontrak oleh Menteri Perhubungan</v>
      </c>
      <c r="AF131" s="42" t="str">
        <f>DATA!AR120</f>
        <v>Nilai pinjaman di:
- GB 16 USD 175.056 ribu
- GB 15 USD 185.470 ribu</v>
      </c>
      <c r="AG131" s="42" t="str">
        <f>DATA!AN120</f>
        <v>dalam proses</v>
      </c>
      <c r="AH131" s="42" t="str">
        <f>DATA!AO120</f>
        <v>tidak butuh lahan</v>
      </c>
      <c r="AI131" s="42" t="str">
        <f>DATA!AP120</f>
        <v>belum ada proses tender/lelang</v>
      </c>
      <c r="AJ131" s="42" t="str">
        <f>DATA!AY120</f>
        <v>Surat Kepala Biro Perencanaan nomor 548/BI/SRT/IX/2015 tgl 10 September 2015</v>
      </c>
      <c r="AK131" s="42" t="e">
        <f>DATA!#REF!</f>
        <v>#REF!</v>
      </c>
      <c r="AL131" s="42">
        <f>DATA!AZ120</f>
        <v>0</v>
      </c>
      <c r="AM131" s="67" t="str">
        <f>DATA!BA120</f>
        <v>Pengadaan 1.500 km track material tipe UIC-54 dan pengadaan 300 unit wesel</v>
      </c>
    </row>
    <row r="132" spans="1:39" s="6" customFormat="1" ht="35.25" hidden="1" customHeight="1">
      <c r="A132" s="6">
        <f>DATA!A121</f>
        <v>92</v>
      </c>
      <c r="B132" s="6">
        <f>DATA!B121</f>
        <v>0</v>
      </c>
      <c r="C132" s="6" t="str">
        <f>DATA!D121</f>
        <v>INFRASTRUKTUR</v>
      </c>
      <c r="D132" s="6">
        <f>DATA!E121</f>
        <v>3</v>
      </c>
      <c r="E132" s="6" t="str">
        <f>DATA!F121</f>
        <v>Kementerian Perhubungan</v>
      </c>
      <c r="F132" s="6" t="str">
        <f>DATA!H121</f>
        <v>Railway Development Program</v>
      </c>
      <c r="G132" s="6" t="str">
        <f>DATA!I121</f>
        <v>A</v>
      </c>
      <c r="H132" s="6" t="str">
        <f>DATA!J121</f>
        <v>Program Pengembangan Perkeretaapian</v>
      </c>
      <c r="I132" s="6">
        <f>DATA!K121</f>
        <v>1</v>
      </c>
      <c r="J132" s="38"/>
      <c r="K132" s="39"/>
      <c r="L132" s="39"/>
      <c r="M132" s="43"/>
      <c r="N132" s="67" t="str">
        <f>DATA!L121</f>
        <v>Procurement of Track Material and Turn Out - Phase III</v>
      </c>
      <c r="O132" s="42">
        <f>DATA!Q121</f>
        <v>1</v>
      </c>
      <c r="P132" s="42">
        <f>DATA!R121</f>
        <v>1</v>
      </c>
      <c r="Q132" s="42">
        <f>DATA!S121</f>
        <v>82</v>
      </c>
      <c r="R132" s="83">
        <f>DATA!T121</f>
        <v>292336700</v>
      </c>
      <c r="S132" s="83"/>
      <c r="T132" s="83">
        <f>DATA!V121</f>
        <v>73084200</v>
      </c>
      <c r="U132" s="83">
        <f>DATA!W121</f>
        <v>0</v>
      </c>
      <c r="V132" s="83">
        <f>DATA!X121</f>
        <v>365420900</v>
      </c>
      <c r="W132" s="84" t="str">
        <f>DATA!Y121</f>
        <v>Belum Ada Indikasi</v>
      </c>
      <c r="X132" s="42" t="str">
        <f>DATA!Z121</f>
        <v>Belum Ada Indikasi</v>
      </c>
      <c r="Y132" s="83">
        <f>DATA!AA121</f>
        <v>292336700</v>
      </c>
      <c r="Z132" s="83">
        <f>DATA!AG121</f>
        <v>0</v>
      </c>
      <c r="AA132" s="42">
        <f>DATA!AH121</f>
        <v>2016</v>
      </c>
      <c r="AB132" s="67" t="str">
        <f>DATA!AI121</f>
        <v>-</v>
      </c>
      <c r="AC132" s="67" t="str">
        <f>DATA!AJ121</f>
        <v>-</v>
      </c>
      <c r="AD132" s="67" t="str">
        <f>DATA!AK121</f>
        <v xml:space="preserve">Tidak butuh pengadaan lahan </v>
      </c>
      <c r="AE132" s="67" t="str">
        <f>DATA!AL121</f>
        <v>-</v>
      </c>
      <c r="AF132" s="42" t="str">
        <f>DATA!AR121</f>
        <v>belum ada dokumen R/C</v>
      </c>
      <c r="AG132" s="42" t="str">
        <f>DATA!AN121</f>
        <v>belum ada keterangan</v>
      </c>
      <c r="AH132" s="42" t="str">
        <f>DATA!AO121</f>
        <v>tidak butuh lahan</v>
      </c>
      <c r="AI132" s="42" t="str">
        <f>DATA!AP121</f>
        <v>belum ada proses tender/lelang</v>
      </c>
      <c r="AJ132" s="42" t="str">
        <f>DATA!AY121</f>
        <v xml:space="preserve">- Menunggu kepastian Lender
- Surat Kepala Biro Perencanaan nomor 548/BI/SRT/IX/2015 tgl 10 September 2015
</v>
      </c>
      <c r="AK132" s="42" t="e">
        <f>DATA!#REF!</f>
        <v>#REF!</v>
      </c>
      <c r="AL132" s="42">
        <f>DATA!AZ121</f>
        <v>0</v>
      </c>
      <c r="AM132" s="67" t="str">
        <f>DATA!BA121</f>
        <v>Pengadaan 3.000 km track material tipe R 60 dan pengadaan 350 unit wesel</v>
      </c>
    </row>
    <row r="133" spans="1:39" ht="75.75" hidden="1" customHeight="1">
      <c r="A133" s="10">
        <f>DATA!A123</f>
        <v>93</v>
      </c>
      <c r="B133" s="10">
        <f>DATA!B123</f>
        <v>0</v>
      </c>
      <c r="C133" s="10" t="str">
        <f>DATA!D123</f>
        <v>INFRASTRUKTUR</v>
      </c>
      <c r="D133" s="10">
        <f>DATA!E123</f>
        <v>3</v>
      </c>
      <c r="E133" s="10" t="str">
        <f>DATA!F123</f>
        <v>Kementerian Perhubungan</v>
      </c>
      <c r="F133" s="10" t="str">
        <f>DATA!H123</f>
        <v>Railway Development Program</v>
      </c>
      <c r="G133" s="10" t="str">
        <f>DATA!I123</f>
        <v>A</v>
      </c>
      <c r="H133" s="10" t="str">
        <f>DATA!J123</f>
        <v>Program Pengembangan Perkeretaapian</v>
      </c>
      <c r="I133" s="10">
        <f>DATA!K123</f>
        <v>2</v>
      </c>
      <c r="J133" s="33"/>
      <c r="K133" s="34"/>
      <c r="L133" s="34"/>
      <c r="M133" s="36">
        <f>DATA!K123</f>
        <v>2</v>
      </c>
      <c r="N133" s="37" t="str">
        <f>DATA!L123</f>
        <v xml:space="preserve">Construction of Jakarta Mass Rapid Transit Project - Phase II </v>
      </c>
      <c r="O133" s="20">
        <f>DATA!Q123</f>
        <v>1</v>
      </c>
      <c r="P133" s="20">
        <f>DATA!R123</f>
        <v>1</v>
      </c>
      <c r="Q133" s="20">
        <f>DATA!S123</f>
        <v>83</v>
      </c>
      <c r="R133" s="77">
        <f>DATA!T123</f>
        <v>1678000000</v>
      </c>
      <c r="S133" s="77"/>
      <c r="T133" s="77">
        <f>DATA!V123</f>
        <v>167800000</v>
      </c>
      <c r="U133" s="77">
        <f>DATA!W123</f>
        <v>0</v>
      </c>
      <c r="V133" s="77">
        <f>DATA!X123</f>
        <v>1845800000</v>
      </c>
      <c r="W133" s="78" t="str">
        <f>DATA!Y123</f>
        <v>JICA</v>
      </c>
      <c r="X133" s="20" t="str">
        <f>DATA!Z123</f>
        <v>Bilateral</v>
      </c>
      <c r="Y133" s="77">
        <f>DATA!AA123</f>
        <v>1678000000</v>
      </c>
      <c r="Z133" s="77">
        <f>DATA!AG123</f>
        <v>0</v>
      </c>
      <c r="AA133" s="20">
        <f>DATA!AH123</f>
        <v>2016</v>
      </c>
      <c r="AB133" s="37" t="str">
        <f>DATA!AI123</f>
        <v>-</v>
      </c>
      <c r="AC133" s="37" t="str">
        <f>DATA!AJ123</f>
        <v>- FS
- TOR (Disusun oleh Pemda DKI Jakarta)
-  RAB (Disusun oleh Pemda DKI Jakarta)</v>
      </c>
      <c r="AD133" s="37" t="str">
        <f>DATA!AK123</f>
        <v>Indikasi kebutuhan lahan menunggu hasil desain</v>
      </c>
      <c r="AE133" s="37" t="str">
        <f>DATA!AL123</f>
        <v>- Dilaksanakan oleh Pemda DKI Jakarta (Implementing Agency)</v>
      </c>
      <c r="AF133" s="20" t="str">
        <f>DATA!AR123</f>
        <v>belum ada dokumen R/C</v>
      </c>
      <c r="AG133" s="20" t="str">
        <f>DATA!AN123</f>
        <v>dalam proses
(memiliki FS)</v>
      </c>
      <c r="AH133" s="20" t="str">
        <f>DATA!AO123</f>
        <v>dalam proses
(perencanaan)</v>
      </c>
      <c r="AI133" s="20" t="str">
        <f>DATA!AP123</f>
        <v>belum ada proses tender/lelang</v>
      </c>
      <c r="AJ133" s="20" t="str">
        <f>DATA!AY123</f>
        <v>Surat Kepala Biro Perencanaan nomor 548/BI/SRT/IX/2015 tgl 10 September 2015</v>
      </c>
      <c r="AK133" s="20" t="e">
        <f>DATA!#REF!</f>
        <v>#REF!</v>
      </c>
      <c r="AL133" s="20">
        <f>DATA!AZ123</f>
        <v>0</v>
      </c>
      <c r="AM133" s="37" t="str">
        <f>DATA!BA123</f>
        <v>Terbangunnya jaringan MRT dari bundaran HI ke Kampung Bandan</v>
      </c>
    </row>
    <row r="134" spans="1:39" ht="74.25" hidden="1" customHeight="1">
      <c r="A134" s="10">
        <f>DATA!A124</f>
        <v>94</v>
      </c>
      <c r="B134" s="10">
        <f>DATA!B124</f>
        <v>0</v>
      </c>
      <c r="C134" s="10" t="str">
        <f>DATA!D124</f>
        <v>INFRASTRUKTUR</v>
      </c>
      <c r="D134" s="10">
        <f>DATA!E124</f>
        <v>3</v>
      </c>
      <c r="E134" s="10" t="str">
        <f>DATA!F124</f>
        <v>Kementerian Perhubungan</v>
      </c>
      <c r="F134" s="10" t="str">
        <f>DATA!H124</f>
        <v>Railway Development Program</v>
      </c>
      <c r="G134" s="10" t="str">
        <f>DATA!I124</f>
        <v>A</v>
      </c>
      <c r="H134" s="10" t="str">
        <f>DATA!J124</f>
        <v>Program Pengembangan Perkeretaapian</v>
      </c>
      <c r="I134" s="10">
        <f>DATA!K124</f>
        <v>3</v>
      </c>
      <c r="J134" s="33"/>
      <c r="K134" s="34"/>
      <c r="L134" s="34"/>
      <c r="M134" s="36">
        <f>DATA!K124</f>
        <v>3</v>
      </c>
      <c r="N134" s="37" t="str">
        <f>DATA!L124</f>
        <v>Construction of Jakarta Mass Rapid Transit East-West Line Project - Phase I</v>
      </c>
      <c r="O134" s="20">
        <f>DATA!Q124</f>
        <v>1</v>
      </c>
      <c r="P134" s="20">
        <f>DATA!R124</f>
        <v>1</v>
      </c>
      <c r="Q134" s="20">
        <f>DATA!S124</f>
        <v>84</v>
      </c>
      <c r="R134" s="77">
        <f>DATA!T124</f>
        <v>3572000000</v>
      </c>
      <c r="S134" s="77"/>
      <c r="T134" s="77">
        <f>DATA!V124</f>
        <v>357200000</v>
      </c>
      <c r="U134" s="77">
        <f>DATA!W124</f>
        <v>0</v>
      </c>
      <c r="V134" s="77">
        <f>DATA!X124</f>
        <v>3929200000</v>
      </c>
      <c r="W134" s="78" t="str">
        <f>DATA!Y124</f>
        <v>JICA</v>
      </c>
      <c r="X134" s="20" t="str">
        <f>DATA!Z124</f>
        <v>Bilateral</v>
      </c>
      <c r="Y134" s="77">
        <f>DATA!AA124</f>
        <v>3572000000</v>
      </c>
      <c r="Z134" s="77">
        <f>DATA!AG124</f>
        <v>0</v>
      </c>
      <c r="AA134" s="20">
        <f>DATA!AH124</f>
        <v>2018</v>
      </c>
      <c r="AB134" s="37" t="str">
        <f>DATA!AI124</f>
        <v>-</v>
      </c>
      <c r="AC134" s="37" t="str">
        <f>DATA!AJ124</f>
        <v>- FS
- TOR (Disusun oleh Pemda DKI Jakarta)
-  RAB (Disusun oleh Pemda DKI Jakarta)</v>
      </c>
      <c r="AD134" s="37" t="str">
        <f>DATA!AK124</f>
        <v>Indikasi kebutuhan lahan menunggu hasil desain</v>
      </c>
      <c r="AE134" s="37" t="str">
        <f>DATA!AL124</f>
        <v>- Dilaksanakan oleh Pemda DKI Jakarta (Implementing Agency)</v>
      </c>
      <c r="AF134" s="20" t="str">
        <f>DATA!AR124</f>
        <v>belum ada dokumen R/C</v>
      </c>
      <c r="AG134" s="20" t="str">
        <f>DATA!AN124</f>
        <v>dalam proses
(memiliki FS)</v>
      </c>
      <c r="AH134" s="20" t="str">
        <f>DATA!AO124</f>
        <v>dalam proses
(perencanaan)</v>
      </c>
      <c r="AI134" s="20" t="str">
        <f>DATA!AP124</f>
        <v>belum ada proses tender/lelang</v>
      </c>
      <c r="AJ134" s="20" t="str">
        <f>DATA!AY124</f>
        <v>Surat Kepala Biro Perencanaan nomor 548/BI/SRT/IX/2015 tgl 10 September 2015</v>
      </c>
      <c r="AK134" s="20" t="e">
        <f>DATA!#REF!</f>
        <v>#REF!</v>
      </c>
      <c r="AL134" s="20">
        <f>DATA!AZ124</f>
        <v>0</v>
      </c>
      <c r="AM134" s="37" t="str">
        <f>DATA!BA124</f>
        <v>Terbangunnya jaringan MRT dari Jakarta Timur ke Jakarta Barat</v>
      </c>
    </row>
    <row r="135" spans="1:39" ht="51" hidden="1">
      <c r="A135" s="10">
        <f>DATA!A125</f>
        <v>95</v>
      </c>
      <c r="B135" s="10">
        <f>DATA!B125</f>
        <v>0</v>
      </c>
      <c r="C135" s="10" t="str">
        <f>DATA!D125</f>
        <v>INFRASTRUKTUR</v>
      </c>
      <c r="D135" s="10">
        <f>DATA!E125</f>
        <v>3</v>
      </c>
      <c r="E135" s="10" t="str">
        <f>DATA!F125</f>
        <v>Kementerian Perhubungan</v>
      </c>
      <c r="F135" s="10" t="str">
        <f>DATA!H125</f>
        <v>Railway Development Program</v>
      </c>
      <c r="G135" s="10" t="str">
        <f>DATA!I125</f>
        <v>A</v>
      </c>
      <c r="H135" s="10" t="str">
        <f>DATA!J125</f>
        <v>Program Pengembangan Perkeretaapian</v>
      </c>
      <c r="I135" s="10">
        <f>DATA!K125</f>
        <v>4</v>
      </c>
      <c r="J135" s="33"/>
      <c r="K135" s="54"/>
      <c r="L135" s="54"/>
      <c r="M135" s="36">
        <f>DATA!K125</f>
        <v>4</v>
      </c>
      <c r="N135" s="37" t="str">
        <f>DATA!L125</f>
        <v xml:space="preserve">Engineering Services Jakarta Mass Rapid Transit (MRT) East West Line Project - Phase I </v>
      </c>
      <c r="O135" s="20">
        <f>DATA!Q125</f>
        <v>1</v>
      </c>
      <c r="P135" s="20">
        <f>DATA!R125</f>
        <v>1</v>
      </c>
      <c r="Q135" s="20">
        <f>DATA!S125</f>
        <v>86</v>
      </c>
      <c r="R135" s="77">
        <f>DATA!T125</f>
        <v>23000000</v>
      </c>
      <c r="S135" s="77"/>
      <c r="T135" s="77">
        <f>DATA!V125</f>
        <v>3000000</v>
      </c>
      <c r="U135" s="77">
        <f>DATA!W125</f>
        <v>0</v>
      </c>
      <c r="V135" s="77">
        <f>DATA!X125</f>
        <v>26000000</v>
      </c>
      <c r="W135" s="78" t="str">
        <f>DATA!Y125</f>
        <v>JICA</v>
      </c>
      <c r="X135" s="20" t="str">
        <f>DATA!Z125</f>
        <v>Bilateral</v>
      </c>
      <c r="Y135" s="77">
        <f>DATA!AA125</f>
        <v>23000000</v>
      </c>
      <c r="Z135" s="77">
        <f>DATA!AG125</f>
        <v>0</v>
      </c>
      <c r="AA135" s="20">
        <f>DATA!AH125</f>
        <v>2015</v>
      </c>
      <c r="AB135" s="37" t="str">
        <f>DATA!AI125</f>
        <v>- Sudah ada R/C
- Green Book 2015
- Loan Agreement tgl 4 Des'15</v>
      </c>
      <c r="AC135" s="37" t="str">
        <f>DATA!AJ125</f>
        <v>- TOR
- RAB</v>
      </c>
      <c r="AD135" s="37" t="str">
        <f>DATA!AK125</f>
        <v>Tidak membutuhkan pengadaan lahan</v>
      </c>
      <c r="AE135" s="37" t="str">
        <f>DATA!AL125</f>
        <v xml:space="preserve">- </v>
      </c>
      <c r="AF135" s="20" t="str">
        <f>DATA!AR125</f>
        <v>Nilai pinjaman di GB 19.200 ribu</v>
      </c>
      <c r="AG135" s="20" t="str">
        <f>DATA!AN125</f>
        <v>siap</v>
      </c>
      <c r="AH135" s="20" t="str">
        <f>DATA!AO125</f>
        <v>tidak butuh lahan</v>
      </c>
      <c r="AI135" s="20" t="str">
        <f>DATA!AP125</f>
        <v>belum ada proses tender/lelang</v>
      </c>
      <c r="AJ135" s="20" t="str">
        <f>DATA!AY125</f>
        <v>Surat Kepala Biro Perencanaan nomor 548/BI/SRT/IX/2015 tgl 10 September 2015</v>
      </c>
      <c r="AK135" s="20" t="e">
        <f>DATA!#REF!</f>
        <v>#REF!</v>
      </c>
      <c r="AL135" s="20">
        <f>DATA!AZ125</f>
        <v>0</v>
      </c>
      <c r="AM135" s="37" t="str">
        <f>DATA!BA125</f>
        <v xml:space="preserve">Tersedianya DED dan dokumen tender </v>
      </c>
    </row>
    <row r="136" spans="1:39" s="4" customFormat="1" ht="24.95" hidden="1" customHeight="1">
      <c r="J136" s="107"/>
      <c r="K136" s="25">
        <f>DATA!E130</f>
        <v>4</v>
      </c>
      <c r="L136" s="108" t="str">
        <f>DATA!F130</f>
        <v>Pemprov. DKI Jakarta</v>
      </c>
      <c r="M136" s="25"/>
      <c r="N136" s="27"/>
      <c r="O136" s="26"/>
      <c r="P136" s="26"/>
      <c r="Q136" s="26"/>
      <c r="R136" s="80">
        <f>+R137</f>
        <v>1050000000</v>
      </c>
      <c r="S136" s="80"/>
      <c r="T136" s="80">
        <f t="shared" ref="T136:Z137" si="12">+T137</f>
        <v>150000000</v>
      </c>
      <c r="U136" s="80">
        <f t="shared" si="12"/>
        <v>0</v>
      </c>
      <c r="V136" s="80">
        <f t="shared" si="12"/>
        <v>1200000000</v>
      </c>
      <c r="W136" s="80"/>
      <c r="X136" s="80" t="str">
        <f t="shared" si="12"/>
        <v>Bilateral</v>
      </c>
      <c r="Y136" s="80">
        <f t="shared" si="12"/>
        <v>1050000000</v>
      </c>
      <c r="Z136" s="80">
        <f t="shared" si="12"/>
        <v>0</v>
      </c>
      <c r="AA136" s="26"/>
      <c r="AB136" s="27"/>
      <c r="AC136" s="27"/>
      <c r="AD136" s="27"/>
      <c r="AE136" s="27"/>
      <c r="AF136" s="26"/>
      <c r="AG136" s="26"/>
      <c r="AH136" s="26"/>
      <c r="AI136" s="26"/>
      <c r="AJ136" s="26"/>
      <c r="AK136" s="26"/>
      <c r="AL136" s="26"/>
      <c r="AM136" s="27"/>
    </row>
    <row r="137" spans="1:39" s="5" customFormat="1" ht="33.75" hidden="1" customHeight="1">
      <c r="J137" s="28"/>
      <c r="K137" s="29"/>
      <c r="L137" s="30" t="str">
        <f>DATA!I130</f>
        <v>A</v>
      </c>
      <c r="M137" s="31" t="str">
        <f>DATA!J130</f>
        <v>Program Pengembangan Perkeretaapian</v>
      </c>
      <c r="N137" s="51"/>
      <c r="O137" s="31"/>
      <c r="P137" s="31"/>
      <c r="Q137" s="31"/>
      <c r="R137" s="81">
        <f>+R138</f>
        <v>1050000000</v>
      </c>
      <c r="S137" s="81"/>
      <c r="T137" s="81">
        <f t="shared" si="12"/>
        <v>150000000</v>
      </c>
      <c r="U137" s="81">
        <f t="shared" si="12"/>
        <v>0</v>
      </c>
      <c r="V137" s="81">
        <f t="shared" si="12"/>
        <v>1200000000</v>
      </c>
      <c r="W137" s="81"/>
      <c r="X137" s="81" t="str">
        <f t="shared" si="12"/>
        <v>Bilateral</v>
      </c>
      <c r="Y137" s="81">
        <f t="shared" si="12"/>
        <v>1050000000</v>
      </c>
      <c r="Z137" s="81">
        <f t="shared" si="12"/>
        <v>0</v>
      </c>
      <c r="AA137" s="31"/>
      <c r="AB137" s="32"/>
      <c r="AC137" s="32"/>
      <c r="AD137" s="32"/>
      <c r="AE137" s="32"/>
      <c r="AF137" s="31"/>
      <c r="AG137" s="31"/>
      <c r="AH137" s="31"/>
      <c r="AI137" s="31"/>
      <c r="AJ137" s="31"/>
      <c r="AK137" s="31"/>
      <c r="AL137" s="31"/>
      <c r="AM137" s="32"/>
    </row>
    <row r="138" spans="1:39" s="8" customFormat="1" ht="45.75" customHeight="1">
      <c r="A138" s="10">
        <f>DATA!A130</f>
        <v>96</v>
      </c>
      <c r="B138" s="10">
        <f>DATA!B130</f>
        <v>0</v>
      </c>
      <c r="C138" s="10" t="str">
        <f>DATA!D130</f>
        <v>INFRASTRUKTUR</v>
      </c>
      <c r="D138" s="10">
        <f>DATA!E130</f>
        <v>4</v>
      </c>
      <c r="E138" s="10" t="str">
        <f>DATA!F130</f>
        <v>Pemprov. DKI Jakarta</v>
      </c>
      <c r="F138" s="10" t="str">
        <f>DATA!H130</f>
        <v>Railway Development Program</v>
      </c>
      <c r="G138" s="10" t="str">
        <f>DATA!I130</f>
        <v>A</v>
      </c>
      <c r="H138" s="10" t="str">
        <f>DATA!J130</f>
        <v>Program Pengembangan Perkeretaapian</v>
      </c>
      <c r="I138" s="10">
        <f>DATA!K130</f>
        <v>1</v>
      </c>
      <c r="J138" s="57"/>
      <c r="K138" s="111"/>
      <c r="L138" s="103"/>
      <c r="M138" s="103">
        <f>DATA!K130</f>
        <v>1</v>
      </c>
      <c r="N138" s="61" t="str">
        <f>DATA!L130</f>
        <v>Construction of Jakarta Mass Rapid Transit Project</v>
      </c>
      <c r="O138" s="20">
        <f>DATA!Q130</f>
        <v>1</v>
      </c>
      <c r="P138" s="20">
        <f>DATA!R130</f>
        <v>1</v>
      </c>
      <c r="Q138" s="20">
        <f>DATA!S130</f>
        <v>85</v>
      </c>
      <c r="R138" s="89">
        <f>DATA!T130</f>
        <v>1050000000</v>
      </c>
      <c r="S138" s="89"/>
      <c r="T138" s="89">
        <f>DATA!V130</f>
        <v>150000000</v>
      </c>
      <c r="U138" s="77">
        <f>DATA!W130</f>
        <v>0</v>
      </c>
      <c r="V138" s="89">
        <f>DATA!X130</f>
        <v>1200000000</v>
      </c>
      <c r="W138" s="90" t="str">
        <f>DATA!Y130</f>
        <v>JICA</v>
      </c>
      <c r="X138" s="20" t="str">
        <f>DATA!Z130</f>
        <v>Bilateral</v>
      </c>
      <c r="Y138" s="89">
        <f>DATA!AA130</f>
        <v>1050000000</v>
      </c>
      <c r="Z138" s="89">
        <f>DATA!AG130</f>
        <v>0</v>
      </c>
      <c r="AA138" s="103">
        <f>DATA!AH130</f>
        <v>2016</v>
      </c>
      <c r="AB138" s="61" t="str">
        <f>DATA!AI130</f>
        <v>- Sudah ada R/C
- Green Book 2015
- Loan Agreement tgl 4 Des'15</v>
      </c>
      <c r="AC138" s="61" t="str">
        <f>DATA!AJ130</f>
        <v>- TOR
- RAB</v>
      </c>
      <c r="AD138" s="131">
        <f>DATA!AK130</f>
        <v>1</v>
      </c>
      <c r="AE138" s="61" t="str">
        <f>DATA!AL130</f>
        <v>- Menunggu penandatanganan Loan Agreement</v>
      </c>
      <c r="AF138" s="20" t="str">
        <f>DATA!AR130</f>
        <v>Nilai pinjaman di GB USD 752.200 ribu</v>
      </c>
      <c r="AG138" s="20" t="str">
        <f>DATA!AN130</f>
        <v>siap</v>
      </c>
      <c r="AH138" s="20" t="str">
        <f>DATA!AO130</f>
        <v>siap</v>
      </c>
      <c r="AI138" s="20" t="str">
        <f>DATA!AP130</f>
        <v>dalam proses tender/lelang</v>
      </c>
      <c r="AJ138" s="20" t="str">
        <f>DATA!AY130</f>
        <v>Belum ada konfirmasi. Berdasarkan data dokumen kesiapan (RC)</v>
      </c>
      <c r="AK138" s="20" t="e">
        <f>DATA!#REF!</f>
        <v>#REF!</v>
      </c>
      <c r="AL138" s="20">
        <f>DATA!AZ130</f>
        <v>0</v>
      </c>
      <c r="AM138" s="37" t="str">
        <f>DATA!BA130</f>
        <v>Terbangunnya jaringan MRT dari Utara ke Selatan</v>
      </c>
    </row>
    <row r="139" spans="1:39" s="4" customFormat="1" ht="24.95" hidden="1" customHeight="1">
      <c r="J139" s="107"/>
      <c r="K139" s="25">
        <f>DATA!E135</f>
        <v>5</v>
      </c>
      <c r="L139" s="108" t="str">
        <f>DATA!F135</f>
        <v>Kementerian Komunikasi dan Informatika</v>
      </c>
      <c r="M139" s="25"/>
      <c r="N139" s="27"/>
      <c r="O139" s="26"/>
      <c r="P139" s="26"/>
      <c r="Q139" s="26"/>
      <c r="R139" s="80">
        <f>+R140</f>
        <v>1056000000</v>
      </c>
      <c r="S139" s="80"/>
      <c r="T139" s="80">
        <f t="shared" ref="T139:Z139" si="13">+T140</f>
        <v>86000000</v>
      </c>
      <c r="U139" s="80">
        <f t="shared" si="13"/>
        <v>10000000</v>
      </c>
      <c r="V139" s="80">
        <f t="shared" si="13"/>
        <v>1152000000</v>
      </c>
      <c r="W139" s="80"/>
      <c r="X139" s="80" t="e">
        <f t="shared" si="13"/>
        <v>#VALUE!</v>
      </c>
      <c r="Y139" s="80">
        <f t="shared" si="13"/>
        <v>1056000000</v>
      </c>
      <c r="Z139" s="80">
        <f t="shared" si="13"/>
        <v>-411000000</v>
      </c>
      <c r="AA139" s="26"/>
      <c r="AB139" s="27"/>
      <c r="AC139" s="27"/>
      <c r="AD139" s="27"/>
      <c r="AE139" s="27"/>
      <c r="AF139" s="26"/>
      <c r="AG139" s="26"/>
      <c r="AH139" s="26"/>
      <c r="AI139" s="26"/>
      <c r="AJ139" s="26"/>
      <c r="AK139" s="26"/>
      <c r="AL139" s="26"/>
      <c r="AM139" s="27"/>
    </row>
    <row r="140" spans="1:39" s="5" customFormat="1" ht="33.75" hidden="1" customHeight="1">
      <c r="J140" s="28"/>
      <c r="K140" s="29"/>
      <c r="L140" s="30" t="str">
        <f>DATA!I135</f>
        <v>A</v>
      </c>
      <c r="M140" s="31" t="str">
        <f>DATA!J135</f>
        <v>Program Pengembangan Infrastruktur TIK dan Penyiaran</v>
      </c>
      <c r="N140" s="51"/>
      <c r="O140" s="31"/>
      <c r="P140" s="31"/>
      <c r="Q140" s="31"/>
      <c r="R140" s="81">
        <f>+R141+R142+R143</f>
        <v>1056000000</v>
      </c>
      <c r="S140" s="81"/>
      <c r="T140" s="81">
        <f t="shared" ref="T140:Z140" si="14">+T141+T142+T143</f>
        <v>86000000</v>
      </c>
      <c r="U140" s="81">
        <f t="shared" si="14"/>
        <v>10000000</v>
      </c>
      <c r="V140" s="81">
        <f t="shared" si="14"/>
        <v>1152000000</v>
      </c>
      <c r="W140" s="81"/>
      <c r="X140" s="81" t="e">
        <f t="shared" si="14"/>
        <v>#VALUE!</v>
      </c>
      <c r="Y140" s="81">
        <f t="shared" si="14"/>
        <v>1056000000</v>
      </c>
      <c r="Z140" s="81">
        <f t="shared" si="14"/>
        <v>-411000000</v>
      </c>
      <c r="AA140" s="31"/>
      <c r="AB140" s="32"/>
      <c r="AC140" s="32"/>
      <c r="AD140" s="32"/>
      <c r="AE140" s="32"/>
      <c r="AF140" s="31"/>
      <c r="AG140" s="31"/>
      <c r="AH140" s="31"/>
      <c r="AI140" s="31"/>
      <c r="AJ140" s="31"/>
      <c r="AK140" s="31"/>
      <c r="AL140" s="31"/>
      <c r="AM140" s="32"/>
    </row>
    <row r="141" spans="1:39" ht="71.25" hidden="1" customHeight="1">
      <c r="A141" s="10">
        <f>DATA!A135</f>
        <v>97</v>
      </c>
      <c r="B141" s="10">
        <f>DATA!B135</f>
        <v>0</v>
      </c>
      <c r="C141" s="10" t="str">
        <f>DATA!D135</f>
        <v>INFRASTRUKTUR</v>
      </c>
      <c r="D141" s="10">
        <f>DATA!E135</f>
        <v>5</v>
      </c>
      <c r="E141" s="10" t="str">
        <f>DATA!F135</f>
        <v>Kementerian Komunikasi dan Informatika</v>
      </c>
      <c r="F141" s="10" t="str">
        <f>DATA!H135</f>
        <v>Information Communication And Technology (ICT) And Broadcasting Infrastructure Development Program</v>
      </c>
      <c r="G141" s="10" t="str">
        <f>DATA!I135</f>
        <v>A</v>
      </c>
      <c r="H141" s="10" t="str">
        <f>DATA!J135</f>
        <v>Program Pengembangan Infrastruktur TIK dan Penyiaran</v>
      </c>
      <c r="I141" s="10">
        <f>DATA!K135</f>
        <v>1</v>
      </c>
      <c r="J141" s="33"/>
      <c r="K141" s="34"/>
      <c r="L141" s="35"/>
      <c r="M141" s="36">
        <f>DATA!K135</f>
        <v>1</v>
      </c>
      <c r="N141" s="37" t="str">
        <f>DATA!L135</f>
        <v>Improvement on TV Transmitting Stations (Digitalization of TVRI) - Phase III</v>
      </c>
      <c r="O141" s="20">
        <f>DATA!Q135</f>
        <v>1</v>
      </c>
      <c r="P141" s="20">
        <f>DATA!R135</f>
        <v>1</v>
      </c>
      <c r="Q141" s="20">
        <f>DATA!S135</f>
        <v>87</v>
      </c>
      <c r="R141" s="77">
        <f>DATA!T135</f>
        <v>411000000</v>
      </c>
      <c r="S141" s="77"/>
      <c r="T141" s="77">
        <f>DATA!V135</f>
        <v>41000000</v>
      </c>
      <c r="U141" s="77">
        <f>DATA!W135</f>
        <v>0</v>
      </c>
      <c r="V141" s="77">
        <f>DATA!X135</f>
        <v>452000000</v>
      </c>
      <c r="W141" s="78" t="str">
        <f>DATA!Y135</f>
        <v>Belum Ada Indikasi</v>
      </c>
      <c r="X141" s="20" t="str">
        <f>DATA!Z135</f>
        <v>Belum Ada Indikasi</v>
      </c>
      <c r="Y141" s="77">
        <f>DATA!AA135</f>
        <v>411000000</v>
      </c>
      <c r="Z141" s="77">
        <f>DATA!AG135</f>
        <v>-411000000</v>
      </c>
      <c r="AA141" s="20" t="str">
        <f>DATA!AH135</f>
        <v>Tanpa keterangan</v>
      </c>
      <c r="AB141" s="37" t="str">
        <f>DATA!AI135</f>
        <v>(tidak ada data)</v>
      </c>
      <c r="AC141" s="37" t="str">
        <f>DATA!AJ135</f>
        <v>Persiapan penyusunan FS</v>
      </c>
      <c r="AD141" s="37" t="str">
        <f>DATA!AK135</f>
        <v>Menggunakan lahan milik TVRI</v>
      </c>
      <c r="AE141" s="37" t="str">
        <f>DATA!AL135</f>
        <v>Belum ada lelang/tender</v>
      </c>
      <c r="AF141" s="20" t="str">
        <f>DATA!AR135</f>
        <v>belum ada dokumen R/C</v>
      </c>
      <c r="AG141" s="20" t="str">
        <f>DATA!AN135</f>
        <v>dalam proses
(penyusunan FS)</v>
      </c>
      <c r="AH141" s="20" t="str">
        <f>DATA!AO135</f>
        <v>siap</v>
      </c>
      <c r="AI141" s="20" t="str">
        <f>DATA!AP135</f>
        <v>belum ada proses tender/lelang</v>
      </c>
      <c r="AJ141" s="20" t="str">
        <f>DATA!AY135</f>
        <v xml:space="preserve">- Belum ada indikasi Lender, Dit. Telsus sedang melakukan penjajakan, belum bisa diidentifikasikan sampai proses penjajakan selesai
- Surat Karoren Kem. Kominfo nomor S-1075/KOMINFO/SJ.1/PR.01.01/09/2015 tgl 9 September 2015
</v>
      </c>
      <c r="AK141" s="20" t="e">
        <f>DATA!#REF!</f>
        <v>#REF!</v>
      </c>
      <c r="AL141" s="20">
        <f>DATA!AZ135</f>
        <v>0</v>
      </c>
      <c r="AM141" s="37" t="str">
        <f>DATA!BA135</f>
        <v>Pengadaan peralatan dan mesin untuk rehabilitasi fasilitas produksi dan pemancar TVRI dari sistem analog ke digital untuk: 29 studio (7 di pusat dan 22 di daerah), 250 stasiun transmisi, 30 lokasi untuk ICT Broadcast</v>
      </c>
    </row>
    <row r="142" spans="1:39" ht="81" hidden="1" customHeight="1">
      <c r="A142" s="10">
        <f>DATA!A136</f>
        <v>98</v>
      </c>
      <c r="B142" s="10">
        <f>DATA!B136</f>
        <v>0</v>
      </c>
      <c r="C142" s="10" t="str">
        <f>DATA!D136</f>
        <v>INFRASTRUKTUR</v>
      </c>
      <c r="D142" s="10">
        <f>DATA!E136</f>
        <v>5</v>
      </c>
      <c r="E142" s="10" t="str">
        <f>DATA!F136</f>
        <v>Kementerian Komunikasi dan Informatika</v>
      </c>
      <c r="F142" s="10" t="str">
        <f>DATA!H136</f>
        <v>Information Communication And Technology (ICT) And Broadcasting Infrastructure Development Program</v>
      </c>
      <c r="G142" s="10" t="str">
        <f>DATA!I136</f>
        <v>A</v>
      </c>
      <c r="H142" s="10" t="str">
        <f>DATA!J136</f>
        <v>Program Pengembangan Infrastruktur TIK dan Penyiaran</v>
      </c>
      <c r="I142" s="10">
        <f>DATA!K136</f>
        <v>2</v>
      </c>
      <c r="J142" s="33"/>
      <c r="K142" s="34"/>
      <c r="L142" s="34"/>
      <c r="M142" s="36">
        <f>DATA!K136</f>
        <v>2</v>
      </c>
      <c r="N142" s="37" t="str">
        <f>DATA!L136</f>
        <v>Strengthening of e-Government Infrastructure</v>
      </c>
      <c r="O142" s="20">
        <f>DATA!Q136</f>
        <v>1</v>
      </c>
      <c r="P142" s="20">
        <f>DATA!R136</f>
        <v>1</v>
      </c>
      <c r="Q142" s="20">
        <f>DATA!S136</f>
        <v>88</v>
      </c>
      <c r="R142" s="77">
        <f>DATA!T136</f>
        <v>145000000</v>
      </c>
      <c r="S142" s="77"/>
      <c r="T142" s="77">
        <f>DATA!V136</f>
        <v>20000000</v>
      </c>
      <c r="U142" s="77">
        <f>DATA!W136</f>
        <v>10000000</v>
      </c>
      <c r="V142" s="77">
        <f>DATA!X136</f>
        <v>175000000</v>
      </c>
      <c r="W142" s="78" t="str">
        <f>DATA!Y136</f>
        <v>Korea</v>
      </c>
      <c r="X142" s="20" t="str">
        <f>DATA!Z136</f>
        <v>Bilateral</v>
      </c>
      <c r="Y142" s="77">
        <f>DATA!AA136</f>
        <v>145000000</v>
      </c>
      <c r="Z142" s="77">
        <f>DATA!AG136</f>
        <v>0</v>
      </c>
      <c r="AA142" s="20" t="str">
        <f>DATA!AH136</f>
        <v>Tanpa keterangan</v>
      </c>
      <c r="AB142" s="37" t="str">
        <f>DATA!AI136</f>
        <v>Persiapan penyusunan R/C</v>
      </c>
      <c r="AC142" s="37" t="str">
        <f>DATA!AJ136</f>
        <v>Persiapan penyusunan FS dan DED</v>
      </c>
      <c r="AD142" s="37" t="str">
        <f>DATA!AK136</f>
        <v>Permohonan ijin lokasi kepada Gubernur Kaltim telah direspon persetujuan menunggu survey</v>
      </c>
      <c r="AE142" s="37" t="str">
        <f>DATA!AL136</f>
        <v>Belum ada lelang/tender</v>
      </c>
      <c r="AF142" s="20" t="str">
        <f>DATA!AR136</f>
        <v>penyiapan dokumen R/C</v>
      </c>
      <c r="AG142" s="20" t="str">
        <f>DATA!AN136</f>
        <v>dalam proses
(penyusunan FS)</v>
      </c>
      <c r="AH142" s="20" t="str">
        <f>DATA!AO136</f>
        <v>dalam proses
(persiapan)</v>
      </c>
      <c r="AI142" s="20" t="str">
        <f>DATA!AP136</f>
        <v>belum ada proses tender/lelang</v>
      </c>
      <c r="AJ142"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K142" s="20" t="e">
        <f>DATA!#REF!</f>
        <v>#REF!</v>
      </c>
      <c r="AL142" s="20">
        <f>DATA!AZ136</f>
        <v>0</v>
      </c>
      <c r="AM142" s="37" t="str">
        <f>DATA!BA136</f>
        <v>Pembangunan Data Center (DC) Nasional, pembangunan Disaster Recovery Center (DRC), pembangunan National Network Operation Center (NNOC),  sistem Government-Certification of Authority (Govt-CA),  dan penyediaan bandwidth selama 3 tahun.</v>
      </c>
    </row>
    <row r="143" spans="1:39" ht="38.25" hidden="1" customHeight="1">
      <c r="A143" s="10">
        <f>DATA!A137</f>
        <v>99</v>
      </c>
      <c r="B143" s="10">
        <f>DATA!B137</f>
        <v>0</v>
      </c>
      <c r="C143" s="10" t="str">
        <f>DATA!D137</f>
        <v>INFRASTRUKTUR</v>
      </c>
      <c r="D143" s="10">
        <f>DATA!E137</f>
        <v>5</v>
      </c>
      <c r="E143" s="10" t="str">
        <f>DATA!F137</f>
        <v>Kementerian Komunikasi dan Informatika</v>
      </c>
      <c r="F143" s="10" t="str">
        <f>DATA!H137</f>
        <v>Information Communication And Technology (ICT) And Broadcasting Infrastructure Development Program</v>
      </c>
      <c r="G143" s="10" t="str">
        <f>DATA!I137</f>
        <v>A</v>
      </c>
      <c r="H143" s="10" t="str">
        <f>DATA!J137</f>
        <v>Program Pengembangan Infrastruktur TIK dan Penyiaran</v>
      </c>
      <c r="I143" s="10">
        <f>DATA!K137</f>
        <v>3</v>
      </c>
      <c r="J143" s="33"/>
      <c r="K143" s="54"/>
      <c r="L143" s="54"/>
      <c r="M143" s="36">
        <f>DATA!K137</f>
        <v>3</v>
      </c>
      <c r="N143" s="37" t="str">
        <f>DATA!L137</f>
        <v>National Fiber Optic Backbone (Palapa Ring)</v>
      </c>
      <c r="O143" s="20">
        <f>DATA!Q137</f>
        <v>1</v>
      </c>
      <c r="P143" s="20">
        <f>DATA!R137</f>
        <v>1</v>
      </c>
      <c r="Q143" s="20">
        <f>DATA!S137</f>
        <v>89</v>
      </c>
      <c r="R143" s="77">
        <f>DATA!T137</f>
        <v>500000000</v>
      </c>
      <c r="S143" s="77"/>
      <c r="T143" s="77">
        <f>DATA!V137</f>
        <v>25000000</v>
      </c>
      <c r="U143" s="77">
        <f>DATA!W137</f>
        <v>0</v>
      </c>
      <c r="V143" s="77">
        <f>DATA!X137</f>
        <v>525000000</v>
      </c>
      <c r="W143" s="78" t="str">
        <f>DATA!Y137</f>
        <v>KPS</v>
      </c>
      <c r="X143" s="20" t="str">
        <f>DATA!Z137</f>
        <v>Dipindahkan ke KPS</v>
      </c>
      <c r="Y143" s="77">
        <f>DATA!AA137</f>
        <v>500000000</v>
      </c>
      <c r="Z143" s="77">
        <f>DATA!AG137</f>
        <v>0</v>
      </c>
      <c r="AA143" s="20" t="str">
        <f>DATA!AH137</f>
        <v>Tanpa keterangan</v>
      </c>
      <c r="AB143" s="37" t="str">
        <f>DATA!AI137</f>
        <v>-</v>
      </c>
      <c r="AC143" s="37" t="str">
        <f>DATA!AJ137</f>
        <v>-</v>
      </c>
      <c r="AD143" s="37" t="str">
        <f>DATA!AK137</f>
        <v>-</v>
      </c>
      <c r="AE143" s="37" t="str">
        <f>DATA!AL137</f>
        <v>-</v>
      </c>
      <c r="AF143" s="20">
        <f>DATA!AM137</f>
        <v>0</v>
      </c>
      <c r="AG143" s="20" t="str">
        <f>DATA!AN137</f>
        <v>belum ada keterangan</v>
      </c>
      <c r="AH143" s="20" t="str">
        <f>DATA!AO137</f>
        <v>belum ada keterangan</v>
      </c>
      <c r="AI143" s="20" t="str">
        <f>DATA!AP137</f>
        <v>belum ada proses tender/lelang</v>
      </c>
      <c r="AJ143"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K143" s="20" t="e">
        <f>DATA!#REF!</f>
        <v>#REF!</v>
      </c>
      <c r="AL143" s="20">
        <f>DATA!AZ137</f>
        <v>0</v>
      </c>
      <c r="AM143" s="37" t="str">
        <f>DATA!BA137</f>
        <v>Pembangunan jaringan telekomunikasi pitalebar/broadband Palapa Ring di 51 kabupaten/kota.</v>
      </c>
    </row>
    <row r="144" spans="1:39" s="4" customFormat="1" ht="24.95" hidden="1" customHeight="1">
      <c r="J144" s="107"/>
      <c r="K144" s="25">
        <f>DATA!E138</f>
        <v>6</v>
      </c>
      <c r="L144" s="108" t="str">
        <f>DATA!F138</f>
        <v>Kepolisian RI</v>
      </c>
      <c r="M144" s="25"/>
      <c r="N144" s="27"/>
      <c r="O144" s="26"/>
      <c r="P144" s="26"/>
      <c r="Q144" s="26"/>
      <c r="R144" s="80">
        <f>+R145</f>
        <v>20000000</v>
      </c>
      <c r="S144" s="80"/>
      <c r="T144" s="80">
        <f t="shared" ref="T144:Z145" si="15">+T145</f>
        <v>3500000</v>
      </c>
      <c r="U144" s="80">
        <f t="shared" si="15"/>
        <v>0</v>
      </c>
      <c r="V144" s="80">
        <f t="shared" si="15"/>
        <v>23500000</v>
      </c>
      <c r="W144" s="80"/>
      <c r="X144" s="80" t="str">
        <f t="shared" si="15"/>
        <v>Bilateral</v>
      </c>
      <c r="Y144" s="80">
        <f t="shared" si="15"/>
        <v>20000000</v>
      </c>
      <c r="Z144" s="80">
        <f t="shared" si="15"/>
        <v>0</v>
      </c>
      <c r="AA144" s="26"/>
      <c r="AB144" s="27"/>
      <c r="AC144" s="27"/>
      <c r="AD144" s="27"/>
      <c r="AE144" s="27"/>
      <c r="AF144" s="26"/>
      <c r="AG144" s="26"/>
      <c r="AH144" s="26"/>
      <c r="AI144" s="26"/>
      <c r="AJ144" s="26"/>
      <c r="AK144" s="26"/>
      <c r="AL144" s="26"/>
      <c r="AM144" s="27"/>
    </row>
    <row r="145" spans="1:39" s="5" customFormat="1" ht="33.75" hidden="1" customHeight="1">
      <c r="J145" s="28"/>
      <c r="K145" s="29"/>
      <c r="L145" s="30" t="str">
        <f>DATA!I138</f>
        <v>A</v>
      </c>
      <c r="M145" s="31" t="str">
        <f>DATA!J138</f>
        <v>Program Pengembangan Infrastruktur TIK dan Penyiaran</v>
      </c>
      <c r="N145" s="51"/>
      <c r="O145" s="31"/>
      <c r="P145" s="31"/>
      <c r="Q145" s="31"/>
      <c r="R145" s="81">
        <f>+R146</f>
        <v>20000000</v>
      </c>
      <c r="S145" s="81"/>
      <c r="T145" s="81">
        <f t="shared" si="15"/>
        <v>3500000</v>
      </c>
      <c r="U145" s="81">
        <f t="shared" si="15"/>
        <v>0</v>
      </c>
      <c r="V145" s="81">
        <f t="shared" si="15"/>
        <v>23500000</v>
      </c>
      <c r="W145" s="81"/>
      <c r="X145" s="81" t="str">
        <f t="shared" si="15"/>
        <v>Bilateral</v>
      </c>
      <c r="Y145" s="81">
        <f t="shared" si="15"/>
        <v>20000000</v>
      </c>
      <c r="Z145" s="81">
        <f t="shared" si="15"/>
        <v>0</v>
      </c>
      <c r="AA145" s="31"/>
      <c r="AB145" s="32"/>
      <c r="AC145" s="32"/>
      <c r="AD145" s="32"/>
      <c r="AE145" s="32"/>
      <c r="AF145" s="31"/>
      <c r="AG145" s="31"/>
      <c r="AH145" s="31"/>
      <c r="AI145" s="31"/>
      <c r="AJ145" s="31"/>
      <c r="AK145" s="31"/>
      <c r="AL145" s="31"/>
      <c r="AM145" s="32"/>
    </row>
    <row r="146" spans="1:39" ht="47.25" hidden="1" customHeight="1">
      <c r="A146" s="10">
        <f>DATA!A138</f>
        <v>100</v>
      </c>
      <c r="B146" s="10">
        <f>DATA!B138</f>
        <v>0</v>
      </c>
      <c r="C146" s="10" t="str">
        <f>DATA!D138</f>
        <v>INFRASTRUKTUR</v>
      </c>
      <c r="D146" s="10">
        <f>DATA!E138</f>
        <v>6</v>
      </c>
      <c r="E146" s="10" t="str">
        <f>DATA!F138</f>
        <v>Kepolisian RI</v>
      </c>
      <c r="F146" s="10" t="str">
        <f>DATA!H138</f>
        <v>Information Communication And Technology (ICT) And Broadcasting Infrastructure Development Program</v>
      </c>
      <c r="G146" s="10" t="str">
        <f>DATA!I138</f>
        <v>A</v>
      </c>
      <c r="H146" s="10" t="str">
        <f>DATA!J138</f>
        <v>Program Pengembangan Infrastruktur TIK dan Penyiaran</v>
      </c>
      <c r="I146" s="10">
        <f>DATA!K138</f>
        <v>1</v>
      </c>
      <c r="J146" s="33"/>
      <c r="K146" s="54"/>
      <c r="L146" s="20"/>
      <c r="M146" s="36">
        <f>DATA!K138</f>
        <v>1</v>
      </c>
      <c r="N146" s="37" t="str">
        <f>DATA!L138</f>
        <v>National Criminal Information Center for Indonesian National Police - Phase II</v>
      </c>
      <c r="O146" s="20">
        <f>DATA!Q138</f>
        <v>1</v>
      </c>
      <c r="P146" s="20">
        <f>DATA!R138</f>
        <v>1</v>
      </c>
      <c r="Q146" s="20">
        <f>DATA!S138</f>
        <v>90</v>
      </c>
      <c r="R146" s="77">
        <f>DATA!T138</f>
        <v>20000000</v>
      </c>
      <c r="S146" s="77"/>
      <c r="T146" s="77">
        <f>DATA!V138</f>
        <v>3500000</v>
      </c>
      <c r="U146" s="77">
        <f>DATA!W138</f>
        <v>0</v>
      </c>
      <c r="V146" s="77">
        <f>DATA!X138</f>
        <v>23500000</v>
      </c>
      <c r="W146" s="78" t="str">
        <f>DATA!Y138</f>
        <v>Korea</v>
      </c>
      <c r="X146" s="20" t="str">
        <f>DATA!Z138</f>
        <v>Bilateral</v>
      </c>
      <c r="Y146" s="77">
        <f>DATA!AA138</f>
        <v>20000000</v>
      </c>
      <c r="Z146" s="77">
        <f>DATA!AG138</f>
        <v>0</v>
      </c>
      <c r="AA146" s="20" t="str">
        <f>DATA!AH138</f>
        <v>Tanpa keterangan</v>
      </c>
      <c r="AB146" s="37" t="str">
        <f>DATA!AI138</f>
        <v xml:space="preserve">- Sudah ada R/C
- Green Book 2015
</v>
      </c>
      <c r="AC146" s="37" t="str">
        <f>DATA!AJ138</f>
        <v>FS, AMDAL</v>
      </c>
      <c r="AD146" s="37" t="str">
        <f>DATA!AK138</f>
        <v>Tidak butuh lahan</v>
      </c>
      <c r="AE146" s="37" t="str">
        <f>DATA!AL138</f>
        <v>- Dalam proses penandatanganan perjanjian pinjaman</v>
      </c>
      <c r="AF146" s="20">
        <f>DATA!AM138</f>
        <v>2015</v>
      </c>
      <c r="AG146" s="20" t="str">
        <f>DATA!AN138</f>
        <v>siap</v>
      </c>
      <c r="AH146" s="20" t="str">
        <f>DATA!AO138</f>
        <v>tidak butuh lahan</v>
      </c>
      <c r="AI146" s="20" t="str">
        <f>DATA!AP138</f>
        <v>dalam proses tender/lelang</v>
      </c>
      <c r="AJ146" s="20" t="str">
        <f>DATA!AY138</f>
        <v>Belum ada konfirmasi. Berdasarkan data dokumen kesiapan (RC)</v>
      </c>
      <c r="AK146" s="20" t="e">
        <f>DATA!#REF!</f>
        <v>#REF!</v>
      </c>
      <c r="AL146" s="20">
        <f>DATA!AZ138</f>
        <v>0</v>
      </c>
      <c r="AM146" s="37" t="str">
        <f>DATA!BA138</f>
        <v>Pengembangan proyek PIKNAS tahap I mulai dari perencanaan pengembangan sampai dengan implementasi proyek</v>
      </c>
    </row>
    <row r="147" spans="1:39" s="4" customFormat="1" ht="24.95" hidden="1" customHeight="1">
      <c r="J147" s="107"/>
      <c r="K147" s="25">
        <f>DATA!E139</f>
        <v>7</v>
      </c>
      <c r="L147" s="108" t="str">
        <f>DATA!F139</f>
        <v xml:space="preserve">PT. PLN    </v>
      </c>
      <c r="M147" s="25"/>
      <c r="N147" s="27"/>
      <c r="O147" s="26"/>
      <c r="P147" s="26"/>
      <c r="Q147" s="26"/>
      <c r="R147" s="80">
        <f>+R148</f>
        <v>4906600000</v>
      </c>
      <c r="S147" s="80"/>
      <c r="T147" s="80">
        <f t="shared" ref="T147:Z147" si="16">+T148</f>
        <v>931600000</v>
      </c>
      <c r="U147" s="80">
        <f t="shared" si="16"/>
        <v>0</v>
      </c>
      <c r="V147" s="80">
        <f t="shared" si="16"/>
        <v>5838200000</v>
      </c>
      <c r="W147" s="80"/>
      <c r="X147" s="80" t="e">
        <f t="shared" si="16"/>
        <v>#VALUE!</v>
      </c>
      <c r="Y147" s="80">
        <f t="shared" si="16"/>
        <v>4906600000</v>
      </c>
      <c r="Z147" s="80">
        <f t="shared" si="16"/>
        <v>0</v>
      </c>
      <c r="AA147" s="26"/>
      <c r="AB147" s="27"/>
      <c r="AC147" s="27"/>
      <c r="AD147" s="27"/>
      <c r="AE147" s="27"/>
      <c r="AF147" s="26"/>
      <c r="AG147" s="26"/>
      <c r="AH147" s="26"/>
      <c r="AI147" s="26"/>
      <c r="AJ147" s="26"/>
      <c r="AK147" s="26"/>
      <c r="AL147" s="26"/>
      <c r="AM147" s="27"/>
    </row>
    <row r="148" spans="1:39" s="5" customFormat="1" ht="33.75" hidden="1" customHeight="1">
      <c r="J148" s="28"/>
      <c r="K148" s="29"/>
      <c r="L148" s="30" t="str">
        <f>DATA!I139</f>
        <v>A</v>
      </c>
      <c r="M148" s="31" t="str">
        <f>DATA!J139</f>
        <v>Program Pembangunan Infrastruktur Ketenagalistrikan</v>
      </c>
      <c r="N148" s="51"/>
      <c r="O148" s="31"/>
      <c r="P148" s="31"/>
      <c r="Q148" s="31"/>
      <c r="R148" s="81">
        <f>+R149+R152+R155+R156+R157+R158+R159+R160</f>
        <v>4906600000</v>
      </c>
      <c r="S148" s="81"/>
      <c r="T148" s="81">
        <f t="shared" ref="T148:Z148" si="17">+T149+T152+T155+T156+T157+T158+T159+T160</f>
        <v>931600000</v>
      </c>
      <c r="U148" s="81">
        <f t="shared" si="17"/>
        <v>0</v>
      </c>
      <c r="V148" s="81">
        <f t="shared" si="17"/>
        <v>5838200000</v>
      </c>
      <c r="W148" s="81"/>
      <c r="X148" s="81" t="e">
        <f t="shared" si="17"/>
        <v>#VALUE!</v>
      </c>
      <c r="Y148" s="81">
        <f t="shared" si="17"/>
        <v>4906600000</v>
      </c>
      <c r="Z148" s="81">
        <f t="shared" si="17"/>
        <v>0</v>
      </c>
      <c r="AA148" s="31"/>
      <c r="AB148" s="32"/>
      <c r="AC148" s="32"/>
      <c r="AD148" s="32"/>
      <c r="AE148" s="32"/>
      <c r="AF148" s="31"/>
      <c r="AG148" s="31"/>
      <c r="AH148" s="31"/>
      <c r="AI148" s="31"/>
      <c r="AJ148" s="31"/>
      <c r="AK148" s="31"/>
      <c r="AL148" s="31"/>
      <c r="AM148" s="32"/>
    </row>
    <row r="149" spans="1:39" ht="35.25" hidden="1" customHeight="1">
      <c r="A149" s="10">
        <f>DATA!A139</f>
        <v>101</v>
      </c>
      <c r="B149" s="10">
        <f>DATA!B139</f>
        <v>0</v>
      </c>
      <c r="C149" s="10" t="str">
        <f>DATA!D139</f>
        <v>INFRASTRUKTUR</v>
      </c>
      <c r="D149" s="10">
        <f>DATA!E139</f>
        <v>7</v>
      </c>
      <c r="E149" s="10" t="str">
        <f>DATA!F139</f>
        <v xml:space="preserve">PT. PLN    </v>
      </c>
      <c r="F149" s="10" t="str">
        <f>DATA!H139</f>
        <v>Electricity Infrastructure Development Program</v>
      </c>
      <c r="G149" s="10" t="str">
        <f>DATA!I139</f>
        <v>A</v>
      </c>
      <c r="H149" s="10" t="str">
        <f>DATA!J139</f>
        <v>Program Pembangunan Infrastruktur Ketenagalistrikan</v>
      </c>
      <c r="I149" s="10">
        <f>DATA!K139</f>
        <v>1</v>
      </c>
      <c r="J149" s="33"/>
      <c r="K149" s="34"/>
      <c r="L149" s="35"/>
      <c r="M149" s="36">
        <f>DATA!K139</f>
        <v>1</v>
      </c>
      <c r="N149" s="37" t="str">
        <f>DATA!L139</f>
        <v>Construction of Java Sumatera Interconnection 500 kV (HVDC):</v>
      </c>
      <c r="O149" s="20">
        <f>DATA!Q139</f>
        <v>0</v>
      </c>
      <c r="P149" s="20">
        <f>DATA!R139</f>
        <v>0</v>
      </c>
      <c r="Q149" s="20">
        <f>DATA!S139</f>
        <v>0</v>
      </c>
      <c r="R149" s="77">
        <f>DATA!T139</f>
        <v>1562000000</v>
      </c>
      <c r="S149" s="77"/>
      <c r="T149" s="77">
        <f>DATA!V139</f>
        <v>253000000</v>
      </c>
      <c r="U149" s="77">
        <f>DATA!W139</f>
        <v>0</v>
      </c>
      <c r="V149" s="77">
        <f>DATA!X139</f>
        <v>1815000000</v>
      </c>
      <c r="W149" s="78" t="str">
        <f>DATA!Y139</f>
        <v>-</v>
      </c>
      <c r="X149" s="20">
        <f>DATA!Z139</f>
        <v>0</v>
      </c>
      <c r="Y149" s="77">
        <f>DATA!AA139</f>
        <v>1562000000</v>
      </c>
      <c r="Z149" s="77">
        <f>DATA!AG139</f>
        <v>0</v>
      </c>
      <c r="AA149" s="20" t="str">
        <f>DATA!AH139</f>
        <v>-</v>
      </c>
      <c r="AB149" s="37" t="str">
        <f>DATA!AI139</f>
        <v>-</v>
      </c>
      <c r="AC149" s="37" t="str">
        <f>DATA!AJ139</f>
        <v>-</v>
      </c>
      <c r="AD149" s="37" t="str">
        <f>DATA!AK139</f>
        <v>-</v>
      </c>
      <c r="AE149" s="37" t="str">
        <f>DATA!AL139</f>
        <v>-</v>
      </c>
      <c r="AF149" s="20" t="str">
        <f>DATA!AM139</f>
        <v>-</v>
      </c>
      <c r="AG149" s="20" t="str">
        <f>DATA!AN139</f>
        <v>-</v>
      </c>
      <c r="AH149" s="20" t="str">
        <f>DATA!AO139</f>
        <v>-</v>
      </c>
      <c r="AI149" s="20">
        <f>DATA!AP139</f>
        <v>0</v>
      </c>
      <c r="AJ149" s="20" t="str">
        <f>DATA!AY139</f>
        <v>Surat Dirut PT. PLN nomor 716/REN.08.01/DIR/2015 tgl 9 September 2015</v>
      </c>
      <c r="AK149" s="20" t="e">
        <f>DATA!#REF!</f>
        <v>#REF!</v>
      </c>
      <c r="AL149" s="20">
        <f>DATA!AZ139</f>
        <v>0</v>
      </c>
      <c r="AM149" s="37" t="str">
        <f>DATA!BA139</f>
        <v>Pembangunan dan instalasi: 500 kV AC Overhead line</v>
      </c>
    </row>
    <row r="150" spans="1:39" s="6" customFormat="1" ht="142.5" hidden="1" customHeight="1">
      <c r="A150" s="6">
        <f>DATA!A140</f>
        <v>102</v>
      </c>
      <c r="B150" s="6">
        <f>DATA!B140</f>
        <v>0</v>
      </c>
      <c r="C150" s="6" t="str">
        <f>DATA!D140</f>
        <v>INFRASTRUKTUR</v>
      </c>
      <c r="D150" s="6">
        <f>DATA!E140</f>
        <v>7</v>
      </c>
      <c r="E150" s="6" t="str">
        <f>DATA!F140</f>
        <v xml:space="preserve">PT. PLN    </v>
      </c>
      <c r="F150" s="6" t="str">
        <f>DATA!H140</f>
        <v>Electricity Infrastructure Development Program</v>
      </c>
      <c r="G150" s="6" t="str">
        <f>DATA!I140</f>
        <v>A</v>
      </c>
      <c r="H150" s="6" t="str">
        <f>DATA!J140</f>
        <v>Program Pembangunan Infrastruktur Ketenagalistrikan</v>
      </c>
      <c r="I150" s="6">
        <f>DATA!K140</f>
        <v>1</v>
      </c>
      <c r="J150" s="38"/>
      <c r="K150" s="39"/>
      <c r="L150" s="39"/>
      <c r="M150" s="40"/>
      <c r="N150" s="67" t="str">
        <f>DATA!L140</f>
        <v>Java-Sumatera Interconnection Transmission Line (HVDC) 500 kV (Phase II)</v>
      </c>
      <c r="O150" s="42">
        <f>DATA!Q140</f>
        <v>1</v>
      </c>
      <c r="P150" s="42">
        <f>DATA!R140</f>
        <v>1</v>
      </c>
      <c r="Q150" s="42">
        <f>DATA!S140</f>
        <v>91</v>
      </c>
      <c r="R150" s="83">
        <f>DATA!T140</f>
        <v>629000000</v>
      </c>
      <c r="S150" s="83"/>
      <c r="T150" s="83">
        <f>DATA!V140</f>
        <v>88000000</v>
      </c>
      <c r="U150" s="83">
        <f>DATA!W140</f>
        <v>0</v>
      </c>
      <c r="V150" s="83">
        <f>DATA!X140</f>
        <v>717000000</v>
      </c>
      <c r="W150" s="84" t="str">
        <f>DATA!Y140</f>
        <v>JICA</v>
      </c>
      <c r="X150" s="42" t="str">
        <f>DATA!Z140</f>
        <v>Bilateral</v>
      </c>
      <c r="Y150" s="83">
        <f>DATA!AA140</f>
        <v>629000000</v>
      </c>
      <c r="Z150" s="83">
        <f>DATA!AG140</f>
        <v>0</v>
      </c>
      <c r="AA150" s="42">
        <f>DATA!AH140</f>
        <v>2015</v>
      </c>
      <c r="AB150" s="67" t="str">
        <f>DATA!AI140</f>
        <v>- Sudah ada R/C
- Green Book 2015
- Loan Agreement tgl 18 Des'15</v>
      </c>
      <c r="AC150" s="67" t="str">
        <f>DATA!AJ140</f>
        <v>FS, AMDAL</v>
      </c>
      <c r="AD150" s="115">
        <f>DATA!AK140</f>
        <v>0.3</v>
      </c>
      <c r="AE150" s="67" t="str">
        <f>DATA!AL140</f>
        <v>- Paket 1 = Proses lelang, evaluasi tahap I 
- Paket 2 = Proses lelang, akhir proses tahap I 
- Paket 3 = Kontrak 29 Okt 2014 
- Paket 4 = Proses lelang, RFP 2 Sept 2015 
- Paket 5 = Penyusunan Dokumen Tender</v>
      </c>
      <c r="AF150" s="42" t="str">
        <f>DATA!AR140</f>
        <v>Nilai pinjaman di GB USD 629.140 ribu</v>
      </c>
      <c r="AG150" s="42" t="str">
        <f>DATA!AN140</f>
        <v>siap</v>
      </c>
      <c r="AH150" s="42" t="str">
        <f>DATA!AO140</f>
        <v>dalam proses
(pelaksanaan 30%)</v>
      </c>
      <c r="AI150" s="42" t="str">
        <f>DATA!AP140</f>
        <v>dalam proses tender/lelang</v>
      </c>
      <c r="AJ150" s="42"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K150" s="42" t="e">
        <f>DATA!#REF!</f>
        <v>#REF!</v>
      </c>
      <c r="AL150" s="42">
        <f>DATA!AZ140</f>
        <v>0</v>
      </c>
      <c r="AM150" s="67" t="str">
        <f>DATA!BA140</f>
        <v>Pembangunan dan instalasi: 500 kV AC Overhead line; 500 IW DC Overhead line; kabel bawah laut HVDC; Stasiun converter HVDC; 275 kV Overhead line (OHL)</v>
      </c>
    </row>
    <row r="151" spans="1:39" s="6" customFormat="1" ht="48.75" hidden="1" customHeight="1">
      <c r="A151" s="6">
        <f>DATA!A141</f>
        <v>103</v>
      </c>
      <c r="B151" s="6">
        <f>DATA!B141</f>
        <v>0</v>
      </c>
      <c r="C151" s="6" t="str">
        <f>DATA!D141</f>
        <v>INFRASTRUKTUR</v>
      </c>
      <c r="D151" s="6">
        <f>DATA!E141</f>
        <v>7</v>
      </c>
      <c r="E151" s="6" t="str">
        <f>DATA!F141</f>
        <v xml:space="preserve">PT. PLN    </v>
      </c>
      <c r="F151" s="6" t="str">
        <f>DATA!H141</f>
        <v>Electricity Infrastructure Development Program</v>
      </c>
      <c r="G151" s="6" t="str">
        <f>DATA!I141</f>
        <v>A</v>
      </c>
      <c r="H151" s="6" t="str">
        <f>DATA!J141</f>
        <v>Program Pembangunan Infrastruktur Ketenagalistrikan</v>
      </c>
      <c r="I151" s="6">
        <f>DATA!K141</f>
        <v>1</v>
      </c>
      <c r="J151" s="38"/>
      <c r="K151" s="39"/>
      <c r="L151" s="39"/>
      <c r="M151" s="43"/>
      <c r="N151" s="67" t="str">
        <f>DATA!L141</f>
        <v>Construction of Java Sumatera Interconnection 500 kV (HVDC-Phase 3 &amp; 4)</v>
      </c>
      <c r="O151" s="42">
        <f>DATA!Q141</f>
        <v>1</v>
      </c>
      <c r="P151" s="42">
        <f>DATA!R141</f>
        <v>1</v>
      </c>
      <c r="Q151" s="42">
        <f>DATA!S141</f>
        <v>92</v>
      </c>
      <c r="R151" s="83">
        <f>DATA!T141</f>
        <v>933000000</v>
      </c>
      <c r="S151" s="83"/>
      <c r="T151" s="83">
        <f>DATA!V141</f>
        <v>165000000</v>
      </c>
      <c r="U151" s="83">
        <f>DATA!W141</f>
        <v>0</v>
      </c>
      <c r="V151" s="83">
        <f>DATA!X141</f>
        <v>1098000000</v>
      </c>
      <c r="W151" s="84" t="str">
        <f>DATA!Y141</f>
        <v>JICA</v>
      </c>
      <c r="X151" s="42" t="str">
        <f>DATA!Z141</f>
        <v>Bilateral</v>
      </c>
      <c r="Y151" s="83">
        <f>DATA!AA141</f>
        <v>933000000</v>
      </c>
      <c r="Z151" s="83">
        <f>DATA!AG141</f>
        <v>0</v>
      </c>
      <c r="AA151" s="42">
        <f>DATA!AH141</f>
        <v>2015</v>
      </c>
      <c r="AB151" s="67" t="str">
        <f>DATA!AI141</f>
        <v xml:space="preserve">Penyiapan R/C
</v>
      </c>
      <c r="AC151" s="67" t="str">
        <f>DATA!AJ141</f>
        <v>-</v>
      </c>
      <c r="AD151" s="67" t="str">
        <f>DATA!AK141</f>
        <v>-</v>
      </c>
      <c r="AE151" s="67" t="str">
        <f>DATA!AL141</f>
        <v>-</v>
      </c>
      <c r="AF151" s="42" t="str">
        <f>DATA!AR141</f>
        <v>penyiapan dokumen R/C</v>
      </c>
      <c r="AG151" s="42" t="str">
        <f>DATA!AN141</f>
        <v>belum ada keterangan</v>
      </c>
      <c r="AH151" s="42" t="str">
        <f>DATA!AO141</f>
        <v>belum ada keterangan</v>
      </c>
      <c r="AI151" s="42" t="str">
        <f>DATA!AP141</f>
        <v>belum ada proses tender/lelang</v>
      </c>
      <c r="AJ151" s="42" t="str">
        <f>DATA!AY141</f>
        <v>Surat Dirut PT. PLN nomor 716/REN.08.01/DIR/2015 tgl 9 September 2015</v>
      </c>
      <c r="AK151" s="42" t="e">
        <f>DATA!#REF!</f>
        <v>#REF!</v>
      </c>
      <c r="AL151" s="42">
        <f>DATA!AZ141</f>
        <v>0</v>
      </c>
      <c r="AM151" s="67" t="str">
        <f>DATA!BA141</f>
        <v>Pembangunan dan instalasi: 500 kV AC Overhead line; 500 IW DC Overhead line; kabel bawah laut HVDC; Stasiun converter HVDC; 275 kV Overhead line (OHL)</v>
      </c>
    </row>
    <row r="152" spans="1:39" ht="43.5" hidden="1" customHeight="1">
      <c r="A152" s="10">
        <f>DATA!A142</f>
        <v>104</v>
      </c>
      <c r="B152" s="10">
        <f>DATA!B142</f>
        <v>0</v>
      </c>
      <c r="C152" s="10" t="str">
        <f>DATA!D142</f>
        <v>INFRASTRUKTUR</v>
      </c>
      <c r="D152" s="10">
        <f>DATA!E142</f>
        <v>7</v>
      </c>
      <c r="E152" s="10" t="str">
        <f>DATA!F142</f>
        <v xml:space="preserve">PT. PLN    </v>
      </c>
      <c r="F152" s="10" t="str">
        <f>DATA!H142</f>
        <v>Electricity Infrastructure Development Program</v>
      </c>
      <c r="G152" s="10" t="str">
        <f>DATA!I142</f>
        <v>A</v>
      </c>
      <c r="H152" s="10" t="str">
        <f>DATA!J142</f>
        <v>Program Pembangunan Infrastruktur Ketenagalistrikan</v>
      </c>
      <c r="I152" s="10">
        <f>DATA!K142</f>
        <v>2</v>
      </c>
      <c r="J152" s="33"/>
      <c r="K152" s="34"/>
      <c r="L152" s="34"/>
      <c r="M152" s="36">
        <f>DATA!K142</f>
        <v>2</v>
      </c>
      <c r="N152" s="37" t="str">
        <f>DATA!L142</f>
        <v>Hululais Geothermal Power Plant 1&amp;2 (2x55MW):</v>
      </c>
      <c r="O152" s="20">
        <f>DATA!Q142</f>
        <v>0</v>
      </c>
      <c r="P152" s="20">
        <f>DATA!R142</f>
        <v>0</v>
      </c>
      <c r="Q152" s="20">
        <f>DATA!S142</f>
        <v>0</v>
      </c>
      <c r="R152" s="77">
        <f>DATA!T142</f>
        <v>210600000</v>
      </c>
      <c r="S152" s="77"/>
      <c r="T152" s="77">
        <f>DATA!V142</f>
        <v>42600000</v>
      </c>
      <c r="U152" s="77">
        <f>DATA!W142</f>
        <v>0</v>
      </c>
      <c r="V152" s="77">
        <f>DATA!X142</f>
        <v>253200000</v>
      </c>
      <c r="W152" s="78" t="str">
        <f>DATA!Y142</f>
        <v>-</v>
      </c>
      <c r="X152" s="20">
        <f>DATA!Z142</f>
        <v>0</v>
      </c>
      <c r="Y152" s="77">
        <f>DATA!AA142</f>
        <v>210600000</v>
      </c>
      <c r="Z152" s="77">
        <f>DATA!AG142</f>
        <v>0</v>
      </c>
      <c r="AA152" s="20" t="str">
        <f>DATA!AH142</f>
        <v>-</v>
      </c>
      <c r="AB152" s="37" t="str">
        <f>DATA!AI142</f>
        <v>-</v>
      </c>
      <c r="AC152" s="37" t="str">
        <f>DATA!AJ142</f>
        <v>-</v>
      </c>
      <c r="AD152" s="37" t="str">
        <f>DATA!AK142</f>
        <v>-</v>
      </c>
      <c r="AE152" s="37" t="str">
        <f>DATA!AL142</f>
        <v>-</v>
      </c>
      <c r="AF152" s="20" t="str">
        <f>DATA!AM142</f>
        <v>-</v>
      </c>
      <c r="AG152" s="20" t="str">
        <f>DATA!AN142</f>
        <v>-</v>
      </c>
      <c r="AH152" s="20" t="str">
        <f>DATA!AO142</f>
        <v>-</v>
      </c>
      <c r="AI152" s="20">
        <f>DATA!AP142</f>
        <v>0</v>
      </c>
      <c r="AJ152" s="20" t="str">
        <f>DATA!AY142</f>
        <v>Surat Dirut PT. PLN nomor 716/REN.08.01/DIR/2015 tgl 9 September 2015</v>
      </c>
      <c r="AK152" s="20" t="e">
        <f>DATA!#REF!</f>
        <v>#REF!</v>
      </c>
      <c r="AL152" s="20">
        <f>DATA!AZ142</f>
        <v>0</v>
      </c>
      <c r="AM152" s="37" t="str">
        <f>DATA!BA142</f>
        <v>Pembangunan PLTP Hululais 2x55 MW, pembangunan jaringan transmisi 150 kV, termasuk engineering desainnya</v>
      </c>
    </row>
    <row r="153" spans="1:39" s="6" customFormat="1" ht="74.25" hidden="1" customHeight="1">
      <c r="A153" s="6">
        <f>DATA!A143</f>
        <v>105</v>
      </c>
      <c r="B153" s="6">
        <f>DATA!B143</f>
        <v>0</v>
      </c>
      <c r="C153" s="6" t="str">
        <f>DATA!D143</f>
        <v>INFRASTRUKTUR</v>
      </c>
      <c r="D153" s="6">
        <f>DATA!E143</f>
        <v>7</v>
      </c>
      <c r="E153" s="6" t="str">
        <f>DATA!F143</f>
        <v xml:space="preserve">PT. PLN    </v>
      </c>
      <c r="F153" s="6" t="str">
        <f>DATA!H143</f>
        <v>Electricity Infrastructure Development Program</v>
      </c>
      <c r="G153" s="6" t="str">
        <f>DATA!I143</f>
        <v>A</v>
      </c>
      <c r="H153" s="6" t="str">
        <f>DATA!J143</f>
        <v>Program Pembangunan Infrastruktur Ketenagalistrikan</v>
      </c>
      <c r="I153" s="6">
        <f>DATA!K143</f>
        <v>2</v>
      </c>
      <c r="J153" s="38"/>
      <c r="K153" s="39"/>
      <c r="L153" s="39"/>
      <c r="M153" s="40"/>
      <c r="N153" s="67" t="str">
        <f>DATA!L143</f>
        <v>Engineering Service for Hululais 1&amp;2 Geothermal Power Plant Project (2x55 MW)</v>
      </c>
      <c r="O153" s="42">
        <f>DATA!Q143</f>
        <v>1</v>
      </c>
      <c r="P153" s="42">
        <f>DATA!R143</f>
        <v>1</v>
      </c>
      <c r="Q153" s="42">
        <f>DATA!S143</f>
        <v>93</v>
      </c>
      <c r="R153" s="83">
        <f>DATA!T143</f>
        <v>6600000</v>
      </c>
      <c r="S153" s="83"/>
      <c r="T153" s="83">
        <f>DATA!V143</f>
        <v>600000</v>
      </c>
      <c r="U153" s="83">
        <f>DATA!W143</f>
        <v>0</v>
      </c>
      <c r="V153" s="83">
        <f>DATA!X143</f>
        <v>7200000</v>
      </c>
      <c r="W153" s="84" t="str">
        <f>DATA!Y143</f>
        <v>JICA</v>
      </c>
      <c r="X153" s="42" t="str">
        <f>DATA!Z143</f>
        <v>Bilateral</v>
      </c>
      <c r="Y153" s="83">
        <f>DATA!AA143</f>
        <v>6600000</v>
      </c>
      <c r="Z153" s="83">
        <f>DATA!AG143</f>
        <v>0</v>
      </c>
      <c r="AA153" s="42">
        <f>DATA!AH143</f>
        <v>2015</v>
      </c>
      <c r="AB153" s="67" t="str">
        <f>DATA!AI143</f>
        <v>- Sudah ada R/C0
- Green Book 2015
- Loan Agreement tgl 18 Des'15</v>
      </c>
      <c r="AC153" s="67" t="str">
        <f>DATA!AJ143</f>
        <v>- AMDAL sedang di proses
- Pengeboran eksplorasi sedang di proses</v>
      </c>
      <c r="AD153" s="67" t="str">
        <f>DATA!AK143</f>
        <v>Belum</v>
      </c>
      <c r="AE153" s="67" t="str">
        <f>DATA!AL143</f>
        <v>Dalam proses persiapan pengadaan konsultan</v>
      </c>
      <c r="AF153" s="42" t="str">
        <f>DATA!AR143</f>
        <v>Nilai pinjaman di GB USD 6.570 ribu</v>
      </c>
      <c r="AG153" s="42" t="str">
        <f>DATA!AN143</f>
        <v>siap</v>
      </c>
      <c r="AH153" s="42" t="str">
        <f>DATA!AO143</f>
        <v>tidak butuh lahan</v>
      </c>
      <c r="AI153" s="42" t="str">
        <f>DATA!AP143</f>
        <v>belum ada proses tender/lelang</v>
      </c>
      <c r="AJ153" s="42" t="str">
        <f>DATA!AY143</f>
        <v>Surat Dirut PT. PLN nomor 716/REN.08.01/DIR/2015 tgl 9 September 2015</v>
      </c>
      <c r="AK153" s="42" t="e">
        <f>DATA!#REF!</f>
        <v>#REF!</v>
      </c>
      <c r="AL153" s="42">
        <f>DATA!AZ143</f>
        <v>0</v>
      </c>
      <c r="AM153" s="67" t="str">
        <f>DATA!BA143</f>
        <v>Memfasilitasi penyusunan DED, tender dokumen, dan pengawasan konstruksi untuk PLTP Hululais 1 dan 2 (2x55 MW)</v>
      </c>
    </row>
    <row r="154" spans="1:39" s="6" customFormat="1" ht="31.5" hidden="1" customHeight="1">
      <c r="A154" s="6">
        <f>DATA!A144</f>
        <v>106</v>
      </c>
      <c r="B154" s="6">
        <f>DATA!B144</f>
        <v>0</v>
      </c>
      <c r="C154" s="6" t="str">
        <f>DATA!D144</f>
        <v>INFRASTRUKTUR</v>
      </c>
      <c r="D154" s="6">
        <f>DATA!E144</f>
        <v>7</v>
      </c>
      <c r="E154" s="6" t="str">
        <f>DATA!F144</f>
        <v xml:space="preserve">PT. PLN    </v>
      </c>
      <c r="F154" s="6" t="str">
        <f>DATA!H144</f>
        <v>Electricity Infrastructure Development Program</v>
      </c>
      <c r="G154" s="6" t="str">
        <f>DATA!I144</f>
        <v>A</v>
      </c>
      <c r="H154" s="6" t="str">
        <f>DATA!J144</f>
        <v>Program Pembangunan Infrastruktur Ketenagalistrikan</v>
      </c>
      <c r="I154" s="6">
        <f>DATA!K144</f>
        <v>2</v>
      </c>
      <c r="J154" s="38"/>
      <c r="K154" s="39"/>
      <c r="L154" s="39"/>
      <c r="M154" s="43"/>
      <c r="N154" s="67" t="str">
        <f>DATA!L144</f>
        <v>Hululais Geothermal Power Plant  1&amp;2 (2x55MW)</v>
      </c>
      <c r="O154" s="42">
        <f>DATA!Q144</f>
        <v>1</v>
      </c>
      <c r="P154" s="42">
        <f>DATA!R144</f>
        <v>1</v>
      </c>
      <c r="Q154" s="42">
        <f>DATA!S144</f>
        <v>94</v>
      </c>
      <c r="R154" s="83">
        <f>DATA!T144</f>
        <v>204000000</v>
      </c>
      <c r="S154" s="83"/>
      <c r="T154" s="83">
        <f>DATA!V144</f>
        <v>42000000</v>
      </c>
      <c r="U154" s="83">
        <f>DATA!W144</f>
        <v>0</v>
      </c>
      <c r="V154" s="83">
        <f>DATA!X144</f>
        <v>246000000</v>
      </c>
      <c r="W154" s="84" t="str">
        <f>DATA!Y144</f>
        <v>JICA</v>
      </c>
      <c r="X154" s="42" t="str">
        <f>DATA!Z144</f>
        <v>Bilateral</v>
      </c>
      <c r="Y154" s="83">
        <f>DATA!AA144</f>
        <v>204000000</v>
      </c>
      <c r="Z154" s="83">
        <f>DATA!AG144</f>
        <v>0</v>
      </c>
      <c r="AA154" s="42">
        <f>DATA!AH144</f>
        <v>2015</v>
      </c>
      <c r="AB154" s="67" t="str">
        <f>DATA!AI144</f>
        <v>-</v>
      </c>
      <c r="AC154" s="67" t="str">
        <f>DATA!AJ144</f>
        <v>-</v>
      </c>
      <c r="AD154" s="67" t="str">
        <f>DATA!AK144</f>
        <v>-</v>
      </c>
      <c r="AE154" s="67" t="str">
        <f>DATA!AL144</f>
        <v>-</v>
      </c>
      <c r="AF154" s="42" t="str">
        <f>DATA!AR144</f>
        <v>belum ada dokumen R/C</v>
      </c>
      <c r="AG154" s="42" t="str">
        <f>DATA!AN144</f>
        <v>belum ada keterangan</v>
      </c>
      <c r="AH154" s="42" t="str">
        <f>DATA!AO144</f>
        <v>belum ada keterangan</v>
      </c>
      <c r="AI154" s="42" t="str">
        <f>DATA!AP144</f>
        <v>belum ada proses tender/lelang</v>
      </c>
      <c r="AJ154" s="42" t="str">
        <f>DATA!AY144</f>
        <v>Surat Dirut PT. PLN nomor 716/REN.08.01/DIR/2015 tgl 9 September 2015</v>
      </c>
      <c r="AK154" s="42" t="e">
        <f>DATA!#REF!</f>
        <v>#REF!</v>
      </c>
      <c r="AL154" s="42">
        <f>DATA!AZ144</f>
        <v>0</v>
      </c>
      <c r="AM154" s="67" t="str">
        <f>DATA!BA144</f>
        <v>Pembangunan PLTP Hululais 2x55 MW dan pembangunan jaringan transmisi 150 kV</v>
      </c>
    </row>
    <row r="155" spans="1:39" ht="51" hidden="1">
      <c r="A155" s="10">
        <f>DATA!A145</f>
        <v>107</v>
      </c>
      <c r="B155" s="10">
        <f>DATA!B145</f>
        <v>0</v>
      </c>
      <c r="C155" s="10" t="str">
        <f>DATA!D145</f>
        <v>INFRASTRUKTUR</v>
      </c>
      <c r="D155" s="10">
        <f>DATA!E145</f>
        <v>7</v>
      </c>
      <c r="E155" s="10" t="str">
        <f>DATA!F145</f>
        <v xml:space="preserve">PT. PLN    </v>
      </c>
      <c r="F155" s="10" t="str">
        <f>DATA!H145</f>
        <v>Electricity Infrastructure Development Program</v>
      </c>
      <c r="G155" s="10" t="str">
        <f>DATA!I145</f>
        <v>A</v>
      </c>
      <c r="H155" s="10" t="str">
        <f>DATA!J145</f>
        <v>Program Pembangunan Infrastruktur Ketenagalistrikan</v>
      </c>
      <c r="I155" s="10">
        <f>DATA!K145</f>
        <v>3</v>
      </c>
      <c r="J155" s="33"/>
      <c r="K155" s="34"/>
      <c r="L155" s="34"/>
      <c r="M155" s="36">
        <f>DATA!K145</f>
        <v>3</v>
      </c>
      <c r="N155" s="37" t="str">
        <f>DATA!L145</f>
        <v>Bakaru II Hydro Electrical Power Plant (2x63MW)</v>
      </c>
      <c r="O155" s="20">
        <f>DATA!Q145</f>
        <v>1</v>
      </c>
      <c r="P155" s="20">
        <f>DATA!R145</f>
        <v>1</v>
      </c>
      <c r="Q155" s="20">
        <f>DATA!S145</f>
        <v>95</v>
      </c>
      <c r="R155" s="77">
        <f>DATA!T145</f>
        <v>280000000</v>
      </c>
      <c r="S155" s="77"/>
      <c r="T155" s="77">
        <f>DATA!V145</f>
        <v>20000000</v>
      </c>
      <c r="U155" s="77">
        <f>DATA!W145</f>
        <v>0</v>
      </c>
      <c r="V155" s="77">
        <f>DATA!X145</f>
        <v>300000000</v>
      </c>
      <c r="W155" s="78" t="str">
        <f>DATA!Y145</f>
        <v>Jerman (KfW)</v>
      </c>
      <c r="X155" s="20" t="str">
        <f>DATA!Z145</f>
        <v>Bilateral</v>
      </c>
      <c r="Y155" s="77">
        <f>DATA!AA145</f>
        <v>280000000</v>
      </c>
      <c r="Z155" s="77">
        <f>DATA!AG145</f>
        <v>0</v>
      </c>
      <c r="AA155" s="20">
        <f>DATA!AH145</f>
        <v>2016</v>
      </c>
      <c r="AB155" s="37" t="str">
        <f>DATA!AI145</f>
        <v>-</v>
      </c>
      <c r="AC155" s="37" t="str">
        <f>DATA!AJ145</f>
        <v>Dalam tahap reviu FS, Penyusunan AMDAL</v>
      </c>
      <c r="AD155" s="37" t="str">
        <f>DATA!AK145</f>
        <v>Pembebasan lahan menunggu hasil reviu FS</v>
      </c>
      <c r="AE155" s="37" t="str">
        <f>DATA!AL145</f>
        <v>Belum ada lelang/tender</v>
      </c>
      <c r="AF155" s="20">
        <f>DATA!AM145</f>
        <v>0</v>
      </c>
      <c r="AG155" s="20" t="str">
        <f>DATA!AN145</f>
        <v>dalam proses</v>
      </c>
      <c r="AH155" s="20" t="str">
        <f>DATA!AO145</f>
        <v>dalam proses
(perencanaan)</v>
      </c>
      <c r="AI155" s="20" t="str">
        <f>DATA!AP145</f>
        <v>belum ada proses tender/lelang</v>
      </c>
      <c r="AJ155"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K155" s="20" t="e">
        <f>DATA!#REF!</f>
        <v>#REF!</v>
      </c>
      <c r="AL155" s="20">
        <f>DATA!AZ145</f>
        <v>0</v>
      </c>
      <c r="AM155" s="37" t="str">
        <f>DATA!BA145</f>
        <v xml:space="preserve"> Pembangunan PLTA Bakaru II (2x63 MW), rehabilitasi bendungan dan turbin PLTA Bakaru I, sedimentasi penanggulangan dan Engineering Services PLTA Bakaru II</v>
      </c>
    </row>
    <row r="156" spans="1:39" ht="76.5" hidden="1">
      <c r="A156" s="10">
        <f>DATA!A146</f>
        <v>108</v>
      </c>
      <c r="B156" s="10">
        <f>DATA!B146</f>
        <v>0</v>
      </c>
      <c r="C156" s="10" t="str">
        <f>DATA!D146</f>
        <v>INFRASTRUKTUR</v>
      </c>
      <c r="D156" s="10">
        <f>DATA!E146</f>
        <v>7</v>
      </c>
      <c r="E156" s="10" t="str">
        <f>DATA!F146</f>
        <v xml:space="preserve">PT. PLN    </v>
      </c>
      <c r="F156" s="10" t="str">
        <f>DATA!H146</f>
        <v>Electricity Infrastructure Development Program</v>
      </c>
      <c r="G156" s="10" t="str">
        <f>DATA!I146</f>
        <v>A</v>
      </c>
      <c r="H156" s="10" t="str">
        <f>DATA!J146</f>
        <v>Program Pembangunan Infrastruktur Ketenagalistrikan</v>
      </c>
      <c r="I156" s="10">
        <f>DATA!K146</f>
        <v>4</v>
      </c>
      <c r="J156" s="33"/>
      <c r="K156" s="34"/>
      <c r="L156" s="34"/>
      <c r="M156" s="36">
        <f>DATA!K146</f>
        <v>4</v>
      </c>
      <c r="N156" s="37" t="str">
        <f>DATA!L146</f>
        <v>Tulehu Geothermal Power Plant Project Unit 1&amp;2 (2x10MW)</v>
      </c>
      <c r="O156" s="20">
        <f>DATA!Q146</f>
        <v>1</v>
      </c>
      <c r="P156" s="20">
        <f>DATA!R146</f>
        <v>1</v>
      </c>
      <c r="Q156" s="20">
        <f>DATA!S146</f>
        <v>96</v>
      </c>
      <c r="R156" s="77">
        <f>DATA!T146</f>
        <v>104000000</v>
      </c>
      <c r="S156" s="77"/>
      <c r="T156" s="77">
        <f>DATA!V146</f>
        <v>18000000</v>
      </c>
      <c r="U156" s="77">
        <f>DATA!W146</f>
        <v>0</v>
      </c>
      <c r="V156" s="77">
        <f>DATA!X146</f>
        <v>122000000</v>
      </c>
      <c r="W156" s="78" t="str">
        <f>DATA!Y146</f>
        <v>JICA</v>
      </c>
      <c r="X156" s="20" t="str">
        <f>DATA!Z146</f>
        <v>Bilateral</v>
      </c>
      <c r="Y156" s="77">
        <f>DATA!AA146</f>
        <v>104000000</v>
      </c>
      <c r="Z156" s="77">
        <f>DATA!AG146</f>
        <v>0</v>
      </c>
      <c r="AA156" s="20">
        <f>DATA!AH146</f>
        <v>2018</v>
      </c>
      <c r="AB156" s="37" t="str">
        <f>DATA!AI146</f>
        <v>-</v>
      </c>
      <c r="AC156" s="37" t="str">
        <f>DATA!AJ146</f>
        <v>Dalam proses reviu oleh BLH</v>
      </c>
      <c r="AD156" s="114">
        <f>DATA!AK146</f>
        <v>0.63</v>
      </c>
      <c r="AE156" s="37" t="str">
        <f>DATA!AL146</f>
        <v>- Direncanakan PQ IPM Drilling Sumur Produksi/Injeksi dimulai akhir Sept 2015
- Proses finalisasi dokumen lelang</v>
      </c>
      <c r="AF156" s="20" t="str">
        <f>DATA!AR146</f>
        <v>belum ada dokumen R/C</v>
      </c>
      <c r="AG156" s="20" t="str">
        <f>DATA!AN146</f>
        <v>dalam proses
(penyusunan FS)</v>
      </c>
      <c r="AH156" s="20" t="str">
        <f>DATA!AO146</f>
        <v>dalam proses
(pelaksanaan 63%)</v>
      </c>
      <c r="AI156" s="20" t="str">
        <f>DATA!AP146</f>
        <v>belum ada proses tender/lelang</v>
      </c>
      <c r="AJ156" s="20" t="str">
        <f>DATA!AY146</f>
        <v>- Pembebasan lahan untuk lokasi power plant dan pad B masih terkendala batas wilayah antara dua desa
- Surat Dirut PT. PLN nomor 716/REN.08.01/DIR/2015 tgl 9 September 2015</v>
      </c>
      <c r="AK156" s="20" t="e">
        <f>DATA!#REF!</f>
        <v>#REF!</v>
      </c>
      <c r="AL156" s="20">
        <f>DATA!AZ146</f>
        <v>0</v>
      </c>
      <c r="AM156" s="37" t="str">
        <f>DATA!BA146</f>
        <v>Pembangunan PLTP Tulehu 2x10 MW dan tambahan pengeboran untuk 3 sumur produksi/injeksi</v>
      </c>
    </row>
    <row r="157" spans="1:39" ht="89.25" hidden="1">
      <c r="A157" s="10">
        <f>DATA!A147</f>
        <v>109</v>
      </c>
      <c r="B157" s="10">
        <f>DATA!B147</f>
        <v>0</v>
      </c>
      <c r="C157" s="10" t="str">
        <f>DATA!D147</f>
        <v>INFRASTRUKTUR</v>
      </c>
      <c r="D157" s="10">
        <f>DATA!E147</f>
        <v>7</v>
      </c>
      <c r="E157" s="10" t="str">
        <f>DATA!F147</f>
        <v xml:space="preserve">PT. PLN    </v>
      </c>
      <c r="F157" s="10" t="str">
        <f>DATA!H147</f>
        <v>Electricity Infrastructure Development Program</v>
      </c>
      <c r="G157" s="10" t="str">
        <f>DATA!I147</f>
        <v>A</v>
      </c>
      <c r="H157" s="10" t="str">
        <f>DATA!J147</f>
        <v>Program Pembangunan Infrastruktur Ketenagalistrikan</v>
      </c>
      <c r="I157" s="10">
        <f>DATA!K147</f>
        <v>5</v>
      </c>
      <c r="J157" s="33"/>
      <c r="K157" s="34"/>
      <c r="L157" s="34"/>
      <c r="M157" s="36">
        <f>DATA!K147</f>
        <v>5</v>
      </c>
      <c r="N157" s="37" t="str">
        <f>DATA!L147</f>
        <v>Indramayu Coal Fired Power Plant  #4 (1x1000MW)</v>
      </c>
      <c r="O157" s="20">
        <f>DATA!Q147</f>
        <v>1</v>
      </c>
      <c r="P157" s="20">
        <f>DATA!R147</f>
        <v>1</v>
      </c>
      <c r="Q157" s="20">
        <f>DATA!S147</f>
        <v>97</v>
      </c>
      <c r="R157" s="77">
        <f>DATA!T147</f>
        <v>1845000000</v>
      </c>
      <c r="S157" s="77"/>
      <c r="T157" s="77">
        <f>DATA!V147</f>
        <v>333000000</v>
      </c>
      <c r="U157" s="77">
        <f>DATA!W147</f>
        <v>0</v>
      </c>
      <c r="V157" s="77">
        <f>DATA!X147</f>
        <v>2178000000</v>
      </c>
      <c r="W157" s="78" t="str">
        <f>DATA!Y147</f>
        <v>JICA</v>
      </c>
      <c r="X157" s="20" t="str">
        <f>DATA!Z147</f>
        <v>Bilateral</v>
      </c>
      <c r="Y157" s="77">
        <f>DATA!AA147</f>
        <v>1845000000</v>
      </c>
      <c r="Z157" s="77">
        <f>DATA!AG147</f>
        <v>0</v>
      </c>
      <c r="AA157" s="20">
        <f>DATA!AH147</f>
        <v>2017</v>
      </c>
      <c r="AB157" s="37" t="str">
        <f>DATA!AI147</f>
        <v>-</v>
      </c>
      <c r="AC157" s="37" t="str">
        <f>DATA!AJ147</f>
        <v>FS, AMDAL</v>
      </c>
      <c r="AD157" s="37" t="str">
        <f>DATA!AK147</f>
        <v>Pembebasan lahan tahun 2016</v>
      </c>
      <c r="AE157" s="37" t="str">
        <f>DATA!AL147</f>
        <v>Rencana pengadaan konsultan ES selesai Nov 2015</v>
      </c>
      <c r="AF157" s="20" t="str">
        <f>DATA!AR147</f>
        <v>belum ada dokumen R/C</v>
      </c>
      <c r="AG157" s="20" t="str">
        <f>DATA!AN147</f>
        <v>siap</v>
      </c>
      <c r="AH157" s="20" t="str">
        <f>DATA!AO147</f>
        <v>dalam proses
(perencanaan)</v>
      </c>
      <c r="AI157" s="20" t="str">
        <f>DATA!AP147</f>
        <v>belum ada proses tender/lelang</v>
      </c>
      <c r="AJ157" s="20" t="str">
        <f>DATA!AY147</f>
        <v>Surat Dirut PT. PLN nomor 716/REN.08.01/DIR/2015 tgl 9 September 2015</v>
      </c>
      <c r="AK157" s="20" t="e">
        <f>DATA!#REF!</f>
        <v>#REF!</v>
      </c>
      <c r="AL157" s="20">
        <f>DATA!AZ147</f>
        <v>0</v>
      </c>
      <c r="AM157" s="37"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row>
    <row r="158" spans="1:39" ht="203.25" hidden="1" customHeight="1">
      <c r="A158" s="10">
        <f>DATA!A148</f>
        <v>110</v>
      </c>
      <c r="B158" s="10">
        <f>DATA!B148</f>
        <v>0</v>
      </c>
      <c r="C158" s="10" t="str">
        <f>DATA!D148</f>
        <v>INFRASTRUKTUR</v>
      </c>
      <c r="D158" s="10">
        <f>DATA!E148</f>
        <v>7</v>
      </c>
      <c r="E158" s="10" t="str">
        <f>DATA!F148</f>
        <v xml:space="preserve">PT. PLN    </v>
      </c>
      <c r="F158" s="10" t="str">
        <f>DATA!H148</f>
        <v>Electricity Infrastructure Development Program</v>
      </c>
      <c r="G158" s="10" t="str">
        <f>DATA!I148</f>
        <v>A</v>
      </c>
      <c r="H158" s="10" t="str">
        <f>DATA!J148</f>
        <v>Program Pembangunan Infrastruktur Ketenagalistrikan</v>
      </c>
      <c r="I158" s="10">
        <f>DATA!K148</f>
        <v>6</v>
      </c>
      <c r="J158" s="33"/>
      <c r="K158" s="34"/>
      <c r="L158" s="34"/>
      <c r="M158" s="36">
        <f>DATA!K148</f>
        <v>6</v>
      </c>
      <c r="N158" s="37" t="str">
        <f>DATA!L148</f>
        <v>Additional Loan for Upper Cisokan Pumped Storage Hydro Electrical Power Plant (4x260MW)</v>
      </c>
      <c r="O158" s="20">
        <f>DATA!Q148</f>
        <v>1</v>
      </c>
      <c r="P158" s="20">
        <f>DATA!R148</f>
        <v>1</v>
      </c>
      <c r="Q158" s="20">
        <f>DATA!S148</f>
        <v>98</v>
      </c>
      <c r="R158" s="77">
        <f>DATA!T148</f>
        <v>200000000</v>
      </c>
      <c r="S158" s="77"/>
      <c r="T158" s="77">
        <f>DATA!V148</f>
        <v>0</v>
      </c>
      <c r="U158" s="77">
        <f>DATA!W148</f>
        <v>0</v>
      </c>
      <c r="V158" s="77">
        <f>DATA!X148</f>
        <v>200000000</v>
      </c>
      <c r="W158" s="78" t="str">
        <f>DATA!Y148</f>
        <v>Bank Dunia</v>
      </c>
      <c r="X158" s="20" t="str">
        <f>DATA!Z148</f>
        <v>Multilateral</v>
      </c>
      <c r="Y158" s="77">
        <f>DATA!AA148</f>
        <v>200000000</v>
      </c>
      <c r="Z158" s="77">
        <f>DATA!AG148</f>
        <v>0</v>
      </c>
      <c r="AA158" s="20">
        <f>DATA!AH148</f>
        <v>2017</v>
      </c>
      <c r="AB158" s="37" t="str">
        <f>DATA!AI148</f>
        <v>-</v>
      </c>
      <c r="AC158" s="37" t="str">
        <f>DATA!AJ148</f>
        <v>FS, AMDAL</v>
      </c>
      <c r="AD158" s="114">
        <f>DATA!AK148</f>
        <v>0.95</v>
      </c>
      <c r="AE158" s="37"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F158" s="20" t="str">
        <f>DATA!AR148</f>
        <v>belum ada dokumen R/C</v>
      </c>
      <c r="AG158" s="20" t="str">
        <f>DATA!AN148</f>
        <v>siap</v>
      </c>
      <c r="AH158" s="20" t="str">
        <f>DATA!AO148</f>
        <v>dalam proses
(pelaksanaan 95%)</v>
      </c>
      <c r="AI158" s="20" t="str">
        <f>DATA!AP148</f>
        <v>belum ada proses tender/lelang</v>
      </c>
      <c r="AJ158"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K158" s="20" t="e">
        <f>DATA!#REF!</f>
        <v>#REF!</v>
      </c>
      <c r="AL158" s="20">
        <f>DATA!AZ148</f>
        <v>0</v>
      </c>
      <c r="AM158" s="37"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row>
    <row r="159" spans="1:39" ht="35.25" hidden="1" customHeight="1">
      <c r="A159" s="10">
        <f>DATA!A149</f>
        <v>111</v>
      </c>
      <c r="B159" s="10">
        <f>DATA!B149</f>
        <v>0</v>
      </c>
      <c r="C159" s="10" t="str">
        <f>DATA!D149</f>
        <v>INFRASTRUKTUR</v>
      </c>
      <c r="D159" s="10">
        <f>DATA!E149</f>
        <v>7</v>
      </c>
      <c r="E159" s="10" t="str">
        <f>DATA!F149</f>
        <v xml:space="preserve">PT. PLN    </v>
      </c>
      <c r="F159" s="10" t="str">
        <f>DATA!H149</f>
        <v>Electricity Infrastructure Development Program</v>
      </c>
      <c r="G159" s="10" t="str">
        <f>DATA!I149</f>
        <v>A</v>
      </c>
      <c r="H159" s="10" t="str">
        <f>DATA!J149</f>
        <v>Program Pembangunan Infrastruktur Ketenagalistrikan</v>
      </c>
      <c r="I159" s="10">
        <f>DATA!K149</f>
        <v>7</v>
      </c>
      <c r="J159" s="33"/>
      <c r="K159" s="34"/>
      <c r="L159" s="34"/>
      <c r="M159" s="36">
        <f>DATA!K149</f>
        <v>7</v>
      </c>
      <c r="N159" s="37" t="str">
        <f>DATA!L149</f>
        <v>Sungai Penuh Geothermal Power Plant 1&amp;2 (2x55MW)</v>
      </c>
      <c r="O159" s="20">
        <f>DATA!Q149</f>
        <v>1</v>
      </c>
      <c r="P159" s="20">
        <f>DATA!R149</f>
        <v>1</v>
      </c>
      <c r="Q159" s="20">
        <f>DATA!S149</f>
        <v>99</v>
      </c>
      <c r="R159" s="77">
        <f>DATA!T149</f>
        <v>205000000</v>
      </c>
      <c r="S159" s="77"/>
      <c r="T159" s="77">
        <f>DATA!V149</f>
        <v>45000000</v>
      </c>
      <c r="U159" s="77">
        <f>DATA!W149</f>
        <v>0</v>
      </c>
      <c r="V159" s="77">
        <f>DATA!X149</f>
        <v>250000000</v>
      </c>
      <c r="W159" s="78" t="str">
        <f>DATA!Y149</f>
        <v>ADB</v>
      </c>
      <c r="X159" s="20" t="str">
        <f>DATA!Z149</f>
        <v>Multilateral</v>
      </c>
      <c r="Y159" s="77">
        <f>DATA!AA149</f>
        <v>205000000</v>
      </c>
      <c r="Z159" s="77">
        <f>DATA!AG149</f>
        <v>0</v>
      </c>
      <c r="AA159" s="20" t="str">
        <f>DATA!AH149</f>
        <v>Tanpa keterangan</v>
      </c>
      <c r="AB159" s="37" t="str">
        <f>DATA!AI149</f>
        <v>-</v>
      </c>
      <c r="AC159" s="37" t="str">
        <f>DATA!AJ149</f>
        <v>AMDAL</v>
      </c>
      <c r="AD159" s="37" t="str">
        <f>DATA!AK149</f>
        <v>-</v>
      </c>
      <c r="AE159" s="37" t="str">
        <f>DATA!AL149</f>
        <v>-</v>
      </c>
      <c r="AF159" s="20" t="str">
        <f>DATA!AR149</f>
        <v>belum ada dokumen R/C</v>
      </c>
      <c r="AG159" s="20" t="str">
        <f>DATA!AN149</f>
        <v>siap</v>
      </c>
      <c r="AH159" s="20" t="str">
        <f>DATA!AO149</f>
        <v>belum ada keterangan</v>
      </c>
      <c r="AI159" s="20" t="str">
        <f>DATA!AP149</f>
        <v>belum ada proses tender/lelang</v>
      </c>
      <c r="AJ159" s="20" t="str">
        <f>DATA!AY149</f>
        <v xml:space="preserve">- FS report terkait resource confirmation dari PGE belum ada
- Surat Dirut PT. PLN nomor 716/REN.08.01/DIR/2015 tgl 9 September 2015
</v>
      </c>
      <c r="AK159" s="20" t="e">
        <f>DATA!#REF!</f>
        <v>#REF!</v>
      </c>
      <c r="AL159" s="20">
        <f>DATA!AZ149</f>
        <v>0</v>
      </c>
      <c r="AM159" s="37" t="str">
        <f>DATA!BA149</f>
        <v>Pengembangan PLTP Sungai Penuh dengan kapasitas 2x55 MW dan jaringan transmisi terkait</v>
      </c>
    </row>
    <row r="160" spans="1:39" ht="36" hidden="1" customHeight="1">
      <c r="A160" s="10">
        <f>DATA!A150</f>
        <v>112</v>
      </c>
      <c r="B160" s="10">
        <f>DATA!B150</f>
        <v>0</v>
      </c>
      <c r="C160" s="10" t="str">
        <f>DATA!D150</f>
        <v>INFRASTRUKTUR</v>
      </c>
      <c r="D160" s="10">
        <f>DATA!E150</f>
        <v>7</v>
      </c>
      <c r="E160" s="10" t="str">
        <f>DATA!F150</f>
        <v xml:space="preserve">PT. PLN    </v>
      </c>
      <c r="F160" s="10" t="str">
        <f>DATA!H150</f>
        <v>Electricity Infrastructure Development Program</v>
      </c>
      <c r="G160" s="10" t="str">
        <f>DATA!I150</f>
        <v>A</v>
      </c>
      <c r="H160" s="10" t="str">
        <f>DATA!J150</f>
        <v>Program Pembangunan Infrastruktur Ketenagalistrikan</v>
      </c>
      <c r="I160" s="10">
        <f>DATA!K150</f>
        <v>8</v>
      </c>
      <c r="J160" s="52"/>
      <c r="K160" s="54"/>
      <c r="L160" s="54"/>
      <c r="M160" s="36">
        <f>DATA!K150</f>
        <v>8</v>
      </c>
      <c r="N160" s="37" t="str">
        <f>DATA!L150</f>
        <v>Matenggeng Pumped Storage Hydro Electrical Power Plant (4x225MW)</v>
      </c>
      <c r="O160" s="20">
        <f>DATA!Q150</f>
        <v>1</v>
      </c>
      <c r="P160" s="20">
        <f>DATA!R150</f>
        <v>1</v>
      </c>
      <c r="Q160" s="20">
        <f>DATA!S150</f>
        <v>100</v>
      </c>
      <c r="R160" s="77">
        <f>DATA!T150</f>
        <v>500000000</v>
      </c>
      <c r="S160" s="77"/>
      <c r="T160" s="77">
        <f>DATA!V150</f>
        <v>220000000</v>
      </c>
      <c r="U160" s="77">
        <f>DATA!W150</f>
        <v>0</v>
      </c>
      <c r="V160" s="77">
        <f>DATA!X150</f>
        <v>720000000</v>
      </c>
      <c r="W160" s="78" t="str">
        <f>DATA!Y150</f>
        <v>Bank Dunia</v>
      </c>
      <c r="X160" s="20" t="str">
        <f>DATA!Z150</f>
        <v>Multilateral</v>
      </c>
      <c r="Y160" s="77">
        <f>DATA!AA150</f>
        <v>500000000</v>
      </c>
      <c r="Z160" s="77">
        <f>DATA!AG150</f>
        <v>0</v>
      </c>
      <c r="AA160" s="20">
        <f>DATA!AH150</f>
        <v>2017</v>
      </c>
      <c r="AB160" s="37" t="str">
        <f>DATA!AI150</f>
        <v>-</v>
      </c>
      <c r="AC160" s="37" t="str">
        <f>DATA!AJ150</f>
        <v>Penyusunan FS</v>
      </c>
      <c r="AD160" s="37" t="str">
        <f>DATA!AK150</f>
        <v>-</v>
      </c>
      <c r="AE160" s="37" t="str">
        <f>DATA!AL150</f>
        <v>-</v>
      </c>
      <c r="AF160" s="20" t="str">
        <f>DATA!AR150</f>
        <v>belum ada dokumen R/C</v>
      </c>
      <c r="AG160" s="20" t="str">
        <f>DATA!AN150</f>
        <v>dalam proses
(penyusunan FS)</v>
      </c>
      <c r="AH160" s="20" t="str">
        <f>DATA!AO150</f>
        <v>belum ada keterangan</v>
      </c>
      <c r="AI160" s="20" t="str">
        <f>DATA!AP150</f>
        <v>belum ada proses tender/lelang</v>
      </c>
      <c r="AJ160" s="20" t="str">
        <f>DATA!AY150</f>
        <v>- Direncanakan menggunakan skema direct lending
- AMDAL direncanakan mulai tahun 2016
- Layout terkini tidak terindikasi overlapping dengan bendungan Matenggeng milik PU
- Surat Dirut PT. PLN nomor 716/REN.08.01/DIR/2015 tgl 9 September 2015</v>
      </c>
      <c r="AK160" s="20" t="e">
        <f>DATA!#REF!</f>
        <v>#REF!</v>
      </c>
      <c r="AL160" s="20">
        <f>DATA!AZ150</f>
        <v>0</v>
      </c>
      <c r="AM160" s="37" t="str">
        <f>DATA!BA150</f>
        <v>Pengembangan PLTA Matenggeng dengan kapasitas 4x225 MW dan jaringan transmisi terkait</v>
      </c>
    </row>
    <row r="161" spans="1:39" s="3" customFormat="1" ht="30" hidden="1" customHeight="1">
      <c r="J161" s="21" t="str">
        <f>DATA!B160</f>
        <v>II</v>
      </c>
      <c r="K161" s="112" t="str">
        <f>DATA!D160</f>
        <v>NON-INFRASTRUKTUR</v>
      </c>
      <c r="L161" s="22"/>
      <c r="M161" s="22"/>
      <c r="N161" s="23"/>
      <c r="O161" s="22"/>
      <c r="P161" s="22"/>
      <c r="Q161" s="22"/>
      <c r="R161" s="79">
        <f>+R162+R172+R181+R184+R196+R199+R212+R215+R218+R221</f>
        <v>4590772100</v>
      </c>
      <c r="S161" s="79"/>
      <c r="T161" s="79">
        <f t="shared" ref="T161:Z161" si="18">+T162+T172+T181+T184+T196+T199+T212+T215+T218+T221</f>
        <v>488120200</v>
      </c>
      <c r="U161" s="79">
        <f t="shared" si="18"/>
        <v>2660000</v>
      </c>
      <c r="V161" s="79">
        <f t="shared" si="18"/>
        <v>5308007600</v>
      </c>
      <c r="W161" s="79"/>
      <c r="X161" s="79" t="e">
        <f t="shared" si="18"/>
        <v>#VALUE!</v>
      </c>
      <c r="Y161" s="79">
        <f t="shared" si="18"/>
        <v>4590772100</v>
      </c>
      <c r="Z161" s="79">
        <f t="shared" si="18"/>
        <v>-1609442600</v>
      </c>
      <c r="AA161" s="22"/>
      <c r="AB161" s="23"/>
      <c r="AC161" s="23"/>
      <c r="AD161" s="23"/>
      <c r="AE161" s="23"/>
      <c r="AF161" s="22"/>
      <c r="AG161" s="22"/>
      <c r="AH161" s="22"/>
      <c r="AI161" s="22"/>
      <c r="AJ161" s="22"/>
      <c r="AK161" s="22"/>
      <c r="AL161" s="22"/>
      <c r="AM161" s="23"/>
    </row>
    <row r="162" spans="1:39" s="4" customFormat="1" ht="24.95" hidden="1" customHeight="1">
      <c r="J162" s="24"/>
      <c r="K162" s="25">
        <f>DATA!E160</f>
        <v>8</v>
      </c>
      <c r="L162" s="108" t="str">
        <f>DATA!F160</f>
        <v>Kementerian Riset, Teknologi, dan Pendidikan Tinggi</v>
      </c>
      <c r="M162" s="25"/>
      <c r="N162" s="27"/>
      <c r="O162" s="26"/>
      <c r="P162" s="26"/>
      <c r="Q162" s="26"/>
      <c r="R162" s="80">
        <f>+R163</f>
        <v>290311500</v>
      </c>
      <c r="S162" s="80"/>
      <c r="T162" s="80">
        <f t="shared" ref="T162:Z163" si="19">+T163</f>
        <v>54543500</v>
      </c>
      <c r="U162" s="80">
        <f t="shared" si="19"/>
        <v>0</v>
      </c>
      <c r="V162" s="80">
        <f t="shared" si="19"/>
        <v>581714600</v>
      </c>
      <c r="W162" s="80"/>
      <c r="X162" s="80">
        <f t="shared" si="19"/>
        <v>0</v>
      </c>
      <c r="Y162" s="80">
        <f t="shared" si="19"/>
        <v>290311500</v>
      </c>
      <c r="Z162" s="80">
        <f t="shared" si="19"/>
        <v>0</v>
      </c>
      <c r="AA162" s="26"/>
      <c r="AB162" s="27"/>
      <c r="AC162" s="27"/>
      <c r="AD162" s="27"/>
      <c r="AE162" s="27"/>
      <c r="AF162" s="26"/>
      <c r="AG162" s="26"/>
      <c r="AH162" s="26"/>
      <c r="AI162" s="26"/>
      <c r="AJ162" s="26"/>
      <c r="AK162" s="26"/>
      <c r="AL162" s="26"/>
      <c r="AM162" s="27"/>
    </row>
    <row r="163" spans="1:39" s="5" customFormat="1" ht="33.75" hidden="1" customHeight="1">
      <c r="J163" s="28"/>
      <c r="K163" s="29"/>
      <c r="L163" s="30" t="str">
        <f>DATA!I160</f>
        <v>A</v>
      </c>
      <c r="M163" s="31" t="str">
        <f>DATA!J160</f>
        <v xml:space="preserve">Program Peningkatan Akses, Kualitas, Relevansi, dan Daya Saing Pendidikan Tinggi </v>
      </c>
      <c r="N163" s="51"/>
      <c r="O163" s="31"/>
      <c r="P163" s="31"/>
      <c r="Q163" s="31"/>
      <c r="R163" s="81">
        <f>+R164</f>
        <v>290311500</v>
      </c>
      <c r="S163" s="81"/>
      <c r="T163" s="81">
        <f t="shared" si="19"/>
        <v>54543500</v>
      </c>
      <c r="U163" s="81">
        <f t="shared" si="19"/>
        <v>0</v>
      </c>
      <c r="V163" s="81">
        <f t="shared" si="19"/>
        <v>581714600</v>
      </c>
      <c r="W163" s="81"/>
      <c r="X163" s="81">
        <f t="shared" si="19"/>
        <v>0</v>
      </c>
      <c r="Y163" s="81">
        <f t="shared" si="19"/>
        <v>290311500</v>
      </c>
      <c r="Z163" s="81">
        <f t="shared" si="19"/>
        <v>0</v>
      </c>
      <c r="AA163" s="31"/>
      <c r="AB163" s="32"/>
      <c r="AC163" s="32"/>
      <c r="AD163" s="32"/>
      <c r="AE163" s="32"/>
      <c r="AF163" s="31"/>
      <c r="AG163" s="31"/>
      <c r="AH163" s="31"/>
      <c r="AI163" s="31"/>
      <c r="AJ163" s="31"/>
      <c r="AK163" s="31"/>
      <c r="AL163" s="31"/>
      <c r="AM163" s="32"/>
    </row>
    <row r="164" spans="1:39" ht="48.75" hidden="1" customHeight="1">
      <c r="A164" s="10">
        <f>DATA!A160</f>
        <v>113</v>
      </c>
      <c r="B164" s="10" t="str">
        <f>DATA!B160</f>
        <v>II</v>
      </c>
      <c r="C164" s="10" t="str">
        <f>DATA!D160</f>
        <v>NON-INFRASTRUKTUR</v>
      </c>
      <c r="D164" s="10">
        <f>DATA!E160</f>
        <v>8</v>
      </c>
      <c r="E164" s="10" t="str">
        <f>DATA!F160</f>
        <v>Kementerian Riset, Teknologi, dan Pendidikan Tinggi</v>
      </c>
      <c r="F164" s="10" t="str">
        <f>DATA!H160</f>
        <v>Improving Access, Quality, Relevance, and Competitiveness of Higher Education Program</v>
      </c>
      <c r="G164" s="10" t="str">
        <f>DATA!I160</f>
        <v>A</v>
      </c>
      <c r="H164" s="10" t="str">
        <f>DATA!J160</f>
        <v xml:space="preserve">Program Peningkatan Akses, Kualitas, Relevansi, dan Daya Saing Pendidikan Tinggi </v>
      </c>
      <c r="I164" s="10">
        <f>DATA!K160</f>
        <v>1</v>
      </c>
      <c r="J164" s="33"/>
      <c r="K164" s="34"/>
      <c r="L164" s="35"/>
      <c r="M164" s="36">
        <f>DATA!K160</f>
        <v>1</v>
      </c>
      <c r="N164" s="37" t="str">
        <f>DATA!L160</f>
        <v>Strengthening Capacity of State Higher Education:</v>
      </c>
      <c r="O164" s="20">
        <f>DATA!Q160</f>
        <v>0</v>
      </c>
      <c r="P164" s="20">
        <f>DATA!R160</f>
        <v>1</v>
      </c>
      <c r="Q164" s="20">
        <f>DATA!S160</f>
        <v>101</v>
      </c>
      <c r="R164" s="77">
        <f>DATA!T160</f>
        <v>290311500</v>
      </c>
      <c r="S164" s="77"/>
      <c r="T164" s="77">
        <f>DATA!V160</f>
        <v>54543500</v>
      </c>
      <c r="U164" s="77">
        <f>DATA!W160</f>
        <v>0</v>
      </c>
      <c r="V164" s="77">
        <f>DATA!X160</f>
        <v>581714600</v>
      </c>
      <c r="W164" s="78" t="str">
        <f>DATA!Y160</f>
        <v>-</v>
      </c>
      <c r="X164" s="20">
        <f>DATA!Z160</f>
        <v>0</v>
      </c>
      <c r="Y164" s="77">
        <f>DATA!AA160</f>
        <v>290311500</v>
      </c>
      <c r="Z164" s="77">
        <f>DATA!AG160</f>
        <v>0</v>
      </c>
      <c r="AA164" s="20" t="str">
        <f>DATA!AH160</f>
        <v>-</v>
      </c>
      <c r="AB164" s="37" t="str">
        <f>DATA!AI160</f>
        <v>-</v>
      </c>
      <c r="AC164" s="37" t="str">
        <f>DATA!AJ160</f>
        <v>-</v>
      </c>
      <c r="AD164" s="37" t="str">
        <f>DATA!AK160</f>
        <v>-</v>
      </c>
      <c r="AE164" s="37" t="str">
        <f>DATA!AL160</f>
        <v>-</v>
      </c>
      <c r="AF164" s="20" t="str">
        <f>DATA!AM160</f>
        <v>-</v>
      </c>
      <c r="AG164" s="20">
        <f>DATA!AN160</f>
        <v>0</v>
      </c>
      <c r="AH164" s="20" t="str">
        <f>DATA!AO160</f>
        <v>-</v>
      </c>
      <c r="AI164" s="20">
        <f>DATA!AP160</f>
        <v>0</v>
      </c>
      <c r="AJ164" s="20" t="str">
        <f>DATA!AY160</f>
        <v>Surat Sekjen nomor 1532/A.A1/PR/2015 tgl 9 September 2015</v>
      </c>
      <c r="AK164" s="20" t="e">
        <f>DATA!#REF!</f>
        <v>#REF!</v>
      </c>
      <c r="AL164" s="20">
        <f>DATA!AZ160</f>
        <v>0</v>
      </c>
      <c r="AM164" s="37" t="str">
        <f>DATA!BA160</f>
        <v>Pembangunan sarana dan prasarana perkuliahan, pengadaan peralatan, pengembangan SDM, serta jasa konsultan</v>
      </c>
    </row>
    <row r="165" spans="1:39" s="6" customFormat="1" ht="59.25" hidden="1" customHeight="1">
      <c r="A165" s="6">
        <f>DATA!A161</f>
        <v>114</v>
      </c>
      <c r="B165" s="6">
        <f>DATA!B161</f>
        <v>0</v>
      </c>
      <c r="C165" s="6" t="str">
        <f>DATA!D161</f>
        <v>NON-INFRASTRUKTUR</v>
      </c>
      <c r="D165" s="6">
        <f>DATA!E161</f>
        <v>8</v>
      </c>
      <c r="E165" s="6" t="str">
        <f>DATA!F161</f>
        <v>Kementerian Riset, Teknologi, dan Pendidikan Tinggi</v>
      </c>
      <c r="F165" s="6" t="str">
        <f>DATA!H161</f>
        <v>Improving Access, Quality, Relevance, and Competitiveness of Higher Education Program</v>
      </c>
      <c r="G165" s="6" t="str">
        <f>DATA!I161</f>
        <v>A</v>
      </c>
      <c r="H165" s="6" t="str">
        <f>DATA!J161</f>
        <v xml:space="preserve">Program Peningkatan Akses, Kualitas, Relevansi, dan Daya Saing Pendidikan Tinggi </v>
      </c>
      <c r="I165" s="6">
        <f>DATA!K161</f>
        <v>1</v>
      </c>
      <c r="J165" s="38"/>
      <c r="K165" s="39"/>
      <c r="L165" s="39"/>
      <c r="M165" s="40"/>
      <c r="N165" s="67" t="str">
        <f>DATA!L161</f>
        <v>The Development of Sultan Ageng Tirtayasa University (UNTIRTA)</v>
      </c>
      <c r="O165" s="42">
        <f>DATA!Q161</f>
        <v>0.14285714285714285</v>
      </c>
      <c r="P165" s="42">
        <f>DATA!R161</f>
        <v>0</v>
      </c>
      <c r="Q165" s="42">
        <f>DATA!S161</f>
        <v>0</v>
      </c>
      <c r="R165" s="83">
        <f>DATA!T161</f>
        <v>49882300</v>
      </c>
      <c r="S165" s="83"/>
      <c r="T165" s="83">
        <f>DATA!V161</f>
        <v>3797300</v>
      </c>
      <c r="U165" s="83">
        <f>DATA!W161</f>
        <v>0</v>
      </c>
      <c r="V165" s="83">
        <f>DATA!X161</f>
        <v>53679600</v>
      </c>
      <c r="W165" s="84" t="str">
        <f>DATA!Y161</f>
        <v>IDB</v>
      </c>
      <c r="X165" s="42" t="str">
        <f>DATA!Z161</f>
        <v>Multilateral</v>
      </c>
      <c r="Y165" s="83">
        <f>DATA!AA161</f>
        <v>49882300</v>
      </c>
      <c r="Z165" s="83">
        <f>DATA!AG161</f>
        <v>0</v>
      </c>
      <c r="AA165" s="42" t="str">
        <f>DATA!AH161</f>
        <v>Tanpa keterangan</v>
      </c>
      <c r="AB165" s="67" t="str">
        <f>DATA!AI161</f>
        <v xml:space="preserve">Penyusunan R/C
</v>
      </c>
      <c r="AC165" s="67" t="str">
        <f>DATA!AJ161</f>
        <v>- Pemrosesan FS
- AMDAL proses lelang</v>
      </c>
      <c r="AD165" s="115">
        <f>DATA!AK161</f>
        <v>1</v>
      </c>
      <c r="AE165" s="67" t="str">
        <f>DATA!AL161</f>
        <v>-</v>
      </c>
      <c r="AF165" s="42" t="str">
        <f>DATA!AR161</f>
        <v>-</v>
      </c>
      <c r="AG165" s="42" t="str">
        <f>DATA!AN161</f>
        <v>siap</v>
      </c>
      <c r="AH165" s="42" t="str">
        <f>DATA!AO161</f>
        <v>siap</v>
      </c>
      <c r="AI165" s="42" t="str">
        <f>DATA!AP161</f>
        <v>belum ada proses tender/lelang</v>
      </c>
      <c r="AJ165" s="42" t="str">
        <f>DATA!AY161</f>
        <v>Surat Sekjen nomor 1532/A.A1/PR/2015 tgl 9 September 2015</v>
      </c>
      <c r="AK165" s="42" t="e">
        <f>DATA!#REF!</f>
        <v>#REF!</v>
      </c>
      <c r="AL165" s="42">
        <f>DATA!AZ161</f>
        <v>0</v>
      </c>
      <c r="AM165" s="67" t="str">
        <f>DATA!BA161</f>
        <v>Pembangunan sarana dan prasarana pendidikan (gedung perkuliahan, laboratorium dan sarana pendukung lainnya)  dan pengembangan landscape dan infrastruktur</v>
      </c>
    </row>
    <row r="166" spans="1:39" s="6" customFormat="1" ht="71.25" hidden="1" customHeight="1">
      <c r="A166" s="6">
        <f>DATA!A162</f>
        <v>115</v>
      </c>
      <c r="B166" s="6">
        <f>DATA!B162</f>
        <v>0</v>
      </c>
      <c r="C166" s="6" t="str">
        <f>DATA!D162</f>
        <v>NON-INFRASTRUKTUR</v>
      </c>
      <c r="D166" s="6">
        <f>DATA!E162</f>
        <v>8</v>
      </c>
      <c r="E166" s="6" t="str">
        <f>DATA!F162</f>
        <v>Kementerian Riset, Teknologi, dan Pendidikan Tinggi</v>
      </c>
      <c r="F166" s="6" t="str">
        <f>DATA!H162</f>
        <v>Improving Access, Quality, Relevance, and Competitiveness of Higher Education Program</v>
      </c>
      <c r="G166" s="6" t="str">
        <f>DATA!I162</f>
        <v>A</v>
      </c>
      <c r="H166" s="6" t="str">
        <f>DATA!J162</f>
        <v xml:space="preserve">Program Peningkatan Akses, Kualitas, Relevansi, dan Daya Saing Pendidikan Tinggi </v>
      </c>
      <c r="I166" s="6">
        <f>DATA!K162</f>
        <v>1</v>
      </c>
      <c r="J166" s="38"/>
      <c r="K166" s="39"/>
      <c r="L166" s="39"/>
      <c r="M166" s="38"/>
      <c r="N166" s="67" t="str">
        <f>DATA!L162</f>
        <v>Development for State University of Malang as The Learning University</v>
      </c>
      <c r="O166" s="42">
        <f>DATA!Q162</f>
        <v>0.14285714285714285</v>
      </c>
      <c r="P166" s="42">
        <f>DATA!R162</f>
        <v>0</v>
      </c>
      <c r="Q166" s="42">
        <f>DATA!S162</f>
        <v>0</v>
      </c>
      <c r="R166" s="83">
        <f>DATA!T162</f>
        <v>38400000</v>
      </c>
      <c r="S166" s="83"/>
      <c r="T166" s="83">
        <f>DATA!V162</f>
        <v>9335300</v>
      </c>
      <c r="U166" s="83">
        <f>DATA!W162</f>
        <v>0</v>
      </c>
      <c r="V166" s="83">
        <f>DATA!X162</f>
        <v>47735300</v>
      </c>
      <c r="W166" s="84" t="str">
        <f>DATA!Y162</f>
        <v>IDB</v>
      </c>
      <c r="X166" s="42" t="str">
        <f>DATA!Z162</f>
        <v>Multilateral</v>
      </c>
      <c r="Y166" s="83">
        <f>DATA!AA162</f>
        <v>38400000</v>
      </c>
      <c r="Z166" s="83">
        <f>DATA!AG162</f>
        <v>0</v>
      </c>
      <c r="AA166" s="42" t="str">
        <f>DATA!AH162</f>
        <v>Tanpa keterangan</v>
      </c>
      <c r="AB166" s="67" t="str">
        <f>DATA!AI162</f>
        <v xml:space="preserve">Penyusunan R/C
</v>
      </c>
      <c r="AC166" s="67" t="str">
        <f>DATA!AJ162</f>
        <v>- FS
- AMDAL dalam proses</v>
      </c>
      <c r="AD166" s="115">
        <f>DATA!AK162</f>
        <v>1</v>
      </c>
      <c r="AE166" s="67" t="str">
        <f>DATA!AL162</f>
        <v>-</v>
      </c>
      <c r="AF166" s="42" t="str">
        <f>DATA!AR162</f>
        <v>-</v>
      </c>
      <c r="AG166" s="42" t="str">
        <f>DATA!AN162</f>
        <v>siap</v>
      </c>
      <c r="AH166" s="42" t="str">
        <f>DATA!AO162</f>
        <v>siap</v>
      </c>
      <c r="AI166" s="42" t="str">
        <f>DATA!AP162</f>
        <v>belum ada proses tender/lelang</v>
      </c>
      <c r="AJ166" s="42" t="str">
        <f>DATA!AY162</f>
        <v>Surat Sekjen nomor 1532/A.A1/PR/2015 tgl 9 September 2015</v>
      </c>
      <c r="AK166" s="42" t="e">
        <f>DATA!#REF!</f>
        <v>#REF!</v>
      </c>
      <c r="AL166" s="42">
        <f>DATA!AZ162</f>
        <v>0</v>
      </c>
      <c r="AM166" s="67" t="str">
        <f>DATA!BA162</f>
        <v>Pembangunan sarana dan prasarana perkuliahan (ruang kuliah, ruang dosen, peralatan laboratorium, instalasi jaringan listrik dan telekomunikasi, instalasi air bersih, sanitasi dan mekanikal engineering) dan pengembangan SDM.</v>
      </c>
    </row>
    <row r="167" spans="1:39" s="6" customFormat="1" ht="101.25" hidden="1" customHeight="1">
      <c r="A167" s="6">
        <f>DATA!A163</f>
        <v>116</v>
      </c>
      <c r="B167" s="6">
        <f>DATA!B163</f>
        <v>0</v>
      </c>
      <c r="C167" s="6" t="str">
        <f>DATA!D163</f>
        <v>NON-INFRASTRUKTUR</v>
      </c>
      <c r="D167" s="6">
        <f>DATA!E163</f>
        <v>8</v>
      </c>
      <c r="E167" s="6" t="str">
        <f>DATA!F163</f>
        <v>Kementerian Riset, Teknologi, dan Pendidikan Tinggi</v>
      </c>
      <c r="F167" s="6" t="str">
        <f>DATA!H163</f>
        <v>Improving Access, Quality, Relevance, and Competitiveness of Higher Education Program</v>
      </c>
      <c r="G167" s="6" t="str">
        <f>DATA!I163</f>
        <v>A</v>
      </c>
      <c r="H167" s="6" t="str">
        <f>DATA!J163</f>
        <v xml:space="preserve">Program Peningkatan Akses, Kualitas, Relevansi, dan Daya Saing Pendidikan Tinggi </v>
      </c>
      <c r="I167" s="6">
        <f>DATA!K163</f>
        <v>1</v>
      </c>
      <c r="J167" s="38"/>
      <c r="K167" s="39"/>
      <c r="L167" s="39"/>
      <c r="M167" s="38"/>
      <c r="N167" s="67" t="str">
        <f>DATA!L163</f>
        <v>The Development and Upgrading Mulawarman University</v>
      </c>
      <c r="O167" s="42">
        <f>DATA!Q163</f>
        <v>0.14285714285714285</v>
      </c>
      <c r="P167" s="42">
        <f>DATA!R163</f>
        <v>0</v>
      </c>
      <c r="Q167" s="42">
        <f>DATA!S163</f>
        <v>0</v>
      </c>
      <c r="R167" s="83">
        <f>DATA!T163</f>
        <v>44400000</v>
      </c>
      <c r="S167" s="83"/>
      <c r="T167" s="83">
        <f>DATA!V163</f>
        <v>485800</v>
      </c>
      <c r="U167" s="83">
        <f>DATA!W163</f>
        <v>0</v>
      </c>
      <c r="V167" s="83">
        <f>DATA!X163</f>
        <v>44885800</v>
      </c>
      <c r="W167" s="84" t="str">
        <f>DATA!Y163</f>
        <v>IDB</v>
      </c>
      <c r="X167" s="42" t="str">
        <f>DATA!Z163</f>
        <v>Multilateral</v>
      </c>
      <c r="Y167" s="83">
        <f>DATA!AA163</f>
        <v>44400000</v>
      </c>
      <c r="Z167" s="83">
        <f>DATA!AG163</f>
        <v>0</v>
      </c>
      <c r="AA167" s="42" t="str">
        <f>DATA!AH163</f>
        <v>Tanpa keterangan</v>
      </c>
      <c r="AB167" s="67" t="str">
        <f>DATA!AI163</f>
        <v xml:space="preserve">Penyusunan R/C
</v>
      </c>
      <c r="AC167" s="67" t="str">
        <f>DATA!AJ163</f>
        <v>FS dan AMDAL target Desember 2015</v>
      </c>
      <c r="AD167" s="115">
        <f>DATA!AK163</f>
        <v>1</v>
      </c>
      <c r="AE167" s="67" t="str">
        <f>DATA!AL163</f>
        <v>-</v>
      </c>
      <c r="AF167" s="42" t="str">
        <f>DATA!AR163</f>
        <v>-</v>
      </c>
      <c r="AG167" s="42" t="str">
        <f>DATA!AN163</f>
        <v>siap</v>
      </c>
      <c r="AH167" s="42" t="str">
        <f>DATA!AO163</f>
        <v>siap</v>
      </c>
      <c r="AI167" s="42" t="str">
        <f>DATA!AP163</f>
        <v>belum ada proses tender/lelang</v>
      </c>
      <c r="AJ167" s="42" t="str">
        <f>DATA!AY163</f>
        <v>Surat Sekjen nomor 1532/A.A1/PR/2015 tgl 9 September 2015</v>
      </c>
      <c r="AK167" s="42" t="e">
        <f>DATA!#REF!</f>
        <v>#REF!</v>
      </c>
      <c r="AL167" s="42">
        <f>DATA!AZ163</f>
        <v>0</v>
      </c>
      <c r="AM167" s="67"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row>
    <row r="168" spans="1:39" s="6" customFormat="1" ht="54" hidden="1" customHeight="1">
      <c r="A168" s="6">
        <f>DATA!A164</f>
        <v>117</v>
      </c>
      <c r="B168" s="6">
        <f>DATA!B164</f>
        <v>0</v>
      </c>
      <c r="C168" s="6" t="str">
        <f>DATA!D164</f>
        <v>NON-INFRASTRUKTUR</v>
      </c>
      <c r="D168" s="6">
        <f>DATA!E164</f>
        <v>8</v>
      </c>
      <c r="E168" s="6" t="str">
        <f>DATA!F164</f>
        <v>Kementerian Riset, Teknologi, dan Pendidikan Tinggi</v>
      </c>
      <c r="F168" s="6" t="str">
        <f>DATA!H164</f>
        <v>Improving Access, Quality, Relevance, and Competitiveness of Higher Education Program</v>
      </c>
      <c r="G168" s="6" t="str">
        <f>DATA!I164</f>
        <v>A</v>
      </c>
      <c r="H168" s="6" t="str">
        <f>DATA!J164</f>
        <v xml:space="preserve">Program Peningkatan Akses, Kualitas, Relevansi, dan Daya Saing Pendidikan Tinggi </v>
      </c>
      <c r="I168" s="6">
        <f>DATA!K164</f>
        <v>1</v>
      </c>
      <c r="J168" s="38"/>
      <c r="K168" s="39"/>
      <c r="L168" s="39"/>
      <c r="M168" s="38"/>
      <c r="N168" s="67" t="str">
        <f>DATA!L164</f>
        <v>Improvement of The Capacity and Contribution of The University of Jember on Standardized and Excellent Tridharma Implementation in South East Asia Region</v>
      </c>
      <c r="O168" s="42">
        <f>DATA!Q164</f>
        <v>0.14285714285714285</v>
      </c>
      <c r="P168" s="42">
        <f>DATA!R164</f>
        <v>0</v>
      </c>
      <c r="Q168" s="42">
        <f>DATA!S164</f>
        <v>0</v>
      </c>
      <c r="R168" s="83">
        <f>DATA!T164</f>
        <v>44091200</v>
      </c>
      <c r="S168" s="83"/>
      <c r="T168" s="83">
        <f>DATA!V164</f>
        <v>1992700</v>
      </c>
      <c r="U168" s="83">
        <f>DATA!W164</f>
        <v>0</v>
      </c>
      <c r="V168" s="83">
        <f>DATA!X164</f>
        <v>46083900</v>
      </c>
      <c r="W168" s="84" t="str">
        <f>DATA!Y164</f>
        <v>IDB</v>
      </c>
      <c r="X168" s="42" t="str">
        <f>DATA!Z164</f>
        <v>Multilateral</v>
      </c>
      <c r="Y168" s="83">
        <f>DATA!AA164</f>
        <v>44091200</v>
      </c>
      <c r="Z168" s="83">
        <f>DATA!AG164</f>
        <v>0</v>
      </c>
      <c r="AA168" s="42" t="str">
        <f>DATA!AH164</f>
        <v>Tanpa keterangan</v>
      </c>
      <c r="AB168" s="67" t="str">
        <f>DATA!AI164</f>
        <v xml:space="preserve">Penyusunan R/C
</v>
      </c>
      <c r="AC168" s="67" t="str">
        <f>DATA!AJ164</f>
        <v>- Penyusunan AMDAL dan DED</v>
      </c>
      <c r="AD168" s="115">
        <f>DATA!AK164</f>
        <v>1</v>
      </c>
      <c r="AE168" s="67" t="str">
        <f>DATA!AL164</f>
        <v>-</v>
      </c>
      <c r="AF168" s="42" t="str">
        <f>DATA!AR164</f>
        <v>-</v>
      </c>
      <c r="AG168" s="42" t="str">
        <f>DATA!AN164</f>
        <v>siap</v>
      </c>
      <c r="AH168" s="42" t="str">
        <f>DATA!AO164</f>
        <v>siap</v>
      </c>
      <c r="AI168" s="42" t="str">
        <f>DATA!AP164</f>
        <v>belum ada proses tender/lelang</v>
      </c>
      <c r="AJ168" s="42" t="str">
        <f>DATA!AY164</f>
        <v>Surat Sekjen nomor 1532/A.A1/PR/2015 tgl 9 September 2015</v>
      </c>
      <c r="AK168" s="42" t="e">
        <f>DATA!#REF!</f>
        <v>#REF!</v>
      </c>
      <c r="AL168" s="42">
        <f>DATA!AZ164</f>
        <v>0</v>
      </c>
      <c r="AM168" s="67" t="str">
        <f>DATA!BA164</f>
        <v>Pembangunan sarana dan prasarana perkuliahan, pengadaan peralatan, pengembangan SDM, dan jasa konsultan</v>
      </c>
    </row>
    <row r="169" spans="1:39" s="6" customFormat="1" ht="43.5" hidden="1" customHeight="1">
      <c r="A169" s="6">
        <f>DATA!A165</f>
        <v>118</v>
      </c>
      <c r="B169" s="6">
        <f>DATA!B165</f>
        <v>0</v>
      </c>
      <c r="C169" s="6" t="str">
        <f>DATA!D165</f>
        <v>NON-INFRASTRUKTUR</v>
      </c>
      <c r="D169" s="6">
        <f>DATA!E165</f>
        <v>8</v>
      </c>
      <c r="E169" s="6" t="str">
        <f>DATA!F165</f>
        <v>Kementerian Riset, Teknologi, dan Pendidikan Tinggi</v>
      </c>
      <c r="F169" s="6" t="str">
        <f>DATA!H165</f>
        <v>Improving Access, Quality, Relevance, and Competitiveness of Higher Education Program</v>
      </c>
      <c r="G169" s="6" t="str">
        <f>DATA!I165</f>
        <v>A</v>
      </c>
      <c r="H169" s="6" t="str">
        <f>DATA!J165</f>
        <v xml:space="preserve">Program Peningkatan Akses, Kualitas, Relevansi, dan Daya Saing Pendidikan Tinggi </v>
      </c>
      <c r="I169" s="6">
        <f>DATA!K165</f>
        <v>1</v>
      </c>
      <c r="J169" s="38"/>
      <c r="K169" s="39"/>
      <c r="L169" s="39"/>
      <c r="M169" s="38"/>
      <c r="N169" s="67" t="str">
        <f>DATA!L165</f>
        <v>The Plan of Hasanuddin University Hospital Development</v>
      </c>
      <c r="O169" s="42">
        <f>DATA!Q165</f>
        <v>0.14285714285714285</v>
      </c>
      <c r="P169" s="42">
        <f>DATA!R165</f>
        <v>0</v>
      </c>
      <c r="Q169" s="42">
        <f>DATA!S165</f>
        <v>0</v>
      </c>
      <c r="R169" s="83">
        <f>DATA!T165</f>
        <v>31565800</v>
      </c>
      <c r="S169" s="83"/>
      <c r="T169" s="83">
        <f>DATA!V165</f>
        <v>2586200</v>
      </c>
      <c r="U169" s="83">
        <f>DATA!W165</f>
        <v>0</v>
      </c>
      <c r="V169" s="83">
        <f>DATA!X165</f>
        <v>34152000</v>
      </c>
      <c r="W169" s="84" t="str">
        <f>DATA!Y165</f>
        <v>Jerman (KfW)</v>
      </c>
      <c r="X169" s="42" t="str">
        <f>DATA!Z165</f>
        <v>Bilateral</v>
      </c>
      <c r="Y169" s="83">
        <f>DATA!AA165</f>
        <v>31565800</v>
      </c>
      <c r="Z169" s="83">
        <f>DATA!AG165</f>
        <v>0</v>
      </c>
      <c r="AA169" s="42" t="str">
        <f>DATA!AH165</f>
        <v>Tanpa keterangan</v>
      </c>
      <c r="AB169" s="67" t="str">
        <f>DATA!AI165</f>
        <v xml:space="preserve">Penyusunan R/C
</v>
      </c>
      <c r="AC169" s="67" t="str">
        <f>DATA!AJ165</f>
        <v>AMDAL</v>
      </c>
      <c r="AD169" s="115">
        <f>DATA!AK165</f>
        <v>1</v>
      </c>
      <c r="AE169" s="67" t="str">
        <f>DATA!AL165</f>
        <v>-</v>
      </c>
      <c r="AF169" s="42" t="str">
        <f>DATA!AR165</f>
        <v>-</v>
      </c>
      <c r="AG169" s="42" t="str">
        <f>DATA!AN165</f>
        <v>siap</v>
      </c>
      <c r="AH169" s="42" t="str">
        <f>DATA!AO165</f>
        <v>siap</v>
      </c>
      <c r="AI169" s="42" t="str">
        <f>DATA!AP165</f>
        <v>belum ada proses tender/lelang</v>
      </c>
      <c r="AJ169" s="42" t="str">
        <f>DATA!AY165</f>
        <v>Surat Sekjen nomor 1532/A.A1/PR/2015 tgl 9 September 2015</v>
      </c>
      <c r="AK169" s="42" t="e">
        <f>DATA!#REF!</f>
        <v>#REF!</v>
      </c>
      <c r="AL169" s="42">
        <f>DATA!AZ165</f>
        <v>0</v>
      </c>
      <c r="AM169" s="67" t="str">
        <f>DATA!BA165</f>
        <v>Pengadaan peralatan, pengembangan SDM, pengembangan telemedicine dan sistem manajemen informasi, dan manajemen dan jasa konsultasi</v>
      </c>
    </row>
    <row r="170" spans="1:39" s="6" customFormat="1" ht="57.75" hidden="1" customHeight="1">
      <c r="A170" s="6">
        <f>DATA!A166</f>
        <v>119</v>
      </c>
      <c r="B170" s="6">
        <f>DATA!B166</f>
        <v>0</v>
      </c>
      <c r="C170" s="6" t="str">
        <f>DATA!D166</f>
        <v>NON-INFRASTRUKTUR</v>
      </c>
      <c r="D170" s="6">
        <f>DATA!E166</f>
        <v>8</v>
      </c>
      <c r="E170" s="6" t="str">
        <f>DATA!F166</f>
        <v>Kementerian Riset, Teknologi, dan Pendidikan Tinggi</v>
      </c>
      <c r="F170" s="6" t="str">
        <f>DATA!H166</f>
        <v>Improving Access, Quality, Relevance, and Competitiveness of Higher Education Program</v>
      </c>
      <c r="G170" s="6" t="str">
        <f>DATA!I166</f>
        <v>A</v>
      </c>
      <c r="H170" s="6" t="str">
        <f>DATA!J166</f>
        <v xml:space="preserve">Program Peningkatan Akses, Kualitas, Relevansi, dan Daya Saing Pendidikan Tinggi </v>
      </c>
      <c r="I170" s="6">
        <f>DATA!K166</f>
        <v>1</v>
      </c>
      <c r="J170" s="38"/>
      <c r="K170" s="39"/>
      <c r="L170" s="39"/>
      <c r="M170" s="38"/>
      <c r="N170" s="67" t="str">
        <f>DATA!L166</f>
        <v>Establishment of University of Bengkulu’s Hospital</v>
      </c>
      <c r="O170" s="42">
        <f>DATA!Q166</f>
        <v>18000000</v>
      </c>
      <c r="P170" s="42">
        <f>DATA!R166</f>
        <v>0</v>
      </c>
      <c r="Q170" s="42">
        <f>DATA!S166</f>
        <v>0</v>
      </c>
      <c r="R170" s="83">
        <f>DATA!T166</f>
        <v>10278200</v>
      </c>
      <c r="S170" s="83"/>
      <c r="T170" s="83">
        <f>DATA!V166</f>
        <v>182000</v>
      </c>
      <c r="U170" s="83">
        <f>DATA!W166</f>
        <v>0</v>
      </c>
      <c r="V170" s="83">
        <f>DATA!X166</f>
        <v>10460200</v>
      </c>
      <c r="W170" s="84" t="str">
        <f>DATA!Y166</f>
        <v>JICA</v>
      </c>
      <c r="X170" s="42" t="str">
        <f>DATA!Z166</f>
        <v>Bilateral</v>
      </c>
      <c r="Y170" s="83">
        <f>DATA!AA166</f>
        <v>10278200</v>
      </c>
      <c r="Z170" s="83">
        <f>DATA!AG166</f>
        <v>0</v>
      </c>
      <c r="AA170" s="42" t="str">
        <f>DATA!AH166</f>
        <v>Tanpa keterangan</v>
      </c>
      <c r="AB170" s="67" t="str">
        <f>DATA!AI166</f>
        <v xml:space="preserve">Penyusunan R/C
</v>
      </c>
      <c r="AC170" s="67" t="str">
        <f>DATA!AJ166</f>
        <v>- FS
- AMDAL</v>
      </c>
      <c r="AD170" s="115">
        <f>DATA!AK166</f>
        <v>1</v>
      </c>
      <c r="AE170" s="67" t="str">
        <f>DATA!AL166</f>
        <v>-</v>
      </c>
      <c r="AF170" s="42" t="str">
        <f>DATA!AR166</f>
        <v>penyiapan dokumen R/C</v>
      </c>
      <c r="AG170" s="42" t="str">
        <f>DATA!AN166</f>
        <v>siap</v>
      </c>
      <c r="AH170" s="42" t="str">
        <f>DATA!AO166</f>
        <v>siap</v>
      </c>
      <c r="AI170" s="42" t="str">
        <f>DATA!AP166</f>
        <v>belum ada proses tender/lelang</v>
      </c>
      <c r="AJ170" s="42" t="str">
        <f>DATA!AY166</f>
        <v>- Lender semula adalah IDB namun pihak Kemristekdikti mengkonfirmasikan  Lender untuk kegiatan ini adalah JICA
- Surat Sekjen nomor 1532/A.A1/PR/2015 tgl 9 September 2015</v>
      </c>
      <c r="AK170" s="42" t="e">
        <f>DATA!#REF!</f>
        <v>#REF!</v>
      </c>
      <c r="AL170" s="42">
        <f>DATA!AZ166</f>
        <v>0</v>
      </c>
      <c r="AM170" s="67" t="str">
        <f>DATA!BA166</f>
        <v>Pembangunan RS Pendidikan di Universitas Bengkulu, pengadaan peralatan medis dan furniture, pengembangan SDM, manajemen proyek, koordinasi, dan pembelajaran</v>
      </c>
    </row>
    <row r="171" spans="1:39" s="6" customFormat="1" ht="50.25" hidden="1" customHeight="1">
      <c r="A171" s="6">
        <f>DATA!A167</f>
        <v>120</v>
      </c>
      <c r="B171" s="6">
        <f>DATA!B167</f>
        <v>0</v>
      </c>
      <c r="C171" s="6" t="str">
        <f>DATA!D167</f>
        <v>NON-INFRASTRUKTUR</v>
      </c>
      <c r="D171" s="6">
        <f>DATA!E167</f>
        <v>8</v>
      </c>
      <c r="E171" s="6" t="str">
        <f>DATA!F167</f>
        <v>Kementerian Riset, Teknologi, dan Pendidikan Tinggi</v>
      </c>
      <c r="F171" s="6" t="str">
        <f>DATA!H167</f>
        <v>Improving Access, Quality, Relevance, and Competitiveness of Higher Education Program</v>
      </c>
      <c r="G171" s="6" t="str">
        <f>DATA!I167</f>
        <v>A</v>
      </c>
      <c r="H171" s="6" t="str">
        <f>DATA!J167</f>
        <v xml:space="preserve">Program Peningkatan Akses, Kualitas, Relevansi, dan Daya Saing Pendidikan Tinggi </v>
      </c>
      <c r="I171" s="6">
        <f>DATA!K167</f>
        <v>1</v>
      </c>
      <c r="J171" s="38"/>
      <c r="K171" s="71"/>
      <c r="L171" s="71"/>
      <c r="M171" s="43"/>
      <c r="N171" s="67" t="str">
        <f>DATA!L167</f>
        <v>University of Gadjah Mada Achieving World Class University with Socio-Entrepreneurial Spirit</v>
      </c>
      <c r="O171" s="42">
        <f>DATA!Q167</f>
        <v>0.14285714285714285</v>
      </c>
      <c r="P171" s="42">
        <f>DATA!R167</f>
        <v>0</v>
      </c>
      <c r="Q171" s="42">
        <f>DATA!S167</f>
        <v>0</v>
      </c>
      <c r="R171" s="83">
        <f>DATA!T167</f>
        <v>71694000</v>
      </c>
      <c r="S171" s="83"/>
      <c r="T171" s="83">
        <f>DATA!V167</f>
        <v>7041900</v>
      </c>
      <c r="U171" s="83">
        <f>DATA!W167</f>
        <v>0</v>
      </c>
      <c r="V171" s="83">
        <f>DATA!X167</f>
        <v>78735900</v>
      </c>
      <c r="W171" s="84" t="str">
        <f>DATA!Y167</f>
        <v>JICA</v>
      </c>
      <c r="X171" s="42" t="str">
        <f>DATA!Z167</f>
        <v>Bilateral</v>
      </c>
      <c r="Y171" s="83">
        <f>DATA!AA167</f>
        <v>71694000</v>
      </c>
      <c r="Z171" s="83">
        <f>DATA!AG167</f>
        <v>0</v>
      </c>
      <c r="AA171" s="42" t="str">
        <f>DATA!AH167</f>
        <v>Tanpa keterangan</v>
      </c>
      <c r="AB171" s="67" t="str">
        <f>DATA!AI167</f>
        <v xml:space="preserve">Penyusunan R/C
</v>
      </c>
      <c r="AC171" s="67" t="str">
        <f>DATA!AJ167</f>
        <v>- FS
- AMDAL dan DED dalam proses</v>
      </c>
      <c r="AD171" s="115">
        <f>DATA!AK167</f>
        <v>0.95</v>
      </c>
      <c r="AE171" s="67" t="str">
        <f>DATA!AL167</f>
        <v>-</v>
      </c>
      <c r="AF171" s="42" t="str">
        <f>DATA!AR167</f>
        <v>-</v>
      </c>
      <c r="AG171" s="42" t="str">
        <f>DATA!AN167</f>
        <v>siap</v>
      </c>
      <c r="AH171" s="42" t="str">
        <f>DATA!AO167</f>
        <v>siap</v>
      </c>
      <c r="AI171" s="42" t="str">
        <f>DATA!AP167</f>
        <v>belum ada proses tender/lelang</v>
      </c>
      <c r="AJ171" s="42" t="str">
        <f>DATA!AY167</f>
        <v>- Lender semula adalah IDB namun pihak Kemristekdikti mengkonfirmasikan  Lender untuk kegiatan ini adalah JICA
- Target penyelesaian lahan akhir Desember 2015
- Surat Sekjen nomor 1532/A.A1/PR/2015 tgl 9 September 2015</v>
      </c>
      <c r="AK171" s="42" t="e">
        <f>DATA!#REF!</f>
        <v>#REF!</v>
      </c>
      <c r="AL171" s="42">
        <f>DATA!AZ167</f>
        <v>0</v>
      </c>
      <c r="AM171" s="67" t="str">
        <f>DATA!BA167</f>
        <v>Pembangunan gedung baru, pengadaan peralatan, pengembangan SDM dan desain kurikulum, jasa konsultan, dan manajemen proyek</v>
      </c>
    </row>
    <row r="172" spans="1:39" s="4" customFormat="1" ht="24.95" hidden="1" customHeight="1">
      <c r="J172" s="107"/>
      <c r="K172" s="25">
        <f>DATA!E173</f>
        <v>9</v>
      </c>
      <c r="L172" s="108" t="str">
        <f>DATA!F173</f>
        <v>Kementerian Agama</v>
      </c>
      <c r="M172" s="25"/>
      <c r="N172" s="27"/>
      <c r="O172" s="26"/>
      <c r="P172" s="26"/>
      <c r="Q172" s="26"/>
      <c r="R172" s="80">
        <f>+R173</f>
        <v>238210000</v>
      </c>
      <c r="S172" s="80"/>
      <c r="T172" s="80">
        <f t="shared" ref="T172:Z173" si="20">+T173</f>
        <v>60851400</v>
      </c>
      <c r="U172" s="80">
        <f t="shared" si="20"/>
        <v>0</v>
      </c>
      <c r="V172" s="80">
        <f t="shared" si="20"/>
        <v>288657100</v>
      </c>
      <c r="W172" s="80"/>
      <c r="X172" s="80">
        <f t="shared" si="20"/>
        <v>0</v>
      </c>
      <c r="Y172" s="80">
        <f t="shared" si="20"/>
        <v>238210000</v>
      </c>
      <c r="Z172" s="80">
        <f t="shared" si="20"/>
        <v>0</v>
      </c>
      <c r="AA172" s="26"/>
      <c r="AB172" s="27"/>
      <c r="AC172" s="27"/>
      <c r="AD172" s="27"/>
      <c r="AE172" s="27"/>
      <c r="AF172" s="26"/>
      <c r="AG172" s="26"/>
      <c r="AH172" s="26"/>
      <c r="AI172" s="26"/>
      <c r="AJ172" s="26"/>
      <c r="AK172" s="26"/>
      <c r="AL172" s="26"/>
      <c r="AM172" s="27"/>
    </row>
    <row r="173" spans="1:39" s="5" customFormat="1" ht="33.75" hidden="1" customHeight="1">
      <c r="J173" s="28"/>
      <c r="K173" s="29"/>
      <c r="L173" s="30" t="str">
        <f>DATA!I173</f>
        <v>A</v>
      </c>
      <c r="M173" s="31" t="str">
        <f>DATA!J173</f>
        <v>Program Peningkatan Akses, Kualitas, Relevansi, dan Daya Saing Pendidikan Tinggi Islam</v>
      </c>
      <c r="N173" s="51"/>
      <c r="O173" s="31"/>
      <c r="P173" s="31"/>
      <c r="Q173" s="31"/>
      <c r="R173" s="81">
        <f>+R174</f>
        <v>238210000</v>
      </c>
      <c r="S173" s="81"/>
      <c r="T173" s="81">
        <f t="shared" si="20"/>
        <v>60851400</v>
      </c>
      <c r="U173" s="81">
        <f t="shared" si="20"/>
        <v>0</v>
      </c>
      <c r="V173" s="81">
        <f t="shared" si="20"/>
        <v>288657100</v>
      </c>
      <c r="W173" s="81"/>
      <c r="X173" s="81">
        <f t="shared" si="20"/>
        <v>0</v>
      </c>
      <c r="Y173" s="81">
        <f t="shared" si="20"/>
        <v>238210000</v>
      </c>
      <c r="Z173" s="81">
        <f t="shared" si="20"/>
        <v>0</v>
      </c>
      <c r="AA173" s="31"/>
      <c r="AB173" s="32"/>
      <c r="AC173" s="32"/>
      <c r="AD173" s="32"/>
      <c r="AE173" s="32"/>
      <c r="AF173" s="31"/>
      <c r="AG173" s="31"/>
      <c r="AH173" s="31"/>
      <c r="AI173" s="31"/>
      <c r="AJ173" s="31"/>
      <c r="AK173" s="31"/>
      <c r="AL173" s="31"/>
      <c r="AM173" s="32"/>
    </row>
    <row r="174" spans="1:39" ht="38.25" hidden="1">
      <c r="A174" s="10">
        <f>DATA!A173</f>
        <v>121</v>
      </c>
      <c r="B174" s="10">
        <f>DATA!B173</f>
        <v>0</v>
      </c>
      <c r="C174" s="10" t="str">
        <f>DATA!D173</f>
        <v>NON-INFRASTRUKTUR</v>
      </c>
      <c r="D174" s="10">
        <f>DATA!E173</f>
        <v>9</v>
      </c>
      <c r="E174" s="10" t="str">
        <f>DATA!F173</f>
        <v>Kementerian Agama</v>
      </c>
      <c r="F174" s="10" t="str">
        <f>DATA!H173</f>
        <v>Improving Access, Quality, Relevance, and Competitiveness of Islamic Higher Education Program</v>
      </c>
      <c r="G174" s="10" t="str">
        <f>DATA!I173</f>
        <v>A</v>
      </c>
      <c r="H174" s="10" t="str">
        <f>DATA!J173</f>
        <v>Program Peningkatan Akses, Kualitas, Relevansi, dan Daya Saing Pendidikan Tinggi Islam</v>
      </c>
      <c r="I174" s="10">
        <f>DATA!K173</f>
        <v>1</v>
      </c>
      <c r="J174" s="33"/>
      <c r="K174" s="34"/>
      <c r="L174" s="35"/>
      <c r="M174" s="36">
        <f>DATA!K173</f>
        <v>1</v>
      </c>
      <c r="N174" s="37" t="str">
        <f>DATA!L173</f>
        <v>Strengthening Capacity of Islamic Higher Education (IAIN and UIN):</v>
      </c>
      <c r="O174" s="20">
        <f>DATA!Q173</f>
        <v>0</v>
      </c>
      <c r="P174" s="20">
        <f>DATA!R173</f>
        <v>1</v>
      </c>
      <c r="Q174" s="20">
        <f>DATA!S173</f>
        <v>102</v>
      </c>
      <c r="R174" s="77">
        <f>DATA!T173</f>
        <v>238210000</v>
      </c>
      <c r="S174" s="77"/>
      <c r="T174" s="77">
        <f>DATA!V173</f>
        <v>60851400</v>
      </c>
      <c r="U174" s="77">
        <f>DATA!W173</f>
        <v>0</v>
      </c>
      <c r="V174" s="77">
        <f>DATA!X173</f>
        <v>288657100</v>
      </c>
      <c r="W174" s="78" t="str">
        <f>DATA!Y173</f>
        <v>-</v>
      </c>
      <c r="X174" s="20">
        <f>DATA!Z173</f>
        <v>0</v>
      </c>
      <c r="Y174" s="77">
        <f>DATA!AA173</f>
        <v>238210000</v>
      </c>
      <c r="Z174" s="77">
        <f>DATA!AG173</f>
        <v>0</v>
      </c>
      <c r="AA174" s="20" t="str">
        <f>DATA!AH173</f>
        <v>-</v>
      </c>
      <c r="AB174" s="37" t="str">
        <f>DATA!AI173</f>
        <v>-</v>
      </c>
      <c r="AC174" s="37" t="str">
        <f>DATA!AJ173</f>
        <v>-</v>
      </c>
      <c r="AD174" s="37" t="str">
        <f>DATA!AK173</f>
        <v>-</v>
      </c>
      <c r="AE174" s="37" t="str">
        <f>DATA!AL173</f>
        <v>-</v>
      </c>
      <c r="AF174" s="20" t="str">
        <f>DATA!AM173</f>
        <v>-</v>
      </c>
      <c r="AG174" s="20" t="str">
        <f>DATA!AN173</f>
        <v>-</v>
      </c>
      <c r="AH174" s="20" t="str">
        <f>DATA!AO173</f>
        <v>-</v>
      </c>
      <c r="AI174" s="20">
        <f>DATA!AP173</f>
        <v>0</v>
      </c>
      <c r="AJ174" s="20" t="str">
        <f>DATA!AY173</f>
        <v>Surat Sekjen a/n Menteri Agama nomor SJ/B.I/1/KU.00.2/6260/2015 tanggal 17 September 2015</v>
      </c>
      <c r="AK174" s="20" t="e">
        <f>DATA!#REF!</f>
        <v>#REF!</v>
      </c>
      <c r="AL174" s="20">
        <f>DATA!AZ173</f>
        <v>0</v>
      </c>
      <c r="AM174" s="37" t="str">
        <f>DATA!BA173</f>
        <v>Pembangunan sarana dan prasarana perkuliahan, pengadaan peralatan, pengembangan SDM, serta jasa konsultan</v>
      </c>
    </row>
    <row r="175" spans="1:39" s="6" customFormat="1" ht="61.5" hidden="1" customHeight="1">
      <c r="A175" s="6">
        <f>DATA!A174</f>
        <v>124</v>
      </c>
      <c r="B175" s="6">
        <f>DATA!B174</f>
        <v>0</v>
      </c>
      <c r="C175" s="6" t="str">
        <f>DATA!D174</f>
        <v>NON-INFRASTRUKTUR</v>
      </c>
      <c r="D175" s="6">
        <f>DATA!E174</f>
        <v>9</v>
      </c>
      <c r="E175" s="6" t="str">
        <f>DATA!F174</f>
        <v>Kementerian Agama</v>
      </c>
      <c r="F175" s="6" t="str">
        <f>DATA!H174</f>
        <v>Improving Access, Quality, Relevance, and Competitiveness of Islamic Higher Education Program</v>
      </c>
      <c r="G175" s="6" t="str">
        <f>DATA!I174</f>
        <v>A</v>
      </c>
      <c r="H175" s="6" t="str">
        <f>DATA!J174</f>
        <v>Program Peningkatan Akses, Kualitas, Relevansi, dan Daya Saing Pendidikan Tinggi Islam</v>
      </c>
      <c r="I175" s="6">
        <f>DATA!K174</f>
        <v>1</v>
      </c>
      <c r="J175" s="38"/>
      <c r="K175" s="39"/>
      <c r="L175" s="39"/>
      <c r="M175" s="40"/>
      <c r="N175" s="67" t="str">
        <f>DATA!L174</f>
        <v>Improvement and Optimalization of Sunan Ampel Surabaya State Islamic University</v>
      </c>
      <c r="O175" s="42">
        <f>DATA!Q174</f>
        <v>0.16666666666666666</v>
      </c>
      <c r="P175" s="42">
        <f>DATA!R174</f>
        <v>0</v>
      </c>
      <c r="Q175" s="42">
        <f>DATA!S174</f>
        <v>0</v>
      </c>
      <c r="R175" s="83">
        <f>DATA!T174</f>
        <v>40000000</v>
      </c>
      <c r="S175" s="83"/>
      <c r="T175" s="83">
        <f>DATA!V174</f>
        <v>10000000</v>
      </c>
      <c r="U175" s="83">
        <f>DATA!W174</f>
        <v>0</v>
      </c>
      <c r="V175" s="83">
        <f>DATA!X174</f>
        <v>50000000</v>
      </c>
      <c r="W175" s="84" t="str">
        <f>DATA!Y174</f>
        <v>IDB</v>
      </c>
      <c r="X175" s="42" t="str">
        <f>DATA!Z174</f>
        <v>Multilateral</v>
      </c>
      <c r="Y175" s="83">
        <f>DATA!AA174</f>
        <v>40000000</v>
      </c>
      <c r="Z175" s="83">
        <f>DATA!AG174</f>
        <v>0</v>
      </c>
      <c r="AA175" s="42" t="str">
        <f>DATA!AH174</f>
        <v>Tanpa keterangan</v>
      </c>
      <c r="AB175" s="67" t="str">
        <f>DATA!AI174</f>
        <v>Penyusunan R/C</v>
      </c>
      <c r="AC175" s="67" t="str">
        <f>DATA!AJ174</f>
        <v>- FS dan Proposal
- Penyusunan R/C</v>
      </c>
      <c r="AD175" s="115">
        <f>DATA!AK174</f>
        <v>0.85</v>
      </c>
      <c r="AE175" s="67" t="str">
        <f>DATA!AL174</f>
        <v>-</v>
      </c>
      <c r="AF175" s="42" t="str">
        <f>DATA!AR174</f>
        <v>-</v>
      </c>
      <c r="AG175" s="42" t="str">
        <f>DATA!AN174</f>
        <v>siap</v>
      </c>
      <c r="AH175" s="42" t="str">
        <f>DATA!AO174</f>
        <v>siap</v>
      </c>
      <c r="AI175" s="42" t="str">
        <f>DATA!AP174</f>
        <v>belum ada proses tender/lelang</v>
      </c>
      <c r="AJ175" s="42" t="str">
        <f>DATA!AY174</f>
        <v xml:space="preserve">- Pembebasan kekurangan lahan dilakukan tahun 2016
- Surat Sekjen a/n Menteri Agama nomor SJ/B.I/1/KU.00.2/6260/2015 tanggal 17 September 2015
</v>
      </c>
      <c r="AK175" s="42" t="e">
        <f>DATA!#REF!</f>
        <v>#REF!</v>
      </c>
      <c r="AL175" s="42">
        <f>DATA!AZ174</f>
        <v>0</v>
      </c>
      <c r="AM175" s="67" t="str">
        <f>DATA!BA174</f>
        <v xml:space="preserve">Pengembangan sarana prasarana perkuliahan (fakultas Saintek, Psikologi dan Kesehatan, Humaniora dan Ilmu Sosial), pengembangan kurikulum dan manajemen akademik, dan pengembangan SDM 
</v>
      </c>
    </row>
    <row r="176" spans="1:39" s="6" customFormat="1" ht="52.5" hidden="1" customHeight="1">
      <c r="A176" s="6">
        <f>DATA!A175</f>
        <v>125</v>
      </c>
      <c r="B176" s="6">
        <f>DATA!B175</f>
        <v>0</v>
      </c>
      <c r="C176" s="6" t="str">
        <f>DATA!D175</f>
        <v>NON-INFRASTRUKTUR</v>
      </c>
      <c r="D176" s="6">
        <f>DATA!E175</f>
        <v>9</v>
      </c>
      <c r="E176" s="6" t="str">
        <f>DATA!F175</f>
        <v>Kementerian Agama</v>
      </c>
      <c r="F176" s="6" t="str">
        <f>DATA!H175</f>
        <v>Improving Access, Quality, Relevance, and Competitiveness of Islamic Higher Education Program</v>
      </c>
      <c r="G176" s="6" t="str">
        <f>DATA!I175</f>
        <v>A</v>
      </c>
      <c r="H176" s="6" t="str">
        <f>DATA!J175</f>
        <v>Program Peningkatan Akses, Kualitas, Relevansi, dan Daya Saing Pendidikan Tinggi Islam</v>
      </c>
      <c r="I176" s="6">
        <f>DATA!K175</f>
        <v>1</v>
      </c>
      <c r="J176" s="38"/>
      <c r="K176" s="39"/>
      <c r="L176" s="39"/>
      <c r="M176" s="38"/>
      <c r="N176" s="67" t="str">
        <f>DATA!L175</f>
        <v>Improvement Access and Quality of State Islamic Institute  Suthan Maulana Hasanuddin Banten</v>
      </c>
      <c r="O176" s="42">
        <f>DATA!Q175</f>
        <v>0.16666666666666666</v>
      </c>
      <c r="P176" s="42">
        <f>DATA!R175</f>
        <v>0</v>
      </c>
      <c r="Q176" s="42">
        <f>DATA!S175</f>
        <v>0</v>
      </c>
      <c r="R176" s="83">
        <f>DATA!T175</f>
        <v>40000000</v>
      </c>
      <c r="S176" s="83"/>
      <c r="T176" s="83">
        <f>DATA!V175</f>
        <v>5985000</v>
      </c>
      <c r="U176" s="83">
        <f>DATA!W175</f>
        <v>0</v>
      </c>
      <c r="V176" s="83">
        <f>DATA!X175</f>
        <v>45985000</v>
      </c>
      <c r="W176" s="84" t="str">
        <f>DATA!Y175</f>
        <v>IDB</v>
      </c>
      <c r="X176" s="42" t="str">
        <f>DATA!Z175</f>
        <v>Multilateral</v>
      </c>
      <c r="Y176" s="83">
        <f>DATA!AA175</f>
        <v>40000000</v>
      </c>
      <c r="Z176" s="83">
        <f>DATA!AG175</f>
        <v>0</v>
      </c>
      <c r="AA176" s="42" t="str">
        <f>DATA!AH175</f>
        <v>Tanpa keterangan</v>
      </c>
      <c r="AB176" s="67" t="str">
        <f>DATA!AI175</f>
        <v>Penyusunan R/C</v>
      </c>
      <c r="AC176" s="67" t="str">
        <f>DATA!AJ175</f>
        <v>- Sudah ada Master Plan
- AMDAL</v>
      </c>
      <c r="AD176" s="115">
        <f>DATA!AK175</f>
        <v>1</v>
      </c>
      <c r="AE176" s="67" t="str">
        <f>DATA!AL175</f>
        <v>-</v>
      </c>
      <c r="AF176" s="42" t="str">
        <f>DATA!AR175</f>
        <v>-</v>
      </c>
      <c r="AG176" s="42" t="str">
        <f>DATA!AN175</f>
        <v>siap</v>
      </c>
      <c r="AH176" s="42" t="str">
        <f>DATA!AO175</f>
        <v>siap</v>
      </c>
      <c r="AI176" s="42" t="str">
        <f>DATA!AP175</f>
        <v>belum ada proses tender/lelang</v>
      </c>
      <c r="AJ176" s="42"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K176" s="42" t="e">
        <f>DATA!#REF!</f>
        <v>#REF!</v>
      </c>
      <c r="AL176" s="42">
        <f>DATA!AZ175</f>
        <v>0</v>
      </c>
      <c r="AM176" s="67" t="str">
        <f>DATA!BA175</f>
        <v>Pembangunan gedung dan infrastruktur, pengadaaan mebelair dan peralatan, peningkatan SDM, dan pengembangan kurikulum akademik</v>
      </c>
    </row>
    <row r="177" spans="1:39" s="6" customFormat="1" ht="66.75" hidden="1" customHeight="1">
      <c r="A177" s="6">
        <f>DATA!A176</f>
        <v>126</v>
      </c>
      <c r="B177" s="6">
        <f>DATA!B176</f>
        <v>0</v>
      </c>
      <c r="C177" s="6" t="str">
        <f>DATA!D176</f>
        <v>NON-INFRASTRUKTUR</v>
      </c>
      <c r="D177" s="6">
        <f>DATA!E176</f>
        <v>9</v>
      </c>
      <c r="E177" s="6" t="str">
        <f>DATA!F176</f>
        <v>Kementerian Agama</v>
      </c>
      <c r="F177" s="6" t="str">
        <f>DATA!H176</f>
        <v>Improving Access, Quality, Relevance, and Competitiveness of Islamic Higher Education Program</v>
      </c>
      <c r="G177" s="6" t="str">
        <f>DATA!I176</f>
        <v>A</v>
      </c>
      <c r="H177" s="6" t="str">
        <f>DATA!J176</f>
        <v>Program Peningkatan Akses, Kualitas, Relevansi, dan Daya Saing Pendidikan Tinggi Islam</v>
      </c>
      <c r="I177" s="6">
        <f>DATA!K176</f>
        <v>1</v>
      </c>
      <c r="J177" s="38"/>
      <c r="K177" s="39"/>
      <c r="L177" s="39"/>
      <c r="M177" s="38"/>
      <c r="N177" s="67" t="str">
        <f>DATA!L176</f>
        <v xml:space="preserve">Development and Quality Improvement  of Antasari State Islamic Institute </v>
      </c>
      <c r="O177" s="42">
        <f>DATA!Q176</f>
        <v>0.16666666666666666</v>
      </c>
      <c r="P177" s="42">
        <f>DATA!R176</f>
        <v>0</v>
      </c>
      <c r="Q177" s="42">
        <f>DATA!S176</f>
        <v>0</v>
      </c>
      <c r="R177" s="83">
        <f>DATA!T176</f>
        <v>39908600</v>
      </c>
      <c r="S177" s="83"/>
      <c r="T177" s="83">
        <f>DATA!V176</f>
        <v>10290700</v>
      </c>
      <c r="U177" s="83">
        <f>DATA!W176</f>
        <v>0</v>
      </c>
      <c r="V177" s="83">
        <f>DATA!X176</f>
        <v>50199300</v>
      </c>
      <c r="W177" s="84" t="str">
        <f>DATA!Y176</f>
        <v>IDB</v>
      </c>
      <c r="X177" s="42" t="str">
        <f>DATA!Z176</f>
        <v>Multilateral</v>
      </c>
      <c r="Y177" s="83">
        <f>DATA!AA176</f>
        <v>39900000</v>
      </c>
      <c r="Z177" s="83">
        <f>DATA!AG176</f>
        <v>0</v>
      </c>
      <c r="AA177" s="42" t="str">
        <f>DATA!AH176</f>
        <v>Tanpa keterangan</v>
      </c>
      <c r="AB177" s="67" t="str">
        <f>DATA!AI176</f>
        <v>Penyusunan R/C</v>
      </c>
      <c r="AC177" s="67" t="str">
        <f>DATA!AJ176</f>
        <v>Sudah melakukan penyiapan perencanaan</v>
      </c>
      <c r="AD177" s="115">
        <f>DATA!AK176</f>
        <v>1</v>
      </c>
      <c r="AE177" s="67" t="str">
        <f>DATA!AL176</f>
        <v>-</v>
      </c>
      <c r="AF177" s="42" t="str">
        <f>DATA!AR176</f>
        <v>-</v>
      </c>
      <c r="AG177" s="42" t="str">
        <f>DATA!AN176</f>
        <v>siap</v>
      </c>
      <c r="AH177" s="42" t="str">
        <f>DATA!AO176</f>
        <v>siap</v>
      </c>
      <c r="AI177" s="42" t="str">
        <f>DATA!AP176</f>
        <v>belum ada proses tender/lelang</v>
      </c>
      <c r="AJ177" s="42" t="str">
        <f>DATA!AY176</f>
        <v>Surat Sekjen a/n Menteri Agama nomor SJ/B.I/1/KU.00.2/6260/2015 tanggal 17 September 2015</v>
      </c>
      <c r="AK177" s="42" t="e">
        <f>DATA!#REF!</f>
        <v>#REF!</v>
      </c>
      <c r="AL177" s="42">
        <f>DATA!AZ176</f>
        <v>0</v>
      </c>
      <c r="AM177" s="67" t="str">
        <f>DATA!BA176</f>
        <v>Pembangunan gedung dan infrastruktur, penguatan kelembagaan (pengembangan kurikulum, prodi, manajemen dan peningkatan jumlah dan kualitas riset), dan pengembangan SDM</v>
      </c>
    </row>
    <row r="178" spans="1:39" s="6" customFormat="1" ht="87" hidden="1" customHeight="1">
      <c r="A178" s="6">
        <f>DATA!A177</f>
        <v>127</v>
      </c>
      <c r="B178" s="6">
        <f>DATA!B177</f>
        <v>0</v>
      </c>
      <c r="C178" s="6" t="str">
        <f>DATA!D177</f>
        <v>NON-INFRASTRUKTUR</v>
      </c>
      <c r="D178" s="6" t="str">
        <f>DATA!E177</f>
        <v>z</v>
      </c>
      <c r="E178" s="6" t="str">
        <f>DATA!F177</f>
        <v>Kementerian Agama</v>
      </c>
      <c r="F178" s="6" t="str">
        <f>DATA!H177</f>
        <v>Improving Access, Quality, Relevance, and Competitiveness of Islamic Higher Education Program</v>
      </c>
      <c r="G178" s="6" t="str">
        <f>DATA!I177</f>
        <v>A</v>
      </c>
      <c r="H178" s="6" t="str">
        <f>DATA!J177</f>
        <v>Program Peningkatan Akses, Kualitas, Relevansi, dan Daya Saing Pendidikan Tinggi Islam</v>
      </c>
      <c r="I178" s="6">
        <f>DATA!K177</f>
        <v>1</v>
      </c>
      <c r="J178" s="38"/>
      <c r="K178" s="39"/>
      <c r="L178" s="39"/>
      <c r="M178" s="38"/>
      <c r="N178" s="67" t="str">
        <f>DATA!L177</f>
        <v xml:space="preserve">Tranformation of State Islamic Institute  Sulthan Thaha Saifuddin to State Islamic University </v>
      </c>
      <c r="O178" s="42">
        <f>DATA!Q177</f>
        <v>0.16666666666666666</v>
      </c>
      <c r="P178" s="42">
        <f>DATA!R177</f>
        <v>0</v>
      </c>
      <c r="Q178" s="42">
        <f>DATA!S177</f>
        <v>0</v>
      </c>
      <c r="R178" s="83">
        <f>DATA!T177</f>
        <v>40000000</v>
      </c>
      <c r="S178" s="83"/>
      <c r="T178" s="83">
        <f>DATA!V177</f>
        <v>10000000</v>
      </c>
      <c r="U178" s="83">
        <f>DATA!W177</f>
        <v>0</v>
      </c>
      <c r="V178" s="83">
        <f>DATA!X177</f>
        <v>50000000</v>
      </c>
      <c r="W178" s="84" t="str">
        <f>DATA!Y177</f>
        <v>IDB</v>
      </c>
      <c r="X178" s="42" t="str">
        <f>DATA!Z177</f>
        <v>Multilateral</v>
      </c>
      <c r="Y178" s="83">
        <f>DATA!AA177</f>
        <v>40000000</v>
      </c>
      <c r="Z178" s="83">
        <f>DATA!AG177</f>
        <v>0</v>
      </c>
      <c r="AA178" s="42" t="str">
        <f>DATA!AH177</f>
        <v>Tanpa keterangan</v>
      </c>
      <c r="AB178" s="67" t="str">
        <f>DATA!AI177</f>
        <v>Penyusunan R/C</v>
      </c>
      <c r="AC178" s="67" t="str">
        <f>DATA!AJ177</f>
        <v>Sedang merinci kegiatan</v>
      </c>
      <c r="AD178" s="115">
        <f>DATA!AK177</f>
        <v>1</v>
      </c>
      <c r="AE178" s="67" t="str">
        <f>DATA!AL177</f>
        <v>-</v>
      </c>
      <c r="AF178" s="42" t="str">
        <f>DATA!AR177</f>
        <v>-</v>
      </c>
      <c r="AG178" s="42" t="str">
        <f>DATA!AN177</f>
        <v>siap</v>
      </c>
      <c r="AH178" s="42" t="str">
        <f>DATA!AO177</f>
        <v>siap</v>
      </c>
      <c r="AI178" s="42" t="str">
        <f>DATA!AP177</f>
        <v>belum ada proses tender/lelang</v>
      </c>
      <c r="AJ178" s="42" t="str">
        <f>DATA!AY177</f>
        <v>Surat Sekjen a/n Menteri Agama nomor SJ/B.I/1/KU.00.2/6260/2015 tanggal 17 September 2015</v>
      </c>
      <c r="AK178" s="42" t="e">
        <f>DATA!#REF!</f>
        <v>#REF!</v>
      </c>
      <c r="AL178" s="42">
        <f>DATA!AZ177</f>
        <v>0</v>
      </c>
      <c r="AM178" s="67"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row>
    <row r="179" spans="1:39" s="6" customFormat="1" ht="93.75" hidden="1" customHeight="1">
      <c r="A179" s="6">
        <f>DATA!A178</f>
        <v>128</v>
      </c>
      <c r="B179" s="6">
        <f>DATA!B178</f>
        <v>0</v>
      </c>
      <c r="C179" s="6" t="str">
        <f>DATA!D178</f>
        <v>NON-INFRASTRUKTUR</v>
      </c>
      <c r="D179" s="6">
        <f>DATA!E178</f>
        <v>9</v>
      </c>
      <c r="E179" s="6" t="str">
        <f>DATA!F178</f>
        <v>Kementerian Agama</v>
      </c>
      <c r="F179" s="6" t="str">
        <f>DATA!H178</f>
        <v>Improving Access, Quality, Relevance, and Competitiveness of Islamic Higher Education Program</v>
      </c>
      <c r="G179" s="6" t="str">
        <f>DATA!I178</f>
        <v>A</v>
      </c>
      <c r="H179" s="6" t="str">
        <f>DATA!J178</f>
        <v>Program Peningkatan Akses, Kualitas, Relevansi, dan Daya Saing Pendidikan Tinggi Islam</v>
      </c>
      <c r="I179" s="6">
        <f>DATA!K178</f>
        <v>1</v>
      </c>
      <c r="J179" s="38"/>
      <c r="K179" s="39"/>
      <c r="L179" s="39"/>
      <c r="M179" s="38"/>
      <c r="N179" s="67" t="str">
        <f>DATA!L178</f>
        <v>Development and Institutional Transformation of State Islamic Institute  Raden Intan Lampung</v>
      </c>
      <c r="O179" s="42">
        <f>DATA!Q178</f>
        <v>0.16666666666666666</v>
      </c>
      <c r="P179" s="42">
        <f>DATA!R178</f>
        <v>0</v>
      </c>
      <c r="Q179" s="42">
        <f>DATA!S178</f>
        <v>0</v>
      </c>
      <c r="R179" s="83">
        <f>DATA!T178</f>
        <v>40000000</v>
      </c>
      <c r="S179" s="83"/>
      <c r="T179" s="83">
        <f>DATA!V178</f>
        <v>10000000</v>
      </c>
      <c r="U179" s="83">
        <f>DATA!W178</f>
        <v>0</v>
      </c>
      <c r="V179" s="83">
        <f>DATA!X178</f>
        <v>50000000</v>
      </c>
      <c r="W179" s="84" t="str">
        <f>DATA!Y178</f>
        <v>IDB</v>
      </c>
      <c r="X179" s="42" t="str">
        <f>DATA!Z178</f>
        <v>Multilateral</v>
      </c>
      <c r="Y179" s="83">
        <f>DATA!AA178</f>
        <v>40000000</v>
      </c>
      <c r="Z179" s="83">
        <f>DATA!AG178</f>
        <v>0</v>
      </c>
      <c r="AA179" s="42" t="str">
        <f>DATA!AH178</f>
        <v>Tanpa keterangan</v>
      </c>
      <c r="AB179" s="67" t="str">
        <f>DATA!AI178</f>
        <v>Penyusunan R/C</v>
      </c>
      <c r="AC179" s="67" t="str">
        <f>DATA!AJ178</f>
        <v>- Sudah ada Master Plan</v>
      </c>
      <c r="AD179" s="115">
        <f>DATA!AK178</f>
        <v>1</v>
      </c>
      <c r="AE179" s="67" t="str">
        <f>DATA!AL178</f>
        <v>-</v>
      </c>
      <c r="AF179" s="42" t="str">
        <f>DATA!AR178</f>
        <v>-</v>
      </c>
      <c r="AG179" s="42" t="str">
        <f>DATA!AN178</f>
        <v>siap</v>
      </c>
      <c r="AH179" s="42" t="str">
        <f>DATA!AO178</f>
        <v>siap</v>
      </c>
      <c r="AI179" s="42" t="str">
        <f>DATA!AP178</f>
        <v>belum ada proses tender/lelang</v>
      </c>
      <c r="AJ179" s="42"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K179" s="42" t="e">
        <f>DATA!#REF!</f>
        <v>#REF!</v>
      </c>
      <c r="AL179" s="42">
        <f>DATA!AZ178</f>
        <v>0</v>
      </c>
      <c r="AM179" s="67"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row>
    <row r="180" spans="1:39" s="6" customFormat="1" ht="30.75" hidden="1" customHeight="1">
      <c r="A180" s="6">
        <f>DATA!A179</f>
        <v>123</v>
      </c>
      <c r="B180" s="6">
        <f>DATA!B179</f>
        <v>0</v>
      </c>
      <c r="C180" s="6" t="str">
        <f>DATA!D179</f>
        <v>NON-INFRASTRUKTUR</v>
      </c>
      <c r="D180" s="6">
        <f>DATA!E179</f>
        <v>9</v>
      </c>
      <c r="E180" s="6" t="str">
        <f>DATA!F179</f>
        <v>Kementerian Agama</v>
      </c>
      <c r="F180" s="6" t="str">
        <f>DATA!H179</f>
        <v>Improving Access, Quality, Relevance, and Competitiveness of Islamic Higher Education Program</v>
      </c>
      <c r="G180" s="6" t="str">
        <f>DATA!I179</f>
        <v>A</v>
      </c>
      <c r="H180" s="6" t="str">
        <f>DATA!J179</f>
        <v>Program Peningkatan Akses, Kualitas, Relevansi, dan Daya Saing Pendidikan Tinggi Islam</v>
      </c>
      <c r="I180" s="6">
        <f>DATA!K179</f>
        <v>1</v>
      </c>
      <c r="J180" s="38"/>
      <c r="K180" s="71"/>
      <c r="L180" s="71"/>
      <c r="M180" s="43"/>
      <c r="N180" s="67" t="str">
        <f>DATA!L179</f>
        <v xml:space="preserve">Development of Imam Bonjol State Islamic Institute Project </v>
      </c>
      <c r="O180" s="42">
        <f>DATA!Q179</f>
        <v>0.16666666666666666</v>
      </c>
      <c r="P180" s="42">
        <f>DATA!R179</f>
        <v>0</v>
      </c>
      <c r="Q180" s="42">
        <f>DATA!S179</f>
        <v>0</v>
      </c>
      <c r="R180" s="83">
        <f>DATA!T179</f>
        <v>38301400</v>
      </c>
      <c r="S180" s="83"/>
      <c r="T180" s="83">
        <f>DATA!V179</f>
        <v>4171400</v>
      </c>
      <c r="U180" s="83">
        <f>DATA!W179</f>
        <v>0</v>
      </c>
      <c r="V180" s="83">
        <f>DATA!X179</f>
        <v>42472800</v>
      </c>
      <c r="W180" s="84" t="str">
        <f>DATA!Y179</f>
        <v>IDB</v>
      </c>
      <c r="X180" s="42" t="str">
        <f>DATA!Z179</f>
        <v>Multilateral</v>
      </c>
      <c r="Y180" s="83">
        <f>DATA!AA179</f>
        <v>38310000</v>
      </c>
      <c r="Z180" s="83">
        <f>DATA!AG179</f>
        <v>0</v>
      </c>
      <c r="AA180" s="42" t="str">
        <f>DATA!AH179</f>
        <v>Tanpa keterangan</v>
      </c>
      <c r="AB180" s="67" t="str">
        <f>DATA!AI179</f>
        <v>Penyusunan R/C</v>
      </c>
      <c r="AC180" s="67" t="str">
        <f>DATA!AJ179</f>
        <v>Sedang merinci rencana kegiatan</v>
      </c>
      <c r="AD180" s="115">
        <f>DATA!AK179</f>
        <v>1</v>
      </c>
      <c r="AE180" s="67" t="str">
        <f>DATA!AL179</f>
        <v>-</v>
      </c>
      <c r="AF180" s="42" t="str">
        <f>DATA!AR179</f>
        <v>-</v>
      </c>
      <c r="AG180" s="42" t="str">
        <f>DATA!AN179</f>
        <v>siap</v>
      </c>
      <c r="AH180" s="42" t="str">
        <f>DATA!AO179</f>
        <v>siap</v>
      </c>
      <c r="AI180" s="42" t="str">
        <f>DATA!AP179</f>
        <v>belum ada proses tender/lelang</v>
      </c>
      <c r="AJ180" s="42" t="str">
        <f>DATA!AY179</f>
        <v>Surat Sekjen a/n Menteri Agama nomor SJ/B.I/1/KU.00.2/6260/2015 tanggal 17 September 2015</v>
      </c>
      <c r="AK180" s="42" t="e">
        <f>DATA!#REF!</f>
        <v>#REF!</v>
      </c>
      <c r="AL180" s="42">
        <f>DATA!AZ179</f>
        <v>0</v>
      </c>
      <c r="AM180" s="67" t="str">
        <f>DATA!BA179</f>
        <v>Pembangunan sarana dan prasarana perkuliahan,  Peningkatan kualitas SDM, pengembangan kurikulum</v>
      </c>
    </row>
    <row r="181" spans="1:39" s="4" customFormat="1" ht="24.95" hidden="1" customHeight="1">
      <c r="J181" s="107"/>
      <c r="K181" s="25">
        <f>DATA!E181</f>
        <v>10</v>
      </c>
      <c r="L181" s="108" t="str">
        <f>DATA!F181</f>
        <v>Kementerian PPN/Bappenas</v>
      </c>
      <c r="M181" s="25"/>
      <c r="N181" s="27"/>
      <c r="O181" s="26"/>
      <c r="P181" s="26"/>
      <c r="Q181" s="26"/>
      <c r="R181" s="80">
        <f>+R182</f>
        <v>300000000</v>
      </c>
      <c r="S181" s="80"/>
      <c r="T181" s="80">
        <f t="shared" ref="T181:Z182" si="21">+T182</f>
        <v>0</v>
      </c>
      <c r="U181" s="80">
        <f t="shared" si="21"/>
        <v>0</v>
      </c>
      <c r="V181" s="80">
        <f t="shared" si="21"/>
        <v>300000000</v>
      </c>
      <c r="W181" s="80"/>
      <c r="X181" s="80" t="str">
        <f t="shared" si="21"/>
        <v>Multilateral</v>
      </c>
      <c r="Y181" s="80">
        <f t="shared" si="21"/>
        <v>300000000</v>
      </c>
      <c r="Z181" s="80">
        <f t="shared" si="21"/>
        <v>0</v>
      </c>
      <c r="AA181" s="26"/>
      <c r="AB181" s="27"/>
      <c r="AC181" s="27"/>
      <c r="AD181" s="27"/>
      <c r="AE181" s="27"/>
      <c r="AF181" s="26"/>
      <c r="AG181" s="26"/>
      <c r="AH181" s="26"/>
      <c r="AI181" s="26"/>
      <c r="AJ181" s="26"/>
      <c r="AK181" s="26"/>
      <c r="AL181" s="26"/>
      <c r="AM181" s="27"/>
    </row>
    <row r="182" spans="1:39" s="5" customFormat="1" ht="33.75" hidden="1" customHeight="1">
      <c r="J182" s="28"/>
      <c r="K182" s="29"/>
      <c r="L182" s="30" t="str">
        <f>DATA!I181</f>
        <v>A</v>
      </c>
      <c r="M182" s="113" t="str">
        <f>DATA!J181</f>
        <v>Program Pengembangan Sumber Daya Aparatur  dalam Rangka Reformasi Birokrasi</v>
      </c>
      <c r="N182" s="51"/>
      <c r="O182" s="31"/>
      <c r="P182" s="31"/>
      <c r="Q182" s="31"/>
      <c r="R182" s="81">
        <f>+R183</f>
        <v>300000000</v>
      </c>
      <c r="S182" s="81"/>
      <c r="T182" s="81">
        <f t="shared" si="21"/>
        <v>0</v>
      </c>
      <c r="U182" s="81">
        <f t="shared" si="21"/>
        <v>0</v>
      </c>
      <c r="V182" s="81">
        <f t="shared" si="21"/>
        <v>300000000</v>
      </c>
      <c r="W182" s="81"/>
      <c r="X182" s="81" t="str">
        <f t="shared" si="21"/>
        <v>Multilateral</v>
      </c>
      <c r="Y182" s="81">
        <f t="shared" si="21"/>
        <v>300000000</v>
      </c>
      <c r="Z182" s="81">
        <f t="shared" si="21"/>
        <v>0</v>
      </c>
      <c r="AA182" s="31"/>
      <c r="AB182" s="32"/>
      <c r="AC182" s="32"/>
      <c r="AD182" s="32"/>
      <c r="AE182" s="32"/>
      <c r="AF182" s="31"/>
      <c r="AG182" s="31"/>
      <c r="AH182" s="31"/>
      <c r="AI182" s="31"/>
      <c r="AJ182" s="31"/>
      <c r="AK182" s="31"/>
      <c r="AL182" s="31"/>
      <c r="AM182" s="32"/>
    </row>
    <row r="183" spans="1:39" s="6" customFormat="1" ht="35.25" hidden="1" customHeight="1">
      <c r="A183" s="6">
        <f>DATA!A181</f>
        <v>129</v>
      </c>
      <c r="B183" s="6">
        <f>DATA!B181</f>
        <v>0</v>
      </c>
      <c r="C183" s="6" t="str">
        <f>DATA!D181</f>
        <v>NON-INFRASTRUKTUR</v>
      </c>
      <c r="D183" s="6">
        <f>DATA!E181</f>
        <v>10</v>
      </c>
      <c r="E183" s="6" t="str">
        <f>DATA!F181</f>
        <v>Kementerian PPN/Bappenas</v>
      </c>
      <c r="F183" s="6" t="str">
        <f>DATA!H181</f>
        <v>Human Resources Development for Bureaucracy Reform Program</v>
      </c>
      <c r="G183" s="6" t="str">
        <f>DATA!I181</f>
        <v>A</v>
      </c>
      <c r="H183" s="6" t="str">
        <f>DATA!J181</f>
        <v>Program Pengembangan Sumber Daya Aparatur  dalam Rangka Reformasi Birokrasi</v>
      </c>
      <c r="I183" s="6">
        <f>DATA!K181</f>
        <v>1</v>
      </c>
      <c r="J183" s="38"/>
      <c r="K183" s="71"/>
      <c r="L183" s="39"/>
      <c r="M183" s="38">
        <f>DATA!K181</f>
        <v>1</v>
      </c>
      <c r="N183" s="67" t="str">
        <f>DATA!L181</f>
        <v>Development of Capacity, Quality, and Competency of Human Resources for Government Officer</v>
      </c>
      <c r="O183" s="42">
        <f>DATA!Q181</f>
        <v>1</v>
      </c>
      <c r="P183" s="42">
        <f>DATA!R181</f>
        <v>1</v>
      </c>
      <c r="Q183" s="42">
        <f>DATA!S181</f>
        <v>103</v>
      </c>
      <c r="R183" s="83">
        <f>DATA!T181</f>
        <v>300000000</v>
      </c>
      <c r="S183" s="83"/>
      <c r="T183" s="83">
        <f>DATA!V181</f>
        <v>0</v>
      </c>
      <c r="U183" s="83">
        <f>DATA!W181</f>
        <v>0</v>
      </c>
      <c r="V183" s="83">
        <f>DATA!X181</f>
        <v>300000000</v>
      </c>
      <c r="W183" s="84" t="str">
        <f>DATA!Y181</f>
        <v>Bank Dunia</v>
      </c>
      <c r="X183" s="42" t="str">
        <f>DATA!Z181</f>
        <v>Multilateral</v>
      </c>
      <c r="Y183" s="83">
        <f>DATA!AA181</f>
        <v>300000000</v>
      </c>
      <c r="Z183" s="83">
        <f>DATA!AG181</f>
        <v>0</v>
      </c>
      <c r="AA183" s="42" t="str">
        <f>DATA!AH181</f>
        <v>Tanpa keterangan</v>
      </c>
      <c r="AB183" s="67" t="str">
        <f>DATA!AI181</f>
        <v>Penyusunan R/C</v>
      </c>
      <c r="AC183" s="67" t="str">
        <f>DATA!AJ181</f>
        <v>Sedang evaluasi SPIRIT tahap sebelumnya</v>
      </c>
      <c r="AD183" s="67" t="str">
        <f>DATA!AK181</f>
        <v>Tidak membutuhkan lahan</v>
      </c>
      <c r="AE183" s="67" t="str">
        <f>DATA!AL181</f>
        <v>-</v>
      </c>
      <c r="AF183" s="42" t="str">
        <f>DATA!AR181</f>
        <v>belum ada dokumen R/C</v>
      </c>
      <c r="AG183" s="42" t="str">
        <f>DATA!AN181</f>
        <v>dalam proses
(penyusunan FS)</v>
      </c>
      <c r="AH183" s="42" t="str">
        <f>DATA!AO181</f>
        <v>tidak butuh lahan</v>
      </c>
      <c r="AI183" s="42" t="str">
        <f>DATA!AP181</f>
        <v>belum ada proses tender/lelang</v>
      </c>
      <c r="AJ183" s="42" t="str">
        <f>DATA!AY181</f>
        <v>Surat Sesmen PPN/Sestama Bappenas nomor 5877/SES/09/2015 tgl 14 September 2015</v>
      </c>
      <c r="AK183" s="42" t="e">
        <f>DATA!#REF!</f>
        <v>#REF!</v>
      </c>
      <c r="AL183" s="42" t="str">
        <f>DATA!AZ181</f>
        <v>Diusulkan untuk masuk GB 2016</v>
      </c>
      <c r="AM183" s="67" t="str">
        <f>DATA!BA181</f>
        <v>Menghasilkan sekitar 2.109 lulusan gelar dan non gelar</v>
      </c>
    </row>
    <row r="184" spans="1:39" s="4" customFormat="1" ht="24.95" hidden="1" customHeight="1">
      <c r="J184" s="107"/>
      <c r="K184" s="25">
        <f>DATA!E182</f>
        <v>11</v>
      </c>
      <c r="L184" s="108" t="str">
        <f>DATA!F182</f>
        <v>Kementerian Kesehatan</v>
      </c>
      <c r="M184" s="25"/>
      <c r="N184" s="27"/>
      <c r="O184" s="26"/>
      <c r="P184" s="26"/>
      <c r="Q184" s="26"/>
      <c r="R184" s="80">
        <f>+R185+R187+R189+R191</f>
        <v>1746000000</v>
      </c>
      <c r="S184" s="80"/>
      <c r="T184" s="80">
        <f t="shared" ref="T184:Z184" si="22">+T185+T187+T189+T191</f>
        <v>174600000</v>
      </c>
      <c r="U184" s="80">
        <f t="shared" si="22"/>
        <v>0</v>
      </c>
      <c r="V184" s="80">
        <f t="shared" si="22"/>
        <v>1920600000</v>
      </c>
      <c r="W184" s="80"/>
      <c r="X184" s="80" t="e">
        <f t="shared" si="22"/>
        <v>#VALUE!</v>
      </c>
      <c r="Y184" s="80">
        <f t="shared" si="22"/>
        <v>1746000000</v>
      </c>
      <c r="Z184" s="80">
        <f t="shared" si="22"/>
        <v>-755600000</v>
      </c>
      <c r="AA184" s="26"/>
      <c r="AB184" s="27"/>
      <c r="AC184" s="27"/>
      <c r="AD184" s="27"/>
      <c r="AE184" s="27"/>
      <c r="AF184" s="26"/>
      <c r="AG184" s="26"/>
      <c r="AH184" s="26"/>
      <c r="AI184" s="26"/>
      <c r="AJ184" s="26"/>
      <c r="AK184" s="26"/>
      <c r="AL184" s="26"/>
      <c r="AM184" s="27"/>
    </row>
    <row r="185" spans="1:39" s="5" customFormat="1" ht="33.75" hidden="1" customHeight="1">
      <c r="J185" s="28"/>
      <c r="K185" s="29"/>
      <c r="L185" s="30" t="str">
        <f>DATA!I181</f>
        <v>A</v>
      </c>
      <c r="M185" s="31" t="str">
        <f>DATA!J182</f>
        <v>Program Pelayanan Kesehatan Dasar</v>
      </c>
      <c r="N185" s="51"/>
      <c r="O185" s="31"/>
      <c r="P185" s="31"/>
      <c r="Q185" s="31"/>
      <c r="R185" s="81">
        <f>+R186</f>
        <v>150000000</v>
      </c>
      <c r="S185" s="81"/>
      <c r="T185" s="81">
        <f>+T186</f>
        <v>15000000</v>
      </c>
      <c r="U185" s="81">
        <f>+U186</f>
        <v>0</v>
      </c>
      <c r="V185" s="81">
        <f>+V186</f>
        <v>165000000</v>
      </c>
      <c r="W185" s="81"/>
      <c r="X185" s="81" t="str">
        <f>+X186</f>
        <v>Multilateral</v>
      </c>
      <c r="Y185" s="81">
        <f>+Y186</f>
        <v>150000000</v>
      </c>
      <c r="Z185" s="81">
        <f>+Z186</f>
        <v>0</v>
      </c>
      <c r="AA185" s="31"/>
      <c r="AB185" s="32"/>
      <c r="AC185" s="32"/>
      <c r="AD185" s="32"/>
      <c r="AE185" s="32"/>
      <c r="AF185" s="31"/>
      <c r="AG185" s="31"/>
      <c r="AH185" s="31"/>
      <c r="AI185" s="31"/>
      <c r="AJ185" s="31"/>
      <c r="AK185" s="31"/>
      <c r="AL185" s="31"/>
      <c r="AM185" s="32"/>
    </row>
    <row r="186" spans="1:39" ht="75.75" hidden="1" customHeight="1">
      <c r="A186" s="10">
        <f>DATA!A182</f>
        <v>130</v>
      </c>
      <c r="B186" s="10">
        <f>DATA!B182</f>
        <v>0</v>
      </c>
      <c r="C186" s="10" t="str">
        <f>DATA!D182</f>
        <v>NON-INFRASTRUKTUR</v>
      </c>
      <c r="D186" s="10">
        <f>DATA!E182</f>
        <v>11</v>
      </c>
      <c r="E186" s="10" t="str">
        <f>DATA!F182</f>
        <v>Kementerian Kesehatan</v>
      </c>
      <c r="F186" s="10" t="str">
        <f>DATA!H182</f>
        <v>Basic Health Care Program</v>
      </c>
      <c r="G186" s="10" t="str">
        <f>DATA!I182</f>
        <v>A</v>
      </c>
      <c r="H186" s="10" t="str">
        <f>DATA!J182</f>
        <v>Program Pelayanan Kesehatan Dasar</v>
      </c>
      <c r="I186" s="10">
        <f>DATA!K182</f>
        <v>1</v>
      </c>
      <c r="J186" s="33"/>
      <c r="K186" s="34"/>
      <c r="L186" s="54"/>
      <c r="M186" s="52">
        <f>DATA!K182</f>
        <v>1</v>
      </c>
      <c r="N186" s="37" t="str">
        <f>DATA!L182</f>
        <v>Improvement of Primary Health Care</v>
      </c>
      <c r="O186" s="20">
        <f>DATA!Q182</f>
        <v>1</v>
      </c>
      <c r="P186" s="20">
        <f>DATA!R182</f>
        <v>1</v>
      </c>
      <c r="Q186" s="20">
        <f>DATA!S182</f>
        <v>104</v>
      </c>
      <c r="R186" s="77">
        <f>DATA!T182</f>
        <v>150000000</v>
      </c>
      <c r="S186" s="77"/>
      <c r="T186" s="77">
        <f>DATA!V182</f>
        <v>15000000</v>
      </c>
      <c r="U186" s="77">
        <f>DATA!W182</f>
        <v>0</v>
      </c>
      <c r="V186" s="77">
        <f>DATA!X182</f>
        <v>165000000</v>
      </c>
      <c r="W186" s="78" t="str">
        <f>DATA!Y182</f>
        <v>Bank Dunia</v>
      </c>
      <c r="X186" s="20" t="str">
        <f>DATA!Z182</f>
        <v>Multilateral</v>
      </c>
      <c r="Y186" s="77">
        <f>DATA!AA182</f>
        <v>150000000</v>
      </c>
      <c r="Z186" s="77">
        <f>DATA!AG182</f>
        <v>0</v>
      </c>
      <c r="AA186" s="20" t="str">
        <f>DATA!AH182</f>
        <v>Tanpa keterangan</v>
      </c>
      <c r="AB186" s="37" t="str">
        <f>DATA!AI182</f>
        <v>-</v>
      </c>
      <c r="AC186" s="37" t="str">
        <f>DATA!AJ182</f>
        <v>-</v>
      </c>
      <c r="AD186" s="37" t="str">
        <f>DATA!AK182</f>
        <v>Tidak dibutuhkan lahan</v>
      </c>
      <c r="AE186" s="37" t="str">
        <f>DATA!AL182</f>
        <v>-</v>
      </c>
      <c r="AF186" s="20" t="str">
        <f>DATA!AR182</f>
        <v>belum ada dokumen R/C</v>
      </c>
      <c r="AG186" s="20" t="str">
        <f>DATA!AN182</f>
        <v>belum ada keterangan</v>
      </c>
      <c r="AH186" s="20" t="str">
        <f>DATA!AO182</f>
        <v>tidak butuh lahan</v>
      </c>
      <c r="AI186" s="20" t="str">
        <f>DATA!AP182</f>
        <v>belum ada proses tender/lelang</v>
      </c>
      <c r="AJ186" s="20" t="str">
        <f>DATA!AY182</f>
        <v>Surat Sekjen nomor PR.02.03/I/1814/2015 tanggal 9 September 2015</v>
      </c>
      <c r="AK186" s="20" t="e">
        <f>DATA!#REF!</f>
        <v>#REF!</v>
      </c>
      <c r="AL186" s="20">
        <f>DATA!AZ182</f>
        <v>0</v>
      </c>
      <c r="AM186" s="37" t="str">
        <f>DATA!BA182</f>
        <v>Kegiatan akreditasi pusat kesehatan, pengembangan sistem informasi kesehatan, pemenuhan kebutuhan pelayanan kesehatan pada daerah perbatasan, dan memfasilitasi hubungan pusat kesehatan dengan unit transfusi darah</v>
      </c>
    </row>
    <row r="187" spans="1:39" s="5" customFormat="1" ht="33.75" hidden="1" customHeight="1">
      <c r="J187" s="28"/>
      <c r="K187" s="50"/>
      <c r="L187" s="30" t="str">
        <f>DATA!I183</f>
        <v>B</v>
      </c>
      <c r="M187" s="31" t="str">
        <f>DATA!J183</f>
        <v>Program Pengembangan Sumber Daya Manusia Kesehatan</v>
      </c>
      <c r="N187" s="51"/>
      <c r="O187" s="31"/>
      <c r="P187" s="31"/>
      <c r="Q187" s="31"/>
      <c r="R187" s="81">
        <f>+R188</f>
        <v>240000000</v>
      </c>
      <c r="S187" s="81"/>
      <c r="T187" s="81">
        <f t="shared" ref="T187:Z187" si="23">+T188</f>
        <v>24000000</v>
      </c>
      <c r="U187" s="81">
        <f t="shared" si="23"/>
        <v>0</v>
      </c>
      <c r="V187" s="81">
        <f t="shared" si="23"/>
        <v>264000000</v>
      </c>
      <c r="W187" s="81"/>
      <c r="X187" s="81" t="str">
        <f t="shared" si="23"/>
        <v>Multilateral</v>
      </c>
      <c r="Y187" s="81">
        <f t="shared" si="23"/>
        <v>240000000</v>
      </c>
      <c r="Z187" s="81">
        <f t="shared" si="23"/>
        <v>0</v>
      </c>
      <c r="AA187" s="31"/>
      <c r="AB187" s="32"/>
      <c r="AC187" s="32"/>
      <c r="AD187" s="32"/>
      <c r="AE187" s="32"/>
      <c r="AF187" s="31"/>
      <c r="AG187" s="31"/>
      <c r="AH187" s="31"/>
      <c r="AI187" s="31"/>
      <c r="AJ187" s="31"/>
      <c r="AK187" s="31"/>
      <c r="AL187" s="31"/>
      <c r="AM187" s="32"/>
    </row>
    <row r="188" spans="1:39" ht="46.5" hidden="1" customHeight="1">
      <c r="A188" s="10">
        <f>DATA!A183</f>
        <v>131</v>
      </c>
      <c r="B188" s="10">
        <f>DATA!B183</f>
        <v>0</v>
      </c>
      <c r="C188" s="10" t="str">
        <f>DATA!D183</f>
        <v>NON-INFRASTRUKTUR</v>
      </c>
      <c r="D188" s="10">
        <f>DATA!E183</f>
        <v>11</v>
      </c>
      <c r="E188" s="10" t="str">
        <f>DATA!F183</f>
        <v>Kementerian Kesehatan</v>
      </c>
      <c r="F188" s="10" t="str">
        <f>DATA!H183</f>
        <v>Program for Human Resources Development in Health Sector</v>
      </c>
      <c r="G188" s="10" t="str">
        <f>DATA!I183</f>
        <v>B</v>
      </c>
      <c r="H188" s="10" t="str">
        <f>DATA!J183</f>
        <v>Program Pengembangan Sumber Daya Manusia Kesehatan</v>
      </c>
      <c r="I188" s="10">
        <f>DATA!K183</f>
        <v>1</v>
      </c>
      <c r="J188" s="33"/>
      <c r="K188" s="34"/>
      <c r="L188" s="20"/>
      <c r="M188" s="36">
        <f>DATA!K183</f>
        <v>1</v>
      </c>
      <c r="N188" s="37" t="str">
        <f>DATA!L183</f>
        <v>Improvement of Facilities and Infrastructure for Teaching and Learning Activities in Health Sector</v>
      </c>
      <c r="O188" s="20">
        <f>DATA!Q183</f>
        <v>1</v>
      </c>
      <c r="P188" s="20">
        <f>DATA!R183</f>
        <v>1</v>
      </c>
      <c r="Q188" s="20">
        <f>DATA!S183</f>
        <v>105</v>
      </c>
      <c r="R188" s="77">
        <f>DATA!T183</f>
        <v>240000000</v>
      </c>
      <c r="S188" s="77"/>
      <c r="T188" s="77">
        <f>DATA!V183</f>
        <v>24000000</v>
      </c>
      <c r="U188" s="77">
        <f>DATA!W183</f>
        <v>0</v>
      </c>
      <c r="V188" s="77">
        <f>DATA!X183</f>
        <v>264000000</v>
      </c>
      <c r="W188" s="78" t="str">
        <f>DATA!Y183</f>
        <v>IDB</v>
      </c>
      <c r="X188" s="20" t="str">
        <f>DATA!Z183</f>
        <v>Multilateral</v>
      </c>
      <c r="Y188" s="77">
        <f>DATA!AA183</f>
        <v>240000000</v>
      </c>
      <c r="Z188" s="77">
        <f>DATA!AG183</f>
        <v>0</v>
      </c>
      <c r="AA188" s="20" t="str">
        <f>DATA!AH183</f>
        <v>Tanpa keterangan</v>
      </c>
      <c r="AB188" s="37" t="str">
        <f>DATA!AI183</f>
        <v>Penyusunan R/C</v>
      </c>
      <c r="AC188" s="37" t="str">
        <f>DATA!AJ183</f>
        <v>FS. DED</v>
      </c>
      <c r="AD188" s="114">
        <f>DATA!AK183</f>
        <v>1</v>
      </c>
      <c r="AE188" s="37" t="str">
        <f>DATA!AL183</f>
        <v>Belum ada lelang/tender</v>
      </c>
      <c r="AF188" s="20">
        <f>DATA!AM183</f>
        <v>0</v>
      </c>
      <c r="AG188" s="20" t="str">
        <f>DATA!AN183</f>
        <v>dalam proses
(memiliki FS dan DED)</v>
      </c>
      <c r="AH188" s="20" t="str">
        <f>DATA!AO183</f>
        <v>siap</v>
      </c>
      <c r="AI188" s="20" t="str">
        <f>DATA!AP183</f>
        <v>belum ada proses tender/lelang</v>
      </c>
      <c r="AJ188" s="20" t="str">
        <f>DATA!AY183</f>
        <v>- Pelaksanaan tahun 2017
- Surat Sekjen nomor PR.02.03/I/1814/2015 tanggal 9 September 2015</v>
      </c>
      <c r="AK188" s="20" t="e">
        <f>DATA!#REF!</f>
        <v>#REF!</v>
      </c>
      <c r="AL188" s="20">
        <f>DATA!AZ183</f>
        <v>0</v>
      </c>
      <c r="AM188" s="37" t="str">
        <f>DATA!BA183</f>
        <v>'Peningkatan infrastruktur Poltekkes, BPPK, Bapelkes dan UPT</v>
      </c>
    </row>
    <row r="189" spans="1:39" s="5" customFormat="1" ht="33.75" hidden="1" customHeight="1">
      <c r="J189" s="28"/>
      <c r="K189" s="50"/>
      <c r="L189" s="30" t="str">
        <f>DATA!I184</f>
        <v>C</v>
      </c>
      <c r="M189" s="31" t="str">
        <f>DATA!J184</f>
        <v>Program Pengendalian Penyakit, Penyehatan Lingkungan, dan Penguatan Litbang Kesehatan</v>
      </c>
      <c r="N189" s="51"/>
      <c r="O189" s="31"/>
      <c r="P189" s="31"/>
      <c r="Q189" s="31"/>
      <c r="R189" s="81">
        <f>+R190</f>
        <v>100400000</v>
      </c>
      <c r="S189" s="81"/>
      <c r="T189" s="81">
        <f t="shared" ref="T189:Z189" si="24">+T190</f>
        <v>10040000</v>
      </c>
      <c r="U189" s="81">
        <f t="shared" si="24"/>
        <v>0</v>
      </c>
      <c r="V189" s="81">
        <f t="shared" si="24"/>
        <v>110440000</v>
      </c>
      <c r="W189" s="81"/>
      <c r="X189" s="81" t="str">
        <f t="shared" si="24"/>
        <v>Bilateral</v>
      </c>
      <c r="Y189" s="81">
        <f t="shared" si="24"/>
        <v>100400000</v>
      </c>
      <c r="Z189" s="81">
        <f t="shared" si="24"/>
        <v>0</v>
      </c>
      <c r="AA189" s="31"/>
      <c r="AB189" s="32"/>
      <c r="AC189" s="32"/>
      <c r="AD189" s="32"/>
      <c r="AE189" s="32"/>
      <c r="AF189" s="31"/>
      <c r="AG189" s="31"/>
      <c r="AH189" s="31"/>
      <c r="AI189" s="31"/>
      <c r="AJ189" s="31"/>
      <c r="AK189" s="31"/>
      <c r="AL189" s="31"/>
      <c r="AM189" s="32"/>
    </row>
    <row r="190" spans="1:39" ht="74.25" hidden="1" customHeight="1">
      <c r="A190" s="10">
        <f>DATA!A184</f>
        <v>132</v>
      </c>
      <c r="B190" s="10">
        <f>DATA!B184</f>
        <v>0</v>
      </c>
      <c r="C190" s="10" t="str">
        <f>DATA!D184</f>
        <v>NON-INFRASTRUKTUR</v>
      </c>
      <c r="D190" s="10">
        <f>DATA!E184</f>
        <v>11</v>
      </c>
      <c r="E190" s="10" t="str">
        <f>DATA!F184</f>
        <v>Kementerian Kesehatan</v>
      </c>
      <c r="F190" s="10" t="str">
        <f>DATA!H184</f>
        <v>Program for Disease Control, Environmental Health, and Strengthening Health Research and Development</v>
      </c>
      <c r="G190" s="10" t="str">
        <f>DATA!I184</f>
        <v>C</v>
      </c>
      <c r="H190" s="10" t="str">
        <f>DATA!J184</f>
        <v>Program Pengendalian Penyakit, Penyehatan Lingkungan, dan Penguatan Litbang Kesehatan</v>
      </c>
      <c r="I190" s="10">
        <f>DATA!K184</f>
        <v>1</v>
      </c>
      <c r="J190" s="33"/>
      <c r="K190" s="34"/>
      <c r="L190" s="20"/>
      <c r="M190" s="36">
        <f>DATA!K184</f>
        <v>1</v>
      </c>
      <c r="N190" s="37" t="str">
        <f>DATA!L184</f>
        <v>Improvement of Capacity on Disease Control, Environmental Health, and Strengthening Health’s Research and Development</v>
      </c>
      <c r="O190" s="20">
        <f>DATA!Q184</f>
        <v>1</v>
      </c>
      <c r="P190" s="20">
        <f>DATA!R184</f>
        <v>1</v>
      </c>
      <c r="Q190" s="20">
        <f>DATA!S184</f>
        <v>106</v>
      </c>
      <c r="R190" s="77">
        <f>DATA!T184</f>
        <v>100400000</v>
      </c>
      <c r="S190" s="77"/>
      <c r="T190" s="77">
        <f>DATA!V184</f>
        <v>10040000</v>
      </c>
      <c r="U190" s="77">
        <f>DATA!W184</f>
        <v>0</v>
      </c>
      <c r="V190" s="77">
        <f>DATA!X184</f>
        <v>110440000</v>
      </c>
      <c r="W190" s="78" t="str">
        <f>DATA!Y184</f>
        <v>Jerman (KfW)</v>
      </c>
      <c r="X190" s="20" t="str">
        <f>DATA!Z184</f>
        <v>Bilateral</v>
      </c>
      <c r="Y190" s="77">
        <f>DATA!AA184</f>
        <v>100400000</v>
      </c>
      <c r="Z190" s="77">
        <f>DATA!AG184</f>
        <v>0</v>
      </c>
      <c r="AA190" s="20" t="str">
        <f>DATA!AH184</f>
        <v>Tanpa keterangan</v>
      </c>
      <c r="AB190" s="37" t="str">
        <f>DATA!AI184</f>
        <v>Penyusunan R/C</v>
      </c>
      <c r="AC190" s="37" t="str">
        <f>DATA!AJ184</f>
        <v>Belum ada DED &amp; AMDAL</v>
      </c>
      <c r="AD190" s="114">
        <f>DATA!AK184</f>
        <v>0.5</v>
      </c>
      <c r="AE190" s="37" t="str">
        <f>DATA!AL184</f>
        <v>Belum ada lelang/tender</v>
      </c>
      <c r="AF190" s="20">
        <f>DATA!AM184</f>
        <v>0</v>
      </c>
      <c r="AG190" s="20" t="str">
        <f>DATA!AN184</f>
        <v>dalam proses
(memiliki)</v>
      </c>
      <c r="AH190" s="20" t="str">
        <f>DATA!AO184</f>
        <v>dalam proses
(pelaksanaan)</v>
      </c>
      <c r="AI190" s="20" t="str">
        <f>DATA!AP184</f>
        <v>belum ada proses tender/lelang</v>
      </c>
      <c r="AJ190" s="20" t="str">
        <f>DATA!AY184</f>
        <v>- Tahap perencanaan selesai tahun 2016, tahap penyiapan dilakukan setelah tahap perencanaan selesai.Pelaksanaan diusulkan mulai tahun 2017.
- Surat Sekjen nomor PR.02.03/I/1814/2015 tanggal 9 September 2015</v>
      </c>
      <c r="AK190" s="20" t="e">
        <f>DATA!#REF!</f>
        <v>#REF!</v>
      </c>
      <c r="AL190" s="20">
        <f>DATA!AZ184</f>
        <v>0</v>
      </c>
      <c r="AM190" s="37" t="str">
        <f>DATA!BA184</f>
        <v>Penguatan lembaga penelitian dan pengembangan kesehatan, melengkapi fasilitas laboratorium untuk mendukung deteksi dan penelitian macam-macam virus dan bakteri, peningkatan kesadaran masyarakat terhadap kesehatan dan Peningkatan SDM kesehatan</v>
      </c>
    </row>
    <row r="191" spans="1:39" s="5" customFormat="1" ht="33.75" hidden="1" customHeight="1">
      <c r="J191" s="28"/>
      <c r="K191" s="50"/>
      <c r="L191" s="30" t="str">
        <f>DATA!I185</f>
        <v>D</v>
      </c>
      <c r="M191" s="31" t="str">
        <f>DATA!J185</f>
        <v>Program Pelayanan Kesehatan Rujukan</v>
      </c>
      <c r="N191" s="51"/>
      <c r="O191" s="31"/>
      <c r="P191" s="31"/>
      <c r="Q191" s="31"/>
      <c r="R191" s="81">
        <f>+R192</f>
        <v>1255600000</v>
      </c>
      <c r="S191" s="81"/>
      <c r="T191" s="81">
        <f t="shared" ref="T191:Z191" si="25">+T192</f>
        <v>125560000</v>
      </c>
      <c r="U191" s="81">
        <f t="shared" si="25"/>
        <v>0</v>
      </c>
      <c r="V191" s="81">
        <f t="shared" si="25"/>
        <v>1381160000</v>
      </c>
      <c r="W191" s="81"/>
      <c r="X191" s="81">
        <f t="shared" si="25"/>
        <v>0</v>
      </c>
      <c r="Y191" s="81">
        <f t="shared" si="25"/>
        <v>1255600000</v>
      </c>
      <c r="Z191" s="81">
        <f t="shared" si="25"/>
        <v>-755600000</v>
      </c>
      <c r="AA191" s="31"/>
      <c r="AB191" s="32"/>
      <c r="AC191" s="32"/>
      <c r="AD191" s="32"/>
      <c r="AE191" s="32"/>
      <c r="AF191" s="31"/>
      <c r="AG191" s="31"/>
      <c r="AH191" s="31"/>
      <c r="AI191" s="31"/>
      <c r="AJ191" s="31"/>
      <c r="AK191" s="31"/>
      <c r="AL191" s="31"/>
      <c r="AM191" s="32"/>
    </row>
    <row r="192" spans="1:39" ht="38.25" hidden="1">
      <c r="A192" s="10">
        <f>DATA!A185</f>
        <v>133</v>
      </c>
      <c r="B192" s="10">
        <f>DATA!B185</f>
        <v>0</v>
      </c>
      <c r="C192" s="10" t="str">
        <f>DATA!D185</f>
        <v>NON-INFRASTRUKTUR</v>
      </c>
      <c r="D192" s="10">
        <f>DATA!E185</f>
        <v>11</v>
      </c>
      <c r="E192" s="10" t="str">
        <f>DATA!F185</f>
        <v>Kementerian Kesehatan</v>
      </c>
      <c r="F192" s="10" t="str">
        <f>DATA!H185</f>
        <v>Referral Health Services Program</v>
      </c>
      <c r="G192" s="10" t="str">
        <f>DATA!I185</f>
        <v>D</v>
      </c>
      <c r="H192" s="10" t="str">
        <f>DATA!J185</f>
        <v>Program Pelayanan Kesehatan Rujukan</v>
      </c>
      <c r="I192" s="10">
        <f>DATA!K185</f>
        <v>1</v>
      </c>
      <c r="J192" s="33"/>
      <c r="K192" s="34"/>
      <c r="L192" s="35"/>
      <c r="M192" s="36">
        <f>DATA!K185</f>
        <v>1</v>
      </c>
      <c r="N192" s="37" t="str">
        <f>DATA!L185</f>
        <v>Strengthening of National Referral Hospitals, Province Referral Hospital and Vertical Technical Units</v>
      </c>
      <c r="O192" s="20">
        <f>DATA!Q185</f>
        <v>0</v>
      </c>
      <c r="P192" s="20">
        <f>DATA!R185</f>
        <v>1</v>
      </c>
      <c r="Q192" s="20">
        <f>DATA!S185</f>
        <v>107</v>
      </c>
      <c r="R192" s="77">
        <f>DATA!T185</f>
        <v>1255600000</v>
      </c>
      <c r="S192" s="77"/>
      <c r="T192" s="77">
        <f>DATA!V185</f>
        <v>125560000</v>
      </c>
      <c r="U192" s="77">
        <f>DATA!W185</f>
        <v>0</v>
      </c>
      <c r="V192" s="77">
        <f>DATA!X185</f>
        <v>1381160000</v>
      </c>
      <c r="W192" s="78" t="str">
        <f>DATA!Y185</f>
        <v>-</v>
      </c>
      <c r="X192" s="20">
        <f>DATA!Z185</f>
        <v>0</v>
      </c>
      <c r="Y192" s="77">
        <f>DATA!AA185</f>
        <v>1255600000</v>
      </c>
      <c r="Z192" s="77">
        <f>DATA!AG185</f>
        <v>-755600000</v>
      </c>
      <c r="AA192" s="20" t="str">
        <f>DATA!AH185</f>
        <v>-</v>
      </c>
      <c r="AB192" s="37" t="str">
        <f>DATA!AI185</f>
        <v>-</v>
      </c>
      <c r="AC192" s="37" t="str">
        <f>DATA!AJ185</f>
        <v>-</v>
      </c>
      <c r="AD192" s="37" t="str">
        <f>DATA!AK185</f>
        <v>-</v>
      </c>
      <c r="AE192" s="37" t="str">
        <f>DATA!AL185</f>
        <v>-</v>
      </c>
      <c r="AF192" s="20" t="str">
        <f>DATA!AM185</f>
        <v>-</v>
      </c>
      <c r="AG192" s="20" t="str">
        <f>DATA!AN185</f>
        <v>-</v>
      </c>
      <c r="AH192" s="20" t="str">
        <f>DATA!AO185</f>
        <v>-</v>
      </c>
      <c r="AI192" s="20" t="str">
        <f>DATA!AP185</f>
        <v>-</v>
      </c>
      <c r="AJ192" s="20" t="str">
        <f>DATA!AY185</f>
        <v>-</v>
      </c>
      <c r="AK192" s="20" t="e">
        <f>DATA!#REF!</f>
        <v>#REF!</v>
      </c>
      <c r="AL192" s="20" t="str">
        <f>DATA!AZ185</f>
        <v>-</v>
      </c>
      <c r="AM192" s="37" t="str">
        <f>DATA!BA185</f>
        <v>-</v>
      </c>
    </row>
    <row r="193" spans="1:39" s="6" customFormat="1" ht="63.75" hidden="1" customHeight="1">
      <c r="A193" s="6">
        <f>DATA!A186</f>
        <v>133</v>
      </c>
      <c r="B193" s="6">
        <f>DATA!B186</f>
        <v>0</v>
      </c>
      <c r="C193" s="6" t="str">
        <f>DATA!D186</f>
        <v>NON-INFRASTRUKTUR</v>
      </c>
      <c r="D193" s="6">
        <f>DATA!E186</f>
        <v>11</v>
      </c>
      <c r="E193" s="6" t="str">
        <f>DATA!F186</f>
        <v>Kementerian Kesehatan</v>
      </c>
      <c r="F193" s="6" t="str">
        <f>DATA!H186</f>
        <v>Referral Health Services Program</v>
      </c>
      <c r="G193" s="6" t="str">
        <f>DATA!I186</f>
        <v>D</v>
      </c>
      <c r="H193" s="6" t="str">
        <f>DATA!J186</f>
        <v>Program Pelayanan Kesehatan Rujukan</v>
      </c>
      <c r="I193" s="6">
        <f>DATA!K186</f>
        <v>1</v>
      </c>
      <c r="J193" s="38"/>
      <c r="K193" s="39"/>
      <c r="L193" s="39"/>
      <c r="M193" s="40"/>
      <c r="N193" s="67" t="str">
        <f>DATA!L186</f>
        <v>Strengthening of National Referral Hospitals, Province Referral Hospital and Vertical Technical Units</v>
      </c>
      <c r="O193" s="42">
        <f>DATA!Q186</f>
        <v>0.33333333333333331</v>
      </c>
      <c r="P193" s="42">
        <f>DATA!R186</f>
        <v>0</v>
      </c>
      <c r="Q193" s="42">
        <f>DATA!S186</f>
        <v>0</v>
      </c>
      <c r="R193" s="83">
        <f>DATA!T186</f>
        <v>0</v>
      </c>
      <c r="S193" s="83"/>
      <c r="T193" s="83">
        <f>DATA!V186</f>
        <v>0</v>
      </c>
      <c r="U193" s="83">
        <f>DATA!W186</f>
        <v>0</v>
      </c>
      <c r="V193" s="83">
        <f>DATA!X186</f>
        <v>0</v>
      </c>
      <c r="W193" s="84" t="str">
        <f>DATA!Y186</f>
        <v>IDB</v>
      </c>
      <c r="X193" s="42" t="str">
        <f>DATA!Z186</f>
        <v>Multilateral</v>
      </c>
      <c r="Y193" s="83">
        <f>DATA!AA186</f>
        <v>250000000</v>
      </c>
      <c r="Z193" s="83">
        <f>DATA!AG186</f>
        <v>0</v>
      </c>
      <c r="AA193" s="42" t="str">
        <f>DATA!AH186</f>
        <v>Tanpa keterangan</v>
      </c>
      <c r="AB193" s="67" t="str">
        <f>DATA!AI186</f>
        <v>-</v>
      </c>
      <c r="AC193" s="67" t="str">
        <f>DATA!AJ186</f>
        <v>-</v>
      </c>
      <c r="AD193" s="124" t="str">
        <f>DATA!AK186</f>
        <v>-</v>
      </c>
      <c r="AE193" s="67" t="str">
        <f>DATA!AL186</f>
        <v>-</v>
      </c>
      <c r="AF193" s="42">
        <f>DATA!AM186</f>
        <v>0</v>
      </c>
      <c r="AG193" s="42" t="str">
        <f>DATA!AN186</f>
        <v>belum ada keterangan</v>
      </c>
      <c r="AH193" s="42" t="str">
        <f>DATA!AO186</f>
        <v>belum ada keterangan</v>
      </c>
      <c r="AI193" s="42" t="str">
        <f>DATA!AP186</f>
        <v>belum ada proses tender/lelang</v>
      </c>
      <c r="AJ193" s="42" t="str">
        <f>DATA!AY186</f>
        <v>- (tidak ada data)
- Surat Sekjen nomor PR.02.03/I/1814/2015 tanggal 9 September 2015</v>
      </c>
      <c r="AK193" s="42" t="e">
        <f>DATA!#REF!</f>
        <v>#REF!</v>
      </c>
      <c r="AL193" s="42">
        <f>DATA!AZ186</f>
        <v>0</v>
      </c>
      <c r="AM193" s="67" t="str">
        <f>DATA!BA186</f>
        <v>Meningkatkan sarana dan prasarana di 14 rumah sakit pusat rujukan nasional, 20 rumah sakit rujukan provinsi dan 39 UPT (unit pelaksana teknis) vertikal sebagai pusat rujukan tersier</v>
      </c>
    </row>
    <row r="194" spans="1:39" s="6" customFormat="1" ht="63.75" hidden="1" customHeight="1">
      <c r="A194" s="6">
        <f>DATA!A187</f>
        <v>134</v>
      </c>
      <c r="B194" s="6">
        <f>DATA!B187</f>
        <v>0</v>
      </c>
      <c r="C194" s="6" t="str">
        <f>DATA!D187</f>
        <v>NON-INFRASTRUKTUR</v>
      </c>
      <c r="D194" s="6">
        <f>DATA!E187</f>
        <v>11</v>
      </c>
      <c r="E194" s="6" t="str">
        <f>DATA!F187</f>
        <v>Kementerian Kesehatan</v>
      </c>
      <c r="F194" s="6" t="str">
        <f>DATA!H187</f>
        <v>Referral Health Services Program</v>
      </c>
      <c r="G194" s="6" t="str">
        <f>DATA!I187</f>
        <v>D</v>
      </c>
      <c r="H194" s="6" t="str">
        <f>DATA!J187</f>
        <v>Program Pelayanan Kesehatan Rujukan</v>
      </c>
      <c r="I194" s="6">
        <f>DATA!K187</f>
        <v>1</v>
      </c>
      <c r="J194" s="38"/>
      <c r="K194" s="39"/>
      <c r="L194" s="39"/>
      <c r="M194" s="38"/>
      <c r="N194" s="67" t="str">
        <f>DATA!L187</f>
        <v>Strengthening of National Referral Hospitals, Province Referral Hospital and Vertical Technical Units</v>
      </c>
      <c r="O194" s="42">
        <f>DATA!Q187</f>
        <v>0.33333333333333331</v>
      </c>
      <c r="P194" s="42">
        <f>DATA!R187</f>
        <v>0</v>
      </c>
      <c r="Q194" s="42">
        <f>DATA!S187</f>
        <v>0</v>
      </c>
      <c r="R194" s="83">
        <f>DATA!T187</f>
        <v>0</v>
      </c>
      <c r="S194" s="83"/>
      <c r="T194" s="83">
        <f>DATA!V187</f>
        <v>0</v>
      </c>
      <c r="U194" s="83">
        <f>DATA!W187</f>
        <v>0</v>
      </c>
      <c r="V194" s="83">
        <f>DATA!X187</f>
        <v>0</v>
      </c>
      <c r="W194" s="84" t="str">
        <f>DATA!Y187</f>
        <v>Jerman (KfW)</v>
      </c>
      <c r="X194" s="42" t="str">
        <f>DATA!Z187</f>
        <v>Bilateral</v>
      </c>
      <c r="Y194" s="83">
        <f>DATA!AA187</f>
        <v>250000000</v>
      </c>
      <c r="Z194" s="83">
        <f>DATA!AG187</f>
        <v>0</v>
      </c>
      <c r="AA194" s="42" t="str">
        <f>DATA!AH187</f>
        <v>Tanpa keterangan</v>
      </c>
      <c r="AB194" s="67" t="str">
        <f>DATA!AI187</f>
        <v>-</v>
      </c>
      <c r="AC194" s="67" t="str">
        <f>DATA!AJ187</f>
        <v>-</v>
      </c>
      <c r="AD194" s="67" t="str">
        <f>DATA!AK187</f>
        <v>-</v>
      </c>
      <c r="AE194" s="67" t="str">
        <f>DATA!AL187</f>
        <v>-</v>
      </c>
      <c r="AF194" s="42">
        <f>DATA!AM187</f>
        <v>0</v>
      </c>
      <c r="AG194" s="42" t="str">
        <f>DATA!AN187</f>
        <v>belum ada keterangan</v>
      </c>
      <c r="AH194" s="42" t="str">
        <f>DATA!AO187</f>
        <v>belum ada keterangan</v>
      </c>
      <c r="AI194" s="42" t="str">
        <f>DATA!AP187</f>
        <v>belum ada proses tender/lelang</v>
      </c>
      <c r="AJ194" s="42" t="str">
        <f>DATA!AY187</f>
        <v>- Keg ini bukan area prioritas dari Pem. Jerman
- Surat Sekjen nomor PR.02.03/I/1814/2015 tanggal 9 September 2015</v>
      </c>
      <c r="AK194" s="42" t="e">
        <f>DATA!#REF!</f>
        <v>#REF!</v>
      </c>
      <c r="AL194" s="42">
        <f>DATA!AZ187</f>
        <v>0</v>
      </c>
      <c r="AM194" s="67" t="str">
        <f>DATA!BA187</f>
        <v>Meningkatkan sarana dan prasarana di 14 rumah sakit pusat rujukan nasional, 20 rumah sakit rujukan provinsi dan 39 UPT (unit pelaksana teknis) vertikal sebagai pusat rujukan tersier</v>
      </c>
    </row>
    <row r="195" spans="1:39" s="6" customFormat="1" ht="63.75" hidden="1" customHeight="1">
      <c r="A195" s="6">
        <f>DATA!A188</f>
        <v>135</v>
      </c>
      <c r="B195" s="6">
        <f>DATA!B188</f>
        <v>0</v>
      </c>
      <c r="C195" s="6" t="str">
        <f>DATA!D188</f>
        <v>NON-INFRASTRUKTUR</v>
      </c>
      <c r="D195" s="6">
        <f>DATA!E188</f>
        <v>11</v>
      </c>
      <c r="E195" s="6" t="str">
        <f>DATA!F188</f>
        <v>Kementerian Kesehatan</v>
      </c>
      <c r="F195" s="6" t="str">
        <f>DATA!H188</f>
        <v>Referral Health Services Program</v>
      </c>
      <c r="G195" s="6" t="str">
        <f>DATA!I188</f>
        <v>D</v>
      </c>
      <c r="H195" s="6" t="str">
        <f>DATA!J188</f>
        <v>Program Pelayanan Kesehatan Rujukan</v>
      </c>
      <c r="I195" s="6">
        <f>DATA!K188</f>
        <v>1</v>
      </c>
      <c r="J195" s="38"/>
      <c r="K195" s="71"/>
      <c r="L195" s="71"/>
      <c r="M195" s="43"/>
      <c r="N195" s="67" t="str">
        <f>DATA!L188</f>
        <v>Strengthening of National Referral Hospitals, Province Referral Hospital and Vertical Technical Units</v>
      </c>
      <c r="O195" s="42">
        <f>DATA!Q188</f>
        <v>0.33333333333333331</v>
      </c>
      <c r="P195" s="42">
        <f>DATA!R188</f>
        <v>0</v>
      </c>
      <c r="Q195" s="42">
        <f>DATA!S188</f>
        <v>0</v>
      </c>
      <c r="R195" s="83">
        <f>DATA!T188</f>
        <v>0</v>
      </c>
      <c r="S195" s="83"/>
      <c r="T195" s="83">
        <f>DATA!V188</f>
        <v>0</v>
      </c>
      <c r="U195" s="83">
        <f>DATA!W188</f>
        <v>0</v>
      </c>
      <c r="V195" s="83">
        <f>DATA!X188</f>
        <v>0</v>
      </c>
      <c r="W195" s="84" t="str">
        <f>DATA!Y188</f>
        <v>Belum Ada Indikasi</v>
      </c>
      <c r="X195" s="42" t="str">
        <f>DATA!Z188</f>
        <v>Belum Ada Indikasi</v>
      </c>
      <c r="Y195" s="83">
        <f>DATA!AA188</f>
        <v>755600000</v>
      </c>
      <c r="Z195" s="83">
        <f>DATA!AG188</f>
        <v>-755600000</v>
      </c>
      <c r="AA195" s="42" t="str">
        <f>DATA!AH188</f>
        <v>Tanpa keterangan</v>
      </c>
      <c r="AB195" s="67" t="str">
        <f>DATA!AI188</f>
        <v>-</v>
      </c>
      <c r="AC195" s="67" t="str">
        <f>DATA!AJ188</f>
        <v>-</v>
      </c>
      <c r="AD195" s="67" t="str">
        <f>DATA!AK188</f>
        <v>-</v>
      </c>
      <c r="AE195" s="67" t="str">
        <f>DATA!AL188</f>
        <v>-</v>
      </c>
      <c r="AF195" s="42">
        <f>DATA!AM188</f>
        <v>0</v>
      </c>
      <c r="AG195" s="42" t="str">
        <f>DATA!AN188</f>
        <v>belum ada keterangan</v>
      </c>
      <c r="AH195" s="42" t="str">
        <f>DATA!AO188</f>
        <v>belum ada keterangan</v>
      </c>
      <c r="AI195" s="42" t="str">
        <f>DATA!AP188</f>
        <v>belum ada proses tender/lelang</v>
      </c>
      <c r="AJ195" s="42" t="str">
        <f>DATA!AY188</f>
        <v>Surat Sekjen nomor PR.02.03/I/1814/2015 tanggal 9 September 2015</v>
      </c>
      <c r="AK195" s="42" t="e">
        <f>DATA!#REF!</f>
        <v>#REF!</v>
      </c>
      <c r="AL195" s="42">
        <f>DATA!AZ188</f>
        <v>0</v>
      </c>
      <c r="AM195" s="67" t="str">
        <f>DATA!BA188</f>
        <v>Meningkatkan sarana dan prasarana di 14 rumah sakit pusat rujukan nasional, 20 rumah sakit rujukan provinsi dan 39 UPT (unit pelaksana teknis) vertikal sebagai pusat rujukan tersier</v>
      </c>
    </row>
    <row r="196" spans="1:39" s="4" customFormat="1" ht="24.95" hidden="1" customHeight="1">
      <c r="J196" s="107"/>
      <c r="K196" s="25">
        <f>DATA!E189</f>
        <v>12</v>
      </c>
      <c r="L196" s="108" t="str">
        <f>DATA!F189</f>
        <v>Pemprov. Aceh</v>
      </c>
      <c r="M196" s="25"/>
      <c r="N196" s="27"/>
      <c r="O196" s="26"/>
      <c r="P196" s="26"/>
      <c r="Q196" s="26"/>
      <c r="R196" s="80">
        <f>+R197</f>
        <v>106800000</v>
      </c>
      <c r="S196" s="80"/>
      <c r="T196" s="80">
        <f t="shared" ref="T196:Z197" si="26">+T197</f>
        <v>10700000</v>
      </c>
      <c r="U196" s="80">
        <f t="shared" si="26"/>
        <v>0</v>
      </c>
      <c r="V196" s="80">
        <f t="shared" si="26"/>
        <v>117500000</v>
      </c>
      <c r="W196" s="80"/>
      <c r="X196" s="80" t="str">
        <f t="shared" si="26"/>
        <v>Bilateral</v>
      </c>
      <c r="Y196" s="80">
        <f t="shared" si="26"/>
        <v>106800000</v>
      </c>
      <c r="Z196" s="80">
        <f t="shared" si="26"/>
        <v>0</v>
      </c>
      <c r="AA196" s="26"/>
      <c r="AB196" s="27"/>
      <c r="AC196" s="27"/>
      <c r="AD196" s="27"/>
      <c r="AE196" s="27"/>
      <c r="AF196" s="26"/>
      <c r="AG196" s="26"/>
      <c r="AH196" s="26"/>
      <c r="AI196" s="26"/>
      <c r="AJ196" s="26"/>
      <c r="AK196" s="26"/>
      <c r="AL196" s="26"/>
      <c r="AM196" s="27"/>
    </row>
    <row r="197" spans="1:39" s="5" customFormat="1" ht="33.75" hidden="1" customHeight="1">
      <c r="J197" s="28"/>
      <c r="K197" s="29"/>
      <c r="L197" s="30" t="str">
        <f>DATA!I189</f>
        <v>A</v>
      </c>
      <c r="M197" s="31" t="str">
        <f>DATA!J189</f>
        <v>Program Pelayanan Kesehatan Rujukan</v>
      </c>
      <c r="N197" s="51"/>
      <c r="O197" s="31"/>
      <c r="P197" s="31"/>
      <c r="Q197" s="31"/>
      <c r="R197" s="81">
        <f>+R198</f>
        <v>106800000</v>
      </c>
      <c r="S197" s="81"/>
      <c r="T197" s="81">
        <f t="shared" si="26"/>
        <v>10700000</v>
      </c>
      <c r="U197" s="81">
        <f t="shared" si="26"/>
        <v>0</v>
      </c>
      <c r="V197" s="81">
        <f t="shared" si="26"/>
        <v>117500000</v>
      </c>
      <c r="W197" s="81"/>
      <c r="X197" s="81" t="str">
        <f t="shared" si="26"/>
        <v>Bilateral</v>
      </c>
      <c r="Y197" s="81">
        <f t="shared" si="26"/>
        <v>106800000</v>
      </c>
      <c r="Z197" s="81">
        <f t="shared" si="26"/>
        <v>0</v>
      </c>
      <c r="AA197" s="31"/>
      <c r="AB197" s="32"/>
      <c r="AC197" s="32"/>
      <c r="AD197" s="32"/>
      <c r="AE197" s="32"/>
      <c r="AF197" s="31"/>
      <c r="AG197" s="31"/>
      <c r="AH197" s="31"/>
      <c r="AI197" s="31"/>
      <c r="AJ197" s="31"/>
      <c r="AK197" s="31"/>
      <c r="AL197" s="31"/>
      <c r="AM197" s="32"/>
    </row>
    <row r="198" spans="1:39" ht="63.75" hidden="1" customHeight="1">
      <c r="A198" s="10">
        <f>DATA!A189</f>
        <v>136</v>
      </c>
      <c r="B198" s="10">
        <f>DATA!B189</f>
        <v>0</v>
      </c>
      <c r="C198" s="10" t="str">
        <f>DATA!D189</f>
        <v>NON-INFRASTRUKTUR</v>
      </c>
      <c r="D198" s="10">
        <f>DATA!E189</f>
        <v>12</v>
      </c>
      <c r="E198" s="10" t="str">
        <f>DATA!F189</f>
        <v>Pemprov. Aceh</v>
      </c>
      <c r="F198" s="10" t="str">
        <f>DATA!H189</f>
        <v>Health Services Referral Program</v>
      </c>
      <c r="G198" s="10" t="str">
        <f>DATA!I189</f>
        <v>A</v>
      </c>
      <c r="H198" s="10" t="str">
        <f>DATA!J189</f>
        <v>Program Pelayanan Kesehatan Rujukan</v>
      </c>
      <c r="I198" s="10">
        <f>DATA!K189</f>
        <v>1</v>
      </c>
      <c r="J198" s="33"/>
      <c r="K198" s="54"/>
      <c r="L198" s="20"/>
      <c r="M198" s="36">
        <f>DATA!K189</f>
        <v>1</v>
      </c>
      <c r="N198" s="37" t="str">
        <f>DATA!L189</f>
        <v>Reengineering and Improving The Hospital and Referral System in Selected Aceh Districts</v>
      </c>
      <c r="O198" s="20">
        <f>DATA!Q189</f>
        <v>1</v>
      </c>
      <c r="P198" s="20">
        <f>DATA!R189</f>
        <v>1</v>
      </c>
      <c r="Q198" s="20">
        <f>DATA!S189</f>
        <v>108</v>
      </c>
      <c r="R198" s="77">
        <f>DATA!T189</f>
        <v>106800000</v>
      </c>
      <c r="S198" s="77"/>
      <c r="T198" s="77">
        <f>DATA!V189</f>
        <v>10700000</v>
      </c>
      <c r="U198" s="77">
        <f>DATA!W189</f>
        <v>0</v>
      </c>
      <c r="V198" s="77">
        <f>DATA!X189</f>
        <v>117500000</v>
      </c>
      <c r="W198" s="78" t="str">
        <f>DATA!Y189</f>
        <v>Jerman (KfW)</v>
      </c>
      <c r="X198" s="20" t="str">
        <f>DATA!Z189</f>
        <v>Bilateral</v>
      </c>
      <c r="Y198" s="77">
        <f>DATA!AA189</f>
        <v>106800000</v>
      </c>
      <c r="Z198" s="77">
        <f>DATA!AG189</f>
        <v>0</v>
      </c>
      <c r="AA198" s="20" t="str">
        <f>DATA!AH189</f>
        <v>Tanpa keterangan</v>
      </c>
      <c r="AB198" s="37" t="str">
        <f>DATA!AI189</f>
        <v xml:space="preserve">- Sudah ada R/C
- Green Book 2015
</v>
      </c>
      <c r="AC198" s="37" t="str">
        <f>DATA!AJ189</f>
        <v>FS, DED</v>
      </c>
      <c r="AD198" s="114">
        <f>DATA!AK189</f>
        <v>1</v>
      </c>
      <c r="AE198" s="37" t="str">
        <f>DATA!AL189</f>
        <v>-</v>
      </c>
      <c r="AF198" s="20" t="str">
        <f>DATA!AM189</f>
        <v>2016; 2015</v>
      </c>
      <c r="AG198" s="20" t="str">
        <f>DATA!AN189</f>
        <v>dalam proses
(memiliki FS dan DED)</v>
      </c>
      <c r="AH198" s="20" t="str">
        <f>DATA!AO189</f>
        <v>siap</v>
      </c>
      <c r="AI198" s="20" t="str">
        <f>DATA!AP189</f>
        <v>belum ada proses tender/lelang</v>
      </c>
      <c r="AJ198" s="20" t="str">
        <f>DATA!AY189</f>
        <v>Surat Kepala Dinas Kesehatan Prov. Aceh nomor 443.02/998/V/2015 tanggal 27 April 2015 tentang penyampaian dokumen kesiapan (RC)</v>
      </c>
      <c r="AK198" s="20" t="e">
        <f>DATA!#REF!</f>
        <v>#REF!</v>
      </c>
      <c r="AL198" s="20">
        <f>DATA!AZ189</f>
        <v>0</v>
      </c>
      <c r="AM198" s="37" t="str">
        <f>DATA!BA189</f>
        <v xml:space="preserve">Pengembangan infrastruktur (pembangunan rumah sakit baru, rehabilitasi rumah sakit lama, dan kantor dinas kesehatan, pengadaan peralatan dan operasional, dan peningkatan SDM rumah sakit </v>
      </c>
    </row>
    <row r="199" spans="1:39" s="4" customFormat="1" ht="24.95" hidden="1" customHeight="1">
      <c r="J199" s="107"/>
      <c r="K199" s="25">
        <f>DATA!E190</f>
        <v>13</v>
      </c>
      <c r="L199" s="108" t="str">
        <f>DATA!F190</f>
        <v>Kementerian Pertanian</v>
      </c>
      <c r="M199" s="25"/>
      <c r="N199" s="27"/>
      <c r="O199" s="26"/>
      <c r="P199" s="26"/>
      <c r="Q199" s="26"/>
      <c r="R199" s="80">
        <f>+R200+R209</f>
        <v>1445742600</v>
      </c>
      <c r="S199" s="80"/>
      <c r="T199" s="80">
        <f t="shared" ref="T199:Z199" si="27">+T200+T209</f>
        <v>154464300</v>
      </c>
      <c r="U199" s="80">
        <f t="shared" si="27"/>
        <v>500000</v>
      </c>
      <c r="V199" s="80">
        <f t="shared" si="27"/>
        <v>1600706900</v>
      </c>
      <c r="W199" s="80"/>
      <c r="X199" s="80" t="e">
        <f t="shared" si="27"/>
        <v>#VALUE!</v>
      </c>
      <c r="Y199" s="80">
        <f t="shared" si="27"/>
        <v>1445742600</v>
      </c>
      <c r="Z199" s="80">
        <f t="shared" si="27"/>
        <v>-746842600</v>
      </c>
      <c r="AA199" s="26"/>
      <c r="AB199" s="27"/>
      <c r="AC199" s="27"/>
      <c r="AD199" s="27"/>
      <c r="AE199" s="27"/>
      <c r="AF199" s="26"/>
      <c r="AG199" s="26"/>
      <c r="AH199" s="26"/>
      <c r="AI199" s="26"/>
      <c r="AJ199" s="26"/>
      <c r="AK199" s="26"/>
      <c r="AL199" s="26"/>
      <c r="AM199" s="27"/>
    </row>
    <row r="200" spans="1:39" s="5" customFormat="1" ht="33.75" hidden="1" customHeight="1">
      <c r="J200" s="28"/>
      <c r="K200" s="29"/>
      <c r="L200" s="30" t="str">
        <f>DATA!I190</f>
        <v>A</v>
      </c>
      <c r="M200" s="31" t="str">
        <f>DATA!J190</f>
        <v>Program Penyediaan dan Pengembangan Prasarana dan Sarana Pertanian</v>
      </c>
      <c r="N200" s="51"/>
      <c r="O200" s="31"/>
      <c r="P200" s="31"/>
      <c r="Q200" s="31"/>
      <c r="R200" s="81">
        <f>+R201+R205</f>
        <v>1346842600</v>
      </c>
      <c r="S200" s="81"/>
      <c r="T200" s="81">
        <f t="shared" ref="T200:Z200" si="28">+T201+T205</f>
        <v>134684300</v>
      </c>
      <c r="U200" s="81">
        <f t="shared" si="28"/>
        <v>0</v>
      </c>
      <c r="V200" s="81">
        <f t="shared" si="28"/>
        <v>1481526900</v>
      </c>
      <c r="W200" s="81"/>
      <c r="X200" s="81">
        <f t="shared" si="28"/>
        <v>0</v>
      </c>
      <c r="Y200" s="81">
        <f t="shared" si="28"/>
        <v>1346842600</v>
      </c>
      <c r="Z200" s="81">
        <f t="shared" si="28"/>
        <v>-746842600</v>
      </c>
      <c r="AA200" s="31"/>
      <c r="AB200" s="32"/>
      <c r="AC200" s="32"/>
      <c r="AD200" s="32"/>
      <c r="AE200" s="32"/>
      <c r="AF200" s="31"/>
      <c r="AG200" s="31"/>
      <c r="AH200" s="31"/>
      <c r="AI200" s="31"/>
      <c r="AJ200" s="31"/>
      <c r="AK200" s="31"/>
      <c r="AL200" s="31"/>
      <c r="AM200" s="32"/>
    </row>
    <row r="201" spans="1:39" ht="24.75" hidden="1" customHeight="1">
      <c r="A201" s="10">
        <f>DATA!A190</f>
        <v>137</v>
      </c>
      <c r="B201" s="10">
        <f>DATA!B190</f>
        <v>0</v>
      </c>
      <c r="C201" s="10" t="str">
        <f>DATA!D190</f>
        <v>NON-INFRASTRUKTUR</v>
      </c>
      <c r="D201" s="10">
        <f>DATA!E190</f>
        <v>13</v>
      </c>
      <c r="E201" s="10" t="str">
        <f>DATA!F190</f>
        <v>Kementerian Pertanian</v>
      </c>
      <c r="F201" s="10" t="str">
        <f>DATA!H190</f>
        <v>Provision and Development of Agriculture Infrastructure Program</v>
      </c>
      <c r="G201" s="10" t="str">
        <f>DATA!I190</f>
        <v>A</v>
      </c>
      <c r="H201" s="10" t="str">
        <f>DATA!J190</f>
        <v>Program Penyediaan dan Pengembangan Prasarana dan Sarana Pertanian</v>
      </c>
      <c r="I201" s="10">
        <f>DATA!K190</f>
        <v>1</v>
      </c>
      <c r="J201" s="33"/>
      <c r="K201" s="34"/>
      <c r="L201" s="35"/>
      <c r="M201" s="36">
        <f>DATA!K190</f>
        <v>1</v>
      </c>
      <c r="N201" s="37" t="str">
        <f>DATA!L190</f>
        <v>Extensification of New Paddy Field Area</v>
      </c>
      <c r="O201" s="20">
        <f>DATA!Q190</f>
        <v>0</v>
      </c>
      <c r="P201" s="20">
        <f>DATA!R190</f>
        <v>1</v>
      </c>
      <c r="Q201" s="20">
        <f>DATA!S190</f>
        <v>109</v>
      </c>
      <c r="R201" s="77">
        <f>DATA!T190</f>
        <v>811166600</v>
      </c>
      <c r="S201" s="77"/>
      <c r="T201" s="77">
        <f>DATA!V190</f>
        <v>81116700</v>
      </c>
      <c r="U201" s="77">
        <f>DATA!W190</f>
        <v>0</v>
      </c>
      <c r="V201" s="77">
        <f>DATA!X190</f>
        <v>892283300</v>
      </c>
      <c r="W201" s="78" t="str">
        <f>DATA!Y190</f>
        <v>-</v>
      </c>
      <c r="X201" s="20">
        <f>DATA!Z190</f>
        <v>0</v>
      </c>
      <c r="Y201" s="77">
        <f>DATA!AA190</f>
        <v>811166600</v>
      </c>
      <c r="Z201" s="77">
        <f>DATA!AG190</f>
        <v>-461166600</v>
      </c>
      <c r="AA201" s="20" t="str">
        <f>DATA!AH190</f>
        <v>-</v>
      </c>
      <c r="AB201" s="37" t="str">
        <f>DATA!AI190</f>
        <v>-</v>
      </c>
      <c r="AC201" s="37" t="str">
        <f>DATA!AJ190</f>
        <v>-</v>
      </c>
      <c r="AD201" s="37" t="str">
        <f>DATA!AK190</f>
        <v>-</v>
      </c>
      <c r="AE201" s="37" t="str">
        <f>DATA!AL190</f>
        <v>-</v>
      </c>
      <c r="AF201" s="20" t="str">
        <f>DATA!AM190</f>
        <v>-</v>
      </c>
      <c r="AG201" s="20" t="str">
        <f>DATA!AN190</f>
        <v>-</v>
      </c>
      <c r="AH201" s="20" t="str">
        <f>DATA!AO190</f>
        <v>-</v>
      </c>
      <c r="AI201" s="20" t="str">
        <f>DATA!AP190</f>
        <v>-</v>
      </c>
      <c r="AJ201" s="20" t="str">
        <f>DATA!AY190</f>
        <v>-</v>
      </c>
      <c r="AK201" s="20" t="e">
        <f>DATA!#REF!</f>
        <v>#REF!</v>
      </c>
      <c r="AL201" s="20">
        <f>DATA!AZ190</f>
        <v>0</v>
      </c>
      <c r="AM201" s="37" t="str">
        <f>DATA!BA190</f>
        <v>-</v>
      </c>
    </row>
    <row r="202" spans="1:39" s="6" customFormat="1" ht="76.5" hidden="1">
      <c r="A202" s="6">
        <f>DATA!A191</f>
        <v>137</v>
      </c>
      <c r="B202" s="6">
        <f>DATA!B191</f>
        <v>0</v>
      </c>
      <c r="C202" s="6" t="str">
        <f>DATA!D191</f>
        <v>NON-INFRASTRUKTUR</v>
      </c>
      <c r="D202" s="6">
        <f>DATA!E191</f>
        <v>13</v>
      </c>
      <c r="E202" s="6" t="str">
        <f>DATA!F191</f>
        <v>Kementerian Pertanian</v>
      </c>
      <c r="F202" s="6" t="str">
        <f>DATA!H191</f>
        <v>Provision and Development of Agriculture Infrastructure Program</v>
      </c>
      <c r="G202" s="6" t="str">
        <f>DATA!I191</f>
        <v>A</v>
      </c>
      <c r="H202" s="6" t="str">
        <f>DATA!J191</f>
        <v>Program Penyediaan dan Pengembangan Prasarana dan Sarana Pertanian</v>
      </c>
      <c r="I202" s="6">
        <f>DATA!K191</f>
        <v>1</v>
      </c>
      <c r="J202" s="38"/>
      <c r="K202" s="39"/>
      <c r="L202" s="39"/>
      <c r="M202" s="40"/>
      <c r="N202" s="67" t="str">
        <f>DATA!L191</f>
        <v>Extensification of New Paddy Field Area</v>
      </c>
      <c r="O202" s="42">
        <f>DATA!Q191</f>
        <v>0.33333333333333331</v>
      </c>
      <c r="P202" s="42">
        <f>DATA!R191</f>
        <v>0</v>
      </c>
      <c r="Q202" s="42">
        <f>DATA!S191</f>
        <v>0</v>
      </c>
      <c r="R202" s="83">
        <f>DATA!T191</f>
        <v>0</v>
      </c>
      <c r="S202" s="83"/>
      <c r="T202" s="83">
        <f>DATA!V191</f>
        <v>0</v>
      </c>
      <c r="U202" s="83">
        <f>DATA!W191</f>
        <v>0</v>
      </c>
      <c r="V202" s="83">
        <f>DATA!X191</f>
        <v>0</v>
      </c>
      <c r="W202" s="84" t="str">
        <f>DATA!Y191</f>
        <v>Bank Dunia</v>
      </c>
      <c r="X202" s="42" t="str">
        <f>DATA!Z191</f>
        <v>Multilateral</v>
      </c>
      <c r="Y202" s="83">
        <f>DATA!AA191</f>
        <v>225000000</v>
      </c>
      <c r="Z202" s="83">
        <f>DATA!AG191</f>
        <v>0</v>
      </c>
      <c r="AA202" s="42" t="str">
        <f>DATA!AH191</f>
        <v>Tanpa keterangan</v>
      </c>
      <c r="AB202" s="67" t="str">
        <f>DATA!AI191</f>
        <v>-</v>
      </c>
      <c r="AC202" s="67" t="str">
        <f>DATA!AJ191</f>
        <v xml:space="preserve">TOR </v>
      </c>
      <c r="AD202" s="115">
        <f>DATA!AK191</f>
        <v>0</v>
      </c>
      <c r="AE202" s="67" t="str">
        <f>DATA!AL191</f>
        <v>-</v>
      </c>
      <c r="AF202" s="42">
        <f>DATA!AM191</f>
        <v>0</v>
      </c>
      <c r="AG202" s="42" t="str">
        <f>DATA!AN191</f>
        <v>dalam proses
(penyusunan FS)</v>
      </c>
      <c r="AH202" s="42" t="str">
        <f>DATA!AO191</f>
        <v>belum ada keterangan</v>
      </c>
      <c r="AI202" s="42" t="str">
        <f>DATA!AP191</f>
        <v>belum ada proses tender/lelang</v>
      </c>
      <c r="AJ202" s="42" t="str">
        <f>DATA!AY191</f>
        <v>Surat Plh. Kepala Pusat Kem.Pertanian nomor 246/KL.230/A.6.3/09/2015 tgl 9 September 2015</v>
      </c>
      <c r="AK202" s="42" t="e">
        <f>DATA!#REF!</f>
        <v>#REF!</v>
      </c>
      <c r="AL202" s="42">
        <f>DATA!AZ191</f>
        <v>0</v>
      </c>
      <c r="AM202" s="67" t="str">
        <f>DATA!BA191</f>
        <v>Pembentukan lahan pertanian padi baru di 34 provinsi, meliputi: identifikasi calon petani dan calon lokasi (CPCL), survey/investigasi, penetapan lokasi, penyiapan lahan (land clearing and land leveling), bantuan sarana produksi, dan pertanian untuk budidaya padi.</v>
      </c>
    </row>
    <row r="203" spans="1:39" s="6" customFormat="1" ht="76.5" hidden="1">
      <c r="A203" s="6">
        <f>DATA!A192</f>
        <v>138</v>
      </c>
      <c r="B203" s="6">
        <f>DATA!B192</f>
        <v>0</v>
      </c>
      <c r="C203" s="6" t="str">
        <f>DATA!D192</f>
        <v>NON-INFRASTRUKTUR</v>
      </c>
      <c r="D203" s="6">
        <f>DATA!E192</f>
        <v>13</v>
      </c>
      <c r="E203" s="6" t="str">
        <f>DATA!F192</f>
        <v>Kementerian Pertanian</v>
      </c>
      <c r="F203" s="6" t="str">
        <f>DATA!H192</f>
        <v>Provision and Development of Agriculture Infrastructure Program</v>
      </c>
      <c r="G203" s="6" t="str">
        <f>DATA!I192</f>
        <v>A</v>
      </c>
      <c r="H203" s="6" t="str">
        <f>DATA!J192</f>
        <v>Program Penyediaan dan Pengembangan Prasarana dan Sarana Pertanian</v>
      </c>
      <c r="I203" s="6">
        <f>DATA!K192</f>
        <v>1</v>
      </c>
      <c r="J203" s="38"/>
      <c r="K203" s="39"/>
      <c r="L203" s="39"/>
      <c r="M203" s="38"/>
      <c r="N203" s="67" t="str">
        <f>DATA!L192</f>
        <v>Extensification of New Paddy Field Area</v>
      </c>
      <c r="O203" s="42">
        <f>DATA!Q192</f>
        <v>0.33333333333333331</v>
      </c>
      <c r="P203" s="42">
        <f>DATA!R192</f>
        <v>0</v>
      </c>
      <c r="Q203" s="42">
        <f>DATA!S192</f>
        <v>0</v>
      </c>
      <c r="R203" s="83">
        <f>DATA!T192</f>
        <v>0</v>
      </c>
      <c r="S203" s="83"/>
      <c r="T203" s="83">
        <f>DATA!V192</f>
        <v>0</v>
      </c>
      <c r="U203" s="83">
        <f>DATA!W192</f>
        <v>0</v>
      </c>
      <c r="V203" s="83">
        <f>DATA!X192</f>
        <v>0</v>
      </c>
      <c r="W203" s="84" t="str">
        <f>DATA!Y192</f>
        <v>IDB</v>
      </c>
      <c r="X203" s="42" t="str">
        <f>DATA!Z192</f>
        <v>Multilateral</v>
      </c>
      <c r="Y203" s="83">
        <f>DATA!AA192</f>
        <v>125000000</v>
      </c>
      <c r="Z203" s="83">
        <f>DATA!AG192</f>
        <v>0</v>
      </c>
      <c r="AA203" s="42" t="str">
        <f>DATA!AH192</f>
        <v>Tanpa keterangan</v>
      </c>
      <c r="AB203" s="67" t="str">
        <f>DATA!AI192</f>
        <v>-</v>
      </c>
      <c r="AC203" s="67" t="str">
        <f>DATA!AJ192</f>
        <v>-</v>
      </c>
      <c r="AD203" s="115" t="str">
        <f>DATA!AK192</f>
        <v>-</v>
      </c>
      <c r="AE203" s="67" t="str">
        <f>DATA!AL192</f>
        <v>-</v>
      </c>
      <c r="AF203" s="42">
        <f>DATA!AM192</f>
        <v>0</v>
      </c>
      <c r="AG203" s="42" t="str">
        <f>DATA!AN192</f>
        <v>dalam proses
(penyusunan FS)</v>
      </c>
      <c r="AH203" s="42" t="str">
        <f>DATA!AO192</f>
        <v>belum ada keterangan</v>
      </c>
      <c r="AI203" s="42" t="str">
        <f>DATA!AP192</f>
        <v>belum ada proses tender/lelang</v>
      </c>
      <c r="AJ203" s="42" t="str">
        <f>DATA!AY192</f>
        <v>Surat Plh. Kepala Pusat Kem.Pertanian nomor 246/KL.230/A.6.3/09/2015 tgl 9 September 2015</v>
      </c>
      <c r="AK203" s="42" t="e">
        <f>DATA!#REF!</f>
        <v>#REF!</v>
      </c>
      <c r="AL203" s="42">
        <f>DATA!AZ192</f>
        <v>0</v>
      </c>
      <c r="AM203" s="67" t="str">
        <f>DATA!BA192</f>
        <v>Pembentukan lahan pertanian padi baru di 34 provinsi, meliputi: identifikasi calon petani dan calon lokasi (CPCL), survey/investigasi, penetapan lokasi, penyiapan lahan (land clearing and land leveling), bantuan sarana produksi, dan pertanian untuk budidaya padi.</v>
      </c>
    </row>
    <row r="204" spans="1:39" s="6" customFormat="1" ht="76.5" hidden="1">
      <c r="A204" s="6">
        <f>DATA!A193</f>
        <v>139</v>
      </c>
      <c r="B204" s="6">
        <f>DATA!B193</f>
        <v>0</v>
      </c>
      <c r="C204" s="6" t="str">
        <f>DATA!D193</f>
        <v>NON-INFRASTRUKTUR</v>
      </c>
      <c r="D204" s="6">
        <f>DATA!E193</f>
        <v>13</v>
      </c>
      <c r="E204" s="6" t="str">
        <f>DATA!F193</f>
        <v>Kementerian Pertanian</v>
      </c>
      <c r="F204" s="6" t="str">
        <f>DATA!H193</f>
        <v>Provision and Development of Agriculture Infrastructure Program</v>
      </c>
      <c r="G204" s="6" t="str">
        <f>DATA!I193</f>
        <v>A</v>
      </c>
      <c r="H204" s="6" t="str">
        <f>DATA!J193</f>
        <v>Program Penyediaan dan Pengembangan Prasarana dan Sarana Pertanian</v>
      </c>
      <c r="I204" s="6">
        <f>DATA!K193</f>
        <v>1</v>
      </c>
      <c r="J204" s="38"/>
      <c r="K204" s="39"/>
      <c r="L204" s="39"/>
      <c r="M204" s="43"/>
      <c r="N204" s="67" t="str">
        <f>DATA!L193</f>
        <v>Extensification of New Paddy Field Area</v>
      </c>
      <c r="O204" s="42">
        <f>DATA!Q193</f>
        <v>0.33333333333333331</v>
      </c>
      <c r="P204" s="42">
        <f>DATA!R193</f>
        <v>0</v>
      </c>
      <c r="Q204" s="42">
        <f>DATA!S193</f>
        <v>0</v>
      </c>
      <c r="R204" s="83">
        <f>DATA!T193</f>
        <v>0</v>
      </c>
      <c r="S204" s="83"/>
      <c r="T204" s="83">
        <f>DATA!V193</f>
        <v>0</v>
      </c>
      <c r="U204" s="83">
        <f>DATA!W193</f>
        <v>0</v>
      </c>
      <c r="V204" s="83">
        <f>DATA!X193</f>
        <v>0</v>
      </c>
      <c r="W204" s="84" t="str">
        <f>DATA!Y193</f>
        <v>Belum Ada Indikasi</v>
      </c>
      <c r="X204" s="42" t="str">
        <f>DATA!Z193</f>
        <v>Belum Ada Indikasi</v>
      </c>
      <c r="Y204" s="83">
        <f>DATA!AA193</f>
        <v>461166600</v>
      </c>
      <c r="Z204" s="83">
        <f>DATA!AG193</f>
        <v>-461166600</v>
      </c>
      <c r="AA204" s="42" t="str">
        <f>DATA!AH193</f>
        <v>Tanpa keterangan</v>
      </c>
      <c r="AB204" s="67" t="str">
        <f>DATA!AI193</f>
        <v>-</v>
      </c>
      <c r="AC204" s="67" t="str">
        <f>DATA!AJ193</f>
        <v>-</v>
      </c>
      <c r="AD204" s="115" t="str">
        <f>DATA!AK193</f>
        <v>-</v>
      </c>
      <c r="AE204" s="67" t="str">
        <f>DATA!AL193</f>
        <v>-</v>
      </c>
      <c r="AF204" s="42">
        <f>DATA!AM193</f>
        <v>0</v>
      </c>
      <c r="AG204" s="42" t="str">
        <f>DATA!AN193</f>
        <v>belum ada keterangan</v>
      </c>
      <c r="AH204" s="42" t="str">
        <f>DATA!AO193</f>
        <v>belum ada keterangan</v>
      </c>
      <c r="AI204" s="42" t="str">
        <f>DATA!AP193</f>
        <v>belum ada proses tender/lelang</v>
      </c>
      <c r="AJ204" s="42" t="str">
        <f>DATA!AY193</f>
        <v>Surat Plh. Kepala Pusat Kem.Pertanian nomor 246/KL.230/A.6.3/09/2015 tgl 9 September 2015</v>
      </c>
      <c r="AK204" s="42" t="e">
        <f>DATA!#REF!</f>
        <v>#REF!</v>
      </c>
      <c r="AL204" s="42">
        <f>DATA!AZ193</f>
        <v>0</v>
      </c>
      <c r="AM204" s="67" t="str">
        <f>DATA!BA193</f>
        <v>Pembentukan lahan pertanian padi baru di 34 provinsi, meliputi: identifikasi calon petani dan calon lokasi (CPCL), survey/investigasi, penetapan lokasi, penyiapan lahan (land clearing and land leveling), bantuan sarana produksi, dan pertanian untuk budidaya padi.</v>
      </c>
    </row>
    <row r="205" spans="1:39" ht="60.75" hidden="1" customHeight="1">
      <c r="A205" s="10">
        <f>DATA!A194</f>
        <v>140</v>
      </c>
      <c r="B205" s="10">
        <f>DATA!B194</f>
        <v>0</v>
      </c>
      <c r="C205" s="10" t="str">
        <f>DATA!D194</f>
        <v>NON-INFRASTRUKTUR</v>
      </c>
      <c r="D205" s="10">
        <f>DATA!E194</f>
        <v>13</v>
      </c>
      <c r="E205" s="10" t="str">
        <f>DATA!F194</f>
        <v>Kementerian Pertanian</v>
      </c>
      <c r="F205" s="10" t="str">
        <f>DATA!H194</f>
        <v>Provision and Development of Agriculture Infrastructure Program</v>
      </c>
      <c r="G205" s="10" t="str">
        <f>DATA!I194</f>
        <v>A</v>
      </c>
      <c r="H205" s="10" t="str">
        <f>DATA!J194</f>
        <v>Program Penyediaan dan Pengembangan Prasarana dan Sarana Pertanian</v>
      </c>
      <c r="I205" s="10">
        <f>DATA!K194</f>
        <v>2</v>
      </c>
      <c r="J205" s="33"/>
      <c r="K205" s="34"/>
      <c r="L205" s="34"/>
      <c r="M205" s="36">
        <f>DATA!K194</f>
        <v>2</v>
      </c>
      <c r="N205" s="37" t="str">
        <f>DATA!L194</f>
        <v>Upland Development for National Food Security</v>
      </c>
      <c r="O205" s="20">
        <f>DATA!Q194</f>
        <v>0</v>
      </c>
      <c r="P205" s="20">
        <f>DATA!R194</f>
        <v>1</v>
      </c>
      <c r="Q205" s="20">
        <f>DATA!S194</f>
        <v>110</v>
      </c>
      <c r="R205" s="77">
        <f>DATA!T194</f>
        <v>535676000</v>
      </c>
      <c r="S205" s="77"/>
      <c r="T205" s="77">
        <f>DATA!V194</f>
        <v>53567600</v>
      </c>
      <c r="U205" s="77">
        <f>DATA!W194</f>
        <v>0</v>
      </c>
      <c r="V205" s="77">
        <f>DATA!X194</f>
        <v>589243600</v>
      </c>
      <c r="W205" s="78" t="str">
        <f>DATA!Y194</f>
        <v>-</v>
      </c>
      <c r="X205" s="20">
        <f>DATA!Z194</f>
        <v>0</v>
      </c>
      <c r="Y205" s="77">
        <f>DATA!AA194</f>
        <v>535676000</v>
      </c>
      <c r="Z205" s="77">
        <f>DATA!AG194</f>
        <v>-285676000</v>
      </c>
      <c r="AA205" s="20" t="str">
        <f>DATA!AH194</f>
        <v>-</v>
      </c>
      <c r="AB205" s="37" t="str">
        <f>DATA!AI194</f>
        <v>-</v>
      </c>
      <c r="AC205" s="37" t="str">
        <f>DATA!AJ194</f>
        <v xml:space="preserve">TOR </v>
      </c>
      <c r="AD205" s="115">
        <f>DATA!AK194</f>
        <v>0</v>
      </c>
      <c r="AE205" s="37" t="str">
        <f>DATA!AL194</f>
        <v>-</v>
      </c>
      <c r="AF205" s="20">
        <f>DATA!AM194</f>
        <v>0</v>
      </c>
      <c r="AG205" s="20" t="str">
        <f>DATA!AN194</f>
        <v>-</v>
      </c>
      <c r="AH205" s="20" t="str">
        <f>DATA!AO194</f>
        <v>tanpa keterangan</v>
      </c>
      <c r="AI205" s="20" t="str">
        <f>DATA!AP194</f>
        <v>belum ada proses tender/lelang</v>
      </c>
      <c r="AJ205" s="20" t="str">
        <f>DATA!AY194</f>
        <v>Surat Plh. Kepala Pusat Kem.Pertanian nomor 246/KL.230/A.6.3/09/2015 tgl 9 September 2015</v>
      </c>
      <c r="AK205" s="20" t="e">
        <f>DATA!#REF!</f>
        <v>#REF!</v>
      </c>
      <c r="AL205" s="20">
        <f>DATA!AZ194</f>
        <v>0</v>
      </c>
      <c r="AM205" s="37" t="str">
        <f>DATA!BA194</f>
        <v>Rencana penggunaan lahan di dataran tinggi berdasarkan kesesuaiannya, konservasi lahan dan air di dataran tinggi, dan budidaya pertanian ramah lingkungan untuk dataran tinggi</v>
      </c>
    </row>
    <row r="206" spans="1:39" s="6" customFormat="1" ht="61.5" hidden="1" customHeight="1">
      <c r="A206" s="6">
        <f>DATA!A195</f>
        <v>140</v>
      </c>
      <c r="B206" s="6">
        <f>DATA!B195</f>
        <v>0</v>
      </c>
      <c r="C206" s="6" t="str">
        <f>DATA!D195</f>
        <v>NON-INFRASTRUKTUR</v>
      </c>
      <c r="D206" s="6">
        <f>DATA!E195</f>
        <v>13</v>
      </c>
      <c r="E206" s="6" t="str">
        <f>DATA!F195</f>
        <v>Kementerian Pertanian</v>
      </c>
      <c r="F206" s="6" t="str">
        <f>DATA!H195</f>
        <v>Provision and Development of Agriculture Infrastructure Program</v>
      </c>
      <c r="G206" s="6" t="str">
        <f>DATA!I195</f>
        <v>A</v>
      </c>
      <c r="H206" s="6" t="str">
        <f>DATA!J195</f>
        <v>Program Penyediaan dan Pengembangan Prasarana dan Sarana Pertanian</v>
      </c>
      <c r="I206" s="6">
        <f>DATA!K195</f>
        <v>2</v>
      </c>
      <c r="J206" s="38"/>
      <c r="K206" s="39"/>
      <c r="L206" s="39"/>
      <c r="M206" s="40"/>
      <c r="N206" s="67" t="str">
        <f>DATA!L195</f>
        <v>Upland Development for National Food Security</v>
      </c>
      <c r="O206" s="42">
        <f>DATA!Q195</f>
        <v>0.33333333333333331</v>
      </c>
      <c r="P206" s="42">
        <f>DATA!R195</f>
        <v>0</v>
      </c>
      <c r="Q206" s="42">
        <f>DATA!S195</f>
        <v>0</v>
      </c>
      <c r="R206" s="83">
        <f>DATA!T195</f>
        <v>0</v>
      </c>
      <c r="S206" s="83"/>
      <c r="T206" s="83">
        <f>DATA!V195</f>
        <v>0</v>
      </c>
      <c r="U206" s="83">
        <f>DATA!W195</f>
        <v>0</v>
      </c>
      <c r="V206" s="83">
        <f>DATA!X195</f>
        <v>0</v>
      </c>
      <c r="W206" s="84" t="str">
        <f>DATA!Y195</f>
        <v>Bank Dunia</v>
      </c>
      <c r="X206" s="42" t="str">
        <f>DATA!Z195</f>
        <v>Multilateral</v>
      </c>
      <c r="Y206" s="83">
        <f>DATA!AA195</f>
        <v>125000000</v>
      </c>
      <c r="Z206" s="83">
        <f>DATA!AG195</f>
        <v>0</v>
      </c>
      <c r="AA206" s="42" t="str">
        <f>DATA!AH195</f>
        <v>Tanpa keterangan</v>
      </c>
      <c r="AB206" s="67" t="str">
        <f>DATA!AI195</f>
        <v>-</v>
      </c>
      <c r="AC206" s="67" t="str">
        <f>DATA!AJ195</f>
        <v xml:space="preserve">TOR </v>
      </c>
      <c r="AD206" s="115">
        <f>DATA!AK195</f>
        <v>0</v>
      </c>
      <c r="AE206" s="67" t="str">
        <f>DATA!AL195</f>
        <v>-</v>
      </c>
      <c r="AF206" s="42">
        <f>DATA!AM195</f>
        <v>0</v>
      </c>
      <c r="AG206" s="42" t="str">
        <f>DATA!AN195</f>
        <v>dalam proses
(penyusunan FS)</v>
      </c>
      <c r="AH206" s="42" t="str">
        <f>DATA!AO195</f>
        <v>belum ada keterangan</v>
      </c>
      <c r="AI206" s="42" t="str">
        <f>DATA!AP195</f>
        <v>belum ada proses tender/lelang</v>
      </c>
      <c r="AJ206" s="42" t="str">
        <f>DATA!AY195</f>
        <v>Surat Plh. Kepala Pusat Kem.Pertanian nomor 246/KL.230/A.6.3/09/2015 tgl 9 September 2015</v>
      </c>
      <c r="AK206" s="42" t="e">
        <f>DATA!#REF!</f>
        <v>#REF!</v>
      </c>
      <c r="AL206" s="42">
        <f>DATA!AZ195</f>
        <v>0</v>
      </c>
      <c r="AM206" s="67" t="str">
        <f>DATA!BA195</f>
        <v>Rencana penggunaan lahan di dataran tinggi berdasarkan kesesuaiannya, konservasi lahan dan air di dataran tinggi, dan budidaya pertanian ramah lingkungan untuk dataran tinggi</v>
      </c>
    </row>
    <row r="207" spans="1:39" s="6" customFormat="1" ht="51" hidden="1">
      <c r="A207" s="6">
        <f>DATA!A196</f>
        <v>141</v>
      </c>
      <c r="B207" s="6">
        <f>DATA!B196</f>
        <v>0</v>
      </c>
      <c r="C207" s="6" t="str">
        <f>DATA!D196</f>
        <v>NON-INFRASTRUKTUR</v>
      </c>
      <c r="D207" s="6">
        <f>DATA!E196</f>
        <v>13</v>
      </c>
      <c r="E207" s="6" t="str">
        <f>DATA!F196</f>
        <v>Kementerian Pertanian</v>
      </c>
      <c r="F207" s="6" t="str">
        <f>DATA!H196</f>
        <v>Provision and Development of Agriculture Infrastructure Program</v>
      </c>
      <c r="G207" s="6" t="str">
        <f>DATA!I196</f>
        <v>A</v>
      </c>
      <c r="H207" s="6" t="str">
        <f>DATA!J196</f>
        <v>Program Penyediaan dan Pengembangan Prasarana dan Sarana Pertanian</v>
      </c>
      <c r="I207" s="6">
        <f>DATA!K196</f>
        <v>2</v>
      </c>
      <c r="J207" s="38"/>
      <c r="K207" s="39"/>
      <c r="L207" s="39"/>
      <c r="M207" s="38"/>
      <c r="N207" s="67" t="str">
        <f>DATA!L196</f>
        <v>Upland Development for National Food Security</v>
      </c>
      <c r="O207" s="42">
        <f>DATA!Q196</f>
        <v>0.33333333333333331</v>
      </c>
      <c r="P207" s="42">
        <f>DATA!R196</f>
        <v>0</v>
      </c>
      <c r="Q207" s="42">
        <f>DATA!S196</f>
        <v>0</v>
      </c>
      <c r="R207" s="83">
        <f>DATA!T196</f>
        <v>0</v>
      </c>
      <c r="S207" s="83"/>
      <c r="T207" s="83">
        <f>DATA!V196</f>
        <v>0</v>
      </c>
      <c r="U207" s="83">
        <f>DATA!W196</f>
        <v>0</v>
      </c>
      <c r="V207" s="83">
        <f>DATA!X196</f>
        <v>0</v>
      </c>
      <c r="W207" s="84" t="str">
        <f>DATA!Y196</f>
        <v>IDB</v>
      </c>
      <c r="X207" s="42" t="str">
        <f>DATA!Z196</f>
        <v>Multilateral</v>
      </c>
      <c r="Y207" s="83">
        <f>DATA!AA196</f>
        <v>125000000</v>
      </c>
      <c r="Z207" s="83">
        <f>DATA!AG196</f>
        <v>0</v>
      </c>
      <c r="AA207" s="42" t="str">
        <f>DATA!AH196</f>
        <v>Tanpa keterangan</v>
      </c>
      <c r="AB207" s="67" t="str">
        <f>DATA!AI196</f>
        <v>-</v>
      </c>
      <c r="AC207" s="67" t="str">
        <f>DATA!AJ196</f>
        <v>-</v>
      </c>
      <c r="AD207" s="115" t="str">
        <f>DATA!AK196</f>
        <v>-</v>
      </c>
      <c r="AE207" s="67" t="str">
        <f>DATA!AL196</f>
        <v>-</v>
      </c>
      <c r="AF207" s="42">
        <f>DATA!AM196</f>
        <v>0</v>
      </c>
      <c r="AG207" s="42" t="str">
        <f>DATA!AN196</f>
        <v>dalam proses
(penyusunan FS)</v>
      </c>
      <c r="AH207" s="42" t="str">
        <f>DATA!AO196</f>
        <v>belum ada keterangan</v>
      </c>
      <c r="AI207" s="42" t="str">
        <f>DATA!AP196</f>
        <v>belum ada proses tender/lelang</v>
      </c>
      <c r="AJ207" s="42" t="str">
        <f>DATA!AY196</f>
        <v>Surat Plh. Kepala Pusat Kem.Pertanian nomor 246/KL.230/A.6.3/09/2015 tgl 9 September 2015</v>
      </c>
      <c r="AK207" s="42" t="e">
        <f>DATA!#REF!</f>
        <v>#REF!</v>
      </c>
      <c r="AL207" s="42">
        <f>DATA!AZ196</f>
        <v>0</v>
      </c>
      <c r="AM207" s="67" t="str">
        <f>DATA!BA196</f>
        <v>Rencana penggunaan lahan di dataran tinggi berdasarkan kesesuaiannya, konservasi lahan dan air di dataran tinggi, dan budidaya pertanian ramah lingkungan untuk dataran tinggi</v>
      </c>
    </row>
    <row r="208" spans="1:39" s="6" customFormat="1" ht="65.25" hidden="1" customHeight="1">
      <c r="A208" s="6">
        <f>DATA!A197</f>
        <v>142</v>
      </c>
      <c r="B208" s="6">
        <f>DATA!B197</f>
        <v>0</v>
      </c>
      <c r="C208" s="6" t="str">
        <f>DATA!D197</f>
        <v>NON-INFRASTRUKTUR</v>
      </c>
      <c r="D208" s="6">
        <f>DATA!E197</f>
        <v>13</v>
      </c>
      <c r="E208" s="6" t="str">
        <f>DATA!F197</f>
        <v>Kementerian Pertanian</v>
      </c>
      <c r="F208" s="6" t="str">
        <f>DATA!H197</f>
        <v>Provision and Development of Agriculture Infrastructure Program</v>
      </c>
      <c r="G208" s="6" t="str">
        <f>DATA!I197</f>
        <v>A</v>
      </c>
      <c r="H208" s="6" t="str">
        <f>DATA!J197</f>
        <v>Program Penyediaan dan Pengembangan Prasarana dan Sarana Pertanian</v>
      </c>
      <c r="I208" s="6">
        <f>DATA!K197</f>
        <v>2</v>
      </c>
      <c r="J208" s="38"/>
      <c r="K208" s="39"/>
      <c r="L208" s="71"/>
      <c r="M208" s="43"/>
      <c r="N208" s="67" t="str">
        <f>DATA!L197</f>
        <v>Upland Development for National Food Security</v>
      </c>
      <c r="O208" s="42">
        <f>DATA!Q197</f>
        <v>0.33333333333333331</v>
      </c>
      <c r="P208" s="42">
        <f>DATA!R197</f>
        <v>0</v>
      </c>
      <c r="Q208" s="42">
        <f>DATA!S197</f>
        <v>0</v>
      </c>
      <c r="R208" s="83">
        <f>DATA!T197</f>
        <v>0</v>
      </c>
      <c r="S208" s="83"/>
      <c r="T208" s="83">
        <f>DATA!V197</f>
        <v>0</v>
      </c>
      <c r="U208" s="83">
        <f>DATA!W197</f>
        <v>0</v>
      </c>
      <c r="V208" s="83">
        <f>DATA!X197</f>
        <v>0</v>
      </c>
      <c r="W208" s="84" t="str">
        <f>DATA!Y197</f>
        <v>Belum Ada Indikasi</v>
      </c>
      <c r="X208" s="42" t="str">
        <f>DATA!Z197</f>
        <v>Belum Ada Indikasi</v>
      </c>
      <c r="Y208" s="83">
        <f>DATA!AA197</f>
        <v>285676000</v>
      </c>
      <c r="Z208" s="83">
        <f>DATA!AG197</f>
        <v>-285676000</v>
      </c>
      <c r="AA208" s="42" t="str">
        <f>DATA!AH197</f>
        <v>Tanpa keterangan</v>
      </c>
      <c r="AB208" s="67" t="str">
        <f>DATA!AI197</f>
        <v>-</v>
      </c>
      <c r="AC208" s="67" t="str">
        <f>DATA!AJ197</f>
        <v>-</v>
      </c>
      <c r="AD208" s="115" t="str">
        <f>DATA!AK197</f>
        <v>-</v>
      </c>
      <c r="AE208" s="67" t="str">
        <f>DATA!AL197</f>
        <v>-</v>
      </c>
      <c r="AF208" s="42">
        <f>DATA!AM197</f>
        <v>0</v>
      </c>
      <c r="AG208" s="42" t="str">
        <f>DATA!AN197</f>
        <v>belum ada keterangan</v>
      </c>
      <c r="AH208" s="42" t="str">
        <f>DATA!AO197</f>
        <v>belum ada keterangan</v>
      </c>
      <c r="AI208" s="42" t="str">
        <f>DATA!AP197</f>
        <v>belum ada proses tender/lelang</v>
      </c>
      <c r="AJ208" s="42" t="str">
        <f>DATA!AY197</f>
        <v>Surat Plh. Kepala Pusat Kem.Pertanian nomor 246/KL.230/A.6.3/09/2015 tgl 9 September 2015</v>
      </c>
      <c r="AK208" s="42" t="e">
        <f>DATA!#REF!</f>
        <v>#REF!</v>
      </c>
      <c r="AL208" s="42">
        <f>DATA!AZ197</f>
        <v>0</v>
      </c>
      <c r="AM208" s="67" t="str">
        <f>DATA!BA197</f>
        <v>Rencana penggunaan lahan di dataran tinggi berdasarkan kesesuaiannya, konservasi lahan dan air di dataran tinggi, dan budidaya pertanian ramah lingkungan untuk dataran tinggi</v>
      </c>
    </row>
    <row r="209" spans="1:39" s="5" customFormat="1" ht="33.75" hidden="1" customHeight="1">
      <c r="J209" s="28"/>
      <c r="K209" s="50"/>
      <c r="L209" s="30" t="str">
        <f>DATA!I198</f>
        <v>B</v>
      </c>
      <c r="M209" s="31" t="str">
        <f>DATA!J198</f>
        <v>Program Peningkatan Penyuluhan, Pendidikan, dan Pelatihan Pertanian</v>
      </c>
      <c r="N209" s="51"/>
      <c r="O209" s="31"/>
      <c r="P209" s="31"/>
      <c r="Q209" s="31"/>
      <c r="R209" s="81">
        <f>+R210+R211</f>
        <v>98900000</v>
      </c>
      <c r="S209" s="81"/>
      <c r="T209" s="81">
        <f t="shared" ref="T209:Z209" si="29">+T210+T211</f>
        <v>19780000</v>
      </c>
      <c r="U209" s="81">
        <f t="shared" si="29"/>
        <v>500000</v>
      </c>
      <c r="V209" s="81">
        <f t="shared" si="29"/>
        <v>119180000</v>
      </c>
      <c r="W209" s="81"/>
      <c r="X209" s="81" t="e">
        <f t="shared" si="29"/>
        <v>#VALUE!</v>
      </c>
      <c r="Y209" s="81">
        <f t="shared" si="29"/>
        <v>98900000</v>
      </c>
      <c r="Z209" s="81">
        <f t="shared" si="29"/>
        <v>0</v>
      </c>
      <c r="AA209" s="31"/>
      <c r="AB209" s="32"/>
      <c r="AC209" s="32"/>
      <c r="AD209" s="115" t="str">
        <f>DATA!AK198</f>
        <v>-</v>
      </c>
      <c r="AE209" s="32"/>
      <c r="AF209" s="31"/>
      <c r="AG209" s="31"/>
      <c r="AH209" s="31"/>
      <c r="AI209" s="31"/>
      <c r="AJ209" s="31"/>
      <c r="AK209" s="31"/>
      <c r="AL209" s="31"/>
      <c r="AM209" s="32"/>
    </row>
    <row r="210" spans="1:39" ht="106.5" hidden="1" customHeight="1">
      <c r="A210" s="10">
        <f>DATA!A198</f>
        <v>143</v>
      </c>
      <c r="B210" s="10">
        <f>DATA!B198</f>
        <v>0</v>
      </c>
      <c r="C210" s="10" t="str">
        <f>DATA!D198</f>
        <v>NON-INFRASTRUKTUR</v>
      </c>
      <c r="D210" s="10">
        <f>DATA!E198</f>
        <v>13</v>
      </c>
      <c r="E210" s="10" t="str">
        <f>DATA!F198</f>
        <v>Kementerian Pertanian</v>
      </c>
      <c r="F210" s="10" t="str">
        <f>DATA!H198</f>
        <v>Agriculture Extention, Education, and Training Improvement Program</v>
      </c>
      <c r="G210" s="10" t="str">
        <f>DATA!I198</f>
        <v>B</v>
      </c>
      <c r="H210" s="10" t="str">
        <f>DATA!J198</f>
        <v>Program Peningkatan Penyuluhan, Pendidikan, dan Pelatihan Pertanian</v>
      </c>
      <c r="I210" s="10">
        <f>DATA!K198</f>
        <v>1</v>
      </c>
      <c r="J210" s="33"/>
      <c r="K210" s="34"/>
      <c r="L210" s="35"/>
      <c r="M210" s="36">
        <f>DATA!K198</f>
        <v>1</v>
      </c>
      <c r="N210" s="37" t="str">
        <f>DATA!L198</f>
        <v>Young Enterpreneur Growth and Development for Sustainable Agricultural Development</v>
      </c>
      <c r="O210" s="20">
        <f>DATA!Q198</f>
        <v>1</v>
      </c>
      <c r="P210" s="20">
        <f>DATA!R198</f>
        <v>1</v>
      </c>
      <c r="Q210" s="20">
        <f>DATA!S198</f>
        <v>111</v>
      </c>
      <c r="R210" s="77">
        <f>DATA!T198</f>
        <v>68900000</v>
      </c>
      <c r="S210" s="77"/>
      <c r="T210" s="77">
        <f>DATA!V198</f>
        <v>13780000</v>
      </c>
      <c r="U210" s="77">
        <f>DATA!W198</f>
        <v>0</v>
      </c>
      <c r="V210" s="77">
        <f>DATA!X198</f>
        <v>82680000</v>
      </c>
      <c r="W210" s="78" t="str">
        <f>DATA!Y198</f>
        <v>IFAD</v>
      </c>
      <c r="X210" s="20" t="str">
        <f>DATA!Z198</f>
        <v>Multilateral</v>
      </c>
      <c r="Y210" s="77">
        <f>DATA!AA198</f>
        <v>68900000</v>
      </c>
      <c r="Z210" s="77">
        <f>DATA!AG198</f>
        <v>0</v>
      </c>
      <c r="AA210" s="20" t="str">
        <f>DATA!AH198</f>
        <v>Tanpa keterangan</v>
      </c>
      <c r="AB210" s="37" t="str">
        <f>DATA!AI198</f>
        <v>Dalam tahap diskusi awal dengan pihak lender untuk penyempurnaan proposal</v>
      </c>
      <c r="AC210" s="37" t="str">
        <f>DATA!AJ198</f>
        <v>-</v>
      </c>
      <c r="AD210" s="115" t="str">
        <f>DATA!AK199</f>
        <v>-</v>
      </c>
      <c r="AE210" s="37" t="str">
        <f>DATA!AL198</f>
        <v>-</v>
      </c>
      <c r="AF210" s="20">
        <f>DATA!AM198</f>
        <v>0</v>
      </c>
      <c r="AG210" s="20" t="str">
        <f>DATA!AN198</f>
        <v>belum ada keterangan</v>
      </c>
      <c r="AH210" s="20" t="str">
        <f>DATA!AO198</f>
        <v>belum ada keterangan</v>
      </c>
      <c r="AI210" s="20" t="str">
        <f>DATA!AP198</f>
        <v>belum ada proses tender/lelang</v>
      </c>
      <c r="AJ210" s="20" t="str">
        <f>DATA!AY198</f>
        <v>Surat Plh. Kepala Pusat Kem.Pertanian nomor 246/KL.230/A.6.3/09/2015 tgl 9 September 2015</v>
      </c>
      <c r="AK210" s="20" t="e">
        <f>DATA!#REF!</f>
        <v>#REF!</v>
      </c>
      <c r="AL210" s="20">
        <f>DATA!AZ198</f>
        <v>0</v>
      </c>
      <c r="AM210" s="37"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row>
    <row r="211" spans="1:39" ht="63.75" hidden="1">
      <c r="A211" s="10">
        <f>DATA!A199</f>
        <v>144</v>
      </c>
      <c r="B211" s="10">
        <f>DATA!B199</f>
        <v>0</v>
      </c>
      <c r="C211" s="10" t="str">
        <f>DATA!D199</f>
        <v>NON-INFRASTRUKTUR</v>
      </c>
      <c r="D211" s="10">
        <f>DATA!E199</f>
        <v>13</v>
      </c>
      <c r="E211" s="10" t="str">
        <f>DATA!F199</f>
        <v>Kementerian Pertanian</v>
      </c>
      <c r="F211" s="10" t="str">
        <f>DATA!H199</f>
        <v>Agriculture Extention, Education, and Training Improvement Program</v>
      </c>
      <c r="G211" s="10" t="str">
        <f>DATA!I199</f>
        <v>B</v>
      </c>
      <c r="H211" s="10" t="str">
        <f>DATA!J199</f>
        <v>Program Peningkatan Penyuluhan, Pendidikan, dan Pelatihan Pertanian</v>
      </c>
      <c r="I211" s="10">
        <f>DATA!K199</f>
        <v>2</v>
      </c>
      <c r="J211" s="33"/>
      <c r="K211" s="54"/>
      <c r="L211" s="54"/>
      <c r="M211" s="36">
        <f>DATA!K199</f>
        <v>2</v>
      </c>
      <c r="N211" s="37" t="str">
        <f>DATA!L199</f>
        <v>Rural Empowerment and Agricultural Development (READ) Programme in Sulawesi Island – Phase II</v>
      </c>
      <c r="O211" s="20">
        <f>DATA!Q199</f>
        <v>1</v>
      </c>
      <c r="P211" s="20">
        <f>DATA!R199</f>
        <v>1</v>
      </c>
      <c r="Q211" s="20">
        <f>DATA!S199</f>
        <v>112</v>
      </c>
      <c r="R211" s="77">
        <f>DATA!T199</f>
        <v>30000000</v>
      </c>
      <c r="S211" s="77"/>
      <c r="T211" s="77">
        <f>DATA!V199</f>
        <v>6000000</v>
      </c>
      <c r="U211" s="77">
        <f>DATA!W199</f>
        <v>500000</v>
      </c>
      <c r="V211" s="77">
        <f>DATA!X199</f>
        <v>36500000</v>
      </c>
      <c r="W211" s="78" t="str">
        <f>DATA!Y199</f>
        <v>IFAD</v>
      </c>
      <c r="X211" s="20" t="str">
        <f>DATA!Z199</f>
        <v>Multilateral</v>
      </c>
      <c r="Y211" s="77">
        <f>DATA!AA199</f>
        <v>30000000</v>
      </c>
      <c r="Z211" s="77">
        <f>DATA!AG199</f>
        <v>0</v>
      </c>
      <c r="AA211" s="20" t="str">
        <f>DATA!AH199</f>
        <v>Tanpa keterangan</v>
      </c>
      <c r="AB211" s="37" t="str">
        <f>DATA!AI199</f>
        <v>Dalam tahap diskusi awal dengan pihak lender untuk penyempurnaan proposal</v>
      </c>
      <c r="AC211" s="37" t="str">
        <f>DATA!AJ199</f>
        <v>-</v>
      </c>
      <c r="AD211" s="115" t="str">
        <f>DATA!AK200</f>
        <v>-</v>
      </c>
      <c r="AE211" s="37" t="str">
        <f>DATA!AL199</f>
        <v>-</v>
      </c>
      <c r="AF211" s="20">
        <f>DATA!AM199</f>
        <v>0</v>
      </c>
      <c r="AG211" s="20" t="str">
        <f>DATA!AN199</f>
        <v>belum ada keterangan</v>
      </c>
      <c r="AH211" s="20" t="str">
        <f>DATA!AO199</f>
        <v>belum ada keterangan</v>
      </c>
      <c r="AI211" s="20" t="str">
        <f>DATA!AP199</f>
        <v>belum ada proses tender/lelang</v>
      </c>
      <c r="AJ211" s="20" t="str">
        <f>DATA!AY199</f>
        <v>Surat Plh. Kepala Pusat Kem.Pertanian nomor 246/KL.230/A.6.3/09/2015 tgl 9 September 2015</v>
      </c>
      <c r="AK211" s="20" t="e">
        <f>DATA!#REF!</f>
        <v>#REF!</v>
      </c>
      <c r="AL211" s="20">
        <f>DATA!AZ199</f>
        <v>0</v>
      </c>
      <c r="AM211" s="37" t="str">
        <f>DATA!BA199</f>
        <v>Pemberdayaan masyarakat petani, peningkatan mata pencaharian, dan pembangunan infrastruktur pertanian</v>
      </c>
    </row>
    <row r="212" spans="1:39" s="4" customFormat="1" ht="24.95" hidden="1" customHeight="1">
      <c r="J212" s="107"/>
      <c r="K212" s="25">
        <f>DATA!E200</f>
        <v>14</v>
      </c>
      <c r="L212" s="108" t="str">
        <f>DATA!F200</f>
        <v>Kementerian Ketenagakerjaan</v>
      </c>
      <c r="M212" s="25"/>
      <c r="N212" s="27"/>
      <c r="O212" s="26"/>
      <c r="P212" s="26"/>
      <c r="Q212" s="26"/>
      <c r="R212" s="80">
        <f>+R213</f>
        <v>92308000</v>
      </c>
      <c r="S212" s="80"/>
      <c r="T212" s="80">
        <f t="shared" ref="T212:Z213" si="30">+T213</f>
        <v>2500000</v>
      </c>
      <c r="U212" s="80">
        <f t="shared" si="30"/>
        <v>0</v>
      </c>
      <c r="V212" s="80">
        <f t="shared" si="30"/>
        <v>94808000</v>
      </c>
      <c r="W212" s="120" t="str">
        <f t="shared" si="30"/>
        <v>-</v>
      </c>
      <c r="X212" s="80" t="str">
        <f t="shared" si="30"/>
        <v>Multi Lender</v>
      </c>
      <c r="Y212" s="80">
        <f t="shared" si="30"/>
        <v>92308000</v>
      </c>
      <c r="Z212" s="80">
        <f t="shared" si="30"/>
        <v>0</v>
      </c>
      <c r="AA212" s="26"/>
      <c r="AB212" s="27"/>
      <c r="AC212" s="27"/>
      <c r="AD212" s="27"/>
      <c r="AE212" s="27"/>
      <c r="AF212" s="26"/>
      <c r="AG212" s="26"/>
      <c r="AH212" s="26"/>
      <c r="AI212" s="26"/>
      <c r="AJ212" s="26"/>
      <c r="AK212" s="26"/>
      <c r="AL212" s="26"/>
      <c r="AM212" s="27"/>
    </row>
    <row r="213" spans="1:39" s="5" customFormat="1" ht="33.75" hidden="1" customHeight="1">
      <c r="J213" s="28"/>
      <c r="K213" s="29"/>
      <c r="L213" s="30" t="str">
        <f>DATA!I206</f>
        <v>A</v>
      </c>
      <c r="M213" s="31" t="str">
        <f>DATA!J206</f>
        <v>Program Pengembangan dan Pembinaan Meteorologi, Klimatologi, dan Geofisika</v>
      </c>
      <c r="N213" s="51"/>
      <c r="O213" s="31"/>
      <c r="P213" s="31"/>
      <c r="Q213" s="31"/>
      <c r="R213" s="81">
        <f>+R214</f>
        <v>92308000</v>
      </c>
      <c r="S213" s="81"/>
      <c r="T213" s="81">
        <f t="shared" si="30"/>
        <v>2500000</v>
      </c>
      <c r="U213" s="81">
        <f t="shared" si="30"/>
        <v>0</v>
      </c>
      <c r="V213" s="81">
        <f t="shared" si="30"/>
        <v>94808000</v>
      </c>
      <c r="W213" s="121" t="s">
        <v>21</v>
      </c>
      <c r="X213" s="81" t="str">
        <f t="shared" si="30"/>
        <v>Multi Lender</v>
      </c>
      <c r="Y213" s="81">
        <f t="shared" si="30"/>
        <v>92308000</v>
      </c>
      <c r="Z213" s="81">
        <f t="shared" si="30"/>
        <v>0</v>
      </c>
      <c r="AA213" s="31"/>
      <c r="AB213" s="32"/>
      <c r="AC213" s="32"/>
      <c r="AD213" s="32"/>
      <c r="AE213" s="32"/>
      <c r="AF213" s="31"/>
      <c r="AG213" s="31"/>
      <c r="AH213" s="31"/>
      <c r="AI213" s="31"/>
      <c r="AJ213" s="31"/>
      <c r="AK213" s="31"/>
      <c r="AL213" s="31"/>
      <c r="AM213" s="32"/>
    </row>
    <row r="214" spans="1:39" ht="47.25" hidden="1" customHeight="1">
      <c r="A214" s="10">
        <f>DATA!A200</f>
        <v>145</v>
      </c>
      <c r="B214" s="10">
        <f>DATA!B200</f>
        <v>0</v>
      </c>
      <c r="C214" s="10" t="str">
        <f>DATA!D200</f>
        <v>NON-INFRASTRUKTUR</v>
      </c>
      <c r="D214" s="10">
        <f>DATA!E200</f>
        <v>14</v>
      </c>
      <c r="E214" s="10" t="str">
        <f>DATA!F200</f>
        <v>Kementerian Ketenagakerjaan</v>
      </c>
      <c r="F214" s="10" t="str">
        <f>DATA!H200</f>
        <v>Improving Labor Competitiveness Program</v>
      </c>
      <c r="G214" s="10" t="str">
        <f>DATA!I200</f>
        <v>A</v>
      </c>
      <c r="H214" s="10" t="str">
        <f>DATA!J200</f>
        <v>Program Peningkatan Daya Saing Tenaga Kerja</v>
      </c>
      <c r="I214" s="10">
        <f>DATA!K200</f>
        <v>1</v>
      </c>
      <c r="J214" s="33"/>
      <c r="K214" s="54"/>
      <c r="L214" s="20"/>
      <c r="M214" s="36">
        <f>DATA!K200</f>
        <v>1</v>
      </c>
      <c r="N214" s="37" t="str">
        <f>DATA!L200</f>
        <v>Development of Maritime Vocational Training Centers</v>
      </c>
      <c r="O214" s="20">
        <f>DATA!Q200</f>
        <v>1</v>
      </c>
      <c r="P214" s="20">
        <f>DATA!R200</f>
        <v>1</v>
      </c>
      <c r="Q214" s="20">
        <f>DATA!S200</f>
        <v>113</v>
      </c>
      <c r="R214" s="77">
        <f>DATA!T200</f>
        <v>92308000</v>
      </c>
      <c r="S214" s="77"/>
      <c r="T214" s="77">
        <f>DATA!V200</f>
        <v>2500000</v>
      </c>
      <c r="U214" s="77">
        <f>DATA!W200</f>
        <v>0</v>
      </c>
      <c r="V214" s="77">
        <f>DATA!X200</f>
        <v>94808000</v>
      </c>
      <c r="W214" s="78" t="str">
        <f>DATA!Y200</f>
        <v>Austria/ JICA/ Singapura</v>
      </c>
      <c r="X214" s="20" t="str">
        <f>DATA!Z200</f>
        <v>Multi Lender</v>
      </c>
      <c r="Y214" s="77">
        <f>DATA!AA200</f>
        <v>92308000</v>
      </c>
      <c r="Z214" s="77">
        <f>DATA!AG200</f>
        <v>0</v>
      </c>
      <c r="AA214" s="20" t="str">
        <f>DATA!AH200</f>
        <v>Tanpa keterangan</v>
      </c>
      <c r="AB214" s="37" t="str">
        <f>DATA!AI200</f>
        <v>-</v>
      </c>
      <c r="AC214" s="37" t="str">
        <f>DATA!AJ200</f>
        <v>-</v>
      </c>
      <c r="AD214" s="37" t="str">
        <f>DATA!AK200</f>
        <v>-</v>
      </c>
      <c r="AE214" s="37" t="str">
        <f>DATA!AL200</f>
        <v>-</v>
      </c>
      <c r="AF214" s="20">
        <f>DATA!AM200</f>
        <v>0</v>
      </c>
      <c r="AG214" s="20" t="str">
        <f>DATA!AN200</f>
        <v>belum ada keterangan</v>
      </c>
      <c r="AH214" s="20" t="str">
        <f>DATA!AO200</f>
        <v>belum ada keterangan</v>
      </c>
      <c r="AI214" s="20" t="str">
        <f>DATA!AP200</f>
        <v>belum ada proses tender/lelang</v>
      </c>
      <c r="AJ214" s="20" t="str">
        <f>DATA!AY200</f>
        <v xml:space="preserve">- Semula indikasi pendanaan oleh IDB namun pihak Kem. Naker mengkonfirmasikan bahwa Lender keg ini belum ada indikasi lender
- Konfirmasi Lender Austria didapatkan dari rapat dgn Dit. Multilateral tgl 15 Okt' 2015 di R.SG-4
</v>
      </c>
      <c r="AK214" s="20" t="e">
        <f>DATA!#REF!</f>
        <v>#REF!</v>
      </c>
      <c r="AL214" s="20" t="str">
        <f>DATA!AZ200</f>
        <v>Konfirmasi Lender Austria didapatkan dari rapat dgn Dit. Multilateral tgl 15 Okt' 2015 di R.SG-4</v>
      </c>
      <c r="AM214" s="37" t="str">
        <f>DATA!BA200</f>
        <v>Penyediaan sarana dan peralatan BLK Maritim, rehabilitasi Workshop, pengembangan Software Pelatihan, dan Training of Trainers (ToT)</v>
      </c>
    </row>
    <row r="215" spans="1:39" s="4" customFormat="1" ht="24.95" hidden="1" customHeight="1">
      <c r="J215" s="107"/>
      <c r="K215" s="25">
        <f>DATA!E201</f>
        <v>15</v>
      </c>
      <c r="L215" s="108" t="str">
        <f>DATA!F201</f>
        <v>Kementerian Kelautan dan Perikanan</v>
      </c>
      <c r="M215" s="25"/>
      <c r="N215" s="27"/>
      <c r="O215" s="26"/>
      <c r="P215" s="26"/>
      <c r="Q215" s="26"/>
      <c r="R215" s="80">
        <f>+R216</f>
        <v>107000000</v>
      </c>
      <c r="S215" s="80"/>
      <c r="T215" s="80">
        <f t="shared" ref="T215:Z216" si="31">+T216</f>
        <v>4261000</v>
      </c>
      <c r="U215" s="80">
        <f t="shared" si="31"/>
        <v>2160000</v>
      </c>
      <c r="V215" s="80">
        <f t="shared" si="31"/>
        <v>113421000</v>
      </c>
      <c r="W215" s="80"/>
      <c r="X215" s="80" t="str">
        <f>+X216</f>
        <v>-</v>
      </c>
      <c r="Y215" s="80">
        <f>+Y216</f>
        <v>107000000</v>
      </c>
      <c r="Z215" s="80">
        <f>+Z216</f>
        <v>-107000000</v>
      </c>
      <c r="AA215" s="26"/>
      <c r="AB215" s="27"/>
      <c r="AC215" s="27"/>
      <c r="AD215" s="27"/>
      <c r="AE215" s="27"/>
      <c r="AF215" s="26"/>
      <c r="AG215" s="26"/>
      <c r="AH215" s="26"/>
      <c r="AI215" s="26"/>
      <c r="AJ215" s="26"/>
      <c r="AK215" s="26"/>
      <c r="AL215" s="26"/>
      <c r="AM215" s="27"/>
    </row>
    <row r="216" spans="1:39" s="5" customFormat="1" ht="33.75" hidden="1" customHeight="1">
      <c r="J216" s="28"/>
      <c r="K216" s="116"/>
      <c r="L216" s="30" t="str">
        <f>DATA!I201</f>
        <v>A</v>
      </c>
      <c r="M216" s="31" t="str">
        <f>DATA!J201</f>
        <v>Program Peningkatan Fasilitas Perikanan</v>
      </c>
      <c r="N216" s="51"/>
      <c r="O216" s="31"/>
      <c r="P216" s="31"/>
      <c r="Q216" s="31"/>
      <c r="R216" s="81">
        <f>+R217</f>
        <v>107000000</v>
      </c>
      <c r="S216" s="81"/>
      <c r="T216" s="81">
        <f t="shared" si="31"/>
        <v>4261000</v>
      </c>
      <c r="U216" s="81">
        <f t="shared" si="31"/>
        <v>2160000</v>
      </c>
      <c r="V216" s="81">
        <f t="shared" si="31"/>
        <v>113421000</v>
      </c>
      <c r="W216" s="81"/>
      <c r="X216" s="81" t="str">
        <f t="shared" si="31"/>
        <v>-</v>
      </c>
      <c r="Y216" s="81">
        <f t="shared" si="31"/>
        <v>107000000</v>
      </c>
      <c r="Z216" s="81">
        <f t="shared" si="31"/>
        <v>-107000000</v>
      </c>
      <c r="AA216" s="31"/>
      <c r="AB216" s="32"/>
      <c r="AC216" s="32"/>
      <c r="AD216" s="32"/>
      <c r="AE216" s="32"/>
      <c r="AF216" s="31"/>
      <c r="AG216" s="31"/>
      <c r="AH216" s="31"/>
      <c r="AI216" s="31"/>
      <c r="AJ216" s="31"/>
      <c r="AK216" s="31"/>
      <c r="AL216" s="31"/>
      <c r="AM216" s="32"/>
    </row>
    <row r="217" spans="1:39" ht="58.5" hidden="1" customHeight="1">
      <c r="A217" s="10">
        <f>DATA!A201</f>
        <v>146</v>
      </c>
      <c r="B217" s="10">
        <f>DATA!B201</f>
        <v>0</v>
      </c>
      <c r="C217" s="10" t="str">
        <f>DATA!D201</f>
        <v>NON-INFRASTRUKTUR</v>
      </c>
      <c r="D217" s="10">
        <f>DATA!E201</f>
        <v>15</v>
      </c>
      <c r="E217" s="10" t="str">
        <f>DATA!F201</f>
        <v>Kementerian Kelautan dan Perikanan</v>
      </c>
      <c r="F217" s="10" t="str">
        <f>DATA!H201</f>
        <v>Improvement of Fisheries Facilities Program</v>
      </c>
      <c r="G217" s="10" t="str">
        <f>DATA!I201</f>
        <v>A</v>
      </c>
      <c r="H217" s="10" t="str">
        <f>DATA!J201</f>
        <v>Program Peningkatan Fasilitas Perikanan</v>
      </c>
      <c r="I217" s="10">
        <f>DATA!K201</f>
        <v>1</v>
      </c>
      <c r="J217" s="33"/>
      <c r="K217" s="20"/>
      <c r="L217" s="20"/>
      <c r="M217" s="36">
        <f>DATA!K201</f>
        <v>1</v>
      </c>
      <c r="N217" s="37" t="str">
        <f>DATA!L201</f>
        <v xml:space="preserve">Outer Ring Fishing Ports Development - Phase I </v>
      </c>
      <c r="O217" s="20">
        <f>DATA!Q201</f>
        <v>1</v>
      </c>
      <c r="P217" s="20">
        <f>DATA!R201</f>
        <v>1</v>
      </c>
      <c r="Q217" s="20">
        <f>DATA!S201</f>
        <v>114</v>
      </c>
      <c r="R217" s="77">
        <f>DATA!T201</f>
        <v>107000000</v>
      </c>
      <c r="S217" s="77"/>
      <c r="T217" s="77">
        <f>DATA!V201</f>
        <v>4261000</v>
      </c>
      <c r="U217" s="77">
        <f>DATA!W201</f>
        <v>2160000</v>
      </c>
      <c r="V217" s="77">
        <f>DATA!X201</f>
        <v>113421000</v>
      </c>
      <c r="W217" s="78" t="str">
        <f>DATA!Y201</f>
        <v>-</v>
      </c>
      <c r="X217" s="20" t="str">
        <f>DATA!Z201</f>
        <v>-</v>
      </c>
      <c r="Y217" s="77">
        <f>DATA!AA201</f>
        <v>107000000</v>
      </c>
      <c r="Z217" s="77">
        <f>DATA!AG201</f>
        <v>-107000000</v>
      </c>
      <c r="AA217" s="20" t="str">
        <f>DATA!AH201</f>
        <v>Tanpa keterangan</v>
      </c>
      <c r="AB217" s="37" t="str">
        <f>DATA!AI201</f>
        <v>-</v>
      </c>
      <c r="AC217" s="37" t="str">
        <f>DATA!AJ201</f>
        <v>sudah ada RC</v>
      </c>
      <c r="AD217" s="37" t="str">
        <f>DATA!AK201</f>
        <v>-</v>
      </c>
      <c r="AE217" s="37" t="str">
        <f>DATA!AL201</f>
        <v>-</v>
      </c>
      <c r="AF217" s="20">
        <f>DATA!AM201</f>
        <v>0</v>
      </c>
      <c r="AG217" s="20" t="str">
        <f>DATA!AN201</f>
        <v>dalam proses
(memiliki FS)</v>
      </c>
      <c r="AH217" s="20" t="str">
        <f>DATA!AO201</f>
        <v>belum ada keterangan</v>
      </c>
      <c r="AI217" s="20" t="str">
        <f>DATA!AP201</f>
        <v>belum ada proses tender/lelang</v>
      </c>
      <c r="AJ217" s="20" t="str">
        <f>DATA!AY201</f>
        <v>- berdasarkan data/dokumen pada Bluebook sebelumnya. Semula indikasi lender Prancis, kemudian Kem. KKP mengkonfirmasikan bahwa belum ada indikasi lender
- Belum ada konfirmasi</v>
      </c>
      <c r="AK217" s="20" t="e">
        <f>DATA!#REF!</f>
        <v>#REF!</v>
      </c>
      <c r="AL217" s="20">
        <f>DATA!AZ201</f>
        <v>0</v>
      </c>
      <c r="AM217" s="37" t="str">
        <f>DATA!BA201</f>
        <v>Pekerjaan pembangunan dan peningkatan fasilitas pelabuhan perikanan serta pelatihan dan pendidikan SDM di 8 lokasi prioritas yang memiliki standar pelayanan berskala internasional</v>
      </c>
    </row>
    <row r="218" spans="1:39" s="4" customFormat="1" ht="24.95" hidden="1" customHeight="1">
      <c r="J218" s="107"/>
      <c r="K218" s="25">
        <f>DATA!E206</f>
        <v>16</v>
      </c>
      <c r="L218" s="108" t="str">
        <f>DATA!F206</f>
        <v>Badan Meteorologi, Klimatologi dan Geofisika (BMKG)</v>
      </c>
      <c r="M218" s="25"/>
      <c r="N218" s="27"/>
      <c r="O218" s="26"/>
      <c r="P218" s="26"/>
      <c r="Q218" s="26"/>
      <c r="R218" s="80">
        <f>+R219</f>
        <v>150000000</v>
      </c>
      <c r="S218" s="80"/>
      <c r="T218" s="80">
        <f t="shared" ref="T218:Z219" si="32">+T219</f>
        <v>9000000</v>
      </c>
      <c r="U218" s="80">
        <f t="shared" si="32"/>
        <v>0</v>
      </c>
      <c r="V218" s="80">
        <f t="shared" si="32"/>
        <v>159000000</v>
      </c>
      <c r="W218" s="80">
        <f t="shared" si="32"/>
        <v>0</v>
      </c>
      <c r="X218" s="80">
        <f t="shared" si="32"/>
        <v>0</v>
      </c>
      <c r="Y218" s="80">
        <f t="shared" si="32"/>
        <v>150000000</v>
      </c>
      <c r="Z218" s="80">
        <f t="shared" si="32"/>
        <v>0</v>
      </c>
      <c r="AA218" s="26"/>
      <c r="AB218" s="27"/>
      <c r="AC218" s="27"/>
      <c r="AD218" s="27"/>
      <c r="AE218" s="27"/>
      <c r="AF218" s="26"/>
      <c r="AG218" s="26"/>
      <c r="AH218" s="26"/>
      <c r="AI218" s="26"/>
      <c r="AJ218" s="26"/>
      <c r="AK218" s="26"/>
      <c r="AL218" s="26"/>
      <c r="AM218" s="27"/>
    </row>
    <row r="219" spans="1:39" s="5" customFormat="1" ht="33.75" hidden="1" customHeight="1">
      <c r="J219" s="28"/>
      <c r="K219" s="29"/>
      <c r="L219" s="30" t="str">
        <f>DATA!I206</f>
        <v>A</v>
      </c>
      <c r="M219" s="31" t="str">
        <f>DATA!J206</f>
        <v>Program Pengembangan dan Pembinaan Meteorologi, Klimatologi, dan Geofisika</v>
      </c>
      <c r="N219" s="51"/>
      <c r="O219" s="31"/>
      <c r="P219" s="31"/>
      <c r="Q219" s="31"/>
      <c r="R219" s="81">
        <f>+R220</f>
        <v>150000000</v>
      </c>
      <c r="S219" s="81"/>
      <c r="T219" s="81">
        <f t="shared" si="32"/>
        <v>9000000</v>
      </c>
      <c r="U219" s="81">
        <f t="shared" si="32"/>
        <v>0</v>
      </c>
      <c r="V219" s="81">
        <f t="shared" si="32"/>
        <v>159000000</v>
      </c>
      <c r="W219" s="82"/>
      <c r="X219" s="31"/>
      <c r="Y219" s="81">
        <f t="shared" si="32"/>
        <v>150000000</v>
      </c>
      <c r="Z219" s="81">
        <f t="shared" si="32"/>
        <v>0</v>
      </c>
      <c r="AA219" s="31"/>
      <c r="AB219" s="32"/>
      <c r="AC219" s="32"/>
      <c r="AD219" s="32"/>
      <c r="AE219" s="32"/>
      <c r="AF219" s="31"/>
      <c r="AG219" s="31"/>
      <c r="AH219" s="31"/>
      <c r="AI219" s="31"/>
      <c r="AJ219" s="31"/>
      <c r="AK219" s="31"/>
      <c r="AL219" s="31"/>
      <c r="AM219" s="32"/>
    </row>
    <row r="220" spans="1:39" ht="102" hidden="1">
      <c r="A220" s="10">
        <f>DATA!A206</f>
        <v>147</v>
      </c>
      <c r="B220" s="10">
        <f>DATA!B206</f>
        <v>0</v>
      </c>
      <c r="C220" s="10" t="str">
        <f>DATA!D206</f>
        <v>NON-INFRASTRUKTUR</v>
      </c>
      <c r="D220" s="10">
        <f>DATA!E206</f>
        <v>16</v>
      </c>
      <c r="E220" s="10" t="str">
        <f>DATA!F206</f>
        <v>Badan Meteorologi, Klimatologi dan Geofisika (BMKG)</v>
      </c>
      <c r="F220" s="10" t="str">
        <f>DATA!H206</f>
        <v>Program for Capacity Development and Guidance of Meteorology, Climatology, and Geophysics</v>
      </c>
      <c r="G220" s="10" t="str">
        <f>DATA!I206</f>
        <v>A</v>
      </c>
      <c r="H220" s="10" t="str">
        <f>DATA!J206</f>
        <v>Program Pengembangan dan Pembinaan Meteorologi, Klimatologi, dan Geofisika</v>
      </c>
      <c r="I220" s="10">
        <f>DATA!K206</f>
        <v>1</v>
      </c>
      <c r="J220" s="33"/>
      <c r="K220" s="54"/>
      <c r="L220" s="36"/>
      <c r="M220" s="36">
        <f>DATA!K206</f>
        <v>1</v>
      </c>
      <c r="N220" s="37" t="str">
        <f>DATA!L206</f>
        <v xml:space="preserve">Strengthening Climate and Weather Service Capacity – Phase II:
a) Kegiatan lanjutan dari kegiatan Strengthening BMKG Climate and Weather Services Capacity Phase I
b) Kegiatan pengembangan sistem Layanan Informasi Meteorologi Maritim </v>
      </c>
      <c r="O220" s="20">
        <f>DATA!Q206</f>
        <v>1</v>
      </c>
      <c r="P220" s="20">
        <f>DATA!R206</f>
        <v>1</v>
      </c>
      <c r="Q220" s="20">
        <f>DATA!S206</f>
        <v>115</v>
      </c>
      <c r="R220" s="77">
        <f>DATA!T206</f>
        <v>150000000</v>
      </c>
      <c r="S220" s="77"/>
      <c r="T220" s="77">
        <f>DATA!V206</f>
        <v>9000000</v>
      </c>
      <c r="U220" s="77">
        <f>DATA!W206</f>
        <v>0</v>
      </c>
      <c r="V220" s="77">
        <f>DATA!X206</f>
        <v>159000000</v>
      </c>
      <c r="W220" s="78" t="str">
        <f>DATA!Y206</f>
        <v>US EXIM</v>
      </c>
      <c r="X220" s="20" t="str">
        <f>DATA!Z206</f>
        <v>Bilateral</v>
      </c>
      <c r="Y220" s="77">
        <f>DATA!AA206</f>
        <v>150000000</v>
      </c>
      <c r="Z220" s="77">
        <f>DATA!AG206</f>
        <v>0</v>
      </c>
      <c r="AA220" s="20" t="str">
        <f>DATA!AH206</f>
        <v>Tanpa keterangan</v>
      </c>
      <c r="AB220" s="37" t="str">
        <f>DATA!AI206</f>
        <v>a) Siap
b) -</v>
      </c>
      <c r="AC220" s="37" t="str">
        <f>DATA!AJ206</f>
        <v>a) Siap
b) -</v>
      </c>
      <c r="AD220" s="37" t="str">
        <f>DATA!AK206</f>
        <v>a) Siap
b) Siap</v>
      </c>
      <c r="AE220" s="37" t="str">
        <f>DATA!AL206</f>
        <v>a) -
b) -</v>
      </c>
      <c r="AF220" s="20">
        <f>DATA!AM206</f>
        <v>0</v>
      </c>
      <c r="AG220" s="20" t="str">
        <f>DATA!AN206</f>
        <v>dalam proses
(penyusunan FS)</v>
      </c>
      <c r="AH220" s="20" t="str">
        <f>DATA!AO206</f>
        <v>siap</v>
      </c>
      <c r="AI220" s="20" t="str">
        <f>DATA!AP206</f>
        <v>belum ada proses tender/lelang</v>
      </c>
      <c r="AJ220" s="20" t="str">
        <f>DATA!AY206</f>
        <v>- Terintegrasi dengan sarana dan sistem hasil kegiatan fase 1 yang sudah terbangun sebelumnya
- Surat Kepala BMKG nomor KU.205/003/KB/IX/2015 tanggal 8 September 2015</v>
      </c>
      <c r="AK220" s="20" t="e">
        <f>DATA!#REF!</f>
        <v>#REF!</v>
      </c>
      <c r="AL220" s="20">
        <f>DATA!AZ206</f>
        <v>0</v>
      </c>
      <c r="AM220" s="37"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row>
    <row r="221" spans="1:39" s="4" customFormat="1" ht="24.95" hidden="1" customHeight="1">
      <c r="J221" s="107"/>
      <c r="K221" s="25">
        <f>DATA!E207</f>
        <v>17</v>
      </c>
      <c r="L221" s="108" t="str">
        <f>DATA!F207</f>
        <v>Badan Pengkajian dan Penerapan Teknologi (BPPT)</v>
      </c>
      <c r="M221" s="25"/>
      <c r="N221" s="27"/>
      <c r="O221" s="26"/>
      <c r="P221" s="26"/>
      <c r="Q221" s="26"/>
      <c r="R221" s="80">
        <f>+R222</f>
        <v>114400000</v>
      </c>
      <c r="S221" s="80"/>
      <c r="T221" s="80">
        <f t="shared" ref="T221:Z222" si="33">+T222</f>
        <v>17200000</v>
      </c>
      <c r="U221" s="80">
        <f t="shared" si="33"/>
        <v>0</v>
      </c>
      <c r="V221" s="80">
        <f t="shared" si="33"/>
        <v>131600000</v>
      </c>
      <c r="W221" s="122"/>
      <c r="X221" s="26"/>
      <c r="Y221" s="80">
        <f>+Y222</f>
        <v>114400000</v>
      </c>
      <c r="Z221" s="80">
        <f>+Z222</f>
        <v>0</v>
      </c>
      <c r="AA221" s="26"/>
      <c r="AB221" s="27"/>
      <c r="AC221" s="27"/>
      <c r="AD221" s="27"/>
      <c r="AE221" s="27"/>
      <c r="AF221" s="26"/>
      <c r="AG221" s="26"/>
      <c r="AH221" s="26"/>
      <c r="AI221" s="26"/>
      <c r="AJ221" s="26"/>
      <c r="AK221" s="26"/>
      <c r="AL221" s="26"/>
      <c r="AM221" s="27"/>
    </row>
    <row r="222" spans="1:39" s="5" customFormat="1" ht="33.75" hidden="1" customHeight="1">
      <c r="J222" s="28"/>
      <c r="K222" s="29"/>
      <c r="L222" s="30" t="str">
        <f>DATA!I207</f>
        <v>A</v>
      </c>
      <c r="M222" s="31" t="str">
        <f>DATA!J207</f>
        <v>Program Pembangunan Science Park dan Technopark</v>
      </c>
      <c r="N222" s="51"/>
      <c r="O222" s="31"/>
      <c r="P222" s="31"/>
      <c r="Q222" s="31"/>
      <c r="R222" s="81">
        <f>+R223</f>
        <v>114400000</v>
      </c>
      <c r="S222" s="81"/>
      <c r="T222" s="81">
        <f t="shared" si="33"/>
        <v>17200000</v>
      </c>
      <c r="U222" s="81">
        <f t="shared" si="33"/>
        <v>0</v>
      </c>
      <c r="V222" s="81">
        <f t="shared" si="33"/>
        <v>131600000</v>
      </c>
      <c r="W222" s="81"/>
      <c r="X222" s="81" t="str">
        <f t="shared" si="33"/>
        <v>Bilateral</v>
      </c>
      <c r="Y222" s="81">
        <f t="shared" si="33"/>
        <v>114400000</v>
      </c>
      <c r="Z222" s="81">
        <f t="shared" si="33"/>
        <v>0</v>
      </c>
      <c r="AA222" s="31"/>
      <c r="AB222" s="32"/>
      <c r="AC222" s="32"/>
      <c r="AD222" s="32"/>
      <c r="AE222" s="32"/>
      <c r="AF222" s="31"/>
      <c r="AG222" s="31"/>
      <c r="AH222" s="31"/>
      <c r="AI222" s="31"/>
      <c r="AJ222" s="31"/>
      <c r="AK222" s="31"/>
      <c r="AL222" s="31"/>
      <c r="AM222" s="32"/>
    </row>
    <row r="223" spans="1:39" ht="91.5" hidden="1" customHeight="1">
      <c r="A223" s="10">
        <f>DATA!A207</f>
        <v>148</v>
      </c>
      <c r="B223" s="10">
        <f>DATA!B207</f>
        <v>0</v>
      </c>
      <c r="C223" s="10" t="str">
        <f>DATA!D207</f>
        <v>NON-INFRASTRUKTUR</v>
      </c>
      <c r="D223" s="10">
        <f>DATA!E207</f>
        <v>17</v>
      </c>
      <c r="E223" s="10" t="str">
        <f>DATA!F207</f>
        <v>Badan Pengkajian dan Penerapan Teknologi (BPPT)</v>
      </c>
      <c r="F223" s="10" t="str">
        <f>DATA!H207</f>
        <v>Science Park and Technopark Development Program</v>
      </c>
      <c r="G223" s="10" t="str">
        <f>DATA!I207</f>
        <v>A</v>
      </c>
      <c r="H223" s="10" t="str">
        <f>DATA!J207</f>
        <v>Program Pembangunan Science Park dan Technopark</v>
      </c>
      <c r="I223" s="10">
        <f>DATA!K207</f>
        <v>1</v>
      </c>
      <c r="J223" s="52"/>
      <c r="K223" s="54"/>
      <c r="L223" s="36"/>
      <c r="M223" s="36">
        <f>DATA!K207</f>
        <v>1</v>
      </c>
      <c r="N223" s="37" t="str">
        <f>DATA!L207</f>
        <v>Development of Maritime National Science and Technology Park (NTSP) in the Northern Penajam Paser and Revitalization Infrastructure Marine Survey</v>
      </c>
      <c r="O223" s="20">
        <f>DATA!Q207</f>
        <v>1</v>
      </c>
      <c r="P223" s="20">
        <f>DATA!R207</f>
        <v>1</v>
      </c>
      <c r="Q223" s="20">
        <f>DATA!S207</f>
        <v>116</v>
      </c>
      <c r="R223" s="77">
        <f>DATA!T207</f>
        <v>114400000</v>
      </c>
      <c r="S223" s="77"/>
      <c r="T223" s="77">
        <f>DATA!V207</f>
        <v>17200000</v>
      </c>
      <c r="U223" s="77">
        <f>DATA!W207</f>
        <v>0</v>
      </c>
      <c r="V223" s="77">
        <f>DATA!X207</f>
        <v>131600000</v>
      </c>
      <c r="W223" s="78" t="str">
        <f>DATA!Y207</f>
        <v xml:space="preserve">Perancis (AFD)  </v>
      </c>
      <c r="X223" s="20" t="str">
        <f>DATA!Z207</f>
        <v>Bilateral</v>
      </c>
      <c r="Y223" s="77">
        <f>DATA!AA207</f>
        <v>114400000</v>
      </c>
      <c r="Z223" s="77">
        <f>DATA!AG207</f>
        <v>0</v>
      </c>
      <c r="AA223" s="20" t="str">
        <f>DATA!AH207</f>
        <v>Tanpa keterangan</v>
      </c>
      <c r="AB223" s="37" t="str">
        <f>DATA!AI207</f>
        <v xml:space="preserve">  (1) Development of Maritime NTSP: (tidak ada data)
(2) Revitalization Infrastructure Marine Survey: (tidak ada data)  </v>
      </c>
      <c r="AC223" s="37" t="str">
        <f>DATA!AJ207</f>
        <v xml:space="preserve">  (1) Development of Maritime NTSP: Pra-FS
(2) Revitalization Infrastructure Marine Survey: (tidak ada data)  </v>
      </c>
      <c r="AD223" s="37" t="str">
        <f>DATA!AK207</f>
        <v xml:space="preserve">  (1) Development of Maritime NTSP: 20%
(2) Revitalization Infrastructure Marine Survey: tidak memerlukan lahan  </v>
      </c>
      <c r="AE223" s="37" t="str">
        <f>DATA!AL207</f>
        <v xml:space="preserve">  (1) Development of Maritime NTSP: belum ada tender
(2) Revitalization Infrastructure Marine Survey:belum ada tender  </v>
      </c>
      <c r="AF223" s="20">
        <f>DATA!AM207</f>
        <v>0</v>
      </c>
      <c r="AG223" s="20" t="str">
        <f>DATA!AN207</f>
        <v>dalam proses
(penyusunan FS)</v>
      </c>
      <c r="AH223" s="20" t="str">
        <f>DATA!AO207</f>
        <v>dalam proses
(pelaksanaan)</v>
      </c>
      <c r="AI223" s="20" t="str">
        <f>DATA!AP207</f>
        <v>belum ada proses tender/lelang</v>
      </c>
      <c r="AJ223" s="20" t="str">
        <f>DATA!AY207</f>
        <v>- Selain Perancis , pihak BPPT mengkonfirmasikan bahwa Korea berminat untuk menjadi lender pada proyek NSTP Maritim Kab. PPU
- Pelaksanaannya direncanakan tahun 2016 dan tahun 2017
-  Konfirmasi melalui e-mail tanggal 10 Sept 2015</v>
      </c>
      <c r="AK223" s="20" t="e">
        <f>DATA!#REF!</f>
        <v>#REF!</v>
      </c>
      <c r="AL223" s="20">
        <f>DATA!AZ207</f>
        <v>0</v>
      </c>
      <c r="AM223" s="37" t="str">
        <f>DATA!BA207</f>
        <v>Pembangunan dermaga kapal riset, laboratorium kemaritiman, workshop, dan sarana prasarana penunjang darat lainnya serta Revitalisasi 4 buah kapal riset Baruna Jaya I, II, III, dan IV dan peralatan survei kelautan lainnya</v>
      </c>
    </row>
    <row r="224" spans="1:39" s="3" customFormat="1" ht="30" hidden="1" customHeight="1">
      <c r="J224" s="3363" t="s">
        <v>477</v>
      </c>
      <c r="K224" s="3364"/>
      <c r="L224" s="3364"/>
      <c r="M224" s="3364"/>
      <c r="N224" s="3365"/>
      <c r="O224" s="119"/>
      <c r="P224" s="119"/>
      <c r="Q224" s="119"/>
      <c r="R224" s="123">
        <f>+R8+R161</f>
        <v>39876907800</v>
      </c>
      <c r="S224" s="123"/>
      <c r="T224" s="123">
        <f>+T8+T161</f>
        <v>5212917900</v>
      </c>
      <c r="U224" s="123">
        <f>+U8+U161</f>
        <v>19660000</v>
      </c>
      <c r="V224" s="123">
        <f>+V8+V161</f>
        <v>45085941000</v>
      </c>
      <c r="W224" s="123"/>
      <c r="X224" s="123" t="e">
        <f>+X8+X161</f>
        <v>#VALUE!</v>
      </c>
      <c r="Y224" s="123">
        <f>+Y8+Y161</f>
        <v>39686527800</v>
      </c>
      <c r="Z224" s="123">
        <f>+Z8+Z161</f>
        <v>-2146834004</v>
      </c>
      <c r="AA224" s="119"/>
      <c r="AB224" s="125"/>
      <c r="AC224" s="125"/>
      <c r="AD224" s="125"/>
      <c r="AE224" s="125"/>
      <c r="AF224" s="119"/>
      <c r="AG224" s="119"/>
      <c r="AH224" s="119"/>
      <c r="AI224" s="119"/>
      <c r="AJ224" s="119"/>
      <c r="AK224" s="119"/>
      <c r="AL224" s="119"/>
      <c r="AM224" s="125"/>
    </row>
    <row r="226" spans="14:14">
      <c r="N226" s="12">
        <v>11</v>
      </c>
    </row>
    <row r="227" spans="14:14">
      <c r="N227" s="12">
        <v>12</v>
      </c>
    </row>
    <row r="228" spans="14:14">
      <c r="N228" s="12">
        <f>N227+N226</f>
        <v>23</v>
      </c>
    </row>
  </sheetData>
  <autoFilter ref="A7:AM224">
    <filterColumn colId="26">
      <filters>
        <filter val="2016"/>
      </filters>
    </filterColumn>
    <filterColumn colId="27">
      <filters>
        <filter val="- Green Book 2015"/>
        <filter val="- Sudah ada R/C_x000a_- Green Book 2015"/>
        <filter val="- Sudah ada R/C_x000a_- Green Book 2015_x000a_"/>
        <filter val="- Sudah ada RC- Green Book 2015"/>
        <filter val="- Sudah ada RC_x000a_- Green Book 2015"/>
        <filter val="- Sudah ada RC_x000a_- Green Book 2015_x000a_- Dalam proses pembahasan skema pinjaman"/>
        <filter val="- Sudah ada RC_x000a_- Green Book 2015_x000a_- Dalam proses persiapan penandatanganan Loan Agreement"/>
      </filters>
    </filterColumn>
  </autoFilter>
  <mergeCells count="14">
    <mergeCell ref="J1:AM1"/>
    <mergeCell ref="J2:AE2"/>
    <mergeCell ref="W5:Y5"/>
    <mergeCell ref="AB5:AE5"/>
    <mergeCell ref="J224:N224"/>
    <mergeCell ref="R5:R6"/>
    <mergeCell ref="S5:S6"/>
    <mergeCell ref="T5:T6"/>
    <mergeCell ref="U5:U6"/>
    <mergeCell ref="V5:V6"/>
    <mergeCell ref="Z5:Z6"/>
    <mergeCell ref="AA5:AA6"/>
    <mergeCell ref="AM5:AM6"/>
    <mergeCell ref="J5:N6"/>
  </mergeCells>
  <printOptions horizontalCentered="1"/>
  <pageMargins left="0.39305555555555599" right="0.39305555555555599" top="0.39305555555555599" bottom="0.39305555555555599" header="0.31458333333333299" footer="0.196527777777778"/>
  <pageSetup paperSize="9" scale="45" fitToHeight="0" orientation="landscape"/>
  <headerFooter>
    <oddFooter>&amp;R&amp;"Cambria,Italic"&amp;9&amp;P/&amp;N</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pageSetUpPr fitToPage="1"/>
  </sheetPr>
  <dimension ref="A1:AM226"/>
  <sheetViews>
    <sheetView topLeftCell="J1" zoomScale="70" zoomScaleNormal="70" workbookViewId="0">
      <pane ySplit="7" topLeftCell="A8" activePane="bottomLeft" state="frozen"/>
      <selection pane="bottomLeft" activeCell="N153" sqref="N153"/>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3.42578125" style="10" customWidth="1"/>
    <col min="14" max="14" width="43.7109375" style="12" customWidth="1"/>
    <col min="15" max="17" width="9.140625" style="10" hidden="1" customWidth="1"/>
    <col min="18" max="19" width="21" style="13" customWidth="1"/>
    <col min="20" max="20" width="20.140625" style="13" customWidth="1"/>
    <col min="21" max="21" width="15.85546875" style="13" hidden="1" customWidth="1"/>
    <col min="22" max="22" width="21" style="13" customWidth="1"/>
    <col min="23" max="23" width="20.85546875" style="14" customWidth="1"/>
    <col min="24" max="24" width="1.28515625" style="10" hidden="1" customWidth="1"/>
    <col min="25" max="25" width="21" style="13" customWidth="1"/>
    <col min="26" max="26" width="20.28515625" style="13" customWidth="1"/>
    <col min="27" max="27" width="16.42578125" style="10" customWidth="1"/>
    <col min="28" max="31" width="20.7109375" style="12" customWidth="1"/>
    <col min="32" max="32" width="31.28515625" style="10" hidden="1" customWidth="1"/>
    <col min="33" max="33" width="33.5703125" style="10" hidden="1" customWidth="1"/>
    <col min="34" max="34" width="26.7109375" style="10" hidden="1" customWidth="1"/>
    <col min="35" max="35" width="24" style="10" hidden="1" customWidth="1"/>
    <col min="36" max="36" width="29.28515625" style="10" hidden="1" customWidth="1"/>
    <col min="37" max="37" width="20.140625" style="10" hidden="1" customWidth="1"/>
    <col min="38" max="38" width="22.5703125" style="10" hidden="1" customWidth="1"/>
    <col min="39" max="39" width="45.7109375" style="12" hidden="1" customWidth="1"/>
    <col min="40" max="16384" width="9.140625" style="10"/>
  </cols>
  <sheetData>
    <row r="1" spans="1:39" s="1" customFormat="1" ht="18">
      <c r="J1" s="3356" t="s">
        <v>481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row>
    <row r="2" spans="1:39" s="1" customFormat="1" ht="18">
      <c r="J2" s="3357" t="s">
        <v>482</v>
      </c>
      <c r="K2" s="3358"/>
      <c r="L2" s="3358"/>
      <c r="M2" s="3358"/>
      <c r="N2" s="3358"/>
      <c r="O2" s="3358"/>
      <c r="P2" s="3358"/>
      <c r="Q2" s="3358"/>
      <c r="R2" s="3358"/>
      <c r="S2" s="3358"/>
      <c r="T2" s="3358"/>
      <c r="U2" s="3358"/>
      <c r="V2" s="3358"/>
      <c r="W2" s="3358"/>
      <c r="X2" s="3358"/>
      <c r="Y2" s="3358"/>
      <c r="Z2" s="3358"/>
      <c r="AA2" s="3358"/>
      <c r="AB2" s="3358"/>
      <c r="AC2" s="3358"/>
      <c r="AD2" s="3358"/>
      <c r="AE2" s="3358"/>
      <c r="AF2" s="15"/>
      <c r="AG2" s="15"/>
      <c r="AH2" s="15"/>
      <c r="AI2" s="15"/>
      <c r="AJ2" s="15"/>
      <c r="AK2" s="15"/>
      <c r="AL2" s="15"/>
      <c r="AM2" s="15"/>
    </row>
    <row r="3" spans="1:39" s="1" customFormat="1" ht="15.75" customHeight="1">
      <c r="J3" s="15"/>
      <c r="K3" s="15"/>
      <c r="L3" s="15"/>
      <c r="M3" s="15"/>
      <c r="N3" s="15"/>
      <c r="O3" s="15"/>
      <c r="P3" s="15"/>
      <c r="Q3" s="15"/>
      <c r="R3" s="73"/>
      <c r="S3" s="73"/>
      <c r="T3" s="73"/>
      <c r="U3" s="73"/>
      <c r="V3" s="73"/>
      <c r="W3" s="15"/>
      <c r="X3" s="15"/>
      <c r="Y3" s="15"/>
      <c r="Z3" s="73"/>
      <c r="AA3" s="15"/>
      <c r="AB3" s="15"/>
      <c r="AC3" s="15"/>
      <c r="AD3" s="15"/>
      <c r="AE3" s="94" t="s">
        <v>483</v>
      </c>
      <c r="AF3" s="15"/>
      <c r="AG3" s="15"/>
      <c r="AH3" s="15"/>
      <c r="AI3" s="15"/>
      <c r="AJ3" s="15"/>
      <c r="AK3" s="15"/>
      <c r="AL3" s="15"/>
      <c r="AM3" s="15"/>
    </row>
    <row r="4" spans="1:39">
      <c r="AM4" s="106" t="s">
        <v>483</v>
      </c>
    </row>
    <row r="5" spans="1:39" s="2" customFormat="1" ht="24.95" customHeight="1">
      <c r="J5" s="3359" t="s">
        <v>484</v>
      </c>
      <c r="K5" s="3359"/>
      <c r="L5" s="3359"/>
      <c r="M5" s="3359"/>
      <c r="N5" s="3359"/>
      <c r="O5" s="16"/>
      <c r="P5" s="16"/>
      <c r="Q5" s="16"/>
      <c r="R5" s="3366" t="s">
        <v>493</v>
      </c>
      <c r="S5" s="3368" t="s">
        <v>1455</v>
      </c>
      <c r="T5" s="3366" t="s">
        <v>487</v>
      </c>
      <c r="U5" s="3366" t="s">
        <v>488</v>
      </c>
      <c r="V5" s="3366" t="s">
        <v>477</v>
      </c>
      <c r="W5" s="3359" t="s">
        <v>7</v>
      </c>
      <c r="X5" s="3359"/>
      <c r="Y5" s="3359"/>
      <c r="Z5" s="3368" t="s">
        <v>489</v>
      </c>
      <c r="AA5" s="3370" t="s">
        <v>490</v>
      </c>
      <c r="AB5" s="3360" t="s">
        <v>9</v>
      </c>
      <c r="AC5" s="3361"/>
      <c r="AD5" s="3361"/>
      <c r="AE5" s="3362"/>
      <c r="AF5" s="16"/>
      <c r="AG5" s="16"/>
      <c r="AH5" s="16"/>
      <c r="AI5" s="16"/>
      <c r="AJ5" s="16"/>
      <c r="AK5" s="16"/>
      <c r="AL5" s="16"/>
      <c r="AM5" s="3370" t="s">
        <v>492</v>
      </c>
    </row>
    <row r="6" spans="1:39" s="2" customFormat="1" ht="24.95" customHeight="1">
      <c r="J6" s="3359"/>
      <c r="K6" s="3359"/>
      <c r="L6" s="3359"/>
      <c r="M6" s="3359"/>
      <c r="N6" s="3359"/>
      <c r="O6" s="16"/>
      <c r="P6" s="16"/>
      <c r="Q6" s="16"/>
      <c r="R6" s="3367"/>
      <c r="S6" s="3369"/>
      <c r="T6" s="3367"/>
      <c r="U6" s="3367"/>
      <c r="V6" s="3367"/>
      <c r="W6" s="76" t="s">
        <v>11</v>
      </c>
      <c r="X6" s="16"/>
      <c r="Y6" s="75" t="s">
        <v>493</v>
      </c>
      <c r="Z6" s="3369"/>
      <c r="AA6" s="3371"/>
      <c r="AB6" s="95" t="s">
        <v>13</v>
      </c>
      <c r="AC6" s="95" t="s">
        <v>14</v>
      </c>
      <c r="AD6" s="95" t="s">
        <v>15</v>
      </c>
      <c r="AE6" s="95" t="s">
        <v>16</v>
      </c>
      <c r="AF6" s="16"/>
      <c r="AG6" s="16"/>
      <c r="AH6" s="16"/>
      <c r="AI6" s="16"/>
      <c r="AJ6" s="16"/>
      <c r="AK6" s="16"/>
      <c r="AL6" s="16"/>
      <c r="AM6" s="3371"/>
    </row>
    <row r="7" spans="1:39">
      <c r="J7" s="17"/>
      <c r="K7" s="18"/>
      <c r="L7" s="18"/>
      <c r="M7" s="18"/>
      <c r="N7" s="19"/>
      <c r="O7" s="20"/>
      <c r="P7" s="20"/>
      <c r="Q7" s="20"/>
      <c r="R7" s="77"/>
      <c r="S7" s="77"/>
      <c r="T7" s="77"/>
      <c r="U7" s="77"/>
      <c r="V7" s="77"/>
      <c r="W7" s="78"/>
      <c r="X7" s="20" t="str">
        <f>BB[[#Headers],[BILA-MULTI]]</f>
        <v>BILA-MULTI</v>
      </c>
      <c r="Y7" s="77"/>
      <c r="Z7" s="77"/>
      <c r="AA7" s="20"/>
      <c r="AB7" s="37"/>
      <c r="AC7" s="37"/>
      <c r="AD7" s="37"/>
      <c r="AE7" s="37"/>
      <c r="AF7" s="20" t="s">
        <v>497</v>
      </c>
      <c r="AG7" s="20" t="s">
        <v>498</v>
      </c>
      <c r="AH7" s="20" t="s">
        <v>499</v>
      </c>
      <c r="AI7" s="20" t="s">
        <v>500</v>
      </c>
      <c r="AJ7" s="20" t="s">
        <v>10</v>
      </c>
      <c r="AK7" s="20" t="s">
        <v>501</v>
      </c>
      <c r="AL7" s="20" t="s">
        <v>502</v>
      </c>
      <c r="AM7" s="37"/>
    </row>
    <row r="8" spans="1:39" s="3" customFormat="1" ht="30" hidden="1" customHeight="1">
      <c r="A8" s="3" t="s">
        <v>21</v>
      </c>
      <c r="B8" s="3" t="s">
        <v>21</v>
      </c>
      <c r="C8" s="3" t="s">
        <v>21</v>
      </c>
      <c r="D8" s="3" t="s">
        <v>21</v>
      </c>
      <c r="E8" s="3" t="s">
        <v>21</v>
      </c>
      <c r="F8" s="3" t="s">
        <v>21</v>
      </c>
      <c r="G8" s="3" t="s">
        <v>21</v>
      </c>
      <c r="H8" s="3" t="s">
        <v>21</v>
      </c>
      <c r="I8" s="3" t="s">
        <v>21</v>
      </c>
      <c r="J8" s="21" t="str">
        <f>DATA!B2</f>
        <v>I</v>
      </c>
      <c r="K8" s="22" t="str">
        <f>DATA!D2</f>
        <v>INFRASTRUKTUR</v>
      </c>
      <c r="L8" s="22"/>
      <c r="M8" s="22"/>
      <c r="N8" s="23"/>
      <c r="O8" s="22"/>
      <c r="P8" s="22"/>
      <c r="Q8" s="22"/>
      <c r="R8" s="79">
        <f>+R9+R125+R128+R136+R139+R144+R147</f>
        <v>35286135700</v>
      </c>
      <c r="S8" s="79"/>
      <c r="T8" s="79">
        <f>+T9+T125+T128+T136+T139+T144+T147</f>
        <v>4724797700</v>
      </c>
      <c r="U8" s="79">
        <f>+U9+U125+U128+U136+U139+U144+U147</f>
        <v>17000000</v>
      </c>
      <c r="V8" s="79">
        <f>+V9+V125+V128+V136+V139+V144+V147</f>
        <v>39777933400</v>
      </c>
      <c r="W8" s="79"/>
      <c r="X8" s="79" t="e">
        <f>+X9+X125+X128+X136+X139+X144+X147</f>
        <v>#VALUE!</v>
      </c>
      <c r="Y8" s="79">
        <f>+Y9+Y125+Y128+Y136+Y139+Y144+Y147</f>
        <v>35095755700</v>
      </c>
      <c r="Z8" s="79">
        <f>+Z9+Z125+Z128+Z136+Z139+Z144+Z147</f>
        <v>-537391404</v>
      </c>
      <c r="AA8" s="22"/>
      <c r="AB8" s="23"/>
      <c r="AC8" s="23"/>
      <c r="AD8" s="23"/>
      <c r="AE8" s="23"/>
      <c r="AF8" s="22"/>
      <c r="AG8" s="22"/>
      <c r="AH8" s="22"/>
      <c r="AI8" s="22"/>
      <c r="AJ8" s="22"/>
      <c r="AK8" s="22"/>
      <c r="AL8" s="22"/>
      <c r="AM8" s="23"/>
    </row>
    <row r="9" spans="1:39" s="4" customFormat="1" ht="24.95" hidden="1" customHeight="1">
      <c r="J9" s="24"/>
      <c r="K9" s="25">
        <f>DATA!E2</f>
        <v>1</v>
      </c>
      <c r="L9" s="26" t="str">
        <f>DATA!F2</f>
        <v>Kementerian Pekerjaan Umum dan Perumahan Rakyat</v>
      </c>
      <c r="M9" s="26"/>
      <c r="N9" s="27"/>
      <c r="O9" s="26"/>
      <c r="P9" s="26"/>
      <c r="Q9" s="26"/>
      <c r="R9" s="80">
        <f>+R10+R19+R25+R35+R53+R66+R69+R76+R90+R94+R109+R119+R123</f>
        <v>22288199000</v>
      </c>
      <c r="S9" s="80"/>
      <c r="T9" s="80">
        <f>+T10+T19+T25+T35+T53+T66+T69+T76+T90+T94+T109+T119+T123</f>
        <v>2886244500</v>
      </c>
      <c r="U9" s="80">
        <f>+U10+U19+U25+U35+U53+U66+U69+U76+U90+U94+U109+U119+U123</f>
        <v>7000000</v>
      </c>
      <c r="V9" s="80">
        <f>+V10+V19+V25+V35+V53+V66+V69+V76+V90+V94+V109+V119+V123</f>
        <v>24931443500</v>
      </c>
      <c r="W9" s="80"/>
      <c r="X9" s="80" t="e">
        <f>+X10+X19+X25+X35+X53+X66+X69+X76+X90+X94+X109+X119+X123</f>
        <v>#VALUE!</v>
      </c>
      <c r="Y9" s="80">
        <f>+Y10+Y19+Y25+Y35+Y53+Y66+Y69+Y76+Y90+Y94+Y109+Y119+Y123</f>
        <v>22097819000</v>
      </c>
      <c r="Z9" s="80">
        <f>+Z10+Z19+Z25+Z35+Z53+Z66+Z69+Z76+Z90+Z94+Z109+Z119+Z123</f>
        <v>-126391404</v>
      </c>
      <c r="AA9" s="26"/>
      <c r="AB9" s="27"/>
      <c r="AC9" s="27"/>
      <c r="AD9" s="27"/>
      <c r="AE9" s="27"/>
      <c r="AF9" s="26"/>
      <c r="AG9" s="26"/>
      <c r="AH9" s="26"/>
      <c r="AI9" s="26"/>
      <c r="AJ9" s="26"/>
      <c r="AK9" s="26"/>
      <c r="AL9" s="26"/>
      <c r="AM9" s="27"/>
    </row>
    <row r="10" spans="1:39" s="5" customFormat="1" ht="24.95" hidden="1" customHeight="1">
      <c r="J10" s="28"/>
      <c r="K10" s="29"/>
      <c r="L10" s="30" t="str">
        <f>DATA!I2</f>
        <v>A</v>
      </c>
      <c r="M10" s="31" t="str">
        <f>DATA!J2</f>
        <v xml:space="preserve">Program Pembangunan Jalan Tol </v>
      </c>
      <c r="N10" s="32"/>
      <c r="O10" s="31"/>
      <c r="P10" s="31"/>
      <c r="Q10" s="31"/>
      <c r="R10" s="81">
        <f>+R11+R14</f>
        <v>2025000000</v>
      </c>
      <c r="S10" s="81"/>
      <c r="T10" s="81">
        <f>+T11+T14</f>
        <v>173650000</v>
      </c>
      <c r="U10" s="81">
        <f>+U11+U14</f>
        <v>0</v>
      </c>
      <c r="V10" s="81">
        <f>+V11+V14</f>
        <v>2198650000</v>
      </c>
      <c r="W10" s="82"/>
      <c r="X10" s="31"/>
      <c r="Y10" s="81">
        <f>+Y11+Y14</f>
        <v>2025000000</v>
      </c>
      <c r="Z10" s="81">
        <f>+Z11+Z14</f>
        <v>0</v>
      </c>
      <c r="AA10" s="31"/>
      <c r="AB10" s="32"/>
      <c r="AC10" s="32"/>
      <c r="AD10" s="32"/>
      <c r="AE10" s="32"/>
      <c r="AF10" s="31"/>
      <c r="AG10" s="31"/>
      <c r="AH10" s="31"/>
      <c r="AI10" s="31"/>
      <c r="AJ10" s="31"/>
      <c r="AK10" s="31"/>
      <c r="AL10" s="31"/>
      <c r="AM10" s="32"/>
    </row>
    <row r="11" spans="1:39" ht="30" hidden="1" customHeight="1">
      <c r="A11" s="10">
        <f>DATA!A2</f>
        <v>1</v>
      </c>
      <c r="B11" s="10" t="str">
        <f>DATA!B2</f>
        <v>I</v>
      </c>
      <c r="C11" s="10" t="str">
        <f>DATA!D2</f>
        <v>INFRASTRUKTUR</v>
      </c>
      <c r="D11" s="10">
        <f>DATA!E2</f>
        <v>1</v>
      </c>
      <c r="E11" s="10" t="str">
        <f>DATA!F2</f>
        <v>Kementerian Pekerjaan Umum dan Perumahan Rakyat</v>
      </c>
      <c r="F11" s="10" t="str">
        <f>DATA!H2</f>
        <v>Toll Road Development Program</v>
      </c>
      <c r="G11" s="10" t="str">
        <f>DATA!I2</f>
        <v>A</v>
      </c>
      <c r="H11" s="10" t="str">
        <f>DATA!J2</f>
        <v xml:space="preserve">Program Pembangunan Jalan Tol </v>
      </c>
      <c r="I11" s="10">
        <f>DATA!K2</f>
        <v>1</v>
      </c>
      <c r="J11" s="33"/>
      <c r="K11" s="34"/>
      <c r="L11" s="35"/>
      <c r="M11" s="36">
        <f>DATA!K2</f>
        <v>1</v>
      </c>
      <c r="N11" s="37" t="str">
        <f>DATA!L2</f>
        <v>Toll Road Development in Kalimantan, Sumatera, and Java Islands</v>
      </c>
      <c r="O11" s="20">
        <f>DATA!Q2</f>
        <v>0</v>
      </c>
      <c r="P11" s="20">
        <f>DATA!R2</f>
        <v>1</v>
      </c>
      <c r="Q11" s="20">
        <f>DATA!S2</f>
        <v>1</v>
      </c>
      <c r="R11" s="77">
        <f>DATA!T2</f>
        <v>1250000000</v>
      </c>
      <c r="S11" s="77"/>
      <c r="T11" s="77">
        <f>DATA!V2</f>
        <v>101250000</v>
      </c>
      <c r="U11" s="77">
        <f>DATA!W2</f>
        <v>0</v>
      </c>
      <c r="V11" s="77">
        <f>DATA!X2</f>
        <v>1351250000</v>
      </c>
      <c r="W11" s="78" t="str">
        <f>DATA!Y2</f>
        <v>-</v>
      </c>
      <c r="X11" s="20">
        <f>DATA!Z2</f>
        <v>0</v>
      </c>
      <c r="Y11" s="77">
        <f>DATA!AA2</f>
        <v>1250000000</v>
      </c>
      <c r="Z11" s="77">
        <f>DATA!AG2</f>
        <v>0</v>
      </c>
      <c r="AA11" s="20" t="str">
        <f>DATA!AH2</f>
        <v>-</v>
      </c>
      <c r="AB11" s="37" t="str">
        <f>DATA!AI2</f>
        <v>-</v>
      </c>
      <c r="AC11" s="37" t="str">
        <f>DATA!AJ2</f>
        <v>-</v>
      </c>
      <c r="AD11" s="37" t="str">
        <f>DATA!AK2</f>
        <v>-</v>
      </c>
      <c r="AE11" s="37" t="str">
        <f>DATA!AL2</f>
        <v>-</v>
      </c>
      <c r="AF11" s="20" t="str">
        <f>DATA!AM2</f>
        <v>-</v>
      </c>
      <c r="AG11" s="20" t="str">
        <f>DATA!AN2</f>
        <v>-</v>
      </c>
      <c r="AH11" s="20" t="str">
        <f>DATA!AO2</f>
        <v>-</v>
      </c>
      <c r="AI11" s="20" t="str">
        <f>DATA!AP2</f>
        <v>-</v>
      </c>
      <c r="AJ11" s="20" t="str">
        <f>DATA!AY2</f>
        <v>-</v>
      </c>
      <c r="AK11" s="20" t="e">
        <f>DATA!#REF!</f>
        <v>#REF!</v>
      </c>
      <c r="AL11" s="20" t="str">
        <f>DATA!AZ2</f>
        <v>-</v>
      </c>
      <c r="AM11" s="37" t="str">
        <f>DATA!BA2</f>
        <v>-</v>
      </c>
    </row>
    <row r="12" spans="1:39" s="6" customFormat="1" ht="43.5" hidden="1" customHeight="1">
      <c r="A12" s="6">
        <f>DATA!A3</f>
        <v>1</v>
      </c>
      <c r="B12" s="6">
        <f>DATA!B3</f>
        <v>0</v>
      </c>
      <c r="C12" s="6" t="str">
        <f>DATA!D3</f>
        <v>INFRASTRUKTUR</v>
      </c>
      <c r="D12" s="6">
        <f>DATA!E3</f>
        <v>1</v>
      </c>
      <c r="E12" s="6" t="str">
        <f>DATA!F3</f>
        <v>Kementerian Pekerjaan Umum dan Perumahan Rakyat</v>
      </c>
      <c r="F12" s="6" t="str">
        <f>DATA!H3</f>
        <v>Toll Road Development Program</v>
      </c>
      <c r="G12" s="6" t="str">
        <f>DATA!I3</f>
        <v>A</v>
      </c>
      <c r="H12" s="6" t="str">
        <f>DATA!J3</f>
        <v xml:space="preserve">Program Pembangunan Jalan Tol </v>
      </c>
      <c r="I12" s="6">
        <f>DATA!K3</f>
        <v>1</v>
      </c>
      <c r="J12" s="38"/>
      <c r="K12" s="39"/>
      <c r="L12" s="39"/>
      <c r="M12" s="40"/>
      <c r="N12" s="41" t="str">
        <f>DATA!L3</f>
        <v>Toll Road Development in Kalimantan, Sumatera, and Java Islands</v>
      </c>
      <c r="O12" s="42">
        <f>DATA!Q3</f>
        <v>0.5</v>
      </c>
      <c r="P12" s="42">
        <f>DATA!R3</f>
        <v>0</v>
      </c>
      <c r="Q12" s="42">
        <f>DATA!S3</f>
        <v>0</v>
      </c>
      <c r="R12" s="83">
        <f>DATA!T3</f>
        <v>0</v>
      </c>
      <c r="S12" s="83">
        <f>DATA!U3</f>
        <v>0</v>
      </c>
      <c r="T12" s="83">
        <f>DATA!V3</f>
        <v>0</v>
      </c>
      <c r="U12" s="83">
        <f>DATA!W3</f>
        <v>0</v>
      </c>
      <c r="V12" s="83">
        <f>DATA!X3</f>
        <v>0</v>
      </c>
      <c r="W12" s="84" t="str">
        <f>DATA!Y3</f>
        <v>RRT</v>
      </c>
      <c r="X12" s="42" t="str">
        <f>DATA!Z3</f>
        <v>Bilateral</v>
      </c>
      <c r="Y12" s="83">
        <f>DATA!AA3</f>
        <v>1000000000</v>
      </c>
      <c r="Z12" s="83">
        <f>DATA!AG3</f>
        <v>0</v>
      </c>
      <c r="AA12" s="42">
        <f>DATA!AH3</f>
        <v>2016</v>
      </c>
      <c r="AB12" s="67" t="str">
        <f>DATA!AI3</f>
        <v>-</v>
      </c>
      <c r="AC12" s="67" t="str">
        <f>DATA!AJ3</f>
        <v>FS, AMDAL, LARAP</v>
      </c>
      <c r="AD12" s="67" t="str">
        <f>DATA!AK3</f>
        <v>(1) Cisumdawu I: 80 %
(2) Serang-Panimbang: 25%</v>
      </c>
      <c r="AE12" s="67" t="str">
        <f>DATA!AL3</f>
        <v>-</v>
      </c>
      <c r="AF12" s="42" t="str">
        <f>DATA!AM3</f>
        <v>-</v>
      </c>
      <c r="AG12" s="42" t="str">
        <f>DATA!AN3</f>
        <v>siap</v>
      </c>
      <c r="AH12" s="42" t="str">
        <f>DATA!AO3</f>
        <v>dalam proses
(pelaksanaan &lt; 50%)</v>
      </c>
      <c r="AI12" s="42" t="str">
        <f>DATA!AP3</f>
        <v>belum ada proses tender/lelang</v>
      </c>
      <c r="AJ12" s="42" t="str">
        <f>DATA!AY3</f>
        <v>- Konfirmasi melalui surat Sekjen nomor KU.01.12-Sj/636 tgl 23 Oktober 2015
- Terdiri dari 3 kegiatan: (1) seksi 1 (Ruas Cisumdawu I); (2) Serang-Panimbang; (3) Belum ditentukan
- Prioritas ruas Cisumdawu I</v>
      </c>
      <c r="AK12" s="42" t="e">
        <f>DATA!#REF!</f>
        <v>#REF!</v>
      </c>
      <c r="AL12" s="42">
        <f>DATA!AZ3</f>
        <v>0</v>
      </c>
      <c r="AM12" s="67" t="str">
        <f>DATA!BA3</f>
        <v>Pembangunan jalan tol di provinsi Kalimantan Timur, Banten, dan Sumatera Utara dengan panjang sekitar 150 km</v>
      </c>
    </row>
    <row r="13" spans="1:39" s="6" customFormat="1" ht="45.75" hidden="1" customHeight="1">
      <c r="A13" s="6">
        <f>DATA!A4</f>
        <v>2</v>
      </c>
      <c r="B13" s="6">
        <f>DATA!B4</f>
        <v>0</v>
      </c>
      <c r="C13" s="6" t="str">
        <f>DATA!D4</f>
        <v>INFRASTRUKTUR</v>
      </c>
      <c r="D13" s="6">
        <f>DATA!E4</f>
        <v>1</v>
      </c>
      <c r="E13" s="6" t="str">
        <f>DATA!F4</f>
        <v>Kementerian Pekerjaan Umum dan Perumahan Rakyat</v>
      </c>
      <c r="F13" s="6" t="str">
        <f>DATA!H4</f>
        <v>Toll Road Development Program</v>
      </c>
      <c r="G13" s="6" t="str">
        <f>DATA!I4</f>
        <v>A</v>
      </c>
      <c r="H13" s="6" t="str">
        <f>DATA!J4</f>
        <v xml:space="preserve">Program Pembangunan Jalan Tol </v>
      </c>
      <c r="I13" s="6">
        <f>DATA!K4</f>
        <v>1</v>
      </c>
      <c r="J13" s="38"/>
      <c r="K13" s="39"/>
      <c r="L13" s="39"/>
      <c r="M13" s="43"/>
      <c r="N13" s="41" t="str">
        <f>DATA!L4</f>
        <v>Toll Road Development in Kalimantan, Sumatera, and Java Islands</v>
      </c>
      <c r="O13" s="42">
        <f>DATA!Q4</f>
        <v>0.5</v>
      </c>
      <c r="P13" s="42">
        <f>DATA!R4</f>
        <v>0</v>
      </c>
      <c r="Q13" s="42">
        <f>DATA!S4</f>
        <v>0</v>
      </c>
      <c r="R13" s="83">
        <f>DATA!T4</f>
        <v>0</v>
      </c>
      <c r="S13" s="83">
        <f>DATA!U4</f>
        <v>0</v>
      </c>
      <c r="T13" s="83">
        <f>DATA!V4</f>
        <v>0</v>
      </c>
      <c r="U13" s="83">
        <f>DATA!W4</f>
        <v>0</v>
      </c>
      <c r="V13" s="83">
        <f>DATA!X4</f>
        <v>0</v>
      </c>
      <c r="W13" s="84" t="str">
        <f>DATA!Y4</f>
        <v>Korea</v>
      </c>
      <c r="X13" s="42" t="str">
        <f>DATA!Z4</f>
        <v>Bilateral</v>
      </c>
      <c r="Y13" s="83">
        <f>DATA!AA4</f>
        <v>250000000</v>
      </c>
      <c r="Z13" s="83">
        <f>DATA!AG4</f>
        <v>0</v>
      </c>
      <c r="AA13" s="42">
        <f>DATA!AH4</f>
        <v>2016</v>
      </c>
      <c r="AB13" s="67" t="str">
        <f>DATA!AI4</f>
        <v>-</v>
      </c>
      <c r="AC13" s="67" t="str">
        <f>DATA!AJ4</f>
        <v>FS, AMDAL, LARAP</v>
      </c>
      <c r="AD13" s="67" t="str">
        <f>DATA!AK4</f>
        <v>(1) Cisumdawu I: 80 %
(2) Serang-Panimbang: 25%</v>
      </c>
      <c r="AE13" s="67" t="str">
        <f>DATA!AL4</f>
        <v>-</v>
      </c>
      <c r="AF13" s="42" t="str">
        <f>DATA!AM4</f>
        <v>-</v>
      </c>
      <c r="AG13" s="42" t="str">
        <f>DATA!AN4</f>
        <v>siap</v>
      </c>
      <c r="AH13" s="42" t="str">
        <f>DATA!AO4</f>
        <v>dalam proses
(pelaksanaan &lt; 50%)</v>
      </c>
      <c r="AI13" s="42" t="str">
        <f>DATA!AP4</f>
        <v>belum ada proses tender/lelang</v>
      </c>
      <c r="AJ13" s="42" t="str">
        <f>DATA!AY4</f>
        <v>- Konfirmasi melalui surat Sekjen nomor KU.01.12-Sj/636 tgl 23 Oktober 2015
- Terdiri dari 3 kegiatan: (1) seksi 1 (Ruas Cisumdawu I); (2) Serang-Panimbang; (3) Belum ditentukan
- Prioritas ruas Cisumdawu I</v>
      </c>
      <c r="AK13" s="42" t="e">
        <f>DATA!#REF!</f>
        <v>#REF!</v>
      </c>
      <c r="AL13" s="42">
        <f>DATA!AZ4</f>
        <v>0</v>
      </c>
      <c r="AM13" s="67" t="str">
        <f>DATA!BA4</f>
        <v>Pembangunan jalan tol di provinsi Kalimantan Timur, Banten, dan Sumatera Utara dengan panjang sekitar 150 km</v>
      </c>
    </row>
    <row r="14" spans="1:39" ht="29.25" hidden="1" customHeight="1">
      <c r="A14" s="10">
        <f>DATA!A5</f>
        <v>3</v>
      </c>
      <c r="B14" s="10">
        <f>DATA!B5</f>
        <v>0</v>
      </c>
      <c r="C14" s="10" t="str">
        <f>DATA!D5</f>
        <v>INFRASTRUKTUR</v>
      </c>
      <c r="D14" s="10">
        <f>DATA!E5</f>
        <v>1</v>
      </c>
      <c r="E14" s="10" t="str">
        <f>DATA!F5</f>
        <v>Kementerian Pekerjaan Umum dan Perumahan Rakyat</v>
      </c>
      <c r="F14" s="10" t="str">
        <f>DATA!H5</f>
        <v>Toll Road Development Program</v>
      </c>
      <c r="G14" s="10" t="str">
        <f>DATA!I5</f>
        <v>A</v>
      </c>
      <c r="H14" s="10" t="str">
        <f>DATA!J5</f>
        <v xml:space="preserve">Program Pembangunan Jalan Tol </v>
      </c>
      <c r="I14" s="10">
        <f>DATA!K5</f>
        <v>2</v>
      </c>
      <c r="J14" s="33"/>
      <c r="K14" s="34"/>
      <c r="L14" s="34"/>
      <c r="M14" s="36">
        <f>DATA!K5</f>
        <v>2</v>
      </c>
      <c r="N14" s="37" t="str">
        <f>DATA!L5</f>
        <v>Toll Road Development in Selected Area:</v>
      </c>
      <c r="O14" s="20">
        <f>DATA!Q5</f>
        <v>0</v>
      </c>
      <c r="P14" s="20">
        <f>DATA!R5</f>
        <v>0</v>
      </c>
      <c r="Q14" s="20">
        <f>DATA!S5</f>
        <v>0</v>
      </c>
      <c r="R14" s="77">
        <f>DATA!T5</f>
        <v>775000000</v>
      </c>
      <c r="S14" s="83">
        <f>DATA!U5</f>
        <v>775000000</v>
      </c>
      <c r="T14" s="77">
        <f>DATA!V5</f>
        <v>72400000</v>
      </c>
      <c r="U14" s="77">
        <f>DATA!W5</f>
        <v>0</v>
      </c>
      <c r="V14" s="77">
        <f>DATA!X5</f>
        <v>847400000</v>
      </c>
      <c r="W14" s="78" t="str">
        <f>DATA!Y5</f>
        <v>-</v>
      </c>
      <c r="X14" s="20">
        <f>DATA!Z5</f>
        <v>0</v>
      </c>
      <c r="Y14" s="77">
        <f>DATA!AA5</f>
        <v>775000000</v>
      </c>
      <c r="Z14" s="77">
        <f>DATA!AG5</f>
        <v>0</v>
      </c>
      <c r="AA14" s="20" t="str">
        <f>DATA!AH5</f>
        <v>-</v>
      </c>
      <c r="AB14" s="37" t="str">
        <f>DATA!AI5</f>
        <v>-</v>
      </c>
      <c r="AC14" s="37" t="str">
        <f>DATA!AJ5</f>
        <v>-</v>
      </c>
      <c r="AD14" s="37" t="str">
        <f>DATA!AK5</f>
        <v>-</v>
      </c>
      <c r="AE14" s="37" t="str">
        <f>DATA!AL5</f>
        <v>-</v>
      </c>
      <c r="AF14" s="20" t="str">
        <f>DATA!AM5</f>
        <v>-</v>
      </c>
      <c r="AG14" s="20">
        <f>DATA!AN5</f>
        <v>0</v>
      </c>
      <c r="AH14" s="20" t="str">
        <f>DATA!AO5</f>
        <v>-</v>
      </c>
      <c r="AI14" s="20">
        <f>DATA!AP5</f>
        <v>0</v>
      </c>
      <c r="AJ14" s="20" t="str">
        <f>DATA!AY5</f>
        <v>Konfirmasi melalui surat Sekjen nomor KU.01.12-Sj/636 tgl 23 Oktober 2015</v>
      </c>
      <c r="AK14" s="20" t="e">
        <f>DATA!#REF!</f>
        <v>#REF!</v>
      </c>
      <c r="AL14" s="20">
        <f>DATA!AZ5</f>
        <v>0</v>
      </c>
      <c r="AM14" s="37" t="str">
        <f>DATA!BA5</f>
        <v>Pembangunan jalan tol di berbagai wilayah dengan total sepanjang 55,94 km</v>
      </c>
    </row>
    <row r="15" spans="1:39" s="7" customFormat="1" ht="57" customHeight="1">
      <c r="A15" s="6">
        <f>DATA!A6</f>
        <v>4</v>
      </c>
      <c r="B15" s="6">
        <f>DATA!B6</f>
        <v>0</v>
      </c>
      <c r="C15" s="6" t="str">
        <f>DATA!D6</f>
        <v>INFRASTRUKTUR</v>
      </c>
      <c r="D15" s="6">
        <f>DATA!E6</f>
        <v>1</v>
      </c>
      <c r="E15" s="6" t="str">
        <f>DATA!F6</f>
        <v>Kementerian Pekerjaan Umum dan Perumahan Rakyat</v>
      </c>
      <c r="F15" s="6" t="str">
        <f>DATA!H6</f>
        <v>Toll Road Development Program</v>
      </c>
      <c r="G15" s="6" t="str">
        <f>DATA!I6</f>
        <v>A</v>
      </c>
      <c r="H15" s="6" t="str">
        <f>DATA!J6</f>
        <v xml:space="preserve">Program Pembangunan Jalan Tol </v>
      </c>
      <c r="I15" s="6">
        <f>DATA!K6</f>
        <v>2</v>
      </c>
      <c r="J15" s="44"/>
      <c r="K15" s="45"/>
      <c r="L15" s="45"/>
      <c r="M15" s="46"/>
      <c r="N15" s="47" t="str">
        <f>DATA!L6</f>
        <v>Development of Cileunyi - Sumedang - Dawuan Toll Road Phase II</v>
      </c>
      <c r="O15" s="42">
        <f>DATA!Q6</f>
        <v>1</v>
      </c>
      <c r="P15" s="42">
        <f>DATA!R6</f>
        <v>1</v>
      </c>
      <c r="Q15" s="42">
        <f>DATA!S6</f>
        <v>2</v>
      </c>
      <c r="R15" s="85">
        <f>DATA!T6</f>
        <v>330000000</v>
      </c>
      <c r="S15" s="85">
        <f>DATA!U6</f>
        <v>330000000</v>
      </c>
      <c r="T15" s="85">
        <f>DATA!V6</f>
        <v>26000000</v>
      </c>
      <c r="U15" s="83">
        <f>DATA!W6</f>
        <v>0</v>
      </c>
      <c r="V15" s="85">
        <f>DATA!X6</f>
        <v>356000000</v>
      </c>
      <c r="W15" s="86" t="str">
        <f>DATA!Y6</f>
        <v>RRT</v>
      </c>
      <c r="X15" s="42" t="str">
        <f>DATA!Z6</f>
        <v>Bilateral</v>
      </c>
      <c r="Y15" s="85">
        <f>DATA!AA6</f>
        <v>330000000</v>
      </c>
      <c r="Z15" s="85">
        <f>DATA!AG6</f>
        <v>0</v>
      </c>
      <c r="AA15" s="98">
        <f>DATA!AH6</f>
        <v>2015</v>
      </c>
      <c r="AB15" s="68" t="str">
        <f>DATA!AI6</f>
        <v>- Sudah ada R/C
- Green Book 2015
- Proses LA</v>
      </c>
      <c r="AC15" s="68" t="str">
        <f>DATA!AJ6</f>
        <v>FS, DED</v>
      </c>
      <c r="AD15" s="99">
        <f>DATA!AK6</f>
        <v>0.80200000000000005</v>
      </c>
      <c r="AE15" s="68" t="str">
        <f>DATA!AL6</f>
        <v>Kontrak sudah ditandatangani</v>
      </c>
      <c r="AF15" s="42" t="str">
        <f>DATA!AR6</f>
        <v>Nilai pinjaman di:
- GB 16 USD 219.399 ribu
- GB 15 USD 235.000 ribu</v>
      </c>
      <c r="AG15" s="42" t="str">
        <f>DATA!AN6</f>
        <v>(memiliki FS dan DED)</v>
      </c>
      <c r="AH15" s="42" t="str">
        <f>DATA!AO6</f>
        <v>dalam proses
(pelaksanaan 80%)</v>
      </c>
      <c r="AI15" s="42" t="str">
        <f>DATA!AP6</f>
        <v>dalam proses tender/lelang</v>
      </c>
      <c r="AJ15" s="42" t="str">
        <f>DATA!AY6</f>
        <v>Konfirmasi melalui surat Sekjen nomor KU.01.12-Sj/636 tgl 23 Oktober 2015</v>
      </c>
      <c r="AK15" s="42" t="e">
        <f>DATA!#REF!</f>
        <v>#REF!</v>
      </c>
      <c r="AL15" s="42">
        <f>DATA!AZ6</f>
        <v>0</v>
      </c>
      <c r="AM15" s="67" t="str">
        <f>DATA!BA6</f>
        <v>- Pembangunan jalan tol Cileunyi-Sumedang-Dawuan sepanjang 11,1 km 
- Pelayanan konsultasi untuk DED dan pengawasan konstruksi</v>
      </c>
    </row>
    <row r="16" spans="1:39" s="7" customFormat="1" ht="36.75" customHeight="1">
      <c r="A16" s="6">
        <f>DATA!A7</f>
        <v>5</v>
      </c>
      <c r="B16" s="6">
        <f>DATA!B7</f>
        <v>0</v>
      </c>
      <c r="C16" s="6" t="str">
        <f>DATA!D7</f>
        <v>INFRASTRUKTUR</v>
      </c>
      <c r="D16" s="6">
        <f>DATA!E7</f>
        <v>1</v>
      </c>
      <c r="E16" s="6" t="str">
        <f>DATA!F7</f>
        <v>Kementerian Pekerjaan Umum dan Perumahan Rakyat</v>
      </c>
      <c r="F16" s="6" t="str">
        <f>DATA!H7</f>
        <v>Toll Road Development Program</v>
      </c>
      <c r="G16" s="6" t="str">
        <f>DATA!I7</f>
        <v>A</v>
      </c>
      <c r="H16" s="6" t="str">
        <f>DATA!J7</f>
        <v xml:space="preserve">Program Pembangunan Jalan Tol </v>
      </c>
      <c r="I16" s="6">
        <f>DATA!K7</f>
        <v>2</v>
      </c>
      <c r="J16" s="44"/>
      <c r="K16" s="45"/>
      <c r="L16" s="45"/>
      <c r="M16" s="46"/>
      <c r="N16" s="47" t="str">
        <f>DATA!L7</f>
        <v xml:space="preserve">Toll Road Development of Balikpapan - Samarinda </v>
      </c>
      <c r="O16" s="42">
        <f>DATA!Q7</f>
        <v>1</v>
      </c>
      <c r="P16" s="42">
        <f>DATA!R7</f>
        <v>1</v>
      </c>
      <c r="Q16" s="42">
        <f>DATA!S7</f>
        <v>3</v>
      </c>
      <c r="R16" s="85">
        <f>DATA!T7</f>
        <v>65000000</v>
      </c>
      <c r="S16" s="85">
        <f>DATA!U7</f>
        <v>65000000</v>
      </c>
      <c r="T16" s="85">
        <f>DATA!V7</f>
        <v>6500000</v>
      </c>
      <c r="U16" s="83">
        <f>DATA!W7</f>
        <v>0</v>
      </c>
      <c r="V16" s="85">
        <f>DATA!X7</f>
        <v>71500000</v>
      </c>
      <c r="W16" s="86" t="str">
        <f>DATA!Y7</f>
        <v>RRT</v>
      </c>
      <c r="X16" s="42" t="str">
        <f>DATA!Z7</f>
        <v>Bilateral</v>
      </c>
      <c r="Y16" s="85">
        <f>DATA!AA7</f>
        <v>65000000</v>
      </c>
      <c r="Z16" s="85">
        <f>DATA!AG7</f>
        <v>0</v>
      </c>
      <c r="AA16" s="98">
        <f>DATA!AH7</f>
        <v>2015</v>
      </c>
      <c r="AB16" s="68" t="str">
        <f>DATA!AI7</f>
        <v>- Sudah ada R/C
- Green Book 2015
- Loan Agreement tgl 29 Des'15</v>
      </c>
      <c r="AC16" s="68" t="str">
        <f>DATA!AJ7</f>
        <v>FS, DED</v>
      </c>
      <c r="AD16" s="99">
        <f>DATA!AK7</f>
        <v>0.55200000000000005</v>
      </c>
      <c r="AE16" s="68" t="str">
        <f>DATA!AL7</f>
        <v>Kontrak sudah ditandatangani</v>
      </c>
      <c r="AF16" s="42" t="str">
        <f>DATA!AR7</f>
        <v>Nilai pinjaman di GB USD 65.000 ribu</v>
      </c>
      <c r="AG16" s="42" t="str">
        <f>DATA!AN7</f>
        <v>(memiliki FS dan DED)</v>
      </c>
      <c r="AH16" s="42" t="str">
        <f>DATA!AO7</f>
        <v>dalam proses
(pelaksanaan 55%)</v>
      </c>
      <c r="AI16" s="42" t="str">
        <f>DATA!AP7</f>
        <v>dalam proses tender/lelang</v>
      </c>
      <c r="AJ16" s="42" t="str">
        <f>DATA!AY7</f>
        <v>Konfirmasi melalui surat Sekjen nomor KU.01.12-Sj/636 tgl 23 Oktober 2015</v>
      </c>
      <c r="AK16" s="42" t="e">
        <f>DATA!#REF!</f>
        <v>#REF!</v>
      </c>
      <c r="AL16" s="42">
        <f>DATA!AZ7</f>
        <v>0</v>
      </c>
      <c r="AM16" s="67" t="str">
        <f>DATA!BA7</f>
        <v xml:space="preserve">Pembangunan jalan tol Balikpapan-Samarinda sepanjang 11,09 km </v>
      </c>
    </row>
    <row r="17" spans="1:39" s="7" customFormat="1" ht="33" customHeight="1">
      <c r="A17" s="6">
        <f>DATA!A8</f>
        <v>6</v>
      </c>
      <c r="B17" s="6">
        <f>DATA!B8</f>
        <v>0</v>
      </c>
      <c r="C17" s="6" t="str">
        <f>DATA!D8</f>
        <v>INFRASTRUKTUR</v>
      </c>
      <c r="D17" s="6">
        <f>DATA!E8</f>
        <v>1</v>
      </c>
      <c r="E17" s="6" t="str">
        <f>DATA!F8</f>
        <v>Kementerian Pekerjaan Umum dan Perumahan Rakyat</v>
      </c>
      <c r="F17" s="6" t="str">
        <f>DATA!H8</f>
        <v>Toll Road Development Program</v>
      </c>
      <c r="G17" s="6" t="str">
        <f>DATA!I8</f>
        <v>A</v>
      </c>
      <c r="H17" s="6" t="str">
        <f>DATA!J8</f>
        <v xml:space="preserve">Program Pembangunan Jalan Tol </v>
      </c>
      <c r="I17" s="6">
        <f>DATA!K8</f>
        <v>2</v>
      </c>
      <c r="J17" s="44"/>
      <c r="K17" s="45"/>
      <c r="L17" s="45"/>
      <c r="M17" s="46"/>
      <c r="N17" s="47" t="str">
        <f>DATA!L8</f>
        <v xml:space="preserve">Toll Road Development of Manado - Bitung </v>
      </c>
      <c r="O17" s="42">
        <f>DATA!Q8</f>
        <v>1</v>
      </c>
      <c r="P17" s="42">
        <f>DATA!R8</f>
        <v>1</v>
      </c>
      <c r="Q17" s="42">
        <f>DATA!S8</f>
        <v>4</v>
      </c>
      <c r="R17" s="85">
        <f>DATA!T8</f>
        <v>80000000</v>
      </c>
      <c r="S17" s="85">
        <f>DATA!U8</f>
        <v>80000000</v>
      </c>
      <c r="T17" s="85">
        <f>DATA!V8</f>
        <v>8000000</v>
      </c>
      <c r="U17" s="83">
        <f>DATA!W8</f>
        <v>0</v>
      </c>
      <c r="V17" s="85">
        <f>DATA!X8</f>
        <v>88000000</v>
      </c>
      <c r="W17" s="86" t="str">
        <f>DATA!Y8</f>
        <v>RRT</v>
      </c>
      <c r="X17" s="42" t="str">
        <f>DATA!Z8</f>
        <v>Bilateral</v>
      </c>
      <c r="Y17" s="85">
        <f>DATA!AA8</f>
        <v>80000000</v>
      </c>
      <c r="Z17" s="85">
        <f>DATA!AG8</f>
        <v>0</v>
      </c>
      <c r="AA17" s="98">
        <f>DATA!AH8</f>
        <v>2015</v>
      </c>
      <c r="AB17" s="68" t="str">
        <f>DATA!AI8</f>
        <v>- Sudah ada R/C
- Green Book 2015
- Proses LA</v>
      </c>
      <c r="AC17" s="68" t="str">
        <f>DATA!AJ8</f>
        <v>FS, DED</v>
      </c>
      <c r="AD17" s="99">
        <f>DATA!AK8</f>
        <v>0.93840000000000001</v>
      </c>
      <c r="AE17" s="68" t="str">
        <f>DATA!AL8</f>
        <v>Kontrak sudah ditandatangani</v>
      </c>
      <c r="AF17" s="42" t="str">
        <f>DATA!AR8</f>
        <v>Nilai pinjaman di: 
- GB 16 USD 78.100 ribu
- GB 15 USD 80.000 ribu</v>
      </c>
      <c r="AG17" s="42" t="str">
        <f>DATA!AN8</f>
        <v>(memiliki FS dan DED)</v>
      </c>
      <c r="AH17" s="42" t="str">
        <f>DATA!AO8</f>
        <v>dalam proses
(pelaksanaan 94%)</v>
      </c>
      <c r="AI17" s="42" t="str">
        <f>DATA!AP8</f>
        <v>dalam proses tender/lelang</v>
      </c>
      <c r="AJ17" s="42" t="str">
        <f>DATA!AY8</f>
        <v>Konfirmasi melalui surat Sekjen nomor KU.01.12-Sj/636 tgl 23 Oktober 2015</v>
      </c>
      <c r="AK17" s="42" t="e">
        <f>DATA!#REF!</f>
        <v>#REF!</v>
      </c>
      <c r="AL17" s="42">
        <f>DATA!AZ8</f>
        <v>0</v>
      </c>
      <c r="AM17" s="67" t="str">
        <f>DATA!BA8</f>
        <v xml:space="preserve">Pembangunan jalan tol Manado-Bitung sepanjang 7,3 km </v>
      </c>
    </row>
    <row r="18" spans="1:39" s="7" customFormat="1" ht="34.5" customHeight="1">
      <c r="A18" s="6">
        <f>DATA!A9</f>
        <v>7</v>
      </c>
      <c r="B18" s="6">
        <f>DATA!B9</f>
        <v>0</v>
      </c>
      <c r="C18" s="6" t="str">
        <f>DATA!D9</f>
        <v>INFRASTRUKTUR</v>
      </c>
      <c r="D18" s="6">
        <f>DATA!E9</f>
        <v>1</v>
      </c>
      <c r="E18" s="6" t="str">
        <f>DATA!F9</f>
        <v>Kementerian Pekerjaan Umum dan Perumahan Rakyat</v>
      </c>
      <c r="F18" s="6" t="str">
        <f>DATA!H9</f>
        <v>Toll Road Development Program</v>
      </c>
      <c r="G18" s="6" t="str">
        <f>DATA!I9</f>
        <v>A</v>
      </c>
      <c r="H18" s="6" t="str">
        <f>DATA!J9</f>
        <v xml:space="preserve">Program Pembangunan Jalan Tol </v>
      </c>
      <c r="I18" s="6">
        <f>DATA!K9</f>
        <v>2</v>
      </c>
      <c r="J18" s="44"/>
      <c r="K18" s="45"/>
      <c r="L18" s="45"/>
      <c r="M18" s="48"/>
      <c r="N18" s="49" t="str">
        <f>DATA!L9</f>
        <v xml:space="preserve">Toll Road Development of Solo - Kertosono </v>
      </c>
      <c r="O18" s="42">
        <f>DATA!Q9</f>
        <v>1</v>
      </c>
      <c r="P18" s="42">
        <f>DATA!R9</f>
        <v>1</v>
      </c>
      <c r="Q18" s="42">
        <f>DATA!S9</f>
        <v>5</v>
      </c>
      <c r="R18" s="85">
        <f>DATA!T9</f>
        <v>300000000</v>
      </c>
      <c r="S18" s="85">
        <f>DATA!U9</f>
        <v>300000000</v>
      </c>
      <c r="T18" s="85">
        <f>DATA!V9</f>
        <v>31900000</v>
      </c>
      <c r="U18" s="83">
        <f>DATA!W9</f>
        <v>0</v>
      </c>
      <c r="V18" s="85">
        <f>DATA!X9</f>
        <v>331900000</v>
      </c>
      <c r="W18" s="86" t="str">
        <f>DATA!Y9</f>
        <v>RRT</v>
      </c>
      <c r="X18" s="42" t="str">
        <f>DATA!Z9</f>
        <v>Bilateral</v>
      </c>
      <c r="Y18" s="85">
        <f>DATA!AA9</f>
        <v>300000000</v>
      </c>
      <c r="Z18" s="85">
        <f>DATA!AG9</f>
        <v>0</v>
      </c>
      <c r="AA18" s="98">
        <f>DATA!AH9</f>
        <v>2015</v>
      </c>
      <c r="AB18" s="68" t="str">
        <f>DATA!AI9</f>
        <v>- Sudah ada R/C
- Green Book 2015
- Loan Agreement tgl 29 Des'15</v>
      </c>
      <c r="AC18" s="68" t="str">
        <f>DATA!AJ9</f>
        <v>FS, DED</v>
      </c>
      <c r="AD18" s="99">
        <f>DATA!AK9</f>
        <v>0.62229999999999996</v>
      </c>
      <c r="AE18" s="68" t="str">
        <f>DATA!AL9</f>
        <v>Kontrak sudah ditandatangani</v>
      </c>
      <c r="AF18" s="42" t="str">
        <f>DATA!AR9</f>
        <v>Nilai pinjaman di GB USD 200.000 ribu</v>
      </c>
      <c r="AG18" s="42" t="str">
        <f>DATA!AN9</f>
        <v>(memiliki FS dan DED)</v>
      </c>
      <c r="AH18" s="42" t="str">
        <f>DATA!AO9</f>
        <v>dalam proses
(pelaksanaan 62%)</v>
      </c>
      <c r="AI18" s="42" t="str">
        <f>DATA!AP9</f>
        <v>dalam proses tender/lelang</v>
      </c>
      <c r="AJ18" s="42" t="str">
        <f>DATA!AY9</f>
        <v>Konfirmasi melalui surat Sekjen nomor KU.01.12-Sj/636 tgl 23 Oktober 2015</v>
      </c>
      <c r="AK18" s="42" t="e">
        <f>DATA!#REF!</f>
        <v>#REF!</v>
      </c>
      <c r="AL18" s="42">
        <f>DATA!AZ9</f>
        <v>0</v>
      </c>
      <c r="AM18" s="67" t="str">
        <f>DATA!BA9</f>
        <v xml:space="preserve">Pembangunan jalan tol Solo-Kertosono sepanjang 26,45 km </v>
      </c>
    </row>
    <row r="19" spans="1:39" s="5" customFormat="1" ht="33.75" hidden="1" customHeight="1">
      <c r="J19" s="28"/>
      <c r="K19" s="50"/>
      <c r="L19" s="30" t="str">
        <f>DATA!I10</f>
        <v>B</v>
      </c>
      <c r="M19" s="31" t="str">
        <f>DATA!J10</f>
        <v xml:space="preserve">Program Pembangunan / Peningkatan Jembatan </v>
      </c>
      <c r="N19" s="51"/>
      <c r="O19" s="31"/>
      <c r="P19" s="31"/>
      <c r="Q19" s="31"/>
      <c r="R19" s="81">
        <f>SUM(R20:R24)</f>
        <v>1500000000</v>
      </c>
      <c r="S19" s="81"/>
      <c r="T19" s="81">
        <f t="shared" ref="T19:Z19" si="0">SUM(T20:T24)</f>
        <v>126500000</v>
      </c>
      <c r="U19" s="81">
        <f t="shared" si="0"/>
        <v>0</v>
      </c>
      <c r="V19" s="81">
        <f t="shared" si="0"/>
        <v>1626500000</v>
      </c>
      <c r="W19" s="81"/>
      <c r="X19" s="81">
        <f t="shared" si="0"/>
        <v>0</v>
      </c>
      <c r="Y19" s="81">
        <f t="shared" si="0"/>
        <v>1500000000</v>
      </c>
      <c r="Z19" s="81">
        <f t="shared" si="0"/>
        <v>0</v>
      </c>
      <c r="AA19" s="31"/>
      <c r="AB19" s="32"/>
      <c r="AC19" s="32"/>
      <c r="AD19" s="32"/>
      <c r="AE19" s="32"/>
      <c r="AF19" s="31"/>
      <c r="AG19" s="31"/>
      <c r="AH19" s="31"/>
      <c r="AI19" s="31"/>
      <c r="AJ19" s="31"/>
      <c r="AK19" s="31"/>
      <c r="AL19" s="31"/>
      <c r="AM19" s="32"/>
    </row>
    <row r="20" spans="1:39" ht="45" hidden="1" customHeight="1">
      <c r="A20" s="10">
        <f>DATA!A10</f>
        <v>8</v>
      </c>
      <c r="B20" s="10">
        <f>DATA!B10</f>
        <v>0</v>
      </c>
      <c r="C20" s="10" t="str">
        <f>DATA!D10</f>
        <v>INFRASTRUKTUR</v>
      </c>
      <c r="D20" s="10">
        <f>DATA!E10</f>
        <v>1</v>
      </c>
      <c r="E20" s="10" t="str">
        <f>DATA!F10</f>
        <v>Kementerian Pekerjaan Umum dan Perumahan Rakyat</v>
      </c>
      <c r="F20" s="10" t="str">
        <f>DATA!H10</f>
        <v>Development and Improvement of National Bridges Program</v>
      </c>
      <c r="G20" s="10" t="str">
        <f>DATA!I10</f>
        <v>B</v>
      </c>
      <c r="H20" s="10" t="str">
        <f>DATA!J10</f>
        <v xml:space="preserve">Program Pembangunan / Peningkatan Jembatan </v>
      </c>
      <c r="I20" s="10">
        <f>DATA!K10</f>
        <v>1</v>
      </c>
      <c r="J20" s="33"/>
      <c r="K20" s="34"/>
      <c r="L20" s="35"/>
      <c r="M20" s="52">
        <f>DATA!K10</f>
        <v>1</v>
      </c>
      <c r="N20" s="53" t="str">
        <f>DATA!L10</f>
        <v>Material Procurement for Construction and Bridge Rehabilitation</v>
      </c>
      <c r="O20" s="20">
        <f>DATA!Q10</f>
        <v>1</v>
      </c>
      <c r="P20" s="20">
        <f>DATA!R10</f>
        <v>1</v>
      </c>
      <c r="Q20" s="20">
        <f>DATA!S10</f>
        <v>6</v>
      </c>
      <c r="R20" s="77">
        <f>DATA!T10</f>
        <v>450000000</v>
      </c>
      <c r="S20" s="83">
        <f>DATA!U10</f>
        <v>450000000</v>
      </c>
      <c r="T20" s="77">
        <f>DATA!V10</f>
        <v>0</v>
      </c>
      <c r="U20" s="77">
        <f>DATA!W10</f>
        <v>0</v>
      </c>
      <c r="V20" s="77">
        <f>DATA!X10</f>
        <v>450000000</v>
      </c>
      <c r="W20" s="78" t="str">
        <f>DATA!Y10</f>
        <v>Spanyol/RRT</v>
      </c>
      <c r="X20" s="20" t="str">
        <f>DATA!Z10</f>
        <v>Multi Lender</v>
      </c>
      <c r="Y20" s="77">
        <f>DATA!AA10</f>
        <v>450000000</v>
      </c>
      <c r="Z20" s="77">
        <f>DATA!AG10</f>
        <v>0</v>
      </c>
      <c r="AA20" s="20">
        <f>DATA!AH10</f>
        <v>2017</v>
      </c>
      <c r="AB20" s="37" t="str">
        <f>DATA!AI10</f>
        <v>-</v>
      </c>
      <c r="AC20" s="37" t="str">
        <f>DATA!AJ10</f>
        <v>-</v>
      </c>
      <c r="AD20" s="37" t="str">
        <f>DATA!AK10</f>
        <v>-</v>
      </c>
      <c r="AE20" s="37" t="str">
        <f>DATA!AL10</f>
        <v>-</v>
      </c>
      <c r="AF20" s="20" t="str">
        <f>DATA!AR10</f>
        <v>belum ada dokumen R/C</v>
      </c>
      <c r="AG20" s="20" t="str">
        <f>DATA!AN10</f>
        <v>belum ada keterangan</v>
      </c>
      <c r="AH20" s="20" t="str">
        <f>DATA!AO10</f>
        <v>belum ada keterangan</v>
      </c>
      <c r="AI20" s="20" t="str">
        <f>DATA!AP10</f>
        <v>belum ada proses tender/lelang</v>
      </c>
      <c r="AJ20" s="20" t="str">
        <f>DATA!AY10</f>
        <v>- Konfirmasi melalui surat Sekjen nomor KU.01.12-Sj/636 tgl 23 Oktober 2015
- Telah ada pengalaman sebelumnya dengan Loan Spanyol</v>
      </c>
      <c r="AK20" s="20" t="e">
        <f>DATA!#REF!</f>
        <v>#REF!</v>
      </c>
      <c r="AL20" s="20">
        <f>DATA!AZ10</f>
        <v>0</v>
      </c>
      <c r="AM20" s="37" t="str">
        <f>DATA!BA10</f>
        <v>Pengadaan material rangka jembatan untuk pekerjaan konstruksi dan rehabilitasi sekitar 55.000 m jembatan yang ada di Indonesia</v>
      </c>
    </row>
    <row r="21" spans="1:39" ht="45" hidden="1" customHeight="1">
      <c r="A21" s="10">
        <f>DATA!A11</f>
        <v>9</v>
      </c>
      <c r="B21" s="10">
        <f>DATA!B11</f>
        <v>0</v>
      </c>
      <c r="C21" s="10" t="str">
        <f>DATA!D11</f>
        <v>INFRASTRUKTUR</v>
      </c>
      <c r="D21" s="10">
        <f>DATA!E11</f>
        <v>1</v>
      </c>
      <c r="E21" s="10" t="str">
        <f>DATA!F11</f>
        <v>Kementerian Pekerjaan Umum dan Perumahan Rakyat</v>
      </c>
      <c r="F21" s="10" t="str">
        <f>DATA!H11</f>
        <v>Development and Improvement of National Bridges Program</v>
      </c>
      <c r="G21" s="10" t="str">
        <f>DATA!I11</f>
        <v>B</v>
      </c>
      <c r="H21" s="10" t="str">
        <f>DATA!J11</f>
        <v xml:space="preserve">Program Pembangunan / Peningkatan Jembatan </v>
      </c>
      <c r="I21" s="10">
        <f>DATA!K11</f>
        <v>2</v>
      </c>
      <c r="J21" s="33"/>
      <c r="K21" s="34"/>
      <c r="L21" s="34"/>
      <c r="M21" s="36">
        <f>DATA!K11</f>
        <v>2</v>
      </c>
      <c r="N21" s="37" t="str">
        <f>DATA!L11</f>
        <v>Development of Fly Over/ Under Pass for Railways Crossing</v>
      </c>
      <c r="O21" s="20">
        <f>DATA!Q11</f>
        <v>1</v>
      </c>
      <c r="P21" s="20">
        <f>DATA!R11</f>
        <v>1</v>
      </c>
      <c r="Q21" s="20">
        <f>DATA!S11</f>
        <v>7</v>
      </c>
      <c r="R21" s="77">
        <f>DATA!T11</f>
        <v>250000000</v>
      </c>
      <c r="S21" s="83">
        <f>DATA!U11</f>
        <v>250000000</v>
      </c>
      <c r="T21" s="77">
        <f>DATA!V11</f>
        <v>50000000</v>
      </c>
      <c r="U21" s="77">
        <f>DATA!W11</f>
        <v>0</v>
      </c>
      <c r="V21" s="77">
        <f>DATA!X11</f>
        <v>300000000</v>
      </c>
      <c r="W21" s="78" t="str">
        <f>DATA!Y11</f>
        <v>JICA</v>
      </c>
      <c r="X21" s="20" t="str">
        <f>DATA!Z11</f>
        <v>Bilateral</v>
      </c>
      <c r="Y21" s="77">
        <f>DATA!AA11</f>
        <v>250000000</v>
      </c>
      <c r="Z21" s="77">
        <f>DATA!AG11</f>
        <v>0</v>
      </c>
      <c r="AA21" s="20">
        <f>DATA!AH11</f>
        <v>2017</v>
      </c>
      <c r="AB21" s="37" t="str">
        <f>DATA!AI11</f>
        <v>-</v>
      </c>
      <c r="AC21" s="37" t="str">
        <f>DATA!AJ11</f>
        <v>Penyusunan FS dan BD</v>
      </c>
      <c r="AD21" s="37" t="str">
        <f>DATA!AK11</f>
        <v>-</v>
      </c>
      <c r="AE21" s="37" t="str">
        <f>DATA!AL11</f>
        <v>-</v>
      </c>
      <c r="AF21" s="20" t="str">
        <f>DATA!AR11</f>
        <v>belum ada dokumen R/C</v>
      </c>
      <c r="AG21" s="20" t="str">
        <f>DATA!AN11</f>
        <v>dalam proses
(penyusunan FS)</v>
      </c>
      <c r="AH21" s="20" t="str">
        <f>DATA!AO11</f>
        <v>belum ada keterangan</v>
      </c>
      <c r="AI21" s="20" t="str">
        <f>DATA!AP11</f>
        <v>belum ada proses tender/lelang</v>
      </c>
      <c r="AJ21" s="20" t="str">
        <f>DATA!AY11</f>
        <v>- Konfirmasi melalui surat Sekjen nomor KU.01.12-Sj/636 tgl 23 Oktober 2015</v>
      </c>
      <c r="AK21" s="20" t="e">
        <f>DATA!#REF!</f>
        <v>#REF!</v>
      </c>
      <c r="AL21" s="20">
        <f>DATA!AZ11</f>
        <v>0</v>
      </c>
      <c r="AM21" s="37" t="str">
        <f>DATA!BA11</f>
        <v>Pembangunan fly over/ under pass untuk persimpangan jalan dengan jalan kereta sepanjang 7 km di Jawa dan Sumatera</v>
      </c>
    </row>
    <row r="22" spans="1:39" ht="43.5" hidden="1" customHeight="1">
      <c r="A22" s="10">
        <f>DATA!A12</f>
        <v>10</v>
      </c>
      <c r="B22" s="10">
        <f>DATA!B12</f>
        <v>0</v>
      </c>
      <c r="C22" s="10" t="str">
        <f>DATA!D12</f>
        <v>INFRASTRUKTUR</v>
      </c>
      <c r="D22" s="10">
        <f>DATA!E12</f>
        <v>1</v>
      </c>
      <c r="E22" s="10" t="str">
        <f>DATA!F12</f>
        <v>Kementerian Pekerjaan Umum dan Perumahan Rakyat</v>
      </c>
      <c r="F22" s="10" t="str">
        <f>DATA!H12</f>
        <v>Development and Improvement of National Bridges Program</v>
      </c>
      <c r="G22" s="10" t="str">
        <f>DATA!I12</f>
        <v>B</v>
      </c>
      <c r="H22" s="10" t="str">
        <f>DATA!J12</f>
        <v xml:space="preserve">Program Pembangunan / Peningkatan Jembatan </v>
      </c>
      <c r="I22" s="10">
        <f>DATA!K12</f>
        <v>3</v>
      </c>
      <c r="J22" s="33"/>
      <c r="K22" s="34"/>
      <c r="L22" s="34"/>
      <c r="M22" s="36">
        <f>DATA!K12</f>
        <v>3</v>
      </c>
      <c r="N22" s="37" t="str">
        <f>DATA!L12</f>
        <v>Development of Fly Over/ Under Pass in Major Cities</v>
      </c>
      <c r="O22" s="20">
        <f>DATA!Q12</f>
        <v>1</v>
      </c>
      <c r="P22" s="20">
        <f>DATA!R12</f>
        <v>1</v>
      </c>
      <c r="Q22" s="20">
        <f>DATA!S12</f>
        <v>8</v>
      </c>
      <c r="R22" s="77">
        <f>DATA!T12</f>
        <v>270000000</v>
      </c>
      <c r="S22" s="83">
        <f>DATA!U12</f>
        <v>270000000</v>
      </c>
      <c r="T22" s="77">
        <f>DATA!V12</f>
        <v>50000000</v>
      </c>
      <c r="U22" s="77">
        <f>DATA!W12</f>
        <v>0</v>
      </c>
      <c r="V22" s="77">
        <f>DATA!X12</f>
        <v>320000000</v>
      </c>
      <c r="W22" s="78" t="str">
        <f>DATA!Y12</f>
        <v>JICA</v>
      </c>
      <c r="X22" s="20" t="str">
        <f>DATA!Z12</f>
        <v>Bilateral</v>
      </c>
      <c r="Y22" s="77">
        <f>DATA!AA12</f>
        <v>270000000</v>
      </c>
      <c r="Z22" s="77">
        <f>DATA!AG12</f>
        <v>0</v>
      </c>
      <c r="AA22" s="20">
        <f>DATA!AH12</f>
        <v>2017</v>
      </c>
      <c r="AB22" s="37" t="str">
        <f>DATA!AI12</f>
        <v>-</v>
      </c>
      <c r="AC22" s="37" t="str">
        <f>DATA!AJ12</f>
        <v>Penyusunan FS dan BD</v>
      </c>
      <c r="AD22" s="37" t="str">
        <f>DATA!AK12</f>
        <v>-</v>
      </c>
      <c r="AE22" s="37" t="str">
        <f>DATA!AL12</f>
        <v>-</v>
      </c>
      <c r="AF22" s="20" t="str">
        <f>DATA!AR12</f>
        <v>belum ada dokumen R/C</v>
      </c>
      <c r="AG22" s="20" t="str">
        <f>DATA!AN12</f>
        <v>dalam proses
 (penyusunan FS)</v>
      </c>
      <c r="AH22" s="20" t="str">
        <f>DATA!AO12</f>
        <v>belum ada keterangan</v>
      </c>
      <c r="AI22" s="20" t="str">
        <f>DATA!AP12</f>
        <v>belum ada proses tender/lelang</v>
      </c>
      <c r="AJ22" s="20" t="str">
        <f>DATA!AY12</f>
        <v>Konfirmasi melalui surat Sekjen nomor KU.01.12-Sj/636 tgl 23 Oktober 2015</v>
      </c>
      <c r="AK22" s="20" t="e">
        <f>DATA!#REF!</f>
        <v>#REF!</v>
      </c>
      <c r="AL22" s="20">
        <f>DATA!AZ12</f>
        <v>0</v>
      </c>
      <c r="AM22" s="37" t="str">
        <f>DATA!BA12</f>
        <v>Pembangunan fly over/ under pass sepanjang kurang lebih 8 km untuk 9 kota besar yang ada di Jawa dan Sumatera</v>
      </c>
    </row>
    <row r="23" spans="1:39" ht="35.25" hidden="1" customHeight="1">
      <c r="A23" s="10">
        <f>DATA!A13</f>
        <v>11</v>
      </c>
      <c r="B23" s="10">
        <f>DATA!B13</f>
        <v>0</v>
      </c>
      <c r="C23" s="10" t="str">
        <f>DATA!D13</f>
        <v>INFRASTRUKTUR</v>
      </c>
      <c r="D23" s="10">
        <f>DATA!E13</f>
        <v>1</v>
      </c>
      <c r="E23" s="10" t="str">
        <f>DATA!F13</f>
        <v>Kementerian Pekerjaan Umum dan Perumahan Rakyat</v>
      </c>
      <c r="F23" s="10" t="str">
        <f>DATA!H13</f>
        <v>Development and Improvement of National Bridges Program</v>
      </c>
      <c r="G23" s="10" t="str">
        <f>DATA!I13</f>
        <v>B</v>
      </c>
      <c r="H23" s="10" t="str">
        <f>DATA!J13</f>
        <v xml:space="preserve">Program Pembangunan / Peningkatan Jembatan </v>
      </c>
      <c r="I23" s="10">
        <f>DATA!K13</f>
        <v>4</v>
      </c>
      <c r="J23" s="33"/>
      <c r="K23" s="34"/>
      <c r="L23" s="34"/>
      <c r="M23" s="36">
        <f>DATA!K13</f>
        <v>4</v>
      </c>
      <c r="N23" s="37" t="str">
        <f>DATA!L13</f>
        <v>Balinka - Matur - Ngarai Sianok Tunnel Construction</v>
      </c>
      <c r="O23" s="20">
        <f>DATA!Q13</f>
        <v>1</v>
      </c>
      <c r="P23" s="20">
        <f>DATA!R13</f>
        <v>1</v>
      </c>
      <c r="Q23" s="20">
        <f>DATA!S13</f>
        <v>9</v>
      </c>
      <c r="R23" s="77">
        <f>DATA!T13</f>
        <v>175000000</v>
      </c>
      <c r="S23" s="83">
        <f>DATA!U13</f>
        <v>175000000</v>
      </c>
      <c r="T23" s="77">
        <f>DATA!V13</f>
        <v>8750000</v>
      </c>
      <c r="U23" s="77">
        <f>DATA!W13</f>
        <v>0</v>
      </c>
      <c r="V23" s="77">
        <f>DATA!X13</f>
        <v>183750000</v>
      </c>
      <c r="W23" s="78" t="str">
        <f>DATA!Y13</f>
        <v>Korea/RRT</v>
      </c>
      <c r="X23" s="20" t="str">
        <f>DATA!Z13</f>
        <v>Multi Lender</v>
      </c>
      <c r="Y23" s="77">
        <f>DATA!AA13</f>
        <v>175000000</v>
      </c>
      <c r="Z23" s="77">
        <f>DATA!AG13</f>
        <v>0</v>
      </c>
      <c r="AA23" s="20">
        <f>DATA!AH13</f>
        <v>2017</v>
      </c>
      <c r="AB23" s="37" t="str">
        <f>DATA!AI13</f>
        <v>-</v>
      </c>
      <c r="AC23" s="37" t="str">
        <f>DATA!AJ13</f>
        <v>FS, DED, SP2LP</v>
      </c>
      <c r="AD23" s="37" t="str">
        <f>DATA!AK13</f>
        <v>-</v>
      </c>
      <c r="AE23" s="37" t="str">
        <f>DATA!AL13</f>
        <v>-</v>
      </c>
      <c r="AF23" s="20" t="str">
        <f>DATA!AR13</f>
        <v>belum ada dokumen R/C</v>
      </c>
      <c r="AG23" s="20" t="str">
        <f>DATA!AN13</f>
        <v>dalam proses
(memiliki FS dan DED)</v>
      </c>
      <c r="AH23" s="20" t="str">
        <f>DATA!AO13</f>
        <v>belum ada keterangan</v>
      </c>
      <c r="AI23" s="20" t="str">
        <f>DATA!AP13</f>
        <v>belum ada proses tender/lelang</v>
      </c>
      <c r="AJ23" s="20" t="str">
        <f>DATA!AY13</f>
        <v>Konfirmasi melalui surat Sekjen nomor KU.01.12-Sj/636 tgl 23 Oktober 2015</v>
      </c>
      <c r="AK23" s="20" t="e">
        <f>DATA!#REF!</f>
        <v>#REF!</v>
      </c>
      <c r="AL23" s="20">
        <f>DATA!AZ13</f>
        <v>0</v>
      </c>
      <c r="AM23" s="37" t="str">
        <f>DATA!BA13</f>
        <v xml:space="preserve">Pembangunan terowongan, jembatan dan jalan sepanjang 5 km di daerah Balinka-Ngarai Sianok, Sumatera Barat </v>
      </c>
    </row>
    <row r="24" spans="1:39" ht="58.5" hidden="1" customHeight="1">
      <c r="A24" s="10">
        <f>DATA!A14</f>
        <v>12</v>
      </c>
      <c r="B24" s="10">
        <f>DATA!B14</f>
        <v>0</v>
      </c>
      <c r="C24" s="10" t="str">
        <f>DATA!D14</f>
        <v>INFRASTRUKTUR</v>
      </c>
      <c r="D24" s="10">
        <f>DATA!E14</f>
        <v>1</v>
      </c>
      <c r="E24" s="10" t="str">
        <f>DATA!F14</f>
        <v>Kementerian Pekerjaan Umum dan Perumahan Rakyat</v>
      </c>
      <c r="F24" s="10" t="str">
        <f>DATA!H14</f>
        <v>Development and Improvement of National Bridges Program</v>
      </c>
      <c r="G24" s="10" t="str">
        <f>DATA!I14</f>
        <v>B</v>
      </c>
      <c r="H24" s="10" t="str">
        <f>DATA!J14</f>
        <v xml:space="preserve">Program Pembangunan / Peningkatan Jembatan </v>
      </c>
      <c r="I24" s="10">
        <f>DATA!K14</f>
        <v>5</v>
      </c>
      <c r="J24" s="33"/>
      <c r="K24" s="34"/>
      <c r="L24" s="54"/>
      <c r="M24" s="36">
        <f>DATA!K14</f>
        <v>5</v>
      </c>
      <c r="N24" s="37" t="str">
        <f>DATA!L14</f>
        <v>Long Span Bridge Development for Selected Area</v>
      </c>
      <c r="O24" s="20">
        <f>DATA!Q14</f>
        <v>1</v>
      </c>
      <c r="P24" s="20">
        <f>DATA!R14</f>
        <v>1</v>
      </c>
      <c r="Q24" s="20">
        <f>DATA!S14</f>
        <v>10</v>
      </c>
      <c r="R24" s="77">
        <f>DATA!T14</f>
        <v>355000000</v>
      </c>
      <c r="S24" s="83">
        <f>DATA!U14</f>
        <v>355000000</v>
      </c>
      <c r="T24" s="77">
        <f>DATA!V14</f>
        <v>17750000</v>
      </c>
      <c r="U24" s="77">
        <f>DATA!W14</f>
        <v>0</v>
      </c>
      <c r="V24" s="77">
        <f>DATA!X14</f>
        <v>372750000</v>
      </c>
      <c r="W24" s="78" t="str">
        <f>DATA!Y14</f>
        <v>Korea/RRT</v>
      </c>
      <c r="X24" s="20" t="str">
        <f>DATA!Z14</f>
        <v>Multi Lender</v>
      </c>
      <c r="Y24" s="77">
        <f>DATA!AA14</f>
        <v>355000000</v>
      </c>
      <c r="Z24" s="77">
        <f>DATA!AG14</f>
        <v>0</v>
      </c>
      <c r="AA24" s="20" t="str">
        <f>DATA!AH14</f>
        <v>Tanpa keterangan</v>
      </c>
      <c r="AB24" s="37" t="str">
        <f>DATA!AI14</f>
        <v>-</v>
      </c>
      <c r="AC24" s="37" t="str">
        <f>DATA!AJ14</f>
        <v>-</v>
      </c>
      <c r="AD24" s="37" t="str">
        <f>DATA!AK14</f>
        <v>-</v>
      </c>
      <c r="AE24" s="37" t="str">
        <f>DATA!AL14</f>
        <v>-</v>
      </c>
      <c r="AF24" s="20" t="str">
        <f>DATA!AR14</f>
        <v>belum ada dokumen R/C</v>
      </c>
      <c r="AG24" s="20" t="str">
        <f>DATA!AN14</f>
        <v>belum ada keterangan</v>
      </c>
      <c r="AH24" s="20" t="str">
        <f>DATA!AO14</f>
        <v>belum ada keterangan</v>
      </c>
      <c r="AI24" s="20" t="str">
        <f>DATA!AP14</f>
        <v>belum ada proses tender/lelang</v>
      </c>
      <c r="AJ24" s="20" t="str">
        <f>DATA!AY14</f>
        <v>Konfirmasi melalui surat Sekjen nomor KU.01.12-Sj/636 tgl 23 Oktober 2015</v>
      </c>
      <c r="AK24" s="20" t="e">
        <f>DATA!#REF!</f>
        <v>#REF!</v>
      </c>
      <c r="AL24" s="20">
        <f>DATA!AZ14</f>
        <v>0</v>
      </c>
      <c r="AM24" s="37" t="str">
        <f>DATA!BA14</f>
        <v>Pembangunan jembatan bentang panjang 5.000 m (pada area tertentu) di wilayah Pulau Jawa dan Sumatera yang dipisahkan oleh oleh sungai, rawa, danau, selat, saluran besar.</v>
      </c>
    </row>
    <row r="25" spans="1:39" s="5" customFormat="1" ht="33.75" hidden="1" customHeight="1">
      <c r="J25" s="28"/>
      <c r="K25" s="50"/>
      <c r="L25" s="30" t="str">
        <f>DATA!I15</f>
        <v>C</v>
      </c>
      <c r="M25" s="31" t="str">
        <f>DATA!J16</f>
        <v>Program Pembangunan / Peningkatan Jalan</v>
      </c>
      <c r="N25" s="51"/>
      <c r="O25" s="31"/>
      <c r="P25" s="31"/>
      <c r="Q25" s="31"/>
      <c r="R25" s="81">
        <f>SUM(R26:R33)</f>
        <v>2000000000</v>
      </c>
      <c r="S25" s="81"/>
      <c r="T25" s="81">
        <f>SUM(T27:T33)</f>
        <v>350000000</v>
      </c>
      <c r="U25" s="81">
        <f>SUM(U27:U33)</f>
        <v>0</v>
      </c>
      <c r="V25" s="81">
        <f>SUM(V27:V33)</f>
        <v>2100000000</v>
      </c>
      <c r="W25" s="81"/>
      <c r="X25" s="81">
        <f>SUM(X27:X33)</f>
        <v>0</v>
      </c>
      <c r="Y25" s="81">
        <f>SUM(Y27:Y33)</f>
        <v>1750000000</v>
      </c>
      <c r="Z25" s="81">
        <f>SUM(Z27:Z33)</f>
        <v>0</v>
      </c>
      <c r="AA25" s="31"/>
      <c r="AB25" s="32"/>
      <c r="AC25" s="32"/>
      <c r="AD25" s="32"/>
      <c r="AE25" s="32"/>
      <c r="AF25" s="31"/>
      <c r="AG25" s="31"/>
      <c r="AH25" s="31"/>
      <c r="AI25" s="31"/>
      <c r="AJ25" s="31"/>
      <c r="AK25" s="31"/>
      <c r="AL25" s="31"/>
      <c r="AM25" s="32"/>
    </row>
    <row r="26" spans="1:39" s="5" customFormat="1" ht="33.75" hidden="1" customHeight="1">
      <c r="J26" s="28"/>
      <c r="K26" s="50"/>
      <c r="L26" s="55"/>
      <c r="M26" s="36">
        <f>DATA!K15</f>
        <v>1</v>
      </c>
      <c r="N26" s="37" t="str">
        <f>DATA!L15</f>
        <v>Urban Arterial Road Improvement Project</v>
      </c>
      <c r="O26" s="37">
        <f>DATA!Q15</f>
        <v>1</v>
      </c>
      <c r="P26" s="37">
        <f>DATA!R15</f>
        <v>1</v>
      </c>
      <c r="Q26" s="37">
        <f>DATA!S15</f>
        <v>0</v>
      </c>
      <c r="R26" s="87">
        <f>DATA!T15</f>
        <v>250000000</v>
      </c>
      <c r="S26" s="87">
        <f>DATA!U15</f>
        <v>205000000</v>
      </c>
      <c r="T26" s="87">
        <f>DATA!V15</f>
        <v>50000000</v>
      </c>
      <c r="U26" s="87">
        <f>DATA!W15</f>
        <v>0</v>
      </c>
      <c r="V26" s="87">
        <f>DATA!X15</f>
        <v>300000000</v>
      </c>
      <c r="W26" s="78" t="str">
        <f>DATA!Y15</f>
        <v>JICA</v>
      </c>
      <c r="X26" s="37" t="str">
        <f>DATA!Z15</f>
        <v>Multilateral</v>
      </c>
      <c r="Y26" s="87">
        <f>DATA!AA15</f>
        <v>205000000</v>
      </c>
      <c r="Z26" s="87">
        <f>DATA!AG15</f>
        <v>0</v>
      </c>
      <c r="AA26" s="37">
        <f>DATA!AH15</f>
        <v>2016</v>
      </c>
      <c r="AB26" s="56" t="str">
        <f>DATA!AI15</f>
        <v>-</v>
      </c>
      <c r="AC26" s="56" t="str">
        <f>DATA!AJ15</f>
        <v>Sebagian telah ada FS, DED dan AMDAL</v>
      </c>
      <c r="AD26" s="56" t="str">
        <f>DATA!AK15</f>
        <v>-</v>
      </c>
      <c r="AE26" s="56" t="str">
        <f>DATA!AL15</f>
        <v>-</v>
      </c>
      <c r="AF26" s="31"/>
      <c r="AG26" s="31"/>
      <c r="AH26" s="31"/>
      <c r="AI26" s="31"/>
      <c r="AJ26" s="31"/>
      <c r="AK26" s="31"/>
      <c r="AL26" s="31"/>
      <c r="AM26" s="32"/>
    </row>
    <row r="27" spans="1:39" ht="37.5" hidden="1" customHeight="1">
      <c r="A27" s="10">
        <f>DATA!A16</f>
        <v>14</v>
      </c>
      <c r="B27" s="10">
        <f>DATA!B16</f>
        <v>0</v>
      </c>
      <c r="C27" s="10" t="str">
        <f>DATA!D16</f>
        <v>INFRASTRUKTUR</v>
      </c>
      <c r="D27" s="10">
        <f>DATA!E16</f>
        <v>1</v>
      </c>
      <c r="E27" s="10" t="str">
        <f>DATA!F16</f>
        <v>Kementerian Pekerjaan Umum dan Perumahan Rakyat</v>
      </c>
      <c r="F27" s="10" t="str">
        <f>DATA!H16</f>
        <v>Development and Improvement of National Roads Program</v>
      </c>
      <c r="G27" s="10" t="str">
        <f>DATA!I16</f>
        <v>C</v>
      </c>
      <c r="H27" s="10" t="str">
        <f>DATA!J16</f>
        <v>Program Pembangunan / Peningkatan Jalan</v>
      </c>
      <c r="I27" s="10">
        <f>DATA!K16</f>
        <v>2</v>
      </c>
      <c r="J27" s="33"/>
      <c r="K27" s="34"/>
      <c r="L27" s="34"/>
      <c r="M27" s="36">
        <f>DATA!K16</f>
        <v>2</v>
      </c>
      <c r="N27" s="37" t="str">
        <f>DATA!L16</f>
        <v>Construction of Development of Trans South-South, Eastern Java</v>
      </c>
      <c r="O27" s="20">
        <f>DATA!Q16</f>
        <v>1</v>
      </c>
      <c r="P27" s="20">
        <f>DATA!R16</f>
        <v>1</v>
      </c>
      <c r="Q27" s="20">
        <f>DATA!S16</f>
        <v>12</v>
      </c>
      <c r="R27" s="77">
        <f>DATA!T16</f>
        <v>250000000</v>
      </c>
      <c r="S27" s="77">
        <f>DATA!U16</f>
        <v>250000000</v>
      </c>
      <c r="T27" s="77">
        <f>DATA!V16</f>
        <v>50000000</v>
      </c>
      <c r="U27" s="77">
        <f>DATA!W16</f>
        <v>0</v>
      </c>
      <c r="V27" s="77">
        <f>DATA!X16</f>
        <v>300000000</v>
      </c>
      <c r="W27" s="88" t="str">
        <f>DATA!Y16</f>
        <v>IDB</v>
      </c>
      <c r="X27" s="77" t="str">
        <f>DATA!Z16</f>
        <v>Multilateral</v>
      </c>
      <c r="Y27" s="77">
        <f>DATA!AA16</f>
        <v>250000000</v>
      </c>
      <c r="Z27" s="77">
        <f>DATA!AG16</f>
        <v>0</v>
      </c>
      <c r="AA27" s="100">
        <f>DATA!AH16</f>
        <v>2016</v>
      </c>
      <c r="AB27" s="101" t="str">
        <f>DATA!AI16</f>
        <v>-</v>
      </c>
      <c r="AC27" s="101" t="str">
        <f>DATA!AJ16</f>
        <v>FS ada, DED dan AMDAL sebagian</v>
      </c>
      <c r="AD27" s="101" t="str">
        <f>DATA!AK16</f>
        <v>-</v>
      </c>
      <c r="AE27" s="56" t="str">
        <f>DATA!AL16</f>
        <v>-</v>
      </c>
      <c r="AF27" s="20" t="str">
        <f>DATA!AM16</f>
        <v>Rev. 2016</v>
      </c>
      <c r="AG27" s="20" t="str">
        <f>DATA!AN16</f>
        <v>siap</v>
      </c>
      <c r="AH27" s="20" t="str">
        <f>DATA!AO16</f>
        <v>belum ada keterangan</v>
      </c>
      <c r="AI27" s="20" t="str">
        <f>DATA!AP16</f>
        <v>belum ada proses tender/lelang</v>
      </c>
      <c r="AJ27" s="20" t="str">
        <f>DATA!AY16</f>
        <v>Konfirmasi melalui surat Sekjen nomor KU.01.12-Sj/636 tgl 23 Oktober 2015</v>
      </c>
      <c r="AK27" s="20" t="e">
        <f>DATA!#REF!</f>
        <v>#REF!</v>
      </c>
      <c r="AL27" s="20">
        <f>DATA!AZ16</f>
        <v>0</v>
      </c>
      <c r="AM27" s="37" t="str">
        <f>DATA!BA16</f>
        <v>Pembangunan dan peningkatan 200 km jalan Trans Selatan Selatan Pulau Jawa</v>
      </c>
    </row>
    <row r="28" spans="1:39" ht="45.75" hidden="1" customHeight="1">
      <c r="A28" s="10">
        <f>DATA!A17</f>
        <v>15</v>
      </c>
      <c r="B28" s="10">
        <f>DATA!B17</f>
        <v>0</v>
      </c>
      <c r="C28" s="10" t="str">
        <f>DATA!D17</f>
        <v>INFRASTRUKTUR</v>
      </c>
      <c r="D28" s="10">
        <f>DATA!E17</f>
        <v>1</v>
      </c>
      <c r="E28" s="10" t="str">
        <f>DATA!F17</f>
        <v>Kementerian Pekerjaan Umum dan Perumahan Rakyat</v>
      </c>
      <c r="F28" s="10" t="str">
        <f>DATA!H17</f>
        <v>Development and Improvement of National Roads Program</v>
      </c>
      <c r="G28" s="10" t="str">
        <f>DATA!I17</f>
        <v>C</v>
      </c>
      <c r="H28" s="10" t="str">
        <f>DATA!J17</f>
        <v>Program Pembangunan / Peningkatan Jalan</v>
      </c>
      <c r="I28" s="10">
        <f>DATA!K17</f>
        <v>3</v>
      </c>
      <c r="J28" s="33"/>
      <c r="K28" s="34"/>
      <c r="L28" s="34"/>
      <c r="M28" s="36">
        <f>DATA!K17</f>
        <v>3</v>
      </c>
      <c r="N28" s="37" t="str">
        <f>DATA!L17</f>
        <v>Road Improvement Project to Support Integrated Land and Sea Toll Way - Northern Area</v>
      </c>
      <c r="O28" s="20">
        <f>DATA!Q17</f>
        <v>1</v>
      </c>
      <c r="P28" s="20">
        <f>DATA!R17</f>
        <v>1</v>
      </c>
      <c r="Q28" s="20">
        <f>DATA!S17</f>
        <v>13</v>
      </c>
      <c r="R28" s="77">
        <f>DATA!T17</f>
        <v>250000000</v>
      </c>
      <c r="S28" s="83">
        <f>DATA!U16</f>
        <v>250000000</v>
      </c>
      <c r="T28" s="77">
        <f>DATA!V17</f>
        <v>50000000</v>
      </c>
      <c r="U28" s="77">
        <f>DATA!W17</f>
        <v>0</v>
      </c>
      <c r="V28" s="77">
        <f>DATA!X17</f>
        <v>300000000</v>
      </c>
      <c r="W28" s="78" t="str">
        <f>DATA!Y17</f>
        <v>Bank Dunia</v>
      </c>
      <c r="X28" s="20" t="str">
        <f>DATA!Z17</f>
        <v>Multilateral</v>
      </c>
      <c r="Y28" s="77">
        <f>DATA!AA17</f>
        <v>250000000</v>
      </c>
      <c r="Z28" s="77">
        <f>DATA!AG17</f>
        <v>0</v>
      </c>
      <c r="AA28" s="20" t="str">
        <f>DATA!AH17</f>
        <v>Tanpa keterangan</v>
      </c>
      <c r="AB28" s="56" t="str">
        <f>DATA!AI17</f>
        <v>-</v>
      </c>
      <c r="AC28" s="56" t="str">
        <f>DATA!AJ17</f>
        <v>-</v>
      </c>
      <c r="AD28" s="56" t="str">
        <f>DATA!AK17</f>
        <v>-</v>
      </c>
      <c r="AE28" s="56" t="str">
        <f>DATA!AL17</f>
        <v>-</v>
      </c>
      <c r="AF28" s="20">
        <f>DATA!AM17</f>
        <v>0</v>
      </c>
      <c r="AG28" s="20" t="str">
        <f>DATA!AN17</f>
        <v>belum ada keterangan</v>
      </c>
      <c r="AH28" s="20" t="str">
        <f>DATA!AO17</f>
        <v>belum ada keterangan</v>
      </c>
      <c r="AI28" s="20" t="str">
        <f>DATA!AP17</f>
        <v>belum ada proses tender/lelang</v>
      </c>
      <c r="AJ28" s="20" t="str">
        <f>DATA!AY17</f>
        <v>Konfirmasi melalui surat Sekjen nomor KU.01.12-Sj/636 tgl 23 Oktober 2015</v>
      </c>
      <c r="AK28" s="20" t="e">
        <f>DATA!#REF!</f>
        <v>#REF!</v>
      </c>
      <c r="AL28" s="20" t="str">
        <f>DATA!AZ17</f>
        <v>termasuk ES (akan dipecah?) -&gt; konfirmasi tgl 15 Okt' 15</v>
      </c>
      <c r="AM28" s="37" t="str">
        <f>DATA!BA17</f>
        <v>Pembangunan/peningkatan 200 km jalan untuk mendukung tol laut bagian utara termasuk (i) koridor Aceh - Medan - Riau dan (ii) Medan - Sibolga</v>
      </c>
    </row>
    <row r="29" spans="1:39" ht="84" hidden="1" customHeight="1">
      <c r="A29" s="10">
        <f>DATA!A18</f>
        <v>16</v>
      </c>
      <c r="B29" s="10">
        <f>DATA!B18</f>
        <v>0</v>
      </c>
      <c r="C29" s="10" t="str">
        <f>DATA!D18</f>
        <v>INFRASTRUKTUR</v>
      </c>
      <c r="D29" s="10">
        <f>DATA!E18</f>
        <v>1</v>
      </c>
      <c r="E29" s="10" t="str">
        <f>DATA!F18</f>
        <v>Kementerian Pekerjaan Umum dan Perumahan Rakyat</v>
      </c>
      <c r="F29" s="10" t="str">
        <f>DATA!H18</f>
        <v>Development and Improvement of National Roads Program</v>
      </c>
      <c r="G29" s="10" t="str">
        <f>DATA!I18</f>
        <v>C</v>
      </c>
      <c r="H29" s="10" t="str">
        <f>DATA!J18</f>
        <v>Program Pembangunan / Peningkatan Jalan</v>
      </c>
      <c r="I29" s="10">
        <f>DATA!K18</f>
        <v>4</v>
      </c>
      <c r="J29" s="33"/>
      <c r="K29" s="34"/>
      <c r="L29" s="34"/>
      <c r="M29" s="36">
        <f>DATA!K18</f>
        <v>4</v>
      </c>
      <c r="N29" s="37" t="str">
        <f>DATA!L18</f>
        <v>Road Improvement Project to Support Integrated Land and Sea Toll Way - Southern Area</v>
      </c>
      <c r="O29" s="20">
        <f>DATA!Q18</f>
        <v>1</v>
      </c>
      <c r="P29" s="20">
        <f>DATA!R18</f>
        <v>1</v>
      </c>
      <c r="Q29" s="20">
        <f>DATA!S18</f>
        <v>14</v>
      </c>
      <c r="R29" s="77">
        <f>DATA!T18</f>
        <v>250000000</v>
      </c>
      <c r="S29" s="83">
        <f>DATA!U17</f>
        <v>250000000</v>
      </c>
      <c r="T29" s="77">
        <f>DATA!V18</f>
        <v>50000000</v>
      </c>
      <c r="U29" s="77">
        <f>DATA!W18</f>
        <v>0</v>
      </c>
      <c r="V29" s="77">
        <f>DATA!X18</f>
        <v>300000000</v>
      </c>
      <c r="W29" s="78" t="str">
        <f>DATA!Y18</f>
        <v>Bank Dunia/ADB</v>
      </c>
      <c r="X29" s="20" t="str">
        <f>DATA!Z18</f>
        <v>Multi Lender</v>
      </c>
      <c r="Y29" s="77">
        <f>DATA!AA18</f>
        <v>250000000</v>
      </c>
      <c r="Z29" s="77">
        <f>DATA!AG18</f>
        <v>0</v>
      </c>
      <c r="AA29" s="20" t="str">
        <f>DATA!AH18</f>
        <v>Tanpa keterangan</v>
      </c>
      <c r="AB29" s="56" t="str">
        <f>DATA!AI18</f>
        <v>-</v>
      </c>
      <c r="AC29" s="56" t="str">
        <f>DATA!AJ18</f>
        <v>-</v>
      </c>
      <c r="AD29" s="56" t="str">
        <f>DATA!AK18</f>
        <v>-</v>
      </c>
      <c r="AE29" s="56" t="str">
        <f>DATA!AL18</f>
        <v>-</v>
      </c>
      <c r="AF29" s="20" t="str">
        <f>DATA!AR18</f>
        <v>belum ada dokumen R/C</v>
      </c>
      <c r="AG29" s="20" t="str">
        <f>DATA!AN18</f>
        <v>belum ada keterangan</v>
      </c>
      <c r="AH29" s="20" t="str">
        <f>DATA!AO18</f>
        <v>belum ada keterangan</v>
      </c>
      <c r="AI29" s="20" t="str">
        <f>DATA!AP18</f>
        <v>belum ada proses tender/lelang</v>
      </c>
      <c r="AJ29" s="20" t="str">
        <f>DATA!AY18</f>
        <v>Konfirmasi melalui surat Sekjen nomor KU.01.12-Sj/636 tgl 23 Oktober 2015</v>
      </c>
      <c r="AK29" s="20" t="e">
        <f>DATA!#REF!</f>
        <v>#REF!</v>
      </c>
      <c r="AL29" s="20">
        <f>DATA!AZ18</f>
        <v>0</v>
      </c>
      <c r="AM29" s="37"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row>
    <row r="30" spans="1:39" ht="46.5" hidden="1" customHeight="1">
      <c r="A30" s="10">
        <f>DATA!A19</f>
        <v>17</v>
      </c>
      <c r="B30" s="10">
        <f>DATA!B19</f>
        <v>0</v>
      </c>
      <c r="C30" s="10" t="str">
        <f>DATA!D19</f>
        <v>INFRASTRUKTUR</v>
      </c>
      <c r="D30" s="10">
        <f>DATA!E19</f>
        <v>1</v>
      </c>
      <c r="E30" s="10" t="str">
        <f>DATA!F19</f>
        <v>Kementerian Pekerjaan Umum dan Perumahan Rakyat</v>
      </c>
      <c r="F30" s="10" t="str">
        <f>DATA!H19</f>
        <v>Development and Improvement of National Roads Program</v>
      </c>
      <c r="G30" s="10" t="str">
        <f>DATA!I19</f>
        <v>C</v>
      </c>
      <c r="H30" s="10" t="str">
        <f>DATA!J19</f>
        <v>Program Pembangunan / Peningkatan Jalan</v>
      </c>
      <c r="I30" s="10">
        <f>DATA!K19</f>
        <v>5</v>
      </c>
      <c r="J30" s="33"/>
      <c r="K30" s="34"/>
      <c r="L30" s="34"/>
      <c r="M30" s="36">
        <f>DATA!K19</f>
        <v>5</v>
      </c>
      <c r="N30" s="37" t="str">
        <f>DATA!L19</f>
        <v>National Road Improvement in West and South Kalimantan</v>
      </c>
      <c r="O30" s="20">
        <f>DATA!Q19</f>
        <v>1</v>
      </c>
      <c r="P30" s="20">
        <f>DATA!R19</f>
        <v>1</v>
      </c>
      <c r="Q30" s="20">
        <f>DATA!S19</f>
        <v>15</v>
      </c>
      <c r="R30" s="77">
        <f>DATA!T19</f>
        <v>250000000</v>
      </c>
      <c r="S30" s="83">
        <f>DATA!U18</f>
        <v>250000000</v>
      </c>
      <c r="T30" s="77">
        <f>DATA!V19</f>
        <v>50000000</v>
      </c>
      <c r="U30" s="77">
        <f>DATA!W19</f>
        <v>0</v>
      </c>
      <c r="V30" s="77">
        <f>DATA!X19</f>
        <v>300000000</v>
      </c>
      <c r="W30" s="78" t="str">
        <f>DATA!Y19</f>
        <v>IDB</v>
      </c>
      <c r="X30" s="20" t="str">
        <f>DATA!Z19</f>
        <v>Multilateral</v>
      </c>
      <c r="Y30" s="77">
        <f>DATA!AA19</f>
        <v>250000000</v>
      </c>
      <c r="Z30" s="77">
        <f>DATA!AG19</f>
        <v>0</v>
      </c>
      <c r="AA30" s="20">
        <f>DATA!AH19</f>
        <v>2017</v>
      </c>
      <c r="AB30" s="56" t="str">
        <f>DATA!AI19</f>
        <v>-</v>
      </c>
      <c r="AC30" s="56" t="str">
        <f>DATA!AJ19</f>
        <v>-</v>
      </c>
      <c r="AD30" s="56" t="str">
        <f>DATA!AK19</f>
        <v>-</v>
      </c>
      <c r="AE30" s="56" t="str">
        <f>DATA!AL19</f>
        <v>-</v>
      </c>
      <c r="AF30" s="20" t="str">
        <f>DATA!AR19</f>
        <v>belum ada dokumen R/C</v>
      </c>
      <c r="AG30" s="20" t="str">
        <f>DATA!AN19</f>
        <v>belum ada keterangan</v>
      </c>
      <c r="AH30" s="20" t="str">
        <f>DATA!AO19</f>
        <v>belum ada keterangan</v>
      </c>
      <c r="AI30" s="20" t="str">
        <f>DATA!AP19</f>
        <v>belum ada proses tender/lelang</v>
      </c>
      <c r="AJ30" s="20" t="str">
        <f>DATA!AY19</f>
        <v>Konfirmasi melalui surat Sekjen nomor KU.01.12-Sj/636 tgl 23 Oktober 2015</v>
      </c>
      <c r="AK30" s="20" t="e">
        <f>DATA!#REF!</f>
        <v>#REF!</v>
      </c>
      <c r="AL30" s="20">
        <f>DATA!AZ19</f>
        <v>0</v>
      </c>
      <c r="AM30" s="37" t="str">
        <f>DATA!BA19</f>
        <v>Pembangunan/peningkatan 200 km jalan di daerah koridor perbatasan di Kalimantan Barat dan jalan internasional di Kalimantan Selatan</v>
      </c>
    </row>
    <row r="31" spans="1:39" ht="36.75" hidden="1" customHeight="1">
      <c r="A31" s="10">
        <f>DATA!A20</f>
        <v>18</v>
      </c>
      <c r="B31" s="10">
        <f>DATA!B20</f>
        <v>0</v>
      </c>
      <c r="C31" s="10" t="str">
        <f>DATA!D20</f>
        <v>INFRASTRUKTUR</v>
      </c>
      <c r="D31" s="10">
        <f>DATA!E20</f>
        <v>1</v>
      </c>
      <c r="E31" s="10" t="str">
        <f>DATA!F20</f>
        <v>Kementerian Pekerjaan Umum dan Perumahan Rakyat</v>
      </c>
      <c r="F31" s="10" t="str">
        <f>DATA!H20</f>
        <v>Development and Improvement of National Roads Program</v>
      </c>
      <c r="G31" s="10" t="str">
        <f>DATA!I20</f>
        <v>C</v>
      </c>
      <c r="H31" s="10" t="str">
        <f>DATA!J20</f>
        <v>Program Pembangunan / Peningkatan Jalan</v>
      </c>
      <c r="I31" s="10">
        <f>DATA!K20</f>
        <v>6</v>
      </c>
      <c r="J31" s="33"/>
      <c r="K31" s="34"/>
      <c r="L31" s="34"/>
      <c r="M31" s="36">
        <f>DATA!K20</f>
        <v>6</v>
      </c>
      <c r="N31" s="37" t="str">
        <f>DATA!L20</f>
        <v>National Road Improvement in Central Kalimantan</v>
      </c>
      <c r="O31" s="20">
        <f>DATA!Q20</f>
        <v>1</v>
      </c>
      <c r="P31" s="20">
        <f>DATA!R20</f>
        <v>1</v>
      </c>
      <c r="Q31" s="20">
        <f>DATA!S20</f>
        <v>16</v>
      </c>
      <c r="R31" s="77">
        <f>DATA!T20</f>
        <v>250000000</v>
      </c>
      <c r="S31" s="83">
        <f>DATA!U19</f>
        <v>250000000</v>
      </c>
      <c r="T31" s="77">
        <f>DATA!V20</f>
        <v>50000000</v>
      </c>
      <c r="U31" s="77">
        <f>DATA!W20</f>
        <v>0</v>
      </c>
      <c r="V31" s="77">
        <f>DATA!X20</f>
        <v>300000000</v>
      </c>
      <c r="W31" s="78" t="str">
        <f>DATA!Y20</f>
        <v>Bank Dunia/ADB</v>
      </c>
      <c r="X31" s="20" t="str">
        <f>DATA!Z20</f>
        <v>Multi Lender</v>
      </c>
      <c r="Y31" s="77">
        <f>DATA!AA20</f>
        <v>250000000</v>
      </c>
      <c r="Z31" s="77">
        <f>DATA!AG20</f>
        <v>0</v>
      </c>
      <c r="AA31" s="20" t="str">
        <f>DATA!AH20</f>
        <v>Tanpa keterangan</v>
      </c>
      <c r="AB31" s="56" t="str">
        <f>DATA!AI20</f>
        <v>-</v>
      </c>
      <c r="AC31" s="56" t="str">
        <f>DATA!AJ20</f>
        <v xml:space="preserve">FS, BD, AMDAL, Penyusunan DED, SP2LP </v>
      </c>
      <c r="AD31" s="56" t="str">
        <f>DATA!AK20</f>
        <v>-</v>
      </c>
      <c r="AE31" s="56" t="str">
        <f>DATA!AL20</f>
        <v>-</v>
      </c>
      <c r="AF31" s="20" t="str">
        <f>DATA!AR20</f>
        <v>belum ada dokumen R/C</v>
      </c>
      <c r="AG31" s="20" t="str">
        <f>DATA!AN20</f>
        <v>siap</v>
      </c>
      <c r="AH31" s="20" t="str">
        <f>DATA!AO20</f>
        <v>belum ada keterangan</v>
      </c>
      <c r="AI31" s="20" t="str">
        <f>DATA!AP20</f>
        <v>belum ada proses tender/lelang</v>
      </c>
      <c r="AJ31" s="20" t="str">
        <f>DATA!AY20</f>
        <v>Konfirmasi melalui surat Sekjen nomor KU.01.12-Sj/636 tgl 23 Oktober 2015</v>
      </c>
      <c r="AK31" s="20" t="e">
        <f>DATA!#REF!</f>
        <v>#REF!</v>
      </c>
      <c r="AL31" s="20">
        <f>DATA!AZ20</f>
        <v>0</v>
      </c>
      <c r="AM31" s="37" t="str">
        <f>DATA!BA20</f>
        <v>Pembangunan 200 km jalan di wilayah Kalimantan Tengah</v>
      </c>
    </row>
    <row r="32" spans="1:39" ht="31.5" hidden="1" customHeight="1">
      <c r="A32" s="10">
        <f>DATA!A21</f>
        <v>19</v>
      </c>
      <c r="B32" s="10">
        <f>DATA!B21</f>
        <v>0</v>
      </c>
      <c r="C32" s="10" t="str">
        <f>DATA!D21</f>
        <v>INFRASTRUKTUR</v>
      </c>
      <c r="D32" s="10">
        <f>DATA!E21</f>
        <v>1</v>
      </c>
      <c r="E32" s="10" t="str">
        <f>DATA!F21</f>
        <v>Kementerian Pekerjaan Umum dan Perumahan Rakyat</v>
      </c>
      <c r="F32" s="10" t="str">
        <f>DATA!H21</f>
        <v>Development and Improvement of National Roads Program</v>
      </c>
      <c r="G32" s="10" t="str">
        <f>DATA!I21</f>
        <v>C</v>
      </c>
      <c r="H32" s="10" t="str">
        <f>DATA!J21</f>
        <v>Program Pembangunan / Peningkatan Jalan</v>
      </c>
      <c r="I32" s="10">
        <f>DATA!K21</f>
        <v>7</v>
      </c>
      <c r="J32" s="33"/>
      <c r="K32" s="34"/>
      <c r="L32" s="34"/>
      <c r="M32" s="36">
        <f>DATA!K21</f>
        <v>7</v>
      </c>
      <c r="N32" s="37" t="str">
        <f>DATA!L21</f>
        <v>National Road Improvement in North and East Kalimantan</v>
      </c>
      <c r="O32" s="20">
        <f>DATA!Q21</f>
        <v>1</v>
      </c>
      <c r="P32" s="20">
        <f>DATA!R21</f>
        <v>1</v>
      </c>
      <c r="Q32" s="20">
        <f>DATA!S21</f>
        <v>17</v>
      </c>
      <c r="R32" s="77">
        <f>DATA!T21</f>
        <v>250000000</v>
      </c>
      <c r="S32" s="83">
        <f>DATA!U20</f>
        <v>250000000</v>
      </c>
      <c r="T32" s="77">
        <f>DATA!V21</f>
        <v>50000000</v>
      </c>
      <c r="U32" s="77">
        <f>DATA!W21</f>
        <v>0</v>
      </c>
      <c r="V32" s="77">
        <f>DATA!X21</f>
        <v>300000000</v>
      </c>
      <c r="W32" s="78" t="str">
        <f>DATA!Y21</f>
        <v>IDB</v>
      </c>
      <c r="X32" s="20" t="str">
        <f>DATA!Z21</f>
        <v>Multilateral</v>
      </c>
      <c r="Y32" s="77">
        <f>DATA!AA21</f>
        <v>250000000</v>
      </c>
      <c r="Z32" s="77">
        <f>DATA!AG21</f>
        <v>0</v>
      </c>
      <c r="AA32" s="20">
        <f>DATA!AH21</f>
        <v>2016</v>
      </c>
      <c r="AB32" s="56" t="str">
        <f>DATA!AI21</f>
        <v>-</v>
      </c>
      <c r="AC32" s="56" t="str">
        <f>DATA!AJ21</f>
        <v>FS dan BD ada, DED dan AMDAL sebagian</v>
      </c>
      <c r="AD32" s="56" t="str">
        <f>DATA!AK21</f>
        <v>-</v>
      </c>
      <c r="AE32" s="56" t="str">
        <f>DATA!AL21</f>
        <v>-</v>
      </c>
      <c r="AF32" s="20" t="str">
        <f>DATA!AR21</f>
        <v>belum ada dokumen R/C</v>
      </c>
      <c r="AG32" s="20" t="str">
        <f>DATA!AN21</f>
        <v>siap</v>
      </c>
      <c r="AH32" s="20" t="str">
        <f>DATA!AO21</f>
        <v>belum ada keterangan</v>
      </c>
      <c r="AI32" s="20" t="str">
        <f>DATA!AP21</f>
        <v>belum ada proses tender/lelang</v>
      </c>
      <c r="AJ32" s="20" t="str">
        <f>DATA!AY21</f>
        <v>Konfirmasi melalui surat Sekjen nomor KU.01.12-Sj/636 tgl 23 Oktober 201515</v>
      </c>
      <c r="AK32" s="20" t="e">
        <f>DATA!#REF!</f>
        <v>#REF!</v>
      </c>
      <c r="AL32" s="20">
        <f>DATA!AZ21</f>
        <v>0</v>
      </c>
      <c r="AM32" s="37" t="str">
        <f>DATA!BA21</f>
        <v>Pembangunan 200 km jalan di wilayah Kalimantan Utara dan Kalimantan Timur</v>
      </c>
    </row>
    <row r="33" spans="1:39" ht="48" hidden="1" customHeight="1">
      <c r="A33" s="10">
        <f>DATA!A22</f>
        <v>20</v>
      </c>
      <c r="B33" s="10">
        <f>DATA!B22</f>
        <v>0</v>
      </c>
      <c r="C33" s="10" t="str">
        <f>DATA!D22</f>
        <v>INFRASTRUKTUR</v>
      </c>
      <c r="D33" s="10">
        <f>DATA!E22</f>
        <v>1</v>
      </c>
      <c r="E33" s="10" t="str">
        <f>DATA!F22</f>
        <v>Kementerian Pekerjaan Umum dan Perumahan Rakyat</v>
      </c>
      <c r="F33" s="10" t="str">
        <f>DATA!H22</f>
        <v>Development and Improvement of National Roads Program</v>
      </c>
      <c r="G33" s="10" t="str">
        <f>DATA!I22</f>
        <v>C</v>
      </c>
      <c r="H33" s="10" t="str">
        <f>DATA!J22</f>
        <v>Program Pembangunan / Peningkatan Jalan</v>
      </c>
      <c r="I33" s="10">
        <f>DATA!K22</f>
        <v>8</v>
      </c>
      <c r="J33" s="33"/>
      <c r="K33" s="34"/>
      <c r="L33" s="54"/>
      <c r="M33" s="36">
        <f>DATA!K22</f>
        <v>8</v>
      </c>
      <c r="N33" s="37" t="str">
        <f>DATA!L22</f>
        <v>Road Improvement Project in Sulawesi Island and Major Cities</v>
      </c>
      <c r="O33" s="20">
        <f>DATA!Q22</f>
        <v>1</v>
      </c>
      <c r="P33" s="20">
        <f>DATA!R22</f>
        <v>1</v>
      </c>
      <c r="Q33" s="20">
        <f>DATA!S22</f>
        <v>18</v>
      </c>
      <c r="R33" s="77">
        <f>DATA!T22</f>
        <v>250000000</v>
      </c>
      <c r="S33" s="83">
        <f>DATA!U21</f>
        <v>250000000</v>
      </c>
      <c r="T33" s="77">
        <f>DATA!V22</f>
        <v>50000000</v>
      </c>
      <c r="U33" s="77">
        <f>DATA!W22</f>
        <v>0</v>
      </c>
      <c r="V33" s="77">
        <f>DATA!X22</f>
        <v>300000000</v>
      </c>
      <c r="W33" s="78" t="str">
        <f>DATA!Y22</f>
        <v>IDB</v>
      </c>
      <c r="X33" s="20" t="str">
        <f>DATA!Z22</f>
        <v>Multilateral</v>
      </c>
      <c r="Y33" s="77">
        <f>DATA!AA22</f>
        <v>250000000</v>
      </c>
      <c r="Z33" s="77">
        <f>DATA!AG22</f>
        <v>0</v>
      </c>
      <c r="AA33" s="20">
        <f>DATA!AH22</f>
        <v>2016</v>
      </c>
      <c r="AB33" s="56" t="str">
        <f>DATA!AI22</f>
        <v>-</v>
      </c>
      <c r="AC33" s="56" t="str">
        <f>DATA!AJ22</f>
        <v>FS, AMDAL</v>
      </c>
      <c r="AD33" s="56" t="str">
        <f>DATA!AK22</f>
        <v>-</v>
      </c>
      <c r="AE33" s="56" t="str">
        <f>DATA!AL22</f>
        <v>-</v>
      </c>
      <c r="AF33" s="20" t="str">
        <f>DATA!AR22</f>
        <v>belum ada dokumen R/C</v>
      </c>
      <c r="AG33" s="20" t="str">
        <f>DATA!AN22</f>
        <v>siap</v>
      </c>
      <c r="AH33" s="20" t="str">
        <f>DATA!AO22</f>
        <v>belum ada keterangan</v>
      </c>
      <c r="AI33" s="20" t="str">
        <f>DATA!AP22</f>
        <v>belum ada proses tender/lelang</v>
      </c>
      <c r="AJ33" s="20" t="str">
        <f>DATA!AY22</f>
        <v xml:space="preserve">Konfirmasi melalui surat Sekjen nomor KU.01.12-Sj/636 tgl 23 Oktober 2015
</v>
      </c>
      <c r="AK33" s="20" t="e">
        <f>DATA!#REF!</f>
        <v>#REF!</v>
      </c>
      <c r="AL33" s="20" t="str">
        <f>DATA!AZ22</f>
        <v xml:space="preserve">Lender kembali IDB berdasarkan hasil konfirmasi rapat dgn Dit,Multilateral tgl 15 Okt'15 </v>
      </c>
      <c r="AM33" s="37" t="str">
        <f>DATA!BA22</f>
        <v xml:space="preserve">Pembangunan jalan (ringroad dan bypass) sepanjang sekitar 200 km di wilayah metropolitan Mamminasata dan Gorontalo Outer Ring Road </v>
      </c>
    </row>
    <row r="34" spans="1:39" ht="48" hidden="1" customHeight="1">
      <c r="J34" s="33"/>
      <c r="K34" s="34"/>
      <c r="L34" s="54"/>
      <c r="M34" s="36">
        <f>DATA!K23</f>
        <v>9</v>
      </c>
      <c r="N34" s="56" t="str">
        <f>DATA!L23</f>
        <v>Engineering Service for National Roads Development Project</v>
      </c>
      <c r="O34" s="36">
        <f>DATA!Q23</f>
        <v>0</v>
      </c>
      <c r="P34" s="36">
        <f>DATA!R23</f>
        <v>1</v>
      </c>
      <c r="Q34" s="36">
        <f>DATA!S23</f>
        <v>0</v>
      </c>
      <c r="R34" s="88">
        <f>DATA!T23</f>
        <v>0</v>
      </c>
      <c r="S34" s="88">
        <f>DATA!U23</f>
        <v>45000000</v>
      </c>
      <c r="T34" s="88">
        <f>DATA!V23</f>
        <v>0</v>
      </c>
      <c r="U34" s="88">
        <f>DATA!W23</f>
        <v>0</v>
      </c>
      <c r="V34" s="88">
        <f>DATA!X23</f>
        <v>0</v>
      </c>
      <c r="W34" s="88" t="str">
        <f>DATA!Y23</f>
        <v>ADB</v>
      </c>
      <c r="X34" s="88" t="str">
        <f>DATA!Z23</f>
        <v>Multilateral</v>
      </c>
      <c r="Y34" s="88">
        <f>DATA!AA23</f>
        <v>45000000</v>
      </c>
      <c r="Z34" s="88">
        <f>DATA!AG23</f>
        <v>0</v>
      </c>
      <c r="AA34" s="102">
        <f>DATA!AH23</f>
        <v>2016</v>
      </c>
      <c r="AB34" s="56" t="str">
        <f>DATA!AI23</f>
        <v>- Sudah ada R/C
- Green Book 2015</v>
      </c>
      <c r="AC34" s="56" t="str">
        <f>DATA!AJ23</f>
        <v>-</v>
      </c>
      <c r="AD34" s="56" t="str">
        <f>DATA!AK23</f>
        <v>-</v>
      </c>
      <c r="AE34" s="56" t="str">
        <f>DATA!AL23</f>
        <v>-</v>
      </c>
      <c r="AF34" s="20"/>
      <c r="AG34" s="20"/>
      <c r="AH34" s="20"/>
      <c r="AI34" s="20"/>
      <c r="AJ34" s="20"/>
      <c r="AK34" s="20"/>
      <c r="AL34" s="20"/>
      <c r="AM34" s="37"/>
    </row>
    <row r="35" spans="1:39" s="5" customFormat="1" ht="33.75" hidden="1" customHeight="1">
      <c r="J35" s="28"/>
      <c r="K35" s="50"/>
      <c r="L35" s="30" t="str">
        <f>DATA!I24</f>
        <v>D</v>
      </c>
      <c r="M35" s="31" t="str">
        <f>DATA!J24</f>
        <v>Program Pembangunan Air Minum</v>
      </c>
      <c r="N35" s="51"/>
      <c r="O35" s="31"/>
      <c r="P35" s="31"/>
      <c r="Q35" s="31"/>
      <c r="R35" s="81">
        <f>+R36+R37+R38+R47</f>
        <v>1197680000</v>
      </c>
      <c r="S35" s="81"/>
      <c r="T35" s="81">
        <f>+T36+T37+T38+T47</f>
        <v>59434000</v>
      </c>
      <c r="U35" s="81">
        <f>+U36+U37+U38+U47</f>
        <v>0</v>
      </c>
      <c r="V35" s="81">
        <f>+V36+V37+V38+V47</f>
        <v>1257114000</v>
      </c>
      <c r="W35" s="81"/>
      <c r="X35" s="81" t="e">
        <f>+X36+X37+X38+X47</f>
        <v>#VALUE!</v>
      </c>
      <c r="Y35" s="81">
        <f>+Y36+Y37+Y38+Y47</f>
        <v>1197680000</v>
      </c>
      <c r="Z35" s="81">
        <f>+Z36+Z37+Z38+Z47</f>
        <v>0</v>
      </c>
      <c r="AA35" s="31"/>
      <c r="AB35" s="32"/>
      <c r="AC35" s="32"/>
      <c r="AD35" s="32"/>
      <c r="AE35" s="32"/>
      <c r="AF35" s="31"/>
      <c r="AG35" s="31"/>
      <c r="AH35" s="31"/>
      <c r="AI35" s="31"/>
      <c r="AJ35" s="31"/>
      <c r="AK35" s="31"/>
      <c r="AL35" s="31"/>
      <c r="AM35" s="32"/>
    </row>
    <row r="36" spans="1:39" s="8" customFormat="1" ht="42" customHeight="1">
      <c r="A36" s="10">
        <f>DATA!A24</f>
        <v>21</v>
      </c>
      <c r="B36" s="10">
        <f>DATA!B24</f>
        <v>0</v>
      </c>
      <c r="C36" s="10" t="str">
        <f>DATA!D24</f>
        <v>INFRASTRUKTUR</v>
      </c>
      <c r="D36" s="10">
        <f>DATA!E24</f>
        <v>1</v>
      </c>
      <c r="E36" s="10" t="str">
        <f>DATA!F24</f>
        <v>Kementerian Pekerjaan Umum dan Perumahan Rakyat</v>
      </c>
      <c r="F36" s="10" t="str">
        <f>DATA!H24</f>
        <v>Drinking Water Development Program</v>
      </c>
      <c r="G36" s="10" t="str">
        <f>DATA!I24</f>
        <v>D</v>
      </c>
      <c r="H36" s="10" t="str">
        <f>DATA!J24</f>
        <v>Program Pembangunan Air Minum</v>
      </c>
      <c r="I36" s="10">
        <f>DATA!K24</f>
        <v>1</v>
      </c>
      <c r="J36" s="57"/>
      <c r="K36" s="58"/>
      <c r="L36" s="59"/>
      <c r="M36" s="60">
        <f>DATA!K24</f>
        <v>1</v>
      </c>
      <c r="N36" s="61" t="str">
        <f>DATA!L24</f>
        <v>Community Based Water and Sanitation Program  (PAMSIMAS)</v>
      </c>
      <c r="O36" s="20">
        <f>DATA!Q24</f>
        <v>1</v>
      </c>
      <c r="P36" s="20">
        <f>DATA!R24</f>
        <v>1</v>
      </c>
      <c r="Q36" s="20">
        <f>DATA!S24</f>
        <v>19</v>
      </c>
      <c r="R36" s="89">
        <f>DATA!T24</f>
        <v>300000000</v>
      </c>
      <c r="S36" s="89"/>
      <c r="T36" s="89">
        <f>DATA!V24</f>
        <v>15000000</v>
      </c>
      <c r="U36" s="77">
        <f>DATA!W24</f>
        <v>0</v>
      </c>
      <c r="V36" s="89">
        <f>DATA!X24</f>
        <v>315000000</v>
      </c>
      <c r="W36" s="90" t="str">
        <f>DATA!Y24</f>
        <v>Bank Dunia</v>
      </c>
      <c r="X36" s="20" t="str">
        <f>DATA!Z24</f>
        <v>Multilateral</v>
      </c>
      <c r="Y36" s="89">
        <f>DATA!AA24</f>
        <v>300000000</v>
      </c>
      <c r="Z36" s="89">
        <f>DATA!AG24</f>
        <v>0</v>
      </c>
      <c r="AA36" s="103">
        <f>DATA!AH24</f>
        <v>2016</v>
      </c>
      <c r="AB36" s="61" t="str">
        <f>DATA!AI24</f>
        <v xml:space="preserve">- Green Book 2015
- Sudah negosiasi
- Tender konsultan </v>
      </c>
      <c r="AC36" s="61" t="str">
        <f>DATA!AJ24</f>
        <v xml:space="preserve">FS, DED
</v>
      </c>
      <c r="AD36" s="61" t="str">
        <f>DATA!AK24</f>
        <v>-</v>
      </c>
      <c r="AE36" s="61" t="str">
        <f>DATA!AL24</f>
        <v>-</v>
      </c>
      <c r="AF36" s="20" t="str">
        <f>DATA!AR24</f>
        <v>-</v>
      </c>
      <c r="AG36" s="20" t="str">
        <f>DATA!AN24</f>
        <v>dalam proses
(memiliki FS dan DED)</v>
      </c>
      <c r="AH36" s="20" t="str">
        <f>DATA!AO24</f>
        <v>belum ada keterangan</v>
      </c>
      <c r="AI36" s="20" t="str">
        <f>DATA!AP24</f>
        <v>belum ada proses tender/lelang</v>
      </c>
      <c r="AJ36"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K36" s="20" t="e">
        <f>DATA!#REF!</f>
        <v>#REF!</v>
      </c>
      <c r="AL36" s="20">
        <f>DATA!AZ24</f>
        <v>0</v>
      </c>
      <c r="AM36" s="37" t="str">
        <f>DATA!BA24</f>
        <v>Peningkatan kualitas pemukiman dan penyediaan air bersih berkelanjutan yang melayani 719.500 Sambungan Rumah (SR).</v>
      </c>
    </row>
    <row r="37" spans="1:39" ht="75" hidden="1" customHeight="1">
      <c r="A37" s="10">
        <f>DATA!A25</f>
        <v>22</v>
      </c>
      <c r="B37" s="10">
        <f>DATA!B25</f>
        <v>0</v>
      </c>
      <c r="C37" s="10" t="str">
        <f>DATA!D25</f>
        <v>INFRASTRUKTUR</v>
      </c>
      <c r="D37" s="10">
        <f>DATA!E25</f>
        <v>1</v>
      </c>
      <c r="E37" s="10" t="str">
        <f>DATA!F25</f>
        <v>Kementerian Pekerjaan Umum dan Perumahan Rakyat</v>
      </c>
      <c r="F37" s="10" t="str">
        <f>DATA!H25</f>
        <v>Drinking Water Development Program</v>
      </c>
      <c r="G37" s="10" t="str">
        <f>DATA!I25</f>
        <v>D</v>
      </c>
      <c r="H37" s="10" t="str">
        <f>DATA!J25</f>
        <v>Program Pembangunan Air Minum</v>
      </c>
      <c r="I37" s="10">
        <f>DATA!K25</f>
        <v>2</v>
      </c>
      <c r="J37" s="33"/>
      <c r="K37" s="34"/>
      <c r="L37" s="34"/>
      <c r="M37" s="36">
        <f>DATA!K25</f>
        <v>2</v>
      </c>
      <c r="N37" s="37" t="str">
        <f>DATA!L25</f>
        <v>National Urban Water Supply</v>
      </c>
      <c r="O37" s="20">
        <f>DATA!Q25</f>
        <v>1</v>
      </c>
      <c r="P37" s="20">
        <f>DATA!R25</f>
        <v>1</v>
      </c>
      <c r="Q37" s="20">
        <f>DATA!S25</f>
        <v>20</v>
      </c>
      <c r="R37" s="77">
        <f>DATA!T25</f>
        <v>100000000</v>
      </c>
      <c r="S37" s="77"/>
      <c r="T37" s="77">
        <f>DATA!V25</f>
        <v>5000000</v>
      </c>
      <c r="U37" s="77">
        <f>DATA!W25</f>
        <v>0</v>
      </c>
      <c r="V37" s="77">
        <f>DATA!X25</f>
        <v>105000000</v>
      </c>
      <c r="W37" s="78" t="str">
        <f>DATA!Y25</f>
        <v>Bank Dunia</v>
      </c>
      <c r="X37" s="20" t="str">
        <f>DATA!Z25</f>
        <v>Multilateral</v>
      </c>
      <c r="Y37" s="77">
        <f>DATA!AA25</f>
        <v>100000000</v>
      </c>
      <c r="Z37" s="77">
        <f>DATA!AG25</f>
        <v>0</v>
      </c>
      <c r="AA37" s="20">
        <f>DATA!AH25</f>
        <v>2017</v>
      </c>
      <c r="AB37" s="37">
        <f>DATA!AI25</f>
        <v>0</v>
      </c>
      <c r="AC37" s="37" t="str">
        <f>DATA!AJ25</f>
        <v>-</v>
      </c>
      <c r="AD37" s="37" t="str">
        <f>DATA!AK25</f>
        <v>-</v>
      </c>
      <c r="AE37" s="37" t="str">
        <f>DATA!AL25</f>
        <v>-</v>
      </c>
      <c r="AF37" s="20" t="str">
        <f>DATA!AR25</f>
        <v>belum ada dokumen R/C</v>
      </c>
      <c r="AG37" s="20" t="str">
        <f>DATA!AN25</f>
        <v>belum ada keterangan</v>
      </c>
      <c r="AH37" s="20" t="str">
        <f>DATA!AO25</f>
        <v>belum ada keterangan</v>
      </c>
      <c r="AI37" s="20" t="str">
        <f>DATA!AP25</f>
        <v>belum ada proses tender/lelang</v>
      </c>
      <c r="AJ37" s="20" t="str">
        <f>DATA!AY25</f>
        <v>Konfirmasi melalui surat Sekjen nomor KU.01.12-Sj/636 tgl 23 Oktober 2015</v>
      </c>
      <c r="AK37" s="20" t="e">
        <f>DATA!#REF!</f>
        <v>#REF!</v>
      </c>
      <c r="AL37" s="20">
        <f>DATA!AZ25</f>
        <v>0</v>
      </c>
      <c r="AM37" s="37" t="str">
        <f>DATA!BA25</f>
        <v>Pembangunan Sistem Pengelolaan Air Mimum (SPAM) perkotaan sebesar 239,808 Sambungan Rumah (SR) untuk perluasan akses pelayanan air minum, termasuk kegiatan penguatan kapasitas pendanaan dan kelembagaan.</v>
      </c>
    </row>
    <row r="38" spans="1:39" s="9" customFormat="1" ht="60.75" hidden="1" customHeight="1">
      <c r="A38" s="9">
        <f>DATA!A26</f>
        <v>23</v>
      </c>
      <c r="B38" s="9">
        <f>DATA!B26</f>
        <v>0</v>
      </c>
      <c r="C38" s="9" t="str">
        <f>DATA!D26</f>
        <v>INFRASTRUKTUR</v>
      </c>
      <c r="D38" s="9">
        <f>DATA!E26</f>
        <v>1</v>
      </c>
      <c r="E38" s="9" t="str">
        <f>DATA!F26</f>
        <v>Kementerian Pekerjaan Umum dan Perumahan Rakyat</v>
      </c>
      <c r="F38" s="9" t="str">
        <f>DATA!H26</f>
        <v>Drinking Water Development Program</v>
      </c>
      <c r="G38" s="9" t="str">
        <f>DATA!I26</f>
        <v>D</v>
      </c>
      <c r="H38" s="9" t="str">
        <f>DATA!J26</f>
        <v>Program Pembangunan Air Minum</v>
      </c>
      <c r="I38" s="9">
        <f>DATA!K26</f>
        <v>3</v>
      </c>
      <c r="J38" s="62"/>
      <c r="K38" s="63"/>
      <c r="L38" s="63"/>
      <c r="M38" s="64">
        <f>DATA!K26</f>
        <v>3</v>
      </c>
      <c r="N38" s="65" t="str">
        <f>DATA!L26</f>
        <v>The Development of Regional Water Supply System in Selected Area:</v>
      </c>
      <c r="O38" s="66">
        <f>DATA!Q26</f>
        <v>0</v>
      </c>
      <c r="P38" s="66">
        <f>DATA!R26</f>
        <v>0</v>
      </c>
      <c r="Q38" s="66">
        <f>DATA!S26</f>
        <v>0</v>
      </c>
      <c r="R38" s="91">
        <f>DATA!T26</f>
        <v>672680000</v>
      </c>
      <c r="S38" s="91"/>
      <c r="T38" s="91">
        <f>DATA!V26</f>
        <v>33634000</v>
      </c>
      <c r="U38" s="91">
        <f>DATA!W26</f>
        <v>0</v>
      </c>
      <c r="V38" s="91">
        <f>DATA!X26</f>
        <v>706314000</v>
      </c>
      <c r="W38" s="92" t="str">
        <f>DATA!Y26</f>
        <v>-</v>
      </c>
      <c r="X38" s="66">
        <f>DATA!Z26</f>
        <v>0</v>
      </c>
      <c r="Y38" s="91">
        <f>DATA!AA26</f>
        <v>672680000</v>
      </c>
      <c r="Z38" s="91">
        <f>DATA!AG26</f>
        <v>0</v>
      </c>
      <c r="AA38" s="66" t="str">
        <f>DATA!AH26</f>
        <v>-</v>
      </c>
      <c r="AB38" s="65" t="str">
        <f>DATA!AI26</f>
        <v>-</v>
      </c>
      <c r="AC38" s="65" t="str">
        <f>DATA!AJ26</f>
        <v>-</v>
      </c>
      <c r="AD38" s="65" t="str">
        <f>DATA!AK26</f>
        <v>-</v>
      </c>
      <c r="AE38" s="65" t="str">
        <f>DATA!AL26</f>
        <v>-</v>
      </c>
      <c r="AF38" s="66">
        <f>DATA!AM26</f>
        <v>0</v>
      </c>
      <c r="AG38" s="66" t="str">
        <f>DATA!AN26</f>
        <v>-</v>
      </c>
      <c r="AH38" s="66" t="str">
        <f>DATA!AO26</f>
        <v>-</v>
      </c>
      <c r="AI38" s="66">
        <f>DATA!AP26</f>
        <v>0</v>
      </c>
      <c r="AJ38" s="66" t="str">
        <f>DATA!AY26</f>
        <v>Konfirmasi melalui surat Sekjen nomor KU.01.12-Sj/636 tgl 23 Oktober 2015</v>
      </c>
      <c r="AK38" s="66" t="e">
        <f>DATA!#REF!</f>
        <v>#REF!</v>
      </c>
      <c r="AL38" s="66">
        <f>DATA!AZ26</f>
        <v>0</v>
      </c>
      <c r="AM38" s="65" t="str">
        <f>DATA!BA26</f>
        <v>Pembangunan Instalasi Pengolahan Air (IPA) di 8 wilayah dengan total kapasitas 20.450 lt/dt dan pembangunan jaringan transmisi air minum untuk 882.441 Sambungan Rumah (SR)</v>
      </c>
    </row>
    <row r="39" spans="1:39" s="6" customFormat="1" ht="60.75" hidden="1" customHeight="1">
      <c r="A39" s="6">
        <f>DATA!A27</f>
        <v>24</v>
      </c>
      <c r="B39" s="6">
        <f>DATA!B27</f>
        <v>0</v>
      </c>
      <c r="C39" s="6" t="str">
        <f>DATA!D27</f>
        <v>INFRASTRUKTUR</v>
      </c>
      <c r="D39" s="6">
        <f>DATA!E27</f>
        <v>1</v>
      </c>
      <c r="E39" s="6" t="str">
        <f>DATA!F27</f>
        <v>Kementerian Pekerjaan Umum dan Perumahan Rakyat</v>
      </c>
      <c r="F39" s="6" t="str">
        <f>DATA!H27</f>
        <v>Drinking Water Development Program</v>
      </c>
      <c r="G39" s="6" t="str">
        <f>DATA!I27</f>
        <v>D</v>
      </c>
      <c r="H39" s="6" t="str">
        <f>DATA!J27</f>
        <v>Program Pembangunan Air Minum</v>
      </c>
      <c r="I39" s="6">
        <f>DATA!K27</f>
        <v>3</v>
      </c>
      <c r="J39" s="38"/>
      <c r="K39" s="39"/>
      <c r="L39" s="39"/>
      <c r="M39" s="40"/>
      <c r="N39" s="67" t="str">
        <f>DATA!L27</f>
        <v xml:space="preserve">Mamminasata Water Supply Development Project </v>
      </c>
      <c r="O39" s="42">
        <f>DATA!Q27</f>
        <v>1</v>
      </c>
      <c r="P39" s="42">
        <f>DATA!R27</f>
        <v>1</v>
      </c>
      <c r="Q39" s="42">
        <f>DATA!S27</f>
        <v>21</v>
      </c>
      <c r="R39" s="83">
        <f>DATA!T27</f>
        <v>100000000</v>
      </c>
      <c r="S39" s="83"/>
      <c r="T39" s="83">
        <f>DATA!V27</f>
        <v>5000000</v>
      </c>
      <c r="U39" s="83">
        <f>DATA!W27</f>
        <v>0</v>
      </c>
      <c r="V39" s="83">
        <f>DATA!X27</f>
        <v>105000000</v>
      </c>
      <c r="W39" s="84" t="str">
        <f>DATA!Y27</f>
        <v>JICA</v>
      </c>
      <c r="X39" s="42" t="str">
        <f>DATA!Z27</f>
        <v>Bilateral</v>
      </c>
      <c r="Y39" s="83">
        <f>DATA!AA27</f>
        <v>100000000</v>
      </c>
      <c r="Z39" s="83">
        <f>DATA!AG27</f>
        <v>0</v>
      </c>
      <c r="AA39" s="42">
        <f>DATA!AH27</f>
        <v>2016</v>
      </c>
      <c r="AB39" s="67" t="str">
        <f>DATA!AI27</f>
        <v>-</v>
      </c>
      <c r="AC39" s="67" t="str">
        <f>DATA!AJ27</f>
        <v>FS , AMDAL, DED</v>
      </c>
      <c r="AD39" s="67" t="str">
        <f>DATA!AK27</f>
        <v>Proses pembebasan lahan oleh Pemda</v>
      </c>
      <c r="AE39" s="67" t="str">
        <f>DATA!AL27</f>
        <v>-</v>
      </c>
      <c r="AF39" s="42">
        <f>DATA!AM27</f>
        <v>0</v>
      </c>
      <c r="AG39" s="42" t="str">
        <f>DATA!AN27</f>
        <v>siap</v>
      </c>
      <c r="AH39" s="42" t="str">
        <f>DATA!AO27</f>
        <v>dalam proses
(persiapan)</v>
      </c>
      <c r="AI39" s="42" t="str">
        <f>DATA!AP27</f>
        <v>belum ada proses tender/lelang</v>
      </c>
      <c r="AJ39" s="42" t="str">
        <f>DATA!AY27</f>
        <v>Konfirmasi melalui surat Sekjen nomor KU.01.12-Sj/636 tgl 23 Oktober 2015</v>
      </c>
      <c r="AK39" s="42" t="e">
        <f>DATA!#REF!</f>
        <v>#REF!</v>
      </c>
      <c r="AL39" s="42">
        <f>DATA!AZ27</f>
        <v>0</v>
      </c>
      <c r="AM39" s="67" t="str">
        <f>DATA!BA27</f>
        <v>Pembangunan IPA Somba Opu Tahap II, kap. 1.000 lt/dt dan pembangunan jaringan pipa transmisi air minum untuk melayani 149.925 SR di wilayah Makassar, Maros, Gowa dan Takalar.</v>
      </c>
    </row>
    <row r="40" spans="1:39" s="6" customFormat="1" ht="88.5" hidden="1" customHeight="1">
      <c r="A40" s="6">
        <f>DATA!A28</f>
        <v>25</v>
      </c>
      <c r="B40" s="6">
        <f>DATA!B28</f>
        <v>0</v>
      </c>
      <c r="C40" s="6" t="str">
        <f>DATA!D28</f>
        <v>INFRASTRUKTUR</v>
      </c>
      <c r="D40" s="6">
        <f>DATA!E28</f>
        <v>1</v>
      </c>
      <c r="E40" s="6" t="str">
        <f>DATA!F28</f>
        <v>Kementerian Pekerjaan Umum dan Perumahan Rakyat</v>
      </c>
      <c r="F40" s="6" t="str">
        <f>DATA!H28</f>
        <v>Drinking Water Development Program</v>
      </c>
      <c r="G40" s="6" t="str">
        <f>DATA!I28</f>
        <v>D</v>
      </c>
      <c r="H40" s="6" t="str">
        <f>DATA!J28</f>
        <v>Program Pembangunan Air Minum</v>
      </c>
      <c r="I40" s="6">
        <f>DATA!K28</f>
        <v>3</v>
      </c>
      <c r="J40" s="38"/>
      <c r="K40" s="39"/>
      <c r="L40" s="39"/>
      <c r="M40" s="38"/>
      <c r="N40" s="67" t="str">
        <f>DATA!L28</f>
        <v xml:space="preserve">The Development of Regional Water Supply System in Benteng Kobema </v>
      </c>
      <c r="O40" s="42">
        <f>DATA!Q28</f>
        <v>1</v>
      </c>
      <c r="P40" s="42">
        <f>DATA!R28</f>
        <v>1</v>
      </c>
      <c r="Q40" s="42">
        <f>DATA!S28</f>
        <v>22</v>
      </c>
      <c r="R40" s="83">
        <f>DATA!T28</f>
        <v>74300000</v>
      </c>
      <c r="S40" s="83"/>
      <c r="T40" s="83">
        <f>DATA!V28</f>
        <v>3715000</v>
      </c>
      <c r="U40" s="83">
        <f>DATA!W28</f>
        <v>0</v>
      </c>
      <c r="V40" s="83">
        <f>DATA!X28</f>
        <v>78015000</v>
      </c>
      <c r="W40" s="84" t="str">
        <f>DATA!Y28</f>
        <v>Bank Dunia/JICA/ADB</v>
      </c>
      <c r="X40" s="42" t="str">
        <f>DATA!Z28</f>
        <v>Multi Lender</v>
      </c>
      <c r="Y40" s="83">
        <f>DATA!AA28</f>
        <v>74300000</v>
      </c>
      <c r="Z40" s="83">
        <f>DATA!AG28</f>
        <v>0</v>
      </c>
      <c r="AA40" s="42">
        <f>DATA!AH28</f>
        <v>2017</v>
      </c>
      <c r="AB40" s="67" t="str">
        <f>DATA!AI28</f>
        <v>-</v>
      </c>
      <c r="AC40" s="67" t="str">
        <f>DATA!AJ28</f>
        <v>RISPAM, DED, SIPA, Organisasi Pelaksana, DDUB</v>
      </c>
      <c r="AD40" s="67" t="str">
        <f>DATA!AK28</f>
        <v>Proses pembebasan lahan oleh Pemda</v>
      </c>
      <c r="AE40" s="67" t="str">
        <f>DATA!AL28</f>
        <v>-</v>
      </c>
      <c r="AF40" s="42">
        <f>DATA!AM28</f>
        <v>0</v>
      </c>
      <c r="AG40" s="42" t="str">
        <f>DATA!AN28</f>
        <v>dalam proses
(penyusunan FS)</v>
      </c>
      <c r="AH40" s="42" t="str">
        <f>DATA!AO28</f>
        <v>dalam proses
(persiapan)</v>
      </c>
      <c r="AI40" s="42" t="str">
        <f>DATA!AP28</f>
        <v>belum ada proses tender/lelang</v>
      </c>
      <c r="AJ40" s="42" t="str">
        <f>DATA!AY28</f>
        <v>Konfirmasi melalui surat Sekjen nomor KU.01.12-Sj/636 tgl 23 Oktober 2015</v>
      </c>
      <c r="AK40" s="42" t="e">
        <f>DATA!#REF!</f>
        <v>#REF!</v>
      </c>
      <c r="AL40" s="42" t="str">
        <f>DATA!AZ28</f>
        <v>JICA &amp; ADB juga diindikasikan akan mendanai kegiatan ini meskipun belum ada pembicaraan</v>
      </c>
      <c r="AM40" s="67"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row>
    <row r="41" spans="1:39" s="6" customFormat="1" ht="87" hidden="1" customHeight="1">
      <c r="A41" s="6">
        <f>DATA!A29</f>
        <v>26</v>
      </c>
      <c r="B41" s="6">
        <f>DATA!B29</f>
        <v>0</v>
      </c>
      <c r="C41" s="6" t="str">
        <f>DATA!D29</f>
        <v>INFRASTRUKTUR</v>
      </c>
      <c r="D41" s="6">
        <f>DATA!E29</f>
        <v>1</v>
      </c>
      <c r="E41" s="6" t="str">
        <f>DATA!F29</f>
        <v>Kementerian Pekerjaan Umum dan Perumahan Rakyat</v>
      </c>
      <c r="F41" s="6" t="str">
        <f>DATA!H29</f>
        <v>Drinking Water Development Program</v>
      </c>
      <c r="G41" s="6" t="str">
        <f>DATA!I29</f>
        <v>D</v>
      </c>
      <c r="H41" s="6" t="str">
        <f>DATA!J29</f>
        <v>Program Pembangunan Air Minum</v>
      </c>
      <c r="I41" s="6">
        <f>DATA!K29</f>
        <v>3</v>
      </c>
      <c r="J41" s="38"/>
      <c r="K41" s="39"/>
      <c r="L41" s="39"/>
      <c r="M41" s="38"/>
      <c r="N41" s="67" t="str">
        <f>DATA!L29</f>
        <v xml:space="preserve">The Development of Regional Water Supply System in Wosusokas </v>
      </c>
      <c r="O41" s="42">
        <f>DATA!Q29</f>
        <v>1</v>
      </c>
      <c r="P41" s="42">
        <f>DATA!R29</f>
        <v>1</v>
      </c>
      <c r="Q41" s="42">
        <f>DATA!S29</f>
        <v>23</v>
      </c>
      <c r="R41" s="83">
        <f>DATA!T29</f>
        <v>106200000</v>
      </c>
      <c r="S41" s="83"/>
      <c r="T41" s="83">
        <f>DATA!V29</f>
        <v>5310000</v>
      </c>
      <c r="U41" s="83">
        <f>DATA!W29</f>
        <v>0</v>
      </c>
      <c r="V41" s="83">
        <f>DATA!X29</f>
        <v>111510000</v>
      </c>
      <c r="W41" s="84" t="str">
        <f>DATA!Y29</f>
        <v>Jerman (KfW)</v>
      </c>
      <c r="X41" s="42" t="str">
        <f>DATA!Z29</f>
        <v>Bilateral</v>
      </c>
      <c r="Y41" s="83">
        <f>DATA!AA29</f>
        <v>106200000</v>
      </c>
      <c r="Z41" s="83">
        <f>DATA!AG29</f>
        <v>0</v>
      </c>
      <c r="AA41" s="42">
        <f>DATA!AH29</f>
        <v>2017</v>
      </c>
      <c r="AB41" s="67" t="str">
        <f>DATA!AI29</f>
        <v>-</v>
      </c>
      <c r="AC41" s="67" t="str">
        <f>DATA!AJ29</f>
        <v>RISPAM, DED, SIPA, Organisasi Pelaksana, DDUB</v>
      </c>
      <c r="AD41" s="67" t="str">
        <f>DATA!AK29</f>
        <v>Proses pembebasan lahan oleh Pemda</v>
      </c>
      <c r="AE41" s="67" t="str">
        <f>DATA!AL29</f>
        <v>-</v>
      </c>
      <c r="AF41" s="42">
        <f>DATA!AM29</f>
        <v>0</v>
      </c>
      <c r="AG41" s="42" t="str">
        <f>DATA!AN29</f>
        <v>dalam proses
(penyusunan FS)</v>
      </c>
      <c r="AH41" s="42" t="str">
        <f>DATA!AO29</f>
        <v>dalam proses
(persiapan)</v>
      </c>
      <c r="AI41" s="42" t="str">
        <f>DATA!AP29</f>
        <v>belum ada proses tender/lelang</v>
      </c>
      <c r="AJ41" s="42" t="str">
        <f>DATA!AY29</f>
        <v>Konfirmasi melalui surat Sekjen nomor KU.01.12-Sj/636 tgl 23 Oktober 2015</v>
      </c>
      <c r="AK41" s="42" t="e">
        <f>DATA!#REF!</f>
        <v>#REF!</v>
      </c>
      <c r="AL41" s="42">
        <f>DATA!AZ29</f>
        <v>0</v>
      </c>
      <c r="AM41" s="67"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row>
    <row r="42" spans="1:39" s="6" customFormat="1" ht="89.25" hidden="1">
      <c r="A42" s="6">
        <f>DATA!A30</f>
        <v>27</v>
      </c>
      <c r="B42" s="6">
        <f>DATA!B30</f>
        <v>0</v>
      </c>
      <c r="C42" s="6" t="str">
        <f>DATA!D30</f>
        <v>INFRASTRUKTUR</v>
      </c>
      <c r="D42" s="6">
        <f>DATA!E30</f>
        <v>1</v>
      </c>
      <c r="E42" s="6" t="str">
        <f>DATA!F30</f>
        <v>Kementerian Pekerjaan Umum dan Perumahan Rakyat</v>
      </c>
      <c r="F42" s="6" t="str">
        <f>DATA!H30</f>
        <v>Drinking Water Development Program</v>
      </c>
      <c r="G42" s="6" t="str">
        <f>DATA!I30</f>
        <v>D</v>
      </c>
      <c r="H42" s="6" t="str">
        <f>DATA!J30</f>
        <v>Program Pembangunan Air Minum</v>
      </c>
      <c r="I42" s="6">
        <f>DATA!K30</f>
        <v>3</v>
      </c>
      <c r="J42" s="38"/>
      <c r="K42" s="39"/>
      <c r="L42" s="39"/>
      <c r="M42" s="38"/>
      <c r="N42" s="67" t="str">
        <f>DATA!L30</f>
        <v xml:space="preserve">The Development of Regional Water Supply System of Jatigede </v>
      </c>
      <c r="O42" s="42">
        <f>DATA!Q30</f>
        <v>1</v>
      </c>
      <c r="P42" s="42">
        <f>DATA!R30</f>
        <v>1</v>
      </c>
      <c r="Q42" s="42">
        <f>DATA!S30</f>
        <v>24</v>
      </c>
      <c r="R42" s="83">
        <f>DATA!T30</f>
        <v>167000000</v>
      </c>
      <c r="S42" s="83"/>
      <c r="T42" s="83">
        <f>DATA!V30</f>
        <v>8350000</v>
      </c>
      <c r="U42" s="83">
        <f>DATA!W30</f>
        <v>0</v>
      </c>
      <c r="V42" s="83">
        <f>DATA!X30</f>
        <v>175350000</v>
      </c>
      <c r="W42" s="84" t="str">
        <f>DATA!Y30</f>
        <v>Bank Dunia/JICA/ADB</v>
      </c>
      <c r="X42" s="42" t="str">
        <f>DATA!Z30</f>
        <v>Multi Lender</v>
      </c>
      <c r="Y42" s="83">
        <f>DATA!AA30</f>
        <v>140620000</v>
      </c>
      <c r="Z42" s="83">
        <f>DATA!AG30</f>
        <v>0</v>
      </c>
      <c r="AA42" s="42">
        <f>DATA!AH30</f>
        <v>2017</v>
      </c>
      <c r="AB42" s="67" t="str">
        <f>DATA!AI30</f>
        <v>-</v>
      </c>
      <c r="AC42" s="67" t="str">
        <f>DATA!AJ30</f>
        <v>-</v>
      </c>
      <c r="AD42" s="67" t="str">
        <f>DATA!AK30</f>
        <v>-</v>
      </c>
      <c r="AE42" s="67" t="str">
        <f>DATA!AL30</f>
        <v>-</v>
      </c>
      <c r="AF42" s="42">
        <f>DATA!AM30</f>
        <v>0</v>
      </c>
      <c r="AG42" s="42" t="str">
        <f>DATA!AN30</f>
        <v>belum ada keterangan</v>
      </c>
      <c r="AH42" s="42" t="str">
        <f>DATA!AO30</f>
        <v>belum ada keterangan</v>
      </c>
      <c r="AI42" s="42" t="str">
        <f>DATA!AP30</f>
        <v>belum ada proses tender/lelang</v>
      </c>
      <c r="AJ42" s="42" t="str">
        <f>DATA!AY30</f>
        <v>Konfirmasi melalui surat Sekjen nomor KU.01.12-Sj/636 tgl 23 Oktober 2015</v>
      </c>
      <c r="AK42" s="42" t="e">
        <f>DATA!#REF!</f>
        <v>#REF!</v>
      </c>
      <c r="AL42" s="42">
        <f>DATA!AZ30</f>
        <v>0</v>
      </c>
      <c r="AM42" s="67"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row>
    <row r="43" spans="1:39" s="6" customFormat="1" ht="88.5" hidden="1" customHeight="1">
      <c r="A43" s="6">
        <f>DATA!A31</f>
        <v>28</v>
      </c>
      <c r="B43" s="6">
        <f>DATA!B31</f>
        <v>0</v>
      </c>
      <c r="C43" s="6" t="str">
        <f>DATA!D31</f>
        <v>INFRASTRUKTUR</v>
      </c>
      <c r="D43" s="6">
        <f>DATA!E31</f>
        <v>1</v>
      </c>
      <c r="E43" s="6" t="str">
        <f>DATA!F31</f>
        <v>Kementerian Pekerjaan Umum dan Perumahan Rakyat</v>
      </c>
      <c r="F43" s="6" t="str">
        <f>DATA!H31</f>
        <v>Drinking Water Development Program</v>
      </c>
      <c r="G43" s="6" t="str">
        <f>DATA!I31</f>
        <v>D</v>
      </c>
      <c r="H43" s="6" t="str">
        <f>DATA!J31</f>
        <v>Program Pembangunan Air Minum</v>
      </c>
      <c r="I43" s="6">
        <f>DATA!K31</f>
        <v>3</v>
      </c>
      <c r="J43" s="38"/>
      <c r="K43" s="39"/>
      <c r="L43" s="39"/>
      <c r="M43" s="38"/>
      <c r="N43" s="67" t="str">
        <f>DATA!L31</f>
        <v>The Development of Regional Water Supply System of Petanglong</v>
      </c>
      <c r="O43" s="42">
        <f>DATA!Q31</f>
        <v>1</v>
      </c>
      <c r="P43" s="42">
        <f>DATA!R31</f>
        <v>1</v>
      </c>
      <c r="Q43" s="42">
        <f>DATA!S31</f>
        <v>25</v>
      </c>
      <c r="R43" s="83">
        <f>DATA!T31</f>
        <v>95380000</v>
      </c>
      <c r="S43" s="83"/>
      <c r="T43" s="83">
        <f>DATA!V31</f>
        <v>4769000</v>
      </c>
      <c r="U43" s="83">
        <f>DATA!W31</f>
        <v>0</v>
      </c>
      <c r="V43" s="83">
        <f>DATA!X31</f>
        <v>100149000</v>
      </c>
      <c r="W43" s="84" t="str">
        <f>DATA!Y31</f>
        <v>Bank Dunia/JICA/ADB</v>
      </c>
      <c r="X43" s="42" t="str">
        <f>DATA!Z31</f>
        <v>Multi Lender</v>
      </c>
      <c r="Y43" s="83">
        <f>DATA!AA31</f>
        <v>95380000</v>
      </c>
      <c r="Z43" s="83">
        <f>DATA!AG31</f>
        <v>0</v>
      </c>
      <c r="AA43" s="42">
        <f>DATA!AH31</f>
        <v>2017</v>
      </c>
      <c r="AB43" s="67" t="str">
        <f>DATA!AI31</f>
        <v>Tahap persiapan project</v>
      </c>
      <c r="AC43" s="67" t="str">
        <f>DATA!AJ31</f>
        <v>-</v>
      </c>
      <c r="AD43" s="67" t="str">
        <f>DATA!AK31</f>
        <v>-</v>
      </c>
      <c r="AE43" s="67" t="str">
        <f>DATA!AL31</f>
        <v>-</v>
      </c>
      <c r="AF43" s="42">
        <f>DATA!AM31</f>
        <v>0</v>
      </c>
      <c r="AG43" s="42" t="str">
        <f>DATA!AN31</f>
        <v>belum ada keterangan</v>
      </c>
      <c r="AH43" s="42" t="str">
        <f>DATA!AO31</f>
        <v>belum ada keterangan</v>
      </c>
      <c r="AI43" s="42" t="str">
        <f>DATA!AP31</f>
        <v>belum ada proses tender/lelang</v>
      </c>
      <c r="AJ43" s="42" t="str">
        <f>DATA!AY31</f>
        <v>Konfirmasi melalui surat Sekjen nomor KU.01.12-Sj/636 tgl 23 Oktober 2015</v>
      </c>
      <c r="AK43" s="42" t="e">
        <f>DATA!#REF!</f>
        <v>#REF!</v>
      </c>
      <c r="AL43" s="42">
        <f>DATA!AZ31</f>
        <v>0</v>
      </c>
      <c r="AM43" s="67" t="str">
        <f>DATA!BA31</f>
        <v>Pembangunan intake dan transmisi air baku, pembangunan IPA dengan kapasitas 1.100 lt/dt untuk sistem pengelolaan air minum yang berkapasitas 1.100 lt/dt, dan untuk penyediaan SPAM yang melayani 142.999 SR  di wilayah Kab. Batang, Kota Pekalongan, Kab. Pekalongan</v>
      </c>
    </row>
    <row r="44" spans="1:39" s="6" customFormat="1" ht="76.5" hidden="1">
      <c r="A44" s="6">
        <f>DATA!A32</f>
        <v>29</v>
      </c>
      <c r="B44" s="6">
        <f>DATA!B32</f>
        <v>0</v>
      </c>
      <c r="C44" s="6" t="str">
        <f>DATA!D32</f>
        <v>INFRASTRUKTUR</v>
      </c>
      <c r="D44" s="6">
        <f>DATA!E32</f>
        <v>1</v>
      </c>
      <c r="E44" s="6" t="str">
        <f>DATA!F32</f>
        <v>Kementerian Pekerjaan Umum dan Perumahan Rakyat</v>
      </c>
      <c r="F44" s="6" t="str">
        <f>DATA!H32</f>
        <v>Drinking Water Development Program</v>
      </c>
      <c r="G44" s="6" t="str">
        <f>DATA!I32</f>
        <v>D</v>
      </c>
      <c r="H44" s="6" t="str">
        <f>DATA!J32</f>
        <v>Program Pembangunan Air Minum</v>
      </c>
      <c r="I44" s="6">
        <f>DATA!K32</f>
        <v>3</v>
      </c>
      <c r="J44" s="38"/>
      <c r="K44" s="39"/>
      <c r="L44" s="39"/>
      <c r="M44" s="38"/>
      <c r="N44" s="67" t="str">
        <f>DATA!L32</f>
        <v xml:space="preserve">The Development of Regional Water Supply System of Durolis </v>
      </c>
      <c r="O44" s="42">
        <f>DATA!Q32</f>
        <v>1</v>
      </c>
      <c r="P44" s="42">
        <f>DATA!R32</f>
        <v>1</v>
      </c>
      <c r="Q44" s="42">
        <f>DATA!S32</f>
        <v>26</v>
      </c>
      <c r="R44" s="83">
        <f>DATA!T32</f>
        <v>33400000</v>
      </c>
      <c r="S44" s="83"/>
      <c r="T44" s="83">
        <f>DATA!V32</f>
        <v>1670000</v>
      </c>
      <c r="U44" s="83">
        <f>DATA!W32</f>
        <v>0</v>
      </c>
      <c r="V44" s="83">
        <f>DATA!X32</f>
        <v>35070000</v>
      </c>
      <c r="W44" s="84" t="str">
        <f>DATA!Y32</f>
        <v>Bank Dunia/JICA/ADB</v>
      </c>
      <c r="X44" s="42" t="str">
        <f>DATA!Z32</f>
        <v>Multi Lender</v>
      </c>
      <c r="Y44" s="83">
        <f>DATA!AA32</f>
        <v>33400000</v>
      </c>
      <c r="Z44" s="83">
        <f>DATA!AG32</f>
        <v>0</v>
      </c>
      <c r="AA44" s="42">
        <f>DATA!AH32</f>
        <v>2017</v>
      </c>
      <c r="AB44" s="67" t="str">
        <f>DATA!AI32</f>
        <v>-</v>
      </c>
      <c r="AC44" s="67" t="str">
        <f>DATA!AJ32</f>
        <v>FS, DED, AMDAL</v>
      </c>
      <c r="AD44" s="67" t="str">
        <f>DATA!AK32</f>
        <v xml:space="preserve"> Lahan sudah tersedia </v>
      </c>
      <c r="AE44" s="67" t="str">
        <f>DATA!AL32</f>
        <v>-</v>
      </c>
      <c r="AF44" s="42">
        <f>DATA!AM32</f>
        <v>0</v>
      </c>
      <c r="AG44" s="42" t="str">
        <f>DATA!AN32</f>
        <v>siap</v>
      </c>
      <c r="AH44" s="42" t="str">
        <f>DATA!AO32</f>
        <v>siap</v>
      </c>
      <c r="AI44" s="42" t="str">
        <f>DATA!AP32</f>
        <v>belum ada proses tender/lelang</v>
      </c>
      <c r="AJ44" s="42" t="str">
        <f>DATA!AY32</f>
        <v>Konfirmasi melalui surat Sekjen nomor KU.01.12-Sj/636 tgl 23 Oktober 2015</v>
      </c>
      <c r="AK44" s="42" t="e">
        <f>DATA!#REF!</f>
        <v>#REF!</v>
      </c>
      <c r="AL44" s="42" t="str">
        <f>DATA!AZ32</f>
        <v>ADB juga diindikasikan akan mendanai kegiatan ini</v>
      </c>
      <c r="AM44" s="67" t="str">
        <f>DATA!BA32</f>
        <v>Pembangunan unit air baku, unit produksi dan distribusi utama, unit pelayanan dan unit pengelolaan untuk sistem pengelolaan air minum yang berkapasitas 500 lt/dt dan untuk melayani masyarakat sebesar 24.000 SR di wilayah Dumai, Rokan Hilir dan Bengkalis</v>
      </c>
    </row>
    <row r="45" spans="1:39" s="6" customFormat="1" ht="86.25" hidden="1" customHeight="1">
      <c r="A45" s="6">
        <f>DATA!A33</f>
        <v>30</v>
      </c>
      <c r="B45" s="6">
        <f>DATA!B33</f>
        <v>0</v>
      </c>
      <c r="C45" s="6" t="str">
        <f>DATA!D33</f>
        <v>INFRASTRUKTUR</v>
      </c>
      <c r="D45" s="6">
        <f>DATA!E33</f>
        <v>1</v>
      </c>
      <c r="E45" s="6" t="str">
        <f>DATA!F33</f>
        <v>Kementerian Pekerjaan Umum dan Perumahan Rakyat</v>
      </c>
      <c r="F45" s="6" t="str">
        <f>DATA!H33</f>
        <v>Drinking Water Development Program</v>
      </c>
      <c r="G45" s="6" t="str">
        <f>DATA!I33</f>
        <v>D</v>
      </c>
      <c r="H45" s="6" t="str">
        <f>DATA!J33</f>
        <v>Program Pembangunan Air Minum</v>
      </c>
      <c r="I45" s="6">
        <f>DATA!K33</f>
        <v>3</v>
      </c>
      <c r="J45" s="38"/>
      <c r="K45" s="39"/>
      <c r="L45" s="39"/>
      <c r="M45" s="38"/>
      <c r="N45" s="67" t="str">
        <f>DATA!L33</f>
        <v xml:space="preserve">The Development of Regional Water Supply System of  Banten - Jakarta from Karian Dam </v>
      </c>
      <c r="O45" s="42">
        <f>DATA!Q33</f>
        <v>1</v>
      </c>
      <c r="P45" s="42">
        <f>DATA!R33</f>
        <v>1</v>
      </c>
      <c r="Q45" s="42">
        <f>DATA!S33</f>
        <v>27</v>
      </c>
      <c r="R45" s="83">
        <f>DATA!T33</f>
        <v>40000000</v>
      </c>
      <c r="S45" s="83"/>
      <c r="T45" s="83">
        <f>DATA!V33</f>
        <v>2000000</v>
      </c>
      <c r="U45" s="83">
        <f>DATA!W33</f>
        <v>0</v>
      </c>
      <c r="V45" s="83">
        <f>DATA!X33</f>
        <v>42000000</v>
      </c>
      <c r="W45" s="84" t="str">
        <f>DATA!Y33</f>
        <v>Korea</v>
      </c>
      <c r="X45" s="42" t="str">
        <f>DATA!Z33</f>
        <v>Bilateral</v>
      </c>
      <c r="Y45" s="83">
        <f>DATA!AA33</f>
        <v>40000000</v>
      </c>
      <c r="Z45" s="83">
        <f>DATA!AG33</f>
        <v>0</v>
      </c>
      <c r="AA45" s="42">
        <f>DATA!AH33</f>
        <v>2017</v>
      </c>
      <c r="AB45" s="67" t="str">
        <f>DATA!AI33</f>
        <v>-</v>
      </c>
      <c r="AC45" s="67" t="str">
        <f>DATA!AJ33</f>
        <v>FS</v>
      </c>
      <c r="AD45" s="67" t="str">
        <f>DATA!AK33</f>
        <v>Proses pembebasan lahan oleh Pemda</v>
      </c>
      <c r="AE45" s="67" t="str">
        <f>DATA!AL33</f>
        <v>-</v>
      </c>
      <c r="AF45" s="42">
        <f>DATA!AM33</f>
        <v>0</v>
      </c>
      <c r="AG45" s="42" t="str">
        <f>DATA!AN33</f>
        <v>dalam proses
(memiliki FS)</v>
      </c>
      <c r="AH45" s="42" t="str">
        <f>DATA!AO33</f>
        <v>dalam proses
(persiapan)</v>
      </c>
      <c r="AI45" s="42" t="str">
        <f>DATA!AP33</f>
        <v>belum ada proses tender/lelang</v>
      </c>
      <c r="AJ45" s="42" t="str">
        <f>DATA!AY33</f>
        <v>Konfirmasi melalui surat Sekjen nomor KU.01.12-Sj/636 tgl 23 Oktober 2015</v>
      </c>
      <c r="AK45" s="42" t="e">
        <f>DATA!#REF!</f>
        <v>#REF!</v>
      </c>
      <c r="AL45" s="42">
        <f>DATA!AZ33</f>
        <v>0</v>
      </c>
      <c r="AM45" s="67"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row>
    <row r="46" spans="1:39" s="6" customFormat="1" ht="56.25" hidden="1" customHeight="1">
      <c r="A46" s="6">
        <f>DATA!A34</f>
        <v>31</v>
      </c>
      <c r="B46" s="6">
        <f>DATA!B34</f>
        <v>0</v>
      </c>
      <c r="C46" s="6" t="str">
        <f>DATA!D34</f>
        <v>INFRASTRUKTUR</v>
      </c>
      <c r="D46" s="6">
        <f>DATA!E34</f>
        <v>1</v>
      </c>
      <c r="E46" s="6" t="str">
        <f>DATA!F34</f>
        <v>Kementerian Pekerjaan Umum dan Perumahan Rakyat</v>
      </c>
      <c r="F46" s="6" t="str">
        <f>DATA!H34</f>
        <v>Drinking Water Development Program</v>
      </c>
      <c r="G46" s="6" t="str">
        <f>DATA!I34</f>
        <v>D</v>
      </c>
      <c r="H46" s="6" t="str">
        <f>DATA!J34</f>
        <v>Program Pembangunan Air Minum</v>
      </c>
      <c r="I46" s="6">
        <f>DATA!K34</f>
        <v>3</v>
      </c>
      <c r="J46" s="38"/>
      <c r="K46" s="39"/>
      <c r="L46" s="39"/>
      <c r="M46" s="43"/>
      <c r="N46" s="67" t="str">
        <f>DATA!L34</f>
        <v xml:space="preserve">The Development of Regional Water Supply System of Mebidang </v>
      </c>
      <c r="O46" s="42">
        <f>DATA!Q34</f>
        <v>1</v>
      </c>
      <c r="P46" s="42">
        <f>DATA!R34</f>
        <v>1</v>
      </c>
      <c r="Q46" s="42">
        <f>DATA!S34</f>
        <v>28</v>
      </c>
      <c r="R46" s="83">
        <f>DATA!T34</f>
        <v>56400000</v>
      </c>
      <c r="S46" s="83"/>
      <c r="T46" s="83">
        <f>DATA!V34</f>
        <v>2820000</v>
      </c>
      <c r="U46" s="83">
        <f>DATA!W34</f>
        <v>0</v>
      </c>
      <c r="V46" s="83">
        <f>DATA!X34</f>
        <v>59220000</v>
      </c>
      <c r="W46" s="84" t="str">
        <f>DATA!Y34</f>
        <v>Jerman (KfW)</v>
      </c>
      <c r="X46" s="42" t="str">
        <f>DATA!Z34</f>
        <v>Bilateral</v>
      </c>
      <c r="Y46" s="83">
        <f>DATA!AA34</f>
        <v>56400000</v>
      </c>
      <c r="Z46" s="83">
        <f>DATA!AG34</f>
        <v>0</v>
      </c>
      <c r="AA46" s="42">
        <f>DATA!AH34</f>
        <v>2017</v>
      </c>
      <c r="AB46" s="67" t="str">
        <f>DATA!AI34</f>
        <v>-</v>
      </c>
      <c r="AC46" s="67" t="str">
        <f>DATA!AJ34</f>
        <v>FS, DED</v>
      </c>
      <c r="AD46" s="67" t="str">
        <f>DATA!AK34</f>
        <v>Proses pembebasan lahan oleh Pemda</v>
      </c>
      <c r="AE46" s="67" t="str">
        <f>DATA!AL34</f>
        <v>-</v>
      </c>
      <c r="AF46" s="42">
        <f>DATA!AM34</f>
        <v>0</v>
      </c>
      <c r="AG46" s="42" t="str">
        <f>DATA!AN34</f>
        <v>dalam proses
(memiliki FS dan DED)</v>
      </c>
      <c r="AH46" s="42" t="str">
        <f>DATA!AO34</f>
        <v>dalam proses
(persiapan)</v>
      </c>
      <c r="AI46" s="42" t="str">
        <f>DATA!AP34</f>
        <v>belum ada proses tender/lelang</v>
      </c>
      <c r="AJ46" s="42" t="str">
        <f>DATA!AY34</f>
        <v>Konfirmasi melalui surat Sekjen nomor KU.01.12-Sj/636 tgl 23 Oktober 2015</v>
      </c>
      <c r="AK46" s="42" t="e">
        <f>DATA!#REF!</f>
        <v>#REF!</v>
      </c>
      <c r="AL46" s="42">
        <f>DATA!AZ34</f>
        <v>0</v>
      </c>
      <c r="AM46" s="67" t="str">
        <f>DATA!BA34</f>
        <v>Pembangunan IPA dengan kapasitas 1.250 lt/dt, pembangunan jaringan pipa transmisi untuk penyediaan air minum yang melayani 84.558 SR di wilayah Medan, Binjai, dan Deli Serdang.</v>
      </c>
    </row>
    <row r="47" spans="1:39" ht="48.75" hidden="1" customHeight="1">
      <c r="A47" s="10">
        <f>DATA!A35</f>
        <v>32</v>
      </c>
      <c r="B47" s="10">
        <f>DATA!B35</f>
        <v>0</v>
      </c>
      <c r="C47" s="10" t="str">
        <f>DATA!D35</f>
        <v>INFRASTRUKTUR</v>
      </c>
      <c r="D47" s="10">
        <f>DATA!E35</f>
        <v>1</v>
      </c>
      <c r="E47" s="10" t="str">
        <f>DATA!F35</f>
        <v>Kementerian Pekerjaan Umum dan Perumahan Rakyat</v>
      </c>
      <c r="F47" s="10" t="str">
        <f>DATA!H35</f>
        <v>Drinking Water Development Program</v>
      </c>
      <c r="G47" s="10" t="str">
        <f>DATA!I35</f>
        <v>D</v>
      </c>
      <c r="H47" s="10" t="str">
        <f>DATA!J35</f>
        <v>Program Pembangunan Air Minum</v>
      </c>
      <c r="I47" s="10">
        <f>DATA!K35</f>
        <v>4</v>
      </c>
      <c r="J47" s="33"/>
      <c r="K47" s="34"/>
      <c r="L47" s="34"/>
      <c r="M47" s="36">
        <f>DATA!K35</f>
        <v>4</v>
      </c>
      <c r="N47" s="37" t="str">
        <f>DATA!L35</f>
        <v>Water Supply System and Small Scale Water Treatment:</v>
      </c>
      <c r="O47" s="20">
        <f>DATA!Q35</f>
        <v>0</v>
      </c>
      <c r="P47" s="20">
        <f>DATA!R35</f>
        <v>0</v>
      </c>
      <c r="Q47" s="20">
        <f>DATA!S35</f>
        <v>0</v>
      </c>
      <c r="R47" s="77">
        <f>DATA!T35</f>
        <v>125000000</v>
      </c>
      <c r="S47" s="77"/>
      <c r="T47" s="77">
        <f>DATA!V35</f>
        <v>5800000</v>
      </c>
      <c r="U47" s="77">
        <f>DATA!W35</f>
        <v>0</v>
      </c>
      <c r="V47" s="77">
        <f>DATA!X35</f>
        <v>130800000</v>
      </c>
      <c r="W47" s="78" t="str">
        <f>DATA!Y35</f>
        <v>-</v>
      </c>
      <c r="X47" s="20">
        <f>DATA!Z35</f>
        <v>0</v>
      </c>
      <c r="Y47" s="77">
        <f>DATA!AA35</f>
        <v>125000000</v>
      </c>
      <c r="Z47" s="77">
        <f>DATA!AG35</f>
        <v>0</v>
      </c>
      <c r="AA47" s="20" t="str">
        <f>DATA!AH35</f>
        <v>-</v>
      </c>
      <c r="AB47" s="37" t="str">
        <f>DATA!AI35</f>
        <v>-</v>
      </c>
      <c r="AC47" s="37" t="str">
        <f>DATA!AJ35</f>
        <v>-</v>
      </c>
      <c r="AD47" s="37" t="str">
        <f>DATA!AK35</f>
        <v>-</v>
      </c>
      <c r="AE47" s="37" t="str">
        <f>DATA!AL35</f>
        <v>-</v>
      </c>
      <c r="AF47" s="20">
        <f>DATA!AM35</f>
        <v>0</v>
      </c>
      <c r="AG47" s="20" t="str">
        <f>DATA!AN35</f>
        <v>-</v>
      </c>
      <c r="AH47" s="20" t="str">
        <f>DATA!AO35</f>
        <v>-</v>
      </c>
      <c r="AI47" s="20">
        <f>DATA!AP35</f>
        <v>0</v>
      </c>
      <c r="AJ47" s="20" t="str">
        <f>DATA!AY35</f>
        <v>Konfirmasi melalui surat Sekjen nomor KU.01.12-Sj/636 tgl 23 Oktober 2015</v>
      </c>
      <c r="AK47" s="20" t="e">
        <f>DATA!#REF!</f>
        <v>#REF!</v>
      </c>
      <c r="AL47" s="20">
        <f>DATA!AZ35</f>
        <v>0</v>
      </c>
      <c r="AM47" s="37" t="str">
        <f>DATA!BA35</f>
        <v>Pengadaan dan pembangunan Instalasi Pengolahan Air Minum skala kecil untuk penanganan keadaan darurat dan Ibu Kota Kecamatan (IKK) terpilih</v>
      </c>
    </row>
    <row r="48" spans="1:39" s="7" customFormat="1" ht="66.75" customHeight="1">
      <c r="A48" s="6">
        <f>DATA!A36</f>
        <v>33</v>
      </c>
      <c r="B48" s="6">
        <f>DATA!B36</f>
        <v>0</v>
      </c>
      <c r="C48" s="6" t="str">
        <f>DATA!D36</f>
        <v>INFRASTRUKTUR</v>
      </c>
      <c r="D48" s="6">
        <f>DATA!E36</f>
        <v>1</v>
      </c>
      <c r="E48" s="6" t="str">
        <f>DATA!F36</f>
        <v>Kementerian Pekerjaan Umum dan Perumahan Rakyat</v>
      </c>
      <c r="F48" s="6" t="str">
        <f>DATA!H36</f>
        <v>Drinking Water Development Program</v>
      </c>
      <c r="G48" s="6" t="str">
        <f>DATA!I36</f>
        <v>D</v>
      </c>
      <c r="H48" s="6" t="str">
        <f>DATA!J36</f>
        <v>Program Pembangunan Air Minum</v>
      </c>
      <c r="I48" s="6">
        <f>DATA!K36</f>
        <v>4</v>
      </c>
      <c r="J48" s="44"/>
      <c r="K48" s="45"/>
      <c r="L48" s="45"/>
      <c r="M48" s="48"/>
      <c r="N48" s="68" t="str">
        <f>DATA!L36</f>
        <v xml:space="preserve">Small Scale Water Treatment Plants for Emergency Relief </v>
      </c>
      <c r="O48" s="42">
        <f>DATA!Q36</f>
        <v>1</v>
      </c>
      <c r="P48" s="42">
        <f>DATA!R36</f>
        <v>1</v>
      </c>
      <c r="Q48" s="42">
        <f>DATA!S36</f>
        <v>29</v>
      </c>
      <c r="R48" s="85">
        <f>DATA!T36</f>
        <v>25000000</v>
      </c>
      <c r="S48" s="85"/>
      <c r="T48" s="85">
        <f>DATA!V36</f>
        <v>800000</v>
      </c>
      <c r="U48" s="83">
        <f>DATA!W36</f>
        <v>0</v>
      </c>
      <c r="V48" s="85">
        <f>DATA!X36</f>
        <v>25800000</v>
      </c>
      <c r="W48" s="86" t="str">
        <f>DATA!Y36</f>
        <v>Spanyol</v>
      </c>
      <c r="X48" s="42" t="str">
        <f>DATA!Z36</f>
        <v>Bilateral</v>
      </c>
      <c r="Y48" s="85">
        <f>DATA!AA36</f>
        <v>25000000</v>
      </c>
      <c r="Z48" s="85">
        <f>DATA!AG36</f>
        <v>0</v>
      </c>
      <c r="AA48" s="98">
        <f>DATA!AH36</f>
        <v>2016</v>
      </c>
      <c r="AB48" s="68" t="str">
        <f>DATA!AI36</f>
        <v>- Sudah ada R/C
- Green Book 2015
 - Proses Loan Agreement</v>
      </c>
      <c r="AC48" s="68" t="str">
        <f>DATA!AJ36</f>
        <v>FS</v>
      </c>
      <c r="AD48" s="68" t="str">
        <f>DATA!AK36</f>
        <v>-</v>
      </c>
      <c r="AE48" s="68" t="str">
        <f>DATA!AL36</f>
        <v>-</v>
      </c>
      <c r="AF48" s="42" t="str">
        <f>DATA!AM36</f>
        <v>2016; 2015</v>
      </c>
      <c r="AG48" s="42" t="str">
        <f>DATA!AN36</f>
        <v>siap</v>
      </c>
      <c r="AH48" s="42" t="str">
        <f>DATA!AO36</f>
        <v>dalam proses
(persiapan)</v>
      </c>
      <c r="AI48" s="42" t="str">
        <f>DATA!AP36</f>
        <v>belum ada proses tender/lelang</v>
      </c>
      <c r="AJ48" s="42" t="str">
        <f>DATA!AY36</f>
        <v>Konfirmasi melalui surat Sekjen nomor KU.01.12-Sj/636 tgl 23 Oktober 2015</v>
      </c>
      <c r="AK48" s="42" t="e">
        <f>DATA!#REF!</f>
        <v>#REF!</v>
      </c>
      <c r="AL48" s="42">
        <f>DATA!AZ36</f>
        <v>0</v>
      </c>
      <c r="AM48" s="67" t="str">
        <f>DATA!BA36</f>
        <v>Pengadaan Instalasi Pengolahan Air (IPA) yang dapat dipindahkan (mobile) untuk penanganan keadaan darurat,  yang dilengkapi dengan alat pendukung, truk, dan sistem komunikasi di 4 lokasi (kota Medan, Bekasi, Makassar, dan Surabaya)</v>
      </c>
    </row>
    <row r="49" spans="1:39" ht="35.25" hidden="1" customHeight="1">
      <c r="J49" s="33"/>
      <c r="K49" s="34"/>
      <c r="L49" s="34"/>
      <c r="M49" s="33"/>
      <c r="N49" s="37" t="str">
        <f>DATA!L37</f>
        <v>IKK Water Supply Program and Small Water Treatment Plant for Water Scarcity Area</v>
      </c>
      <c r="O49" s="20">
        <f>DATA!Q37</f>
        <v>0</v>
      </c>
      <c r="P49" s="20">
        <f>DATA!R37</f>
        <v>1</v>
      </c>
      <c r="Q49" s="20">
        <f>DATA!S37</f>
        <v>30</v>
      </c>
      <c r="R49" s="77">
        <f>DATA!T37</f>
        <v>100000000</v>
      </c>
      <c r="S49" s="77"/>
      <c r="T49" s="77">
        <f>DATA!V37</f>
        <v>5000000</v>
      </c>
      <c r="U49" s="77">
        <f>DATA!W37</f>
        <v>0</v>
      </c>
      <c r="V49" s="77">
        <f>DATA!X37</f>
        <v>105000000</v>
      </c>
      <c r="W49" s="78" t="str">
        <f>DATA!Y37</f>
        <v>-</v>
      </c>
      <c r="X49" s="20">
        <f>DATA!Z37</f>
        <v>0</v>
      </c>
      <c r="Y49" s="77">
        <f>DATA!AA37</f>
        <v>100000000</v>
      </c>
      <c r="Z49" s="77">
        <f>DATA!AG37</f>
        <v>0</v>
      </c>
      <c r="AA49" s="104" t="str">
        <f>DATA!AH37</f>
        <v>-</v>
      </c>
      <c r="AB49" s="105" t="str">
        <f>DATA!AI37</f>
        <v>-</v>
      </c>
      <c r="AC49" s="105" t="str">
        <f>DATA!AJ37</f>
        <v>-</v>
      </c>
      <c r="AD49" s="105" t="str">
        <f>DATA!AK37</f>
        <v>-</v>
      </c>
      <c r="AE49" s="105" t="str">
        <f>DATA!AL37</f>
        <v>-</v>
      </c>
      <c r="AF49" s="104" t="str">
        <f>DATA!AM37</f>
        <v>-</v>
      </c>
      <c r="AG49" s="104" t="str">
        <f>DATA!AN37</f>
        <v>-</v>
      </c>
      <c r="AH49" s="104" t="str">
        <f>DATA!AO37</f>
        <v>-</v>
      </c>
      <c r="AI49" s="104" t="str">
        <f>DATA!AP37</f>
        <v>-</v>
      </c>
      <c r="AJ49" s="104" t="str">
        <f>DATA!AY37</f>
        <v>Konfirmasi melalui surat Sekjen nomor KU.01.12-Sj/636 tgl 23 Oktober 2015</v>
      </c>
      <c r="AK49" s="104" t="e">
        <f>DATA!#REF!</f>
        <v>#REF!</v>
      </c>
      <c r="AL49" s="104" t="str">
        <f>DATA!AZ37</f>
        <v>-</v>
      </c>
      <c r="AM49" s="105" t="str">
        <f>DATA!BA37</f>
        <v>-</v>
      </c>
    </row>
    <row r="50" spans="1:39" s="7" customFormat="1" ht="89.25">
      <c r="A50" s="6">
        <f>DATA!A38</f>
        <v>34</v>
      </c>
      <c r="B50" s="6">
        <f>DATA!B38</f>
        <v>0</v>
      </c>
      <c r="C50" s="6" t="str">
        <f>DATA!D38</f>
        <v>INFRASTRUKTUR</v>
      </c>
      <c r="D50" s="6">
        <f>DATA!E38</f>
        <v>1</v>
      </c>
      <c r="E50" s="6" t="str">
        <f>DATA!F38</f>
        <v>Kementerian Pekerjaan Umum dan Perumahan Rakyat</v>
      </c>
      <c r="F50" s="6" t="str">
        <f>DATA!H38</f>
        <v>Drinking Water Development Program</v>
      </c>
      <c r="G50" s="6" t="str">
        <f>DATA!I38</f>
        <v>D</v>
      </c>
      <c r="H50" s="6" t="str">
        <f>DATA!J38</f>
        <v>Program Pembangunan Air Minum</v>
      </c>
      <c r="I50" s="6">
        <f>DATA!K38</f>
        <v>4</v>
      </c>
      <c r="J50" s="44"/>
      <c r="K50" s="45"/>
      <c r="L50" s="69"/>
      <c r="M50" s="70"/>
      <c r="N50" s="68" t="str">
        <f>DATA!L38</f>
        <v>IKK Water Supply Program and Small Water Treatment Plant for Water Scarcity Area</v>
      </c>
      <c r="O50" s="42">
        <f>DATA!Q38</f>
        <v>0.5</v>
      </c>
      <c r="P50" s="42">
        <f>DATA!R38</f>
        <v>0</v>
      </c>
      <c r="Q50" s="42">
        <f>DATA!S38</f>
        <v>0</v>
      </c>
      <c r="R50" s="85">
        <f>DATA!T38</f>
        <v>0</v>
      </c>
      <c r="S50" s="85"/>
      <c r="T50" s="85">
        <f>DATA!V38</f>
        <v>0</v>
      </c>
      <c r="U50" s="83">
        <f>DATA!W38</f>
        <v>0</v>
      </c>
      <c r="V50" s="85">
        <f>DATA!X38</f>
        <v>0</v>
      </c>
      <c r="W50" s="86" t="str">
        <f>DATA!Y38</f>
        <v>Hungaria</v>
      </c>
      <c r="X50" s="42" t="str">
        <f>DATA!Z38</f>
        <v>Bilateral</v>
      </c>
      <c r="Y50" s="85">
        <f>DATA!AA38</f>
        <v>50000000</v>
      </c>
      <c r="Z50" s="85">
        <f>DATA!AG38</f>
        <v>0</v>
      </c>
      <c r="AA50" s="98">
        <f>DATA!AH38</f>
        <v>2016</v>
      </c>
      <c r="AB50" s="68" t="str">
        <f>DATA!AI38</f>
        <v>- Sudah ada R/C
- Green Book 2015
- Proses LA</v>
      </c>
      <c r="AC50" s="68" t="str">
        <f>DATA!AJ38</f>
        <v>Surat minat, RISPAM, DED, SIPA, Organisasi Pelaksana, DDUB</v>
      </c>
      <c r="AD50" s="68" t="str">
        <f>DATA!AK38</f>
        <v>Sebagian lokasi dalam proses pembebasan lahan oleh Pemda</v>
      </c>
      <c r="AE50" s="68" t="str">
        <f>DATA!AL38</f>
        <v>Dalam proses pengadaan</v>
      </c>
      <c r="AF50" s="42" t="str">
        <f>DATA!AM38</f>
        <v>2016; 2015</v>
      </c>
      <c r="AG50" s="42" t="str">
        <f>DATA!AN38</f>
        <v>siap</v>
      </c>
      <c r="AH50" s="42" t="str">
        <f>DATA!AO38</f>
        <v>dalam proses
(pelaksanaan &lt;50%)</v>
      </c>
      <c r="AI50" s="42" t="str">
        <f>DATA!AP38</f>
        <v>dalam proses tender/lelang</v>
      </c>
      <c r="AJ50" s="42" t="str">
        <f>DATA!AY38</f>
        <v>Konfirmasi melalui surat Sekjen nomor KU.01.12-Sj/636 tgl 23 Oktober 2015</v>
      </c>
      <c r="AK50" s="42" t="e">
        <f>DATA!#REF!</f>
        <v>#REF!</v>
      </c>
      <c r="AL50" s="42"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M50" s="67"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row>
    <row r="51" spans="1:39" s="6" customFormat="1" ht="30" hidden="1" customHeight="1">
      <c r="J51" s="38"/>
      <c r="K51" s="39"/>
      <c r="L51" s="71"/>
      <c r="M51" s="43"/>
      <c r="N51" s="67" t="str">
        <f>DATA!L39</f>
        <v>IKK Water Supply Program and Small Water Treatment Plant for Water Scarcity Area</v>
      </c>
      <c r="O51" s="42">
        <f>DATA!Q39</f>
        <v>0.5</v>
      </c>
      <c r="P51" s="42">
        <f>DATA!R39</f>
        <v>0</v>
      </c>
      <c r="Q51" s="42">
        <f>DATA!S39</f>
        <v>0</v>
      </c>
      <c r="R51" s="83">
        <f>DATA!T39</f>
        <v>0</v>
      </c>
      <c r="S51" s="83"/>
      <c r="T51" s="83">
        <f>DATA!V39</f>
        <v>0</v>
      </c>
      <c r="U51" s="83">
        <f>DATA!W39</f>
        <v>0</v>
      </c>
      <c r="V51" s="83">
        <f>DATA!X39</f>
        <v>0</v>
      </c>
      <c r="W51" s="84" t="str">
        <f>DATA!Y39</f>
        <v>IDB</v>
      </c>
      <c r="X51" s="42" t="str">
        <f>DATA!Z39</f>
        <v>Multilateral</v>
      </c>
      <c r="Y51" s="83">
        <f>DATA!AA39</f>
        <v>50000000</v>
      </c>
      <c r="Z51" s="83">
        <f>DATA!AG39</f>
        <v>0</v>
      </c>
      <c r="AA51" s="42">
        <f>DATA!AH39</f>
        <v>2017</v>
      </c>
      <c r="AB51" s="67" t="str">
        <f>DATA!AI39</f>
        <v>-</v>
      </c>
      <c r="AC51" s="67" t="str">
        <f>DATA!AJ39</f>
        <v>-</v>
      </c>
      <c r="AD51" s="67" t="str">
        <f>DATA!AK39</f>
        <v>-</v>
      </c>
      <c r="AE51" s="67" t="str">
        <f>DATA!AL39</f>
        <v>-</v>
      </c>
      <c r="AF51" s="42">
        <f>DATA!AM39</f>
        <v>0</v>
      </c>
      <c r="AG51" s="42" t="str">
        <f>DATA!AN39</f>
        <v>siap</v>
      </c>
      <c r="AH51" s="42" t="str">
        <f>DATA!AO39</f>
        <v>dalam proses
(pelaksanaan &lt;50%)</v>
      </c>
      <c r="AI51" s="42" t="str">
        <f>DATA!AP39</f>
        <v>belum ada proses tender/lelang</v>
      </c>
      <c r="AJ51" s="42" t="str">
        <f>DATA!AY39</f>
        <v>Konfirmasi melalui surat Sekjen nomor KU.01.12-Sj/636 tgl 23 Oktober 2015</v>
      </c>
      <c r="AK51" s="42" t="e">
        <f>DATA!#REF!</f>
        <v>#REF!</v>
      </c>
      <c r="AL51" s="42">
        <f>DATA!AZ39</f>
        <v>0</v>
      </c>
      <c r="AM51" s="67">
        <f>DATA!BA39</f>
        <v>0</v>
      </c>
    </row>
    <row r="52" spans="1:39" s="6" customFormat="1" ht="37.5" hidden="1" customHeight="1">
      <c r="J52" s="38"/>
      <c r="K52" s="39"/>
      <c r="L52" s="71"/>
      <c r="M52" s="36">
        <f>DATA!K40</f>
        <v>5</v>
      </c>
      <c r="N52" s="37" t="str">
        <f>DATA!L40</f>
        <v>Engineering Service for Water Supply Development Project</v>
      </c>
      <c r="O52" s="20">
        <f>DATA!Q40</f>
        <v>0</v>
      </c>
      <c r="P52" s="20">
        <f>DATA!R40</f>
        <v>1</v>
      </c>
      <c r="Q52" s="20">
        <f>DATA!S40</f>
        <v>0</v>
      </c>
      <c r="R52" s="77">
        <f>DATA!T40</f>
        <v>0</v>
      </c>
      <c r="S52" s="77"/>
      <c r="T52" s="77">
        <f>DATA!V40</f>
        <v>0</v>
      </c>
      <c r="U52" s="77">
        <f>DATA!W40</f>
        <v>0</v>
      </c>
      <c r="V52" s="77">
        <f>DATA!X40</f>
        <v>0</v>
      </c>
      <c r="W52" s="78" t="str">
        <f>DATA!Y40</f>
        <v>ADB</v>
      </c>
      <c r="X52" s="20" t="str">
        <f>DATA!Z40</f>
        <v>Multilateral</v>
      </c>
      <c r="Y52" s="77">
        <f>DATA!AA40</f>
        <v>26380000</v>
      </c>
      <c r="Z52" s="77">
        <f>DATA!AG40</f>
        <v>0</v>
      </c>
      <c r="AA52" s="20">
        <f>DATA!AH40</f>
        <v>2016</v>
      </c>
      <c r="AB52" s="37" t="str">
        <f>DATA!AI40</f>
        <v>- Green Book 2015</v>
      </c>
      <c r="AC52" s="37" t="str">
        <f>DATA!AJ40</f>
        <v>-</v>
      </c>
      <c r="AD52" s="37" t="str">
        <f>DATA!AK40</f>
        <v>-</v>
      </c>
      <c r="AE52" s="37" t="str">
        <f>DATA!AL40</f>
        <v>-</v>
      </c>
      <c r="AF52" s="42"/>
      <c r="AG52" s="42"/>
      <c r="AH52" s="42"/>
      <c r="AI52" s="42"/>
      <c r="AJ52" s="42"/>
      <c r="AK52" s="42"/>
      <c r="AL52" s="42"/>
      <c r="AM52" s="67"/>
    </row>
    <row r="53" spans="1:39" s="5" customFormat="1" ht="33.75" hidden="1" customHeight="1">
      <c r="J53" s="28"/>
      <c r="K53" s="50"/>
      <c r="L53" s="30" t="str">
        <f>DATA!I41</f>
        <v>E</v>
      </c>
      <c r="M53" s="31" t="str">
        <f>DATA!J41</f>
        <v xml:space="preserve">Program Pembangunan Sistem Pengelolaan Air Limbah </v>
      </c>
      <c r="N53" s="51"/>
      <c r="O53" s="31"/>
      <c r="P53" s="31"/>
      <c r="Q53" s="31"/>
      <c r="R53" s="81">
        <f>+R54+R57+R58+R59+R63+R64</f>
        <v>3583000000</v>
      </c>
      <c r="S53" s="81"/>
      <c r="T53" s="81">
        <f t="shared" ref="T53:Z53" si="1">+T54+T57+T58+T59+T63+T64</f>
        <v>179150000</v>
      </c>
      <c r="U53" s="81">
        <f t="shared" si="1"/>
        <v>0</v>
      </c>
      <c r="V53" s="81">
        <f t="shared" si="1"/>
        <v>3762150000</v>
      </c>
      <c r="W53" s="81"/>
      <c r="X53" s="81" t="e">
        <f t="shared" si="1"/>
        <v>#VALUE!</v>
      </c>
      <c r="Y53" s="81">
        <f t="shared" si="1"/>
        <v>3583000000</v>
      </c>
      <c r="Z53" s="81">
        <f t="shared" si="1"/>
        <v>0</v>
      </c>
      <c r="AA53" s="31"/>
      <c r="AB53" s="32"/>
      <c r="AC53" s="32"/>
      <c r="AD53" s="32"/>
      <c r="AE53" s="32"/>
      <c r="AF53" s="31"/>
      <c r="AG53" s="31"/>
      <c r="AH53" s="31"/>
      <c r="AI53" s="31"/>
      <c r="AJ53" s="31"/>
      <c r="AK53" s="31"/>
      <c r="AL53" s="31"/>
      <c r="AM53" s="32"/>
    </row>
    <row r="54" spans="1:39" ht="57.75" hidden="1" customHeight="1">
      <c r="A54" s="10">
        <f>DATA!A41</f>
        <v>35</v>
      </c>
      <c r="B54" s="10">
        <f>DATA!B41</f>
        <v>0</v>
      </c>
      <c r="C54" s="10" t="str">
        <f>DATA!D41</f>
        <v>INFRASTRUKTUR</v>
      </c>
      <c r="D54" s="10">
        <f>DATA!E41</f>
        <v>1</v>
      </c>
      <c r="E54" s="10" t="str">
        <f>DATA!F41</f>
        <v>Kementerian Pekerjaan Umum dan Perumahan Rakyat</v>
      </c>
      <c r="F54" s="10" t="str">
        <f>DATA!H41</f>
        <v>Development of Waste Water Management Program</v>
      </c>
      <c r="G54" s="10" t="str">
        <f>DATA!I41</f>
        <v>E</v>
      </c>
      <c r="H54" s="10" t="str">
        <f>DATA!J41</f>
        <v xml:space="preserve">Program Pembangunan Sistem Pengelolaan Air Limbah </v>
      </c>
      <c r="I54" s="10">
        <f>DATA!K41</f>
        <v>1</v>
      </c>
      <c r="J54" s="33"/>
      <c r="K54" s="34"/>
      <c r="L54" s="35"/>
      <c r="M54" s="36">
        <f>DATA!K41</f>
        <v>1</v>
      </c>
      <c r="N54" s="37" t="str">
        <f>DATA!L41</f>
        <v>Community Based Sanitation Program (SANIMAS)</v>
      </c>
      <c r="O54" s="37">
        <f>DATA!Q41</f>
        <v>0</v>
      </c>
      <c r="P54" s="37">
        <f>DATA!R41</f>
        <v>1</v>
      </c>
      <c r="Q54" s="37">
        <f>DATA!S41</f>
        <v>31</v>
      </c>
      <c r="R54" s="87">
        <f>DATA!T41</f>
        <v>250000000</v>
      </c>
      <c r="S54" s="87"/>
      <c r="T54" s="87">
        <f>DATA!V41</f>
        <v>12500000</v>
      </c>
      <c r="U54" s="87">
        <f>DATA!W41</f>
        <v>0</v>
      </c>
      <c r="V54" s="87">
        <f>DATA!X41</f>
        <v>262500000</v>
      </c>
      <c r="W54" s="37" t="str">
        <f>DATA!Y41</f>
        <v>-</v>
      </c>
      <c r="X54" s="37">
        <f>DATA!Z41</f>
        <v>0</v>
      </c>
      <c r="Y54" s="37">
        <f>DATA!AA41</f>
        <v>250000000</v>
      </c>
      <c r="Z54" s="87">
        <f>DATA!AG41</f>
        <v>0</v>
      </c>
      <c r="AA54" s="37" t="str">
        <f>DATA!AH41</f>
        <v>-</v>
      </c>
      <c r="AB54" s="37" t="str">
        <f>DATA!AI41</f>
        <v>-</v>
      </c>
      <c r="AC54" s="37" t="str">
        <f>DATA!AJ41</f>
        <v>-</v>
      </c>
      <c r="AD54" s="37" t="str">
        <f>DATA!AK41</f>
        <v>-</v>
      </c>
      <c r="AE54" s="37" t="str">
        <f>DATA!AL41</f>
        <v>-</v>
      </c>
      <c r="AF54" s="37" t="str">
        <f>DATA!AM41</f>
        <v>-</v>
      </c>
      <c r="AG54" s="37" t="str">
        <f>DATA!AN41</f>
        <v>-</v>
      </c>
      <c r="AH54" s="37" t="str">
        <f>DATA!AO41</f>
        <v>-</v>
      </c>
      <c r="AI54" s="37" t="str">
        <f>DATA!AP41</f>
        <v>belum ada proses tender/lelang</v>
      </c>
      <c r="AJ54" s="37" t="str">
        <f>DATA!AY41</f>
        <v>- Merupakan kelanjutan dari kegiatan Urban Sanitation and Rural Infrastructure Support to PNPM Mandiri Projrct (USRI) yang telah berakhir pada tanggal 30 Juni 2015
- Konfirmasi melalui surat Sekjen nomor KU.01.12-Sj/636 tgl 23 Oktober 2015</v>
      </c>
      <c r="AK54" s="37" t="e">
        <f>DATA!#REF!</f>
        <v>#REF!</v>
      </c>
      <c r="AL54" s="37" t="str">
        <f>DATA!AZ41</f>
        <v>- ADB akan co-financing dengan IDB dan diindikasikan akan mendanai kegiatan ini sebesar USD 125 juta untuk wilayah Indonesia Timur
'- IDB akan co-financing dengan ADB dan diindikasikan akan mendanai kegiatan ini sebesar USD 25 juta untuk wilayah Indonesia Barat</v>
      </c>
      <c r="AM54" s="37" t="str">
        <f>DATA!BA41</f>
        <v>Bantuan langsung masyarakat, penguatan institusi pengelola, dan jasa konsultasi.</v>
      </c>
    </row>
    <row r="55" spans="1:39" s="6" customFormat="1" ht="55.5" hidden="1" customHeight="1">
      <c r="J55" s="38"/>
      <c r="K55" s="39"/>
      <c r="L55" s="39"/>
      <c r="M55" s="72"/>
      <c r="N55" s="67" t="str">
        <f>DATA!L42</f>
        <v>Community Based Sanitation Program (SANIMAS)</v>
      </c>
      <c r="O55" s="67">
        <f>DATA!Q42</f>
        <v>0.5</v>
      </c>
      <c r="P55" s="67">
        <f>DATA!R42</f>
        <v>1</v>
      </c>
      <c r="Q55" s="67">
        <f>DATA!S42</f>
        <v>31</v>
      </c>
      <c r="R55" s="93">
        <f>DATA!T42</f>
        <v>0</v>
      </c>
      <c r="S55" s="93"/>
      <c r="T55" s="93">
        <f>DATA!V42</f>
        <v>0</v>
      </c>
      <c r="U55" s="93">
        <f>DATA!W42</f>
        <v>0</v>
      </c>
      <c r="V55" s="93">
        <f>DATA!X42</f>
        <v>0</v>
      </c>
      <c r="W55" s="84" t="str">
        <f>DATA!Y42</f>
        <v>ADB</v>
      </c>
      <c r="X55" s="67" t="str">
        <f>DATA!Z42</f>
        <v>Multilateral</v>
      </c>
      <c r="Y55" s="67">
        <f>DATA!AA42</f>
        <v>125000000</v>
      </c>
      <c r="Z55" s="93">
        <f>DATA!AG42</f>
        <v>0</v>
      </c>
      <c r="AA55" s="67">
        <f>DATA!AH42</f>
        <v>2016</v>
      </c>
      <c r="AB55" s="67" t="str">
        <f>DATA!AI42</f>
        <v>-</v>
      </c>
      <c r="AC55" s="67" t="str">
        <f>DATA!AJ42</f>
        <v>-</v>
      </c>
      <c r="AD55" s="67" t="str">
        <f>DATA!AK42</f>
        <v>Tidak ada kegiatan pengadaan lahan, lahan akan diperoleh dari masyarakat</v>
      </c>
      <c r="AE55" s="67" t="str">
        <f>DATA!AL42</f>
        <v>-</v>
      </c>
      <c r="AF55" s="67">
        <f>DATA!AM42</f>
        <v>0</v>
      </c>
      <c r="AG55" s="67" t="str">
        <f>DATA!AN42</f>
        <v>belum ada keterangan</v>
      </c>
      <c r="AH55" s="67" t="str">
        <f>DATA!AO42</f>
        <v>tidak butuh lahan</v>
      </c>
      <c r="AI55" s="67" t="str">
        <f>DATA!AP42</f>
        <v>belum ada proses tender/lelang</v>
      </c>
      <c r="AJ55" s="67" t="str">
        <f>DATA!AY42</f>
        <v>- Merupakan kelanjutan dari kegiatan Urban Sanitation and Rural Infrastructure Support to PNPM Mandiri Projrct (USRI) yang telah berakhir pada tanggal 30 Juni 2015
- Konfirmasi melalui e-mail tanggal 17, 18, dan 21 Sept 2015</v>
      </c>
      <c r="AK55" s="67" t="e">
        <f>DATA!#REF!</f>
        <v>#REF!</v>
      </c>
      <c r="AL55" s="6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M55" s="67" t="str">
        <f>DATA!BA42</f>
        <v>Bantuan langsung masyarakat, penguatan institusi pengelola, dan jasa konsultasi.</v>
      </c>
    </row>
    <row r="56" spans="1:39" s="6" customFormat="1" ht="46.5" hidden="1" customHeight="1">
      <c r="J56" s="38"/>
      <c r="K56" s="39"/>
      <c r="L56" s="39"/>
      <c r="M56" s="72"/>
      <c r="N56" s="67" t="str">
        <f>DATA!L43</f>
        <v>Community Based Sanitation Program (SANIMAS)</v>
      </c>
      <c r="O56" s="67">
        <f>DATA!Q43</f>
        <v>0.5</v>
      </c>
      <c r="P56" s="67">
        <f>DATA!R43</f>
        <v>1</v>
      </c>
      <c r="Q56" s="67">
        <f>DATA!S43</f>
        <v>31</v>
      </c>
      <c r="R56" s="93">
        <f>DATA!T43</f>
        <v>0</v>
      </c>
      <c r="S56" s="93"/>
      <c r="T56" s="93">
        <f>DATA!V43</f>
        <v>0</v>
      </c>
      <c r="U56" s="93">
        <f>DATA!W43</f>
        <v>0</v>
      </c>
      <c r="V56" s="93">
        <f>DATA!X43</f>
        <v>0</v>
      </c>
      <c r="W56" s="84" t="str">
        <f>DATA!Y43</f>
        <v>IDB</v>
      </c>
      <c r="X56" s="67" t="str">
        <f>DATA!Z43</f>
        <v>Multilateral</v>
      </c>
      <c r="Y56" s="67">
        <f>DATA!AA43</f>
        <v>125000000</v>
      </c>
      <c r="Z56" s="93">
        <f>DATA!AG43</f>
        <v>0</v>
      </c>
      <c r="AA56" s="67">
        <f>DATA!AH43</f>
        <v>2017</v>
      </c>
      <c r="AB56" s="67" t="str">
        <f>DATA!AI43</f>
        <v>-</v>
      </c>
      <c r="AC56" s="67" t="str">
        <f>DATA!AJ43</f>
        <v>-</v>
      </c>
      <c r="AD56" s="67" t="str">
        <f>DATA!AK43</f>
        <v>Tidak ada kegiatan pengadaan lahan, lahan akan diperoleh dari masyarakat</v>
      </c>
      <c r="AE56" s="67" t="str">
        <f>DATA!AL43</f>
        <v>-</v>
      </c>
      <c r="AF56" s="67">
        <f>DATA!AM43</f>
        <v>0</v>
      </c>
      <c r="AG56" s="67" t="str">
        <f>DATA!AN43</f>
        <v>belum ada keterangan</v>
      </c>
      <c r="AH56" s="67" t="str">
        <f>DATA!AO43</f>
        <v>tidak butuh lahan</v>
      </c>
      <c r="AI56" s="67" t="str">
        <f>DATA!AP43</f>
        <v>belum ada proses tender/lelang</v>
      </c>
      <c r="AJ56" s="67" t="str">
        <f>DATA!AY43</f>
        <v>- Merupakan kelanjutan dari kegiatan Urban Sanitation and Rural Infrastructure Support to PNPM Mandiri Projrct (USRI) yang telah berakhir pada tanggal 30 Juni 2015
- Konfirmasi melalui surat Sekjen nomor KU.01.12-Sj/636 tgl 23 Oktober 2015</v>
      </c>
      <c r="AK56" s="67" t="e">
        <f>DATA!#REF!</f>
        <v>#REF!</v>
      </c>
      <c r="AL56" s="6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M56" s="67" t="str">
        <f>DATA!BA43</f>
        <v>Bantuan langsung masyarakat, penguatan institusi pengelola, dan jasa konsultasi.</v>
      </c>
    </row>
    <row r="57" spans="1:39" ht="80.25" hidden="1" customHeight="1">
      <c r="A57" s="10">
        <f>DATA!A44</f>
        <v>36</v>
      </c>
      <c r="B57" s="10">
        <f>DATA!B44</f>
        <v>0</v>
      </c>
      <c r="C57" s="10" t="str">
        <f>DATA!D44</f>
        <v>INFRASTRUKTUR</v>
      </c>
      <c r="D57" s="10">
        <f>DATA!E44</f>
        <v>1</v>
      </c>
      <c r="E57" s="10" t="str">
        <f>DATA!F44</f>
        <v>Kementerian Pekerjaan Umum dan Perumahan Rakyat</v>
      </c>
      <c r="F57" s="10" t="str">
        <f>DATA!H44</f>
        <v>Development of Waste Water Management Program</v>
      </c>
      <c r="G57" s="10" t="str">
        <f>DATA!I44</f>
        <v>E</v>
      </c>
      <c r="H57" s="10" t="str">
        <f>DATA!J44</f>
        <v xml:space="preserve">Program Pembangunan Sistem Pengelolaan Air Limbah </v>
      </c>
      <c r="I57" s="10">
        <f>DATA!K44</f>
        <v>2</v>
      </c>
      <c r="J57" s="33"/>
      <c r="K57" s="34"/>
      <c r="L57" s="34"/>
      <c r="M57" s="36">
        <f>DATA!K44</f>
        <v>2</v>
      </c>
      <c r="N57" s="37" t="str">
        <f>DATA!L44</f>
        <v>Jakarta Sewerage Development Project - Zone 1 and Zone 6</v>
      </c>
      <c r="O57" s="20">
        <f>DATA!Q44</f>
        <v>1</v>
      </c>
      <c r="P57" s="20">
        <f>DATA!R44</f>
        <v>1</v>
      </c>
      <c r="Q57" s="20">
        <f>DATA!S44</f>
        <v>32</v>
      </c>
      <c r="R57" s="77">
        <f>DATA!T44</f>
        <v>1950000000</v>
      </c>
      <c r="S57" s="77"/>
      <c r="T57" s="77">
        <f>DATA!V44</f>
        <v>97500000</v>
      </c>
      <c r="U57" s="77">
        <f>DATA!W44</f>
        <v>0</v>
      </c>
      <c r="V57" s="77">
        <f>DATA!X44</f>
        <v>2047500000</v>
      </c>
      <c r="W57" s="78" t="str">
        <f>DATA!Y44</f>
        <v>JICA</v>
      </c>
      <c r="X57" s="20" t="str">
        <f>DATA!Z44</f>
        <v>Bilateral</v>
      </c>
      <c r="Y57" s="77">
        <f>DATA!AA44</f>
        <v>1950000000</v>
      </c>
      <c r="Z57" s="77">
        <f>DATA!AG44</f>
        <v>0</v>
      </c>
      <c r="AA57" s="20">
        <f>DATA!AH44</f>
        <v>2017</v>
      </c>
      <c r="AB57" s="37" t="str">
        <f>DATA!AI44</f>
        <v>-</v>
      </c>
      <c r="AC57" s="37" t="str">
        <f>DATA!AJ44</f>
        <v>- FS
- Penyusunan DED</v>
      </c>
      <c r="AD57" s="37" t="str">
        <f>DATA!AK44</f>
        <v>Lahan untuk IPAL sudah dibebaskan</v>
      </c>
      <c r="AE57" s="37" t="str">
        <f>DATA!AL44</f>
        <v>-</v>
      </c>
      <c r="AF57" s="20">
        <f>DATA!AM44</f>
        <v>0</v>
      </c>
      <c r="AG57" s="20" t="str">
        <f>DATA!AN44</f>
        <v>dalam proses
(memiliki FS)</v>
      </c>
      <c r="AH57" s="20" t="str">
        <f>DATA!AO44</f>
        <v>dalam proses</v>
      </c>
      <c r="AI57" s="20" t="str">
        <f>DATA!AP44</f>
        <v>belum ada proses tender/lelang</v>
      </c>
      <c r="AJ57" s="20" t="str">
        <f>DATA!AY44</f>
        <v>Konfirmasi melalui surat Sekjen nomor KU.01.12-Sj/636 tgl 23 Oktober 2015</v>
      </c>
      <c r="AK57" s="20" t="e">
        <f>DATA!#REF!</f>
        <v>#REF!</v>
      </c>
      <c r="AL57" s="20">
        <f>DATA!AZ44</f>
        <v>0</v>
      </c>
      <c r="AM57" s="37" t="str">
        <f>DATA!BA44</f>
        <v>Pembangunan jaringan perpipaan dan Instalasi Pengolahan Air Limbah (IPAL) terpusat di Zona-1 dan Zona-6, pembangunan unit stasiun pompa, serta penyusunan Detail Engineering Design (DED) untuk IPAL Terpusat Zona 6</v>
      </c>
    </row>
    <row r="58" spans="1:39" ht="51" hidden="1" customHeight="1">
      <c r="A58" s="10">
        <f>DATA!A45</f>
        <v>37</v>
      </c>
      <c r="B58" s="10">
        <f>DATA!B45</f>
        <v>0</v>
      </c>
      <c r="C58" s="10" t="str">
        <f>DATA!D45</f>
        <v>INFRASTRUKTUR</v>
      </c>
      <c r="D58" s="10">
        <f>DATA!E45</f>
        <v>1</v>
      </c>
      <c r="E58" s="10" t="str">
        <f>DATA!F45</f>
        <v>Kementerian Pekerjaan Umum dan Perumahan Rakyat</v>
      </c>
      <c r="F58" s="10" t="str">
        <f>DATA!H45</f>
        <v>Development of Waste Water Management Program</v>
      </c>
      <c r="G58" s="10" t="str">
        <f>DATA!I45</f>
        <v>E</v>
      </c>
      <c r="H58" s="10" t="str">
        <f>DATA!J45</f>
        <v xml:space="preserve">Program Pembangunan Sistem Pengelolaan Air Limbah </v>
      </c>
      <c r="I58" s="10">
        <f>DATA!K45</f>
        <v>3</v>
      </c>
      <c r="J58" s="33"/>
      <c r="K58" s="34"/>
      <c r="L58" s="34"/>
      <c r="M58" s="36">
        <f>DATA!K45</f>
        <v>3</v>
      </c>
      <c r="N58" s="37" t="str">
        <f>DATA!L45</f>
        <v>The Development of Sewage Treatment Plant Facility in Priority Area</v>
      </c>
      <c r="O58" s="20">
        <f>DATA!Q45</f>
        <v>1</v>
      </c>
      <c r="P58" s="20">
        <f>DATA!R45</f>
        <v>1</v>
      </c>
      <c r="Q58" s="20">
        <f>DATA!S45</f>
        <v>33</v>
      </c>
      <c r="R58" s="77">
        <f>DATA!T45</f>
        <v>75000000</v>
      </c>
      <c r="S58" s="77"/>
      <c r="T58" s="77">
        <f>DATA!V45</f>
        <v>3750000</v>
      </c>
      <c r="U58" s="77">
        <f>DATA!W45</f>
        <v>0</v>
      </c>
      <c r="V58" s="77">
        <f>DATA!X45</f>
        <v>78750000</v>
      </c>
      <c r="W58" s="78" t="str">
        <f>DATA!Y45</f>
        <v>Bank Dunia/JICA</v>
      </c>
      <c r="X58" s="20" t="str">
        <f>DATA!Z45</f>
        <v>Multi Lender</v>
      </c>
      <c r="Y58" s="77">
        <f>DATA!AA45</f>
        <v>75000000</v>
      </c>
      <c r="Z58" s="77">
        <f>DATA!AG45</f>
        <v>0</v>
      </c>
      <c r="AA58" s="20">
        <f>DATA!AH45</f>
        <v>2018</v>
      </c>
      <c r="AB58" s="37" t="str">
        <f>DATA!AI45</f>
        <v>-</v>
      </c>
      <c r="AC58" s="37" t="str">
        <f>DATA!AJ45</f>
        <v>FS disiapkan melalui APBN TA 2015</v>
      </c>
      <c r="AD58" s="37" t="str">
        <f>DATA!AK45</f>
        <v>-</v>
      </c>
      <c r="AE58" s="37" t="str">
        <f>DATA!AL45</f>
        <v>-</v>
      </c>
      <c r="AF58" s="20">
        <f>DATA!AM45</f>
        <v>0</v>
      </c>
      <c r="AG58" s="20" t="str">
        <f>DATA!AN45</f>
        <v>dalam proses
(memiliki FS)</v>
      </c>
      <c r="AH58" s="20" t="str">
        <f>DATA!AO45</f>
        <v>belum ada keterangan</v>
      </c>
      <c r="AI58" s="20" t="str">
        <f>DATA!AP45</f>
        <v>belum ada proses tender/lelang</v>
      </c>
      <c r="AJ58" s="20" t="str">
        <f>DATA!AY45</f>
        <v>- Sedang dalam konsep desain bentuk kegiatan
- 'Konfirmasi melalui surat Sekjen nomor KU.01.12-Sj/636 tgl 23 Oktober 2015</v>
      </c>
      <c r="AK58" s="20" t="e">
        <f>DATA!#REF!</f>
        <v>#REF!</v>
      </c>
      <c r="AL58" s="20" t="str">
        <f>DATA!AZ45</f>
        <v>JICA diindikasikan juga akan mendanai kegaiatan ini</v>
      </c>
      <c r="AM58" s="37" t="str">
        <f>DATA!BA45</f>
        <v>Penyediaan sarana prasarana Instalasi Pengolahan Lumpur Tinja (IPLT), seperti mobil tinja, pompa penyedot dan unit IPLT.</v>
      </c>
    </row>
    <row r="59" spans="1:39" ht="22.5" hidden="1" customHeight="1">
      <c r="A59" s="10">
        <f>DATA!A46</f>
        <v>38</v>
      </c>
      <c r="B59" s="10">
        <f>DATA!B46</f>
        <v>0</v>
      </c>
      <c r="C59" s="10" t="str">
        <f>DATA!D46</f>
        <v>INFRASTRUKTUR</v>
      </c>
      <c r="D59" s="10">
        <f>DATA!E46</f>
        <v>1</v>
      </c>
      <c r="E59" s="10" t="str">
        <f>DATA!F46</f>
        <v>Kementerian Pekerjaan Umum dan Perumahan Rakyat</v>
      </c>
      <c r="F59" s="10" t="str">
        <f>DATA!H46</f>
        <v>Development of Waste Water Management Program</v>
      </c>
      <c r="G59" s="10" t="str">
        <f>DATA!I46</f>
        <v>E</v>
      </c>
      <c r="H59" s="10" t="str">
        <f>DATA!J46</f>
        <v xml:space="preserve">Program Pembangunan Sistem Pengelolaan Air Limbah </v>
      </c>
      <c r="I59" s="10">
        <f>DATA!K46</f>
        <v>4</v>
      </c>
      <c r="J59" s="33"/>
      <c r="K59" s="34"/>
      <c r="L59" s="34"/>
      <c r="M59" s="36">
        <f>DATA!K46</f>
        <v>4</v>
      </c>
      <c r="N59" s="37" t="str">
        <f>DATA!L46</f>
        <v>Sewerage System Development in Indonesia</v>
      </c>
      <c r="O59" s="20">
        <f>DATA!Q46</f>
        <v>0</v>
      </c>
      <c r="P59" s="20">
        <f>DATA!R46</f>
        <v>1</v>
      </c>
      <c r="Q59" s="20">
        <f>DATA!S46</f>
        <v>34</v>
      </c>
      <c r="R59" s="77">
        <f>DATA!T46</f>
        <v>975000000</v>
      </c>
      <c r="S59" s="77"/>
      <c r="T59" s="77">
        <f>DATA!V46</f>
        <v>48750000</v>
      </c>
      <c r="U59" s="77">
        <f>DATA!W46</f>
        <v>0</v>
      </c>
      <c r="V59" s="77">
        <f>DATA!X46</f>
        <v>1023750000</v>
      </c>
      <c r="W59" s="78" t="str">
        <f>DATA!Y46</f>
        <v>-</v>
      </c>
      <c r="X59" s="20">
        <f>DATA!Z46</f>
        <v>0</v>
      </c>
      <c r="Y59" s="77">
        <f>DATA!AA46</f>
        <v>975000000</v>
      </c>
      <c r="Z59" s="77">
        <f>DATA!AG46</f>
        <v>0</v>
      </c>
      <c r="AA59" s="20"/>
      <c r="AB59" s="37" t="str">
        <f>DATA!AI46</f>
        <v>-</v>
      </c>
      <c r="AC59" s="37" t="str">
        <f>DATA!AJ46</f>
        <v>-</v>
      </c>
      <c r="AD59" s="37" t="str">
        <f>DATA!AK46</f>
        <v>-</v>
      </c>
      <c r="AE59" s="37" t="str">
        <f>DATA!AL46</f>
        <v>-</v>
      </c>
      <c r="AF59" s="20" t="str">
        <f>DATA!AM46</f>
        <v>-</v>
      </c>
      <c r="AG59" s="20" t="str">
        <f>DATA!AN46</f>
        <v>-</v>
      </c>
      <c r="AH59" s="20" t="str">
        <f>DATA!AO46</f>
        <v>-</v>
      </c>
      <c r="AI59" s="20" t="str">
        <f>DATA!AP46</f>
        <v>-</v>
      </c>
      <c r="AJ59" s="20" t="str">
        <f>DATA!AY46</f>
        <v>Konfirmasi melalui surat Sekjen nomor KU.01.12-Sj/636 tgl 23 Oktober 2015</v>
      </c>
      <c r="AK59" s="20" t="e">
        <f>DATA!#REF!</f>
        <v>#REF!</v>
      </c>
      <c r="AL59" s="20" t="str">
        <f>DATA!AZ46</f>
        <v>-</v>
      </c>
      <c r="AM59" s="37" t="str">
        <f>DATA!BA46</f>
        <v>-</v>
      </c>
    </row>
    <row r="60" spans="1:39" s="6" customFormat="1" ht="48.75" hidden="1" customHeight="1">
      <c r="A60" s="6">
        <f>DATA!A47</f>
        <v>38</v>
      </c>
      <c r="B60" s="6">
        <f>DATA!B47</f>
        <v>0</v>
      </c>
      <c r="C60" s="6" t="str">
        <f>DATA!D47</f>
        <v>INFRASTRUKTUR</v>
      </c>
      <c r="D60" s="6">
        <f>DATA!E47</f>
        <v>1</v>
      </c>
      <c r="E60" s="6" t="str">
        <f>DATA!F47</f>
        <v>Kementerian Pekerjaan Umum dan Perumahan Rakyat</v>
      </c>
      <c r="F60" s="6" t="str">
        <f>DATA!H47</f>
        <v>Development of Waste Water Management Program</v>
      </c>
      <c r="G60" s="6" t="str">
        <f>DATA!I47</f>
        <v>E</v>
      </c>
      <c r="H60" s="6" t="str">
        <f>DATA!J47</f>
        <v xml:space="preserve">Program Pembangunan Sistem Pengelolaan Air Limbah </v>
      </c>
      <c r="I60" s="6">
        <f>DATA!K47</f>
        <v>4</v>
      </c>
      <c r="J60" s="38"/>
      <c r="K60" s="39"/>
      <c r="L60" s="39"/>
      <c r="M60" s="40"/>
      <c r="N60" s="67" t="str">
        <f>DATA!L47</f>
        <v>Sewerage System Development in Indonesia</v>
      </c>
      <c r="O60" s="42">
        <f>DATA!Q47</f>
        <v>0.25</v>
      </c>
      <c r="P60" s="42">
        <f>DATA!R47</f>
        <v>0</v>
      </c>
      <c r="Q60" s="42">
        <f>DATA!S47</f>
        <v>0</v>
      </c>
      <c r="R60" s="83">
        <f>DATA!T47</f>
        <v>0</v>
      </c>
      <c r="S60" s="83"/>
      <c r="T60" s="83">
        <f>DATA!V47</f>
        <v>0</v>
      </c>
      <c r="U60" s="83">
        <f>DATA!W47</f>
        <v>0</v>
      </c>
      <c r="V60" s="83">
        <f>DATA!X47</f>
        <v>0</v>
      </c>
      <c r="W60" s="84" t="str">
        <f>DATA!Y47</f>
        <v>ADB</v>
      </c>
      <c r="X60" s="42" t="str">
        <f>DATA!Z47</f>
        <v>Multilateral</v>
      </c>
      <c r="Y60" s="83">
        <f>DATA!AA47</f>
        <v>424800000</v>
      </c>
      <c r="Z60" s="83">
        <f>DATA!AG47</f>
        <v>0</v>
      </c>
      <c r="AA60" s="42">
        <f>DATA!AH47</f>
        <v>2017</v>
      </c>
      <c r="AB60" s="67" t="str">
        <f>DATA!AI47</f>
        <v>-</v>
      </c>
      <c r="AC60" s="67" t="str">
        <f>DATA!AJ47</f>
        <v>-</v>
      </c>
      <c r="AD60" s="67" t="str">
        <f>DATA!AK47</f>
        <v>-</v>
      </c>
      <c r="AE60" s="67" t="str">
        <f>DATA!AL47</f>
        <v>-</v>
      </c>
      <c r="AF60" s="42">
        <f>DATA!AM47</f>
        <v>0</v>
      </c>
      <c r="AG60" s="42" t="str">
        <f>DATA!AN47</f>
        <v>belum ada keterangan</v>
      </c>
      <c r="AH60" s="42" t="str">
        <f>DATA!AO47</f>
        <v>belum ada keterangan</v>
      </c>
      <c r="AI60" s="42" t="str">
        <f>DATA!AP47</f>
        <v>belum ada proses tender/lelang</v>
      </c>
      <c r="AJ60" s="42" t="str">
        <f>DATA!AY47</f>
        <v>- termasuk ESP senilai USD 26,38 juta, indikasi Lender ADB
- belum ada proses penyiapan
- Konfirmasi melalui surat Sekjen nomor KU.01.12-Sj/636 tgl 23 Oktober 2015</v>
      </c>
      <c r="AK60" s="42" t="e">
        <f>DATA!#REF!</f>
        <v>#REF!</v>
      </c>
      <c r="AL60" s="42" t="str">
        <f>DATA!AZ47</f>
        <v>Sudah ada pembicaraan awal</v>
      </c>
      <c r="AM60" s="67" t="str">
        <f>DATA!BA47</f>
        <v>Pembangunan fisik sarana dan prasarana sanitasi serta Instalasi Pengolahan Air Limbah (IPAL) dan penguatan kapasitas lembaga pengelola</v>
      </c>
    </row>
    <row r="61" spans="1:39" s="6" customFormat="1" ht="43.5" hidden="1" customHeight="1">
      <c r="A61" s="6">
        <f>DATA!A48</f>
        <v>39</v>
      </c>
      <c r="B61" s="6">
        <f>DATA!B48</f>
        <v>0</v>
      </c>
      <c r="C61" s="6" t="str">
        <f>DATA!D48</f>
        <v>INFRASTRUKTUR</v>
      </c>
      <c r="D61" s="6">
        <f>DATA!E48</f>
        <v>1</v>
      </c>
      <c r="E61" s="6" t="str">
        <f>DATA!F48</f>
        <v>Kementerian Pekerjaan Umum dan Perumahan Rakyat</v>
      </c>
      <c r="F61" s="6" t="str">
        <f>DATA!H48</f>
        <v>Development of Waste Water Management Program</v>
      </c>
      <c r="G61" s="6" t="str">
        <f>DATA!I48</f>
        <v>E</v>
      </c>
      <c r="H61" s="6" t="str">
        <f>DATA!J48</f>
        <v xml:space="preserve">Program Pembangunan Sistem Pengelolaan Air Limbah </v>
      </c>
      <c r="I61" s="6">
        <f>DATA!K48</f>
        <v>4</v>
      </c>
      <c r="J61" s="38"/>
      <c r="K61" s="39"/>
      <c r="L61" s="39"/>
      <c r="M61" s="38"/>
      <c r="N61" s="67" t="str">
        <f>DATA!L48</f>
        <v>Sewerage System Development in Indonesia</v>
      </c>
      <c r="O61" s="42">
        <f>DATA!Q48</f>
        <v>0.25</v>
      </c>
      <c r="P61" s="42">
        <f>DATA!R48</f>
        <v>0</v>
      </c>
      <c r="Q61" s="42">
        <f>DATA!S48</f>
        <v>0</v>
      </c>
      <c r="R61" s="83">
        <f>DATA!T48</f>
        <v>0</v>
      </c>
      <c r="S61" s="83"/>
      <c r="T61" s="83">
        <f>DATA!V48</f>
        <v>0</v>
      </c>
      <c r="U61" s="83">
        <f>DATA!W48</f>
        <v>0</v>
      </c>
      <c r="V61" s="83">
        <f>DATA!X48</f>
        <v>0</v>
      </c>
      <c r="W61" s="84" t="str">
        <f>DATA!Y48</f>
        <v>IDB</v>
      </c>
      <c r="X61" s="42" t="str">
        <f>DATA!Z48</f>
        <v>Multilateral</v>
      </c>
      <c r="Y61" s="83">
        <f>DATA!AA48</f>
        <v>325000000</v>
      </c>
      <c r="Z61" s="83">
        <f>DATA!AG48</f>
        <v>0</v>
      </c>
      <c r="AA61" s="42">
        <f>DATA!AH48</f>
        <v>2017</v>
      </c>
      <c r="AB61" s="67" t="str">
        <f>DATA!AI48</f>
        <v>-</v>
      </c>
      <c r="AC61" s="67" t="str">
        <f>DATA!AJ48</f>
        <v>-</v>
      </c>
      <c r="AD61" s="67" t="str">
        <f>DATA!AK48</f>
        <v>-</v>
      </c>
      <c r="AE61" s="67" t="str">
        <f>DATA!AL48</f>
        <v>-</v>
      </c>
      <c r="AF61" s="42">
        <f>DATA!AM48</f>
        <v>0</v>
      </c>
      <c r="AG61" s="42" t="str">
        <f>DATA!AN48</f>
        <v>belum ada keterangan</v>
      </c>
      <c r="AH61" s="42" t="str">
        <f>DATA!AO48</f>
        <v>belum ada keterangan</v>
      </c>
      <c r="AI61" s="42" t="str">
        <f>DATA!AP48</f>
        <v>belum ada proses tender/lelang</v>
      </c>
      <c r="AJ61" s="42" t="str">
        <f>DATA!AY48</f>
        <v>- belum ada proses penyiapan
- Konfirmasi melalui surat Sekjen nomor KU.01.12-Sj/636 tgl 23 Oktober 2015</v>
      </c>
      <c r="AK61" s="42" t="e">
        <f>DATA!#REF!</f>
        <v>#REF!</v>
      </c>
      <c r="AL61" s="42" t="str">
        <f>DATA!AZ48</f>
        <v>Sudah ada pembicaraan awal</v>
      </c>
      <c r="AM61" s="67" t="str">
        <f>DATA!BA48</f>
        <v>Pembangunan fisik sarana dan prasarana sanitasi serta Instalasi Pengolahan Air Limbah (IPAL) dan penguatan kapasitas lembaga pengelola</v>
      </c>
    </row>
    <row r="62" spans="1:39" s="6" customFormat="1" ht="45.75" hidden="1" customHeight="1">
      <c r="A62" s="6">
        <f>DATA!A49</f>
        <v>40</v>
      </c>
      <c r="B62" s="6">
        <f>DATA!B49</f>
        <v>0</v>
      </c>
      <c r="C62" s="6" t="str">
        <f>DATA!D49</f>
        <v>INFRASTRUKTUR</v>
      </c>
      <c r="D62" s="6">
        <f>DATA!E49</f>
        <v>1</v>
      </c>
      <c r="E62" s="6" t="str">
        <f>DATA!F49</f>
        <v>Kementerian Pekerjaan Umum dan Perumahan Rakyat</v>
      </c>
      <c r="F62" s="6" t="str">
        <f>DATA!H49</f>
        <v>Development of Waste Water Management Program</v>
      </c>
      <c r="G62" s="6" t="str">
        <f>DATA!I49</f>
        <v>E</v>
      </c>
      <c r="H62" s="6" t="str">
        <f>DATA!J49</f>
        <v xml:space="preserve">Program Pembangunan Sistem Pengelolaan Air Limbah </v>
      </c>
      <c r="I62" s="6">
        <f>DATA!K49</f>
        <v>4</v>
      </c>
      <c r="J62" s="38"/>
      <c r="K62" s="39"/>
      <c r="L62" s="39"/>
      <c r="M62" s="43"/>
      <c r="N62" s="67" t="str">
        <f>DATA!L49</f>
        <v>Sewerage System Development in Indonesia</v>
      </c>
      <c r="O62" s="42">
        <f>DATA!Q49</f>
        <v>0.25</v>
      </c>
      <c r="P62" s="42">
        <f>DATA!R49</f>
        <v>0</v>
      </c>
      <c r="Q62" s="42">
        <f>DATA!S49</f>
        <v>0</v>
      </c>
      <c r="R62" s="83">
        <f>DATA!T49</f>
        <v>0</v>
      </c>
      <c r="S62" s="83"/>
      <c r="T62" s="83">
        <f>DATA!V49</f>
        <v>0</v>
      </c>
      <c r="U62" s="83">
        <f>DATA!W49</f>
        <v>0</v>
      </c>
      <c r="V62" s="83">
        <f>DATA!X49</f>
        <v>0</v>
      </c>
      <c r="W62" s="84" t="str">
        <f>DATA!Y49</f>
        <v>Bank Dunia</v>
      </c>
      <c r="X62" s="42" t="str">
        <f>DATA!Z49</f>
        <v>Multilateral</v>
      </c>
      <c r="Y62" s="83">
        <f>DATA!AA49</f>
        <v>200000000</v>
      </c>
      <c r="Z62" s="83">
        <f>DATA!AG49</f>
        <v>0</v>
      </c>
      <c r="AA62" s="42">
        <f>DATA!AH49</f>
        <v>2017</v>
      </c>
      <c r="AB62" s="67" t="str">
        <f>DATA!AI49</f>
        <v>-</v>
      </c>
      <c r="AC62" s="67" t="str">
        <f>DATA!AJ49</f>
        <v>-</v>
      </c>
      <c r="AD62" s="67" t="str">
        <f>DATA!AK49</f>
        <v>-</v>
      </c>
      <c r="AE62" s="67" t="str">
        <f>DATA!AL49</f>
        <v>-</v>
      </c>
      <c r="AF62" s="42">
        <f>DATA!AM49</f>
        <v>0</v>
      </c>
      <c r="AG62" s="42" t="str">
        <f>DATA!AN49</f>
        <v>belum ada keterangan</v>
      </c>
      <c r="AH62" s="42" t="str">
        <f>DATA!AO49</f>
        <v>belum ada keterangan</v>
      </c>
      <c r="AI62" s="42" t="str">
        <f>DATA!AP49</f>
        <v>belum ada proses tender/lelang</v>
      </c>
      <c r="AJ62" s="42" t="str">
        <f>DATA!AY49</f>
        <v>- belum ada proses penyiapan
- Konfirmasi melalui surat Sekjen nomor KU.01.12-Sj/636 tgl 23 Oktober 2015</v>
      </c>
      <c r="AK62" s="42" t="e">
        <f>DATA!#REF!</f>
        <v>#REF!</v>
      </c>
      <c r="AL62" s="42" t="str">
        <f>DATA!AZ49</f>
        <v>Sudah ada pembicaraan awal</v>
      </c>
      <c r="AM62" s="67" t="str">
        <f>DATA!BA49</f>
        <v>Pembangunan fisik sarana dan prasarana sanitasi serta Instalasi Pengolahan Air Limbah (IPAL) dan penguatan kapasitas lembaga pengelola</v>
      </c>
    </row>
    <row r="63" spans="1:39" ht="43.5" hidden="1" customHeight="1">
      <c r="A63" s="10">
        <f>DATA!A51</f>
        <v>41</v>
      </c>
      <c r="B63" s="10">
        <f>DATA!B51</f>
        <v>0</v>
      </c>
      <c r="C63" s="10" t="str">
        <f>DATA!D51</f>
        <v>INFRASTRUKTUR</v>
      </c>
      <c r="D63" s="10">
        <f>DATA!E51</f>
        <v>1</v>
      </c>
      <c r="E63" s="10" t="str">
        <f>DATA!F51</f>
        <v>Kementerian Pekerjaan Umum dan Perumahan Rakyat</v>
      </c>
      <c r="F63" s="10" t="str">
        <f>DATA!H51</f>
        <v>Development of Waste Water Management Program</v>
      </c>
      <c r="G63" s="10" t="str">
        <f>DATA!I51</f>
        <v>E</v>
      </c>
      <c r="H63" s="10" t="str">
        <f>DATA!J51</f>
        <v xml:space="preserve">Program Pembangunan Sistem Pengelolaan Air Limbah </v>
      </c>
      <c r="I63" s="10">
        <f>DATA!K51</f>
        <v>5</v>
      </c>
      <c r="J63" s="33"/>
      <c r="K63" s="34"/>
      <c r="L63" s="34"/>
      <c r="M63" s="36">
        <f>DATA!K51</f>
        <v>5</v>
      </c>
      <c r="N63" s="37" t="str">
        <f>DATA!L51</f>
        <v>Denpasar Sewerage Development Project - Phase III</v>
      </c>
      <c r="O63" s="20">
        <f>DATA!Q51</f>
        <v>1</v>
      </c>
      <c r="P63" s="20">
        <f>DATA!R51</f>
        <v>1</v>
      </c>
      <c r="Q63" s="20">
        <f>DATA!S51</f>
        <v>35</v>
      </c>
      <c r="R63" s="77">
        <f>DATA!T51</f>
        <v>233000000</v>
      </c>
      <c r="S63" s="77"/>
      <c r="T63" s="77">
        <f>DATA!V51</f>
        <v>11650000</v>
      </c>
      <c r="U63" s="77">
        <f>DATA!W51</f>
        <v>0</v>
      </c>
      <c r="V63" s="77">
        <f>DATA!X51</f>
        <v>244650000</v>
      </c>
      <c r="W63" s="78" t="str">
        <f>DATA!Y51</f>
        <v>JICA</v>
      </c>
      <c r="X63" s="20" t="str">
        <f>DATA!Z51</f>
        <v>Bilateral</v>
      </c>
      <c r="Y63" s="77">
        <f>DATA!AA51</f>
        <v>233000000</v>
      </c>
      <c r="Z63" s="77">
        <f>DATA!AG51</f>
        <v>0</v>
      </c>
      <c r="AA63" s="20">
        <f>DATA!AH51</f>
        <v>2018</v>
      </c>
      <c r="AB63" s="37" t="str">
        <f>DATA!AI51</f>
        <v>-</v>
      </c>
      <c r="AC63" s="37" t="str">
        <f>DATA!AJ51</f>
        <v>Penyusunan DED</v>
      </c>
      <c r="AD63" s="37" t="str">
        <f>DATA!AK51</f>
        <v>-</v>
      </c>
      <c r="AE63" s="37" t="str">
        <f>DATA!AL51</f>
        <v>-</v>
      </c>
      <c r="AF63" s="20">
        <f>DATA!AM51</f>
        <v>0</v>
      </c>
      <c r="AG63" s="20" t="str">
        <f>DATA!AN51</f>
        <v>dalam proses
(memiliki FS)</v>
      </c>
      <c r="AH63" s="20" t="str">
        <f>DATA!AO51</f>
        <v>belum ada keterangan</v>
      </c>
      <c r="AI63" s="20" t="str">
        <f>DATA!AP51</f>
        <v>belum ada proses tender/lelang</v>
      </c>
      <c r="AJ63" s="20" t="str">
        <f>DATA!AY51</f>
        <v>Konfirmasi melalui surat Sekjen nomor KU.01.12-Sj/636 tgl 23 Oktober 2015</v>
      </c>
      <c r="AK63" s="20" t="e">
        <f>DATA!#REF!</f>
        <v>#REF!</v>
      </c>
      <c r="AL63" s="20">
        <f>DATA!AZ51</f>
        <v>0</v>
      </c>
      <c r="AM63" s="37" t="str">
        <f>DATA!BA51</f>
        <v>Pembangunan jaringan perpipaan dengan area pelayanan 2.200 Ha, stasiun pompa sejumlah 2 unit, dan instalasi pengolahan air limbah.</v>
      </c>
    </row>
    <row r="64" spans="1:39" ht="36.75" hidden="1" customHeight="1">
      <c r="A64" s="10">
        <f>DATA!A52</f>
        <v>42</v>
      </c>
      <c r="B64" s="10">
        <f>DATA!B52</f>
        <v>0</v>
      </c>
      <c r="C64" s="10" t="str">
        <f>DATA!D52</f>
        <v>INFRASTRUKTUR</v>
      </c>
      <c r="D64" s="10">
        <f>DATA!E52</f>
        <v>1</v>
      </c>
      <c r="E64" s="10" t="str">
        <f>DATA!F52</f>
        <v>Kementerian Pekerjaan Umum dan Perumahan Rakyat</v>
      </c>
      <c r="F64" s="10" t="str">
        <f>DATA!H52</f>
        <v>Development of Waste Water Management Program</v>
      </c>
      <c r="G64" s="10" t="str">
        <f>DATA!I52</f>
        <v>E</v>
      </c>
      <c r="H64" s="10" t="str">
        <f>DATA!J52</f>
        <v xml:space="preserve">Program Pembangunan Sistem Pengelolaan Air Limbah </v>
      </c>
      <c r="I64" s="10">
        <f>DATA!K52</f>
        <v>6</v>
      </c>
      <c r="J64" s="33"/>
      <c r="K64" s="34"/>
      <c r="L64" s="54"/>
      <c r="M64" s="36">
        <f>DATA!K52</f>
        <v>6</v>
      </c>
      <c r="N64" s="37" t="str">
        <f>DATA!L52</f>
        <v>The Development and Optimization of Wastewater Treatment in Greater Bandung</v>
      </c>
      <c r="O64" s="20">
        <f>DATA!Q52</f>
        <v>1</v>
      </c>
      <c r="P64" s="20">
        <f>DATA!R52</f>
        <v>1</v>
      </c>
      <c r="Q64" s="20">
        <f>DATA!S52</f>
        <v>36</v>
      </c>
      <c r="R64" s="77">
        <f>DATA!T52</f>
        <v>100000000</v>
      </c>
      <c r="S64" s="77"/>
      <c r="T64" s="77">
        <f>DATA!V52</f>
        <v>5000000</v>
      </c>
      <c r="U64" s="77">
        <f>DATA!W52</f>
        <v>0</v>
      </c>
      <c r="V64" s="77">
        <f>DATA!X52</f>
        <v>105000000</v>
      </c>
      <c r="W64" s="78" t="str">
        <f>DATA!Y52</f>
        <v>Jerman (KfW)</v>
      </c>
      <c r="X64" s="20" t="str">
        <f>DATA!Z52</f>
        <v>Bilateral</v>
      </c>
      <c r="Y64" s="77">
        <f>DATA!AA52</f>
        <v>100000000</v>
      </c>
      <c r="Z64" s="77">
        <f>DATA!AG52</f>
        <v>0</v>
      </c>
      <c r="AA64" s="20">
        <f>DATA!AH52</f>
        <v>2017</v>
      </c>
      <c r="AB64" s="37" t="str">
        <f>DATA!AI52</f>
        <v>Master Plan</v>
      </c>
      <c r="AC64" s="37" t="str">
        <f>DATA!AJ52</f>
        <v>Pra FS</v>
      </c>
      <c r="AD64" s="37" t="str">
        <f>DATA!AK52</f>
        <v>-</v>
      </c>
      <c r="AE64" s="37" t="str">
        <f>DATA!AL52</f>
        <v>-</v>
      </c>
      <c r="AF64" s="20">
        <f>DATA!AM52</f>
        <v>0</v>
      </c>
      <c r="AG64" s="20" t="str">
        <f>DATA!AN52</f>
        <v>dalam proses
(penyusunan FS)</v>
      </c>
      <c r="AH64" s="20" t="str">
        <f>DATA!AO52</f>
        <v>belum ada keterangan</v>
      </c>
      <c r="AI64" s="20" t="str">
        <f>DATA!AP52</f>
        <v>belum ada proses tender/lelang</v>
      </c>
      <c r="AJ64" s="20" t="str">
        <f>DATA!AY52</f>
        <v>Konfirmasi melalui surat Sekjen nomor KU.01.12-Sj/636 tgl 23 Oktober 2015</v>
      </c>
      <c r="AK64" s="20" t="e">
        <f>DATA!#REF!</f>
        <v>#REF!</v>
      </c>
      <c r="AL64" s="20">
        <f>DATA!AZ52</f>
        <v>0</v>
      </c>
      <c r="AM64" s="37" t="str">
        <f>DATA!BA52</f>
        <v>Review master plan air limbah dan optimalisasi Instalasi Pengolahan Air Limbah (IPAL) Bojongsoang.</v>
      </c>
    </row>
    <row r="65" spans="1:39" ht="36.75" hidden="1" customHeight="1">
      <c r="J65" s="33"/>
      <c r="K65" s="34"/>
      <c r="L65" s="54"/>
      <c r="M65" s="36">
        <f>DATA!K53</f>
        <v>7</v>
      </c>
      <c r="N65" s="56" t="str">
        <f>DATA!L53</f>
        <v>Engineering Service for Sanitation Improvement Project</v>
      </c>
      <c r="O65" s="36">
        <f>DATA!Q53</f>
        <v>0</v>
      </c>
      <c r="P65" s="36">
        <f>DATA!R53</f>
        <v>0</v>
      </c>
      <c r="Q65" s="36">
        <f>DATA!S53</f>
        <v>0</v>
      </c>
      <c r="R65" s="88">
        <f>DATA!T53</f>
        <v>0</v>
      </c>
      <c r="S65" s="88">
        <f>DATA!U53</f>
        <v>25200000</v>
      </c>
      <c r="T65" s="88">
        <f>DATA!V53</f>
        <v>0</v>
      </c>
      <c r="U65" s="88">
        <f>DATA!W53</f>
        <v>0</v>
      </c>
      <c r="V65" s="88">
        <f>DATA!X53</f>
        <v>25200000</v>
      </c>
      <c r="W65" s="88" t="str">
        <f>DATA!Y53</f>
        <v>ADB</v>
      </c>
      <c r="X65" s="88" t="str">
        <f>DATA!Z53</f>
        <v>Multilateral</v>
      </c>
      <c r="Y65" s="88">
        <f>DATA!AA53</f>
        <v>25200000</v>
      </c>
      <c r="Z65" s="88">
        <f>DATA!AG53</f>
        <v>0</v>
      </c>
      <c r="AA65" s="102">
        <f>DATA!AH53</f>
        <v>2016</v>
      </c>
      <c r="AB65" s="110" t="str">
        <f>DATA!AI53</f>
        <v>- Green Book 2015</v>
      </c>
      <c r="AC65" s="110" t="str">
        <f>DATA!AJ53</f>
        <v>-</v>
      </c>
      <c r="AD65" s="110" t="str">
        <f>DATA!AK53</f>
        <v>-</v>
      </c>
      <c r="AE65" s="110" t="str">
        <f>DATA!AL53</f>
        <v>-</v>
      </c>
      <c r="AF65" s="20"/>
      <c r="AG65" s="20"/>
      <c r="AH65" s="20"/>
      <c r="AI65" s="20"/>
      <c r="AJ65" s="20"/>
      <c r="AK65" s="20"/>
      <c r="AL65" s="20"/>
      <c r="AM65" s="37"/>
    </row>
    <row r="66" spans="1:39" s="5" customFormat="1" ht="33.75" hidden="1" customHeight="1">
      <c r="J66" s="28"/>
      <c r="K66" s="50"/>
      <c r="L66" s="30" t="str">
        <f>DATA!I54</f>
        <v>F</v>
      </c>
      <c r="M66" s="31" t="str">
        <f>DATA!J54</f>
        <v xml:space="preserve">Program Pembangunan Sistem Pengelolaan Persampahan </v>
      </c>
      <c r="N66" s="51"/>
      <c r="O66" s="31"/>
      <c r="P66" s="31"/>
      <c r="Q66" s="31"/>
      <c r="R66" s="81">
        <f>+R67+R68</f>
        <v>250000000</v>
      </c>
      <c r="S66" s="81"/>
      <c r="T66" s="81">
        <f>+T67+T68</f>
        <v>12500000</v>
      </c>
      <c r="U66" s="81">
        <f>+U67+U68</f>
        <v>0</v>
      </c>
      <c r="V66" s="81">
        <f>+V67+V68</f>
        <v>262500000</v>
      </c>
      <c r="W66" s="81"/>
      <c r="X66" s="81" t="e">
        <f>+X67+X68</f>
        <v>#VALUE!</v>
      </c>
      <c r="Y66" s="81">
        <f>+Y67+Y68</f>
        <v>250000000</v>
      </c>
      <c r="Z66" s="81">
        <f>+Z67+Z68</f>
        <v>0</v>
      </c>
      <c r="AA66" s="31"/>
      <c r="AB66" s="32"/>
      <c r="AC66" s="32"/>
      <c r="AD66" s="32"/>
      <c r="AE66" s="32"/>
      <c r="AF66" s="31"/>
      <c r="AG66" s="31"/>
      <c r="AH66" s="31"/>
      <c r="AI66" s="31"/>
      <c r="AJ66" s="31"/>
      <c r="AK66" s="31"/>
      <c r="AL66" s="31"/>
      <c r="AM66" s="32"/>
    </row>
    <row r="67" spans="1:39" ht="69.75" hidden="1" customHeight="1">
      <c r="A67" s="10">
        <f>DATA!A54</f>
        <v>43</v>
      </c>
      <c r="B67" s="10">
        <f>DATA!B54</f>
        <v>0</v>
      </c>
      <c r="C67" s="10" t="str">
        <f>DATA!D54</f>
        <v>INFRASTRUKTUR</v>
      </c>
      <c r="D67" s="10">
        <f>DATA!E54</f>
        <v>1</v>
      </c>
      <c r="E67" s="10" t="str">
        <f>DATA!F54</f>
        <v>Kementerian Pekerjaan Umum dan Perumahan Rakyat</v>
      </c>
      <c r="F67" s="10" t="str">
        <f>DATA!H54</f>
        <v>Development of Solid Waste Management Program</v>
      </c>
      <c r="G67" s="10" t="str">
        <f>DATA!I54</f>
        <v>F</v>
      </c>
      <c r="H67" s="10" t="str">
        <f>DATA!J54</f>
        <v xml:space="preserve">Program Pembangunan Sistem Pengelolaan Persampahan </v>
      </c>
      <c r="I67" s="10">
        <f>DATA!K54</f>
        <v>1</v>
      </c>
      <c r="J67" s="33"/>
      <c r="K67" s="34"/>
      <c r="L67" s="35"/>
      <c r="M67" s="36">
        <f>DATA!K54</f>
        <v>1</v>
      </c>
      <c r="N67" s="37" t="str">
        <f>DATA!L54</f>
        <v xml:space="preserve">Advanced Solid Waste Management for Sustainable Urban Development (Advance SWM-SUD) </v>
      </c>
      <c r="O67" s="20">
        <f>DATA!Q54</f>
        <v>1</v>
      </c>
      <c r="P67" s="20">
        <f>DATA!R54</f>
        <v>1</v>
      </c>
      <c r="Q67" s="20">
        <f>DATA!S54</f>
        <v>37</v>
      </c>
      <c r="R67" s="77">
        <f>DATA!T54</f>
        <v>150000000</v>
      </c>
      <c r="S67" s="77"/>
      <c r="T67" s="77">
        <f>DATA!V54</f>
        <v>7500000</v>
      </c>
      <c r="U67" s="77">
        <f>DATA!W54</f>
        <v>0</v>
      </c>
      <c r="V67" s="77">
        <f>DATA!X54</f>
        <v>157500000</v>
      </c>
      <c r="W67" s="78" t="str">
        <f>DATA!Y54</f>
        <v>Jerman (KfW)</v>
      </c>
      <c r="X67" s="20" t="str">
        <f>DATA!Z54</f>
        <v>Bilateral</v>
      </c>
      <c r="Y67" s="77">
        <f>DATA!AA54</f>
        <v>150000000</v>
      </c>
      <c r="Z67" s="77">
        <f>DATA!AG54</f>
        <v>0</v>
      </c>
      <c r="AA67" s="20">
        <f>DATA!AH54</f>
        <v>2017</v>
      </c>
      <c r="AB67" s="37" t="str">
        <f>DATA!AI54</f>
        <v>-</v>
      </c>
      <c r="AC67" s="37" t="str">
        <f>DATA!AJ54</f>
        <v>Telah dilakukan kajian awal oleh tim FFM KfW</v>
      </c>
      <c r="AD67" s="37" t="str">
        <f>DATA!AK54</f>
        <v>-</v>
      </c>
      <c r="AE67" s="37" t="str">
        <f>DATA!AL54</f>
        <v>-</v>
      </c>
      <c r="AF67" s="20">
        <f>DATA!AM54</f>
        <v>0</v>
      </c>
      <c r="AG67" s="20" t="str">
        <f>DATA!AN54</f>
        <v>dalam proses
(penyusunan FS)</v>
      </c>
      <c r="AH67" s="20" t="str">
        <f>DATA!AO54</f>
        <v>belum ada keterangan</v>
      </c>
      <c r="AI67" s="20" t="str">
        <f>DATA!AP54</f>
        <v>belum ada proses tender/lelang</v>
      </c>
      <c r="AJ67" s="20" t="str">
        <f>DATA!AY54</f>
        <v>- belum ada proses penyiapan
- Konfirmasi melalui surat Sekjen nomor KU.01.12-Sj/636 tgl 23 Oktober 2015</v>
      </c>
      <c r="AK67" s="20" t="e">
        <f>DATA!#REF!</f>
        <v>#REF!</v>
      </c>
      <c r="AL67" s="20">
        <f>DATA!AZ54</f>
        <v>0</v>
      </c>
      <c r="AM67" s="37" t="str">
        <f>DATA!BA54</f>
        <v>Pembangunan TPA baru, pembangunan unit sistem teknologi pengolahan sampah, pembangunan Intermediete Treatment Facility (ITF), infrastruktur penunjang, buffer zone, dan supervisi kegiatan konstruksi.</v>
      </c>
    </row>
    <row r="68" spans="1:39" ht="51" hidden="1">
      <c r="A68" s="10">
        <f>DATA!A55</f>
        <v>44</v>
      </c>
      <c r="B68" s="10">
        <f>DATA!B55</f>
        <v>0</v>
      </c>
      <c r="C68" s="10" t="str">
        <f>DATA!D55</f>
        <v>INFRASTRUKTUR</v>
      </c>
      <c r="D68" s="10">
        <f>DATA!E55</f>
        <v>1</v>
      </c>
      <c r="E68" s="10" t="str">
        <f>DATA!F55</f>
        <v>Kementerian Pekerjaan Umum dan Perumahan Rakyat</v>
      </c>
      <c r="F68" s="10" t="str">
        <f>DATA!H55</f>
        <v>Development of Solid Waste Management Program</v>
      </c>
      <c r="G68" s="10" t="str">
        <f>DATA!I55</f>
        <v>F</v>
      </c>
      <c r="H68" s="10" t="str">
        <f>DATA!J55</f>
        <v xml:space="preserve">Program Pembangunan Sistem Pengelolaan Persampahan </v>
      </c>
      <c r="I68" s="10">
        <f>DATA!K55</f>
        <v>2</v>
      </c>
      <c r="J68" s="33"/>
      <c r="K68" s="34"/>
      <c r="L68" s="54"/>
      <c r="M68" s="36">
        <f>DATA!K55</f>
        <v>2</v>
      </c>
      <c r="N68" s="37" t="str">
        <f>DATA!L55</f>
        <v>The Improvement of Solid Waste Management to Support Regional Area and Metropolitan Cities</v>
      </c>
      <c r="O68" s="20">
        <f>DATA!Q55</f>
        <v>1</v>
      </c>
      <c r="P68" s="20">
        <f>DATA!R55</f>
        <v>1</v>
      </c>
      <c r="Q68" s="20">
        <f>DATA!S55</f>
        <v>38</v>
      </c>
      <c r="R68" s="77">
        <f>DATA!T55</f>
        <v>100000000</v>
      </c>
      <c r="S68" s="77"/>
      <c r="T68" s="77">
        <f>DATA!V55</f>
        <v>5000000</v>
      </c>
      <c r="U68" s="77">
        <f>DATA!W55</f>
        <v>0</v>
      </c>
      <c r="V68" s="77">
        <f>DATA!X55</f>
        <v>105000000</v>
      </c>
      <c r="W68" s="78" t="str">
        <f>DATA!Y55</f>
        <v>Bank Dunia</v>
      </c>
      <c r="X68" s="20" t="str">
        <f>DATA!Z55</f>
        <v>Multilateral</v>
      </c>
      <c r="Y68" s="77">
        <f>DATA!AA55</f>
        <v>100000000</v>
      </c>
      <c r="Z68" s="77">
        <f>DATA!AG55</f>
        <v>0</v>
      </c>
      <c r="AA68" s="20">
        <f>DATA!AH55</f>
        <v>2016</v>
      </c>
      <c r="AB68" s="37" t="str">
        <f>DATA!AI55</f>
        <v>-</v>
      </c>
      <c r="AC68" s="37" t="str">
        <f>DATA!AJ55</f>
        <v>DED dalam proses finalisasi</v>
      </c>
      <c r="AD68" s="37" t="str">
        <f>DATA!AK55</f>
        <v>Dalam proses kepemilikan lahan</v>
      </c>
      <c r="AE68" s="37" t="str">
        <f>DATA!AL55</f>
        <v>Belum ada tindak lanjut</v>
      </c>
      <c r="AF68" s="20">
        <f>DATA!AM55</f>
        <v>0</v>
      </c>
      <c r="AG68" s="20" t="str">
        <f>DATA!AN55</f>
        <v>dalam proses
(memiliki FS)</v>
      </c>
      <c r="AH68" s="20" t="str">
        <f>DATA!AO55</f>
        <v>dalam proses
(persiapan)</v>
      </c>
      <c r="AI68" s="20" t="str">
        <f>DATA!AP55</f>
        <v>belum ada proses tender/lelang</v>
      </c>
      <c r="AJ68" s="20" t="str">
        <f>DATA!AY55</f>
        <v xml:space="preserve">- Konfirmasi melalui surat Sekjen nomor KU.01.12-Sj/636 tgl 23 Oktober 2015
- Bank Dunia membantu proses studi, DED, FS (CDIA, INDII Facility) </v>
      </c>
      <c r="AK68" s="20" t="e">
        <f>DATA!#REF!</f>
        <v>#REF!</v>
      </c>
      <c r="AL68" s="20" t="str">
        <f>DATA!AZ55</f>
        <v>- FS
- Diusulkan untuk masuk Green Book 2016</v>
      </c>
      <c r="AM68" s="37" t="str">
        <f>DATA!BA55</f>
        <v>Pembangunan TPA Sanitary Landfill  baru, pembangunan Intermediete Treatment Facility (ITF), dan pengembangan konsep Reuse, Reduce, and Recycle (3R).</v>
      </c>
    </row>
    <row r="69" spans="1:39" s="5" customFormat="1" ht="33.75" hidden="1" customHeight="1">
      <c r="J69" s="28"/>
      <c r="K69" s="50"/>
      <c r="L69" s="30" t="str">
        <f>DATA!I56</f>
        <v>G</v>
      </c>
      <c r="M69" s="31" t="str">
        <f>DATA!J56</f>
        <v>Program Penanganan Kumuh</v>
      </c>
      <c r="N69" s="51"/>
      <c r="O69" s="31"/>
      <c r="P69" s="31"/>
      <c r="Q69" s="31"/>
      <c r="R69" s="81">
        <f>+R70+R71+R74+R75</f>
        <v>3614740000</v>
      </c>
      <c r="S69" s="81"/>
      <c r="T69" s="81">
        <f t="shared" ref="T69:Z69" si="2">+T70+T71+T74+T75</f>
        <v>180737000</v>
      </c>
      <c r="U69" s="81">
        <f t="shared" si="2"/>
        <v>0</v>
      </c>
      <c r="V69" s="81">
        <f t="shared" si="2"/>
        <v>3795477000</v>
      </c>
      <c r="W69" s="81"/>
      <c r="X69" s="81" t="e">
        <f t="shared" si="2"/>
        <v>#VALUE!</v>
      </c>
      <c r="Y69" s="81">
        <f t="shared" si="2"/>
        <v>3614740000</v>
      </c>
      <c r="Z69" s="81">
        <f t="shared" si="2"/>
        <v>0</v>
      </c>
      <c r="AA69" s="31"/>
      <c r="AB69" s="32"/>
      <c r="AC69" s="32"/>
      <c r="AD69" s="32"/>
      <c r="AE69" s="32"/>
      <c r="AF69" s="31"/>
      <c r="AG69" s="31"/>
      <c r="AH69" s="31"/>
      <c r="AI69" s="31"/>
      <c r="AJ69" s="31"/>
      <c r="AK69" s="31"/>
      <c r="AL69" s="31"/>
      <c r="AM69" s="32"/>
    </row>
    <row r="70" spans="1:39" ht="180.75" hidden="1" customHeight="1">
      <c r="A70" s="10">
        <f>DATA!A56</f>
        <v>45</v>
      </c>
      <c r="B70" s="10">
        <f>DATA!B56</f>
        <v>0</v>
      </c>
      <c r="C70" s="10" t="str">
        <f>DATA!D56</f>
        <v>INFRASTRUKTUR</v>
      </c>
      <c r="D70" s="10">
        <f>DATA!E56</f>
        <v>1</v>
      </c>
      <c r="E70" s="10" t="str">
        <f>DATA!F56</f>
        <v>Kementerian Pekerjaan Umum dan Perumahan Rakyat</v>
      </c>
      <c r="F70" s="10" t="str">
        <f>DATA!H56</f>
        <v>Slum Alleviation Program</v>
      </c>
      <c r="G70" s="10" t="str">
        <f>DATA!I56</f>
        <v>G</v>
      </c>
      <c r="H70" s="10" t="str">
        <f>DATA!J56</f>
        <v>Program Penanganan Kumuh</v>
      </c>
      <c r="I70" s="10">
        <f>DATA!K56</f>
        <v>1</v>
      </c>
      <c r="J70" s="33"/>
      <c r="K70" s="34"/>
      <c r="L70" s="35"/>
      <c r="M70" s="36">
        <f>DATA!K56</f>
        <v>1</v>
      </c>
      <c r="N70" s="37" t="str">
        <f>DATA!L56</f>
        <v>Slum Improvement in Strategic Human Settlements Area (SISHA)</v>
      </c>
      <c r="O70" s="20">
        <f>DATA!Q56</f>
        <v>1</v>
      </c>
      <c r="P70" s="20">
        <f>DATA!R56</f>
        <v>1</v>
      </c>
      <c r="Q70" s="20">
        <f>DATA!S56</f>
        <v>39</v>
      </c>
      <c r="R70" s="77">
        <f>DATA!T56</f>
        <v>2100000000</v>
      </c>
      <c r="S70" s="77"/>
      <c r="T70" s="77">
        <f>DATA!V56</f>
        <v>105000000</v>
      </c>
      <c r="U70" s="77">
        <f>DATA!W56</f>
        <v>0</v>
      </c>
      <c r="V70" s="77">
        <f>DATA!X56</f>
        <v>2205000000</v>
      </c>
      <c r="W70" s="109" t="str">
        <f>DATA!Y56</f>
        <v>Bank Dunia/JICA/ADB</v>
      </c>
      <c r="X70" s="20" t="str">
        <f>DATA!Z56</f>
        <v>Multi Lender</v>
      </c>
      <c r="Y70" s="77">
        <f>DATA!AA56</f>
        <v>2100000000</v>
      </c>
      <c r="Z70" s="77">
        <f>DATA!AG56</f>
        <v>0</v>
      </c>
      <c r="AA70" s="20">
        <f>DATA!AH56</f>
        <v>2017</v>
      </c>
      <c r="AB70" s="37" t="str">
        <f>DATA!AI56</f>
        <v>-</v>
      </c>
      <c r="AC70" s="37" t="str">
        <f>DATA!AJ56</f>
        <v>117 kab/kota telah terfasilitasi pendampingan penyusunan rencana kawasan permukiman kumuh perkotaan (RKPKP) tahun 2015 sebagai rencana pencegahan dan peningkatan kualitas permukiman dan perumahan kumuh perkotaan.</v>
      </c>
      <c r="AD70" s="37" t="str">
        <f>DATA!AK56</f>
        <v xml:space="preserve">Pemerintah Daerah sudah menetapkan SK Bupati / Walikota untuk Penetapan Lokasi Perumahan Kumuh dan Permukiman Kumuh. </v>
      </c>
      <c r="AE70" s="37" t="str">
        <f>DATA!AL56</f>
        <v>-</v>
      </c>
      <c r="AF70" s="20">
        <f>DATA!AM56</f>
        <v>0</v>
      </c>
      <c r="AG70" s="20" t="str">
        <f>DATA!AN56</f>
        <v>dalam proses
(penyusunan FS)</v>
      </c>
      <c r="AH70" s="20" t="str">
        <f>DATA!AO56</f>
        <v>dalam proses
(perencanaan)</v>
      </c>
      <c r="AI70" s="20" t="str">
        <f>DATA!AP56</f>
        <v>belum ada proses tender/lelang</v>
      </c>
      <c r="AJ70" s="20" t="str">
        <f>DATA!AY56</f>
        <v>- Konsep kegiatan belum siap
- Konfirmasi melalui surat Sekjen nomor KU.01.12-Sj/636 tgl 23 Oktober 2015</v>
      </c>
      <c r="AK70" s="20" t="e">
        <f>DATA!#REF!</f>
        <v>#REF!</v>
      </c>
      <c r="AL70" s="20">
        <f>DATA!AZ56</f>
        <v>0</v>
      </c>
      <c r="AM70" s="37" t="str">
        <f>DATA!BA56</f>
        <v>Penanganan kawasan kumuh sebesar 4.400 ha</v>
      </c>
    </row>
    <row r="71" spans="1:39" ht="30" hidden="1" customHeight="1">
      <c r="A71" s="10">
        <f>DATA!A57</f>
        <v>46</v>
      </c>
      <c r="B71" s="10">
        <f>DATA!B57</f>
        <v>0</v>
      </c>
      <c r="C71" s="10" t="str">
        <f>DATA!D57</f>
        <v>INFRASTRUKTUR</v>
      </c>
      <c r="D71" s="10">
        <f>DATA!E57</f>
        <v>1</v>
      </c>
      <c r="E71" s="10" t="str">
        <f>DATA!F57</f>
        <v>Kementerian Pekerjaan Umum dan Perumahan Rakyat</v>
      </c>
      <c r="F71" s="10" t="str">
        <f>DATA!H57</f>
        <v>Slum Alleviation Program</v>
      </c>
      <c r="G71" s="10" t="str">
        <f>DATA!I57</f>
        <v>G</v>
      </c>
      <c r="H71" s="10" t="str">
        <f>DATA!J57</f>
        <v>Program Penanganan Kumuh</v>
      </c>
      <c r="I71" s="10">
        <f>DATA!K57</f>
        <v>2</v>
      </c>
      <c r="J71" s="33"/>
      <c r="K71" s="34"/>
      <c r="L71" s="34"/>
      <c r="M71" s="36">
        <f>DATA!K57</f>
        <v>2</v>
      </c>
      <c r="N71" s="37" t="str">
        <f>DATA!L57</f>
        <v>National Slum Upgrading</v>
      </c>
      <c r="O71" s="20">
        <f>DATA!Q57</f>
        <v>0</v>
      </c>
      <c r="P71" s="20">
        <f>DATA!R57</f>
        <v>1</v>
      </c>
      <c r="Q71" s="20">
        <f>DATA!S57</f>
        <v>40</v>
      </c>
      <c r="R71" s="77">
        <f>DATA!T57</f>
        <v>1052640000</v>
      </c>
      <c r="S71" s="77"/>
      <c r="T71" s="77">
        <f>DATA!V57</f>
        <v>52632000</v>
      </c>
      <c r="U71" s="77">
        <f>DATA!W57</f>
        <v>0</v>
      </c>
      <c r="V71" s="77">
        <f>DATA!X57</f>
        <v>1105272000</v>
      </c>
      <c r="W71" s="78" t="str">
        <f>DATA!Y57</f>
        <v>-</v>
      </c>
      <c r="X71" s="20">
        <f>DATA!Z57</f>
        <v>0</v>
      </c>
      <c r="Y71" s="77">
        <f>DATA!AA57</f>
        <v>1052640000</v>
      </c>
      <c r="Z71" s="77">
        <f>DATA!AG57</f>
        <v>0</v>
      </c>
      <c r="AA71" s="20" t="str">
        <f>DATA!AH57</f>
        <v>-</v>
      </c>
      <c r="AB71" s="37" t="str">
        <f>DATA!AI57</f>
        <v>-</v>
      </c>
      <c r="AC71" s="37" t="str">
        <f>DATA!AJ57</f>
        <v>-</v>
      </c>
      <c r="AD71" s="37" t="str">
        <f>DATA!AK57</f>
        <v>-</v>
      </c>
      <c r="AE71" s="37" t="str">
        <f>DATA!AL57</f>
        <v>-</v>
      </c>
      <c r="AF71" s="20" t="str">
        <f>DATA!AM57</f>
        <v>-</v>
      </c>
      <c r="AG71" s="20" t="str">
        <f>DATA!AN57</f>
        <v>-</v>
      </c>
      <c r="AH71" s="20" t="str">
        <f>DATA!AO57</f>
        <v>-</v>
      </c>
      <c r="AI71" s="20" t="str">
        <f>DATA!AP57</f>
        <v>-</v>
      </c>
      <c r="AJ71" s="20" t="str">
        <f>DATA!AY57</f>
        <v>Konfirmasi melalui surat Sekjen nomor KU.01.12-Sj/636 tgl 23 Oktober 2015</v>
      </c>
      <c r="AK71" s="20" t="e">
        <f>DATA!#REF!</f>
        <v>#REF!</v>
      </c>
      <c r="AL71" s="20" t="str">
        <f>DATA!AZ57</f>
        <v>-</v>
      </c>
      <c r="AM71" s="37" t="str">
        <f>DATA!BA57</f>
        <v>-</v>
      </c>
    </row>
    <row r="72" spans="1:39" s="6" customFormat="1" ht="209.25" hidden="1" customHeight="1">
      <c r="A72" s="6">
        <f>DATA!A58</f>
        <v>46</v>
      </c>
      <c r="B72" s="6">
        <f>DATA!B58</f>
        <v>0</v>
      </c>
      <c r="C72" s="6" t="str">
        <f>DATA!D58</f>
        <v>INFRASTRUKTUR</v>
      </c>
      <c r="D72" s="6">
        <f>DATA!E58</f>
        <v>1</v>
      </c>
      <c r="E72" s="6" t="str">
        <f>DATA!F58</f>
        <v>Kementerian Pekerjaan Umum dan Perumahan Rakyat</v>
      </c>
      <c r="F72" s="6" t="str">
        <f>DATA!H58</f>
        <v>Slum Alleviation Program</v>
      </c>
      <c r="G72" s="6" t="str">
        <f>DATA!I58</f>
        <v>G</v>
      </c>
      <c r="H72" s="6" t="str">
        <f>DATA!J58</f>
        <v>Program Penanganan Kumuh</v>
      </c>
      <c r="I72" s="6">
        <f>DATA!K58</f>
        <v>2</v>
      </c>
      <c r="J72" s="38"/>
      <c r="K72" s="39"/>
      <c r="L72" s="39"/>
      <c r="M72" s="40"/>
      <c r="N72" s="67" t="str">
        <f>DATA!L58</f>
        <v>National Slum Upgrading</v>
      </c>
      <c r="O72" s="42">
        <f>DATA!Q58</f>
        <v>0.25</v>
      </c>
      <c r="P72" s="42">
        <f>DATA!R58</f>
        <v>0</v>
      </c>
      <c r="Q72" s="42">
        <f>DATA!S58</f>
        <v>0</v>
      </c>
      <c r="R72" s="83">
        <f>DATA!T58</f>
        <v>0</v>
      </c>
      <c r="S72" s="83"/>
      <c r="T72" s="83">
        <f>DATA!V58</f>
        <v>0</v>
      </c>
      <c r="U72" s="83">
        <f>DATA!W58</f>
        <v>0</v>
      </c>
      <c r="V72" s="83">
        <f>DATA!X58</f>
        <v>0</v>
      </c>
      <c r="W72" s="84" t="str">
        <f>DATA!Y58</f>
        <v>IDB</v>
      </c>
      <c r="X72" s="42" t="str">
        <f>DATA!Z58</f>
        <v>Multilateral</v>
      </c>
      <c r="Y72" s="83">
        <f>DATA!AA58</f>
        <v>329760000</v>
      </c>
      <c r="Z72" s="83">
        <f>DATA!AG58</f>
        <v>0</v>
      </c>
      <c r="AA72" s="42">
        <f>DATA!AH58</f>
        <v>2016</v>
      </c>
      <c r="AB72" s="67" t="str">
        <f>DATA!AI58</f>
        <v>Green Book 2016</v>
      </c>
      <c r="AC72" s="67" t="str">
        <f>DATA!AJ58</f>
        <v>- Concept Paper, Baseline Survey, Draft Guidelines.
- Surat Komitmen Pemda untuk penanganan kumuh.</v>
      </c>
      <c r="AD72" s="67"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E72" s="67" t="str">
        <f>DATA!AL58</f>
        <v>-</v>
      </c>
      <c r="AF72" s="42">
        <f>DATA!AM58</f>
        <v>2016</v>
      </c>
      <c r="AG72" s="42" t="str">
        <f>DATA!AN58</f>
        <v>dalam proses
(penyusunan FS)</v>
      </c>
      <c r="AH72" s="42" t="str">
        <f>DATA!AO58</f>
        <v>tidak butuh lahan</v>
      </c>
      <c r="AI72" s="42" t="str">
        <f>DATA!AP58</f>
        <v>belum ada proses tender/lelang</v>
      </c>
      <c r="AJ72" s="42"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K72" s="42" t="e">
        <f>DATA!#REF!</f>
        <v>#REF!</v>
      </c>
      <c r="AL72" s="42" t="str">
        <f>DATA!AZ58</f>
        <v>Sudah ada R/C</v>
      </c>
      <c r="AM72" s="67" t="str">
        <f>DATA!BA58</f>
        <v>Peningkatan kualitas permukiman di 21 provinsi, 257 kabupaten/kota,  6.626 kelurahan</v>
      </c>
    </row>
    <row r="73" spans="1:39" s="6" customFormat="1" ht="201" hidden="1" customHeight="1">
      <c r="A73" s="6">
        <f>DATA!A59</f>
        <v>47</v>
      </c>
      <c r="B73" s="6">
        <f>DATA!B59</f>
        <v>0</v>
      </c>
      <c r="C73" s="6" t="str">
        <f>DATA!D59</f>
        <v>INFRASTRUKTUR</v>
      </c>
      <c r="D73" s="6">
        <f>DATA!E59</f>
        <v>1</v>
      </c>
      <c r="E73" s="6" t="str">
        <f>DATA!F59</f>
        <v>Kementerian Pekerjaan Umum dan Perumahan Rakyat</v>
      </c>
      <c r="F73" s="6" t="str">
        <f>DATA!H59</f>
        <v>Slum Alleviation Program</v>
      </c>
      <c r="G73" s="6" t="str">
        <f>DATA!I59</f>
        <v>G</v>
      </c>
      <c r="H73" s="6" t="str">
        <f>DATA!J59</f>
        <v>Program Penanganan Kumuh</v>
      </c>
      <c r="I73" s="6">
        <f>DATA!K59</f>
        <v>2</v>
      </c>
      <c r="J73" s="38"/>
      <c r="K73" s="39"/>
      <c r="L73" s="39"/>
      <c r="M73" s="43"/>
      <c r="N73" s="67" t="str">
        <f>DATA!L59</f>
        <v>National Slum Upgrading</v>
      </c>
      <c r="O73" s="42">
        <f>DATA!Q59</f>
        <v>0.25</v>
      </c>
      <c r="P73" s="42">
        <f>DATA!R59</f>
        <v>0</v>
      </c>
      <c r="Q73" s="42">
        <f>DATA!S59</f>
        <v>0</v>
      </c>
      <c r="R73" s="83">
        <f>DATA!T59</f>
        <v>0</v>
      </c>
      <c r="S73" s="83"/>
      <c r="T73" s="83">
        <f>DATA!V59</f>
        <v>0</v>
      </c>
      <c r="U73" s="83">
        <f>DATA!W59</f>
        <v>0</v>
      </c>
      <c r="V73" s="83">
        <f>DATA!X59</f>
        <v>0</v>
      </c>
      <c r="W73" s="84" t="str">
        <f>DATA!Y59</f>
        <v>Bank Dunia</v>
      </c>
      <c r="X73" s="42" t="str">
        <f>DATA!Z59</f>
        <v>Multilateral</v>
      </c>
      <c r="Y73" s="83">
        <f>DATA!AA59</f>
        <v>216500000</v>
      </c>
      <c r="Z73" s="83">
        <f>DATA!AG59</f>
        <v>0</v>
      </c>
      <c r="AA73" s="42">
        <f>DATA!AH59</f>
        <v>2016</v>
      </c>
      <c r="AB73" s="67" t="str">
        <f>DATA!AI59</f>
        <v>Green Book 2016</v>
      </c>
      <c r="AC73" s="67" t="str">
        <f>DATA!AJ59</f>
        <v>- Concept Paper, Baseline Survey, Draft Guidelines.
- Surat Komitmen Pemda untuk penanganan kumuh.</v>
      </c>
      <c r="AD73" s="67"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E73" s="67" t="str">
        <f>DATA!AL59</f>
        <v>-</v>
      </c>
      <c r="AF73" s="42">
        <f>DATA!AM59</f>
        <v>2016</v>
      </c>
      <c r="AG73" s="42" t="str">
        <f>DATA!AN59</f>
        <v>dalam proses
(penyusunan FS)</v>
      </c>
      <c r="AH73" s="42" t="str">
        <f>DATA!AO59</f>
        <v>tidak butuh lahan</v>
      </c>
      <c r="AI73" s="42" t="str">
        <f>DATA!AP59</f>
        <v>belum ada proses tender/lelang</v>
      </c>
      <c r="AJ73" s="42"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K73" s="42" t="e">
        <f>DATA!#REF!</f>
        <v>#REF!</v>
      </c>
      <c r="AL73" s="42" t="str">
        <f>DATA!AZ59</f>
        <v>Sudah ada R/C</v>
      </c>
      <c r="AM73" s="67" t="str">
        <f>DATA!BA59</f>
        <v>Peningkatan kualitas permukiman di 21 provinsi, 257 kabupaten/kota,  6.626 kelurahan</v>
      </c>
    </row>
    <row r="74" spans="1:39" ht="89.25" hidden="1" customHeight="1">
      <c r="A74" s="10">
        <f>DATA!A62</f>
        <v>48</v>
      </c>
      <c r="B74" s="10">
        <f>DATA!B62</f>
        <v>0</v>
      </c>
      <c r="C74" s="10" t="str">
        <f>DATA!D62</f>
        <v>INFRASTRUKTUR</v>
      </c>
      <c r="D74" s="10">
        <f>DATA!E62</f>
        <v>1</v>
      </c>
      <c r="E74" s="10" t="str">
        <f>DATA!F62</f>
        <v>Kementerian Pekerjaan Umum dan Perumahan Rakyat</v>
      </c>
      <c r="F74" s="10" t="str">
        <f>DATA!H62</f>
        <v>Slum Alleviation Program</v>
      </c>
      <c r="G74" s="10" t="str">
        <f>DATA!I62</f>
        <v>G</v>
      </c>
      <c r="H74" s="10" t="str">
        <f>DATA!J62</f>
        <v>Program Penanganan Kumuh</v>
      </c>
      <c r="I74" s="10">
        <f>DATA!K62</f>
        <v>3</v>
      </c>
      <c r="J74" s="33"/>
      <c r="K74" s="34"/>
      <c r="L74" s="34"/>
      <c r="M74" s="36">
        <f>DATA!K62</f>
        <v>3</v>
      </c>
      <c r="N74" s="37" t="str">
        <f>DATA!L62</f>
        <v>Rural Settlement Infrastructure Development (RSID)</v>
      </c>
      <c r="O74" s="20">
        <f>DATA!Q62</f>
        <v>1</v>
      </c>
      <c r="P74" s="20">
        <f>DATA!R62</f>
        <v>1</v>
      </c>
      <c r="Q74" s="20">
        <f>DATA!S62</f>
        <v>41</v>
      </c>
      <c r="R74" s="77">
        <f>DATA!T62</f>
        <v>201000000</v>
      </c>
      <c r="S74" s="77"/>
      <c r="T74" s="77">
        <f>DATA!V62</f>
        <v>10050000</v>
      </c>
      <c r="U74" s="77">
        <f>DATA!W62</f>
        <v>0</v>
      </c>
      <c r="V74" s="77">
        <f>DATA!X62</f>
        <v>211050000</v>
      </c>
      <c r="W74" s="78" t="str">
        <f>DATA!Y62</f>
        <v>JICA</v>
      </c>
      <c r="X74" s="20" t="str">
        <f>DATA!Z62</f>
        <v>Bilateral</v>
      </c>
      <c r="Y74" s="77">
        <f>DATA!AA62</f>
        <v>201000000</v>
      </c>
      <c r="Z74" s="77">
        <f>DATA!AG62</f>
        <v>0</v>
      </c>
      <c r="AA74" s="20">
        <f>DATA!AH62</f>
        <v>2016</v>
      </c>
      <c r="AB74" s="37" t="str">
        <f>DATA!AI62</f>
        <v>-</v>
      </c>
      <c r="AC74" s="37" t="str">
        <f>DATA!AJ62</f>
        <v>30 (tiga puluh) kabupaten yang sudah mempunyai Perda RTRW dan mempunyai Perda Kawasan Strategis Kabupaten (KSK)</v>
      </c>
      <c r="AD74" s="37" t="str">
        <f>DATA!AK62</f>
        <v>belum ada pedoman teknis untuk pemenuhan lahan.</v>
      </c>
      <c r="AE74" s="37" t="str">
        <f>DATA!AL62</f>
        <v>belum ada</v>
      </c>
      <c r="AF74" s="20">
        <f>DATA!AM62</f>
        <v>0</v>
      </c>
      <c r="AG74" s="20" t="str">
        <f>DATA!AN62</f>
        <v>dalam proses
(penyusunan FS)</v>
      </c>
      <c r="AH74" s="20" t="str">
        <f>DATA!AO62</f>
        <v>dalam proses
(perencanaan)</v>
      </c>
      <c r="AI74" s="20" t="str">
        <f>DATA!AP62</f>
        <v>belum ada proses tender/lelang</v>
      </c>
      <c r="AJ74" s="20" t="str">
        <f>DATA!AY62</f>
        <v>- semula Lender adalah IDB, namun berdasarkan hasil konfirmasi Kem. PUPR, Lender keg ini adalah JICA
- konsep kegiatan belum siap
- Konfirmasi melalui surat Sekjen nomor KU.01.12-Sj/636 tgl 23 Oktober 2015</v>
      </c>
      <c r="AK74" s="20" t="e">
        <f>DATA!#REF!</f>
        <v>#REF!</v>
      </c>
      <c r="AL74" s="20">
        <f>DATA!AZ62</f>
        <v>0</v>
      </c>
      <c r="AM74" s="37" t="str">
        <f>DATA!BA62</f>
        <v xml:space="preserve">Pembangunan infrastruktur perdesaan seluas 18.589 ha </v>
      </c>
    </row>
    <row r="75" spans="1:39" ht="80.25" hidden="1" customHeight="1">
      <c r="A75" s="10">
        <f>DATA!A63</f>
        <v>49</v>
      </c>
      <c r="B75" s="10">
        <f>DATA!B63</f>
        <v>0</v>
      </c>
      <c r="C75" s="10" t="str">
        <f>DATA!D63</f>
        <v>INFRASTRUKTUR</v>
      </c>
      <c r="D75" s="10">
        <f>DATA!E63</f>
        <v>1</v>
      </c>
      <c r="E75" s="10" t="str">
        <f>DATA!F63</f>
        <v>Kementerian Pekerjaan Umum dan Perumahan Rakyat</v>
      </c>
      <c r="F75" s="10" t="str">
        <f>DATA!H63</f>
        <v>Slum Alleviation Program</v>
      </c>
      <c r="G75" s="10" t="str">
        <f>DATA!I63</f>
        <v>G</v>
      </c>
      <c r="H75" s="10" t="str">
        <f>DATA!J63</f>
        <v>Program Penanganan Kumuh</v>
      </c>
      <c r="I75" s="10">
        <f>DATA!K63</f>
        <v>4</v>
      </c>
      <c r="J75" s="33"/>
      <c r="K75" s="34"/>
      <c r="L75" s="54"/>
      <c r="M75" s="36">
        <f>DATA!K63</f>
        <v>4</v>
      </c>
      <c r="N75" s="37" t="str">
        <f>DATA!L63</f>
        <v>Building Administration and Capacity Enforcement Development for Seismic Resilience</v>
      </c>
      <c r="O75" s="20">
        <f>DATA!Q63</f>
        <v>1</v>
      </c>
      <c r="P75" s="20">
        <f>DATA!R63</f>
        <v>1</v>
      </c>
      <c r="Q75" s="20">
        <f>DATA!S63</f>
        <v>42</v>
      </c>
      <c r="R75" s="77">
        <f>DATA!T63</f>
        <v>261100000</v>
      </c>
      <c r="S75" s="77"/>
      <c r="T75" s="77">
        <f>DATA!V63</f>
        <v>13055000</v>
      </c>
      <c r="U75" s="77">
        <f>DATA!W63</f>
        <v>0</v>
      </c>
      <c r="V75" s="77">
        <f>DATA!X63</f>
        <v>274155000</v>
      </c>
      <c r="W75" s="78" t="str">
        <f>DATA!Y63</f>
        <v>JICA</v>
      </c>
      <c r="X75" s="20" t="str">
        <f>DATA!Z63</f>
        <v>Bilateral</v>
      </c>
      <c r="Y75" s="77">
        <f>DATA!AA63</f>
        <v>261100000</v>
      </c>
      <c r="Z75" s="77">
        <f>DATA!AG63</f>
        <v>0</v>
      </c>
      <c r="AA75" s="20">
        <f>DATA!AH63</f>
        <v>2016</v>
      </c>
      <c r="AB75" s="37" t="str">
        <f>DATA!AI63</f>
        <v>-</v>
      </c>
      <c r="AC75" s="37" t="str">
        <f>DATA!AJ63</f>
        <v>246 dari total 514 kota / kabupaten telah mengeluarkan Peraturan Daerah Bangunan Gedung).</v>
      </c>
      <c r="AD75" s="37" t="str">
        <f>DATA!AK63</f>
        <v>tidak ada kegiatan pengadaan lahan.</v>
      </c>
      <c r="AE75" s="37" t="str">
        <f>DATA!AL63</f>
        <v>belum ada</v>
      </c>
      <c r="AF75" s="20">
        <f>DATA!AM63</f>
        <v>0</v>
      </c>
      <c r="AG75" s="20" t="str">
        <f>DATA!AN63</f>
        <v>dalam proses
(penyusunan FS)</v>
      </c>
      <c r="AH75" s="20" t="str">
        <f>DATA!AO63</f>
        <v>tidak butuh lahan</v>
      </c>
      <c r="AI75" s="20" t="str">
        <f>DATA!AP63</f>
        <v>belum ada proses tender/lelang</v>
      </c>
      <c r="AJ75" s="20" t="str">
        <f>DATA!AY63</f>
        <v>- konsep kegiatan belum siap
- Konfirmasi melalui surat Sekjen nomor KU.01.12-Sj/636 tgl 23 Oktober 2015</v>
      </c>
      <c r="AK75" s="20" t="e">
        <f>DATA!#REF!</f>
        <v>#REF!</v>
      </c>
      <c r="AL75" s="20" t="str">
        <f>DATA!AZ63</f>
        <v>- JICA diindikasikan akan mendanai kegiatan ini dan sudah ada kajian dengan pihak JICA</v>
      </c>
      <c r="AM75" s="37" t="str">
        <f>DATA!BA63</f>
        <v>Pengembangan panduan/guidelines untuk 455 kota/kabupaten mengenai bangunan tahan gempa dan sosialisasi metode perkuatan/retrofitting untuk bangunan tahan gempa.</v>
      </c>
    </row>
    <row r="76" spans="1:39" s="5" customFormat="1" ht="33.75" hidden="1" customHeight="1">
      <c r="J76" s="28"/>
      <c r="K76" s="50"/>
      <c r="L76" s="30" t="str">
        <f>DATA!I67</f>
        <v>I</v>
      </c>
      <c r="M76" s="31" t="str">
        <f>DATA!J67</f>
        <v>Program Pengembangan dan Pengelolaan Irigasi</v>
      </c>
      <c r="N76" s="51"/>
      <c r="O76" s="31"/>
      <c r="P76" s="31"/>
      <c r="Q76" s="31"/>
      <c r="R76" s="81">
        <f>SUM(R77,R81:R89)</f>
        <v>3257531000</v>
      </c>
      <c r="S76" s="81"/>
      <c r="T76" s="81">
        <f t="shared" ref="T76:Z76" si="3">SUM(T77,T81:T89)</f>
        <v>345159500</v>
      </c>
      <c r="U76" s="81">
        <f t="shared" si="3"/>
        <v>0</v>
      </c>
      <c r="V76" s="81">
        <f t="shared" si="3"/>
        <v>3602690500</v>
      </c>
      <c r="W76" s="81"/>
      <c r="X76" s="81">
        <f t="shared" si="3"/>
        <v>0</v>
      </c>
      <c r="Y76" s="81">
        <f t="shared" si="3"/>
        <v>3257531000</v>
      </c>
      <c r="Z76" s="81">
        <f t="shared" si="3"/>
        <v>0</v>
      </c>
      <c r="AA76" s="31"/>
      <c r="AB76" s="32"/>
      <c r="AC76" s="32"/>
      <c r="AD76" s="32"/>
      <c r="AE76" s="32"/>
      <c r="AF76" s="31"/>
      <c r="AG76" s="31"/>
      <c r="AH76" s="31"/>
      <c r="AI76" s="31"/>
      <c r="AJ76" s="31"/>
      <c r="AK76" s="31"/>
      <c r="AL76" s="31"/>
      <c r="AM76" s="32"/>
    </row>
    <row r="77" spans="1:39" ht="51" hidden="1">
      <c r="A77" s="10">
        <f>DATA!A65</f>
        <v>50</v>
      </c>
      <c r="B77" s="10">
        <f>DATA!B65</f>
        <v>0</v>
      </c>
      <c r="C77" s="10" t="str">
        <f>DATA!D65</f>
        <v>INFRASTRUKTUR</v>
      </c>
      <c r="D77" s="10">
        <f>DATA!E65</f>
        <v>1</v>
      </c>
      <c r="E77" s="10" t="str">
        <f>DATA!F65</f>
        <v>Kementerian Pekerjaan Umum dan Perumahan Rakyat</v>
      </c>
      <c r="F77" s="10" t="str">
        <f>DATA!H65</f>
        <v>Slum Alleviation Program</v>
      </c>
      <c r="G77" s="10" t="str">
        <f>DATA!I65</f>
        <v>I</v>
      </c>
      <c r="H77" s="10" t="str">
        <f>DATA!J65</f>
        <v>Program Pengembangan dan Pengelolaan Irigasi</v>
      </c>
      <c r="I77" s="10">
        <f>DATA!K65</f>
        <v>1</v>
      </c>
      <c r="J77" s="33"/>
      <c r="K77" s="34"/>
      <c r="L77" s="35"/>
      <c r="M77" s="36">
        <f>DATA!K65</f>
        <v>1</v>
      </c>
      <c r="N77" s="37" t="str">
        <f>DATA!L65</f>
        <v>Integrated Participatory Development and Management of Irrigation Project:</v>
      </c>
      <c r="O77" s="20">
        <f>DATA!Q65</f>
        <v>0</v>
      </c>
      <c r="P77" s="20">
        <f>DATA!R65</f>
        <v>0</v>
      </c>
      <c r="Q77" s="20">
        <f>DATA!S65</f>
        <v>0</v>
      </c>
      <c r="R77" s="77">
        <f>DATA!T65</f>
        <v>1200000000</v>
      </c>
      <c r="S77" s="77"/>
      <c r="T77" s="77">
        <f>DATA!V65</f>
        <v>120000000</v>
      </c>
      <c r="U77" s="77">
        <f>DATA!W65</f>
        <v>0</v>
      </c>
      <c r="V77" s="77">
        <f>DATA!X65</f>
        <v>1320000000</v>
      </c>
      <c r="W77" s="78" t="str">
        <f>DATA!Y65</f>
        <v>-</v>
      </c>
      <c r="X77" s="20">
        <f>DATA!Z65</f>
        <v>0</v>
      </c>
      <c r="Y77" s="77">
        <f>DATA!AA65</f>
        <v>1200000000</v>
      </c>
      <c r="Z77" s="77">
        <f>DATA!AG65</f>
        <v>0</v>
      </c>
      <c r="AA77" s="20" t="str">
        <f>DATA!AH65</f>
        <v>-</v>
      </c>
      <c r="AB77" s="37" t="str">
        <f>DATA!AI65</f>
        <v>-</v>
      </c>
      <c r="AC77" s="37" t="str">
        <f>DATA!AJ65</f>
        <v>-</v>
      </c>
      <c r="AD77" s="37" t="str">
        <f>DATA!AK65</f>
        <v>-</v>
      </c>
      <c r="AE77" s="37" t="str">
        <f>DATA!AL65</f>
        <v>-</v>
      </c>
      <c r="AF77" s="20" t="str">
        <f>DATA!AM65</f>
        <v>-</v>
      </c>
      <c r="AG77" s="20" t="str">
        <f>DATA!AN65</f>
        <v>-</v>
      </c>
      <c r="AH77" s="20" t="str">
        <f>DATA!AO65</f>
        <v>-</v>
      </c>
      <c r="AI77" s="20" t="str">
        <f>DATA!AP65</f>
        <v>-</v>
      </c>
      <c r="AJ77" s="20" t="str">
        <f>DATA!AY65</f>
        <v>Konfirmasi melalui surat Sekjen nomor KU.01.12-Sj/636 tgl 23 Oktober 2015</v>
      </c>
      <c r="AK77" s="20" t="e">
        <f>DATA!#REF!</f>
        <v>#REF!</v>
      </c>
      <c r="AL77" s="20">
        <f>DATA!AZ65</f>
        <v>0</v>
      </c>
      <c r="AM77" s="37" t="str">
        <f>DATA!BA65</f>
        <v>Pembangunan lanjutan proyek irigasi dengan total seluas 193.858 Ha dan pembangunan irigasi baru seluas 10.000 Ha yang tersebar di berbagai wilayah di Indonesia</v>
      </c>
    </row>
    <row r="78" spans="1:39" s="6" customFormat="1" ht="88.5" hidden="1" customHeight="1">
      <c r="A78" s="6">
        <f>DATA!A67</f>
        <v>51</v>
      </c>
      <c r="B78" s="6">
        <f>DATA!B67</f>
        <v>0</v>
      </c>
      <c r="C78" s="6" t="str">
        <f>DATA!D67</f>
        <v>INFRASTRUKTUR</v>
      </c>
      <c r="D78" s="6">
        <f>DATA!E67</f>
        <v>1</v>
      </c>
      <c r="E78" s="6" t="str">
        <f>DATA!F67</f>
        <v>Kementerian Pekerjaan Umum dan Perumahan Rakyat</v>
      </c>
      <c r="F78" s="6" t="str">
        <f>DATA!H67</f>
        <v xml:space="preserve">Development and Management of Irrigation Program </v>
      </c>
      <c r="G78" s="6" t="str">
        <f>DATA!I67</f>
        <v>I</v>
      </c>
      <c r="H78" s="6" t="str">
        <f>DATA!J67</f>
        <v>Program Pengembangan dan Pengelolaan Irigasi</v>
      </c>
      <c r="I78" s="6">
        <f>DATA!K67</f>
        <v>1</v>
      </c>
      <c r="J78" s="38"/>
      <c r="K78" s="39"/>
      <c r="L78" s="39"/>
      <c r="M78" s="40"/>
      <c r="N78" s="67" t="str">
        <f>DATA!L67</f>
        <v>Integrated Participatory Development and Management of Irrigation Project - Phase I</v>
      </c>
      <c r="O78" s="42">
        <f>DATA!Q67</f>
        <v>0.5</v>
      </c>
      <c r="P78" s="42">
        <f>DATA!R67</f>
        <v>0</v>
      </c>
      <c r="Q78" s="42">
        <f>DATA!S67</f>
        <v>43</v>
      </c>
      <c r="R78" s="83">
        <f>DATA!T67</f>
        <v>0</v>
      </c>
      <c r="S78" s="83"/>
      <c r="T78" s="83">
        <f>DATA!V67</f>
        <v>0</v>
      </c>
      <c r="U78" s="83">
        <f>DATA!W67</f>
        <v>0</v>
      </c>
      <c r="V78" s="83">
        <f>DATA!X67</f>
        <v>0</v>
      </c>
      <c r="W78" s="84" t="str">
        <f>DATA!Y67</f>
        <v>ADB</v>
      </c>
      <c r="X78" s="42" t="str">
        <f>DATA!Z67</f>
        <v>Multilateral</v>
      </c>
      <c r="Y78" s="83">
        <f>DATA!AA67</f>
        <v>600000000</v>
      </c>
      <c r="Z78" s="83">
        <f>DATA!AG67</f>
        <v>0</v>
      </c>
      <c r="AA78" s="42">
        <f>DATA!AH67</f>
        <v>2016</v>
      </c>
      <c r="AB78" s="67" t="str">
        <f>DATA!AI67</f>
        <v>- Sudah ada RC
- Green Book 2015
- Dalam proses pembahasan skema pinjaman</v>
      </c>
      <c r="AC78" s="67" t="str">
        <f>DATA!AJ67</f>
        <v>FS, DED, AMDAL, LARAP</v>
      </c>
      <c r="AD78" s="67" t="str">
        <f>DATA!AK67</f>
        <v>-</v>
      </c>
      <c r="AE78" s="67" t="str">
        <f>DATA!AL67</f>
        <v>Belum ada tender/lelang</v>
      </c>
      <c r="AF78" s="42" t="str">
        <f>DATA!AM67</f>
        <v>2016; 2015</v>
      </c>
      <c r="AG78" s="42" t="str">
        <f>DATA!AN67</f>
        <v>siap</v>
      </c>
      <c r="AH78" s="42" t="str">
        <f>DATA!AO67</f>
        <v>belum ada keterangan</v>
      </c>
      <c r="AI78" s="42" t="str">
        <f>DATA!AP67</f>
        <v>belum ada proses tender/lelang</v>
      </c>
      <c r="AJ78" s="42" t="str">
        <f>DATA!AY67</f>
        <v>- Cofinancing ADB USD 600 juta dan IFAD USD 100 juta
- Konfirmasi melalui surat Sekjen nomor KU.01.12-Sj/636 tgl 23 Oktober 2015</v>
      </c>
      <c r="AK78" s="42" t="e">
        <f>DATA!#REF!</f>
        <v>#REF!</v>
      </c>
      <c r="AL78" s="42" t="str">
        <f>DATA!AZ67</f>
        <v>termasuk RBL</v>
      </c>
      <c r="AM78" s="67"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79" spans="1:39" s="7" customFormat="1" ht="86.25" customHeight="1">
      <c r="A79" s="6">
        <f>DATA!A68</f>
        <v>52</v>
      </c>
      <c r="B79" s="6">
        <f>DATA!B68</f>
        <v>0</v>
      </c>
      <c r="C79" s="6" t="str">
        <f>DATA!D68</f>
        <v>INFRASTRUKTUR</v>
      </c>
      <c r="D79" s="6">
        <f>DATA!E68</f>
        <v>1</v>
      </c>
      <c r="E79" s="6" t="str">
        <f>DATA!F68</f>
        <v>Kementerian Pekerjaan Umum dan Perumahan Rakyat</v>
      </c>
      <c r="F79" s="6" t="str">
        <f>DATA!H68</f>
        <v xml:space="preserve">Development and Management of Irrigation Program </v>
      </c>
      <c r="G79" s="6" t="str">
        <f>DATA!I68</f>
        <v>I</v>
      </c>
      <c r="H79" s="6" t="str">
        <f>DATA!J68</f>
        <v>Program Pengembangan dan Pengelolaan Irigasi</v>
      </c>
      <c r="I79" s="6">
        <f>DATA!K68</f>
        <v>1</v>
      </c>
      <c r="J79" s="44"/>
      <c r="K79" s="45"/>
      <c r="L79" s="45"/>
      <c r="M79" s="44"/>
      <c r="N79" s="68" t="str">
        <f>DATA!L68</f>
        <v>Integrated Participatory Development and Management of Irrigation Project - Phase I</v>
      </c>
      <c r="O79" s="42">
        <f>DATA!Q68</f>
        <v>0.5</v>
      </c>
      <c r="P79" s="42">
        <f>DATA!R68</f>
        <v>0</v>
      </c>
      <c r="Q79" s="42">
        <f>DATA!S68</f>
        <v>0</v>
      </c>
      <c r="R79" s="85">
        <f>DATA!T68</f>
        <v>0</v>
      </c>
      <c r="S79" s="85"/>
      <c r="T79" s="85">
        <f>DATA!V68</f>
        <v>0</v>
      </c>
      <c r="U79" s="83">
        <f>DATA!W68</f>
        <v>0</v>
      </c>
      <c r="V79" s="85">
        <f>DATA!X68</f>
        <v>0</v>
      </c>
      <c r="W79" s="86" t="str">
        <f>DATA!Y68</f>
        <v>IFAD</v>
      </c>
      <c r="X79" s="42" t="str">
        <f>DATA!Z68</f>
        <v>Multilateral</v>
      </c>
      <c r="Y79" s="85">
        <f>DATA!AA68</f>
        <v>100000000</v>
      </c>
      <c r="Z79" s="85">
        <f>DATA!AG68</f>
        <v>0</v>
      </c>
      <c r="AA79" s="98">
        <f>DATA!AH68</f>
        <v>2015</v>
      </c>
      <c r="AB79" s="68" t="str">
        <f>DATA!AI68</f>
        <v>- Sudah ada RC
- Green Book 2015
- Dalam proses pembahasan skema pinjaman</v>
      </c>
      <c r="AC79" s="68" t="str">
        <f>DATA!AJ68</f>
        <v>FS, DED, AMDAL, LARAP</v>
      </c>
      <c r="AD79" s="68" t="str">
        <f>DATA!AK68</f>
        <v>-</v>
      </c>
      <c r="AE79" s="68" t="str">
        <f>DATA!AL68</f>
        <v>Belum ada tender/lelang</v>
      </c>
      <c r="AF79" s="42" t="str">
        <f>DATA!AM68</f>
        <v>2016; 2015</v>
      </c>
      <c r="AG79" s="42" t="str">
        <f>DATA!AN68</f>
        <v>siap</v>
      </c>
      <c r="AH79" s="42" t="str">
        <f>DATA!AO68</f>
        <v>belum ada keterangan</v>
      </c>
      <c r="AI79" s="42" t="str">
        <f>DATA!AP68</f>
        <v>belum ada proses tender/lelang</v>
      </c>
      <c r="AJ79" s="42" t="str">
        <f>DATA!AY68</f>
        <v>- Cofinancing ADB USD 600 juta dan IFAD USD 100 juta
- Konfirmasi melalui surat Sekjen nomor KU.01.12-Sj/636 tgl 23 Oktober 2015</v>
      </c>
      <c r="AK79" s="42" t="e">
        <f>DATA!#REF!</f>
        <v>#REF!</v>
      </c>
      <c r="AL79" s="42">
        <f>DATA!AZ68</f>
        <v>0</v>
      </c>
      <c r="AM79" s="67"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0" spans="1:39" s="6" customFormat="1" ht="52.5" hidden="1" customHeight="1">
      <c r="A80" s="6">
        <f>DATA!A70</f>
        <v>53</v>
      </c>
      <c r="B80" s="6">
        <f>DATA!B70</f>
        <v>0</v>
      </c>
      <c r="C80" s="6" t="str">
        <f>DATA!D70</f>
        <v>INFRASTRUKTUR</v>
      </c>
      <c r="D80" s="6">
        <f>DATA!E70</f>
        <v>1</v>
      </c>
      <c r="E80" s="6" t="str">
        <f>DATA!F70</f>
        <v>Kementerian Pekerjaan Umum dan Perumahan Rakyat</v>
      </c>
      <c r="F80" s="6" t="str">
        <f>DATA!H70</f>
        <v xml:space="preserve">Development and Management of Irrigation Program </v>
      </c>
      <c r="G80" s="6" t="str">
        <f>DATA!I70</f>
        <v>I</v>
      </c>
      <c r="H80" s="6" t="str">
        <f>DATA!J70</f>
        <v>Program Pengembangan dan Pengelolaan Irigasi</v>
      </c>
      <c r="I80" s="6">
        <f>DATA!K70</f>
        <v>1</v>
      </c>
      <c r="J80" s="38"/>
      <c r="K80" s="39"/>
      <c r="L80" s="39"/>
      <c r="M80" s="43"/>
      <c r="N80" s="67" t="str">
        <f>DATA!L70</f>
        <v>Integrated Participatory Development and Management of Irrigation Project - Phase II</v>
      </c>
      <c r="O80" s="42">
        <f>DATA!Q70</f>
        <v>1</v>
      </c>
      <c r="P80" s="42">
        <f>DATA!R70</f>
        <v>0</v>
      </c>
      <c r="Q80" s="42">
        <f>DATA!S70</f>
        <v>44</v>
      </c>
      <c r="R80" s="83">
        <f>DATA!T70</f>
        <v>500000000</v>
      </c>
      <c r="S80" s="83"/>
      <c r="T80" s="83">
        <f>DATA!V70</f>
        <v>50000000</v>
      </c>
      <c r="U80" s="83">
        <f>DATA!W70</f>
        <v>0</v>
      </c>
      <c r="V80" s="83">
        <f>DATA!X70</f>
        <v>550000000</v>
      </c>
      <c r="W80" s="84" t="str">
        <f>DATA!Y70</f>
        <v>ADB</v>
      </c>
      <c r="X80" s="42" t="str">
        <f>DATA!Z70</f>
        <v>Multilateral</v>
      </c>
      <c r="Y80" s="83">
        <f>DATA!AA70</f>
        <v>500000000</v>
      </c>
      <c r="Z80" s="83">
        <f>DATA!AG70</f>
        <v>0</v>
      </c>
      <c r="AA80" s="42" t="str">
        <f>DATA!AH70</f>
        <v>Tanpa keterangan</v>
      </c>
      <c r="AB80" s="67" t="str">
        <f>DATA!AI70</f>
        <v>-</v>
      </c>
      <c r="AC80" s="67" t="str">
        <f>DATA!AJ70</f>
        <v>-</v>
      </c>
      <c r="AD80" s="67" t="str">
        <f>DATA!AK70</f>
        <v>-</v>
      </c>
      <c r="AE80" s="67" t="str">
        <f>DATA!AL70</f>
        <v>-</v>
      </c>
      <c r="AF80" s="42" t="str">
        <f>DATA!AR70</f>
        <v>- untuk yang Phase II: belum ada penyiapan
- belum ada dokumen R/C</v>
      </c>
      <c r="AG80" s="42" t="str">
        <f>DATA!AN70</f>
        <v>belum ada keterangan</v>
      </c>
      <c r="AH80" s="42" t="str">
        <f>DATA!AO70</f>
        <v>belum ada keterangan</v>
      </c>
      <c r="AI80" s="42" t="str">
        <f>DATA!AP70</f>
        <v>belum ada proses tender/lelang</v>
      </c>
      <c r="AJ80" s="42" t="str">
        <f>DATA!AY70</f>
        <v>Konfirmasi melalui surat Sekjen nomor KU.01.12-Sj/636 tgl 23 Oktober 2015</v>
      </c>
      <c r="AK80" s="42" t="e">
        <f>DATA!#REF!</f>
        <v>#REF!</v>
      </c>
      <c r="AL80" s="42">
        <f>DATA!AZ70</f>
        <v>0</v>
      </c>
      <c r="AM80" s="67" t="str">
        <f>DATA!BA70</f>
        <v xml:space="preserve">Pembangunan irigasi baru dengan luas lebih dari 10.000 Ha, perbaikan sistem irigasi seluas 172.880 Ha yang tersebar di seluruh Indonesia. </v>
      </c>
    </row>
    <row r="81" spans="1:39" s="8" customFormat="1" ht="45.75" customHeight="1">
      <c r="A81" s="10">
        <f>DATA!A72</f>
        <v>54</v>
      </c>
      <c r="B81" s="10">
        <f>DATA!B72</f>
        <v>0</v>
      </c>
      <c r="C81" s="10" t="str">
        <f>DATA!D72</f>
        <v>INFRASTRUKTUR</v>
      </c>
      <c r="D81" s="10">
        <f>DATA!E72</f>
        <v>1</v>
      </c>
      <c r="E81" s="10" t="str">
        <f>DATA!F72</f>
        <v>Kementerian Pekerjaan Umum dan Perumahan Rakyat</v>
      </c>
      <c r="F81" s="10" t="str">
        <f>DATA!H72</f>
        <v xml:space="preserve">Development and Management of Irrigation Program </v>
      </c>
      <c r="G81" s="10" t="str">
        <f>DATA!I72</f>
        <v>I</v>
      </c>
      <c r="H81" s="10" t="str">
        <f>DATA!J72</f>
        <v>Program Pengembangan dan Pengelolaan Irigasi</v>
      </c>
      <c r="I81" s="10">
        <f>DATA!K72</f>
        <v>2</v>
      </c>
      <c r="J81" s="57"/>
      <c r="K81" s="58"/>
      <c r="L81" s="58"/>
      <c r="M81" s="60">
        <f>DATA!K72</f>
        <v>2</v>
      </c>
      <c r="N81" s="61" t="str">
        <f>DATA!L72</f>
        <v>The Urgent Rehabilitation of Strategic Irrigation for Western Region of Indonesia</v>
      </c>
      <c r="O81" s="20">
        <f>DATA!Q72</f>
        <v>1</v>
      </c>
      <c r="P81" s="20">
        <f>DATA!R72</f>
        <v>1</v>
      </c>
      <c r="Q81" s="20">
        <f>DATA!S72</f>
        <v>45</v>
      </c>
      <c r="R81" s="89">
        <f>DATA!T72</f>
        <v>195778000</v>
      </c>
      <c r="S81" s="89"/>
      <c r="T81" s="89">
        <f>DATA!V72</f>
        <v>27149500</v>
      </c>
      <c r="U81" s="77">
        <f>DATA!W72</f>
        <v>0</v>
      </c>
      <c r="V81" s="89">
        <f>DATA!X72</f>
        <v>222927500</v>
      </c>
      <c r="W81" s="90" t="str">
        <f>DATA!Y72</f>
        <v>Korea</v>
      </c>
      <c r="X81" s="20" t="str">
        <f>DATA!Z72</f>
        <v>Bilateral</v>
      </c>
      <c r="Y81" s="89">
        <f>DATA!AA72</f>
        <v>195778000</v>
      </c>
      <c r="Z81" s="89">
        <f>DATA!AG72</f>
        <v>0</v>
      </c>
      <c r="AA81" s="103">
        <f>DATA!AH72</f>
        <v>2016</v>
      </c>
      <c r="AB81" s="61" t="str">
        <f>DATA!AI72</f>
        <v>- Sudah ada R/C
- Green Book 2015</v>
      </c>
      <c r="AC81" s="61" t="str">
        <f>DATA!AJ72</f>
        <v>FS, DED, AMDAL, LARAP</v>
      </c>
      <c r="AD81" s="61" t="str">
        <f>DATA!AK72</f>
        <v>Tidak dibutuhkan lahan</v>
      </c>
      <c r="AE81" s="61" t="str">
        <f>DATA!AL72</f>
        <v>Belum ada tender/lelang</v>
      </c>
      <c r="AF81" s="20" t="str">
        <f>DATA!AR72</f>
        <v>-</v>
      </c>
      <c r="AG81" s="20" t="str">
        <f>DATA!AN72</f>
        <v>belum ada keterangan</v>
      </c>
      <c r="AH81" s="20" t="str">
        <f>DATA!AO72</f>
        <v>belum ada keterangan</v>
      </c>
      <c r="AI81" s="20" t="str">
        <f>DATA!AP72</f>
        <v>belum ada proses tender/lelang</v>
      </c>
      <c r="AJ81" s="20" t="str">
        <f>DATA!AY72</f>
        <v>Konfirmasi melalui surat Sekjen nomor KU.01.12-Sj/636 tgl 23 Oktober 2015</v>
      </c>
      <c r="AK81" s="20" t="e">
        <f>DATA!#REF!</f>
        <v>#REF!</v>
      </c>
      <c r="AL81" s="20">
        <f>DATA!AZ72</f>
        <v>0</v>
      </c>
      <c r="AM81" s="37" t="str">
        <f>DATA!BA72</f>
        <v xml:space="preserve">Melakukan rehabilitasi fasilitas irigasi, meningkatkan sistem irigasi dan drainase dan peningkatan kapasitas O&amp;P seluas 38,523 Ha </v>
      </c>
    </row>
    <row r="82" spans="1:39" ht="111" hidden="1" customHeight="1">
      <c r="A82" s="10">
        <f>DATA!A73</f>
        <v>55</v>
      </c>
      <c r="B82" s="10">
        <f>DATA!B73</f>
        <v>0</v>
      </c>
      <c r="C82" s="10" t="str">
        <f>DATA!D73</f>
        <v>INFRASTRUKTUR</v>
      </c>
      <c r="D82" s="10">
        <f>DATA!E73</f>
        <v>1</v>
      </c>
      <c r="E82" s="10" t="str">
        <f>DATA!F73</f>
        <v>Kementerian Pekerjaan Umum dan Perumahan Rakyat</v>
      </c>
      <c r="F82" s="10" t="str">
        <f>DATA!H73</f>
        <v xml:space="preserve">Development and Management of Irrigation Program </v>
      </c>
      <c r="G82" s="10" t="str">
        <f>DATA!I73</f>
        <v>I</v>
      </c>
      <c r="H82" s="10" t="str">
        <f>DATA!J73</f>
        <v>Program Pengembangan dan Pengelolaan Irigasi</v>
      </c>
      <c r="I82" s="10">
        <f>DATA!K73</f>
        <v>3</v>
      </c>
      <c r="J82" s="33"/>
      <c r="K82" s="34"/>
      <c r="L82" s="34"/>
      <c r="M82" s="36">
        <f>DATA!K73</f>
        <v>3</v>
      </c>
      <c r="N82" s="37" t="str">
        <f>DATA!L73</f>
        <v>Rentang Modernization Strategic Irrigation (RIMP)</v>
      </c>
      <c r="O82" s="20">
        <f>DATA!Q73</f>
        <v>1</v>
      </c>
      <c r="P82" s="20">
        <f>DATA!R73</f>
        <v>1</v>
      </c>
      <c r="Q82" s="20">
        <f>DATA!S73</f>
        <v>46</v>
      </c>
      <c r="R82" s="77">
        <f>DATA!T73</f>
        <v>480000000</v>
      </c>
      <c r="S82" s="77"/>
      <c r="T82" s="77">
        <f>DATA!V73</f>
        <v>48000000</v>
      </c>
      <c r="U82" s="77">
        <f>DATA!W73</f>
        <v>0</v>
      </c>
      <c r="V82" s="77">
        <f>DATA!X73</f>
        <v>528000000</v>
      </c>
      <c r="W82" s="78" t="str">
        <f>DATA!Y73</f>
        <v>JICA</v>
      </c>
      <c r="X82" s="20" t="str">
        <f>DATA!Z73</f>
        <v>Bilateral</v>
      </c>
      <c r="Y82" s="77">
        <f>DATA!AA73</f>
        <v>480000000</v>
      </c>
      <c r="Z82" s="77">
        <f>DATA!AG73</f>
        <v>0</v>
      </c>
      <c r="AA82" s="20">
        <f>DATA!AH73</f>
        <v>2017</v>
      </c>
      <c r="AB82" s="37" t="str">
        <f>DATA!AI73</f>
        <v>Sudah ada R/C</v>
      </c>
      <c r="AC82" s="37" t="str">
        <f>DATA!AJ73</f>
        <v>FS, DED, AMDAL</v>
      </c>
      <c r="AD82" s="37" t="str">
        <f>DATA!AK73</f>
        <v>Tidak dibutuhkan lahan</v>
      </c>
      <c r="AE82" s="37" t="str">
        <f>DATA!AL73</f>
        <v>-</v>
      </c>
      <c r="AF82" s="20" t="str">
        <f>DATA!AR73</f>
        <v>-</v>
      </c>
      <c r="AG82" s="20" t="str">
        <f>DATA!AN73</f>
        <v>siap</v>
      </c>
      <c r="AH82" s="20" t="str">
        <f>DATA!AO73</f>
        <v>tidak butuh lahan</v>
      </c>
      <c r="AI82" s="20" t="str">
        <f>DATA!AP73</f>
        <v>belum ada proses tender/lelang</v>
      </c>
      <c r="AJ82" s="20" t="str">
        <f>DATA!AY73</f>
        <v>Konfirmasi melalui surat Sekjen nomor KU.01.12-Sj/636 tgl 23 Oktober 2015</v>
      </c>
      <c r="AK82" s="20" t="e">
        <f>DATA!#REF!</f>
        <v>#REF!</v>
      </c>
      <c r="AL82" s="20">
        <f>DATA!AZ73</f>
        <v>0</v>
      </c>
      <c r="AM82" s="37"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row>
    <row r="83" spans="1:39" ht="76.5" hidden="1">
      <c r="A83" s="10">
        <f>DATA!A74</f>
        <v>56</v>
      </c>
      <c r="B83" s="10">
        <f>DATA!B74</f>
        <v>0</v>
      </c>
      <c r="C83" s="10" t="str">
        <f>DATA!D74</f>
        <v>INFRASTRUKTUR</v>
      </c>
      <c r="D83" s="10">
        <f>DATA!E74</f>
        <v>1</v>
      </c>
      <c r="E83" s="10" t="str">
        <f>DATA!F74</f>
        <v>Kementerian Pekerjaan Umum dan Perumahan Rakyat</v>
      </c>
      <c r="F83" s="10" t="str">
        <f>DATA!H74</f>
        <v xml:space="preserve">Development and Management of Irrigation Program </v>
      </c>
      <c r="G83" s="10" t="str">
        <f>DATA!I74</f>
        <v>I</v>
      </c>
      <c r="H83" s="10" t="str">
        <f>DATA!J74</f>
        <v>Program Pengembangan dan Pengelolaan Irigasi</v>
      </c>
      <c r="I83" s="10">
        <f>DATA!K74</f>
        <v>4</v>
      </c>
      <c r="J83" s="33"/>
      <c r="K83" s="34"/>
      <c r="L83" s="34"/>
      <c r="M83" s="36">
        <f>DATA!K74</f>
        <v>4</v>
      </c>
      <c r="N83" s="37" t="str">
        <f>DATA!L74</f>
        <v>Komering Irrigation Project Stage III</v>
      </c>
      <c r="O83" s="20">
        <f>DATA!Q74</f>
        <v>1</v>
      </c>
      <c r="P83" s="20">
        <f>DATA!R74</f>
        <v>1</v>
      </c>
      <c r="Q83" s="20">
        <f>DATA!S74</f>
        <v>47</v>
      </c>
      <c r="R83" s="77">
        <f>DATA!T74</f>
        <v>120000000</v>
      </c>
      <c r="S83" s="77"/>
      <c r="T83" s="77">
        <f>DATA!V74</f>
        <v>12000000</v>
      </c>
      <c r="U83" s="77">
        <f>DATA!W74</f>
        <v>0</v>
      </c>
      <c r="V83" s="77">
        <f>DATA!X74</f>
        <v>132000000</v>
      </c>
      <c r="W83" s="78" t="str">
        <f>DATA!Y74</f>
        <v>JICA</v>
      </c>
      <c r="X83" s="20" t="str">
        <f>DATA!Z74</f>
        <v>Bilateral</v>
      </c>
      <c r="Y83" s="77">
        <f>DATA!AA74</f>
        <v>120000000</v>
      </c>
      <c r="Z83" s="77">
        <f>DATA!AG74</f>
        <v>0</v>
      </c>
      <c r="AA83" s="20">
        <f>DATA!AH74</f>
        <v>2017</v>
      </c>
      <c r="AB83" s="37" t="str">
        <f>DATA!AI74</f>
        <v xml:space="preserve">Sudah ada R/C
</v>
      </c>
      <c r="AC83" s="37" t="str">
        <f>DATA!AJ74</f>
        <v>FS, DED, AMDAL, LARAP</v>
      </c>
      <c r="AD83" s="37" t="str">
        <f>DATA!AK74</f>
        <v>-</v>
      </c>
      <c r="AE83" s="37" t="str">
        <f>DATA!AL74</f>
        <v>-</v>
      </c>
      <c r="AF83" s="20" t="str">
        <f>DATA!AR74</f>
        <v>Nilai pinjaman di:
- Rev. GB 16 USD 145.568 ribu
- GB 16 USD 120.000 ribu</v>
      </c>
      <c r="AG83" s="20" t="str">
        <f>DATA!AN74</f>
        <v>siap</v>
      </c>
      <c r="AH83" s="20" t="str">
        <f>DATA!AO74</f>
        <v>belum ada keterangan</v>
      </c>
      <c r="AI83" s="20" t="str">
        <f>DATA!AP74</f>
        <v>belum ada proses tender/lelang</v>
      </c>
      <c r="AJ83" s="20" t="str">
        <f>DATA!AY74</f>
        <v>Konfirmasi melalui surat Sekjen nomor KU.01.12-Sj/636 tgl 23 Oktober 2015</v>
      </c>
      <c r="AK83" s="20" t="e">
        <f>DATA!#REF!</f>
        <v>#REF!</v>
      </c>
      <c r="AL83" s="20">
        <f>DATA!AZ74</f>
        <v>0</v>
      </c>
      <c r="AM83" s="37"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row>
    <row r="84" spans="1:39" ht="57.75" hidden="1" customHeight="1">
      <c r="A84" s="10">
        <f>DATA!A75</f>
        <v>57</v>
      </c>
      <c r="B84" s="10">
        <f>DATA!B75</f>
        <v>0</v>
      </c>
      <c r="C84" s="10" t="str">
        <f>DATA!D75</f>
        <v>INFRASTRUKTUR</v>
      </c>
      <c r="D84" s="10">
        <f>DATA!E75</f>
        <v>1</v>
      </c>
      <c r="E84" s="10" t="str">
        <f>DATA!F75</f>
        <v>Kementerian Pekerjaan Umum dan Perumahan Rakyat</v>
      </c>
      <c r="F84" s="10" t="str">
        <f>DATA!H75</f>
        <v xml:space="preserve">Development and Management of Irrigation Program </v>
      </c>
      <c r="G84" s="10" t="str">
        <f>DATA!I75</f>
        <v>I</v>
      </c>
      <c r="H84" s="10" t="str">
        <f>DATA!J75</f>
        <v>Program Pengembangan dan Pengelolaan Irigasi</v>
      </c>
      <c r="I84" s="10">
        <f>DATA!K75</f>
        <v>5</v>
      </c>
      <c r="J84" s="33"/>
      <c r="K84" s="34"/>
      <c r="L84" s="34"/>
      <c r="M84" s="36">
        <f>DATA!K75</f>
        <v>5</v>
      </c>
      <c r="N84" s="37" t="str">
        <f>DATA!L75</f>
        <v>Irrigation Development in North Sumatera</v>
      </c>
      <c r="O84" s="20">
        <f>DATA!Q75</f>
        <v>1</v>
      </c>
      <c r="P84" s="20">
        <f>DATA!R75</f>
        <v>1</v>
      </c>
      <c r="Q84" s="20">
        <f>DATA!S75</f>
        <v>48</v>
      </c>
      <c r="R84" s="77">
        <f>DATA!T75</f>
        <v>350000000</v>
      </c>
      <c r="S84" s="77"/>
      <c r="T84" s="77">
        <f>DATA!V75</f>
        <v>35000000</v>
      </c>
      <c r="U84" s="77">
        <f>DATA!W75</f>
        <v>0</v>
      </c>
      <c r="V84" s="77">
        <f>DATA!X75</f>
        <v>385000000</v>
      </c>
      <c r="W84" s="78" t="str">
        <f>DATA!Y75</f>
        <v>ADB</v>
      </c>
      <c r="X84" s="20" t="str">
        <f>DATA!Z75</f>
        <v>Multilateral</v>
      </c>
      <c r="Y84" s="77">
        <f>DATA!AA75</f>
        <v>350000000</v>
      </c>
      <c r="Z84" s="77">
        <f>DATA!AG75</f>
        <v>0</v>
      </c>
      <c r="AA84" s="20" t="str">
        <f>DATA!AH75</f>
        <v>Tanpa keterangan</v>
      </c>
      <c r="AB84" s="37" t="str">
        <f>DATA!AI75</f>
        <v>-</v>
      </c>
      <c r="AC84" s="37" t="str">
        <f>DATA!AJ75</f>
        <v>FS, DED, LARAP</v>
      </c>
      <c r="AD84" s="37" t="str">
        <f>DATA!AK75</f>
        <v>-</v>
      </c>
      <c r="AE84" s="37" t="str">
        <f>DATA!AL75</f>
        <v>-</v>
      </c>
      <c r="AF84" s="20" t="str">
        <f>DATA!AR75</f>
        <v>belum ada dokumen R/C</v>
      </c>
      <c r="AG84" s="20" t="str">
        <f>DATA!AN75</f>
        <v>dalam proses
(memiliki FS dan DED)</v>
      </c>
      <c r="AH84" s="20" t="str">
        <f>DATA!AO75</f>
        <v>belum ada keterangan</v>
      </c>
      <c r="AI84" s="20" t="str">
        <f>DATA!AP75</f>
        <v>belum ada proses tender/lelang</v>
      </c>
      <c r="AJ84" s="20" t="str">
        <f>DATA!AY75</f>
        <v>- dengan skema RBL
- Konfirmasi melalui surat Sekjen nomor KU.01.12-Sj/636 tgl 23 Oktober 2015</v>
      </c>
      <c r="AK84" s="20" t="e">
        <f>DATA!#REF!</f>
        <v>#REF!</v>
      </c>
      <c r="AL84" s="20" t="str">
        <f>DATA!AZ75</f>
        <v>JICA&amp;IDB diindikasikan akan mendanai kegiatan ini namun belum ada keputusan</v>
      </c>
      <c r="AM84" s="37" t="str">
        <f>DATA!BA75</f>
        <v>Pembahasan lahan dan relokasi, pengadaan, pembangunan bangunan utama, pembangunan jaringan irigasi seluas ±100.000 Ha, pencetakan lahan sawah, dan penyusunan O&amp;P</v>
      </c>
    </row>
    <row r="85" spans="1:39" ht="51" hidden="1">
      <c r="A85" s="10">
        <f>DATA!A76</f>
        <v>58</v>
      </c>
      <c r="B85" s="10">
        <f>DATA!B76</f>
        <v>0</v>
      </c>
      <c r="C85" s="10" t="str">
        <f>DATA!D76</f>
        <v>INFRASTRUKTUR</v>
      </c>
      <c r="D85" s="10">
        <f>DATA!E76</f>
        <v>1</v>
      </c>
      <c r="E85" s="10" t="str">
        <f>DATA!F76</f>
        <v>Kementerian Pekerjaan Umum dan Perumahan Rakyat</v>
      </c>
      <c r="F85" s="10" t="str">
        <f>DATA!H76</f>
        <v xml:space="preserve">Development and Management of Irrigation Program </v>
      </c>
      <c r="G85" s="10" t="str">
        <f>DATA!I76</f>
        <v>I</v>
      </c>
      <c r="H85" s="10" t="str">
        <f>DATA!J76</f>
        <v>Program Pengembangan dan Pengelolaan Irigasi</v>
      </c>
      <c r="I85" s="10">
        <f>DATA!K76</f>
        <v>6</v>
      </c>
      <c r="J85" s="33"/>
      <c r="K85" s="34"/>
      <c r="L85" s="34"/>
      <c r="M85" s="36">
        <f>DATA!K76</f>
        <v>6</v>
      </c>
      <c r="N85" s="37" t="str">
        <f>DATA!L76</f>
        <v>Integrated Participatory Development and Management of Lhok Guci and Peureulak Irrigation Project</v>
      </c>
      <c r="O85" s="20">
        <f>DATA!Q76</f>
        <v>1</v>
      </c>
      <c r="P85" s="20">
        <f>DATA!R76</f>
        <v>1</v>
      </c>
      <c r="Q85" s="20">
        <f>DATA!S76</f>
        <v>49</v>
      </c>
      <c r="R85" s="77">
        <f>DATA!T76</f>
        <v>161298000</v>
      </c>
      <c r="S85" s="77"/>
      <c r="T85" s="77">
        <f>DATA!V76</f>
        <v>24195000</v>
      </c>
      <c r="U85" s="77">
        <f>DATA!W76</f>
        <v>0</v>
      </c>
      <c r="V85" s="77">
        <f>DATA!X76</f>
        <v>185493000</v>
      </c>
      <c r="W85" s="78" t="str">
        <f>DATA!Y76</f>
        <v>ADB</v>
      </c>
      <c r="X85" s="20" t="str">
        <f>DATA!Z76</f>
        <v>Multilateral</v>
      </c>
      <c r="Y85" s="77">
        <f>DATA!AA76</f>
        <v>161298000</v>
      </c>
      <c r="Z85" s="77">
        <f>DATA!AG76</f>
        <v>0</v>
      </c>
      <c r="AA85" s="20" t="str">
        <f>DATA!AH76</f>
        <v>Tanpa keterangan</v>
      </c>
      <c r="AB85" s="37" t="str">
        <f>DATA!AI76</f>
        <v>-</v>
      </c>
      <c r="AC85" s="37" t="str">
        <f>DATA!AJ76</f>
        <v>FS, DED, LARAP</v>
      </c>
      <c r="AD85" s="37" t="str">
        <f>DATA!AK76</f>
        <v>-</v>
      </c>
      <c r="AE85" s="37" t="str">
        <f>DATA!AL76</f>
        <v>-</v>
      </c>
      <c r="AF85" s="20" t="str">
        <f>DATA!AR76</f>
        <v>belum ada dokumen R/C</v>
      </c>
      <c r="AG85" s="20" t="str">
        <f>DATA!AN76</f>
        <v>dalam proses
(memiliki FS dan DED)</v>
      </c>
      <c r="AH85" s="20" t="str">
        <f>DATA!AO76</f>
        <v>belum ada keterangan</v>
      </c>
      <c r="AI85" s="20" t="str">
        <f>DATA!AP76</f>
        <v>belum ada proses tender/lelang</v>
      </c>
      <c r="AJ85" s="20" t="str">
        <f>DATA!AY76</f>
        <v>- dengan skema RBL
- Konfirmasi melalui surat Sekjen nomor KU.01.12-Sj/636 tgl 23 Oktober 2015</v>
      </c>
      <c r="AK85" s="20" t="e">
        <f>DATA!#REF!</f>
        <v>#REF!</v>
      </c>
      <c r="AL85" s="20" t="str">
        <f>DATA!AZ76</f>
        <v>JICA&amp;IDB diindikasikan akan mendanai kegiatan ini namun belum ada keputusan</v>
      </c>
      <c r="AM85" s="37" t="str">
        <f>DATA!BA76</f>
        <v>Mendukung pengembangan terpadu fasilitas irigasi 18.542 Ha (lhok guci)  dan 5.000 Ha (peureulak) dengan SID partisipatif, konstruksi, dan operasi pemeliharaan.</v>
      </c>
    </row>
    <row r="86" spans="1:39" ht="88.5" hidden="1" customHeight="1">
      <c r="A86" s="10">
        <f>DATA!A77</f>
        <v>59</v>
      </c>
      <c r="B86" s="10">
        <f>DATA!B77</f>
        <v>0</v>
      </c>
      <c r="C86" s="10" t="str">
        <f>DATA!D77</f>
        <v>INFRASTRUKTUR</v>
      </c>
      <c r="D86" s="10">
        <f>DATA!E77</f>
        <v>1</v>
      </c>
      <c r="E86" s="10" t="str">
        <f>DATA!F77</f>
        <v>Kementerian Pekerjaan Umum dan Perumahan Rakyat</v>
      </c>
      <c r="F86" s="10" t="str">
        <f>DATA!H77</f>
        <v xml:space="preserve">Development and Management of Irrigation Program </v>
      </c>
      <c r="G86" s="10" t="str">
        <f>DATA!I77</f>
        <v>I</v>
      </c>
      <c r="H86" s="10" t="str">
        <f>DATA!J77</f>
        <v>Program Pengembangan dan Pengelolaan Irigasi</v>
      </c>
      <c r="I86" s="10">
        <f>DATA!K77</f>
        <v>7</v>
      </c>
      <c r="J86" s="33"/>
      <c r="K86" s="34"/>
      <c r="L86" s="34"/>
      <c r="M86" s="36">
        <f>DATA!K77</f>
        <v>7</v>
      </c>
      <c r="N86" s="37" t="str">
        <f>DATA!L77</f>
        <v>Modernization Strategic Irrigation Project (MSIP)</v>
      </c>
      <c r="O86" s="20">
        <f>DATA!Q77</f>
        <v>1</v>
      </c>
      <c r="P86" s="20">
        <f>DATA!R77</f>
        <v>1</v>
      </c>
      <c r="Q86" s="20">
        <f>DATA!S77</f>
        <v>50</v>
      </c>
      <c r="R86" s="77">
        <f>DATA!T77</f>
        <v>278355000</v>
      </c>
      <c r="S86" s="77"/>
      <c r="T86" s="77">
        <f>DATA!V77</f>
        <v>28000000</v>
      </c>
      <c r="U86" s="77">
        <f>DATA!W77</f>
        <v>0</v>
      </c>
      <c r="V86" s="77">
        <f>DATA!X77</f>
        <v>306355000</v>
      </c>
      <c r="W86" s="78" t="str">
        <f>DATA!Y77</f>
        <v>JICA</v>
      </c>
      <c r="X86" s="20" t="str">
        <f>DATA!Z77</f>
        <v>Bilateral</v>
      </c>
      <c r="Y86" s="77">
        <f>DATA!AA77</f>
        <v>278355000</v>
      </c>
      <c r="Z86" s="77">
        <f>DATA!AG77</f>
        <v>0</v>
      </c>
      <c r="AA86" s="20">
        <f>DATA!AH77</f>
        <v>2017</v>
      </c>
      <c r="AB86" s="37" t="str">
        <f>DATA!AI77</f>
        <v>-</v>
      </c>
      <c r="AC86" s="37" t="str">
        <f>DATA!AJ77</f>
        <v>-</v>
      </c>
      <c r="AD86" s="37" t="str">
        <f>DATA!AK77</f>
        <v>-</v>
      </c>
      <c r="AE86" s="37" t="str">
        <f>DATA!AL77</f>
        <v>-</v>
      </c>
      <c r="AF86" s="20" t="str">
        <f>DATA!AR77</f>
        <v>belum ada dokumen R/C</v>
      </c>
      <c r="AG86" s="20" t="str">
        <f>DATA!AN77</f>
        <v>belum ada keterangan</v>
      </c>
      <c r="AH86" s="20" t="str">
        <f>DATA!AO77</f>
        <v>belum ada keterangan</v>
      </c>
      <c r="AI86" s="20" t="str">
        <f>DATA!AP77</f>
        <v>belum ada proses tender/lelang</v>
      </c>
      <c r="AJ86" s="20" t="str">
        <f>DATA!AY77</f>
        <v>Konfirmasi melalui surat Sekjen nomor KU.01.12-Sj/636 tgl 23 Oktober 2015</v>
      </c>
      <c r="AK86" s="20" t="e">
        <f>DATA!#REF!</f>
        <v>#REF!</v>
      </c>
      <c r="AL86" s="20">
        <f>DATA!AZ77</f>
        <v>0</v>
      </c>
      <c r="AM86" s="37"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row>
    <row r="87" spans="1:39" ht="102" hidden="1">
      <c r="A87" s="10">
        <f>DATA!A78</f>
        <v>60</v>
      </c>
      <c r="B87" s="10">
        <f>DATA!B78</f>
        <v>0</v>
      </c>
      <c r="C87" s="10" t="str">
        <f>DATA!D78</f>
        <v>INFRASTRUKTUR</v>
      </c>
      <c r="D87" s="10">
        <f>DATA!E78</f>
        <v>1</v>
      </c>
      <c r="E87" s="10" t="str">
        <f>DATA!F78</f>
        <v>Kementerian Pekerjaan Umum dan Perumahan Rakyat</v>
      </c>
      <c r="F87" s="10" t="str">
        <f>DATA!H78</f>
        <v xml:space="preserve">Development and Management of Irrigation Program </v>
      </c>
      <c r="G87" s="10" t="str">
        <f>DATA!I78</f>
        <v>I</v>
      </c>
      <c r="H87" s="10" t="str">
        <f>DATA!J78</f>
        <v>Program Pengembangan dan Pengelolaan Irigasi</v>
      </c>
      <c r="I87" s="10">
        <f>DATA!K78</f>
        <v>8</v>
      </c>
      <c r="J87" s="33"/>
      <c r="K87" s="34"/>
      <c r="L87" s="34"/>
      <c r="M87" s="36">
        <f>DATA!K78</f>
        <v>8</v>
      </c>
      <c r="N87" s="37" t="str">
        <f>DATA!L78</f>
        <v>Urgent Rehabilitation of  Irrigation Project in Indonesia (URIP)</v>
      </c>
      <c r="O87" s="20">
        <f>DATA!Q78</f>
        <v>1</v>
      </c>
      <c r="P87" s="20">
        <f>DATA!R78</f>
        <v>1</v>
      </c>
      <c r="Q87" s="20">
        <f>DATA!S78</f>
        <v>51</v>
      </c>
      <c r="R87" s="77">
        <f>DATA!T78</f>
        <v>272100000</v>
      </c>
      <c r="S87" s="77"/>
      <c r="T87" s="77">
        <f>DATA!V78</f>
        <v>40815000</v>
      </c>
      <c r="U87" s="77">
        <f>DATA!W78</f>
        <v>0</v>
      </c>
      <c r="V87" s="77">
        <f>DATA!X78</f>
        <v>312915000</v>
      </c>
      <c r="W87" s="78" t="str">
        <f>DATA!Y78</f>
        <v>Bank Dunia</v>
      </c>
      <c r="X87" s="20" t="str">
        <f>DATA!Z78</f>
        <v>Multilateral</v>
      </c>
      <c r="Y87" s="77">
        <f>DATA!AA78</f>
        <v>272100000</v>
      </c>
      <c r="Z87" s="77">
        <f>DATA!AG78</f>
        <v>0</v>
      </c>
      <c r="AA87" s="20" t="str">
        <f>DATA!AH78</f>
        <v>Tanpa keterangan</v>
      </c>
      <c r="AB87" s="37" t="str">
        <f>DATA!AI78</f>
        <v>-</v>
      </c>
      <c r="AC87" s="37" t="str">
        <f>DATA!AJ78</f>
        <v>-</v>
      </c>
      <c r="AD87" s="37" t="str">
        <f>DATA!AK78</f>
        <v>-</v>
      </c>
      <c r="AE87" s="37" t="str">
        <f>DATA!AL78</f>
        <v>-</v>
      </c>
      <c r="AF87" s="20" t="str">
        <f>DATA!AR78</f>
        <v>belum ada dokumen R/C</v>
      </c>
      <c r="AG87" s="20" t="str">
        <f>DATA!AN78</f>
        <v>belum ada keterangan</v>
      </c>
      <c r="AH87" s="20" t="str">
        <f>DATA!AO78</f>
        <v>belum ada keterangan</v>
      </c>
      <c r="AI87" s="20" t="str">
        <f>DATA!AP78</f>
        <v>belum ada proses tender/lelang</v>
      </c>
      <c r="AJ87" s="20" t="str">
        <f>DATA!AY78</f>
        <v>Konfirmasi melalui surat Sekjen nomor KU.01.12-Sj/636 tgl 23 Oktober 2015</v>
      </c>
      <c r="AK87" s="20" t="e">
        <f>DATA!#REF!</f>
        <v>#REF!</v>
      </c>
      <c r="AL87" s="20" t="str">
        <f>DATA!AZ78</f>
        <v xml:space="preserve">Belum ada pembicaraan dgn Bank Dunia </v>
      </c>
      <c r="AM87" s="37"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row>
    <row r="88" spans="1:39" ht="69" hidden="1" customHeight="1">
      <c r="A88" s="10">
        <f>DATA!A79</f>
        <v>61</v>
      </c>
      <c r="B88" s="10">
        <f>DATA!B79</f>
        <v>0</v>
      </c>
      <c r="C88" s="10" t="str">
        <f>DATA!D79</f>
        <v>INFRASTRUKTUR</v>
      </c>
      <c r="D88" s="10">
        <f>DATA!E79</f>
        <v>1</v>
      </c>
      <c r="E88" s="10" t="str">
        <f>DATA!F79</f>
        <v>Kementerian Pekerjaan Umum dan Perumahan Rakyat</v>
      </c>
      <c r="F88" s="10" t="str">
        <f>DATA!H79</f>
        <v xml:space="preserve">Development and Management of Irrigation Program </v>
      </c>
      <c r="G88" s="10" t="str">
        <f>DATA!I79</f>
        <v>I</v>
      </c>
      <c r="H88" s="10" t="str">
        <f>DATA!J79</f>
        <v>Program Pengembangan dan Pengelolaan Irigasi</v>
      </c>
      <c r="I88" s="10">
        <f>DATA!K79</f>
        <v>9</v>
      </c>
      <c r="J88" s="33"/>
      <c r="K88" s="34"/>
      <c r="L88" s="34"/>
      <c r="M88" s="36">
        <f>DATA!K79</f>
        <v>9</v>
      </c>
      <c r="N88" s="37" t="str">
        <f>DATA!L79</f>
        <v>Revitalization Groundwater Irrigation in Indonesia</v>
      </c>
      <c r="O88" s="20">
        <f>DATA!Q79</f>
        <v>1</v>
      </c>
      <c r="P88" s="20">
        <f>DATA!R79</f>
        <v>1</v>
      </c>
      <c r="Q88" s="20">
        <f>DATA!S79</f>
        <v>52</v>
      </c>
      <c r="R88" s="77">
        <f>DATA!T79</f>
        <v>100000000</v>
      </c>
      <c r="S88" s="77"/>
      <c r="T88" s="77">
        <f>DATA!V79</f>
        <v>10000000</v>
      </c>
      <c r="U88" s="77">
        <f>DATA!W79</f>
        <v>0</v>
      </c>
      <c r="V88" s="77">
        <f>DATA!X79</f>
        <v>110000000</v>
      </c>
      <c r="W88" s="78" t="str">
        <f>DATA!Y79</f>
        <v>JICA</v>
      </c>
      <c r="X88" s="20" t="str">
        <f>DATA!Z79</f>
        <v>Bilateral</v>
      </c>
      <c r="Y88" s="77">
        <f>DATA!AA79</f>
        <v>100000000</v>
      </c>
      <c r="Z88" s="77">
        <f>DATA!AG79</f>
        <v>0</v>
      </c>
      <c r="AA88" s="20">
        <f>DATA!AH79</f>
        <v>2017</v>
      </c>
      <c r="AB88" s="37" t="str">
        <f>DATA!AI79</f>
        <v>-</v>
      </c>
      <c r="AC88" s="37" t="str">
        <f>DATA!AJ79</f>
        <v>-</v>
      </c>
      <c r="AD88" s="37" t="str">
        <f>DATA!AK79</f>
        <v>-</v>
      </c>
      <c r="AE88" s="37" t="str">
        <f>DATA!AL79</f>
        <v>-</v>
      </c>
      <c r="AF88" s="20" t="str">
        <f>DATA!AR79</f>
        <v>belum ada dokumen R/C</v>
      </c>
      <c r="AG88" s="20" t="str">
        <f>DATA!AN79</f>
        <v>belum ada keterangan</v>
      </c>
      <c r="AH88" s="20" t="str">
        <f>DATA!AO79</f>
        <v>belum ada keterangan</v>
      </c>
      <c r="AI88" s="20" t="str">
        <f>DATA!AP79</f>
        <v>belum ada proses tender/lelang</v>
      </c>
      <c r="AJ88" s="20" t="str">
        <f>DATA!AY79</f>
        <v>Konfirmasi melalui surat Sekjen nomor KU.01.12-Sj/636 tgl 23 Oktober 2015</v>
      </c>
      <c r="AK88" s="20" t="e">
        <f>DATA!#REF!</f>
        <v>#REF!</v>
      </c>
      <c r="AL88" s="20">
        <f>DATA!AZ79</f>
        <v>0</v>
      </c>
      <c r="AM88" s="37" t="str">
        <f>DATA!BA79</f>
        <v>Kegiatan review desain dan kegiatan konstruksi  meliputi: rehabilitasi 772 sumur, perbaikan pipa distribusi air tanah 1.618 km, perbaikan bangunan rumah pompa, penggantian mesin pompa dan atau penggerak</v>
      </c>
    </row>
    <row r="89" spans="1:39" ht="96" hidden="1" customHeight="1">
      <c r="A89" s="10">
        <f>DATA!A80</f>
        <v>62</v>
      </c>
      <c r="B89" s="10">
        <f>DATA!B80</f>
        <v>0</v>
      </c>
      <c r="C89" s="10" t="str">
        <f>DATA!D80</f>
        <v>INFRASTRUKTUR</v>
      </c>
      <c r="D89" s="10">
        <f>DATA!E80</f>
        <v>1</v>
      </c>
      <c r="E89" s="10" t="str">
        <f>DATA!F80</f>
        <v>Kementerian Pekerjaan Umum dan Perumahan Rakyat</v>
      </c>
      <c r="F89" s="10" t="str">
        <f>DATA!H80</f>
        <v xml:space="preserve">Development and Management of Irrigation Program </v>
      </c>
      <c r="G89" s="10" t="str">
        <f>DATA!I80</f>
        <v>I</v>
      </c>
      <c r="H89" s="10" t="str">
        <f>DATA!J80</f>
        <v>Program Pengembangan dan Pengelolaan Irigasi</v>
      </c>
      <c r="I89" s="10">
        <f>DATA!K80</f>
        <v>10</v>
      </c>
      <c r="J89" s="33"/>
      <c r="K89" s="34"/>
      <c r="L89" s="54"/>
      <c r="M89" s="36">
        <f>DATA!K80</f>
        <v>10</v>
      </c>
      <c r="N89" s="37" t="str">
        <f>DATA!L80</f>
        <v>Engineering Service for Irrigation and Low Land Development Project</v>
      </c>
      <c r="O89" s="20">
        <f>DATA!Q80</f>
        <v>1</v>
      </c>
      <c r="P89" s="20">
        <f>DATA!R80</f>
        <v>1</v>
      </c>
      <c r="Q89" s="20">
        <f>DATA!S80</f>
        <v>53</v>
      </c>
      <c r="R89" s="77">
        <f>DATA!T80</f>
        <v>100000000</v>
      </c>
      <c r="S89" s="77"/>
      <c r="T89" s="77">
        <f>DATA!V80</f>
        <v>0</v>
      </c>
      <c r="U89" s="77">
        <f>DATA!W80</f>
        <v>0</v>
      </c>
      <c r="V89" s="77">
        <f>DATA!X80</f>
        <v>100000000</v>
      </c>
      <c r="W89" s="78" t="str">
        <f>DATA!Y80</f>
        <v>ADB</v>
      </c>
      <c r="X89" s="20" t="str">
        <f>DATA!Z80</f>
        <v>Multilateral</v>
      </c>
      <c r="Y89" s="77">
        <f>DATA!AA80</f>
        <v>100000000</v>
      </c>
      <c r="Z89" s="77">
        <f>DATA!AG80</f>
        <v>0</v>
      </c>
      <c r="AA89" s="20">
        <f>DATA!AH80</f>
        <v>2016</v>
      </c>
      <c r="AB89" s="37" t="str">
        <f>DATA!AI80</f>
        <v>- Sudah ada RC- Green Book 2015</v>
      </c>
      <c r="AC89" s="37" t="str">
        <f>DATA!AJ80</f>
        <v>FS, DED</v>
      </c>
      <c r="AD89" s="37" t="str">
        <f>DATA!AK80</f>
        <v>Tidak membutuhkan lahan</v>
      </c>
      <c r="AE89" s="37" t="str">
        <f>DATA!AL80</f>
        <v>Belum ada tender/lelang</v>
      </c>
      <c r="AF89" s="20" t="str">
        <f>DATA!AR80</f>
        <v>- sudah GB 2016  
- Nilai pinjaman di GB 38.100 ribu</v>
      </c>
      <c r="AG89" s="20" t="str">
        <f>DATA!AN80</f>
        <v>siap</v>
      </c>
      <c r="AH89" s="20" t="str">
        <f>DATA!AO80</f>
        <v>tidak butuh lahan</v>
      </c>
      <c r="AI89" s="20" t="str">
        <f>DATA!AP80</f>
        <v>belum ada proses tender/lelang</v>
      </c>
      <c r="AJ89"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K89" s="20" t="e">
        <f>DATA!#REF!</f>
        <v>#REF!</v>
      </c>
      <c r="AL89" s="20">
        <f>DATA!AZ80</f>
        <v>0</v>
      </c>
      <c r="AM89" s="37"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row>
    <row r="90" spans="1:39" s="5" customFormat="1" ht="33.75" hidden="1" customHeight="1">
      <c r="J90" s="28"/>
      <c r="K90" s="50"/>
      <c r="L90" s="30" t="str">
        <f>DATA!I81</f>
        <v>J</v>
      </c>
      <c r="M90" s="31" t="str">
        <f>DATA!J81</f>
        <v xml:space="preserve">Program Penyediaan dan Pengelolaan Air Baku </v>
      </c>
      <c r="N90" s="51"/>
      <c r="O90" s="31"/>
      <c r="P90" s="31"/>
      <c r="Q90" s="31"/>
      <c r="R90" s="81">
        <f>SUM(R91:R93)</f>
        <v>623862000</v>
      </c>
      <c r="S90" s="81"/>
      <c r="T90" s="81">
        <f t="shared" ref="T90:Z90" si="4">SUM(T91:T93)</f>
        <v>201074000</v>
      </c>
      <c r="U90" s="81">
        <f t="shared" si="4"/>
        <v>0</v>
      </c>
      <c r="V90" s="81">
        <f t="shared" si="4"/>
        <v>824936000</v>
      </c>
      <c r="W90" s="81"/>
      <c r="X90" s="81">
        <f t="shared" si="4"/>
        <v>0</v>
      </c>
      <c r="Y90" s="81">
        <f t="shared" si="4"/>
        <v>623862000</v>
      </c>
      <c r="Z90" s="81">
        <f t="shared" si="4"/>
        <v>0</v>
      </c>
      <c r="AA90" s="31"/>
      <c r="AB90" s="32"/>
      <c r="AC90" s="32"/>
      <c r="AD90" s="32"/>
      <c r="AE90" s="32"/>
      <c r="AF90" s="31"/>
      <c r="AG90" s="31"/>
      <c r="AH90" s="31"/>
      <c r="AI90" s="31"/>
      <c r="AJ90" s="31"/>
      <c r="AK90" s="31"/>
      <c r="AL90" s="31"/>
      <c r="AM90" s="32"/>
    </row>
    <row r="91" spans="1:39" ht="58.5" hidden="1" customHeight="1">
      <c r="A91" s="10">
        <f>DATA!A81</f>
        <v>63</v>
      </c>
      <c r="B91" s="10">
        <f>DATA!B81</f>
        <v>0</v>
      </c>
      <c r="C91" s="10" t="str">
        <f>DATA!D81</f>
        <v>INFRASTRUKTUR</v>
      </c>
      <c r="D91" s="10">
        <f>DATA!E81</f>
        <v>1</v>
      </c>
      <c r="E91" s="10" t="str">
        <f>DATA!F81</f>
        <v>Kementerian Pekerjaan Umum dan Perumahan Rakyat</v>
      </c>
      <c r="F91" s="10" t="str">
        <f>DATA!H81</f>
        <v>Provision and Management of Bulk Water Supply Program</v>
      </c>
      <c r="G91" s="10" t="str">
        <f>DATA!I81</f>
        <v>J</v>
      </c>
      <c r="H91" s="10" t="str">
        <f>DATA!J81</f>
        <v xml:space="preserve">Program Penyediaan dan Pengelolaan Air Baku </v>
      </c>
      <c r="I91" s="10">
        <f>DATA!K81</f>
        <v>1</v>
      </c>
      <c r="J91" s="33"/>
      <c r="K91" s="34"/>
      <c r="L91" s="35"/>
      <c r="M91" s="36">
        <f>DATA!K81</f>
        <v>1</v>
      </c>
      <c r="N91" s="37" t="str">
        <f>DATA!L81</f>
        <v>Integrated Citarum Water Resources Management Investment Program II</v>
      </c>
      <c r="O91" s="20">
        <f>DATA!Q81</f>
        <v>1</v>
      </c>
      <c r="P91" s="20">
        <f>DATA!R81</f>
        <v>1</v>
      </c>
      <c r="Q91" s="20">
        <f>DATA!S81</f>
        <v>54</v>
      </c>
      <c r="R91" s="77">
        <f>DATA!T81</f>
        <v>200000000</v>
      </c>
      <c r="S91" s="77"/>
      <c r="T91" s="77">
        <f>DATA!V81</f>
        <v>20000000</v>
      </c>
      <c r="U91" s="77">
        <f>DATA!W81</f>
        <v>0</v>
      </c>
      <c r="V91" s="77">
        <f>DATA!X81</f>
        <v>220000000</v>
      </c>
      <c r="W91" s="78" t="str">
        <f>DATA!Y81</f>
        <v>ADB</v>
      </c>
      <c r="X91" s="20" t="str">
        <f>DATA!Z81</f>
        <v>Multilateral</v>
      </c>
      <c r="Y91" s="77">
        <f>DATA!AA81</f>
        <v>200000000</v>
      </c>
      <c r="Z91" s="77">
        <f>DATA!AG81</f>
        <v>0</v>
      </c>
      <c r="AA91" s="20" t="str">
        <f>DATA!AH81</f>
        <v>Tanpa keterangan</v>
      </c>
      <c r="AB91" s="37" t="str">
        <f>DATA!AI81</f>
        <v>-</v>
      </c>
      <c r="AC91" s="37" t="str">
        <f>DATA!AJ81</f>
        <v>FS, DED</v>
      </c>
      <c r="AD91" s="37" t="str">
        <f>DATA!AK81</f>
        <v>Penyusunan dokumen LARAP</v>
      </c>
      <c r="AE91" s="37" t="str">
        <f>DATA!AL81</f>
        <v>-</v>
      </c>
      <c r="AF91" s="20" t="str">
        <f>DATA!AR81</f>
        <v>belum ada dokumen R/C</v>
      </c>
      <c r="AG91" s="20" t="str">
        <f>DATA!AN81</f>
        <v>dalam proses
(memiliki FS dan DED)</v>
      </c>
      <c r="AH91" s="20" t="str">
        <f>DATA!AO81</f>
        <v>dalam proses
(perencanaan)</v>
      </c>
      <c r="AI91" s="20" t="str">
        <f>DATA!AP81</f>
        <v>belum ada proses tender/lelang</v>
      </c>
      <c r="AJ91" s="20" t="str">
        <f>DATA!AY81</f>
        <v>Konfirmasi melalui surat Sekjen nomor KU.01.12-Sj/636 tgl 23 Oktober 2015</v>
      </c>
      <c r="AK91" s="20" t="e">
        <f>DATA!#REF!</f>
        <v>#REF!</v>
      </c>
      <c r="AL91" s="20" t="str">
        <f>DATA!AZ81</f>
        <v>ada penolakan dari ADB untuk membiayai kegiatan ini (info P'Dewo)</v>
      </c>
      <c r="AM91" s="37" t="str">
        <f>DATA!BA81</f>
        <v>Pengembangan air baku di sungai citarum dan sekeliling bandung untuk memenuhi kebutuhan air baku lebih kurang 1,5 m3/det di Bandung serta menghindari erosi sungai Citarum</v>
      </c>
    </row>
    <row r="92" spans="1:39" ht="46.5" hidden="1" customHeight="1">
      <c r="A92" s="10">
        <f>DATA!A82</f>
        <v>64</v>
      </c>
      <c r="B92" s="10">
        <f>DATA!B82</f>
        <v>0</v>
      </c>
      <c r="C92" s="10" t="str">
        <f>DATA!D82</f>
        <v>INFRASTRUKTUR</v>
      </c>
      <c r="D92" s="10">
        <f>DATA!E82</f>
        <v>1</v>
      </c>
      <c r="E92" s="10" t="str">
        <f>DATA!F82</f>
        <v>Kementerian Pekerjaan Umum dan Perumahan Rakyat</v>
      </c>
      <c r="F92" s="10" t="str">
        <f>DATA!H82</f>
        <v>Provision and Management of Bulk Water Supply Program</v>
      </c>
      <c r="G92" s="10" t="str">
        <f>DATA!I82</f>
        <v>I</v>
      </c>
      <c r="H92" s="10" t="str">
        <f>DATA!J82</f>
        <v xml:space="preserve">Program Penyediaan dan Pengelolaan Air Baku </v>
      </c>
      <c r="I92" s="10">
        <f>DATA!K82</f>
        <v>2</v>
      </c>
      <c r="J92" s="33"/>
      <c r="K92" s="34"/>
      <c r="L92" s="34"/>
      <c r="M92" s="36">
        <f>DATA!K82</f>
        <v>2</v>
      </c>
      <c r="N92" s="37" t="str">
        <f>DATA!L82</f>
        <v>Karian Dam-Serpong Water Conveyance and Supply System Project</v>
      </c>
      <c r="O92" s="20">
        <f>DATA!Q82</f>
        <v>1</v>
      </c>
      <c r="P92" s="20">
        <f>DATA!R82</f>
        <v>1</v>
      </c>
      <c r="Q92" s="20">
        <f>DATA!S82</f>
        <v>55</v>
      </c>
      <c r="R92" s="77">
        <f>DATA!T82</f>
        <v>373862000</v>
      </c>
      <c r="S92" s="77"/>
      <c r="T92" s="77">
        <f>DATA!V82</f>
        <v>181074000</v>
      </c>
      <c r="U92" s="77">
        <f>DATA!W82</f>
        <v>0</v>
      </c>
      <c r="V92" s="77">
        <f>DATA!X82</f>
        <v>554936000</v>
      </c>
      <c r="W92" s="78" t="str">
        <f>DATA!Y82</f>
        <v>Korea</v>
      </c>
      <c r="X92" s="20" t="str">
        <f>DATA!Z82</f>
        <v>Bilateral</v>
      </c>
      <c r="Y92" s="77">
        <f>DATA!AA82</f>
        <v>373862000</v>
      </c>
      <c r="Z92" s="77">
        <f>DATA!AG82</f>
        <v>0</v>
      </c>
      <c r="AA92" s="20" t="str">
        <f>DATA!AH82</f>
        <v>Tanpa keterangan</v>
      </c>
      <c r="AB92" s="37" t="str">
        <f>DATA!AI82</f>
        <v>-</v>
      </c>
      <c r="AC92" s="37" t="str">
        <f>DATA!AJ82</f>
        <v>FS</v>
      </c>
      <c r="AD92" s="37" t="str">
        <f>DATA!AK82</f>
        <v>Persiapan penyusunan dokumen LARAP</v>
      </c>
      <c r="AE92" s="37" t="str">
        <f>DATA!AL82</f>
        <v>-</v>
      </c>
      <c r="AF92" s="20" t="str">
        <f>DATA!AR82</f>
        <v>belum ada dokumen R/C</v>
      </c>
      <c r="AG92" s="20" t="str">
        <f>DATA!AN82</f>
        <v>dalam proses
(memiliki FS)</v>
      </c>
      <c r="AH92" s="20" t="str">
        <f>DATA!AO82</f>
        <v>dalam proses
(perencanaan)</v>
      </c>
      <c r="AI92" s="20" t="str">
        <f>DATA!AP82</f>
        <v>belum ada proses tender/lelang</v>
      </c>
      <c r="AJ92" s="20" t="str">
        <f>DATA!AY82</f>
        <v>Konfirmasi melalui surat Sekjen nomor KU.01.12-Sj/636 tgl 23 Oktober 2015</v>
      </c>
      <c r="AK92" s="20" t="e">
        <f>DATA!#REF!</f>
        <v>#REF!</v>
      </c>
      <c r="AL92" s="20">
        <f>DATA!AZ82</f>
        <v>0</v>
      </c>
      <c r="AM92" s="37" t="str">
        <f>DATA!BA82</f>
        <v>Pembangunan sistem air baku sepanjang 47,9 km dari Bendungan Karian ke Serpong untuk meningkatkan pasokan air di Banten dan Jakarta</v>
      </c>
    </row>
    <row r="93" spans="1:39" ht="57.75" hidden="1" customHeight="1">
      <c r="A93" s="10">
        <f>DATA!A83</f>
        <v>65</v>
      </c>
      <c r="B93" s="10">
        <f>DATA!B83</f>
        <v>0</v>
      </c>
      <c r="C93" s="10" t="str">
        <f>DATA!D83</f>
        <v>INFRASTRUKTUR</v>
      </c>
      <c r="D93" s="10">
        <f>DATA!E83</f>
        <v>1</v>
      </c>
      <c r="E93" s="10" t="str">
        <f>DATA!F83</f>
        <v>Kementerian Pekerjaan Umum dan Perumahan Rakyat</v>
      </c>
      <c r="F93" s="10" t="str">
        <f>DATA!H83</f>
        <v>Provision and Management of Bulk Water Supply Program</v>
      </c>
      <c r="G93" s="10" t="str">
        <f>DATA!I83</f>
        <v>I</v>
      </c>
      <c r="H93" s="10" t="str">
        <f>DATA!J83</f>
        <v xml:space="preserve">Program Penyediaan dan Pengelolaan Air Baku </v>
      </c>
      <c r="I93" s="10">
        <f>DATA!K83</f>
        <v>3</v>
      </c>
      <c r="J93" s="33"/>
      <c r="K93" s="34"/>
      <c r="L93" s="54"/>
      <c r="M93" s="36">
        <f>DATA!K83</f>
        <v>3</v>
      </c>
      <c r="N93" s="37" t="str">
        <f>DATA!L83</f>
        <v>Engineering Service for Bulk Water and Water Supply Development Project</v>
      </c>
      <c r="O93" s="20">
        <f>DATA!Q83</f>
        <v>1</v>
      </c>
      <c r="P93" s="20">
        <f>DATA!R83</f>
        <v>1</v>
      </c>
      <c r="Q93" s="20">
        <f>DATA!S83</f>
        <v>56</v>
      </c>
      <c r="R93" s="77">
        <f>DATA!T83</f>
        <v>50000000</v>
      </c>
      <c r="S93" s="77"/>
      <c r="T93" s="77">
        <f>DATA!V83</f>
        <v>0</v>
      </c>
      <c r="U93" s="77">
        <f>DATA!W83</f>
        <v>0</v>
      </c>
      <c r="V93" s="77">
        <f>DATA!X83</f>
        <v>50000000</v>
      </c>
      <c r="W93" s="78" t="str">
        <f>DATA!Y83</f>
        <v>ADB</v>
      </c>
      <c r="X93" s="20" t="str">
        <f>DATA!Z83</f>
        <v>Multilateral</v>
      </c>
      <c r="Y93" s="77">
        <f>DATA!AA83</f>
        <v>50000000</v>
      </c>
      <c r="Z93" s="77">
        <f>DATA!AG83</f>
        <v>0</v>
      </c>
      <c r="AA93" s="20">
        <f>DATA!AH83</f>
        <v>2016</v>
      </c>
      <c r="AB93" s="37" t="str">
        <f>DATA!AI83</f>
        <v>- Sudah ada RC
- Green Book 2015</v>
      </c>
      <c r="AC93" s="37" t="str">
        <f>DATA!AJ83</f>
        <v>FS, DED</v>
      </c>
      <c r="AD93" s="37" t="str">
        <f>DATA!AK83</f>
        <v>Tidak membutuhkan lahan</v>
      </c>
      <c r="AE93" s="37" t="str">
        <f>DATA!AL83</f>
        <v>Belum ada tender/lelang</v>
      </c>
      <c r="AF93" s="20" t="str">
        <f>DATA!AR83</f>
        <v>- sudah GB 2016  
- Nilai pinjaman di GB USD 2.000 ribu</v>
      </c>
      <c r="AG93" s="20" t="str">
        <f>DATA!AN83</f>
        <v>siap</v>
      </c>
      <c r="AH93" s="20" t="str">
        <f>DATA!AO83</f>
        <v>tidak butuh lahan</v>
      </c>
      <c r="AI93" s="20" t="str">
        <f>DATA!AP83</f>
        <v>belum ada proses tender/lelang</v>
      </c>
      <c r="AJ93"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K93" s="20" t="e">
        <f>DATA!#REF!</f>
        <v>#REF!</v>
      </c>
      <c r="AL93" s="20">
        <f>DATA!AZ83</f>
        <v>0</v>
      </c>
      <c r="AM93" s="37" t="str">
        <f>DATA!BA83</f>
        <v>Membuat perencanaan dan analisis untuk mendukung pembangunan sistem air baku dan menyediakan fasilitas pendukung pengembangan air baku masyarakat</v>
      </c>
    </row>
    <row r="94" spans="1:39" s="5" customFormat="1" ht="33.75" hidden="1" customHeight="1">
      <c r="J94" s="28"/>
      <c r="K94" s="50"/>
      <c r="L94" s="30" t="str">
        <f>DATA!I84</f>
        <v>J</v>
      </c>
      <c r="M94" s="31" t="str">
        <f>DATA!J84</f>
        <v xml:space="preserve">Program Pembangunan Waduk </v>
      </c>
      <c r="N94" s="51"/>
      <c r="O94" s="31"/>
      <c r="P94" s="31"/>
      <c r="Q94" s="31"/>
      <c r="R94" s="81">
        <f>SUM(R95:R108)</f>
        <v>2133750000</v>
      </c>
      <c r="S94" s="81"/>
      <c r="T94" s="81">
        <f t="shared" ref="T94:Y94" si="5">SUM(T95:T108)</f>
        <v>963200000</v>
      </c>
      <c r="U94" s="81">
        <f t="shared" si="5"/>
        <v>0</v>
      </c>
      <c r="V94" s="81">
        <f t="shared" si="5"/>
        <v>3096950000</v>
      </c>
      <c r="W94" s="81"/>
      <c r="X94" s="81">
        <f t="shared" si="5"/>
        <v>0</v>
      </c>
      <c r="Y94" s="81">
        <f t="shared" si="5"/>
        <v>2233750000</v>
      </c>
      <c r="Z94" s="81">
        <f>SUM(Z95:Z104)</f>
        <v>-76391404</v>
      </c>
      <c r="AA94" s="31"/>
      <c r="AB94" s="32"/>
      <c r="AC94" s="32"/>
      <c r="AD94" s="32"/>
      <c r="AE94" s="32"/>
      <c r="AF94" s="31"/>
      <c r="AG94" s="31"/>
      <c r="AH94" s="31"/>
      <c r="AI94" s="31"/>
      <c r="AJ94" s="31"/>
      <c r="AK94" s="31"/>
      <c r="AL94" s="31"/>
      <c r="AM94" s="32"/>
    </row>
    <row r="95" spans="1:39" ht="76.5" hidden="1">
      <c r="A95" s="10">
        <f>DATA!A84</f>
        <v>66</v>
      </c>
      <c r="B95" s="10">
        <f>DATA!B84</f>
        <v>0</v>
      </c>
      <c r="C95" s="10" t="str">
        <f>DATA!D84</f>
        <v>INFRASTRUKTUR</v>
      </c>
      <c r="D95" s="10">
        <f>DATA!E84</f>
        <v>1</v>
      </c>
      <c r="E95" s="10" t="str">
        <f>DATA!F84</f>
        <v>Kementerian Pekerjaan Umum dan Perumahan Rakyat</v>
      </c>
      <c r="F95" s="10" t="str">
        <f>DATA!H84</f>
        <v>Dam Development Program</v>
      </c>
      <c r="G95" s="10" t="str">
        <f>DATA!I84</f>
        <v>J</v>
      </c>
      <c r="H95" s="10" t="str">
        <f>DATA!J84</f>
        <v xml:space="preserve">Program Pembangunan Waduk </v>
      </c>
      <c r="I95" s="10">
        <f>DATA!K84</f>
        <v>1</v>
      </c>
      <c r="J95" s="33"/>
      <c r="K95" s="34"/>
      <c r="L95" s="35"/>
      <c r="M95" s="36">
        <f>DATA!K84</f>
        <v>1</v>
      </c>
      <c r="N95" s="37" t="str">
        <f>DATA!L84</f>
        <v>Jambo Aye Multipurpose Dam Project</v>
      </c>
      <c r="O95" s="20">
        <f>DATA!Q84</f>
        <v>1</v>
      </c>
      <c r="P95" s="20">
        <f>DATA!R84</f>
        <v>1</v>
      </c>
      <c r="Q95" s="20">
        <f>DATA!S84</f>
        <v>57</v>
      </c>
      <c r="R95" s="77">
        <f>DATA!T84</f>
        <v>662200000</v>
      </c>
      <c r="S95" s="77"/>
      <c r="T95" s="77">
        <f>DATA!V84</f>
        <v>460700000</v>
      </c>
      <c r="U95" s="77">
        <f>DATA!W84</f>
        <v>0</v>
      </c>
      <c r="V95" s="77">
        <f>DATA!X84</f>
        <v>1122900000</v>
      </c>
      <c r="W95" s="78" t="str">
        <f>DATA!Y84</f>
        <v>Rupiah Murni</v>
      </c>
      <c r="X95" s="20" t="str">
        <f>DATA!Z84</f>
        <v>Pendanaan Dengan Rupiah Murni</v>
      </c>
      <c r="Y95" s="77">
        <f>DATA!AA84</f>
        <v>662200000</v>
      </c>
      <c r="Z95" s="77">
        <f>DATA!AG84</f>
        <v>0</v>
      </c>
      <c r="AA95" s="20">
        <f>DATA!AH84</f>
        <v>2018</v>
      </c>
      <c r="AB95" s="37" t="str">
        <f>DATA!AI84</f>
        <v>-</v>
      </c>
      <c r="AC95" s="37" t="str">
        <f>DATA!AJ84</f>
        <v xml:space="preserve">AMDAL siap dan penyiapan Review DED </v>
      </c>
      <c r="AD95" s="37" t="str">
        <f>DATA!AK84</f>
        <v>LARAP</v>
      </c>
      <c r="AE95" s="37" t="str">
        <f>DATA!AL84</f>
        <v>-</v>
      </c>
      <c r="AF95" s="20" t="str">
        <f>DATA!AR84</f>
        <v>belum ada dokumen R/C</v>
      </c>
      <c r="AG95" s="20" t="str">
        <f>DATA!AN84</f>
        <v>belum ada keterangan</v>
      </c>
      <c r="AH95" s="20" t="str">
        <f>DATA!AO84</f>
        <v>dalam proses
(perencanaan)</v>
      </c>
      <c r="AI95" s="20" t="str">
        <f>DATA!AP84</f>
        <v>belum ada proses tender/lelang</v>
      </c>
      <c r="AJ95" s="20" t="str">
        <f>DATA!AY84</f>
        <v>- Konfirmasi melalui surat Sekjen nomor KU.01.12-Sj/636 tgl 23 Oktober 2015
- Kegiatan akan dilaksanakan oleh pendanaan rupiah murni APBN</v>
      </c>
      <c r="AK95" s="20" t="e">
        <f>DATA!#REF!</f>
        <v>#REF!</v>
      </c>
      <c r="AL95" s="20">
        <f>DATA!AZ84</f>
        <v>0</v>
      </c>
      <c r="AM95" s="37" t="str">
        <f>DATA!BA84</f>
        <v>Meningkatkan luas areal irigasi sebesar ± 10.000 Ha dengan perbaikan akses jalan, relokasi penduduk, pembebasan lahan, pekerajaan pengelakan sungai jambo aye dan reubek, pembangunan bendungan dan pendukung lainnya, pembangunan fasilitas PLTA 106 MW</v>
      </c>
    </row>
    <row r="96" spans="1:39" ht="84" hidden="1" customHeight="1">
      <c r="A96" s="10">
        <f>DATA!A85</f>
        <v>67</v>
      </c>
      <c r="B96" s="10">
        <f>DATA!B85</f>
        <v>0</v>
      </c>
      <c r="C96" s="10" t="str">
        <f>DATA!D85</f>
        <v>INFRASTRUKTUR</v>
      </c>
      <c r="D96" s="10">
        <f>DATA!E85</f>
        <v>1</v>
      </c>
      <c r="E96" s="10" t="str">
        <f>DATA!F85</f>
        <v>Kementerian Pekerjaan Umum dan Perumahan Rakyat</v>
      </c>
      <c r="F96" s="10" t="str">
        <f>DATA!H85</f>
        <v>Dam Development Program</v>
      </c>
      <c r="G96" s="10" t="str">
        <f>DATA!I85</f>
        <v>J</v>
      </c>
      <c r="H96" s="10" t="str">
        <f>DATA!J85</f>
        <v xml:space="preserve">Program Pembangunan Waduk </v>
      </c>
      <c r="I96" s="10">
        <f>DATA!K85</f>
        <v>2</v>
      </c>
      <c r="J96" s="33"/>
      <c r="K96" s="34"/>
      <c r="L96" s="34"/>
      <c r="M96" s="36">
        <f>DATA!K85</f>
        <v>2</v>
      </c>
      <c r="N96" s="37" t="str">
        <f>DATA!L85</f>
        <v>Komering Multipurpose Dam Project - Phase II</v>
      </c>
      <c r="O96" s="20">
        <f>DATA!Q85</f>
        <v>1</v>
      </c>
      <c r="P96" s="20">
        <f>DATA!R85</f>
        <v>1</v>
      </c>
      <c r="Q96" s="20">
        <f>DATA!S85</f>
        <v>58</v>
      </c>
      <c r="R96" s="77">
        <f>DATA!T85</f>
        <v>200000000</v>
      </c>
      <c r="S96" s="77"/>
      <c r="T96" s="77">
        <f>DATA!V85</f>
        <v>20000000</v>
      </c>
      <c r="U96" s="77">
        <f>DATA!W85</f>
        <v>0</v>
      </c>
      <c r="V96" s="77">
        <f>DATA!X85</f>
        <v>220000000</v>
      </c>
      <c r="W96" s="78" t="str">
        <f>DATA!Y85</f>
        <v>Rupiah Murni</v>
      </c>
      <c r="X96" s="20" t="str">
        <f>DATA!Z85</f>
        <v>Pendanaan Dengan Rupiah Murni</v>
      </c>
      <c r="Y96" s="77">
        <f>DATA!AA85</f>
        <v>200000000</v>
      </c>
      <c r="Z96" s="77">
        <f>DATA!AG85</f>
        <v>0</v>
      </c>
      <c r="AA96" s="20">
        <f>DATA!AH85</f>
        <v>2016</v>
      </c>
      <c r="AB96" s="37" t="str">
        <f>DATA!AI85</f>
        <v>-</v>
      </c>
      <c r="AC96" s="37" t="str">
        <f>DATA!AJ85</f>
        <v>FS, DED, AMDAL</v>
      </c>
      <c r="AD96" s="37" t="str">
        <f>DATA!AK85</f>
        <v>Revisi RTRW Kabupaten, LARAP</v>
      </c>
      <c r="AE96" s="37" t="str">
        <f>DATA!AL85</f>
        <v>-</v>
      </c>
      <c r="AF96" s="20" t="str">
        <f>DATA!AR85</f>
        <v>belum ada dokumen R/C</v>
      </c>
      <c r="AG96" s="20" t="str">
        <f>DATA!AN85</f>
        <v>dalam proses
(penyusunan FS)</v>
      </c>
      <c r="AH96" s="20" t="str">
        <f>DATA!AO85</f>
        <v>dalam proses
(perencanaan)</v>
      </c>
      <c r="AI96" s="20" t="str">
        <f>DATA!AP85</f>
        <v>belum ada proses tender/lelang</v>
      </c>
      <c r="AJ96" s="20" t="str">
        <f>DATA!AY85</f>
        <v>- Konfirmasi melalui surat Sekjen nomor KU.01.12-Sj/636 tgl 23 Oktober 2015
- Kegiatan akan dilaksanakan oleh pendanaan rupiah murni APBN</v>
      </c>
      <c r="AK96" s="20" t="e">
        <f>DATA!#REF!</f>
        <v>#REF!</v>
      </c>
      <c r="AL96" s="20">
        <f>DATA!AZ85</f>
        <v>0</v>
      </c>
      <c r="AM96" s="37" t="str">
        <f>DATA!BA85</f>
        <v>Pembangunan bendungan komering 110 juta cm3, pembangunan fasilitas tenaga hidrolik, komponen lunak untuk memperkuat O&amp;P, Hydropower 20,80 MW, pembangunan sistem irigasi utama dan tersier skema Lempuing untuk 8.500 Ha, dan perbaikan fasilitas irigasi yang ada</v>
      </c>
    </row>
    <row r="97" spans="1:39" ht="102" hidden="1">
      <c r="A97" s="10">
        <f>DATA!A86</f>
        <v>68</v>
      </c>
      <c r="B97" s="10">
        <f>DATA!B86</f>
        <v>0</v>
      </c>
      <c r="C97" s="10" t="str">
        <f>DATA!D86</f>
        <v>INFRASTRUKTUR</v>
      </c>
      <c r="D97" s="10">
        <f>DATA!E86</f>
        <v>1</v>
      </c>
      <c r="E97" s="10" t="str">
        <f>DATA!F86</f>
        <v>Kementerian Pekerjaan Umum dan Perumahan Rakyat</v>
      </c>
      <c r="F97" s="10" t="str">
        <f>DATA!H86</f>
        <v>Dam Development Program</v>
      </c>
      <c r="G97" s="10" t="str">
        <f>DATA!I86</f>
        <v>J</v>
      </c>
      <c r="H97" s="10" t="str">
        <f>DATA!J86</f>
        <v xml:space="preserve">Program Pembangunan Waduk </v>
      </c>
      <c r="I97" s="10">
        <f>DATA!K86</f>
        <v>3</v>
      </c>
      <c r="J97" s="33"/>
      <c r="K97" s="34"/>
      <c r="L97" s="34"/>
      <c r="M97" s="36">
        <f>DATA!K86</f>
        <v>3</v>
      </c>
      <c r="N97" s="37" t="str">
        <f>DATA!L86</f>
        <v>Pelosika Multipurpose Dam Construction Project</v>
      </c>
      <c r="O97" s="20">
        <f>DATA!Q86</f>
        <v>1</v>
      </c>
      <c r="P97" s="20">
        <f>DATA!R86</f>
        <v>1</v>
      </c>
      <c r="Q97" s="20">
        <f>DATA!S86</f>
        <v>59</v>
      </c>
      <c r="R97" s="77">
        <f>DATA!T86</f>
        <v>200000000</v>
      </c>
      <c r="S97" s="77"/>
      <c r="T97" s="77">
        <f>DATA!V86</f>
        <v>170000000</v>
      </c>
      <c r="U97" s="77">
        <f>DATA!W86</f>
        <v>0</v>
      </c>
      <c r="V97" s="77">
        <f>DATA!X86</f>
        <v>370000000</v>
      </c>
      <c r="W97" s="78" t="str">
        <f>DATA!Y86</f>
        <v>Rupiah Murni</v>
      </c>
      <c r="X97" s="20" t="str">
        <f>DATA!Z86</f>
        <v>Pendanaan Dengan Rupiah Murni</v>
      </c>
      <c r="Y97" s="77">
        <f>DATA!AA86</f>
        <v>200000000</v>
      </c>
      <c r="Z97" s="77">
        <f>DATA!AG86</f>
        <v>0</v>
      </c>
      <c r="AA97" s="20">
        <f>DATA!AH86</f>
        <v>2017</v>
      </c>
      <c r="AB97" s="37" t="str">
        <f>DATA!AI86</f>
        <v>-</v>
      </c>
      <c r="AC97" s="37" t="str">
        <f>DATA!AJ86</f>
        <v>AMDAL, geologi detail 2015 dan Penyiapan Review DED</v>
      </c>
      <c r="AD97" s="37" t="str">
        <f>DATA!AK86</f>
        <v>LARAP</v>
      </c>
      <c r="AE97" s="37" t="str">
        <f>DATA!AL86</f>
        <v>-</v>
      </c>
      <c r="AF97" s="20" t="str">
        <f>DATA!AR86</f>
        <v>belum ada dokumen R/C</v>
      </c>
      <c r="AG97" s="20" t="str">
        <f>DATA!AN86</f>
        <v>dalam proses
(penyusunan FS)</v>
      </c>
      <c r="AH97" s="20" t="str">
        <f>DATA!AO86</f>
        <v>dalam proses
(perencanaan)</v>
      </c>
      <c r="AI97" s="20" t="str">
        <f>DATA!AP86</f>
        <v>belum ada proses tender/lelang</v>
      </c>
      <c r="AJ97" s="20" t="str">
        <f>DATA!AY86</f>
        <v>- Konfirmasi melalui surat Sekjen nomor KU.01.12-Sj/636 tgl 23 Oktober 2015
- Kegiatan akan dilaksanakan oleh pendanaan rupiah murni APBN</v>
      </c>
      <c r="AK97" s="20" t="e">
        <f>DATA!#REF!</f>
        <v>#REF!</v>
      </c>
      <c r="AL97" s="20">
        <f>DATA!AZ86</f>
        <v>0</v>
      </c>
      <c r="AM97" s="37"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row>
    <row r="98" spans="1:39" ht="90.75" hidden="1" customHeight="1">
      <c r="A98" s="10">
        <f>DATA!A87</f>
        <v>69</v>
      </c>
      <c r="B98" s="10">
        <f>DATA!B87</f>
        <v>0</v>
      </c>
      <c r="C98" s="10" t="str">
        <f>DATA!D87</f>
        <v>INFRASTRUKTUR</v>
      </c>
      <c r="D98" s="10">
        <f>DATA!E87</f>
        <v>1</v>
      </c>
      <c r="E98" s="10" t="str">
        <f>DATA!F87</f>
        <v>Kementerian Pekerjaan Umum dan Perumahan Rakyat</v>
      </c>
      <c r="F98" s="10" t="str">
        <f>DATA!H87</f>
        <v>Dam Development Program</v>
      </c>
      <c r="G98" s="10" t="str">
        <f>DATA!I87</f>
        <v>J</v>
      </c>
      <c r="H98" s="10" t="str">
        <f>DATA!J87</f>
        <v xml:space="preserve">Program Pembangunan Waduk </v>
      </c>
      <c r="I98" s="10">
        <f>DATA!K87</f>
        <v>4</v>
      </c>
      <c r="J98" s="33"/>
      <c r="K98" s="34"/>
      <c r="L98" s="34"/>
      <c r="M98" s="36">
        <f>DATA!K87</f>
        <v>4</v>
      </c>
      <c r="N98" s="37" t="str">
        <f>DATA!L87</f>
        <v>Lambakan  Dam Project</v>
      </c>
      <c r="O98" s="20">
        <f>DATA!Q87</f>
        <v>1</v>
      </c>
      <c r="P98" s="20">
        <f>DATA!R87</f>
        <v>1</v>
      </c>
      <c r="Q98" s="20">
        <f>DATA!S87</f>
        <v>60</v>
      </c>
      <c r="R98" s="77">
        <f>DATA!T87</f>
        <v>258000000</v>
      </c>
      <c r="S98" s="77"/>
      <c r="T98" s="77">
        <f>DATA!V87</f>
        <v>227000000</v>
      </c>
      <c r="U98" s="77">
        <f>DATA!W87</f>
        <v>0</v>
      </c>
      <c r="V98" s="77">
        <f>DATA!X87</f>
        <v>485000000</v>
      </c>
      <c r="W98" s="78" t="str">
        <f>DATA!Y87</f>
        <v>IDB</v>
      </c>
      <c r="X98" s="20" t="str">
        <f>DATA!Z87</f>
        <v>Multilateral</v>
      </c>
      <c r="Y98" s="77">
        <f>DATA!AA87</f>
        <v>258000000</v>
      </c>
      <c r="Z98" s="77">
        <f>DATA!AG87</f>
        <v>0</v>
      </c>
      <c r="AA98" s="20" t="str">
        <f>DATA!AH87</f>
        <v>Tanpa keterangan</v>
      </c>
      <c r="AB98" s="37" t="str">
        <f>DATA!AI87</f>
        <v>-</v>
      </c>
      <c r="AC98" s="37" t="str">
        <f>DATA!AJ87</f>
        <v>AMDAL (2017), geologi detail 2015 dan Penyiapan Review DED</v>
      </c>
      <c r="AD98" s="37" t="str">
        <f>DATA!AK87</f>
        <v>LARAP (2016)</v>
      </c>
      <c r="AE98" s="37" t="str">
        <f>DATA!AL87</f>
        <v>-</v>
      </c>
      <c r="AF98" s="20" t="str">
        <f>DATA!AR87</f>
        <v>belum ada dokumen R/C</v>
      </c>
      <c r="AG98" s="20" t="str">
        <f>DATA!AN87</f>
        <v>dalam proses
(penyusunan FS)</v>
      </c>
      <c r="AH98" s="20" t="str">
        <f>DATA!AO87</f>
        <v>dalam proses
(perencanaan)</v>
      </c>
      <c r="AI98" s="20" t="str">
        <f>DATA!AP87</f>
        <v>belum ada proses tender/lelang</v>
      </c>
      <c r="AJ98" s="20" t="str">
        <f>DATA!AY87</f>
        <v>Konfirmasi melalui surat Sekjen nomor KU.01.12-Sj/636 tgl 23 Oktober 2015</v>
      </c>
      <c r="AK98" s="20" t="e">
        <f>DATA!#REF!</f>
        <v>#REF!</v>
      </c>
      <c r="AL98" s="20">
        <f>DATA!AZ87</f>
        <v>0</v>
      </c>
      <c r="AM98" s="37" t="str">
        <f>DATA!BA87</f>
        <v>Pembangunan PLTA sebesar 15 MW, pembangunan sistem irigasi untuk mengairi 18.000 Ha, menyediakan air baku 12 m3/det untuk Kabupaten pasir, Kabupaten  Penajam Pasir Utara dan Kota Balikpapan, 4. Pembangunan tanggul penahan banjir di DAS Telake sampai 30%</v>
      </c>
    </row>
    <row r="99" spans="1:39" ht="60.75" hidden="1" customHeight="1">
      <c r="A99" s="10">
        <f>DATA!A88</f>
        <v>70</v>
      </c>
      <c r="B99" s="10">
        <f>DATA!B88</f>
        <v>0</v>
      </c>
      <c r="C99" s="10" t="str">
        <f>DATA!D88</f>
        <v>INFRASTRUKTUR</v>
      </c>
      <c r="D99" s="10">
        <f>DATA!E88</f>
        <v>1</v>
      </c>
      <c r="E99" s="10" t="str">
        <f>DATA!F88</f>
        <v>Kementerian Pekerjaan Umum dan Perumahan Rakyat</v>
      </c>
      <c r="F99" s="10" t="str">
        <f>DATA!H88</f>
        <v>Dam Development Program</v>
      </c>
      <c r="G99" s="10" t="str">
        <f>DATA!I88</f>
        <v>J</v>
      </c>
      <c r="H99" s="10" t="str">
        <f>DATA!J88</f>
        <v xml:space="preserve">Program Pembangunan Waduk </v>
      </c>
      <c r="I99" s="10">
        <f>DATA!K88</f>
        <v>5</v>
      </c>
      <c r="J99" s="33"/>
      <c r="K99" s="34"/>
      <c r="L99" s="34"/>
      <c r="M99" s="36">
        <f>DATA!K88</f>
        <v>5</v>
      </c>
      <c r="N99" s="37" t="str">
        <f>DATA!L88</f>
        <v>Jenelata Dam Construction Project</v>
      </c>
      <c r="O99" s="20">
        <f>DATA!Q88</f>
        <v>1</v>
      </c>
      <c r="P99" s="20">
        <f>DATA!R88</f>
        <v>1</v>
      </c>
      <c r="Q99" s="20">
        <f>DATA!S88</f>
        <v>61</v>
      </c>
      <c r="R99" s="77">
        <f>DATA!T88</f>
        <v>200000000</v>
      </c>
      <c r="S99" s="77"/>
      <c r="T99" s="77">
        <f>DATA!V88</f>
        <v>20000000</v>
      </c>
      <c r="U99" s="77">
        <f>DATA!W88</f>
        <v>0</v>
      </c>
      <c r="V99" s="77">
        <f>DATA!X88</f>
        <v>220000000</v>
      </c>
      <c r="W99" s="78" t="str">
        <f>DATA!Y88</f>
        <v>RRT</v>
      </c>
      <c r="X99" s="20" t="str">
        <f>DATA!Z88</f>
        <v>Bilateral</v>
      </c>
      <c r="Y99" s="77">
        <f>DATA!AA88</f>
        <v>200000000</v>
      </c>
      <c r="Z99" s="77">
        <f>DATA!AG88</f>
        <v>0</v>
      </c>
      <c r="AA99" s="20">
        <f>DATA!AH88</f>
        <v>2018</v>
      </c>
      <c r="AB99" s="37" t="str">
        <f>DATA!AI88</f>
        <v>-</v>
      </c>
      <c r="AC99" s="37" t="str">
        <f>DATA!AJ88</f>
        <v>model test, penyelidikan geologi 2015, AMDAL (2015)</v>
      </c>
      <c r="AD99" s="37" t="str">
        <f>DATA!AK88</f>
        <v>LARAP (2016)</v>
      </c>
      <c r="AE99" s="37" t="str">
        <f>DATA!AL88</f>
        <v>-</v>
      </c>
      <c r="AF99" s="20" t="str">
        <f>DATA!AR88</f>
        <v>belum ada dokumen R/C</v>
      </c>
      <c r="AG99" s="20" t="str">
        <f>DATA!AN88</f>
        <v>siap</v>
      </c>
      <c r="AH99" s="20" t="str">
        <f>DATA!AO88</f>
        <v>dalam proses
(perencanaan)</v>
      </c>
      <c r="AI99" s="20" t="str">
        <f>DATA!AP88</f>
        <v>belum ada proses tender/lelang</v>
      </c>
      <c r="AJ99" s="20" t="str">
        <f>DATA!AY88</f>
        <v>Konfirmasi melalui surat Sekjen nomor KU.01.12-Sj/636 tgl 23 Oktober 2015</v>
      </c>
      <c r="AK99" s="20" t="e">
        <f>DATA!#REF!</f>
        <v>#REF!</v>
      </c>
      <c r="AL99" s="20">
        <f>DATA!AZ88</f>
        <v>0</v>
      </c>
      <c r="AM99" s="37" t="str">
        <f>DATA!BA88</f>
        <v>Membangun bendungan 223 juta m3, melakukan rehabilitasi jalan, membangun fasilitas PLTA ± 10,9 MW untuk kebutuhan energi listrik Kab.Gowa, perbaikan dan peningkatan jaringan irigasi 24.400 ha</v>
      </c>
    </row>
    <row r="100" spans="1:39" ht="48" hidden="1" customHeight="1">
      <c r="A100" s="10">
        <f>DATA!A89</f>
        <v>71</v>
      </c>
      <c r="B100" s="10">
        <f>DATA!B89</f>
        <v>0</v>
      </c>
      <c r="C100" s="10" t="str">
        <f>DATA!D89</f>
        <v>INFRASTRUKTUR</v>
      </c>
      <c r="D100" s="10">
        <f>DATA!E89</f>
        <v>1</v>
      </c>
      <c r="E100" s="10" t="str">
        <f>DATA!F89</f>
        <v>Kementerian Pekerjaan Umum dan Perumahan Rakyat</v>
      </c>
      <c r="F100" s="10" t="str">
        <f>DATA!H89</f>
        <v>Dam Development Program</v>
      </c>
      <c r="G100" s="10" t="str">
        <f>DATA!I89</f>
        <v>J</v>
      </c>
      <c r="H100" s="10" t="str">
        <f>DATA!J89</f>
        <v xml:space="preserve">Program Pembangunan Waduk </v>
      </c>
      <c r="I100" s="10">
        <f>DATA!K89</f>
        <v>6</v>
      </c>
      <c r="J100" s="33"/>
      <c r="K100" s="34"/>
      <c r="L100" s="34"/>
      <c r="M100" s="36">
        <f>DATA!K89</f>
        <v>6</v>
      </c>
      <c r="N100" s="37" t="str">
        <f>DATA!L89</f>
        <v>Bonehulu Dam Construction Project</v>
      </c>
      <c r="O100" s="20">
        <f>DATA!Q89</f>
        <v>1</v>
      </c>
      <c r="P100" s="20">
        <f>DATA!R89</f>
        <v>1</v>
      </c>
      <c r="Q100" s="20">
        <f>DATA!S89</f>
        <v>62</v>
      </c>
      <c r="R100" s="77">
        <f>DATA!T89</f>
        <v>128250000</v>
      </c>
      <c r="S100" s="77"/>
      <c r="T100" s="77">
        <f>DATA!V89</f>
        <v>21000000</v>
      </c>
      <c r="U100" s="77">
        <f>DATA!W89</f>
        <v>0</v>
      </c>
      <c r="V100" s="77">
        <f>DATA!X89</f>
        <v>149250000</v>
      </c>
      <c r="W100" s="78" t="str">
        <f>DATA!Y89</f>
        <v>RRT</v>
      </c>
      <c r="X100" s="20" t="str">
        <f>DATA!Z89</f>
        <v>Bilateral</v>
      </c>
      <c r="Y100" s="77">
        <f>DATA!AA89</f>
        <v>128250000</v>
      </c>
      <c r="Z100" s="77">
        <f>DATA!AG89</f>
        <v>0</v>
      </c>
      <c r="AA100" s="20">
        <f>DATA!AH89</f>
        <v>2019</v>
      </c>
      <c r="AB100" s="37" t="str">
        <f>DATA!AI89</f>
        <v>-</v>
      </c>
      <c r="AC100" s="37" t="str">
        <f>DATA!AJ89</f>
        <v>DD, model test, penyelidikan geologi 2015, AMDAL (2017)</v>
      </c>
      <c r="AD100" s="37" t="str">
        <f>DATA!AK89</f>
        <v>LARAP (2015)</v>
      </c>
      <c r="AE100" s="37" t="str">
        <f>DATA!AL89</f>
        <v>-</v>
      </c>
      <c r="AF100" s="20" t="str">
        <f>DATA!AR89</f>
        <v>belum ada dokumen R/C</v>
      </c>
      <c r="AG100" s="20" t="str">
        <f>DATA!AN89</f>
        <v>dalam proses
(penyusunan FS)</v>
      </c>
      <c r="AH100" s="20" t="str">
        <f>DATA!AO89</f>
        <v>dalam proses
(perencanaan)</v>
      </c>
      <c r="AI100" s="20" t="str">
        <f>DATA!AP89</f>
        <v>belum ada proses tender/lelang</v>
      </c>
      <c r="AJ100" s="20" t="str">
        <f>DATA!AY89</f>
        <v>Konfirmasi melalui surat Sekjen nomor KU.01.12-Sj/636 tgl 23 Oktober 2015</v>
      </c>
      <c r="AK100" s="20" t="e">
        <f>DATA!#REF!</f>
        <v>#REF!</v>
      </c>
      <c r="AL100" s="20">
        <f>DATA!AZ89</f>
        <v>0</v>
      </c>
      <c r="AM100" s="37" t="str">
        <f>DATA!BA89</f>
        <v>Pembangunan PLTA sebesar 9,99 MW, Pembangunan sistem irigasi mengairi 6.800 Ha</v>
      </c>
    </row>
    <row r="101" spans="1:39" ht="59.25" hidden="1" customHeight="1">
      <c r="A101" s="10">
        <f>DATA!A90</f>
        <v>72</v>
      </c>
      <c r="B101" s="10">
        <f>DATA!B90</f>
        <v>0</v>
      </c>
      <c r="C101" s="10" t="str">
        <f>DATA!D90</f>
        <v>INFRASTRUKTUR</v>
      </c>
      <c r="D101" s="10">
        <f>DATA!E90</f>
        <v>1</v>
      </c>
      <c r="E101" s="10" t="str">
        <f>DATA!F90</f>
        <v>Kementerian Pekerjaan Umum dan Perumahan Rakyat</v>
      </c>
      <c r="F101" s="10" t="str">
        <f>DATA!H90</f>
        <v>Dam Development Program</v>
      </c>
      <c r="G101" s="10" t="str">
        <f>DATA!I90</f>
        <v>J</v>
      </c>
      <c r="H101" s="10" t="str">
        <f>DATA!J90</f>
        <v xml:space="preserve">Program Pembangunan Waduk </v>
      </c>
      <c r="I101" s="10">
        <f>DATA!K90</f>
        <v>7</v>
      </c>
      <c r="J101" s="33"/>
      <c r="K101" s="34"/>
      <c r="L101" s="34"/>
      <c r="M101" s="36">
        <f>DATA!K90</f>
        <v>7</v>
      </c>
      <c r="N101" s="37" t="str">
        <f>DATA!L90</f>
        <v>Ladongi Dam Construction Project</v>
      </c>
      <c r="O101" s="20">
        <f>DATA!Q90</f>
        <v>1</v>
      </c>
      <c r="P101" s="20">
        <f>DATA!R90</f>
        <v>1</v>
      </c>
      <c r="Q101" s="20">
        <f>DATA!S90</f>
        <v>63</v>
      </c>
      <c r="R101" s="77">
        <f>DATA!T90</f>
        <v>70000000</v>
      </c>
      <c r="S101" s="77"/>
      <c r="T101" s="77">
        <f>DATA!V90</f>
        <v>7000000</v>
      </c>
      <c r="U101" s="77">
        <f>DATA!W90</f>
        <v>0</v>
      </c>
      <c r="V101" s="77">
        <f>DATA!X90</f>
        <v>77000000</v>
      </c>
      <c r="W101" s="78" t="str">
        <f>DATA!Y90</f>
        <v>RRT</v>
      </c>
      <c r="X101" s="20" t="str">
        <f>DATA!Z90</f>
        <v>Bilateral</v>
      </c>
      <c r="Y101" s="77">
        <f>DATA!AA90</f>
        <v>70000000</v>
      </c>
      <c r="Z101" s="77">
        <f>DATA!AG90</f>
        <v>0</v>
      </c>
      <c r="AA101" s="20">
        <f>DATA!AH90</f>
        <v>2017</v>
      </c>
      <c r="AB101" s="37" t="str">
        <f>DATA!AI90</f>
        <v>-</v>
      </c>
      <c r="AC101" s="37" t="str">
        <f>DATA!AJ90</f>
        <v>SID, AMDAL (2015), penyelidikan geologi, DD, model test 2015</v>
      </c>
      <c r="AD101" s="37" t="str">
        <f>DATA!AK90</f>
        <v>LARAP (2015)</v>
      </c>
      <c r="AE101" s="37" t="str">
        <f>DATA!AL90</f>
        <v>-</v>
      </c>
      <c r="AF101" s="20" t="str">
        <f>DATA!AR90</f>
        <v>belum ada dokumen R/C</v>
      </c>
      <c r="AG101" s="20" t="str">
        <f>DATA!AN90</f>
        <v>siap</v>
      </c>
      <c r="AH101" s="20" t="str">
        <f>DATA!AO90</f>
        <v>dalam proses
(perencanaan)</v>
      </c>
      <c r="AI101" s="20" t="str">
        <f>DATA!AP90</f>
        <v>belum ada proses tender/lelang</v>
      </c>
      <c r="AJ101" s="20" t="str">
        <f>DATA!AY90</f>
        <v>Konfirmasi melalui surat Sekjen nomor KU.01.12-Sj/636 tgl 23 Oktober 2015</v>
      </c>
      <c r="AK101" s="20" t="e">
        <f>DATA!#REF!</f>
        <v>#REF!</v>
      </c>
      <c r="AL101" s="20">
        <f>DATA!AZ90</f>
        <v>0</v>
      </c>
      <c r="AM101" s="37" t="str">
        <f>DATA!BA90</f>
        <v>Membangun bendungan 25,57 juta m3  dan fasilitas pendukungnya, Melakukan rehabilitasi jalan akses, Membangun PLTA 1,15 MW untuk  Kab.Kolaka Timur dan Perbaikan jaringan irigasi</v>
      </c>
    </row>
    <row r="102" spans="1:39" ht="80.25" hidden="1" customHeight="1">
      <c r="A102" s="10">
        <f>DATA!A91</f>
        <v>73</v>
      </c>
      <c r="B102" s="10">
        <f>DATA!B91</f>
        <v>0</v>
      </c>
      <c r="C102" s="10" t="str">
        <f>DATA!D91</f>
        <v>INFRASTRUKTUR</v>
      </c>
      <c r="D102" s="10">
        <f>DATA!E91</f>
        <v>1</v>
      </c>
      <c r="E102" s="10" t="str">
        <f>DATA!F91</f>
        <v>Kementerian Pekerjaan Umum dan Perumahan Rakyat</v>
      </c>
      <c r="F102" s="10" t="str">
        <f>DATA!H91</f>
        <v>Dam Development Program</v>
      </c>
      <c r="G102" s="10" t="str">
        <f>DATA!I91</f>
        <v>J</v>
      </c>
      <c r="H102" s="10" t="str">
        <f>DATA!J91</f>
        <v xml:space="preserve">Program Pembangunan Waduk </v>
      </c>
      <c r="I102" s="10">
        <f>DATA!K91</f>
        <v>8</v>
      </c>
      <c r="J102" s="33"/>
      <c r="K102" s="34"/>
      <c r="L102" s="34"/>
      <c r="M102" s="36">
        <f>DATA!K91</f>
        <v>8</v>
      </c>
      <c r="N102" s="37" t="str">
        <f>DATA!L91</f>
        <v>Kuwil Kawangkoan Dam Construction Project</v>
      </c>
      <c r="O102" s="20">
        <f>DATA!Q91</f>
        <v>1</v>
      </c>
      <c r="P102" s="20">
        <f>DATA!R91</f>
        <v>1</v>
      </c>
      <c r="Q102" s="20">
        <f>DATA!S91</f>
        <v>64</v>
      </c>
      <c r="R102" s="77">
        <f>DATA!T91</f>
        <v>110000000</v>
      </c>
      <c r="S102" s="77"/>
      <c r="T102" s="77">
        <f>DATA!V91</f>
        <v>11000000</v>
      </c>
      <c r="U102" s="77">
        <f>DATA!W91</f>
        <v>0</v>
      </c>
      <c r="V102" s="77">
        <f>DATA!X91</f>
        <v>121000000</v>
      </c>
      <c r="W102" s="78" t="str">
        <f>DATA!Y91</f>
        <v>Rupiah Murni</v>
      </c>
      <c r="X102" s="20" t="str">
        <f>DATA!Z91</f>
        <v>Pendanaan Dengan Rupiah Murni</v>
      </c>
      <c r="Y102" s="77">
        <f>DATA!AA91</f>
        <v>110000000</v>
      </c>
      <c r="Z102" s="77">
        <f>DATA!AG91</f>
        <v>0</v>
      </c>
      <c r="AA102" s="20">
        <f>DATA!AH91</f>
        <v>2016</v>
      </c>
      <c r="AB102" s="37" t="str">
        <f>DATA!AI91</f>
        <v>-</v>
      </c>
      <c r="AC102" s="37" t="str">
        <f>DATA!AJ91</f>
        <v>Sertifikasi desain, penyelidikan geologi, AMDAL</v>
      </c>
      <c r="AD102" s="37" t="str">
        <f>DATA!AK91</f>
        <v>LARAP</v>
      </c>
      <c r="AE102" s="37" t="str">
        <f>DATA!AL91</f>
        <v>Dalam proses tender</v>
      </c>
      <c r="AF102" s="20" t="str">
        <f>DATA!AR91</f>
        <v>belum ada dokumen R/C</v>
      </c>
      <c r="AG102" s="20" t="str">
        <f>DATA!AN91</f>
        <v>dalam proses
(penyusunan FS)</v>
      </c>
      <c r="AH102" s="20" t="str">
        <f>DATA!AO91</f>
        <v>dalam proses
(perencanaan)</v>
      </c>
      <c r="AI102" s="20" t="str">
        <f>DATA!AP91</f>
        <v>belum ada proses tender/lelang</v>
      </c>
      <c r="AJ102" s="20" t="str">
        <f>DATA!AY91</f>
        <v>- Konfirmasi melalui surat Sekjen nomor KU.01.12-Sj/636 tgl 23 Oktober 2015
- Kegiatan akan dilaksanakan oleh pendanaan rupiah murni APBN</v>
      </c>
      <c r="AK102" s="20" t="e">
        <f>DATA!#REF!</f>
        <v>#REF!</v>
      </c>
      <c r="AL102" s="20">
        <f>DATA!AZ91</f>
        <v>0</v>
      </c>
      <c r="AM102" s="37" t="str">
        <f>DATA!BA91</f>
        <v>Melakukan konservasi sumber daya air, pelestarian lingkungan, dan pengendalian banjir, Membangun bendungan dan fasilitas pendukungnya, Melakukan rehabilitasi jalan akses , Membangun fasilitas PLTA ± 1.3 MW untuk provinsi Sulawesi Utara</v>
      </c>
    </row>
    <row r="103" spans="1:39" ht="74.25" hidden="1" customHeight="1">
      <c r="A103" s="10">
        <f>DATA!A92</f>
        <v>74</v>
      </c>
      <c r="B103" s="10">
        <f>DATA!B92</f>
        <v>0</v>
      </c>
      <c r="C103" s="10" t="str">
        <f>DATA!D92</f>
        <v>INFRASTRUKTUR</v>
      </c>
      <c r="D103" s="10">
        <f>DATA!E92</f>
        <v>1</v>
      </c>
      <c r="E103" s="10" t="str">
        <f>DATA!F92</f>
        <v>Kementerian Pekerjaan Umum dan Perumahan Rakyat</v>
      </c>
      <c r="F103" s="10" t="str">
        <f>DATA!H92</f>
        <v>Dam Development Program</v>
      </c>
      <c r="G103" s="10" t="str">
        <f>DATA!I92</f>
        <v>J</v>
      </c>
      <c r="H103" s="10" t="str">
        <f>DATA!J92</f>
        <v xml:space="preserve">Program Pembangunan Waduk </v>
      </c>
      <c r="I103" s="10">
        <f>DATA!K92</f>
        <v>9</v>
      </c>
      <c r="J103" s="33"/>
      <c r="K103" s="34"/>
      <c r="L103" s="34"/>
      <c r="M103" s="36">
        <f>DATA!K92</f>
        <v>9</v>
      </c>
      <c r="N103" s="37" t="str">
        <f>DATA!L92</f>
        <v>Lompatan Harimau Dam Construction Project (Rokan Kiri Dam Construction Project)</v>
      </c>
      <c r="O103" s="20">
        <f>DATA!Q92</f>
        <v>1</v>
      </c>
      <c r="P103" s="20">
        <f>DATA!R92</f>
        <v>1</v>
      </c>
      <c r="Q103" s="20">
        <f>DATA!S92</f>
        <v>65</v>
      </c>
      <c r="R103" s="77">
        <f>DATA!T92</f>
        <v>152100000</v>
      </c>
      <c r="S103" s="77"/>
      <c r="T103" s="77">
        <f>DATA!V92</f>
        <v>26500000</v>
      </c>
      <c r="U103" s="77">
        <f>DATA!W92</f>
        <v>0</v>
      </c>
      <c r="V103" s="77">
        <f>DATA!X92</f>
        <v>178600000</v>
      </c>
      <c r="W103" s="78" t="str">
        <f>DATA!Y92</f>
        <v>RRT</v>
      </c>
      <c r="X103" s="20" t="str">
        <f>DATA!Z92</f>
        <v>Bilateral</v>
      </c>
      <c r="Y103" s="77">
        <f>DATA!AA92</f>
        <v>152100000</v>
      </c>
      <c r="Z103" s="77">
        <f>DATA!AG92</f>
        <v>0</v>
      </c>
      <c r="AA103" s="20">
        <f>DATA!AH92</f>
        <v>2018</v>
      </c>
      <c r="AB103" s="37" t="str">
        <f>DATA!AI92</f>
        <v>-</v>
      </c>
      <c r="AC103" s="37" t="str">
        <f>DATA!AJ92</f>
        <v>FS (2015), DED (2016), AMDAL (2016)</v>
      </c>
      <c r="AD103" s="37" t="str">
        <f>DATA!AK92</f>
        <v>LARAP (2015)</v>
      </c>
      <c r="AE103" s="37" t="str">
        <f>DATA!AL92</f>
        <v>-</v>
      </c>
      <c r="AF103" s="20" t="str">
        <f>DATA!AR92</f>
        <v>belum ada dokumen R/C</v>
      </c>
      <c r="AG103" s="20" t="str">
        <f>DATA!AN92</f>
        <v>dalam proses
(memiliki FS)</v>
      </c>
      <c r="AH103" s="20" t="str">
        <f>DATA!AO92</f>
        <v>dalam proses
(perencanaan)</v>
      </c>
      <c r="AI103" s="20" t="str">
        <f>DATA!AP92</f>
        <v>belum ada proses tender/lelang</v>
      </c>
      <c r="AJ103" s="20" t="str">
        <f>DATA!AY92</f>
        <v>- Konfirmasi melalui surat Sekjen nomor KU.01.12-Sj/636 tgl 23 Oktober 2015
- Nama kegiatan diusulkan untuk diubah menjadi Rokan Kiri Dam Construction Project</v>
      </c>
      <c r="AK103" s="20" t="e">
        <f>DATA!#REF!</f>
        <v>#REF!</v>
      </c>
      <c r="AL103" s="20">
        <f>DATA!AZ92</f>
        <v>0</v>
      </c>
      <c r="AM103" s="37" t="str">
        <f>DATA!BA92</f>
        <v>Membangun bendungan dan fasilitas pendukungnya untuk kebutuhan irigasi seluas 4000 Ha, Melakukan konservasi SDA, pelestarian lingkungan, dan pengendalian banjir dan Membangun fasilitas PLTA ± 74,40 MW untuk Kab.Rokan</v>
      </c>
    </row>
    <row r="104" spans="1:39" ht="106.5" hidden="1" customHeight="1">
      <c r="A104" s="10">
        <f>DATA!A93</f>
        <v>75</v>
      </c>
      <c r="B104" s="10">
        <f>DATA!B93</f>
        <v>0</v>
      </c>
      <c r="C104" s="10" t="str">
        <f>DATA!D93</f>
        <v>INFRASTRUKTUR</v>
      </c>
      <c r="D104" s="10">
        <f>DATA!E93</f>
        <v>1</v>
      </c>
      <c r="E104" s="10" t="str">
        <f>DATA!F93</f>
        <v>Kementerian Pekerjaan Umum dan Perumahan Rakyat</v>
      </c>
      <c r="F104" s="10" t="str">
        <f>DATA!H93</f>
        <v>Dam Development Program</v>
      </c>
      <c r="G104" s="10" t="str">
        <f>DATA!I93</f>
        <v>J</v>
      </c>
      <c r="H104" s="10" t="str">
        <f>DATA!J93</f>
        <v xml:space="preserve">Program Pembangunan Waduk </v>
      </c>
      <c r="I104" s="10">
        <f>DATA!K93</f>
        <v>10</v>
      </c>
      <c r="J104" s="33"/>
      <c r="K104" s="34"/>
      <c r="L104" s="34"/>
      <c r="M104" s="36">
        <f>DATA!K93</f>
        <v>10</v>
      </c>
      <c r="N104" s="37" t="str">
        <f>DATA!L93</f>
        <v>Engineering Service for Dam Multipurpose Development Project</v>
      </c>
      <c r="O104" s="20">
        <f>DATA!Q93</f>
        <v>0</v>
      </c>
      <c r="P104" s="20">
        <f>DATA!R93</f>
        <v>1</v>
      </c>
      <c r="Q104" s="20">
        <f>DATA!S93</f>
        <v>66</v>
      </c>
      <c r="R104" s="77">
        <f>DATA!T93</f>
        <v>100000000</v>
      </c>
      <c r="S104" s="77"/>
      <c r="T104" s="77">
        <f>DATA!V93</f>
        <v>0</v>
      </c>
      <c r="U104" s="77">
        <f>DATA!W93</f>
        <v>0</v>
      </c>
      <c r="V104" s="77">
        <f>DATA!X93</f>
        <v>100000000</v>
      </c>
      <c r="W104" s="77">
        <f>DATA!Y93</f>
        <v>0</v>
      </c>
      <c r="X104" s="77">
        <f>DATA!Z93</f>
        <v>0</v>
      </c>
      <c r="Y104" s="77">
        <f>DATA!AA93</f>
        <v>100000000</v>
      </c>
      <c r="Z104" s="77">
        <f>DATA!AG93</f>
        <v>-76391404</v>
      </c>
      <c r="AA104" s="77" t="str">
        <f>DATA!AH93</f>
        <v>-</v>
      </c>
      <c r="AB104" s="77">
        <f>DATA!AI93</f>
        <v>0</v>
      </c>
      <c r="AC104" s="77">
        <f>DATA!AJ93</f>
        <v>0</v>
      </c>
      <c r="AD104" s="77">
        <f>DATA!AK93</f>
        <v>0</v>
      </c>
      <c r="AE104" s="77">
        <f>DATA!AL93</f>
        <v>0</v>
      </c>
      <c r="AF104" s="77" t="str">
        <f>DATA!AM93</f>
        <v>-</v>
      </c>
      <c r="AG104" s="104" t="str">
        <f>DATA!AN93</f>
        <v>-</v>
      </c>
      <c r="AH104" s="104" t="str">
        <f>DATA!AO93</f>
        <v>-</v>
      </c>
      <c r="AI104" s="104">
        <f>DATA!AP93</f>
        <v>0</v>
      </c>
      <c r="AJ104" s="20" t="str">
        <f>DATA!AY93</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4" s="20" t="e">
        <f>DATA!#REF!</f>
        <v>#REF!</v>
      </c>
      <c r="AL104" s="20">
        <f>DATA!AZ93</f>
        <v>0</v>
      </c>
      <c r="AM104" s="37" t="str">
        <f>DATA!BA93</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5" spans="1:39" s="6" customFormat="1" ht="106.5" hidden="1" customHeight="1">
      <c r="J105" s="38"/>
      <c r="K105" s="39"/>
      <c r="L105" s="39"/>
      <c r="M105" s="72"/>
      <c r="N105" s="67" t="str">
        <f>DATA!L94</f>
        <v>Engineering Service for Dam Multipurpose Development Project</v>
      </c>
      <c r="O105" s="42">
        <f>DATA!Q94</f>
        <v>0.33333333333333298</v>
      </c>
      <c r="P105" s="42">
        <f>DATA!R94</f>
        <v>0</v>
      </c>
      <c r="Q105" s="42">
        <f>DATA!S94</f>
        <v>66</v>
      </c>
      <c r="R105" s="83">
        <f>DATA!T94</f>
        <v>0</v>
      </c>
      <c r="S105" s="83"/>
      <c r="T105" s="83">
        <f>DATA!V94</f>
        <v>0</v>
      </c>
      <c r="U105" s="83">
        <f>DATA!W94</f>
        <v>0</v>
      </c>
      <c r="V105" s="83">
        <f>DATA!X94</f>
        <v>0</v>
      </c>
      <c r="W105" s="84" t="str">
        <f>DATA!Y94</f>
        <v>ADB</v>
      </c>
      <c r="X105" s="42" t="str">
        <f>DATA!Z94</f>
        <v>Multilateral</v>
      </c>
      <c r="Y105" s="83">
        <f>DATA!AA94</f>
        <v>1930000</v>
      </c>
      <c r="Z105" s="83">
        <f>DATA!AG94</f>
        <v>0</v>
      </c>
      <c r="AA105" s="42">
        <f>DATA!AH94</f>
        <v>2016</v>
      </c>
      <c r="AB105" s="67" t="str">
        <f>DATA!AI94</f>
        <v>- Sudah ada RC
- Green Book 2015</v>
      </c>
      <c r="AC105" s="67" t="str">
        <f>DATA!AJ94</f>
        <v>FS, DED</v>
      </c>
      <c r="AD105" s="67" t="str">
        <f>DATA!AK94</f>
        <v>Tidak membutuhkan lahan</v>
      </c>
      <c r="AE105" s="67" t="str">
        <f>DATA!AL94</f>
        <v>Belum ada tender/lelang</v>
      </c>
      <c r="AF105" s="42" t="str">
        <f>DATA!AM94</f>
        <v>2016; 2015</v>
      </c>
      <c r="AG105" s="42" t="str">
        <f>DATA!AN94</f>
        <v>siap</v>
      </c>
      <c r="AH105" s="42" t="str">
        <f>DATA!AO94</f>
        <v>tidak butuh lahan</v>
      </c>
      <c r="AI105" s="42" t="str">
        <f>DATA!AP94</f>
        <v>belum ada proses tender/lelang</v>
      </c>
      <c r="AJ105" s="42"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5" s="42" t="e">
        <f>DATA!#REF!</f>
        <v>#REF!</v>
      </c>
      <c r="AL105" s="42">
        <f>DATA!AZ94</f>
        <v>0</v>
      </c>
      <c r="AM105" s="67"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6" spans="1:39" s="6" customFormat="1" ht="106.5" hidden="1" customHeight="1">
      <c r="J106" s="38"/>
      <c r="K106" s="39"/>
      <c r="L106" s="39"/>
      <c r="M106" s="72"/>
      <c r="N106" s="67" t="str">
        <f>DATA!L95</f>
        <v>Engineering Service for Dam Multipurpose Development Project</v>
      </c>
      <c r="O106" s="42">
        <f>DATA!Q95</f>
        <v>0.33333333333333298</v>
      </c>
      <c r="P106" s="42">
        <f>DATA!R95</f>
        <v>0</v>
      </c>
      <c r="Q106" s="42">
        <f>DATA!S95</f>
        <v>66</v>
      </c>
      <c r="R106" s="83">
        <f>DATA!T95</f>
        <v>0</v>
      </c>
      <c r="S106" s="83"/>
      <c r="T106" s="83">
        <f>DATA!V95</f>
        <v>0</v>
      </c>
      <c r="U106" s="83">
        <f>DATA!W95</f>
        <v>0</v>
      </c>
      <c r="V106" s="83">
        <f>DATA!X95</f>
        <v>0</v>
      </c>
      <c r="W106" s="84" t="str">
        <f>DATA!Y95</f>
        <v>Korea</v>
      </c>
      <c r="X106" s="42" t="str">
        <f>DATA!Z95</f>
        <v>Bilateral</v>
      </c>
      <c r="Y106" s="83">
        <f>DATA!AA95</f>
        <v>21678596</v>
      </c>
      <c r="Z106" s="83">
        <f>DATA!AG95</f>
        <v>0</v>
      </c>
      <c r="AA106" s="42">
        <f>DATA!AH95</f>
        <v>2016</v>
      </c>
      <c r="AB106" s="67" t="str">
        <f>DATA!AI95</f>
        <v>- Sudah ada RC
- Diusulkan GB 2016</v>
      </c>
      <c r="AC106" s="67" t="str">
        <f>DATA!AJ95</f>
        <v>FS, DED</v>
      </c>
      <c r="AD106" s="67" t="str">
        <f>DATA!AK95</f>
        <v>Tidak membutuhkan lahan</v>
      </c>
      <c r="AE106" s="67" t="str">
        <f>DATA!AL95</f>
        <v>Belum ada tender/lelang</v>
      </c>
      <c r="AF106" s="42">
        <f>DATA!AM95</f>
        <v>2016</v>
      </c>
      <c r="AG106" s="42" t="str">
        <f>DATA!AN95</f>
        <v>siap</v>
      </c>
      <c r="AH106" s="42" t="str">
        <f>DATA!AO95</f>
        <v>tidak butuh lahan</v>
      </c>
      <c r="AI106" s="42" t="str">
        <f>DATA!AP95</f>
        <v>belum ada proses tender/lelang</v>
      </c>
      <c r="AJ106" s="42"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6" s="42" t="e">
        <f>DATA!#REF!</f>
        <v>#REF!</v>
      </c>
      <c r="AL106" s="42">
        <f>DATA!AZ95</f>
        <v>0</v>
      </c>
      <c r="AM106" s="67"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7" spans="1:39" s="6" customFormat="1" ht="106.5" hidden="1" customHeight="1">
      <c r="J107" s="38"/>
      <c r="K107" s="39"/>
      <c r="L107" s="39"/>
      <c r="M107" s="72"/>
      <c r="N107" s="67" t="str">
        <f>DATA!L96</f>
        <v>Engineering Service for Dam Multipurpose Development Project</v>
      </c>
      <c r="O107" s="42">
        <f>DATA!Q96</f>
        <v>0.33333333333333298</v>
      </c>
      <c r="P107" s="42">
        <f>DATA!R96</f>
        <v>0</v>
      </c>
      <c r="Q107" s="42">
        <f>DATA!S96</f>
        <v>66</v>
      </c>
      <c r="R107" s="83">
        <f>DATA!T96</f>
        <v>0</v>
      </c>
      <c r="S107" s="83"/>
      <c r="T107" s="83">
        <f>DATA!V96</f>
        <v>0</v>
      </c>
      <c r="U107" s="83">
        <f>DATA!W96</f>
        <v>0</v>
      </c>
      <c r="V107" s="83">
        <f>DATA!X96</f>
        <v>0</v>
      </c>
      <c r="W107" s="84" t="str">
        <f>DATA!Y96</f>
        <v>Belum Ada Indikasi</v>
      </c>
      <c r="X107" s="42" t="str">
        <f>DATA!Z96</f>
        <v>Belum Ada Indikasi</v>
      </c>
      <c r="Y107" s="83">
        <f>DATA!AA96</f>
        <v>76391404</v>
      </c>
      <c r="Z107" s="83">
        <f>DATA!AG96</f>
        <v>-76391404</v>
      </c>
      <c r="AA107" s="42" t="str">
        <f>DATA!AH96</f>
        <v>Tanpa keterangan</v>
      </c>
      <c r="AB107" s="67" t="str">
        <f>DATA!AI96</f>
        <v>-</v>
      </c>
      <c r="AC107" s="67" t="str">
        <f>DATA!AJ96</f>
        <v>-</v>
      </c>
      <c r="AD107" s="67" t="str">
        <f>DATA!AK96</f>
        <v>-</v>
      </c>
      <c r="AE107" s="67" t="str">
        <f>DATA!AL96</f>
        <v>-</v>
      </c>
      <c r="AF107" s="42"/>
      <c r="AG107" s="42"/>
      <c r="AH107" s="42"/>
      <c r="AI107" s="42"/>
      <c r="AJ107" s="42"/>
      <c r="AK107" s="42"/>
      <c r="AL107" s="42"/>
      <c r="AM107" s="67"/>
    </row>
    <row r="108" spans="1:39" ht="63.75" hidden="1">
      <c r="A108" s="10">
        <f>DATA!A97</f>
        <v>76</v>
      </c>
      <c r="B108" s="10">
        <f>DATA!B97</f>
        <v>0</v>
      </c>
      <c r="C108" s="10" t="str">
        <f>DATA!D97</f>
        <v>INFRASTRUKTUR</v>
      </c>
      <c r="D108" s="10">
        <f>DATA!E97</f>
        <v>1</v>
      </c>
      <c r="E108" s="10" t="str">
        <f>DATA!F97</f>
        <v>Kementerian Pekerjaan Umum dan Perumahan Rakyat</v>
      </c>
      <c r="F108" s="10" t="str">
        <f>DATA!H97</f>
        <v>Dam Development Program</v>
      </c>
      <c r="G108" s="10" t="str">
        <f>DATA!I97</f>
        <v>J</v>
      </c>
      <c r="H108" s="10" t="str">
        <f>DATA!J97</f>
        <v xml:space="preserve">Program Pembangunan Waduk </v>
      </c>
      <c r="I108" s="10">
        <f>DATA!K97</f>
        <v>11</v>
      </c>
      <c r="J108" s="33"/>
      <c r="K108" s="34"/>
      <c r="L108" s="54"/>
      <c r="M108" s="36">
        <f>DATA!K97</f>
        <v>11</v>
      </c>
      <c r="N108" s="37" t="str">
        <f>DATA!L97</f>
        <v>Additional Loan for Jatigede Dam Project 2</v>
      </c>
      <c r="O108" s="20">
        <f>DATA!Q97</f>
        <v>1</v>
      </c>
      <c r="P108" s="20">
        <f>DATA!R97</f>
        <v>1</v>
      </c>
      <c r="Q108" s="20">
        <f>DATA!S97</f>
        <v>67</v>
      </c>
      <c r="R108" s="77">
        <f>DATA!T97</f>
        <v>53200000</v>
      </c>
      <c r="S108" s="77"/>
      <c r="T108" s="77">
        <f>DATA!V97</f>
        <v>0</v>
      </c>
      <c r="U108" s="77">
        <f>DATA!W97</f>
        <v>0</v>
      </c>
      <c r="V108" s="77">
        <f>DATA!X97</f>
        <v>53200000</v>
      </c>
      <c r="W108" s="78" t="str">
        <f>DATA!Y97</f>
        <v>RRT</v>
      </c>
      <c r="X108" s="20" t="str">
        <f>DATA!Z97</f>
        <v>Bilateral</v>
      </c>
      <c r="Y108" s="77">
        <f>DATA!AA97</f>
        <v>53200000</v>
      </c>
      <c r="Z108" s="77">
        <f>DATA!AG97</f>
        <v>0</v>
      </c>
      <c r="AA108" s="20">
        <f>DATA!AH97</f>
        <v>2016</v>
      </c>
      <c r="AB108" s="37" t="str">
        <f>DATA!AI97</f>
        <v>- Sudah ada RC
- Green Book 2015</v>
      </c>
      <c r="AC108" s="37" t="str">
        <f>DATA!AJ97</f>
        <v>FS, DED, persiapan impounding 2015</v>
      </c>
      <c r="AD108" s="37" t="str">
        <f>DATA!AK97</f>
        <v>- Proses perijinan penggunaan lahan dari Bupati dan Kemenhut
- Proses administrasi kependudukan</v>
      </c>
      <c r="AE108" s="37" t="str">
        <f>DATA!AL97</f>
        <v>Belum ada tender/lelang</v>
      </c>
      <c r="AF108" s="20" t="str">
        <f>DATA!AR97</f>
        <v>-</v>
      </c>
      <c r="AG108" s="20" t="str">
        <f>DATA!AN97</f>
        <v>dalam proses
(memiliki FS dan DED)</v>
      </c>
      <c r="AH108" s="20" t="str">
        <f>DATA!AO97</f>
        <v>dalam proses
(persiapan)</v>
      </c>
      <c r="AI108" s="20" t="str">
        <f>DATA!AP97</f>
        <v>belum ada proses tender/lelang</v>
      </c>
      <c r="AJ108" s="20" t="str">
        <f>DATA!AY97</f>
        <v>Konfirmasi melalui surat Sekjen nomor KU.01.12-Sj/636 tgl 23 Oktober 2015</v>
      </c>
      <c r="AK108" s="20" t="e">
        <f>DATA!#REF!</f>
        <v>#REF!</v>
      </c>
      <c r="AL108" s="20">
        <f>DATA!AZ97</f>
        <v>0</v>
      </c>
      <c r="AM108" s="37" t="str">
        <f>DATA!BA97</f>
        <v>Menyediakan air untuk keperluan irigasi sebesar 59,63 m3/dt dan membangun infrastruktur untuk PLTA 110 MW.</v>
      </c>
    </row>
    <row r="109" spans="1:39" s="5" customFormat="1" ht="33.75" hidden="1" customHeight="1">
      <c r="J109" s="28"/>
      <c r="K109" s="50"/>
      <c r="L109" s="30" t="str">
        <f>DATA!I98</f>
        <v>K</v>
      </c>
      <c r="M109" s="31" t="str">
        <f>DATA!J98</f>
        <v>Program Mitigasi Terhadap Daya Rusak Air</v>
      </c>
      <c r="N109" s="51"/>
      <c r="O109" s="31"/>
      <c r="P109" s="31"/>
      <c r="Q109" s="31"/>
      <c r="R109" s="81">
        <f>+R110+R111+R112+R113+R114+R115+R116</f>
        <v>1152636000</v>
      </c>
      <c r="S109" s="81"/>
      <c r="T109" s="81">
        <f t="shared" ref="T109:Z109" si="6">+T110+T111+T112+T113+T114+T115+T116</f>
        <v>149840000</v>
      </c>
      <c r="U109" s="81">
        <f t="shared" si="6"/>
        <v>0</v>
      </c>
      <c r="V109" s="81">
        <f t="shared" si="6"/>
        <v>1302476000</v>
      </c>
      <c r="W109" s="81"/>
      <c r="X109" s="81" t="e">
        <f t="shared" si="6"/>
        <v>#VALUE!</v>
      </c>
      <c r="Y109" s="81">
        <f t="shared" si="6"/>
        <v>1112256000</v>
      </c>
      <c r="Z109" s="81">
        <f t="shared" si="6"/>
        <v>0</v>
      </c>
      <c r="AA109" s="31"/>
      <c r="AB109" s="32"/>
      <c r="AC109" s="32"/>
      <c r="AD109" s="32"/>
      <c r="AE109" s="32"/>
      <c r="AF109" s="31"/>
      <c r="AG109" s="31"/>
      <c r="AH109" s="31"/>
      <c r="AI109" s="31"/>
      <c r="AJ109" s="31"/>
      <c r="AK109" s="31"/>
      <c r="AL109" s="31"/>
      <c r="AM109" s="32"/>
    </row>
    <row r="110" spans="1:39" ht="51" hidden="1" customHeight="1">
      <c r="A110" s="10">
        <f>DATA!A98</f>
        <v>77</v>
      </c>
      <c r="B110" s="10">
        <f>DATA!B98</f>
        <v>0</v>
      </c>
      <c r="C110" s="10" t="str">
        <f>DATA!D98</f>
        <v>INFRASTRUKTUR</v>
      </c>
      <c r="D110" s="10">
        <f>DATA!E98</f>
        <v>1</v>
      </c>
      <c r="E110" s="10" t="str">
        <f>DATA!F98</f>
        <v>Kementerian Pekerjaan Umum dan Perumahan Rakyat</v>
      </c>
      <c r="F110" s="10" t="str">
        <f>DATA!H98</f>
        <v>Mitigation of Water Hazards Program</v>
      </c>
      <c r="G110" s="10" t="str">
        <f>DATA!I98</f>
        <v>K</v>
      </c>
      <c r="H110" s="10" t="str">
        <f>DATA!J98</f>
        <v>Program Mitigasi Terhadap Daya Rusak Air</v>
      </c>
      <c r="I110" s="10">
        <f>DATA!K98</f>
        <v>1</v>
      </c>
      <c r="J110" s="33"/>
      <c r="K110" s="34"/>
      <c r="L110" s="35"/>
      <c r="M110" s="36">
        <f>DATA!K98</f>
        <v>1</v>
      </c>
      <c r="N110" s="37" t="str">
        <f>DATA!L98</f>
        <v>Lower Solo River Improvement Project - Phase II</v>
      </c>
      <c r="O110" s="20">
        <f>DATA!Q98</f>
        <v>1</v>
      </c>
      <c r="P110" s="20">
        <f>DATA!R98</f>
        <v>1</v>
      </c>
      <c r="Q110" s="20">
        <f>DATA!S98</f>
        <v>68</v>
      </c>
      <c r="R110" s="77">
        <f>DATA!T98</f>
        <v>155836000</v>
      </c>
      <c r="S110" s="77"/>
      <c r="T110" s="77">
        <f>DATA!V98</f>
        <v>22500000</v>
      </c>
      <c r="U110" s="77">
        <f>DATA!W98</f>
        <v>0</v>
      </c>
      <c r="V110" s="77">
        <f>DATA!X98</f>
        <v>178336000</v>
      </c>
      <c r="W110" s="78" t="str">
        <f>DATA!Y98</f>
        <v>JICA</v>
      </c>
      <c r="X110" s="20" t="str">
        <f>DATA!Z98</f>
        <v>Bilateral</v>
      </c>
      <c r="Y110" s="77">
        <f>DATA!AA98</f>
        <v>155836000</v>
      </c>
      <c r="Z110" s="77">
        <f>DATA!AG98</f>
        <v>0</v>
      </c>
      <c r="AA110" s="20">
        <f>DATA!AH98</f>
        <v>2018</v>
      </c>
      <c r="AB110" s="37" t="str">
        <f>DATA!AI98</f>
        <v>-</v>
      </c>
      <c r="AC110" s="37" t="str">
        <f>DATA!AJ98</f>
        <v>FS, DED, AMDAL</v>
      </c>
      <c r="AD110" s="37" t="str">
        <f>DATA!AK98</f>
        <v>LARAP</v>
      </c>
      <c r="AE110" s="37" t="str">
        <f>DATA!AL98</f>
        <v>-</v>
      </c>
      <c r="AF110" s="20" t="str">
        <f>DATA!AR98</f>
        <v>belum ada dokumen R/C</v>
      </c>
      <c r="AG110" s="20" t="str">
        <f>DATA!AN98</f>
        <v>siap</v>
      </c>
      <c r="AH110" s="20" t="str">
        <f>DATA!AO98</f>
        <v>dalam proses
(perencanaan)</v>
      </c>
      <c r="AI110" s="20" t="str">
        <f>DATA!AP98</f>
        <v>belum ada proses tender/lelang</v>
      </c>
      <c r="AJ110" s="20" t="str">
        <f>DATA!AY98</f>
        <v>Konfirmasi melalui surat Sekjen nomor KU.01.12-Sj/636 tgl 23 Oktober 2015</v>
      </c>
      <c r="AK110" s="20" t="e">
        <f>DATA!#REF!</f>
        <v>#REF!</v>
      </c>
      <c r="AL110" s="20">
        <f>DATA!AZ98</f>
        <v>0</v>
      </c>
      <c r="AM110" s="37" t="str">
        <f>DATA!BA98</f>
        <v>Pekerjaan konstruksi dan supervisi pelaksanaan tanggul, parapet wall, pelindung tebing, sluiceway, jembatan, alur sudetan dan bangunan sungai lainnya</v>
      </c>
    </row>
    <row r="111" spans="1:39" ht="72.75" hidden="1" customHeight="1">
      <c r="A111" s="10">
        <f>DATA!A99</f>
        <v>78</v>
      </c>
      <c r="B111" s="10">
        <f>DATA!B99</f>
        <v>0</v>
      </c>
      <c r="C111" s="10" t="str">
        <f>DATA!D99</f>
        <v>INFRASTRUKTUR</v>
      </c>
      <c r="D111" s="10">
        <f>DATA!E99</f>
        <v>1</v>
      </c>
      <c r="E111" s="10" t="str">
        <f>DATA!F99</f>
        <v>Kementerian Pekerjaan Umum dan Perumahan Rakyat</v>
      </c>
      <c r="F111" s="10" t="str">
        <f>DATA!H99</f>
        <v>Mitigation of Water Hazards Program</v>
      </c>
      <c r="G111" s="10" t="str">
        <f>DATA!I99</f>
        <v>K</v>
      </c>
      <c r="H111" s="10" t="str">
        <f>DATA!J99</f>
        <v>Program Mitigasi Terhadap Daya Rusak Air</v>
      </c>
      <c r="I111" s="10">
        <f>DATA!K99</f>
        <v>2</v>
      </c>
      <c r="J111" s="33"/>
      <c r="K111" s="34"/>
      <c r="L111" s="34"/>
      <c r="M111" s="36">
        <f>DATA!K99</f>
        <v>2</v>
      </c>
      <c r="N111" s="37" t="str">
        <f>DATA!L99</f>
        <v>Comprehensive Countermeasure for Sediment &amp; Flood Problems in South Sulawesi Province</v>
      </c>
      <c r="O111" s="20">
        <f>DATA!Q99</f>
        <v>1</v>
      </c>
      <c r="P111" s="20">
        <f>DATA!R99</f>
        <v>1</v>
      </c>
      <c r="Q111" s="20">
        <f>DATA!S99</f>
        <v>69</v>
      </c>
      <c r="R111" s="77">
        <f>DATA!T99</f>
        <v>108100000</v>
      </c>
      <c r="S111" s="77"/>
      <c r="T111" s="77">
        <f>DATA!V99</f>
        <v>3900000</v>
      </c>
      <c r="U111" s="77">
        <f>DATA!W99</f>
        <v>0</v>
      </c>
      <c r="V111" s="77">
        <f>DATA!X99</f>
        <v>112000000</v>
      </c>
      <c r="W111" s="78" t="str">
        <f>DATA!Y99</f>
        <v>JICA</v>
      </c>
      <c r="X111" s="20" t="str">
        <f>DATA!Z99</f>
        <v>Bilateral</v>
      </c>
      <c r="Y111" s="77">
        <f>DATA!AA99</f>
        <v>108100000</v>
      </c>
      <c r="Z111" s="77">
        <f>DATA!AG99</f>
        <v>0</v>
      </c>
      <c r="AA111" s="20">
        <f>DATA!AH99</f>
        <v>2018</v>
      </c>
      <c r="AB111" s="37" t="str">
        <f>DATA!AI99</f>
        <v>-</v>
      </c>
      <c r="AC111" s="37" t="str">
        <f>DATA!AJ99</f>
        <v>FS, DED</v>
      </c>
      <c r="AD111" s="37" t="str">
        <f>DATA!AK99</f>
        <v>-</v>
      </c>
      <c r="AE111" s="37" t="str">
        <f>DATA!AL99</f>
        <v>-</v>
      </c>
      <c r="AF111" s="20" t="str">
        <f>DATA!AR99</f>
        <v>belum ada dokumen R/C</v>
      </c>
      <c r="AG111" s="20" t="str">
        <f>DATA!AN99</f>
        <v>dalam proses
(memiliki FS dan DED)</v>
      </c>
      <c r="AH111" s="20" t="str">
        <f>DATA!AO99</f>
        <v>belum ada keterangan</v>
      </c>
      <c r="AI111" s="20" t="str">
        <f>DATA!AP99</f>
        <v>belum ada proses tender/lelang</v>
      </c>
      <c r="AJ111" s="20" t="str">
        <f>DATA!AY99</f>
        <v>Konfirmasi melalui surat Sekjen nomor KU.01.12-Sj/636 tgl 23 Oktober 2015</v>
      </c>
      <c r="AK111" s="20" t="e">
        <f>DATA!#REF!</f>
        <v>#REF!</v>
      </c>
      <c r="AL111" s="20">
        <f>DATA!AZ99</f>
        <v>0</v>
      </c>
      <c r="AM111" s="37" t="str">
        <f>DATA!BA99</f>
        <v>Rehabilitasi intake waduk bili-bili (1 buah), konstruksi giant sand trap facility (1 buah) di ujung waduk bili-bili dan konstruksi bangunan pengendali sedimen di luar kaldera untuk antisipasi potensi runtuhan lanjutan Bawakaraeng</v>
      </c>
    </row>
    <row r="112" spans="1:39" ht="38.25" hidden="1">
      <c r="A112" s="10">
        <f>DATA!A100</f>
        <v>79</v>
      </c>
      <c r="B112" s="10">
        <f>DATA!B100</f>
        <v>0</v>
      </c>
      <c r="C112" s="10" t="str">
        <f>DATA!D100</f>
        <v>INFRASTRUKTUR</v>
      </c>
      <c r="D112" s="10">
        <f>DATA!E100</f>
        <v>1</v>
      </c>
      <c r="E112" s="10" t="str">
        <f>DATA!F100</f>
        <v>Kementerian Pekerjaan Umum dan Perumahan Rakyat</v>
      </c>
      <c r="F112" s="10" t="str">
        <f>DATA!H100</f>
        <v>Mitigation of Water Hazards Program</v>
      </c>
      <c r="G112" s="10" t="str">
        <f>DATA!I100</f>
        <v>K</v>
      </c>
      <c r="H112" s="10" t="str">
        <f>DATA!J100</f>
        <v>Program Mitigasi Terhadap Daya Rusak Air</v>
      </c>
      <c r="I112" s="10">
        <f>DATA!K100</f>
        <v>3</v>
      </c>
      <c r="J112" s="33"/>
      <c r="K112" s="34"/>
      <c r="L112" s="34"/>
      <c r="M112" s="36">
        <f>DATA!K100</f>
        <v>3</v>
      </c>
      <c r="N112" s="37" t="str">
        <f>DATA!L100</f>
        <v>Bali Beach Conservation Project - Phase II</v>
      </c>
      <c r="O112" s="20">
        <f>DATA!Q100</f>
        <v>1</v>
      </c>
      <c r="P112" s="20">
        <f>DATA!R100</f>
        <v>1</v>
      </c>
      <c r="Q112" s="20">
        <f>DATA!S100</f>
        <v>70</v>
      </c>
      <c r="R112" s="77">
        <f>DATA!T100</f>
        <v>150000000</v>
      </c>
      <c r="S112" s="77"/>
      <c r="T112" s="77">
        <f>DATA!V100</f>
        <v>15000000</v>
      </c>
      <c r="U112" s="77">
        <f>DATA!W100</f>
        <v>0</v>
      </c>
      <c r="V112" s="77">
        <f>DATA!X100</f>
        <v>165000000</v>
      </c>
      <c r="W112" s="78" t="str">
        <f>DATA!Y100</f>
        <v>JICA</v>
      </c>
      <c r="X112" s="20" t="str">
        <f>DATA!Z100</f>
        <v>Bilateral</v>
      </c>
      <c r="Y112" s="77">
        <f>DATA!AA100</f>
        <v>150000000</v>
      </c>
      <c r="Z112" s="77">
        <f>DATA!AG100</f>
        <v>0</v>
      </c>
      <c r="AA112" s="20">
        <f>DATA!AH100</f>
        <v>2017</v>
      </c>
      <c r="AB112" s="37" t="str">
        <f>DATA!AI100</f>
        <v>-</v>
      </c>
      <c r="AC112" s="37" t="str">
        <f>DATA!AJ100</f>
        <v>FS</v>
      </c>
      <c r="AD112" s="37" t="str">
        <f>DATA!AK100</f>
        <v>-</v>
      </c>
      <c r="AE112" s="37" t="str">
        <f>DATA!AL100</f>
        <v>-</v>
      </c>
      <c r="AF112" s="20" t="str">
        <f>DATA!AR100</f>
        <v>Nilai pinjaman di GB USD 90.247 ribu</v>
      </c>
      <c r="AG112" s="20" t="str">
        <f>DATA!AN100</f>
        <v>dalam proses
(memiliki FS)</v>
      </c>
      <c r="AH112" s="20" t="str">
        <f>DATA!AO100</f>
        <v>belum ada keterangan</v>
      </c>
      <c r="AI112" s="20" t="str">
        <f>DATA!AP100</f>
        <v>belum ada proses tender/lelang</v>
      </c>
      <c r="AJ112" s="20" t="str">
        <f>DATA!AY100</f>
        <v>- Konfirmasi melalui surat Sekjen nomor KU.01.12-Sj/636 tgl 23 Oktober 2015
- MoD Fact Finding belum dapat ditandatangani dan ditentukan kemudian</v>
      </c>
      <c r="AK112" s="20" t="e">
        <f>DATA!#REF!</f>
        <v>#REF!</v>
      </c>
      <c r="AL112" s="20">
        <f>DATA!AZ100</f>
        <v>0</v>
      </c>
      <c r="AM112" s="37" t="str">
        <f>DATA!BA100</f>
        <v>Pengamanan dan konservasi pantai timur bali (sanur utara ~ candidasa) dan Pantai Kuta Utara – Legian – Seminyak dan Canggu</v>
      </c>
    </row>
    <row r="113" spans="1:39" ht="33" hidden="1" customHeight="1">
      <c r="A113" s="10">
        <f>DATA!A101</f>
        <v>80</v>
      </c>
      <c r="B113" s="10">
        <f>DATA!B101</f>
        <v>0</v>
      </c>
      <c r="C113" s="10" t="str">
        <f>DATA!D101</f>
        <v>INFRASTRUKTUR</v>
      </c>
      <c r="D113" s="10">
        <f>DATA!E101</f>
        <v>1</v>
      </c>
      <c r="E113" s="10" t="str">
        <f>DATA!F101</f>
        <v>Kementerian Pekerjaan Umum dan Perumahan Rakyat</v>
      </c>
      <c r="F113" s="10" t="str">
        <f>DATA!H101</f>
        <v>Mitigation of Water Hazards Program</v>
      </c>
      <c r="G113" s="10" t="str">
        <f>DATA!I101</f>
        <v>K</v>
      </c>
      <c r="H113" s="10" t="str">
        <f>DATA!J101</f>
        <v>Program Mitigasi Terhadap Daya Rusak Air</v>
      </c>
      <c r="I113" s="10">
        <f>DATA!K101</f>
        <v>4</v>
      </c>
      <c r="J113" s="33"/>
      <c r="K113" s="34"/>
      <c r="L113" s="34"/>
      <c r="M113" s="36">
        <f>DATA!K101</f>
        <v>4</v>
      </c>
      <c r="N113" s="37" t="str">
        <f>DATA!L101</f>
        <v xml:space="preserve">Urgent Disaster Reduction of Mt. Sinabung, Mt. Semeru, Mt. Kelud Mt. Lokon, and Mt. Gamalama </v>
      </c>
      <c r="O113" s="20">
        <f>DATA!Q101</f>
        <v>1</v>
      </c>
      <c r="P113" s="20">
        <f>DATA!R101</f>
        <v>1</v>
      </c>
      <c r="Q113" s="20">
        <f>DATA!S101</f>
        <v>71</v>
      </c>
      <c r="R113" s="77">
        <f>DATA!T101</f>
        <v>260000000</v>
      </c>
      <c r="S113" s="77"/>
      <c r="T113" s="77">
        <f>DATA!V101</f>
        <v>26000000</v>
      </c>
      <c r="U113" s="77">
        <f>DATA!W101</f>
        <v>0</v>
      </c>
      <c r="V113" s="77">
        <f>DATA!X101</f>
        <v>286000000</v>
      </c>
      <c r="W113" s="78" t="str">
        <f>DATA!Y101</f>
        <v>JICA</v>
      </c>
      <c r="X113" s="20" t="str">
        <f>DATA!Z101</f>
        <v>Bilateral</v>
      </c>
      <c r="Y113" s="77">
        <f>DATA!AA101</f>
        <v>260000000</v>
      </c>
      <c r="Z113" s="77">
        <f>DATA!AG101</f>
        <v>0</v>
      </c>
      <c r="AA113" s="20">
        <f>DATA!AH101</f>
        <v>2017</v>
      </c>
      <c r="AB113" s="37" t="str">
        <f>DATA!AI101</f>
        <v>-</v>
      </c>
      <c r="AC113" s="37" t="str">
        <f>DATA!AJ101</f>
        <v>FS, DED, AMDAL</v>
      </c>
      <c r="AD113" s="37" t="str">
        <f>DATA!AK101</f>
        <v>LARAP</v>
      </c>
      <c r="AE113" s="37" t="str">
        <f>DATA!AL101</f>
        <v>-</v>
      </c>
      <c r="AF113" s="20" t="str">
        <f>DATA!AR101</f>
        <v>belum ada dokumen R/C</v>
      </c>
      <c r="AG113" s="20" t="str">
        <f>DATA!AN101</f>
        <v>siap</v>
      </c>
      <c r="AH113" s="20" t="str">
        <f>DATA!AO101</f>
        <v>dalam proses
(persiapan)</v>
      </c>
      <c r="AI113" s="20" t="str">
        <f>DATA!AP101</f>
        <v>belum ada proses tender/lelang</v>
      </c>
      <c r="AJ113" s="20" t="str">
        <f>DATA!AY101</f>
        <v>Konfirmasi melalui surat Sekjen nomor KU.01.12-Sj/636 tgl 23 Oktober 2015</v>
      </c>
      <c r="AK113" s="20" t="e">
        <f>DATA!#REF!</f>
        <v>#REF!</v>
      </c>
      <c r="AL113" s="20">
        <f>DATA!AZ101</f>
        <v>0</v>
      </c>
      <c r="AM113" s="37" t="str">
        <f>DATA!BA101</f>
        <v>Tersedianya fasilitas Sabo dan bangunan pengontrol sedimen lainnya.</v>
      </c>
    </row>
    <row r="114" spans="1:39" ht="53.25" hidden="1" customHeight="1">
      <c r="A114" s="10">
        <f>DATA!A102</f>
        <v>81</v>
      </c>
      <c r="B114" s="10">
        <f>DATA!B102</f>
        <v>0</v>
      </c>
      <c r="C114" s="10" t="str">
        <f>DATA!D102</f>
        <v>INFRASTRUKTUR</v>
      </c>
      <c r="D114" s="10">
        <f>DATA!E102</f>
        <v>1</v>
      </c>
      <c r="E114" s="10" t="str">
        <f>DATA!F102</f>
        <v>Kementerian Pekerjaan Umum dan Perumahan Rakyat</v>
      </c>
      <c r="F114" s="10" t="str">
        <f>DATA!H102</f>
        <v>Mitigation of Water Hazards Program</v>
      </c>
      <c r="G114" s="10" t="str">
        <f>DATA!I102</f>
        <v>K</v>
      </c>
      <c r="H114" s="10" t="str">
        <f>DATA!J102</f>
        <v>Program Mitigasi Terhadap Daya Rusak Air</v>
      </c>
      <c r="I114" s="10">
        <f>DATA!K102</f>
        <v>5</v>
      </c>
      <c r="J114" s="33"/>
      <c r="K114" s="34"/>
      <c r="L114" s="34"/>
      <c r="M114" s="36">
        <f>DATA!K102</f>
        <v>5</v>
      </c>
      <c r="N114" s="37" t="str">
        <f>DATA!L102</f>
        <v xml:space="preserve">Urban Flood Control System Improvement in Selected Cities -Phase II  </v>
      </c>
      <c r="O114" s="20">
        <f>DATA!Q102</f>
        <v>1</v>
      </c>
      <c r="P114" s="20">
        <f>DATA!R102</f>
        <v>1</v>
      </c>
      <c r="Q114" s="20">
        <f>DATA!S102</f>
        <v>72</v>
      </c>
      <c r="R114" s="77">
        <f>DATA!T102</f>
        <v>120000000</v>
      </c>
      <c r="S114" s="77"/>
      <c r="T114" s="77">
        <f>DATA!V102</f>
        <v>12000000</v>
      </c>
      <c r="U114" s="77">
        <f>DATA!W102</f>
        <v>0</v>
      </c>
      <c r="V114" s="77">
        <f>DATA!X102</f>
        <v>132000000</v>
      </c>
      <c r="W114" s="78" t="str">
        <f>DATA!Y102</f>
        <v>JICA</v>
      </c>
      <c r="X114" s="20" t="str">
        <f>DATA!Z102</f>
        <v>Bilateral</v>
      </c>
      <c r="Y114" s="77">
        <f>DATA!AA102</f>
        <v>120000000</v>
      </c>
      <c r="Z114" s="77">
        <f>DATA!AG102</f>
        <v>0</v>
      </c>
      <c r="AA114" s="20">
        <f>DATA!AH102</f>
        <v>2018</v>
      </c>
      <c r="AB114" s="37" t="str">
        <f>DATA!AI102</f>
        <v>-</v>
      </c>
      <c r="AC114" s="37" t="str">
        <f>DATA!AJ102</f>
        <v>FS, DED, AMDAL</v>
      </c>
      <c r="AD114" s="37" t="str">
        <f>DATA!AK102</f>
        <v>LARAP</v>
      </c>
      <c r="AE114" s="37" t="str">
        <f>DATA!AL102</f>
        <v>-</v>
      </c>
      <c r="AF114" s="20" t="str">
        <f>DATA!AR102</f>
        <v>belum ada dokumen R/C</v>
      </c>
      <c r="AG114" s="20" t="str">
        <f>DATA!AN102</f>
        <v>siap</v>
      </c>
      <c r="AH114" s="20" t="str">
        <f>DATA!AO102</f>
        <v>dalam proses
(perencanaan)</v>
      </c>
      <c r="AI114" s="20" t="str">
        <f>DATA!AP102</f>
        <v>belum ada proses tender/lelang</v>
      </c>
      <c r="AJ114" s="20" t="str">
        <f>DATA!AY102</f>
        <v>Konfirmasi melalui surat Sekjen nomor KU.01.12-Sj/636 tgl 23 Oktober 2015</v>
      </c>
      <c r="AK114" s="20" t="e">
        <f>DATA!#REF!</f>
        <v>#REF!</v>
      </c>
      <c r="AL114" s="20">
        <f>DATA!AZ102</f>
        <v>0</v>
      </c>
      <c r="AM114" s="37" t="str">
        <f>DATA!BA102</f>
        <v>Meningkatkan kapasitas sistem sungai dengan total panjang 4.35 km dan drainase di kota-kota untuk mengalirkan air hujan dengan pembangunan tanggul 6,5 Km</v>
      </c>
    </row>
    <row r="115" spans="1:39" ht="46.5" hidden="1" customHeight="1">
      <c r="A115" s="10">
        <f>DATA!A104</f>
        <v>0</v>
      </c>
      <c r="B115" s="10">
        <f>DATA!B104</f>
        <v>0</v>
      </c>
      <c r="C115" s="10" t="str">
        <f>DATA!D104</f>
        <v>INFRASTRUKTUR</v>
      </c>
      <c r="D115" s="10">
        <f>DATA!E104</f>
        <v>1</v>
      </c>
      <c r="E115" s="10" t="str">
        <f>DATA!F104</f>
        <v>Kementerian Pekerjaan Umum dan Perumahan Rakyat</v>
      </c>
      <c r="F115" s="10" t="str">
        <f>DATA!H104</f>
        <v>Mitigation of Water Hazards Program</v>
      </c>
      <c r="G115" s="10" t="str">
        <f>DATA!I104</f>
        <v>K</v>
      </c>
      <c r="H115" s="10" t="str">
        <f>DATA!J104</f>
        <v>Program Mitigasi Terhadap Daya Rusak Air</v>
      </c>
      <c r="I115" s="10">
        <f>DATA!K104</f>
        <v>6</v>
      </c>
      <c r="J115" s="33"/>
      <c r="K115" s="34"/>
      <c r="L115" s="34"/>
      <c r="M115" s="36">
        <f>DATA!K104</f>
        <v>6</v>
      </c>
      <c r="N115" s="37" t="str">
        <f>DATA!L104</f>
        <v>Engineering Service for Coastal and River Development Project</v>
      </c>
      <c r="O115" s="20">
        <f>DATA!Q104</f>
        <v>1</v>
      </c>
      <c r="P115" s="20">
        <f>DATA!R104</f>
        <v>1</v>
      </c>
      <c r="Q115" s="20">
        <f>DATA!S104</f>
        <v>73</v>
      </c>
      <c r="R115" s="77">
        <f>DATA!T104</f>
        <v>50000000</v>
      </c>
      <c r="S115" s="77"/>
      <c r="T115" s="77">
        <f>DATA!V104</f>
        <v>0</v>
      </c>
      <c r="U115" s="77">
        <f>DATA!W104</f>
        <v>0</v>
      </c>
      <c r="V115" s="77">
        <f>DATA!X104</f>
        <v>50000000</v>
      </c>
      <c r="W115" s="78" t="str">
        <f>DATA!Y104</f>
        <v>ADB</v>
      </c>
      <c r="X115" s="20" t="str">
        <f>DATA!Z104</f>
        <v>Multilateral</v>
      </c>
      <c r="Y115" s="77">
        <f>DATA!AA104</f>
        <v>9620000</v>
      </c>
      <c r="Z115" s="77">
        <f>DATA!AG104</f>
        <v>0</v>
      </c>
      <c r="AA115" s="20">
        <f>DATA!AH104</f>
        <v>2016</v>
      </c>
      <c r="AB115" s="37" t="str">
        <f>DATA!AI104</f>
        <v>- Sudah ada RC
- Green Book 2016</v>
      </c>
      <c r="AC115" s="37" t="str">
        <f>DATA!AJ104</f>
        <v>FS, DED</v>
      </c>
      <c r="AD115" s="37" t="str">
        <f>DATA!AK104</f>
        <v>Tidak membutuhkan lahan</v>
      </c>
      <c r="AE115" s="37" t="str">
        <f>DATA!AL104</f>
        <v>Belum ada tender/lelang</v>
      </c>
      <c r="AF115" s="20" t="str">
        <f>DATA!AM104</f>
        <v>2016; 2015</v>
      </c>
      <c r="AG115" s="20" t="str">
        <f>DATA!AN104</f>
        <v>siap</v>
      </c>
      <c r="AH115" s="20" t="str">
        <f>DATA!AO104</f>
        <v>tidak butuh lahan</v>
      </c>
      <c r="AI115" s="20" t="str">
        <f>DATA!AP104</f>
        <v>belum ada proses tender/lelang</v>
      </c>
      <c r="AJ115"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K115" s="20" t="e">
        <f>DATA!#REF!</f>
        <v>#REF!</v>
      </c>
      <c r="AL115" s="20">
        <f>DATA!AZ104</f>
        <v>0</v>
      </c>
      <c r="AM115" s="37" t="str">
        <f>DATA!BA104</f>
        <v>Analisis rencana teknis pembangunan infrastruktur sungai di 33 balai wilayah sungai  dan pantai beserta fasilitasnya, O&amp;P dan pengadaan barang dan jasa</v>
      </c>
    </row>
    <row r="116" spans="1:39" ht="49.5" hidden="1" customHeight="1">
      <c r="A116" s="10">
        <f>DATA!A107</f>
        <v>80</v>
      </c>
      <c r="B116" s="10">
        <f>DATA!B107</f>
        <v>0</v>
      </c>
      <c r="C116" s="10" t="str">
        <f>DATA!D107</f>
        <v>INFRASTRUKTUR</v>
      </c>
      <c r="D116" s="10">
        <f>DATA!E107</f>
        <v>1</v>
      </c>
      <c r="E116" s="10" t="str">
        <f>DATA!F107</f>
        <v>Kementerian Pekerjaan Umum dan Perumahan Rakyat</v>
      </c>
      <c r="F116" s="10" t="str">
        <f>DATA!H107</f>
        <v>Mitigation of Water Hazards Program</v>
      </c>
      <c r="G116" s="10" t="str">
        <f>DATA!I107</f>
        <v>K</v>
      </c>
      <c r="H116" s="10" t="str">
        <f>DATA!J107</f>
        <v>Program Mitigasi Terhadap Daya Rusak Air</v>
      </c>
      <c r="I116" s="10">
        <f>DATA!K107</f>
        <v>7</v>
      </c>
      <c r="J116" s="33"/>
      <c r="K116" s="34"/>
      <c r="L116" s="34"/>
      <c r="M116" s="36">
        <f>DATA!K107</f>
        <v>7</v>
      </c>
      <c r="N116" s="37" t="str">
        <f>DATA!L107</f>
        <v>Flood Management in Selected River Basins:</v>
      </c>
      <c r="O116" s="20">
        <f>DATA!Q107</f>
        <v>0</v>
      </c>
      <c r="P116" s="20">
        <f>DATA!R107</f>
        <v>0</v>
      </c>
      <c r="Q116" s="20">
        <f>DATA!S107</f>
        <v>0</v>
      </c>
      <c r="R116" s="77">
        <f>DATA!T107</f>
        <v>308700000</v>
      </c>
      <c r="S116" s="77"/>
      <c r="T116" s="77">
        <f>DATA!V107</f>
        <v>70440000</v>
      </c>
      <c r="U116" s="77">
        <f>DATA!W107</f>
        <v>0</v>
      </c>
      <c r="V116" s="77">
        <f>DATA!X107</f>
        <v>379140000</v>
      </c>
      <c r="W116" s="78" t="str">
        <f>DATA!Y107</f>
        <v>-</v>
      </c>
      <c r="X116" s="20">
        <f>DATA!Z107</f>
        <v>0</v>
      </c>
      <c r="Y116" s="77">
        <f>DATA!AA107</f>
        <v>308700000</v>
      </c>
      <c r="Z116" s="77">
        <f>DATA!AG107</f>
        <v>0</v>
      </c>
      <c r="AA116" s="20" t="str">
        <f>DATA!AH107</f>
        <v>-</v>
      </c>
      <c r="AB116" s="37" t="str">
        <f>DATA!AI107</f>
        <v>-</v>
      </c>
      <c r="AC116" s="37" t="str">
        <f>DATA!AJ107</f>
        <v>-</v>
      </c>
      <c r="AD116" s="37" t="str">
        <f>DATA!AK107</f>
        <v>-</v>
      </c>
      <c r="AE116" s="37" t="str">
        <f>DATA!AL107</f>
        <v>-</v>
      </c>
      <c r="AF116" s="20" t="str">
        <f>DATA!AM107</f>
        <v>-</v>
      </c>
      <c r="AG116" s="20">
        <f>DATA!AN107</f>
        <v>0</v>
      </c>
      <c r="AH116" s="20" t="str">
        <f>DATA!AO107</f>
        <v>-</v>
      </c>
      <c r="AI116" s="20">
        <f>DATA!AP107</f>
        <v>0</v>
      </c>
      <c r="AJ116" s="20" t="str">
        <f>DATA!AY107</f>
        <v>Konfirmasi melalui surat Sekjen nomor KU.01.12-Sj/636 tgl 23 Oktober 2015</v>
      </c>
      <c r="AK116" s="20" t="e">
        <f>DATA!#REF!</f>
        <v>#REF!</v>
      </c>
      <c r="AL116" s="20">
        <f>DATA!AZ107</f>
        <v>0</v>
      </c>
      <c r="AM116" s="37" t="str">
        <f>DATA!BA107</f>
        <v>Meningkatkan kesiapan untuk mengelola dan memitigasi banjir melalui pendekatan pengelolaan banjir terpadu di DAS terpilih yang tersebar di seluruh Indonesia</v>
      </c>
    </row>
    <row r="117" spans="1:39" s="6" customFormat="1" ht="38.25" hidden="1">
      <c r="A117" s="6">
        <f>DATA!A108</f>
        <v>83</v>
      </c>
      <c r="B117" s="6">
        <f>DATA!B108</f>
        <v>0</v>
      </c>
      <c r="C117" s="6" t="str">
        <f>DATA!D108</f>
        <v>INFRASTRUKTUR</v>
      </c>
      <c r="D117" s="6">
        <f>DATA!E108</f>
        <v>1</v>
      </c>
      <c r="E117" s="6" t="str">
        <f>DATA!F108</f>
        <v>Kementerian Pekerjaan Umum dan Perumahan Rakyat</v>
      </c>
      <c r="F117" s="6" t="str">
        <f>DATA!H108</f>
        <v>Mitigation of Water Hazards Program</v>
      </c>
      <c r="G117" s="6" t="str">
        <f>DATA!I108</f>
        <v>K</v>
      </c>
      <c r="H117" s="6" t="str">
        <f>DATA!J108</f>
        <v>Program Mitigasi Terhadap Daya Rusak Air</v>
      </c>
      <c r="I117" s="6">
        <f>DATA!K108</f>
        <v>7</v>
      </c>
      <c r="J117" s="38"/>
      <c r="K117" s="39"/>
      <c r="L117" s="39"/>
      <c r="M117" s="72"/>
      <c r="N117" s="67" t="str">
        <f>DATA!L108</f>
        <v>Flood Management in Selected River Basins Sector Project (Additional Financing)</v>
      </c>
      <c r="O117" s="42">
        <f>DATA!Q108</f>
        <v>1</v>
      </c>
      <c r="P117" s="42">
        <f>DATA!R108</f>
        <v>1</v>
      </c>
      <c r="Q117" s="42">
        <f>DATA!S108</f>
        <v>74</v>
      </c>
      <c r="R117" s="83">
        <f>DATA!T108</f>
        <v>200000000</v>
      </c>
      <c r="S117" s="83"/>
      <c r="T117" s="83">
        <f>DATA!V108</f>
        <v>20000000</v>
      </c>
      <c r="U117" s="83">
        <f>DATA!W108</f>
        <v>0</v>
      </c>
      <c r="V117" s="83">
        <f>DATA!X108</f>
        <v>220000000</v>
      </c>
      <c r="W117" s="84" t="str">
        <f>DATA!Y108</f>
        <v>Belum Ada Indikasi</v>
      </c>
      <c r="X117" s="42" t="str">
        <f>DATA!Z108</f>
        <v>Multilateral</v>
      </c>
      <c r="Y117" s="83">
        <f>DATA!AA108</f>
        <v>200000000</v>
      </c>
      <c r="Z117" s="83">
        <f>DATA!AG108</f>
        <v>0</v>
      </c>
      <c r="AA117" s="42" t="str">
        <f>DATA!AH108</f>
        <v>Tanpa keterangan</v>
      </c>
      <c r="AB117" s="67" t="str">
        <f>DATA!AI108</f>
        <v>-</v>
      </c>
      <c r="AC117" s="67" t="str">
        <f>DATA!AJ108</f>
        <v>-</v>
      </c>
      <c r="AD117" s="67" t="str">
        <f>DATA!AK108</f>
        <v>-</v>
      </c>
      <c r="AE117" s="67" t="str">
        <f>DATA!AL108</f>
        <v>-</v>
      </c>
      <c r="AF117" s="42" t="str">
        <f>DATA!AR108</f>
        <v>belum ada dokumen R/C</v>
      </c>
      <c r="AG117" s="42" t="str">
        <f>DATA!AN108</f>
        <v>belum ada keterangan</v>
      </c>
      <c r="AH117" s="42" t="str">
        <f>DATA!AO108</f>
        <v>belum ada keterangan</v>
      </c>
      <c r="AI117" s="42" t="str">
        <f>DATA!AP108</f>
        <v>belum ada proses tender/lelang</v>
      </c>
      <c r="AJ117" s="42" t="str">
        <f>DATA!AY108</f>
        <v>Konfirmasi melalui surat Sekjen nomor KU.01.12-Sj/636 tgl 23 Oktober 2015</v>
      </c>
      <c r="AK117" s="42" t="e">
        <f>DATA!#REF!</f>
        <v>#REF!</v>
      </c>
      <c r="AL117" s="42" t="str">
        <f>DATA!AZ108</f>
        <v>untuk wilayah Banten</v>
      </c>
      <c r="AM117" s="67" t="str">
        <f>DATA!BA108</f>
        <v>Meningkatkan kesiapan untuk mengelola dan memitigasi banjir melalui pendekatan pengelolaan banjir terpadu di DAS terpilih</v>
      </c>
    </row>
    <row r="118" spans="1:39" s="6" customFormat="1" ht="87" hidden="1" customHeight="1">
      <c r="A118" s="6">
        <f>DATA!A109</f>
        <v>84</v>
      </c>
      <c r="B118" s="6">
        <f>DATA!B109</f>
        <v>0</v>
      </c>
      <c r="C118" s="6" t="str">
        <f>DATA!D109</f>
        <v>INFRASTRUKTUR</v>
      </c>
      <c r="D118" s="6">
        <f>DATA!E109</f>
        <v>1</v>
      </c>
      <c r="E118" s="6" t="str">
        <f>DATA!F109</f>
        <v>Kementerian Pekerjaan Umum dan Perumahan Rakyat</v>
      </c>
      <c r="F118" s="6" t="str">
        <f>DATA!H109</f>
        <v>Mitigation of Water Hazards Program</v>
      </c>
      <c r="G118" s="6" t="str">
        <f>DATA!I109</f>
        <v>K</v>
      </c>
      <c r="H118" s="6" t="str">
        <f>DATA!J109</f>
        <v>Program Mitigasi Terhadap Daya Rusak Air</v>
      </c>
      <c r="I118" s="6">
        <f>DATA!K109</f>
        <v>7</v>
      </c>
      <c r="J118" s="38"/>
      <c r="K118" s="39"/>
      <c r="L118" s="71"/>
      <c r="M118" s="72"/>
      <c r="N118" s="67" t="str">
        <f>DATA!L109</f>
        <v>Flood Management in Selected River Basins</v>
      </c>
      <c r="O118" s="42">
        <f>DATA!Q109</f>
        <v>1</v>
      </c>
      <c r="P118" s="42">
        <f>DATA!R109</f>
        <v>1</v>
      </c>
      <c r="Q118" s="42">
        <f>DATA!S109</f>
        <v>75</v>
      </c>
      <c r="R118" s="83">
        <f>DATA!T109</f>
        <v>108700000</v>
      </c>
      <c r="S118" s="83"/>
      <c r="T118" s="83">
        <f>DATA!V109</f>
        <v>50440000</v>
      </c>
      <c r="U118" s="83">
        <f>DATA!W109</f>
        <v>0</v>
      </c>
      <c r="V118" s="83">
        <f>DATA!X109</f>
        <v>159140000</v>
      </c>
      <c r="W118" s="84" t="str">
        <f>DATA!Y109</f>
        <v>ADB</v>
      </c>
      <c r="X118" s="42" t="str">
        <f>DATA!Z109</f>
        <v>Multilateral</v>
      </c>
      <c r="Y118" s="83">
        <f>DATA!AA109</f>
        <v>108700000</v>
      </c>
      <c r="Z118" s="83">
        <f>DATA!AG109</f>
        <v>0</v>
      </c>
      <c r="AA118" s="42" t="str">
        <f>DATA!AH109</f>
        <v>Tanpa keterangan</v>
      </c>
      <c r="AB118" s="67" t="str">
        <f>DATA!AI109</f>
        <v>- Sudah ada RC
- Green Book 2015</v>
      </c>
      <c r="AC118" s="67" t="str">
        <f>DATA!AJ109</f>
        <v>FS, DED</v>
      </c>
      <c r="AD118" s="67" t="str">
        <f>DATA!AK109</f>
        <v>- Penetapan lokasi dengan SK Gubernur Banten dan Gubernur Maluku
- Izin AMDAL dengan SK Walikota Ambon</v>
      </c>
      <c r="AE118" s="67" t="str">
        <f>DATA!AL109</f>
        <v>Belum ada tender/lelang</v>
      </c>
      <c r="AF118" s="42" t="str">
        <f>DATA!AR109</f>
        <v>-</v>
      </c>
      <c r="AG118" s="42" t="str">
        <f>DATA!AN109</f>
        <v>dalam proses
(memiliki FS dan DED)</v>
      </c>
      <c r="AH118" s="42" t="str">
        <f>DATA!AO109</f>
        <v>dalam proses
(persiapan)</v>
      </c>
      <c r="AI118" s="42" t="str">
        <f>DATA!AP109</f>
        <v>belum ada proses tender/lelang</v>
      </c>
      <c r="AJ118" s="42" t="str">
        <f>DATA!AY109</f>
        <v>Konfirmasi melalui surat Sekjen nomor KU.01.12-Sj/636 tgl 23 Oktober 2015</v>
      </c>
      <c r="AK118" s="42" t="e">
        <f>DATA!#REF!</f>
        <v>#REF!</v>
      </c>
      <c r="AL118" s="42" t="str">
        <f>DATA!AZ109</f>
        <v>Ambon appraisal MoU 2015</v>
      </c>
      <c r="AM118" s="67" t="str">
        <f>DATA!BA109</f>
        <v>Meningkatkan kesiapan untuk mengelola dan memitigasi banjir melalui pendekatan pengelolaan banjir terpadu di DAS Ciujung, DAS Batu Merah, dan DAS Way Ruhu</v>
      </c>
    </row>
    <row r="119" spans="1:39" s="5" customFormat="1" ht="33.75" hidden="1" customHeight="1">
      <c r="J119" s="28"/>
      <c r="K119" s="50"/>
      <c r="L119" s="30" t="str">
        <f>DATA!I110</f>
        <v>L</v>
      </c>
      <c r="M119" s="31" t="str">
        <f>DATA!J110</f>
        <v xml:space="preserve">Program Pengelolaan Infrastruktur Sumber Daya Air </v>
      </c>
      <c r="N119" s="51"/>
      <c r="O119" s="31"/>
      <c r="P119" s="31"/>
      <c r="Q119" s="31"/>
      <c r="R119" s="81">
        <f>+R120+R121+R122</f>
        <v>650000000</v>
      </c>
      <c r="S119" s="81"/>
      <c r="T119" s="81">
        <f t="shared" ref="T119:Z119" si="7">+T120+T121+T122</f>
        <v>130000000</v>
      </c>
      <c r="U119" s="81">
        <f t="shared" si="7"/>
        <v>0</v>
      </c>
      <c r="V119" s="81">
        <f t="shared" si="7"/>
        <v>780000000</v>
      </c>
      <c r="W119" s="81"/>
      <c r="X119" s="81" t="e">
        <f t="shared" si="7"/>
        <v>#VALUE!</v>
      </c>
      <c r="Y119" s="81">
        <f t="shared" si="7"/>
        <v>650000000</v>
      </c>
      <c r="Z119" s="81">
        <f t="shared" si="7"/>
        <v>-50000000</v>
      </c>
      <c r="AA119" s="31"/>
      <c r="AB119" s="32"/>
      <c r="AC119" s="32"/>
      <c r="AD119" s="32"/>
      <c r="AE119" s="32"/>
      <c r="AF119" s="31"/>
      <c r="AG119" s="31"/>
      <c r="AH119" s="31"/>
      <c r="AI119" s="31"/>
      <c r="AJ119" s="31"/>
      <c r="AK119" s="31"/>
      <c r="AL119" s="31"/>
      <c r="AM119" s="32"/>
    </row>
    <row r="120" spans="1:39" ht="58.5" hidden="1" customHeight="1">
      <c r="A120" s="10">
        <f>DATA!A110</f>
        <v>85</v>
      </c>
      <c r="B120" s="10">
        <f>DATA!B110</f>
        <v>0</v>
      </c>
      <c r="C120" s="10" t="str">
        <f>DATA!D110</f>
        <v>INFRASTRUKTUR</v>
      </c>
      <c r="D120" s="10">
        <f>DATA!E110</f>
        <v>1</v>
      </c>
      <c r="E120" s="10" t="str">
        <f>DATA!F110</f>
        <v>Kementerian Pekerjaan Umum dan Perumahan Rakyat</v>
      </c>
      <c r="F120" s="10" t="str">
        <f>DATA!H110</f>
        <v>Management of Water Resources Infrastructure Program</v>
      </c>
      <c r="G120" s="10" t="str">
        <f>DATA!I110</f>
        <v>L</v>
      </c>
      <c r="H120" s="10" t="str">
        <f>DATA!J110</f>
        <v xml:space="preserve">Program Pengelolaan Infrastruktur Sumber Daya Air </v>
      </c>
      <c r="I120" s="10">
        <f>DATA!K110</f>
        <v>1</v>
      </c>
      <c r="J120" s="33"/>
      <c r="K120" s="34"/>
      <c r="L120" s="35"/>
      <c r="M120" s="36">
        <f>DATA!K110</f>
        <v>1</v>
      </c>
      <c r="N120" s="37" t="str">
        <f>DATA!L110</f>
        <v xml:space="preserve">Dam Operational Improvement and Safety Project (DOISP) - Phase II </v>
      </c>
      <c r="O120" s="20">
        <f>DATA!Q110</f>
        <v>1</v>
      </c>
      <c r="P120" s="20">
        <f>DATA!R110</f>
        <v>1</v>
      </c>
      <c r="Q120" s="20">
        <f>DATA!S110</f>
        <v>76</v>
      </c>
      <c r="R120" s="77">
        <f>DATA!T110</f>
        <v>250000000</v>
      </c>
      <c r="S120" s="77"/>
      <c r="T120" s="77">
        <f>DATA!V110</f>
        <v>50000000</v>
      </c>
      <c r="U120" s="77">
        <f>DATA!W110</f>
        <v>0</v>
      </c>
      <c r="V120" s="77">
        <f>DATA!X110</f>
        <v>300000000</v>
      </c>
      <c r="W120" s="78" t="str">
        <f>DATA!Y110</f>
        <v>Bank Dunia</v>
      </c>
      <c r="X120" s="20" t="str">
        <f>DATA!Z110</f>
        <v>Multilateral</v>
      </c>
      <c r="Y120" s="77">
        <f>DATA!AA110</f>
        <v>250000000</v>
      </c>
      <c r="Z120" s="77">
        <f>DATA!AG110</f>
        <v>0</v>
      </c>
      <c r="AA120" s="20" t="str">
        <f>DATA!AH110</f>
        <v>Tanpa keterangan</v>
      </c>
      <c r="AB120" s="37" t="str">
        <f>DATA!AI110</f>
        <v>-</v>
      </c>
      <c r="AC120" s="37" t="str">
        <f>DATA!AJ110</f>
        <v>FS</v>
      </c>
      <c r="AD120" s="37" t="str">
        <f>DATA!AK110</f>
        <v>-</v>
      </c>
      <c r="AE120" s="37" t="str">
        <f>DATA!AL110</f>
        <v>-</v>
      </c>
      <c r="AF120" s="20" t="str">
        <f>DATA!AR110</f>
        <v>-</v>
      </c>
      <c r="AG120" s="20" t="str">
        <f>DATA!AN110</f>
        <v>dalam proses
(memiliki FS)</v>
      </c>
      <c r="AH120" s="20" t="str">
        <f>DATA!AO110</f>
        <v>belum ada keterangan</v>
      </c>
      <c r="AI120" s="20" t="str">
        <f>DATA!AP110</f>
        <v>belum ada proses tender/lelang</v>
      </c>
      <c r="AJ120" s="20" t="str">
        <f>DATA!AY110</f>
        <v>Konfirmasi melalui surat Sekjen nomor KU.01.12-Sj/636 tgl 23 Oktober 2015</v>
      </c>
      <c r="AK120" s="20" t="e">
        <f>DATA!#REF!</f>
        <v>#REF!</v>
      </c>
      <c r="AL120" s="20">
        <f>DATA!AZ110</f>
        <v>0</v>
      </c>
      <c r="AM120" s="37" t="str">
        <f>DATA!BA110</f>
        <v>Peningkatan operasi dan keamanan 63 bendungan, peningkatan OP dan kapasitas SDM, mitigasi sedimentasi waduk, peningkatan institusi keamanan bendungan dan manajemen proyek</v>
      </c>
    </row>
    <row r="121" spans="1:39" ht="50.25" hidden="1" customHeight="1">
      <c r="A121" s="10">
        <f>DATA!A113</f>
        <v>86</v>
      </c>
      <c r="B121" s="10">
        <f>DATA!B113</f>
        <v>0</v>
      </c>
      <c r="C121" s="10" t="str">
        <f>DATA!D113</f>
        <v>INFRASTRUKTUR</v>
      </c>
      <c r="D121" s="10">
        <f>DATA!E113</f>
        <v>1</v>
      </c>
      <c r="E121" s="10" t="str">
        <f>DATA!F113</f>
        <v>Kementerian Pekerjaan Umum dan Perumahan Rakyat</v>
      </c>
      <c r="F121" s="10" t="str">
        <f>DATA!H113</f>
        <v>Management of Water Resources Infrastructure Program</v>
      </c>
      <c r="G121" s="10" t="str">
        <f>DATA!I113</f>
        <v>L</v>
      </c>
      <c r="H121" s="10" t="str">
        <f>DATA!J113</f>
        <v xml:space="preserve">Program Pengelolaan Infrastruktur Sumber Daya Air </v>
      </c>
      <c r="I121" s="10">
        <f>DATA!K113</f>
        <v>2</v>
      </c>
      <c r="J121" s="33"/>
      <c r="K121" s="34"/>
      <c r="L121" s="34"/>
      <c r="M121" s="36">
        <f>DATA!K113</f>
        <v>2</v>
      </c>
      <c r="N121" s="37" t="str">
        <f>DATA!L113</f>
        <v xml:space="preserve">Enhanced Water Security Investment Program    </v>
      </c>
      <c r="O121" s="20">
        <f>DATA!Q113</f>
        <v>1</v>
      </c>
      <c r="P121" s="20">
        <f>DATA!R113</f>
        <v>1</v>
      </c>
      <c r="Q121" s="20">
        <f>DATA!S113</f>
        <v>77</v>
      </c>
      <c r="R121" s="77">
        <f>DATA!T113</f>
        <v>350000000</v>
      </c>
      <c r="S121" s="77"/>
      <c r="T121" s="77">
        <f>DATA!V113</f>
        <v>70000000</v>
      </c>
      <c r="U121" s="77">
        <f>DATA!W113</f>
        <v>0</v>
      </c>
      <c r="V121" s="77">
        <f>DATA!X113</f>
        <v>420000000</v>
      </c>
      <c r="W121" s="78" t="str">
        <f>DATA!Y113</f>
        <v>ADB</v>
      </c>
      <c r="X121" s="20" t="str">
        <f>DATA!Z113</f>
        <v>Multilateral</v>
      </c>
      <c r="Y121" s="77">
        <f>DATA!AA113</f>
        <v>350000000</v>
      </c>
      <c r="Z121" s="77">
        <f>DATA!AG113</f>
        <v>0</v>
      </c>
      <c r="AA121" s="20" t="str">
        <f>DATA!AH113</f>
        <v>Tanpa keterangan</v>
      </c>
      <c r="AB121" s="37" t="str">
        <f>DATA!AI113</f>
        <v>-</v>
      </c>
      <c r="AC121" s="37" t="str">
        <f>DATA!AJ113</f>
        <v>-</v>
      </c>
      <c r="AD121" s="37" t="str">
        <f>DATA!AK113</f>
        <v>-</v>
      </c>
      <c r="AE121" s="37" t="str">
        <f>DATA!AL113</f>
        <v>-</v>
      </c>
      <c r="AF121" s="20" t="str">
        <f>DATA!AR113</f>
        <v>belum ada dokumen R/C</v>
      </c>
      <c r="AG121" s="20" t="str">
        <f>DATA!AN113</f>
        <v>belum ada keterangan</v>
      </c>
      <c r="AH121" s="20" t="str">
        <f>DATA!AO113</f>
        <v>belum ada keterangan</v>
      </c>
      <c r="AI121" s="20" t="str">
        <f>DATA!AP113</f>
        <v>belum ada proses tender/lelang</v>
      </c>
      <c r="AJ121" s="20" t="str">
        <f>DATA!AY113</f>
        <v>Konfirmasi melalui surat Sekjen nomor KU.01.12-Sj/636 tgl 23 Oktober 2015</v>
      </c>
      <c r="AK121" s="20" t="e">
        <f>DATA!#REF!</f>
        <v>#REF!</v>
      </c>
      <c r="AL121" s="20" t="str">
        <f>DATA!AZ113</f>
        <v>Belum ada pembicaraan dgn ADB</v>
      </c>
      <c r="AM121" s="37" t="str">
        <f>DATA!BA113</f>
        <v>Peningkatan kapasitas waduk, pemanfaatan potensi bendungan untuk pembangkit listrik dan manajemen proyek</v>
      </c>
    </row>
    <row r="122" spans="1:39" ht="32.25" hidden="1" customHeight="1">
      <c r="A122" s="10">
        <f>DATA!A114</f>
        <v>87</v>
      </c>
      <c r="B122" s="10">
        <f>DATA!B114</f>
        <v>0</v>
      </c>
      <c r="C122" s="10" t="str">
        <f>DATA!D114</f>
        <v>INFRASTRUKTUR</v>
      </c>
      <c r="D122" s="10">
        <f>DATA!E114</f>
        <v>1</v>
      </c>
      <c r="E122" s="10" t="str">
        <f>DATA!F114</f>
        <v>Kementerian Pekerjaan Umum dan Perumahan Rakyat</v>
      </c>
      <c r="F122" s="10" t="str">
        <f>DATA!H114</f>
        <v>Management of Water Resources Infrastructure Program</v>
      </c>
      <c r="G122" s="10" t="str">
        <f>DATA!I114</f>
        <v>L</v>
      </c>
      <c r="H122" s="10" t="str">
        <f>DATA!J114</f>
        <v xml:space="preserve">Program Pengelolaan Infrastruktur Sumber Daya Air </v>
      </c>
      <c r="I122" s="10">
        <f>DATA!K114</f>
        <v>3</v>
      </c>
      <c r="J122" s="33"/>
      <c r="K122" s="34"/>
      <c r="L122" s="54"/>
      <c r="M122" s="36">
        <f>DATA!K114</f>
        <v>3</v>
      </c>
      <c r="N122" s="37" t="str">
        <f>DATA!L114</f>
        <v>Engineering Service for Water Resources Infrastructure Management</v>
      </c>
      <c r="O122" s="20">
        <f>DATA!Q114</f>
        <v>1</v>
      </c>
      <c r="P122" s="20">
        <f>DATA!R114</f>
        <v>1</v>
      </c>
      <c r="Q122" s="20">
        <f>DATA!S114</f>
        <v>78</v>
      </c>
      <c r="R122" s="77">
        <f>DATA!T114</f>
        <v>50000000</v>
      </c>
      <c r="S122" s="77"/>
      <c r="T122" s="77">
        <f>DATA!V114</f>
        <v>10000000</v>
      </c>
      <c r="U122" s="77">
        <f>DATA!W114</f>
        <v>0</v>
      </c>
      <c r="V122" s="77">
        <f>DATA!X114</f>
        <v>60000000</v>
      </c>
      <c r="W122" s="78" t="str">
        <f>DATA!Y114</f>
        <v>Belum Ada Indikasi</v>
      </c>
      <c r="X122" s="20" t="str">
        <f>DATA!Z114</f>
        <v>Multilateral</v>
      </c>
      <c r="Y122" s="77">
        <f>DATA!AA114</f>
        <v>50000000</v>
      </c>
      <c r="Z122" s="77">
        <f>DATA!AG114</f>
        <v>-50000000</v>
      </c>
      <c r="AA122" s="20" t="str">
        <f>DATA!AH114</f>
        <v>Tanpa keterangan</v>
      </c>
      <c r="AB122" s="37" t="str">
        <f>DATA!AI114</f>
        <v>-</v>
      </c>
      <c r="AC122" s="37" t="str">
        <f>DATA!AJ114</f>
        <v>-</v>
      </c>
      <c r="AD122" s="37" t="str">
        <f>DATA!AK114</f>
        <v>-</v>
      </c>
      <c r="AE122" s="37" t="str">
        <f>DATA!AL114</f>
        <v>-</v>
      </c>
      <c r="AF122" s="20" t="str">
        <f>DATA!AR114</f>
        <v>belum ada dokumen R/C</v>
      </c>
      <c r="AG122" s="20" t="str">
        <f>DATA!AN114</f>
        <v>siap</v>
      </c>
      <c r="AH122" s="20" t="str">
        <f>DATA!AO114</f>
        <v>tidak butuh lahan</v>
      </c>
      <c r="AI122" s="20" t="str">
        <f>DATA!AP114</f>
        <v>belum ada proses tender/lelang</v>
      </c>
      <c r="AJ122" s="20" t="str">
        <f>DATA!AY114</f>
        <v>Konfirmasi melalui surat Sekjen nomor KU.01.12-Sj/636 tgl 23 Oktober 2015</v>
      </c>
      <c r="AK122" s="20" t="e">
        <f>DATA!#REF!</f>
        <v>#REF!</v>
      </c>
      <c r="AL122" s="20" t="str">
        <f>DATA!AZ114</f>
        <v>Belum ada pembicaraan dgn ADB</v>
      </c>
      <c r="AM122" s="37" t="str">
        <f>DATA!BA114</f>
        <v>Engineering services dan management project untuk pengelolaan infrastruktur sumber daya air</v>
      </c>
    </row>
    <row r="123" spans="1:39" s="5" customFormat="1" ht="33.75" hidden="1" customHeight="1">
      <c r="J123" s="28"/>
      <c r="K123" s="50"/>
      <c r="L123" s="30" t="str">
        <f>DATA!I117</f>
        <v>M</v>
      </c>
      <c r="M123" s="31" t="str">
        <f>DATA!J117</f>
        <v>Program Penyediaaan Perumahan Bagi MBR</v>
      </c>
      <c r="N123" s="51"/>
      <c r="O123" s="31"/>
      <c r="P123" s="31"/>
      <c r="Q123" s="31"/>
      <c r="R123" s="81">
        <f>+R124</f>
        <v>300000000</v>
      </c>
      <c r="S123" s="81"/>
      <c r="T123" s="81">
        <f t="shared" ref="T123:Z123" si="8">+T124</f>
        <v>15000000</v>
      </c>
      <c r="U123" s="81">
        <f t="shared" si="8"/>
        <v>7000000</v>
      </c>
      <c r="V123" s="81">
        <f t="shared" si="8"/>
        <v>322000000</v>
      </c>
      <c r="W123" s="81"/>
      <c r="X123" s="81" t="str">
        <f t="shared" si="8"/>
        <v>Multilateral</v>
      </c>
      <c r="Y123" s="81">
        <f t="shared" si="8"/>
        <v>300000000</v>
      </c>
      <c r="Z123" s="81">
        <f t="shared" si="8"/>
        <v>0</v>
      </c>
      <c r="AA123" s="31"/>
      <c r="AB123" s="32"/>
      <c r="AC123" s="32"/>
      <c r="AD123" s="32"/>
      <c r="AE123" s="32"/>
      <c r="AF123" s="31"/>
      <c r="AG123" s="31"/>
      <c r="AH123" s="31"/>
      <c r="AI123" s="31"/>
      <c r="AJ123" s="31"/>
      <c r="AK123" s="31"/>
      <c r="AL123" s="31"/>
      <c r="AM123" s="32"/>
    </row>
    <row r="124" spans="1:39" ht="45.75" hidden="1" customHeight="1">
      <c r="A124" s="10">
        <f>DATA!A117</f>
        <v>88</v>
      </c>
      <c r="B124" s="10">
        <f>DATA!B117</f>
        <v>0</v>
      </c>
      <c r="C124" s="10" t="str">
        <f>DATA!D117</f>
        <v>INFRASTRUKTUR</v>
      </c>
      <c r="D124" s="10">
        <f>DATA!E117</f>
        <v>1</v>
      </c>
      <c r="E124" s="10" t="str">
        <f>DATA!F117</f>
        <v>Kementerian Pekerjaan Umum dan Perumahan Rakyat</v>
      </c>
      <c r="F124" s="10" t="str">
        <f>DATA!H117</f>
        <v>Program for Provision of Housing For Low-Income Households</v>
      </c>
      <c r="G124" s="10" t="str">
        <f>DATA!I117</f>
        <v>M</v>
      </c>
      <c r="H124" s="10" t="str">
        <f>DATA!J117</f>
        <v>Program Penyediaaan Perumahan Bagi MBR</v>
      </c>
      <c r="I124" s="10">
        <f>DATA!K117</f>
        <v>1</v>
      </c>
      <c r="J124" s="33"/>
      <c r="K124" s="54"/>
      <c r="L124" s="20"/>
      <c r="M124" s="36">
        <f>DATA!K117</f>
        <v>1</v>
      </c>
      <c r="N124" s="37" t="str">
        <f>DATA!L117</f>
        <v xml:space="preserve">Financial Support for Low Income Households </v>
      </c>
      <c r="O124" s="20">
        <f>DATA!Q117</f>
        <v>0</v>
      </c>
      <c r="P124" s="20">
        <f>DATA!R117</f>
        <v>0</v>
      </c>
      <c r="Q124" s="20">
        <f>DATA!S117</f>
        <v>79</v>
      </c>
      <c r="R124" s="77">
        <f>DATA!T117</f>
        <v>300000000</v>
      </c>
      <c r="S124" s="77"/>
      <c r="T124" s="77">
        <f>DATA!V117</f>
        <v>15000000</v>
      </c>
      <c r="U124" s="77">
        <f>DATA!W117</f>
        <v>7000000</v>
      </c>
      <c r="V124" s="77">
        <f>DATA!X117</f>
        <v>322000000</v>
      </c>
      <c r="W124" s="78" t="str">
        <f>DATA!Y117</f>
        <v>Bank Dunia</v>
      </c>
      <c r="X124" s="20" t="str">
        <f>DATA!Z117</f>
        <v>Multilateral</v>
      </c>
      <c r="Y124" s="77">
        <f>DATA!AA117</f>
        <v>300000000</v>
      </c>
      <c r="Z124" s="77">
        <f>DATA!AG117</f>
        <v>0</v>
      </c>
      <c r="AA124" s="20">
        <f>DATA!AH117</f>
        <v>2017</v>
      </c>
      <c r="AB124" s="37" t="str">
        <f>DATA!AI117</f>
        <v>Penyusunan R/C</v>
      </c>
      <c r="AC124" s="37" t="str">
        <f>DATA!AJ117</f>
        <v>-</v>
      </c>
      <c r="AD124" s="37" t="str">
        <f>DATA!AK117</f>
        <v>-</v>
      </c>
      <c r="AE124" s="37" t="str">
        <f>DATA!AL117</f>
        <v>-</v>
      </c>
      <c r="AF124" s="20" t="str">
        <f>DATA!AR117</f>
        <v>belum ada dokumen R/C</v>
      </c>
      <c r="AG124" s="20" t="str">
        <f>DATA!AN117</f>
        <v>belum ada keterangan</v>
      </c>
      <c r="AH124" s="20" t="str">
        <f>DATA!AO117</f>
        <v>belum ada keterangan</v>
      </c>
      <c r="AI124" s="20" t="str">
        <f>DATA!AP117</f>
        <v>belum ada proses tender/lelang</v>
      </c>
      <c r="AJ124" s="20" t="str">
        <f>DATA!AY117</f>
        <v>Konfirmasi melalui surat Sekjen nomor KU.01.12-Sj/636 tgl 23 Oktober 2015</v>
      </c>
      <c r="AK124" s="20" t="e">
        <f>DATA!#REF!</f>
        <v>#REF!</v>
      </c>
      <c r="AL124" s="20" t="str">
        <f>DATA!AZ117</f>
        <v>Tujuan kegiatan ini adalah untuk membantu uang muka pembangunan rumah</v>
      </c>
      <c r="AM124" s="37" t="str">
        <f>DATA!BA117</f>
        <v>Peningkatan kapasitas lembaga pembiayaan, pengembangan sistem pembiayaan perumahan mikro, dan pengembangan  sistem pembiayaan perumahan</v>
      </c>
    </row>
    <row r="125" spans="1:39" s="4" customFormat="1" ht="24.95" hidden="1" customHeight="1">
      <c r="J125" s="107"/>
      <c r="K125" s="25">
        <f>DATA!E118</f>
        <v>2</v>
      </c>
      <c r="L125" s="108" t="str">
        <f>DATA!F118</f>
        <v>PERUMNAS</v>
      </c>
      <c r="M125" s="26"/>
      <c r="N125" s="27"/>
      <c r="O125" s="26"/>
      <c r="P125" s="26"/>
      <c r="Q125" s="26"/>
      <c r="R125" s="80">
        <f>+R126</f>
        <v>200000000</v>
      </c>
      <c r="S125" s="80"/>
      <c r="T125" s="80">
        <f t="shared" ref="T125:Z126" si="9">+T126</f>
        <v>20000000</v>
      </c>
      <c r="U125" s="80">
        <f t="shared" si="9"/>
        <v>0</v>
      </c>
      <c r="V125" s="80">
        <f t="shared" si="9"/>
        <v>220000000</v>
      </c>
      <c r="W125" s="80"/>
      <c r="X125" s="80" t="str">
        <f t="shared" si="9"/>
        <v>Bilateral</v>
      </c>
      <c r="Y125" s="80">
        <f t="shared" si="9"/>
        <v>200000000</v>
      </c>
      <c r="Z125" s="80">
        <f t="shared" si="9"/>
        <v>0</v>
      </c>
      <c r="AA125" s="26"/>
      <c r="AB125" s="27"/>
      <c r="AC125" s="27"/>
      <c r="AD125" s="27"/>
      <c r="AE125" s="27"/>
      <c r="AF125" s="26"/>
      <c r="AG125" s="26"/>
      <c r="AH125" s="26"/>
      <c r="AI125" s="26"/>
      <c r="AJ125" s="26"/>
      <c r="AK125" s="26"/>
      <c r="AL125" s="26"/>
      <c r="AM125" s="27"/>
    </row>
    <row r="126" spans="1:39" s="5" customFormat="1" ht="33.75" hidden="1" customHeight="1">
      <c r="J126" s="28"/>
      <c r="K126" s="29"/>
      <c r="L126" s="30" t="str">
        <f>DATA!I118</f>
        <v>A</v>
      </c>
      <c r="M126" s="31" t="str">
        <f>DATA!J118</f>
        <v>Program Penyediaaan Perumahan Bagi MBR</v>
      </c>
      <c r="N126" s="51"/>
      <c r="O126" s="31"/>
      <c r="P126" s="31"/>
      <c r="Q126" s="31"/>
      <c r="R126" s="81">
        <f>+R127</f>
        <v>200000000</v>
      </c>
      <c r="S126" s="81"/>
      <c r="T126" s="81">
        <f t="shared" si="9"/>
        <v>20000000</v>
      </c>
      <c r="U126" s="81">
        <f t="shared" si="9"/>
        <v>0</v>
      </c>
      <c r="V126" s="81">
        <f t="shared" si="9"/>
        <v>220000000</v>
      </c>
      <c r="W126" s="81"/>
      <c r="X126" s="81" t="str">
        <f t="shared" si="9"/>
        <v>Bilateral</v>
      </c>
      <c r="Y126" s="81">
        <f t="shared" si="9"/>
        <v>200000000</v>
      </c>
      <c r="Z126" s="81">
        <f t="shared" si="9"/>
        <v>0</v>
      </c>
      <c r="AA126" s="31"/>
      <c r="AB126" s="32"/>
      <c r="AC126" s="32"/>
      <c r="AD126" s="32"/>
      <c r="AE126" s="32"/>
      <c r="AF126" s="31"/>
      <c r="AG126" s="31"/>
      <c r="AH126" s="31"/>
      <c r="AI126" s="31"/>
      <c r="AJ126" s="31"/>
      <c r="AK126" s="31"/>
      <c r="AL126" s="31"/>
      <c r="AM126" s="32"/>
    </row>
    <row r="127" spans="1:39" ht="63.75" hidden="1">
      <c r="A127" s="10">
        <f>DATA!A118</f>
        <v>89</v>
      </c>
      <c r="B127" s="10">
        <f>DATA!B118</f>
        <v>0</v>
      </c>
      <c r="C127" s="10" t="str">
        <f>DATA!D118</f>
        <v>INFRASTRUKTUR</v>
      </c>
      <c r="D127" s="10">
        <f>DATA!E118</f>
        <v>2</v>
      </c>
      <c r="E127" s="10" t="str">
        <f>DATA!F118</f>
        <v>PERUMNAS</v>
      </c>
      <c r="F127" s="10" t="str">
        <f>DATA!H118</f>
        <v>Program for Provision of Housing For Low-Income Households</v>
      </c>
      <c r="G127" s="10" t="str">
        <f>DATA!I118</f>
        <v>A</v>
      </c>
      <c r="H127" s="10" t="str">
        <f>DATA!J118</f>
        <v>Program Penyediaaan Perumahan Bagi MBR</v>
      </c>
      <c r="I127" s="10">
        <f>DATA!K118</f>
        <v>1</v>
      </c>
      <c r="J127" s="33"/>
      <c r="K127" s="54"/>
      <c r="L127" s="20"/>
      <c r="M127" s="36">
        <f>DATA!K118</f>
        <v>1</v>
      </c>
      <c r="N127" s="37" t="str">
        <f>DATA!L118</f>
        <v>Support for National Housing and Urban Development Cooperation</v>
      </c>
      <c r="O127" s="20">
        <f>DATA!Q118</f>
        <v>1</v>
      </c>
      <c r="P127" s="20">
        <f>DATA!R118</f>
        <v>1</v>
      </c>
      <c r="Q127" s="20">
        <f>DATA!S118</f>
        <v>80</v>
      </c>
      <c r="R127" s="77">
        <f>DATA!T118</f>
        <v>200000000</v>
      </c>
      <c r="S127" s="77"/>
      <c r="T127" s="77">
        <f>DATA!V118</f>
        <v>20000000</v>
      </c>
      <c r="U127" s="77">
        <f>DATA!W118</f>
        <v>0</v>
      </c>
      <c r="V127" s="77">
        <f>DATA!X118</f>
        <v>220000000</v>
      </c>
      <c r="W127" s="78" t="str">
        <f>DATA!Y118</f>
        <v>JICA</v>
      </c>
      <c r="X127" s="20" t="str">
        <f>DATA!Z118</f>
        <v>Bilateral</v>
      </c>
      <c r="Y127" s="77">
        <f>DATA!AA118</f>
        <v>200000000</v>
      </c>
      <c r="Z127" s="77">
        <f>DATA!AG118</f>
        <v>0</v>
      </c>
      <c r="AA127" s="20">
        <f>DATA!AH118</f>
        <v>2017</v>
      </c>
      <c r="AB127" s="37" t="str">
        <f>DATA!AI118</f>
        <v>Penyusunan R/C</v>
      </c>
      <c r="AC127" s="37" t="str">
        <f>DATA!AJ118</f>
        <v>FS, DED</v>
      </c>
      <c r="AD127" s="37" t="str">
        <f>DATA!AK118</f>
        <v>100% (lahan milik PERUMNAS)</v>
      </c>
      <c r="AE127" s="37" t="str">
        <f>DATA!AL118</f>
        <v>Mengikuti tahapan setiap project sesuai Standart Operational Procedure (SOP) Perumnas</v>
      </c>
      <c r="AF127" s="20" t="str">
        <f>DATA!AR118</f>
        <v>belum ada dokumen R/C</v>
      </c>
      <c r="AG127" s="20" t="str">
        <f>DATA!AN118</f>
        <v>dalam proses
(memiliki FS dan DED)</v>
      </c>
      <c r="AH127" s="20" t="str">
        <f>DATA!AO118</f>
        <v>siap</v>
      </c>
      <c r="AI127" s="20" t="str">
        <f>DATA!AP118</f>
        <v>belum ada proses tender/lelang</v>
      </c>
      <c r="AJ127"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K127" s="20" t="e">
        <f>DATA!#REF!</f>
        <v>#REF!</v>
      </c>
      <c r="AL127" s="20">
        <f>DATA!AZ118</f>
        <v>0</v>
      </c>
      <c r="AM127" s="37" t="str">
        <f>DATA!BA118</f>
        <v>Membangun 69.784 unit rumah (35.438 unit rumah sederhana tapak dan 34.346 unit rumah susun), meremajakan 3.816 unit rumah susun, dan mengelola perumahan umum (property management)</v>
      </c>
    </row>
    <row r="128" spans="1:39" s="4" customFormat="1" ht="24.95" hidden="1" customHeight="1">
      <c r="J128" s="107"/>
      <c r="K128" s="25">
        <f>DATA!E119</f>
        <v>3</v>
      </c>
      <c r="L128" s="108" t="str">
        <f>DATA!F119</f>
        <v>Kementerian Perhubungan</v>
      </c>
      <c r="M128" s="25"/>
      <c r="N128" s="27"/>
      <c r="O128" s="26"/>
      <c r="P128" s="26"/>
      <c r="Q128" s="26"/>
      <c r="R128" s="80">
        <f>+R129</f>
        <v>5765336700</v>
      </c>
      <c r="S128" s="80"/>
      <c r="T128" s="80">
        <f t="shared" ref="T128:Z128" si="10">+T129</f>
        <v>647453200</v>
      </c>
      <c r="U128" s="80">
        <f t="shared" si="10"/>
        <v>0</v>
      </c>
      <c r="V128" s="80">
        <f t="shared" si="10"/>
        <v>6412789900</v>
      </c>
      <c r="W128" s="80"/>
      <c r="X128" s="80" t="e">
        <f t="shared" si="10"/>
        <v>#VALUE!</v>
      </c>
      <c r="Y128" s="80">
        <f t="shared" si="10"/>
        <v>5765336700</v>
      </c>
      <c r="Z128" s="80">
        <f t="shared" si="10"/>
        <v>0</v>
      </c>
      <c r="AA128" s="26"/>
      <c r="AB128" s="27"/>
      <c r="AC128" s="27"/>
      <c r="AD128" s="27"/>
      <c r="AE128" s="27"/>
      <c r="AF128" s="26"/>
      <c r="AG128" s="26"/>
      <c r="AH128" s="26"/>
      <c r="AI128" s="26"/>
      <c r="AJ128" s="26"/>
      <c r="AK128" s="26"/>
      <c r="AL128" s="26"/>
      <c r="AM128" s="27"/>
    </row>
    <row r="129" spans="1:39" s="5" customFormat="1" ht="33.75" hidden="1" customHeight="1">
      <c r="J129" s="28"/>
      <c r="K129" s="29"/>
      <c r="L129" s="30" t="str">
        <f>DATA!I119</f>
        <v>A</v>
      </c>
      <c r="M129" s="31" t="str">
        <f>DATA!J119</f>
        <v>Program Pengembangan Perkeretaapian</v>
      </c>
      <c r="N129" s="51"/>
      <c r="O129" s="31"/>
      <c r="P129" s="31"/>
      <c r="Q129" s="31"/>
      <c r="R129" s="81">
        <f>+R130+R133+R134+R135</f>
        <v>5765336700</v>
      </c>
      <c r="S129" s="81"/>
      <c r="T129" s="81">
        <f t="shared" ref="T129:Z129" si="11">+T130+T133+T134+T135</f>
        <v>647453200</v>
      </c>
      <c r="U129" s="81">
        <f t="shared" si="11"/>
        <v>0</v>
      </c>
      <c r="V129" s="81">
        <f t="shared" si="11"/>
        <v>6412789900</v>
      </c>
      <c r="W129" s="81"/>
      <c r="X129" s="81" t="e">
        <f t="shared" si="11"/>
        <v>#VALUE!</v>
      </c>
      <c r="Y129" s="81">
        <f t="shared" si="11"/>
        <v>5765336700</v>
      </c>
      <c r="Z129" s="81">
        <f t="shared" si="11"/>
        <v>0</v>
      </c>
      <c r="AA129" s="31"/>
      <c r="AB129" s="32"/>
      <c r="AC129" s="32"/>
      <c r="AD129" s="32"/>
      <c r="AE129" s="32"/>
      <c r="AF129" s="31"/>
      <c r="AG129" s="31"/>
      <c r="AH129" s="31"/>
      <c r="AI129" s="31"/>
      <c r="AJ129" s="31"/>
      <c r="AK129" s="31"/>
      <c r="AL129" s="31"/>
      <c r="AM129" s="32"/>
    </row>
    <row r="130" spans="1:39" ht="27.75" hidden="1" customHeight="1">
      <c r="A130" s="10">
        <f>DATA!A119</f>
        <v>90</v>
      </c>
      <c r="B130" s="10">
        <f>DATA!B119</f>
        <v>0</v>
      </c>
      <c r="C130" s="10" t="str">
        <f>DATA!D119</f>
        <v>INFRASTRUKTUR</v>
      </c>
      <c r="D130" s="10">
        <f>DATA!E119</f>
        <v>3</v>
      </c>
      <c r="E130" s="10" t="str">
        <f>DATA!F119</f>
        <v>Kementerian Perhubungan</v>
      </c>
      <c r="F130" s="10" t="str">
        <f>DATA!H119</f>
        <v>Railway Development Program</v>
      </c>
      <c r="G130" s="10" t="str">
        <f>DATA!I119</f>
        <v>A</v>
      </c>
      <c r="H130" s="10" t="str">
        <f>DATA!J119</f>
        <v>Program Pengembangan Perkeretaapian</v>
      </c>
      <c r="I130" s="10">
        <f>DATA!K119</f>
        <v>1</v>
      </c>
      <c r="J130" s="33"/>
      <c r="K130" s="34"/>
      <c r="L130" s="35"/>
      <c r="M130" s="36">
        <f>DATA!K119</f>
        <v>1</v>
      </c>
      <c r="N130" s="37" t="str">
        <f>DATA!L119</f>
        <v>Procurement of Track Material and Turn Out:</v>
      </c>
      <c r="O130" s="20">
        <f>DATA!Q119</f>
        <v>0</v>
      </c>
      <c r="P130" s="20">
        <f>DATA!R119</f>
        <v>0</v>
      </c>
      <c r="Q130" s="20">
        <f>DATA!S119</f>
        <v>0</v>
      </c>
      <c r="R130" s="77">
        <f>DATA!T119</f>
        <v>492336700</v>
      </c>
      <c r="S130" s="77"/>
      <c r="T130" s="77">
        <f>DATA!V119</f>
        <v>119453200</v>
      </c>
      <c r="U130" s="77">
        <f>DATA!W119</f>
        <v>0</v>
      </c>
      <c r="V130" s="77">
        <f>DATA!X119</f>
        <v>611789900</v>
      </c>
      <c r="W130" s="78" t="str">
        <f>DATA!Y119</f>
        <v>-</v>
      </c>
      <c r="X130" s="20">
        <f>DATA!Z119</f>
        <v>0</v>
      </c>
      <c r="Y130" s="77">
        <f>DATA!AA119</f>
        <v>492336700</v>
      </c>
      <c r="Z130" s="77">
        <f>DATA!AG119</f>
        <v>0</v>
      </c>
      <c r="AA130" s="20" t="str">
        <f>DATA!AH119</f>
        <v>-</v>
      </c>
      <c r="AB130" s="37" t="str">
        <f>DATA!AI119</f>
        <v>-</v>
      </c>
      <c r="AC130" s="37" t="str">
        <f>DATA!AJ119</f>
        <v>-</v>
      </c>
      <c r="AD130" s="37" t="str">
        <f>DATA!AK119</f>
        <v>-</v>
      </c>
      <c r="AE130" s="37" t="str">
        <f>DATA!AL119</f>
        <v>-</v>
      </c>
      <c r="AF130" s="20" t="str">
        <f>DATA!AM119</f>
        <v>-</v>
      </c>
      <c r="AG130" s="20">
        <f>DATA!AN119</f>
        <v>0</v>
      </c>
      <c r="AH130" s="20" t="str">
        <f>DATA!AO119</f>
        <v>-</v>
      </c>
      <c r="AI130" s="20">
        <f>DATA!AP119</f>
        <v>0</v>
      </c>
      <c r="AJ130" s="20" t="str">
        <f>DATA!AY119</f>
        <v>Surat Kepala Biro Perencanaan nomor 548/BI/SRT/IX/2015 tgl 10 September 2015</v>
      </c>
      <c r="AK130" s="20" t="e">
        <f>DATA!#REF!</f>
        <v>#REF!</v>
      </c>
      <c r="AL130" s="20">
        <f>DATA!AZ119</f>
        <v>0</v>
      </c>
      <c r="AM130" s="37" t="str">
        <f>DATA!BA119</f>
        <v>Pengadaan 4.500 km track material dan pengadaan 650 unit wesel</v>
      </c>
    </row>
    <row r="131" spans="1:39" s="6" customFormat="1" ht="89.25" hidden="1">
      <c r="A131" s="6">
        <f>DATA!A120</f>
        <v>91</v>
      </c>
      <c r="B131" s="6">
        <f>DATA!B120</f>
        <v>0</v>
      </c>
      <c r="C131" s="6" t="str">
        <f>DATA!D120</f>
        <v>INFRASTRUKTUR</v>
      </c>
      <c r="D131" s="6">
        <f>DATA!E120</f>
        <v>3</v>
      </c>
      <c r="E131" s="6" t="str">
        <f>DATA!F120</f>
        <v>Kementerian Perhubungan</v>
      </c>
      <c r="F131" s="6" t="str">
        <f>DATA!H120</f>
        <v>Railway Development Program</v>
      </c>
      <c r="G131" s="6" t="str">
        <f>DATA!I120</f>
        <v>A</v>
      </c>
      <c r="H131" s="6" t="str">
        <f>DATA!J120</f>
        <v>Program Pengembangan Perkeretaapian</v>
      </c>
      <c r="I131" s="6">
        <f>DATA!K120</f>
        <v>1</v>
      </c>
      <c r="J131" s="38"/>
      <c r="K131" s="39"/>
      <c r="L131" s="39"/>
      <c r="M131" s="40"/>
      <c r="N131" s="67" t="str">
        <f>DATA!L120</f>
        <v>Procurement of Track Material and Turn Out - Phase II</v>
      </c>
      <c r="O131" s="42">
        <f>DATA!Q120</f>
        <v>1</v>
      </c>
      <c r="P131" s="42">
        <f>DATA!R120</f>
        <v>1</v>
      </c>
      <c r="Q131" s="42">
        <f>DATA!S120</f>
        <v>81</v>
      </c>
      <c r="R131" s="83">
        <f>DATA!T120</f>
        <v>200000000</v>
      </c>
      <c r="S131" s="83"/>
      <c r="T131" s="83">
        <f>DATA!V120</f>
        <v>46369000</v>
      </c>
      <c r="U131" s="83">
        <f>DATA!W120</f>
        <v>0</v>
      </c>
      <c r="V131" s="83">
        <f>DATA!X120</f>
        <v>246369000</v>
      </c>
      <c r="W131" s="84" t="str">
        <f>DATA!Y120</f>
        <v>RRT</v>
      </c>
      <c r="X131" s="42" t="str">
        <f>DATA!Z120</f>
        <v>Bilateral</v>
      </c>
      <c r="Y131" s="83">
        <f>DATA!AA120</f>
        <v>200000000</v>
      </c>
      <c r="Z131" s="83">
        <f>DATA!AG120</f>
        <v>0</v>
      </c>
      <c r="AA131" s="42">
        <f>DATA!AH120</f>
        <v>2016</v>
      </c>
      <c r="AB131" s="67" t="str">
        <f>DATA!AI120</f>
        <v>- Sudah ada R/C
- Green Book 2015
- Proses E/N dan LA
- Dalam proses persiapan penandatanganan Loan Agreement</v>
      </c>
      <c r="AC131" s="67" t="str">
        <f>DATA!AJ120</f>
        <v>- TOR
- RAB</v>
      </c>
      <c r="AD131" s="67" t="str">
        <f>DATA!AK120</f>
        <v xml:space="preserve">Tidak butuh pengadaan lahan </v>
      </c>
      <c r="AE131" s="67" t="str">
        <f>DATA!AL120</f>
        <v>Proses persetujuan draft kontrak oleh Menteri Perhubungan</v>
      </c>
      <c r="AF131" s="42" t="str">
        <f>DATA!AR120</f>
        <v>Nilai pinjaman di:
- GB 16 USD 175.056 ribu
- GB 15 USD 185.470 ribu</v>
      </c>
      <c r="AG131" s="42" t="str">
        <f>DATA!AN120</f>
        <v>dalam proses</v>
      </c>
      <c r="AH131" s="42" t="str">
        <f>DATA!AO120</f>
        <v>tidak butuh lahan</v>
      </c>
      <c r="AI131" s="42" t="str">
        <f>DATA!AP120</f>
        <v>belum ada proses tender/lelang</v>
      </c>
      <c r="AJ131" s="42" t="str">
        <f>DATA!AY120</f>
        <v>Surat Kepala Biro Perencanaan nomor 548/BI/SRT/IX/2015 tgl 10 September 2015</v>
      </c>
      <c r="AK131" s="42" t="e">
        <f>DATA!#REF!</f>
        <v>#REF!</v>
      </c>
      <c r="AL131" s="42">
        <f>DATA!AZ120</f>
        <v>0</v>
      </c>
      <c r="AM131" s="67" t="str">
        <f>DATA!BA120</f>
        <v>Pengadaan 1.500 km track material tipe UIC-54 dan pengadaan 300 unit wesel</v>
      </c>
    </row>
    <row r="132" spans="1:39" s="6" customFormat="1" ht="35.25" hidden="1" customHeight="1">
      <c r="A132" s="6">
        <f>DATA!A121</f>
        <v>92</v>
      </c>
      <c r="B132" s="6">
        <f>DATA!B121</f>
        <v>0</v>
      </c>
      <c r="C132" s="6" t="str">
        <f>DATA!D121</f>
        <v>INFRASTRUKTUR</v>
      </c>
      <c r="D132" s="6">
        <f>DATA!E121</f>
        <v>3</v>
      </c>
      <c r="E132" s="6" t="str">
        <f>DATA!F121</f>
        <v>Kementerian Perhubungan</v>
      </c>
      <c r="F132" s="6" t="str">
        <f>DATA!H121</f>
        <v>Railway Development Program</v>
      </c>
      <c r="G132" s="6" t="str">
        <f>DATA!I121</f>
        <v>A</v>
      </c>
      <c r="H132" s="6" t="str">
        <f>DATA!J121</f>
        <v>Program Pengembangan Perkeretaapian</v>
      </c>
      <c r="I132" s="6">
        <f>DATA!K121</f>
        <v>1</v>
      </c>
      <c r="J132" s="38"/>
      <c r="K132" s="39"/>
      <c r="L132" s="39"/>
      <c r="M132" s="43"/>
      <c r="N132" s="67" t="str">
        <f>DATA!L121</f>
        <v>Procurement of Track Material and Turn Out - Phase III</v>
      </c>
      <c r="O132" s="42">
        <f>DATA!Q121</f>
        <v>1</v>
      </c>
      <c r="P132" s="42">
        <f>DATA!R121</f>
        <v>1</v>
      </c>
      <c r="Q132" s="42">
        <f>DATA!S121</f>
        <v>82</v>
      </c>
      <c r="R132" s="83">
        <f>DATA!T121</f>
        <v>292336700</v>
      </c>
      <c r="S132" s="83"/>
      <c r="T132" s="83">
        <f>DATA!V121</f>
        <v>73084200</v>
      </c>
      <c r="U132" s="83">
        <f>DATA!W121</f>
        <v>0</v>
      </c>
      <c r="V132" s="83">
        <f>DATA!X121</f>
        <v>365420900</v>
      </c>
      <c r="W132" s="84" t="str">
        <f>DATA!Y121</f>
        <v>Belum Ada Indikasi</v>
      </c>
      <c r="X132" s="42" t="str">
        <f>DATA!Z121</f>
        <v>Belum Ada Indikasi</v>
      </c>
      <c r="Y132" s="83">
        <f>DATA!AA121</f>
        <v>292336700</v>
      </c>
      <c r="Z132" s="83">
        <f>DATA!AG121</f>
        <v>0</v>
      </c>
      <c r="AA132" s="42">
        <f>DATA!AH121</f>
        <v>2016</v>
      </c>
      <c r="AB132" s="67" t="str">
        <f>DATA!AI121</f>
        <v>-</v>
      </c>
      <c r="AC132" s="67" t="str">
        <f>DATA!AJ121</f>
        <v>-</v>
      </c>
      <c r="AD132" s="67" t="str">
        <f>DATA!AK121</f>
        <v xml:space="preserve">Tidak butuh pengadaan lahan </v>
      </c>
      <c r="AE132" s="67" t="str">
        <f>DATA!AL121</f>
        <v>-</v>
      </c>
      <c r="AF132" s="42" t="str">
        <f>DATA!AR121</f>
        <v>belum ada dokumen R/C</v>
      </c>
      <c r="AG132" s="42" t="str">
        <f>DATA!AN121</f>
        <v>belum ada keterangan</v>
      </c>
      <c r="AH132" s="42" t="str">
        <f>DATA!AO121</f>
        <v>tidak butuh lahan</v>
      </c>
      <c r="AI132" s="42" t="str">
        <f>DATA!AP121</f>
        <v>belum ada proses tender/lelang</v>
      </c>
      <c r="AJ132" s="42" t="str">
        <f>DATA!AY121</f>
        <v xml:space="preserve">- Menunggu kepastian Lender
- Surat Kepala Biro Perencanaan nomor 548/BI/SRT/IX/2015 tgl 10 September 2015
</v>
      </c>
      <c r="AK132" s="42" t="e">
        <f>DATA!#REF!</f>
        <v>#REF!</v>
      </c>
      <c r="AL132" s="42">
        <f>DATA!AZ121</f>
        <v>0</v>
      </c>
      <c r="AM132" s="67" t="str">
        <f>DATA!BA121</f>
        <v>Pengadaan 3.000 km track material tipe R 60 dan pengadaan 350 unit wesel</v>
      </c>
    </row>
    <row r="133" spans="1:39" ht="75.75" hidden="1" customHeight="1">
      <c r="A133" s="10">
        <f>DATA!A123</f>
        <v>93</v>
      </c>
      <c r="B133" s="10">
        <f>DATA!B123</f>
        <v>0</v>
      </c>
      <c r="C133" s="10" t="str">
        <f>DATA!D123</f>
        <v>INFRASTRUKTUR</v>
      </c>
      <c r="D133" s="10">
        <f>DATA!E123</f>
        <v>3</v>
      </c>
      <c r="E133" s="10" t="str">
        <f>DATA!F123</f>
        <v>Kementerian Perhubungan</v>
      </c>
      <c r="F133" s="10" t="str">
        <f>DATA!H123</f>
        <v>Railway Development Program</v>
      </c>
      <c r="G133" s="10" t="str">
        <f>DATA!I123</f>
        <v>A</v>
      </c>
      <c r="H133" s="10" t="str">
        <f>DATA!J123</f>
        <v>Program Pengembangan Perkeretaapian</v>
      </c>
      <c r="I133" s="10">
        <f>DATA!K123</f>
        <v>2</v>
      </c>
      <c r="J133" s="33"/>
      <c r="K133" s="34"/>
      <c r="L133" s="34"/>
      <c r="M133" s="36">
        <f>DATA!K123</f>
        <v>2</v>
      </c>
      <c r="N133" s="37" t="str">
        <f>DATA!L123</f>
        <v xml:space="preserve">Construction of Jakarta Mass Rapid Transit Project - Phase II </v>
      </c>
      <c r="O133" s="20">
        <f>DATA!Q123</f>
        <v>1</v>
      </c>
      <c r="P133" s="20">
        <f>DATA!R123</f>
        <v>1</v>
      </c>
      <c r="Q133" s="20">
        <f>DATA!S123</f>
        <v>83</v>
      </c>
      <c r="R133" s="77">
        <f>DATA!T123</f>
        <v>1678000000</v>
      </c>
      <c r="S133" s="77"/>
      <c r="T133" s="77">
        <f>DATA!V123</f>
        <v>167800000</v>
      </c>
      <c r="U133" s="77">
        <f>DATA!W123</f>
        <v>0</v>
      </c>
      <c r="V133" s="77">
        <f>DATA!X123</f>
        <v>1845800000</v>
      </c>
      <c r="W133" s="78" t="str">
        <f>DATA!Y123</f>
        <v>JICA</v>
      </c>
      <c r="X133" s="20" t="str">
        <f>DATA!Z123</f>
        <v>Bilateral</v>
      </c>
      <c r="Y133" s="77">
        <f>DATA!AA123</f>
        <v>1678000000</v>
      </c>
      <c r="Z133" s="77">
        <f>DATA!AG123</f>
        <v>0</v>
      </c>
      <c r="AA133" s="20">
        <f>DATA!AH123</f>
        <v>2016</v>
      </c>
      <c r="AB133" s="37" t="str">
        <f>DATA!AI123</f>
        <v>-</v>
      </c>
      <c r="AC133" s="37" t="str">
        <f>DATA!AJ123</f>
        <v>- FS
- TOR (Disusun oleh Pemda DKI Jakarta)
-  RAB (Disusun oleh Pemda DKI Jakarta)</v>
      </c>
      <c r="AD133" s="37" t="str">
        <f>DATA!AK123</f>
        <v>Indikasi kebutuhan lahan menunggu hasil desain</v>
      </c>
      <c r="AE133" s="37" t="str">
        <f>DATA!AL123</f>
        <v>- Dilaksanakan oleh Pemda DKI Jakarta (Implementing Agency)</v>
      </c>
      <c r="AF133" s="20" t="str">
        <f>DATA!AR123</f>
        <v>belum ada dokumen R/C</v>
      </c>
      <c r="AG133" s="20" t="str">
        <f>DATA!AN123</f>
        <v>dalam proses
(memiliki FS)</v>
      </c>
      <c r="AH133" s="20" t="str">
        <f>DATA!AO123</f>
        <v>dalam proses
(perencanaan)</v>
      </c>
      <c r="AI133" s="20" t="str">
        <f>DATA!AP123</f>
        <v>belum ada proses tender/lelang</v>
      </c>
      <c r="AJ133" s="20" t="str">
        <f>DATA!AY123</f>
        <v>Surat Kepala Biro Perencanaan nomor 548/BI/SRT/IX/2015 tgl 10 September 2015</v>
      </c>
      <c r="AK133" s="20" t="e">
        <f>DATA!#REF!</f>
        <v>#REF!</v>
      </c>
      <c r="AL133" s="20">
        <f>DATA!AZ123</f>
        <v>0</v>
      </c>
      <c r="AM133" s="37" t="str">
        <f>DATA!BA123</f>
        <v>Terbangunnya jaringan MRT dari bundaran HI ke Kampung Bandan</v>
      </c>
    </row>
    <row r="134" spans="1:39" ht="74.25" hidden="1" customHeight="1">
      <c r="A134" s="10">
        <f>DATA!A124</f>
        <v>94</v>
      </c>
      <c r="B134" s="10">
        <f>DATA!B124</f>
        <v>0</v>
      </c>
      <c r="C134" s="10" t="str">
        <f>DATA!D124</f>
        <v>INFRASTRUKTUR</v>
      </c>
      <c r="D134" s="10">
        <f>DATA!E124</f>
        <v>3</v>
      </c>
      <c r="E134" s="10" t="str">
        <f>DATA!F124</f>
        <v>Kementerian Perhubungan</v>
      </c>
      <c r="F134" s="10" t="str">
        <f>DATA!H124</f>
        <v>Railway Development Program</v>
      </c>
      <c r="G134" s="10" t="str">
        <f>DATA!I124</f>
        <v>A</v>
      </c>
      <c r="H134" s="10" t="str">
        <f>DATA!J124</f>
        <v>Program Pengembangan Perkeretaapian</v>
      </c>
      <c r="I134" s="10">
        <f>DATA!K124</f>
        <v>3</v>
      </c>
      <c r="J134" s="33"/>
      <c r="K134" s="34"/>
      <c r="L134" s="34"/>
      <c r="M134" s="36">
        <f>DATA!K124</f>
        <v>3</v>
      </c>
      <c r="N134" s="37" t="str">
        <f>DATA!L124</f>
        <v>Construction of Jakarta Mass Rapid Transit East-West Line Project - Phase I</v>
      </c>
      <c r="O134" s="20">
        <f>DATA!Q124</f>
        <v>1</v>
      </c>
      <c r="P134" s="20">
        <f>DATA!R124</f>
        <v>1</v>
      </c>
      <c r="Q134" s="20">
        <f>DATA!S124</f>
        <v>84</v>
      </c>
      <c r="R134" s="77">
        <f>DATA!T124</f>
        <v>3572000000</v>
      </c>
      <c r="S134" s="77"/>
      <c r="T134" s="77">
        <f>DATA!V124</f>
        <v>357200000</v>
      </c>
      <c r="U134" s="77">
        <f>DATA!W124</f>
        <v>0</v>
      </c>
      <c r="V134" s="77">
        <f>DATA!X124</f>
        <v>3929200000</v>
      </c>
      <c r="W134" s="78" t="str">
        <f>DATA!Y124</f>
        <v>JICA</v>
      </c>
      <c r="X134" s="20" t="str">
        <f>DATA!Z124</f>
        <v>Bilateral</v>
      </c>
      <c r="Y134" s="77">
        <f>DATA!AA124</f>
        <v>3572000000</v>
      </c>
      <c r="Z134" s="77">
        <f>DATA!AG124</f>
        <v>0</v>
      </c>
      <c r="AA134" s="20">
        <f>DATA!AH124</f>
        <v>2018</v>
      </c>
      <c r="AB134" s="37" t="str">
        <f>DATA!AI124</f>
        <v>-</v>
      </c>
      <c r="AC134" s="37" t="str">
        <f>DATA!AJ124</f>
        <v>- FS
- TOR (Disusun oleh Pemda DKI Jakarta)
-  RAB (Disusun oleh Pemda DKI Jakarta)</v>
      </c>
      <c r="AD134" s="37" t="str">
        <f>DATA!AK124</f>
        <v>Indikasi kebutuhan lahan menunggu hasil desain</v>
      </c>
      <c r="AE134" s="37" t="str">
        <f>DATA!AL124</f>
        <v>- Dilaksanakan oleh Pemda DKI Jakarta (Implementing Agency)</v>
      </c>
      <c r="AF134" s="20" t="str">
        <f>DATA!AR124</f>
        <v>belum ada dokumen R/C</v>
      </c>
      <c r="AG134" s="20" t="str">
        <f>DATA!AN124</f>
        <v>dalam proses
(memiliki FS)</v>
      </c>
      <c r="AH134" s="20" t="str">
        <f>DATA!AO124</f>
        <v>dalam proses
(perencanaan)</v>
      </c>
      <c r="AI134" s="20" t="str">
        <f>DATA!AP124</f>
        <v>belum ada proses tender/lelang</v>
      </c>
      <c r="AJ134" s="20" t="str">
        <f>DATA!AY124</f>
        <v>Surat Kepala Biro Perencanaan nomor 548/BI/SRT/IX/2015 tgl 10 September 2015</v>
      </c>
      <c r="AK134" s="20" t="e">
        <f>DATA!#REF!</f>
        <v>#REF!</v>
      </c>
      <c r="AL134" s="20">
        <f>DATA!AZ124</f>
        <v>0</v>
      </c>
      <c r="AM134" s="37" t="str">
        <f>DATA!BA124</f>
        <v>Terbangunnya jaringan MRT dari Jakarta Timur ke Jakarta Barat</v>
      </c>
    </row>
    <row r="135" spans="1:39" s="8" customFormat="1" ht="51">
      <c r="A135" s="10">
        <f>DATA!A125</f>
        <v>95</v>
      </c>
      <c r="B135" s="10">
        <f>DATA!B125</f>
        <v>0</v>
      </c>
      <c r="C135" s="10" t="str">
        <f>DATA!D125</f>
        <v>INFRASTRUKTUR</v>
      </c>
      <c r="D135" s="10">
        <f>DATA!E125</f>
        <v>3</v>
      </c>
      <c r="E135" s="10" t="str">
        <f>DATA!F125</f>
        <v>Kementerian Perhubungan</v>
      </c>
      <c r="F135" s="10" t="str">
        <f>DATA!H125</f>
        <v>Railway Development Program</v>
      </c>
      <c r="G135" s="10" t="str">
        <f>DATA!I125</f>
        <v>A</v>
      </c>
      <c r="H135" s="10" t="str">
        <f>DATA!J125</f>
        <v>Program Pengembangan Perkeretaapian</v>
      </c>
      <c r="I135" s="10">
        <f>DATA!K125</f>
        <v>4</v>
      </c>
      <c r="J135" s="57"/>
      <c r="K135" s="111"/>
      <c r="L135" s="111"/>
      <c r="M135" s="60">
        <f>DATA!K125</f>
        <v>4</v>
      </c>
      <c r="N135" s="61" t="str">
        <f>DATA!L125</f>
        <v xml:space="preserve">Engineering Services Jakarta Mass Rapid Transit (MRT) East West Line Project - Phase I </v>
      </c>
      <c r="O135" s="20">
        <f>DATA!Q125</f>
        <v>1</v>
      </c>
      <c r="P135" s="20">
        <f>DATA!R125</f>
        <v>1</v>
      </c>
      <c r="Q135" s="20">
        <f>DATA!S125</f>
        <v>86</v>
      </c>
      <c r="R135" s="89">
        <f>DATA!T125</f>
        <v>23000000</v>
      </c>
      <c r="S135" s="89"/>
      <c r="T135" s="89">
        <f>DATA!V125</f>
        <v>3000000</v>
      </c>
      <c r="U135" s="77">
        <f>DATA!W125</f>
        <v>0</v>
      </c>
      <c r="V135" s="89">
        <f>DATA!X125</f>
        <v>26000000</v>
      </c>
      <c r="W135" s="90" t="str">
        <f>DATA!Y125</f>
        <v>JICA</v>
      </c>
      <c r="X135" s="20" t="str">
        <f>DATA!Z125</f>
        <v>Bilateral</v>
      </c>
      <c r="Y135" s="89">
        <f>DATA!AA125</f>
        <v>23000000</v>
      </c>
      <c r="Z135" s="89">
        <f>DATA!AG125</f>
        <v>0</v>
      </c>
      <c r="AA135" s="103">
        <f>DATA!AH125</f>
        <v>2015</v>
      </c>
      <c r="AB135" s="61" t="str">
        <f>DATA!AI125</f>
        <v>- Sudah ada R/C
- Green Book 2015
- Loan Agreement tgl 4 Des'15</v>
      </c>
      <c r="AC135" s="61" t="str">
        <f>DATA!AJ125</f>
        <v>- TOR
- RAB</v>
      </c>
      <c r="AD135" s="61" t="str">
        <f>DATA!AK125</f>
        <v>Tidak membutuhkan pengadaan lahan</v>
      </c>
      <c r="AE135" s="61" t="str">
        <f>DATA!AL125</f>
        <v xml:space="preserve">- </v>
      </c>
      <c r="AF135" s="20" t="str">
        <f>DATA!AR125</f>
        <v>Nilai pinjaman di GB 19.200 ribu</v>
      </c>
      <c r="AG135" s="20" t="str">
        <f>DATA!AN125</f>
        <v>siap</v>
      </c>
      <c r="AH135" s="20" t="str">
        <f>DATA!AO125</f>
        <v>tidak butuh lahan</v>
      </c>
      <c r="AI135" s="20" t="str">
        <f>DATA!AP125</f>
        <v>belum ada proses tender/lelang</v>
      </c>
      <c r="AJ135" s="20" t="str">
        <f>DATA!AY125</f>
        <v>Surat Kepala Biro Perencanaan nomor 548/BI/SRT/IX/2015 tgl 10 September 2015</v>
      </c>
      <c r="AK135" s="20" t="e">
        <f>DATA!#REF!</f>
        <v>#REF!</v>
      </c>
      <c r="AL135" s="20">
        <f>DATA!AZ125</f>
        <v>0</v>
      </c>
      <c r="AM135" s="37" t="str">
        <f>DATA!BA125</f>
        <v xml:space="preserve">Tersedianya DED dan dokumen tender </v>
      </c>
    </row>
    <row r="136" spans="1:39" s="4" customFormat="1" ht="24.95" hidden="1" customHeight="1">
      <c r="J136" s="107"/>
      <c r="K136" s="25">
        <f>DATA!E130</f>
        <v>4</v>
      </c>
      <c r="L136" s="108" t="str">
        <f>DATA!F130</f>
        <v>Pemprov. DKI Jakarta</v>
      </c>
      <c r="M136" s="25"/>
      <c r="N136" s="27"/>
      <c r="O136" s="26"/>
      <c r="P136" s="26"/>
      <c r="Q136" s="26"/>
      <c r="R136" s="80">
        <f>+R137</f>
        <v>1050000000</v>
      </c>
      <c r="S136" s="80"/>
      <c r="T136" s="80">
        <f t="shared" ref="T136:Z137" si="12">+T137</f>
        <v>150000000</v>
      </c>
      <c r="U136" s="80">
        <f t="shared" si="12"/>
        <v>0</v>
      </c>
      <c r="V136" s="80">
        <f t="shared" si="12"/>
        <v>1200000000</v>
      </c>
      <c r="W136" s="80"/>
      <c r="X136" s="80" t="str">
        <f t="shared" si="12"/>
        <v>Bilateral</v>
      </c>
      <c r="Y136" s="80">
        <f t="shared" si="12"/>
        <v>1050000000</v>
      </c>
      <c r="Z136" s="80">
        <f t="shared" si="12"/>
        <v>0</v>
      </c>
      <c r="AA136" s="26"/>
      <c r="AB136" s="27"/>
      <c r="AC136" s="27"/>
      <c r="AD136" s="27"/>
      <c r="AE136" s="27"/>
      <c r="AF136" s="26"/>
      <c r="AG136" s="26"/>
      <c r="AH136" s="26"/>
      <c r="AI136" s="26"/>
      <c r="AJ136" s="26"/>
      <c r="AK136" s="26"/>
      <c r="AL136" s="26"/>
      <c r="AM136" s="27"/>
    </row>
    <row r="137" spans="1:39" s="5" customFormat="1" ht="33.75" hidden="1" customHeight="1">
      <c r="J137" s="28"/>
      <c r="K137" s="29"/>
      <c r="L137" s="30" t="str">
        <f>DATA!I130</f>
        <v>A</v>
      </c>
      <c r="M137" s="31" t="str">
        <f>DATA!J130</f>
        <v>Program Pengembangan Perkeretaapian</v>
      </c>
      <c r="N137" s="51"/>
      <c r="O137" s="31"/>
      <c r="P137" s="31"/>
      <c r="Q137" s="31"/>
      <c r="R137" s="81">
        <f>+R138</f>
        <v>1050000000</v>
      </c>
      <c r="S137" s="81"/>
      <c r="T137" s="81">
        <f t="shared" si="12"/>
        <v>150000000</v>
      </c>
      <c r="U137" s="81">
        <f t="shared" si="12"/>
        <v>0</v>
      </c>
      <c r="V137" s="81">
        <f t="shared" si="12"/>
        <v>1200000000</v>
      </c>
      <c r="W137" s="81"/>
      <c r="X137" s="81" t="str">
        <f t="shared" si="12"/>
        <v>Bilateral</v>
      </c>
      <c r="Y137" s="81">
        <f t="shared" si="12"/>
        <v>1050000000</v>
      </c>
      <c r="Z137" s="81">
        <f t="shared" si="12"/>
        <v>0</v>
      </c>
      <c r="AA137" s="31"/>
      <c r="AB137" s="32"/>
      <c r="AC137" s="32"/>
      <c r="AD137" s="32"/>
      <c r="AE137" s="32"/>
      <c r="AF137" s="31"/>
      <c r="AG137" s="31"/>
      <c r="AH137" s="31"/>
      <c r="AI137" s="31"/>
      <c r="AJ137" s="31"/>
      <c r="AK137" s="31"/>
      <c r="AL137" s="31"/>
      <c r="AM137" s="32"/>
    </row>
    <row r="138" spans="1:39" ht="45.75" hidden="1" customHeight="1">
      <c r="A138" s="10">
        <f>DATA!A130</f>
        <v>96</v>
      </c>
      <c r="B138" s="10">
        <f>DATA!B130</f>
        <v>0</v>
      </c>
      <c r="C138" s="10" t="str">
        <f>DATA!D130</f>
        <v>INFRASTRUKTUR</v>
      </c>
      <c r="D138" s="10">
        <f>DATA!E130</f>
        <v>4</v>
      </c>
      <c r="E138" s="10" t="str">
        <f>DATA!F130</f>
        <v>Pemprov. DKI Jakarta</v>
      </c>
      <c r="F138" s="10" t="str">
        <f>DATA!H130</f>
        <v>Railway Development Program</v>
      </c>
      <c r="G138" s="10" t="str">
        <f>DATA!I130</f>
        <v>A</v>
      </c>
      <c r="H138" s="10" t="str">
        <f>DATA!J130</f>
        <v>Program Pengembangan Perkeretaapian</v>
      </c>
      <c r="I138" s="10">
        <f>DATA!K130</f>
        <v>1</v>
      </c>
      <c r="J138" s="33"/>
      <c r="K138" s="54"/>
      <c r="L138" s="20"/>
      <c r="M138" s="20">
        <f>DATA!K130</f>
        <v>1</v>
      </c>
      <c r="N138" s="37" t="str">
        <f>DATA!L130</f>
        <v>Construction of Jakarta Mass Rapid Transit Project</v>
      </c>
      <c r="O138" s="20">
        <f>DATA!Q130</f>
        <v>1</v>
      </c>
      <c r="P138" s="20">
        <f>DATA!R130</f>
        <v>1</v>
      </c>
      <c r="Q138" s="20">
        <f>DATA!S130</f>
        <v>85</v>
      </c>
      <c r="R138" s="77">
        <f>DATA!T130</f>
        <v>1050000000</v>
      </c>
      <c r="S138" s="77"/>
      <c r="T138" s="77">
        <f>DATA!V130</f>
        <v>150000000</v>
      </c>
      <c r="U138" s="77">
        <f>DATA!W130</f>
        <v>0</v>
      </c>
      <c r="V138" s="77">
        <f>DATA!X130</f>
        <v>1200000000</v>
      </c>
      <c r="W138" s="78" t="str">
        <f>DATA!Y130</f>
        <v>JICA</v>
      </c>
      <c r="X138" s="20" t="str">
        <f>DATA!Z130</f>
        <v>Bilateral</v>
      </c>
      <c r="Y138" s="77">
        <f>DATA!AA130</f>
        <v>1050000000</v>
      </c>
      <c r="Z138" s="77">
        <f>DATA!AG130</f>
        <v>0</v>
      </c>
      <c r="AA138" s="20">
        <f>DATA!AH130</f>
        <v>2016</v>
      </c>
      <c r="AB138" s="37" t="str">
        <f>DATA!AI130</f>
        <v>- Sudah ada R/C
- Green Book 2015
- Loan Agreement tgl 4 Des'15</v>
      </c>
      <c r="AC138" s="37" t="str">
        <f>DATA!AJ130</f>
        <v>- TOR
- RAB</v>
      </c>
      <c r="AD138" s="114">
        <f>DATA!AK130</f>
        <v>1</v>
      </c>
      <c r="AE138" s="37" t="str">
        <f>DATA!AL130</f>
        <v>- Menunggu penandatanganan Loan Agreement</v>
      </c>
      <c r="AF138" s="20" t="str">
        <f>DATA!AR130</f>
        <v>Nilai pinjaman di GB USD 752.200 ribu</v>
      </c>
      <c r="AG138" s="20" t="str">
        <f>DATA!AN130</f>
        <v>siap</v>
      </c>
      <c r="AH138" s="20" t="str">
        <f>DATA!AO130</f>
        <v>siap</v>
      </c>
      <c r="AI138" s="20" t="str">
        <f>DATA!AP130</f>
        <v>dalam proses tender/lelang</v>
      </c>
      <c r="AJ138" s="20" t="str">
        <f>DATA!AY130</f>
        <v>Belum ada konfirmasi. Berdasarkan data dokumen kesiapan (RC)</v>
      </c>
      <c r="AK138" s="20" t="e">
        <f>DATA!#REF!</f>
        <v>#REF!</v>
      </c>
      <c r="AL138" s="20">
        <f>DATA!AZ130</f>
        <v>0</v>
      </c>
      <c r="AM138" s="37" t="str">
        <f>DATA!BA130</f>
        <v>Terbangunnya jaringan MRT dari Utara ke Selatan</v>
      </c>
    </row>
    <row r="139" spans="1:39" s="4" customFormat="1" ht="24.95" hidden="1" customHeight="1">
      <c r="J139" s="107"/>
      <c r="K139" s="25">
        <f>DATA!E135</f>
        <v>5</v>
      </c>
      <c r="L139" s="108" t="str">
        <f>DATA!F135</f>
        <v>Kementerian Komunikasi dan Informatika</v>
      </c>
      <c r="M139" s="25"/>
      <c r="N139" s="27"/>
      <c r="O139" s="26"/>
      <c r="P139" s="26"/>
      <c r="Q139" s="26"/>
      <c r="R139" s="80">
        <f>+R140</f>
        <v>1056000000</v>
      </c>
      <c r="S139" s="80"/>
      <c r="T139" s="80">
        <f t="shared" ref="T139:Z139" si="13">+T140</f>
        <v>86000000</v>
      </c>
      <c r="U139" s="80">
        <f t="shared" si="13"/>
        <v>10000000</v>
      </c>
      <c r="V139" s="80">
        <f t="shared" si="13"/>
        <v>1152000000</v>
      </c>
      <c r="W139" s="80"/>
      <c r="X139" s="80" t="e">
        <f t="shared" si="13"/>
        <v>#VALUE!</v>
      </c>
      <c r="Y139" s="80">
        <f t="shared" si="13"/>
        <v>1056000000</v>
      </c>
      <c r="Z139" s="80">
        <f t="shared" si="13"/>
        <v>-411000000</v>
      </c>
      <c r="AA139" s="26"/>
      <c r="AB139" s="27"/>
      <c r="AC139" s="27"/>
      <c r="AD139" s="27"/>
      <c r="AE139" s="27"/>
      <c r="AF139" s="26"/>
      <c r="AG139" s="26"/>
      <c r="AH139" s="26"/>
      <c r="AI139" s="26"/>
      <c r="AJ139" s="26"/>
      <c r="AK139" s="26"/>
      <c r="AL139" s="26"/>
      <c r="AM139" s="27"/>
    </row>
    <row r="140" spans="1:39" s="5" customFormat="1" ht="33.75" hidden="1" customHeight="1">
      <c r="J140" s="28"/>
      <c r="K140" s="29"/>
      <c r="L140" s="30" t="str">
        <f>DATA!I135</f>
        <v>A</v>
      </c>
      <c r="M140" s="31" t="str">
        <f>DATA!J135</f>
        <v>Program Pengembangan Infrastruktur TIK dan Penyiaran</v>
      </c>
      <c r="N140" s="51"/>
      <c r="O140" s="31"/>
      <c r="P140" s="31"/>
      <c r="Q140" s="31"/>
      <c r="R140" s="81">
        <f>+R141+R142+R143</f>
        <v>1056000000</v>
      </c>
      <c r="S140" s="81"/>
      <c r="T140" s="81">
        <f t="shared" ref="T140:Z140" si="14">+T141+T142+T143</f>
        <v>86000000</v>
      </c>
      <c r="U140" s="81">
        <f t="shared" si="14"/>
        <v>10000000</v>
      </c>
      <c r="V140" s="81">
        <f t="shared" si="14"/>
        <v>1152000000</v>
      </c>
      <c r="W140" s="81"/>
      <c r="X140" s="81" t="e">
        <f t="shared" si="14"/>
        <v>#VALUE!</v>
      </c>
      <c r="Y140" s="81">
        <f t="shared" si="14"/>
        <v>1056000000</v>
      </c>
      <c r="Z140" s="81">
        <f t="shared" si="14"/>
        <v>-411000000</v>
      </c>
      <c r="AA140" s="31"/>
      <c r="AB140" s="32"/>
      <c r="AC140" s="32"/>
      <c r="AD140" s="32"/>
      <c r="AE140" s="32"/>
      <c r="AF140" s="31"/>
      <c r="AG140" s="31"/>
      <c r="AH140" s="31"/>
      <c r="AI140" s="31"/>
      <c r="AJ140" s="31"/>
      <c r="AK140" s="31"/>
      <c r="AL140" s="31"/>
      <c r="AM140" s="32"/>
    </row>
    <row r="141" spans="1:39" ht="71.25" hidden="1" customHeight="1">
      <c r="A141" s="10">
        <f>DATA!A135</f>
        <v>97</v>
      </c>
      <c r="B141" s="10">
        <f>DATA!B135</f>
        <v>0</v>
      </c>
      <c r="C141" s="10" t="str">
        <f>DATA!D135</f>
        <v>INFRASTRUKTUR</v>
      </c>
      <c r="D141" s="10">
        <f>DATA!E135</f>
        <v>5</v>
      </c>
      <c r="E141" s="10" t="str">
        <f>DATA!F135</f>
        <v>Kementerian Komunikasi dan Informatika</v>
      </c>
      <c r="F141" s="10" t="str">
        <f>DATA!H135</f>
        <v>Information Communication And Technology (ICT) And Broadcasting Infrastructure Development Program</v>
      </c>
      <c r="G141" s="10" t="str">
        <f>DATA!I135</f>
        <v>A</v>
      </c>
      <c r="H141" s="10" t="str">
        <f>DATA!J135</f>
        <v>Program Pengembangan Infrastruktur TIK dan Penyiaran</v>
      </c>
      <c r="I141" s="10">
        <f>DATA!K135</f>
        <v>1</v>
      </c>
      <c r="J141" s="33"/>
      <c r="K141" s="34"/>
      <c r="L141" s="35"/>
      <c r="M141" s="36">
        <f>DATA!K135</f>
        <v>1</v>
      </c>
      <c r="N141" s="37" t="str">
        <f>DATA!L135</f>
        <v>Improvement on TV Transmitting Stations (Digitalization of TVRI) - Phase III</v>
      </c>
      <c r="O141" s="20">
        <f>DATA!Q135</f>
        <v>1</v>
      </c>
      <c r="P141" s="20">
        <f>DATA!R135</f>
        <v>1</v>
      </c>
      <c r="Q141" s="20">
        <f>DATA!S135</f>
        <v>87</v>
      </c>
      <c r="R141" s="77">
        <f>DATA!T135</f>
        <v>411000000</v>
      </c>
      <c r="S141" s="77"/>
      <c r="T141" s="77">
        <f>DATA!V135</f>
        <v>41000000</v>
      </c>
      <c r="U141" s="77">
        <f>DATA!W135</f>
        <v>0</v>
      </c>
      <c r="V141" s="77">
        <f>DATA!X135</f>
        <v>452000000</v>
      </c>
      <c r="W141" s="78" t="str">
        <f>DATA!Y135</f>
        <v>Belum Ada Indikasi</v>
      </c>
      <c r="X141" s="20" t="str">
        <f>DATA!Z135</f>
        <v>Belum Ada Indikasi</v>
      </c>
      <c r="Y141" s="77">
        <f>DATA!AA135</f>
        <v>411000000</v>
      </c>
      <c r="Z141" s="77">
        <f>DATA!AG135</f>
        <v>-411000000</v>
      </c>
      <c r="AA141" s="20" t="str">
        <f>DATA!AH135</f>
        <v>Tanpa keterangan</v>
      </c>
      <c r="AB141" s="37" t="str">
        <f>DATA!AI135</f>
        <v>(tidak ada data)</v>
      </c>
      <c r="AC141" s="37" t="str">
        <f>DATA!AJ135</f>
        <v>Persiapan penyusunan FS</v>
      </c>
      <c r="AD141" s="37" t="str">
        <f>DATA!AK135</f>
        <v>Menggunakan lahan milik TVRI</v>
      </c>
      <c r="AE141" s="37" t="str">
        <f>DATA!AL135</f>
        <v>Belum ada lelang/tender</v>
      </c>
      <c r="AF141" s="20" t="str">
        <f>DATA!AR135</f>
        <v>belum ada dokumen R/C</v>
      </c>
      <c r="AG141" s="20" t="str">
        <f>DATA!AN135</f>
        <v>dalam proses
(penyusunan FS)</v>
      </c>
      <c r="AH141" s="20" t="str">
        <f>DATA!AO135</f>
        <v>siap</v>
      </c>
      <c r="AI141" s="20" t="str">
        <f>DATA!AP135</f>
        <v>belum ada proses tender/lelang</v>
      </c>
      <c r="AJ141" s="20" t="str">
        <f>DATA!AY135</f>
        <v xml:space="preserve">- Belum ada indikasi Lender, Dit. Telsus sedang melakukan penjajakan, belum bisa diidentifikasikan sampai proses penjajakan selesai
- Surat Karoren Kem. Kominfo nomor S-1075/KOMINFO/SJ.1/PR.01.01/09/2015 tgl 9 September 2015
</v>
      </c>
      <c r="AK141" s="20" t="e">
        <f>DATA!#REF!</f>
        <v>#REF!</v>
      </c>
      <c r="AL141" s="20">
        <f>DATA!AZ135</f>
        <v>0</v>
      </c>
      <c r="AM141" s="37" t="str">
        <f>DATA!BA135</f>
        <v>Pengadaan peralatan dan mesin untuk rehabilitasi fasilitas produksi dan pemancar TVRI dari sistem analog ke digital untuk: 29 studio (7 di pusat dan 22 di daerah), 250 stasiun transmisi, 30 lokasi untuk ICT Broadcast</v>
      </c>
    </row>
    <row r="142" spans="1:39" ht="81" hidden="1" customHeight="1">
      <c r="A142" s="10">
        <f>DATA!A136</f>
        <v>98</v>
      </c>
      <c r="B142" s="10">
        <f>DATA!B136</f>
        <v>0</v>
      </c>
      <c r="C142" s="10" t="str">
        <f>DATA!D136</f>
        <v>INFRASTRUKTUR</v>
      </c>
      <c r="D142" s="10">
        <f>DATA!E136</f>
        <v>5</v>
      </c>
      <c r="E142" s="10" t="str">
        <f>DATA!F136</f>
        <v>Kementerian Komunikasi dan Informatika</v>
      </c>
      <c r="F142" s="10" t="str">
        <f>DATA!H136</f>
        <v>Information Communication And Technology (ICT) And Broadcasting Infrastructure Development Program</v>
      </c>
      <c r="G142" s="10" t="str">
        <f>DATA!I136</f>
        <v>A</v>
      </c>
      <c r="H142" s="10" t="str">
        <f>DATA!J136</f>
        <v>Program Pengembangan Infrastruktur TIK dan Penyiaran</v>
      </c>
      <c r="I142" s="10">
        <f>DATA!K136</f>
        <v>2</v>
      </c>
      <c r="J142" s="33"/>
      <c r="K142" s="34"/>
      <c r="L142" s="34"/>
      <c r="M142" s="36">
        <f>DATA!K136</f>
        <v>2</v>
      </c>
      <c r="N142" s="37" t="str">
        <f>DATA!L136</f>
        <v>Strengthening of e-Government Infrastructure</v>
      </c>
      <c r="O142" s="20">
        <f>DATA!Q136</f>
        <v>1</v>
      </c>
      <c r="P142" s="20">
        <f>DATA!R136</f>
        <v>1</v>
      </c>
      <c r="Q142" s="20">
        <f>DATA!S136</f>
        <v>88</v>
      </c>
      <c r="R142" s="77">
        <f>DATA!T136</f>
        <v>145000000</v>
      </c>
      <c r="S142" s="77"/>
      <c r="T142" s="77">
        <f>DATA!V136</f>
        <v>20000000</v>
      </c>
      <c r="U142" s="77">
        <f>DATA!W136</f>
        <v>10000000</v>
      </c>
      <c r="V142" s="77">
        <f>DATA!X136</f>
        <v>175000000</v>
      </c>
      <c r="W142" s="78" t="str">
        <f>DATA!Y136</f>
        <v>Korea</v>
      </c>
      <c r="X142" s="20" t="str">
        <f>DATA!Z136</f>
        <v>Bilateral</v>
      </c>
      <c r="Y142" s="77">
        <f>DATA!AA136</f>
        <v>145000000</v>
      </c>
      <c r="Z142" s="77">
        <f>DATA!AG136</f>
        <v>0</v>
      </c>
      <c r="AA142" s="20" t="str">
        <f>DATA!AH136</f>
        <v>Tanpa keterangan</v>
      </c>
      <c r="AB142" s="37" t="str">
        <f>DATA!AI136</f>
        <v>Persiapan penyusunan R/C</v>
      </c>
      <c r="AC142" s="37" t="str">
        <f>DATA!AJ136</f>
        <v>Persiapan penyusunan FS dan DED</v>
      </c>
      <c r="AD142" s="37" t="str">
        <f>DATA!AK136</f>
        <v>Permohonan ijin lokasi kepada Gubernur Kaltim telah direspon persetujuan menunggu survey</v>
      </c>
      <c r="AE142" s="37" t="str">
        <f>DATA!AL136</f>
        <v>Belum ada lelang/tender</v>
      </c>
      <c r="AF142" s="20" t="str">
        <f>DATA!AR136</f>
        <v>penyiapan dokumen R/C</v>
      </c>
      <c r="AG142" s="20" t="str">
        <f>DATA!AN136</f>
        <v>dalam proses
(penyusunan FS)</v>
      </c>
      <c r="AH142" s="20" t="str">
        <f>DATA!AO136</f>
        <v>dalam proses
(persiapan)</v>
      </c>
      <c r="AI142" s="20" t="str">
        <f>DATA!AP136</f>
        <v>belum ada proses tender/lelang</v>
      </c>
      <c r="AJ142"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K142" s="20" t="e">
        <f>DATA!#REF!</f>
        <v>#REF!</v>
      </c>
      <c r="AL142" s="20">
        <f>DATA!AZ136</f>
        <v>0</v>
      </c>
      <c r="AM142" s="37" t="str">
        <f>DATA!BA136</f>
        <v>Pembangunan Data Center (DC) Nasional, pembangunan Disaster Recovery Center (DRC), pembangunan National Network Operation Center (NNOC),  sistem Government-Certification of Authority (Govt-CA),  dan penyediaan bandwidth selama 3 tahun.</v>
      </c>
    </row>
    <row r="143" spans="1:39" ht="38.25" hidden="1" customHeight="1">
      <c r="A143" s="10">
        <f>DATA!A137</f>
        <v>99</v>
      </c>
      <c r="B143" s="10">
        <f>DATA!B137</f>
        <v>0</v>
      </c>
      <c r="C143" s="10" t="str">
        <f>DATA!D137</f>
        <v>INFRASTRUKTUR</v>
      </c>
      <c r="D143" s="10">
        <f>DATA!E137</f>
        <v>5</v>
      </c>
      <c r="E143" s="10" t="str">
        <f>DATA!F137</f>
        <v>Kementerian Komunikasi dan Informatika</v>
      </c>
      <c r="F143" s="10" t="str">
        <f>DATA!H137</f>
        <v>Information Communication And Technology (ICT) And Broadcasting Infrastructure Development Program</v>
      </c>
      <c r="G143" s="10" t="str">
        <f>DATA!I137</f>
        <v>A</v>
      </c>
      <c r="H143" s="10" t="str">
        <f>DATA!J137</f>
        <v>Program Pengembangan Infrastruktur TIK dan Penyiaran</v>
      </c>
      <c r="I143" s="10">
        <f>DATA!K137</f>
        <v>3</v>
      </c>
      <c r="J143" s="33"/>
      <c r="K143" s="54"/>
      <c r="L143" s="54"/>
      <c r="M143" s="36">
        <f>DATA!K137</f>
        <v>3</v>
      </c>
      <c r="N143" s="37" t="str">
        <f>DATA!L137</f>
        <v>National Fiber Optic Backbone (Palapa Ring)</v>
      </c>
      <c r="O143" s="20">
        <f>DATA!Q137</f>
        <v>1</v>
      </c>
      <c r="P143" s="20">
        <f>DATA!R137</f>
        <v>1</v>
      </c>
      <c r="Q143" s="20">
        <f>DATA!S137</f>
        <v>89</v>
      </c>
      <c r="R143" s="77">
        <f>DATA!T137</f>
        <v>500000000</v>
      </c>
      <c r="S143" s="77"/>
      <c r="T143" s="77">
        <f>DATA!V137</f>
        <v>25000000</v>
      </c>
      <c r="U143" s="77">
        <f>DATA!W137</f>
        <v>0</v>
      </c>
      <c r="V143" s="77">
        <f>DATA!X137</f>
        <v>525000000</v>
      </c>
      <c r="W143" s="78" t="str">
        <f>DATA!Y137</f>
        <v>KPS</v>
      </c>
      <c r="X143" s="20" t="str">
        <f>DATA!Z137</f>
        <v>Dipindahkan ke KPS</v>
      </c>
      <c r="Y143" s="77">
        <f>DATA!AA137</f>
        <v>500000000</v>
      </c>
      <c r="Z143" s="77">
        <f>DATA!AG137</f>
        <v>0</v>
      </c>
      <c r="AA143" s="20" t="str">
        <f>DATA!AH137</f>
        <v>Tanpa keterangan</v>
      </c>
      <c r="AB143" s="37" t="str">
        <f>DATA!AI137</f>
        <v>-</v>
      </c>
      <c r="AC143" s="37" t="str">
        <f>DATA!AJ137</f>
        <v>-</v>
      </c>
      <c r="AD143" s="37" t="str">
        <f>DATA!AK137</f>
        <v>-</v>
      </c>
      <c r="AE143" s="37" t="str">
        <f>DATA!AL137</f>
        <v>-</v>
      </c>
      <c r="AF143" s="20">
        <f>DATA!AM137</f>
        <v>0</v>
      </c>
      <c r="AG143" s="20" t="str">
        <f>DATA!AN137</f>
        <v>belum ada keterangan</v>
      </c>
      <c r="AH143" s="20" t="str">
        <f>DATA!AO137</f>
        <v>belum ada keterangan</v>
      </c>
      <c r="AI143" s="20" t="str">
        <f>DATA!AP137</f>
        <v>belum ada proses tender/lelang</v>
      </c>
      <c r="AJ143"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K143" s="20" t="e">
        <f>DATA!#REF!</f>
        <v>#REF!</v>
      </c>
      <c r="AL143" s="20">
        <f>DATA!AZ137</f>
        <v>0</v>
      </c>
      <c r="AM143" s="37" t="str">
        <f>DATA!BA137</f>
        <v>Pembangunan jaringan telekomunikasi pitalebar/broadband Palapa Ring di 51 kabupaten/kota.</v>
      </c>
    </row>
    <row r="144" spans="1:39" s="4" customFormat="1" ht="24.95" hidden="1" customHeight="1">
      <c r="J144" s="107"/>
      <c r="K144" s="25">
        <f>DATA!E138</f>
        <v>6</v>
      </c>
      <c r="L144" s="108" t="str">
        <f>DATA!F138</f>
        <v>Kepolisian RI</v>
      </c>
      <c r="M144" s="25"/>
      <c r="N144" s="27"/>
      <c r="O144" s="26"/>
      <c r="P144" s="26"/>
      <c r="Q144" s="26"/>
      <c r="R144" s="80">
        <f>+R145</f>
        <v>20000000</v>
      </c>
      <c r="S144" s="80"/>
      <c r="T144" s="80">
        <f t="shared" ref="T144:Z145" si="15">+T145</f>
        <v>3500000</v>
      </c>
      <c r="U144" s="80">
        <f t="shared" si="15"/>
        <v>0</v>
      </c>
      <c r="V144" s="80">
        <f t="shared" si="15"/>
        <v>23500000</v>
      </c>
      <c r="W144" s="80"/>
      <c r="X144" s="80" t="str">
        <f t="shared" si="15"/>
        <v>Bilateral</v>
      </c>
      <c r="Y144" s="80">
        <f t="shared" si="15"/>
        <v>20000000</v>
      </c>
      <c r="Z144" s="80">
        <f t="shared" si="15"/>
        <v>0</v>
      </c>
      <c r="AA144" s="26"/>
      <c r="AB144" s="27"/>
      <c r="AC144" s="27"/>
      <c r="AD144" s="27"/>
      <c r="AE144" s="27"/>
      <c r="AF144" s="26"/>
      <c r="AG144" s="26"/>
      <c r="AH144" s="26"/>
      <c r="AI144" s="26"/>
      <c r="AJ144" s="26"/>
      <c r="AK144" s="26"/>
      <c r="AL144" s="26"/>
      <c r="AM144" s="27"/>
    </row>
    <row r="145" spans="1:39" s="5" customFormat="1" ht="33.75" hidden="1" customHeight="1">
      <c r="J145" s="28"/>
      <c r="K145" s="29"/>
      <c r="L145" s="30" t="str">
        <f>DATA!I138</f>
        <v>A</v>
      </c>
      <c r="M145" s="31" t="str">
        <f>DATA!J138</f>
        <v>Program Pengembangan Infrastruktur TIK dan Penyiaran</v>
      </c>
      <c r="N145" s="51"/>
      <c r="O145" s="31"/>
      <c r="P145" s="31"/>
      <c r="Q145" s="31"/>
      <c r="R145" s="81">
        <f>+R146</f>
        <v>20000000</v>
      </c>
      <c r="S145" s="81"/>
      <c r="T145" s="81">
        <f t="shared" si="15"/>
        <v>3500000</v>
      </c>
      <c r="U145" s="81">
        <f t="shared" si="15"/>
        <v>0</v>
      </c>
      <c r="V145" s="81">
        <f t="shared" si="15"/>
        <v>23500000</v>
      </c>
      <c r="W145" s="81"/>
      <c r="X145" s="81" t="str">
        <f t="shared" si="15"/>
        <v>Bilateral</v>
      </c>
      <c r="Y145" s="81">
        <f t="shared" si="15"/>
        <v>20000000</v>
      </c>
      <c r="Z145" s="81">
        <f t="shared" si="15"/>
        <v>0</v>
      </c>
      <c r="AA145" s="31"/>
      <c r="AB145" s="32"/>
      <c r="AC145" s="32"/>
      <c r="AD145" s="32"/>
      <c r="AE145" s="32"/>
      <c r="AF145" s="31"/>
      <c r="AG145" s="31"/>
      <c r="AH145" s="31"/>
      <c r="AI145" s="31"/>
      <c r="AJ145" s="31"/>
      <c r="AK145" s="31"/>
      <c r="AL145" s="31"/>
      <c r="AM145" s="32"/>
    </row>
    <row r="146" spans="1:39" ht="47.25" hidden="1" customHeight="1">
      <c r="A146" s="10">
        <f>DATA!A138</f>
        <v>100</v>
      </c>
      <c r="B146" s="10">
        <f>DATA!B138</f>
        <v>0</v>
      </c>
      <c r="C146" s="10" t="str">
        <f>DATA!D138</f>
        <v>INFRASTRUKTUR</v>
      </c>
      <c r="D146" s="10">
        <f>DATA!E138</f>
        <v>6</v>
      </c>
      <c r="E146" s="10" t="str">
        <f>DATA!F138</f>
        <v>Kepolisian RI</v>
      </c>
      <c r="F146" s="10" t="str">
        <f>DATA!H138</f>
        <v>Information Communication And Technology (ICT) And Broadcasting Infrastructure Development Program</v>
      </c>
      <c r="G146" s="10" t="str">
        <f>DATA!I138</f>
        <v>A</v>
      </c>
      <c r="H146" s="10" t="str">
        <f>DATA!J138</f>
        <v>Program Pengembangan Infrastruktur TIK dan Penyiaran</v>
      </c>
      <c r="I146" s="10">
        <f>DATA!K138</f>
        <v>1</v>
      </c>
      <c r="J146" s="33"/>
      <c r="K146" s="54"/>
      <c r="L146" s="20"/>
      <c r="M146" s="36">
        <f>DATA!K138</f>
        <v>1</v>
      </c>
      <c r="N146" s="37" t="str">
        <f>DATA!L138</f>
        <v>National Criminal Information Center for Indonesian National Police - Phase II</v>
      </c>
      <c r="O146" s="20">
        <f>DATA!Q138</f>
        <v>1</v>
      </c>
      <c r="P146" s="20">
        <f>DATA!R138</f>
        <v>1</v>
      </c>
      <c r="Q146" s="20">
        <f>DATA!S138</f>
        <v>90</v>
      </c>
      <c r="R146" s="77">
        <f>DATA!T138</f>
        <v>20000000</v>
      </c>
      <c r="S146" s="77"/>
      <c r="T146" s="77">
        <f>DATA!V138</f>
        <v>3500000</v>
      </c>
      <c r="U146" s="77">
        <f>DATA!W138</f>
        <v>0</v>
      </c>
      <c r="V146" s="77">
        <f>DATA!X138</f>
        <v>23500000</v>
      </c>
      <c r="W146" s="78" t="str">
        <f>DATA!Y138</f>
        <v>Korea</v>
      </c>
      <c r="X146" s="20" t="str">
        <f>DATA!Z138</f>
        <v>Bilateral</v>
      </c>
      <c r="Y146" s="77">
        <f>DATA!AA138</f>
        <v>20000000</v>
      </c>
      <c r="Z146" s="77">
        <f>DATA!AG138</f>
        <v>0</v>
      </c>
      <c r="AA146" s="20" t="str">
        <f>DATA!AH138</f>
        <v>Tanpa keterangan</v>
      </c>
      <c r="AB146" s="37" t="str">
        <f>DATA!AI138</f>
        <v xml:space="preserve">- Sudah ada R/C
- Green Book 2015
</v>
      </c>
      <c r="AC146" s="37" t="str">
        <f>DATA!AJ138</f>
        <v>FS, AMDAL</v>
      </c>
      <c r="AD146" s="37" t="str">
        <f>DATA!AK138</f>
        <v>Tidak butuh lahan</v>
      </c>
      <c r="AE146" s="37" t="str">
        <f>DATA!AL138</f>
        <v>- Dalam proses penandatanganan perjanjian pinjaman</v>
      </c>
      <c r="AF146" s="20">
        <f>DATA!AM138</f>
        <v>2015</v>
      </c>
      <c r="AG146" s="20" t="str">
        <f>DATA!AN138</f>
        <v>siap</v>
      </c>
      <c r="AH146" s="20" t="str">
        <f>DATA!AO138</f>
        <v>tidak butuh lahan</v>
      </c>
      <c r="AI146" s="20" t="str">
        <f>DATA!AP138</f>
        <v>dalam proses tender/lelang</v>
      </c>
      <c r="AJ146" s="20" t="str">
        <f>DATA!AY138</f>
        <v>Belum ada konfirmasi. Berdasarkan data dokumen kesiapan (RC)</v>
      </c>
      <c r="AK146" s="20" t="e">
        <f>DATA!#REF!</f>
        <v>#REF!</v>
      </c>
      <c r="AL146" s="20">
        <f>DATA!AZ138</f>
        <v>0</v>
      </c>
      <c r="AM146" s="37" t="str">
        <f>DATA!BA138</f>
        <v>Pengembangan proyek PIKNAS tahap I mulai dari perencanaan pengembangan sampai dengan implementasi proyek</v>
      </c>
    </row>
    <row r="147" spans="1:39" s="4" customFormat="1" ht="24.95" hidden="1" customHeight="1">
      <c r="J147" s="107"/>
      <c r="K147" s="25">
        <f>DATA!E139</f>
        <v>7</v>
      </c>
      <c r="L147" s="108" t="str">
        <f>DATA!F139</f>
        <v xml:space="preserve">PT. PLN    </v>
      </c>
      <c r="M147" s="25"/>
      <c r="N147" s="27"/>
      <c r="O147" s="26"/>
      <c r="P147" s="26"/>
      <c r="Q147" s="26"/>
      <c r="R147" s="80">
        <f>+R148</f>
        <v>4906600000</v>
      </c>
      <c r="S147" s="80"/>
      <c r="T147" s="80">
        <f t="shared" ref="T147:Z147" si="16">+T148</f>
        <v>931600000</v>
      </c>
      <c r="U147" s="80">
        <f t="shared" si="16"/>
        <v>0</v>
      </c>
      <c r="V147" s="80">
        <f t="shared" si="16"/>
        <v>5838200000</v>
      </c>
      <c r="W147" s="80"/>
      <c r="X147" s="80" t="e">
        <f t="shared" si="16"/>
        <v>#VALUE!</v>
      </c>
      <c r="Y147" s="80">
        <f t="shared" si="16"/>
        <v>4906600000</v>
      </c>
      <c r="Z147" s="80">
        <f t="shared" si="16"/>
        <v>0</v>
      </c>
      <c r="AA147" s="26"/>
      <c r="AB147" s="27"/>
      <c r="AC147" s="27"/>
      <c r="AD147" s="27"/>
      <c r="AE147" s="27"/>
      <c r="AF147" s="26"/>
      <c r="AG147" s="26"/>
      <c r="AH147" s="26"/>
      <c r="AI147" s="26"/>
      <c r="AJ147" s="26"/>
      <c r="AK147" s="26"/>
      <c r="AL147" s="26"/>
      <c r="AM147" s="27"/>
    </row>
    <row r="148" spans="1:39" s="5" customFormat="1" ht="33.75" hidden="1" customHeight="1">
      <c r="J148" s="28"/>
      <c r="K148" s="29"/>
      <c r="L148" s="30" t="str">
        <f>DATA!I139</f>
        <v>A</v>
      </c>
      <c r="M148" s="31" t="str">
        <f>DATA!J139</f>
        <v>Program Pembangunan Infrastruktur Ketenagalistrikan</v>
      </c>
      <c r="N148" s="51"/>
      <c r="O148" s="31"/>
      <c r="P148" s="31"/>
      <c r="Q148" s="31"/>
      <c r="R148" s="81">
        <f>+R149+R152+R155+R156+R157+R158+R159+R160</f>
        <v>4906600000</v>
      </c>
      <c r="S148" s="81"/>
      <c r="T148" s="81">
        <f t="shared" ref="T148:Z148" si="17">+T149+T152+T155+T156+T157+T158+T159+T160</f>
        <v>931600000</v>
      </c>
      <c r="U148" s="81">
        <f t="shared" si="17"/>
        <v>0</v>
      </c>
      <c r="V148" s="81">
        <f t="shared" si="17"/>
        <v>5838200000</v>
      </c>
      <c r="W148" s="81"/>
      <c r="X148" s="81" t="e">
        <f t="shared" si="17"/>
        <v>#VALUE!</v>
      </c>
      <c r="Y148" s="81">
        <f t="shared" si="17"/>
        <v>4906600000</v>
      </c>
      <c r="Z148" s="81">
        <f t="shared" si="17"/>
        <v>0</v>
      </c>
      <c r="AA148" s="31"/>
      <c r="AB148" s="32"/>
      <c r="AC148" s="32"/>
      <c r="AD148" s="32"/>
      <c r="AE148" s="32"/>
      <c r="AF148" s="31"/>
      <c r="AG148" s="31"/>
      <c r="AH148" s="31"/>
      <c r="AI148" s="31"/>
      <c r="AJ148" s="31"/>
      <c r="AK148" s="31"/>
      <c r="AL148" s="31"/>
      <c r="AM148" s="32"/>
    </row>
    <row r="149" spans="1:39" ht="35.25" hidden="1" customHeight="1">
      <c r="A149" s="10">
        <f>DATA!A139</f>
        <v>101</v>
      </c>
      <c r="B149" s="10">
        <f>DATA!B139</f>
        <v>0</v>
      </c>
      <c r="C149" s="10" t="str">
        <f>DATA!D139</f>
        <v>INFRASTRUKTUR</v>
      </c>
      <c r="D149" s="10">
        <f>DATA!E139</f>
        <v>7</v>
      </c>
      <c r="E149" s="10" t="str">
        <f>DATA!F139</f>
        <v xml:space="preserve">PT. PLN    </v>
      </c>
      <c r="F149" s="10" t="str">
        <f>DATA!H139</f>
        <v>Electricity Infrastructure Development Program</v>
      </c>
      <c r="G149" s="10" t="str">
        <f>DATA!I139</f>
        <v>A</v>
      </c>
      <c r="H149" s="10" t="str">
        <f>DATA!J139</f>
        <v>Program Pembangunan Infrastruktur Ketenagalistrikan</v>
      </c>
      <c r="I149" s="10">
        <f>DATA!K139</f>
        <v>1</v>
      </c>
      <c r="J149" s="33"/>
      <c r="K149" s="34"/>
      <c r="L149" s="35"/>
      <c r="M149" s="36">
        <f>DATA!K139</f>
        <v>1</v>
      </c>
      <c r="N149" s="37" t="str">
        <f>DATA!L139</f>
        <v>Construction of Java Sumatera Interconnection 500 kV (HVDC):</v>
      </c>
      <c r="O149" s="20">
        <f>DATA!Q139</f>
        <v>0</v>
      </c>
      <c r="P149" s="20">
        <f>DATA!R139</f>
        <v>0</v>
      </c>
      <c r="Q149" s="20">
        <f>DATA!S139</f>
        <v>0</v>
      </c>
      <c r="R149" s="77">
        <f>DATA!T139</f>
        <v>1562000000</v>
      </c>
      <c r="S149" s="77"/>
      <c r="T149" s="77">
        <f>DATA!V139</f>
        <v>253000000</v>
      </c>
      <c r="U149" s="77">
        <f>DATA!W139</f>
        <v>0</v>
      </c>
      <c r="V149" s="77">
        <f>DATA!X139</f>
        <v>1815000000</v>
      </c>
      <c r="W149" s="78" t="str">
        <f>DATA!Y139</f>
        <v>-</v>
      </c>
      <c r="X149" s="20">
        <f>DATA!Z139</f>
        <v>0</v>
      </c>
      <c r="Y149" s="77">
        <f>DATA!AA139</f>
        <v>1562000000</v>
      </c>
      <c r="Z149" s="77">
        <f>DATA!AG139</f>
        <v>0</v>
      </c>
      <c r="AA149" s="20" t="str">
        <f>DATA!AH139</f>
        <v>-</v>
      </c>
      <c r="AB149" s="37" t="str">
        <f>DATA!AI139</f>
        <v>-</v>
      </c>
      <c r="AC149" s="37" t="str">
        <f>DATA!AJ139</f>
        <v>-</v>
      </c>
      <c r="AD149" s="37" t="str">
        <f>DATA!AK139</f>
        <v>-</v>
      </c>
      <c r="AE149" s="37" t="str">
        <f>DATA!AL139</f>
        <v>-</v>
      </c>
      <c r="AF149" s="20" t="str">
        <f>DATA!AM139</f>
        <v>-</v>
      </c>
      <c r="AG149" s="20" t="str">
        <f>DATA!AN139</f>
        <v>-</v>
      </c>
      <c r="AH149" s="20" t="str">
        <f>DATA!AO139</f>
        <v>-</v>
      </c>
      <c r="AI149" s="20">
        <f>DATA!AP139</f>
        <v>0</v>
      </c>
      <c r="AJ149" s="20" t="str">
        <f>DATA!AY139</f>
        <v>Surat Dirut PT. PLN nomor 716/REN.08.01/DIR/2015 tgl 9 September 2015</v>
      </c>
      <c r="AK149" s="20" t="e">
        <f>DATA!#REF!</f>
        <v>#REF!</v>
      </c>
      <c r="AL149" s="20">
        <f>DATA!AZ139</f>
        <v>0</v>
      </c>
      <c r="AM149" s="37" t="str">
        <f>DATA!BA139</f>
        <v>Pembangunan dan instalasi: 500 kV AC Overhead line</v>
      </c>
    </row>
    <row r="150" spans="1:39" s="7" customFormat="1" ht="142.5" customHeight="1">
      <c r="A150" s="6">
        <f>DATA!A140</f>
        <v>102</v>
      </c>
      <c r="B150" s="6">
        <f>DATA!B140</f>
        <v>0</v>
      </c>
      <c r="C150" s="6" t="str">
        <f>DATA!D140</f>
        <v>INFRASTRUKTUR</v>
      </c>
      <c r="D150" s="6">
        <f>DATA!E140</f>
        <v>7</v>
      </c>
      <c r="E150" s="6" t="str">
        <f>DATA!F140</f>
        <v xml:space="preserve">PT. PLN    </v>
      </c>
      <c r="F150" s="6" t="str">
        <f>DATA!H140</f>
        <v>Electricity Infrastructure Development Program</v>
      </c>
      <c r="G150" s="6" t="str">
        <f>DATA!I140</f>
        <v>A</v>
      </c>
      <c r="H150" s="6" t="str">
        <f>DATA!J140</f>
        <v>Program Pembangunan Infrastruktur Ketenagalistrikan</v>
      </c>
      <c r="I150" s="6">
        <f>DATA!K140</f>
        <v>1</v>
      </c>
      <c r="J150" s="44"/>
      <c r="K150" s="45"/>
      <c r="L150" s="45"/>
      <c r="M150" s="48"/>
      <c r="N150" s="68" t="str">
        <f>DATA!L140</f>
        <v>Java-Sumatera Interconnection Transmission Line (HVDC) 500 kV (Phase II)</v>
      </c>
      <c r="O150" s="42">
        <f>DATA!Q140</f>
        <v>1</v>
      </c>
      <c r="P150" s="42">
        <f>DATA!R140</f>
        <v>1</v>
      </c>
      <c r="Q150" s="42">
        <f>DATA!S140</f>
        <v>91</v>
      </c>
      <c r="R150" s="85">
        <f>DATA!T140</f>
        <v>629000000</v>
      </c>
      <c r="S150" s="85"/>
      <c r="T150" s="85">
        <f>DATA!V140</f>
        <v>88000000</v>
      </c>
      <c r="U150" s="83">
        <f>DATA!W140</f>
        <v>0</v>
      </c>
      <c r="V150" s="85">
        <f>DATA!X140</f>
        <v>717000000</v>
      </c>
      <c r="W150" s="86" t="str">
        <f>DATA!Y140</f>
        <v>JICA</v>
      </c>
      <c r="X150" s="42" t="str">
        <f>DATA!Z140</f>
        <v>Bilateral</v>
      </c>
      <c r="Y150" s="85">
        <f>DATA!AA140</f>
        <v>629000000</v>
      </c>
      <c r="Z150" s="85">
        <f>DATA!AG140</f>
        <v>0</v>
      </c>
      <c r="AA150" s="98">
        <f>DATA!AH140</f>
        <v>2015</v>
      </c>
      <c r="AB150" s="68" t="str">
        <f>DATA!AI140</f>
        <v>- Sudah ada R/C
- Green Book 2015
- Loan Agreement tgl 18 Des'15</v>
      </c>
      <c r="AC150" s="68" t="str">
        <f>DATA!AJ140</f>
        <v>FS, AMDAL</v>
      </c>
      <c r="AD150" s="99">
        <f>DATA!AK140</f>
        <v>0.3</v>
      </c>
      <c r="AE150" s="68" t="str">
        <f>DATA!AL140</f>
        <v>- Paket 1 = Proses lelang, evaluasi tahap I 
- Paket 2 = Proses lelang, akhir proses tahap I 
- Paket 3 = Kontrak 29 Okt 2014 
- Paket 4 = Proses lelang, RFP 2 Sept 2015 
- Paket 5 = Penyusunan Dokumen Tender</v>
      </c>
      <c r="AF150" s="42" t="str">
        <f>DATA!AR140</f>
        <v>Nilai pinjaman di GB USD 629.140 ribu</v>
      </c>
      <c r="AG150" s="42" t="str">
        <f>DATA!AN140</f>
        <v>siap</v>
      </c>
      <c r="AH150" s="42" t="str">
        <f>DATA!AO140</f>
        <v>dalam proses
(pelaksanaan 30%)</v>
      </c>
      <c r="AI150" s="42" t="str">
        <f>DATA!AP140</f>
        <v>dalam proses tender/lelang</v>
      </c>
      <c r="AJ150" s="42"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K150" s="42" t="e">
        <f>DATA!#REF!</f>
        <v>#REF!</v>
      </c>
      <c r="AL150" s="42">
        <f>DATA!AZ140</f>
        <v>0</v>
      </c>
      <c r="AM150" s="67" t="str">
        <f>DATA!BA140</f>
        <v>Pembangunan dan instalasi: 500 kV AC Overhead line; 500 IW DC Overhead line; kabel bawah laut HVDC; Stasiun converter HVDC; 275 kV Overhead line (OHL)</v>
      </c>
    </row>
    <row r="151" spans="1:39" s="6" customFormat="1" ht="48.75" hidden="1" customHeight="1">
      <c r="A151" s="6">
        <f>DATA!A141</f>
        <v>103</v>
      </c>
      <c r="B151" s="6">
        <f>DATA!B141</f>
        <v>0</v>
      </c>
      <c r="C151" s="6" t="str">
        <f>DATA!D141</f>
        <v>INFRASTRUKTUR</v>
      </c>
      <c r="D151" s="6">
        <f>DATA!E141</f>
        <v>7</v>
      </c>
      <c r="E151" s="6" t="str">
        <f>DATA!F141</f>
        <v xml:space="preserve">PT. PLN    </v>
      </c>
      <c r="F151" s="6" t="str">
        <f>DATA!H141</f>
        <v>Electricity Infrastructure Development Program</v>
      </c>
      <c r="G151" s="6" t="str">
        <f>DATA!I141</f>
        <v>A</v>
      </c>
      <c r="H151" s="6" t="str">
        <f>DATA!J141</f>
        <v>Program Pembangunan Infrastruktur Ketenagalistrikan</v>
      </c>
      <c r="I151" s="6">
        <f>DATA!K141</f>
        <v>1</v>
      </c>
      <c r="J151" s="38"/>
      <c r="K151" s="39"/>
      <c r="L151" s="39"/>
      <c r="M151" s="43"/>
      <c r="N151" s="67" t="str">
        <f>DATA!L141</f>
        <v>Construction of Java Sumatera Interconnection 500 kV (HVDC-Phase 3 &amp; 4)</v>
      </c>
      <c r="O151" s="42">
        <f>DATA!Q141</f>
        <v>1</v>
      </c>
      <c r="P151" s="42">
        <f>DATA!R141</f>
        <v>1</v>
      </c>
      <c r="Q151" s="42">
        <f>DATA!S141</f>
        <v>92</v>
      </c>
      <c r="R151" s="83">
        <f>DATA!T141</f>
        <v>933000000</v>
      </c>
      <c r="S151" s="83"/>
      <c r="T151" s="83">
        <f>DATA!V141</f>
        <v>165000000</v>
      </c>
      <c r="U151" s="83">
        <f>DATA!W141</f>
        <v>0</v>
      </c>
      <c r="V151" s="83">
        <f>DATA!X141</f>
        <v>1098000000</v>
      </c>
      <c r="W151" s="84" t="str">
        <f>DATA!Y141</f>
        <v>JICA</v>
      </c>
      <c r="X151" s="42" t="str">
        <f>DATA!Z141</f>
        <v>Bilateral</v>
      </c>
      <c r="Y151" s="83">
        <f>DATA!AA141</f>
        <v>933000000</v>
      </c>
      <c r="Z151" s="83">
        <f>DATA!AG141</f>
        <v>0</v>
      </c>
      <c r="AA151" s="42">
        <f>DATA!AH141</f>
        <v>2015</v>
      </c>
      <c r="AB151" s="67" t="str">
        <f>DATA!AI141</f>
        <v xml:space="preserve">Penyiapan R/C
</v>
      </c>
      <c r="AC151" s="67" t="str">
        <f>DATA!AJ141</f>
        <v>-</v>
      </c>
      <c r="AD151" s="67" t="str">
        <f>DATA!AK141</f>
        <v>-</v>
      </c>
      <c r="AE151" s="67" t="str">
        <f>DATA!AL141</f>
        <v>-</v>
      </c>
      <c r="AF151" s="42" t="str">
        <f>DATA!AR141</f>
        <v>penyiapan dokumen R/C</v>
      </c>
      <c r="AG151" s="42" t="str">
        <f>DATA!AN141</f>
        <v>belum ada keterangan</v>
      </c>
      <c r="AH151" s="42" t="str">
        <f>DATA!AO141</f>
        <v>belum ada keterangan</v>
      </c>
      <c r="AI151" s="42" t="str">
        <f>DATA!AP141</f>
        <v>belum ada proses tender/lelang</v>
      </c>
      <c r="AJ151" s="42" t="str">
        <f>DATA!AY141</f>
        <v>Surat Dirut PT. PLN nomor 716/REN.08.01/DIR/2015 tgl 9 September 2015</v>
      </c>
      <c r="AK151" s="42" t="e">
        <f>DATA!#REF!</f>
        <v>#REF!</v>
      </c>
      <c r="AL151" s="42">
        <f>DATA!AZ141</f>
        <v>0</v>
      </c>
      <c r="AM151" s="67" t="str">
        <f>DATA!BA141</f>
        <v>Pembangunan dan instalasi: 500 kV AC Overhead line; 500 IW DC Overhead line; kabel bawah laut HVDC; Stasiun converter HVDC; 275 kV Overhead line (OHL)</v>
      </c>
    </row>
    <row r="152" spans="1:39" ht="43.5" hidden="1" customHeight="1">
      <c r="A152" s="10">
        <f>DATA!A142</f>
        <v>104</v>
      </c>
      <c r="B152" s="10">
        <f>DATA!B142</f>
        <v>0</v>
      </c>
      <c r="C152" s="10" t="str">
        <f>DATA!D142</f>
        <v>INFRASTRUKTUR</v>
      </c>
      <c r="D152" s="10">
        <f>DATA!E142</f>
        <v>7</v>
      </c>
      <c r="E152" s="10" t="str">
        <f>DATA!F142</f>
        <v xml:space="preserve">PT. PLN    </v>
      </c>
      <c r="F152" s="10" t="str">
        <f>DATA!H142</f>
        <v>Electricity Infrastructure Development Program</v>
      </c>
      <c r="G152" s="10" t="str">
        <f>DATA!I142</f>
        <v>A</v>
      </c>
      <c r="H152" s="10" t="str">
        <f>DATA!J142</f>
        <v>Program Pembangunan Infrastruktur Ketenagalistrikan</v>
      </c>
      <c r="I152" s="10">
        <f>DATA!K142</f>
        <v>2</v>
      </c>
      <c r="J152" s="33"/>
      <c r="K152" s="34"/>
      <c r="L152" s="34"/>
      <c r="M152" s="36">
        <f>DATA!K142</f>
        <v>2</v>
      </c>
      <c r="N152" s="37" t="str">
        <f>DATA!L142</f>
        <v>Hululais Geothermal Power Plant 1&amp;2 (2x55MW):</v>
      </c>
      <c r="O152" s="20">
        <f>DATA!Q142</f>
        <v>0</v>
      </c>
      <c r="P152" s="20">
        <f>DATA!R142</f>
        <v>0</v>
      </c>
      <c r="Q152" s="20">
        <f>DATA!S142</f>
        <v>0</v>
      </c>
      <c r="R152" s="77">
        <f>DATA!T142</f>
        <v>210600000</v>
      </c>
      <c r="S152" s="77"/>
      <c r="T152" s="77">
        <f>DATA!V142</f>
        <v>42600000</v>
      </c>
      <c r="U152" s="77">
        <f>DATA!W142</f>
        <v>0</v>
      </c>
      <c r="V152" s="77">
        <f>DATA!X142</f>
        <v>253200000</v>
      </c>
      <c r="W152" s="78" t="str">
        <f>DATA!Y142</f>
        <v>-</v>
      </c>
      <c r="X152" s="20">
        <f>DATA!Z142</f>
        <v>0</v>
      </c>
      <c r="Y152" s="77">
        <f>DATA!AA142</f>
        <v>210600000</v>
      </c>
      <c r="Z152" s="77">
        <f>DATA!AG142</f>
        <v>0</v>
      </c>
      <c r="AA152" s="20" t="str">
        <f>DATA!AH142</f>
        <v>-</v>
      </c>
      <c r="AB152" s="37" t="str">
        <f>DATA!AI142</f>
        <v>-</v>
      </c>
      <c r="AC152" s="37" t="str">
        <f>DATA!AJ142</f>
        <v>-</v>
      </c>
      <c r="AD152" s="37" t="str">
        <f>DATA!AK142</f>
        <v>-</v>
      </c>
      <c r="AE152" s="37" t="str">
        <f>DATA!AL142</f>
        <v>-</v>
      </c>
      <c r="AF152" s="20" t="str">
        <f>DATA!AM142</f>
        <v>-</v>
      </c>
      <c r="AG152" s="20" t="str">
        <f>DATA!AN142</f>
        <v>-</v>
      </c>
      <c r="AH152" s="20" t="str">
        <f>DATA!AO142</f>
        <v>-</v>
      </c>
      <c r="AI152" s="20">
        <f>DATA!AP142</f>
        <v>0</v>
      </c>
      <c r="AJ152" s="20" t="str">
        <f>DATA!AY142</f>
        <v>Surat Dirut PT. PLN nomor 716/REN.08.01/DIR/2015 tgl 9 September 2015</v>
      </c>
      <c r="AK152" s="20" t="e">
        <f>DATA!#REF!</f>
        <v>#REF!</v>
      </c>
      <c r="AL152" s="20">
        <f>DATA!AZ142</f>
        <v>0</v>
      </c>
      <c r="AM152" s="37" t="str">
        <f>DATA!BA142</f>
        <v>Pembangunan PLTP Hululais 2x55 MW, pembangunan jaringan transmisi 150 kV, termasuk engineering desainnya</v>
      </c>
    </row>
    <row r="153" spans="1:39" s="7" customFormat="1" ht="74.25" customHeight="1">
      <c r="A153" s="6">
        <f>DATA!A143</f>
        <v>105</v>
      </c>
      <c r="B153" s="6">
        <f>DATA!B143</f>
        <v>0</v>
      </c>
      <c r="C153" s="6" t="str">
        <f>DATA!D143</f>
        <v>INFRASTRUKTUR</v>
      </c>
      <c r="D153" s="6">
        <f>DATA!E143</f>
        <v>7</v>
      </c>
      <c r="E153" s="6" t="str">
        <f>DATA!F143</f>
        <v xml:space="preserve">PT. PLN    </v>
      </c>
      <c r="F153" s="6" t="str">
        <f>DATA!H143</f>
        <v>Electricity Infrastructure Development Program</v>
      </c>
      <c r="G153" s="6" t="str">
        <f>DATA!I143</f>
        <v>A</v>
      </c>
      <c r="H153" s="6" t="str">
        <f>DATA!J143</f>
        <v>Program Pembangunan Infrastruktur Ketenagalistrikan</v>
      </c>
      <c r="I153" s="6">
        <f>DATA!K143</f>
        <v>2</v>
      </c>
      <c r="J153" s="44"/>
      <c r="K153" s="45"/>
      <c r="L153" s="45"/>
      <c r="M153" s="48"/>
      <c r="N153" s="68" t="str">
        <f>DATA!L143</f>
        <v>Engineering Service for Hululais 1&amp;2 Geothermal Power Plant Project (2x55 MW)</v>
      </c>
      <c r="O153" s="42">
        <f>DATA!Q143</f>
        <v>1</v>
      </c>
      <c r="P153" s="42">
        <f>DATA!R143</f>
        <v>1</v>
      </c>
      <c r="Q153" s="42">
        <f>DATA!S143</f>
        <v>93</v>
      </c>
      <c r="R153" s="85">
        <f>DATA!T143</f>
        <v>6600000</v>
      </c>
      <c r="S153" s="85"/>
      <c r="T153" s="85">
        <f>DATA!V143</f>
        <v>600000</v>
      </c>
      <c r="U153" s="83">
        <f>DATA!W143</f>
        <v>0</v>
      </c>
      <c r="V153" s="85">
        <f>DATA!X143</f>
        <v>7200000</v>
      </c>
      <c r="W153" s="86" t="str">
        <f>DATA!Y143</f>
        <v>JICA</v>
      </c>
      <c r="X153" s="42" t="str">
        <f>DATA!Z143</f>
        <v>Bilateral</v>
      </c>
      <c r="Y153" s="85">
        <f>DATA!AA143</f>
        <v>6600000</v>
      </c>
      <c r="Z153" s="85">
        <f>DATA!AG143</f>
        <v>0</v>
      </c>
      <c r="AA153" s="98">
        <f>DATA!AH143</f>
        <v>2015</v>
      </c>
      <c r="AB153" s="68" t="str">
        <f>DATA!AI143</f>
        <v>- Sudah ada R/C0
- Green Book 2015
- Loan Agreement tgl 18 Des'15</v>
      </c>
      <c r="AC153" s="68" t="str">
        <f>DATA!AJ143</f>
        <v>- AMDAL sedang di proses
- Pengeboran eksplorasi sedang di proses</v>
      </c>
      <c r="AD153" s="68" t="str">
        <f>DATA!AK143</f>
        <v>Belum</v>
      </c>
      <c r="AE153" s="68" t="str">
        <f>DATA!AL143</f>
        <v>Dalam proses persiapan pengadaan konsultan</v>
      </c>
      <c r="AF153" s="42" t="str">
        <f>DATA!AR143</f>
        <v>Nilai pinjaman di GB USD 6.570 ribu</v>
      </c>
      <c r="AG153" s="42" t="str">
        <f>DATA!AN143</f>
        <v>siap</v>
      </c>
      <c r="AH153" s="42" t="str">
        <f>DATA!AO143</f>
        <v>tidak butuh lahan</v>
      </c>
      <c r="AI153" s="42" t="str">
        <f>DATA!AP143</f>
        <v>belum ada proses tender/lelang</v>
      </c>
      <c r="AJ153" s="42" t="str">
        <f>DATA!AY143</f>
        <v>Surat Dirut PT. PLN nomor 716/REN.08.01/DIR/2015 tgl 9 September 2015</v>
      </c>
      <c r="AK153" s="42" t="e">
        <f>DATA!#REF!</f>
        <v>#REF!</v>
      </c>
      <c r="AL153" s="42">
        <f>DATA!AZ143</f>
        <v>0</v>
      </c>
      <c r="AM153" s="67" t="str">
        <f>DATA!BA143</f>
        <v>Memfasilitasi penyusunan DED, tender dokumen, dan pengawasan konstruksi untuk PLTP Hululais 1 dan 2 (2x55 MW)</v>
      </c>
    </row>
    <row r="154" spans="1:39" s="6" customFormat="1" ht="31.5" hidden="1" customHeight="1">
      <c r="A154" s="6">
        <f>DATA!A144</f>
        <v>106</v>
      </c>
      <c r="B154" s="6">
        <f>DATA!B144</f>
        <v>0</v>
      </c>
      <c r="C154" s="6" t="str">
        <f>DATA!D144</f>
        <v>INFRASTRUKTUR</v>
      </c>
      <c r="D154" s="6">
        <f>DATA!E144</f>
        <v>7</v>
      </c>
      <c r="E154" s="6" t="str">
        <f>DATA!F144</f>
        <v xml:space="preserve">PT. PLN    </v>
      </c>
      <c r="F154" s="6" t="str">
        <f>DATA!H144</f>
        <v>Electricity Infrastructure Development Program</v>
      </c>
      <c r="G154" s="6" t="str">
        <f>DATA!I144</f>
        <v>A</v>
      </c>
      <c r="H154" s="6" t="str">
        <f>DATA!J144</f>
        <v>Program Pembangunan Infrastruktur Ketenagalistrikan</v>
      </c>
      <c r="I154" s="6">
        <f>DATA!K144</f>
        <v>2</v>
      </c>
      <c r="J154" s="38"/>
      <c r="K154" s="39"/>
      <c r="L154" s="39"/>
      <c r="M154" s="43"/>
      <c r="N154" s="67" t="str">
        <f>DATA!L144</f>
        <v>Hululais Geothermal Power Plant  1&amp;2 (2x55MW)</v>
      </c>
      <c r="O154" s="42">
        <f>DATA!Q144</f>
        <v>1</v>
      </c>
      <c r="P154" s="42">
        <f>DATA!R144</f>
        <v>1</v>
      </c>
      <c r="Q154" s="42">
        <f>DATA!S144</f>
        <v>94</v>
      </c>
      <c r="R154" s="83">
        <f>DATA!T144</f>
        <v>204000000</v>
      </c>
      <c r="S154" s="83"/>
      <c r="T154" s="83">
        <f>DATA!V144</f>
        <v>42000000</v>
      </c>
      <c r="U154" s="83">
        <f>DATA!W144</f>
        <v>0</v>
      </c>
      <c r="V154" s="83">
        <f>DATA!X144</f>
        <v>246000000</v>
      </c>
      <c r="W154" s="84" t="str">
        <f>DATA!Y144</f>
        <v>JICA</v>
      </c>
      <c r="X154" s="42" t="str">
        <f>DATA!Z144</f>
        <v>Bilateral</v>
      </c>
      <c r="Y154" s="83">
        <f>DATA!AA144</f>
        <v>204000000</v>
      </c>
      <c r="Z154" s="83">
        <f>DATA!AG144</f>
        <v>0</v>
      </c>
      <c r="AA154" s="42">
        <f>DATA!AH144</f>
        <v>2015</v>
      </c>
      <c r="AB154" s="67" t="str">
        <f>DATA!AI144</f>
        <v>-</v>
      </c>
      <c r="AC154" s="67" t="str">
        <f>DATA!AJ144</f>
        <v>-</v>
      </c>
      <c r="AD154" s="67" t="str">
        <f>DATA!AK144</f>
        <v>-</v>
      </c>
      <c r="AE154" s="67" t="str">
        <f>DATA!AL144</f>
        <v>-</v>
      </c>
      <c r="AF154" s="42" t="str">
        <f>DATA!AR144</f>
        <v>belum ada dokumen R/C</v>
      </c>
      <c r="AG154" s="42" t="str">
        <f>DATA!AN144</f>
        <v>belum ada keterangan</v>
      </c>
      <c r="AH154" s="42" t="str">
        <f>DATA!AO144</f>
        <v>belum ada keterangan</v>
      </c>
      <c r="AI154" s="42" t="str">
        <f>DATA!AP144</f>
        <v>belum ada proses tender/lelang</v>
      </c>
      <c r="AJ154" s="42" t="str">
        <f>DATA!AY144</f>
        <v>Surat Dirut PT. PLN nomor 716/REN.08.01/DIR/2015 tgl 9 September 2015</v>
      </c>
      <c r="AK154" s="42" t="e">
        <f>DATA!#REF!</f>
        <v>#REF!</v>
      </c>
      <c r="AL154" s="42">
        <f>DATA!AZ144</f>
        <v>0</v>
      </c>
      <c r="AM154" s="67" t="str">
        <f>DATA!BA144</f>
        <v>Pembangunan PLTP Hululais 2x55 MW dan pembangunan jaringan transmisi 150 kV</v>
      </c>
    </row>
    <row r="155" spans="1:39" ht="51" hidden="1">
      <c r="A155" s="10">
        <f>DATA!A145</f>
        <v>107</v>
      </c>
      <c r="B155" s="10">
        <f>DATA!B145</f>
        <v>0</v>
      </c>
      <c r="C155" s="10" t="str">
        <f>DATA!D145</f>
        <v>INFRASTRUKTUR</v>
      </c>
      <c r="D155" s="10">
        <f>DATA!E145</f>
        <v>7</v>
      </c>
      <c r="E155" s="10" t="str">
        <f>DATA!F145</f>
        <v xml:space="preserve">PT. PLN    </v>
      </c>
      <c r="F155" s="10" t="str">
        <f>DATA!H145</f>
        <v>Electricity Infrastructure Development Program</v>
      </c>
      <c r="G155" s="10" t="str">
        <f>DATA!I145</f>
        <v>A</v>
      </c>
      <c r="H155" s="10" t="str">
        <f>DATA!J145</f>
        <v>Program Pembangunan Infrastruktur Ketenagalistrikan</v>
      </c>
      <c r="I155" s="10">
        <f>DATA!K145</f>
        <v>3</v>
      </c>
      <c r="J155" s="33"/>
      <c r="K155" s="34"/>
      <c r="L155" s="34"/>
      <c r="M155" s="36">
        <f>DATA!K145</f>
        <v>3</v>
      </c>
      <c r="N155" s="37" t="str">
        <f>DATA!L145</f>
        <v>Bakaru II Hydro Electrical Power Plant (2x63MW)</v>
      </c>
      <c r="O155" s="20">
        <f>DATA!Q145</f>
        <v>1</v>
      </c>
      <c r="P155" s="20">
        <f>DATA!R145</f>
        <v>1</v>
      </c>
      <c r="Q155" s="20">
        <f>DATA!S145</f>
        <v>95</v>
      </c>
      <c r="R155" s="77">
        <f>DATA!T145</f>
        <v>280000000</v>
      </c>
      <c r="S155" s="77"/>
      <c r="T155" s="77">
        <f>DATA!V145</f>
        <v>20000000</v>
      </c>
      <c r="U155" s="77">
        <f>DATA!W145</f>
        <v>0</v>
      </c>
      <c r="V155" s="77">
        <f>DATA!X145</f>
        <v>300000000</v>
      </c>
      <c r="W155" s="78" t="str">
        <f>DATA!Y145</f>
        <v>Jerman (KfW)</v>
      </c>
      <c r="X155" s="20" t="str">
        <f>DATA!Z145</f>
        <v>Bilateral</v>
      </c>
      <c r="Y155" s="77">
        <f>DATA!AA145</f>
        <v>280000000</v>
      </c>
      <c r="Z155" s="77">
        <f>DATA!AG145</f>
        <v>0</v>
      </c>
      <c r="AA155" s="20">
        <f>DATA!AH145</f>
        <v>2016</v>
      </c>
      <c r="AB155" s="37" t="str">
        <f>DATA!AI145</f>
        <v>-</v>
      </c>
      <c r="AC155" s="37" t="str">
        <f>DATA!AJ145</f>
        <v>Dalam tahap reviu FS, Penyusunan AMDAL</v>
      </c>
      <c r="AD155" s="37" t="str">
        <f>DATA!AK145</f>
        <v>Pembebasan lahan menunggu hasil reviu FS</v>
      </c>
      <c r="AE155" s="37" t="str">
        <f>DATA!AL145</f>
        <v>Belum ada lelang/tender</v>
      </c>
      <c r="AF155" s="20">
        <f>DATA!AM145</f>
        <v>0</v>
      </c>
      <c r="AG155" s="20" t="str">
        <f>DATA!AN145</f>
        <v>dalam proses</v>
      </c>
      <c r="AH155" s="20" t="str">
        <f>DATA!AO145</f>
        <v>dalam proses
(perencanaan)</v>
      </c>
      <c r="AI155" s="20" t="str">
        <f>DATA!AP145</f>
        <v>belum ada proses tender/lelang</v>
      </c>
      <c r="AJ155"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K155" s="20" t="e">
        <f>DATA!#REF!</f>
        <v>#REF!</v>
      </c>
      <c r="AL155" s="20">
        <f>DATA!AZ145</f>
        <v>0</v>
      </c>
      <c r="AM155" s="37" t="str">
        <f>DATA!BA145</f>
        <v xml:space="preserve"> Pembangunan PLTA Bakaru II (2x63 MW), rehabilitasi bendungan dan turbin PLTA Bakaru I, sedimentasi penanggulangan dan Engineering Services PLTA Bakaru II</v>
      </c>
    </row>
    <row r="156" spans="1:39" ht="76.5" hidden="1">
      <c r="A156" s="10">
        <f>DATA!A146</f>
        <v>108</v>
      </c>
      <c r="B156" s="10">
        <f>DATA!B146</f>
        <v>0</v>
      </c>
      <c r="C156" s="10" t="str">
        <f>DATA!D146</f>
        <v>INFRASTRUKTUR</v>
      </c>
      <c r="D156" s="10">
        <f>DATA!E146</f>
        <v>7</v>
      </c>
      <c r="E156" s="10" t="str">
        <f>DATA!F146</f>
        <v xml:space="preserve">PT. PLN    </v>
      </c>
      <c r="F156" s="10" t="str">
        <f>DATA!H146</f>
        <v>Electricity Infrastructure Development Program</v>
      </c>
      <c r="G156" s="10" t="str">
        <f>DATA!I146</f>
        <v>A</v>
      </c>
      <c r="H156" s="10" t="str">
        <f>DATA!J146</f>
        <v>Program Pembangunan Infrastruktur Ketenagalistrikan</v>
      </c>
      <c r="I156" s="10">
        <f>DATA!K146</f>
        <v>4</v>
      </c>
      <c r="J156" s="33"/>
      <c r="K156" s="34"/>
      <c r="L156" s="34"/>
      <c r="M156" s="36">
        <f>DATA!K146</f>
        <v>4</v>
      </c>
      <c r="N156" s="37" t="str">
        <f>DATA!L146</f>
        <v>Tulehu Geothermal Power Plant Project Unit 1&amp;2 (2x10MW)</v>
      </c>
      <c r="O156" s="20">
        <f>DATA!Q146</f>
        <v>1</v>
      </c>
      <c r="P156" s="20">
        <f>DATA!R146</f>
        <v>1</v>
      </c>
      <c r="Q156" s="20">
        <f>DATA!S146</f>
        <v>96</v>
      </c>
      <c r="R156" s="77">
        <f>DATA!T146</f>
        <v>104000000</v>
      </c>
      <c r="S156" s="77"/>
      <c r="T156" s="77">
        <f>DATA!V146</f>
        <v>18000000</v>
      </c>
      <c r="U156" s="77">
        <f>DATA!W146</f>
        <v>0</v>
      </c>
      <c r="V156" s="77">
        <f>DATA!X146</f>
        <v>122000000</v>
      </c>
      <c r="W156" s="78" t="str">
        <f>DATA!Y146</f>
        <v>JICA</v>
      </c>
      <c r="X156" s="20" t="str">
        <f>DATA!Z146</f>
        <v>Bilateral</v>
      </c>
      <c r="Y156" s="77">
        <f>DATA!AA146</f>
        <v>104000000</v>
      </c>
      <c r="Z156" s="77">
        <f>DATA!AG146</f>
        <v>0</v>
      </c>
      <c r="AA156" s="20">
        <f>DATA!AH146</f>
        <v>2018</v>
      </c>
      <c r="AB156" s="37" t="str">
        <f>DATA!AI146</f>
        <v>-</v>
      </c>
      <c r="AC156" s="37" t="str">
        <f>DATA!AJ146</f>
        <v>Dalam proses reviu oleh BLH</v>
      </c>
      <c r="AD156" s="114">
        <f>DATA!AK146</f>
        <v>0.63</v>
      </c>
      <c r="AE156" s="37" t="str">
        <f>DATA!AL146</f>
        <v>- Direncanakan PQ IPM Drilling Sumur Produksi/Injeksi dimulai akhir Sept 2015
- Proses finalisasi dokumen lelang</v>
      </c>
      <c r="AF156" s="20" t="str">
        <f>DATA!AR146</f>
        <v>belum ada dokumen R/C</v>
      </c>
      <c r="AG156" s="20" t="str">
        <f>DATA!AN146</f>
        <v>dalam proses
(penyusunan FS)</v>
      </c>
      <c r="AH156" s="20" t="str">
        <f>DATA!AO146</f>
        <v>dalam proses
(pelaksanaan 63%)</v>
      </c>
      <c r="AI156" s="20" t="str">
        <f>DATA!AP146</f>
        <v>belum ada proses tender/lelang</v>
      </c>
      <c r="AJ156" s="20" t="str">
        <f>DATA!AY146</f>
        <v>- Pembebasan lahan untuk lokasi power plant dan pad B masih terkendala batas wilayah antara dua desa
- Surat Dirut PT. PLN nomor 716/REN.08.01/DIR/2015 tgl 9 September 2015</v>
      </c>
      <c r="AK156" s="20" t="e">
        <f>DATA!#REF!</f>
        <v>#REF!</v>
      </c>
      <c r="AL156" s="20">
        <f>DATA!AZ146</f>
        <v>0</v>
      </c>
      <c r="AM156" s="37" t="str">
        <f>DATA!BA146</f>
        <v>Pembangunan PLTP Tulehu 2x10 MW dan tambahan pengeboran untuk 3 sumur produksi/injeksi</v>
      </c>
    </row>
    <row r="157" spans="1:39" ht="89.25" hidden="1">
      <c r="A157" s="10">
        <f>DATA!A147</f>
        <v>109</v>
      </c>
      <c r="B157" s="10">
        <f>DATA!B147</f>
        <v>0</v>
      </c>
      <c r="C157" s="10" t="str">
        <f>DATA!D147</f>
        <v>INFRASTRUKTUR</v>
      </c>
      <c r="D157" s="10">
        <f>DATA!E147</f>
        <v>7</v>
      </c>
      <c r="E157" s="10" t="str">
        <f>DATA!F147</f>
        <v xml:space="preserve">PT. PLN    </v>
      </c>
      <c r="F157" s="10" t="str">
        <f>DATA!H147</f>
        <v>Electricity Infrastructure Development Program</v>
      </c>
      <c r="G157" s="10" t="str">
        <f>DATA!I147</f>
        <v>A</v>
      </c>
      <c r="H157" s="10" t="str">
        <f>DATA!J147</f>
        <v>Program Pembangunan Infrastruktur Ketenagalistrikan</v>
      </c>
      <c r="I157" s="10">
        <f>DATA!K147</f>
        <v>5</v>
      </c>
      <c r="J157" s="33"/>
      <c r="K157" s="34"/>
      <c r="L157" s="34"/>
      <c r="M157" s="36">
        <f>DATA!K147</f>
        <v>5</v>
      </c>
      <c r="N157" s="37" t="str">
        <f>DATA!L147</f>
        <v>Indramayu Coal Fired Power Plant  #4 (1x1000MW)</v>
      </c>
      <c r="O157" s="20">
        <f>DATA!Q147</f>
        <v>1</v>
      </c>
      <c r="P157" s="20">
        <f>DATA!R147</f>
        <v>1</v>
      </c>
      <c r="Q157" s="20">
        <f>DATA!S147</f>
        <v>97</v>
      </c>
      <c r="R157" s="77">
        <f>DATA!T147</f>
        <v>1845000000</v>
      </c>
      <c r="S157" s="77"/>
      <c r="T157" s="77">
        <f>DATA!V147</f>
        <v>333000000</v>
      </c>
      <c r="U157" s="77">
        <f>DATA!W147</f>
        <v>0</v>
      </c>
      <c r="V157" s="77">
        <f>DATA!X147</f>
        <v>2178000000</v>
      </c>
      <c r="W157" s="78" t="str">
        <f>DATA!Y147</f>
        <v>JICA</v>
      </c>
      <c r="X157" s="20" t="str">
        <f>DATA!Z147</f>
        <v>Bilateral</v>
      </c>
      <c r="Y157" s="77">
        <f>DATA!AA147</f>
        <v>1845000000</v>
      </c>
      <c r="Z157" s="77">
        <f>DATA!AG147</f>
        <v>0</v>
      </c>
      <c r="AA157" s="20">
        <f>DATA!AH147</f>
        <v>2017</v>
      </c>
      <c r="AB157" s="37" t="str">
        <f>DATA!AI147</f>
        <v>-</v>
      </c>
      <c r="AC157" s="37" t="str">
        <f>DATA!AJ147</f>
        <v>FS, AMDAL</v>
      </c>
      <c r="AD157" s="37" t="str">
        <f>DATA!AK147</f>
        <v>Pembebasan lahan tahun 2016</v>
      </c>
      <c r="AE157" s="37" t="str">
        <f>DATA!AL147</f>
        <v>Rencana pengadaan konsultan ES selesai Nov 2015</v>
      </c>
      <c r="AF157" s="20" t="str">
        <f>DATA!AR147</f>
        <v>belum ada dokumen R/C</v>
      </c>
      <c r="AG157" s="20" t="str">
        <f>DATA!AN147</f>
        <v>siap</v>
      </c>
      <c r="AH157" s="20" t="str">
        <f>DATA!AO147</f>
        <v>dalam proses
(perencanaan)</v>
      </c>
      <c r="AI157" s="20" t="str">
        <f>DATA!AP147</f>
        <v>belum ada proses tender/lelang</v>
      </c>
      <c r="AJ157" s="20" t="str">
        <f>DATA!AY147</f>
        <v>Surat Dirut PT. PLN nomor 716/REN.08.01/DIR/2015 tgl 9 September 2015</v>
      </c>
      <c r="AK157" s="20" t="e">
        <f>DATA!#REF!</f>
        <v>#REF!</v>
      </c>
      <c r="AL157" s="20">
        <f>DATA!AZ147</f>
        <v>0</v>
      </c>
      <c r="AM157" s="37"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row>
    <row r="158" spans="1:39" ht="203.25" hidden="1" customHeight="1">
      <c r="A158" s="10">
        <f>DATA!A148</f>
        <v>110</v>
      </c>
      <c r="B158" s="10">
        <f>DATA!B148</f>
        <v>0</v>
      </c>
      <c r="C158" s="10" t="str">
        <f>DATA!D148</f>
        <v>INFRASTRUKTUR</v>
      </c>
      <c r="D158" s="10">
        <f>DATA!E148</f>
        <v>7</v>
      </c>
      <c r="E158" s="10" t="str">
        <f>DATA!F148</f>
        <v xml:space="preserve">PT. PLN    </v>
      </c>
      <c r="F158" s="10" t="str">
        <f>DATA!H148</f>
        <v>Electricity Infrastructure Development Program</v>
      </c>
      <c r="G158" s="10" t="str">
        <f>DATA!I148</f>
        <v>A</v>
      </c>
      <c r="H158" s="10" t="str">
        <f>DATA!J148</f>
        <v>Program Pembangunan Infrastruktur Ketenagalistrikan</v>
      </c>
      <c r="I158" s="10">
        <f>DATA!K148</f>
        <v>6</v>
      </c>
      <c r="J158" s="33"/>
      <c r="K158" s="34"/>
      <c r="L158" s="34"/>
      <c r="M158" s="36">
        <f>DATA!K148</f>
        <v>6</v>
      </c>
      <c r="N158" s="37" t="str">
        <f>DATA!L148</f>
        <v>Additional Loan for Upper Cisokan Pumped Storage Hydro Electrical Power Plant (4x260MW)</v>
      </c>
      <c r="O158" s="20">
        <f>DATA!Q148</f>
        <v>1</v>
      </c>
      <c r="P158" s="20">
        <f>DATA!R148</f>
        <v>1</v>
      </c>
      <c r="Q158" s="20">
        <f>DATA!S148</f>
        <v>98</v>
      </c>
      <c r="R158" s="77">
        <f>DATA!T148</f>
        <v>200000000</v>
      </c>
      <c r="S158" s="77"/>
      <c r="T158" s="77">
        <f>DATA!V148</f>
        <v>0</v>
      </c>
      <c r="U158" s="77">
        <f>DATA!W148</f>
        <v>0</v>
      </c>
      <c r="V158" s="77">
        <f>DATA!X148</f>
        <v>200000000</v>
      </c>
      <c r="W158" s="78" t="str">
        <f>DATA!Y148</f>
        <v>Bank Dunia</v>
      </c>
      <c r="X158" s="20" t="str">
        <f>DATA!Z148</f>
        <v>Multilateral</v>
      </c>
      <c r="Y158" s="77">
        <f>DATA!AA148</f>
        <v>200000000</v>
      </c>
      <c r="Z158" s="77">
        <f>DATA!AG148</f>
        <v>0</v>
      </c>
      <c r="AA158" s="20">
        <f>DATA!AH148</f>
        <v>2017</v>
      </c>
      <c r="AB158" s="37" t="str">
        <f>DATA!AI148</f>
        <v>-</v>
      </c>
      <c r="AC158" s="37" t="str">
        <f>DATA!AJ148</f>
        <v>FS, AMDAL</v>
      </c>
      <c r="AD158" s="114">
        <f>DATA!AK148</f>
        <v>0.95</v>
      </c>
      <c r="AE158" s="37"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F158" s="20" t="str">
        <f>DATA!AR148</f>
        <v>belum ada dokumen R/C</v>
      </c>
      <c r="AG158" s="20" t="str">
        <f>DATA!AN148</f>
        <v>siap</v>
      </c>
      <c r="AH158" s="20" t="str">
        <f>DATA!AO148</f>
        <v>dalam proses
(pelaksanaan 95%)</v>
      </c>
      <c r="AI158" s="20" t="str">
        <f>DATA!AP148</f>
        <v>belum ada proses tender/lelang</v>
      </c>
      <c r="AJ158"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K158" s="20" t="e">
        <f>DATA!#REF!</f>
        <v>#REF!</v>
      </c>
      <c r="AL158" s="20">
        <f>DATA!AZ148</f>
        <v>0</v>
      </c>
      <c r="AM158" s="37"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row>
    <row r="159" spans="1:39" ht="35.25" hidden="1" customHeight="1">
      <c r="A159" s="10">
        <f>DATA!A149</f>
        <v>111</v>
      </c>
      <c r="B159" s="10">
        <f>DATA!B149</f>
        <v>0</v>
      </c>
      <c r="C159" s="10" t="str">
        <f>DATA!D149</f>
        <v>INFRASTRUKTUR</v>
      </c>
      <c r="D159" s="10">
        <f>DATA!E149</f>
        <v>7</v>
      </c>
      <c r="E159" s="10" t="str">
        <f>DATA!F149</f>
        <v xml:space="preserve">PT. PLN    </v>
      </c>
      <c r="F159" s="10" t="str">
        <f>DATA!H149</f>
        <v>Electricity Infrastructure Development Program</v>
      </c>
      <c r="G159" s="10" t="str">
        <f>DATA!I149</f>
        <v>A</v>
      </c>
      <c r="H159" s="10" t="str">
        <f>DATA!J149</f>
        <v>Program Pembangunan Infrastruktur Ketenagalistrikan</v>
      </c>
      <c r="I159" s="10">
        <f>DATA!K149</f>
        <v>7</v>
      </c>
      <c r="J159" s="33"/>
      <c r="K159" s="34"/>
      <c r="L159" s="34"/>
      <c r="M159" s="36">
        <f>DATA!K149</f>
        <v>7</v>
      </c>
      <c r="N159" s="37" t="str">
        <f>DATA!L149</f>
        <v>Sungai Penuh Geothermal Power Plant 1&amp;2 (2x55MW)</v>
      </c>
      <c r="O159" s="20">
        <f>DATA!Q149</f>
        <v>1</v>
      </c>
      <c r="P159" s="20">
        <f>DATA!R149</f>
        <v>1</v>
      </c>
      <c r="Q159" s="20">
        <f>DATA!S149</f>
        <v>99</v>
      </c>
      <c r="R159" s="77">
        <f>DATA!T149</f>
        <v>205000000</v>
      </c>
      <c r="S159" s="77"/>
      <c r="T159" s="77">
        <f>DATA!V149</f>
        <v>45000000</v>
      </c>
      <c r="U159" s="77">
        <f>DATA!W149</f>
        <v>0</v>
      </c>
      <c r="V159" s="77">
        <f>DATA!X149</f>
        <v>250000000</v>
      </c>
      <c r="W159" s="78" t="str">
        <f>DATA!Y149</f>
        <v>ADB</v>
      </c>
      <c r="X159" s="20" t="str">
        <f>DATA!Z149</f>
        <v>Multilateral</v>
      </c>
      <c r="Y159" s="77">
        <f>DATA!AA149</f>
        <v>205000000</v>
      </c>
      <c r="Z159" s="77">
        <f>DATA!AG149</f>
        <v>0</v>
      </c>
      <c r="AA159" s="20" t="str">
        <f>DATA!AH149</f>
        <v>Tanpa keterangan</v>
      </c>
      <c r="AB159" s="37" t="str">
        <f>DATA!AI149</f>
        <v>-</v>
      </c>
      <c r="AC159" s="37" t="str">
        <f>DATA!AJ149</f>
        <v>AMDAL</v>
      </c>
      <c r="AD159" s="37" t="str">
        <f>DATA!AK149</f>
        <v>-</v>
      </c>
      <c r="AE159" s="37" t="str">
        <f>DATA!AL149</f>
        <v>-</v>
      </c>
      <c r="AF159" s="20" t="str">
        <f>DATA!AR149</f>
        <v>belum ada dokumen R/C</v>
      </c>
      <c r="AG159" s="20" t="str">
        <f>DATA!AN149</f>
        <v>siap</v>
      </c>
      <c r="AH159" s="20" t="str">
        <f>DATA!AO149</f>
        <v>belum ada keterangan</v>
      </c>
      <c r="AI159" s="20" t="str">
        <f>DATA!AP149</f>
        <v>belum ada proses tender/lelang</v>
      </c>
      <c r="AJ159" s="20" t="str">
        <f>DATA!AY149</f>
        <v xml:space="preserve">- FS report terkait resource confirmation dari PGE belum ada
- Surat Dirut PT. PLN nomor 716/REN.08.01/DIR/2015 tgl 9 September 2015
</v>
      </c>
      <c r="AK159" s="20" t="e">
        <f>DATA!#REF!</f>
        <v>#REF!</v>
      </c>
      <c r="AL159" s="20">
        <f>DATA!AZ149</f>
        <v>0</v>
      </c>
      <c r="AM159" s="37" t="str">
        <f>DATA!BA149</f>
        <v>Pengembangan PLTP Sungai Penuh dengan kapasitas 2x55 MW dan jaringan transmisi terkait</v>
      </c>
    </row>
    <row r="160" spans="1:39" ht="36" hidden="1" customHeight="1">
      <c r="A160" s="10">
        <f>DATA!A150</f>
        <v>112</v>
      </c>
      <c r="B160" s="10">
        <f>DATA!B150</f>
        <v>0</v>
      </c>
      <c r="C160" s="10" t="str">
        <f>DATA!D150</f>
        <v>INFRASTRUKTUR</v>
      </c>
      <c r="D160" s="10">
        <f>DATA!E150</f>
        <v>7</v>
      </c>
      <c r="E160" s="10" t="str">
        <f>DATA!F150</f>
        <v xml:space="preserve">PT. PLN    </v>
      </c>
      <c r="F160" s="10" t="str">
        <f>DATA!H150</f>
        <v>Electricity Infrastructure Development Program</v>
      </c>
      <c r="G160" s="10" t="str">
        <f>DATA!I150</f>
        <v>A</v>
      </c>
      <c r="H160" s="10" t="str">
        <f>DATA!J150</f>
        <v>Program Pembangunan Infrastruktur Ketenagalistrikan</v>
      </c>
      <c r="I160" s="10">
        <f>DATA!K150</f>
        <v>8</v>
      </c>
      <c r="J160" s="52"/>
      <c r="K160" s="54"/>
      <c r="L160" s="54"/>
      <c r="M160" s="36">
        <f>DATA!K150</f>
        <v>8</v>
      </c>
      <c r="N160" s="37" t="str">
        <f>DATA!L150</f>
        <v>Matenggeng Pumped Storage Hydro Electrical Power Plant (4x225MW)</v>
      </c>
      <c r="O160" s="20">
        <f>DATA!Q150</f>
        <v>1</v>
      </c>
      <c r="P160" s="20">
        <f>DATA!R150</f>
        <v>1</v>
      </c>
      <c r="Q160" s="20">
        <f>DATA!S150</f>
        <v>100</v>
      </c>
      <c r="R160" s="77">
        <f>DATA!T150</f>
        <v>500000000</v>
      </c>
      <c r="S160" s="77"/>
      <c r="T160" s="77">
        <f>DATA!V150</f>
        <v>220000000</v>
      </c>
      <c r="U160" s="77">
        <f>DATA!W150</f>
        <v>0</v>
      </c>
      <c r="V160" s="77">
        <f>DATA!X150</f>
        <v>720000000</v>
      </c>
      <c r="W160" s="78" t="str">
        <f>DATA!Y150</f>
        <v>Bank Dunia</v>
      </c>
      <c r="X160" s="20" t="str">
        <f>DATA!Z150</f>
        <v>Multilateral</v>
      </c>
      <c r="Y160" s="77">
        <f>DATA!AA150</f>
        <v>500000000</v>
      </c>
      <c r="Z160" s="77">
        <f>DATA!AG150</f>
        <v>0</v>
      </c>
      <c r="AA160" s="20">
        <f>DATA!AH150</f>
        <v>2017</v>
      </c>
      <c r="AB160" s="37" t="str">
        <f>DATA!AI150</f>
        <v>-</v>
      </c>
      <c r="AC160" s="37" t="str">
        <f>DATA!AJ150</f>
        <v>Penyusunan FS</v>
      </c>
      <c r="AD160" s="37" t="str">
        <f>DATA!AK150</f>
        <v>-</v>
      </c>
      <c r="AE160" s="37" t="str">
        <f>DATA!AL150</f>
        <v>-</v>
      </c>
      <c r="AF160" s="20" t="str">
        <f>DATA!AR150</f>
        <v>belum ada dokumen R/C</v>
      </c>
      <c r="AG160" s="20" t="str">
        <f>DATA!AN150</f>
        <v>dalam proses
(penyusunan FS)</v>
      </c>
      <c r="AH160" s="20" t="str">
        <f>DATA!AO150</f>
        <v>belum ada keterangan</v>
      </c>
      <c r="AI160" s="20" t="str">
        <f>DATA!AP150</f>
        <v>belum ada proses tender/lelang</v>
      </c>
      <c r="AJ160" s="20" t="str">
        <f>DATA!AY150</f>
        <v>- Direncanakan menggunakan skema direct lending
- AMDAL direncanakan mulai tahun 2016
- Layout terkini tidak terindikasi overlapping dengan bendungan Matenggeng milik PU
- Surat Dirut PT. PLN nomor 716/REN.08.01/DIR/2015 tgl 9 September 2015</v>
      </c>
      <c r="AK160" s="20" t="e">
        <f>DATA!#REF!</f>
        <v>#REF!</v>
      </c>
      <c r="AL160" s="20">
        <f>DATA!AZ150</f>
        <v>0</v>
      </c>
      <c r="AM160" s="37" t="str">
        <f>DATA!BA150</f>
        <v>Pengembangan PLTA Matenggeng dengan kapasitas 4x225 MW dan jaringan transmisi terkait</v>
      </c>
    </row>
    <row r="161" spans="1:39" s="3" customFormat="1" ht="30" hidden="1" customHeight="1">
      <c r="J161" s="21" t="str">
        <f>DATA!B160</f>
        <v>II</v>
      </c>
      <c r="K161" s="112" t="str">
        <f>DATA!D160</f>
        <v>NON-INFRASTRUKTUR</v>
      </c>
      <c r="L161" s="22"/>
      <c r="M161" s="22"/>
      <c r="N161" s="23"/>
      <c r="O161" s="22"/>
      <c r="P161" s="22"/>
      <c r="Q161" s="22"/>
      <c r="R161" s="79">
        <f>+R162+R172+R181+R184+R196+R199+R212+R215+R218+R221</f>
        <v>4590772100</v>
      </c>
      <c r="S161" s="79"/>
      <c r="T161" s="79">
        <f t="shared" ref="T161:Z161" si="18">+T162+T172+T181+T184+T196+T199+T212+T215+T218+T221</f>
        <v>488120200</v>
      </c>
      <c r="U161" s="79">
        <f t="shared" si="18"/>
        <v>2660000</v>
      </c>
      <c r="V161" s="79">
        <f t="shared" si="18"/>
        <v>5308007600</v>
      </c>
      <c r="W161" s="79"/>
      <c r="X161" s="79" t="e">
        <f t="shared" si="18"/>
        <v>#VALUE!</v>
      </c>
      <c r="Y161" s="79">
        <f t="shared" si="18"/>
        <v>4590772100</v>
      </c>
      <c r="Z161" s="79">
        <f t="shared" si="18"/>
        <v>-1609442600</v>
      </c>
      <c r="AA161" s="22"/>
      <c r="AB161" s="23"/>
      <c r="AC161" s="23"/>
      <c r="AD161" s="23"/>
      <c r="AE161" s="23"/>
      <c r="AF161" s="22"/>
      <c r="AG161" s="22"/>
      <c r="AH161" s="22"/>
      <c r="AI161" s="22"/>
      <c r="AJ161" s="22"/>
      <c r="AK161" s="22"/>
      <c r="AL161" s="22"/>
      <c r="AM161" s="23"/>
    </row>
    <row r="162" spans="1:39" s="4" customFormat="1" ht="24.95" hidden="1" customHeight="1">
      <c r="J162" s="24"/>
      <c r="K162" s="25">
        <f>DATA!E160</f>
        <v>8</v>
      </c>
      <c r="L162" s="108" t="str">
        <f>DATA!F160</f>
        <v>Kementerian Riset, Teknologi, dan Pendidikan Tinggi</v>
      </c>
      <c r="M162" s="25"/>
      <c r="N162" s="27"/>
      <c r="O162" s="26"/>
      <c r="P162" s="26"/>
      <c r="Q162" s="26"/>
      <c r="R162" s="80">
        <f>+R163</f>
        <v>290311500</v>
      </c>
      <c r="S162" s="80"/>
      <c r="T162" s="80">
        <f t="shared" ref="T162:Z163" si="19">+T163</f>
        <v>54543500</v>
      </c>
      <c r="U162" s="80">
        <f t="shared" si="19"/>
        <v>0</v>
      </c>
      <c r="V162" s="80">
        <f t="shared" si="19"/>
        <v>581714600</v>
      </c>
      <c r="W162" s="80"/>
      <c r="X162" s="80">
        <f t="shared" si="19"/>
        <v>0</v>
      </c>
      <c r="Y162" s="80">
        <f t="shared" si="19"/>
        <v>290311500</v>
      </c>
      <c r="Z162" s="80">
        <f t="shared" si="19"/>
        <v>0</v>
      </c>
      <c r="AA162" s="26"/>
      <c r="AB162" s="27"/>
      <c r="AC162" s="27"/>
      <c r="AD162" s="27"/>
      <c r="AE162" s="27"/>
      <c r="AF162" s="26"/>
      <c r="AG162" s="26"/>
      <c r="AH162" s="26"/>
      <c r="AI162" s="26"/>
      <c r="AJ162" s="26"/>
      <c r="AK162" s="26"/>
      <c r="AL162" s="26"/>
      <c r="AM162" s="27"/>
    </row>
    <row r="163" spans="1:39" s="5" customFormat="1" ht="33.75" hidden="1" customHeight="1">
      <c r="J163" s="28"/>
      <c r="K163" s="29"/>
      <c r="L163" s="30" t="str">
        <f>DATA!I160</f>
        <v>A</v>
      </c>
      <c r="M163" s="31" t="str">
        <f>DATA!J160</f>
        <v xml:space="preserve">Program Peningkatan Akses, Kualitas, Relevansi, dan Daya Saing Pendidikan Tinggi </v>
      </c>
      <c r="N163" s="51"/>
      <c r="O163" s="31"/>
      <c r="P163" s="31"/>
      <c r="Q163" s="31"/>
      <c r="R163" s="81">
        <f>+R164</f>
        <v>290311500</v>
      </c>
      <c r="S163" s="81"/>
      <c r="T163" s="81">
        <f t="shared" si="19"/>
        <v>54543500</v>
      </c>
      <c r="U163" s="81">
        <f t="shared" si="19"/>
        <v>0</v>
      </c>
      <c r="V163" s="81">
        <f t="shared" si="19"/>
        <v>581714600</v>
      </c>
      <c r="W163" s="81"/>
      <c r="X163" s="81">
        <f t="shared" si="19"/>
        <v>0</v>
      </c>
      <c r="Y163" s="81">
        <f t="shared" si="19"/>
        <v>290311500</v>
      </c>
      <c r="Z163" s="81">
        <f t="shared" si="19"/>
        <v>0</v>
      </c>
      <c r="AA163" s="31"/>
      <c r="AB163" s="32"/>
      <c r="AC163" s="32"/>
      <c r="AD163" s="32"/>
      <c r="AE163" s="32"/>
      <c r="AF163" s="31"/>
      <c r="AG163" s="31"/>
      <c r="AH163" s="31"/>
      <c r="AI163" s="31"/>
      <c r="AJ163" s="31"/>
      <c r="AK163" s="31"/>
      <c r="AL163" s="31"/>
      <c r="AM163" s="32"/>
    </row>
    <row r="164" spans="1:39" ht="48.75" hidden="1" customHeight="1">
      <c r="A164" s="10">
        <f>DATA!A160</f>
        <v>113</v>
      </c>
      <c r="B164" s="10" t="str">
        <f>DATA!B160</f>
        <v>II</v>
      </c>
      <c r="C164" s="10" t="str">
        <f>DATA!D160</f>
        <v>NON-INFRASTRUKTUR</v>
      </c>
      <c r="D164" s="10">
        <f>DATA!E160</f>
        <v>8</v>
      </c>
      <c r="E164" s="10" t="str">
        <f>DATA!F160</f>
        <v>Kementerian Riset, Teknologi, dan Pendidikan Tinggi</v>
      </c>
      <c r="F164" s="10" t="str">
        <f>DATA!H160</f>
        <v>Improving Access, Quality, Relevance, and Competitiveness of Higher Education Program</v>
      </c>
      <c r="G164" s="10" t="str">
        <f>DATA!I160</f>
        <v>A</v>
      </c>
      <c r="H164" s="10" t="str">
        <f>DATA!J160</f>
        <v xml:space="preserve">Program Peningkatan Akses, Kualitas, Relevansi, dan Daya Saing Pendidikan Tinggi </v>
      </c>
      <c r="I164" s="10">
        <f>DATA!K160</f>
        <v>1</v>
      </c>
      <c r="J164" s="33"/>
      <c r="K164" s="34"/>
      <c r="L164" s="35"/>
      <c r="M164" s="36">
        <f>DATA!K160</f>
        <v>1</v>
      </c>
      <c r="N164" s="37" t="str">
        <f>DATA!L160</f>
        <v>Strengthening Capacity of State Higher Education:</v>
      </c>
      <c r="O164" s="20">
        <f>DATA!Q160</f>
        <v>0</v>
      </c>
      <c r="P164" s="20">
        <f>DATA!R160</f>
        <v>1</v>
      </c>
      <c r="Q164" s="20">
        <f>DATA!S160</f>
        <v>101</v>
      </c>
      <c r="R164" s="77">
        <f>DATA!T160</f>
        <v>290311500</v>
      </c>
      <c r="S164" s="77"/>
      <c r="T164" s="77">
        <f>DATA!V160</f>
        <v>54543500</v>
      </c>
      <c r="U164" s="77">
        <f>DATA!W160</f>
        <v>0</v>
      </c>
      <c r="V164" s="77">
        <f>DATA!X160</f>
        <v>581714600</v>
      </c>
      <c r="W164" s="78" t="str">
        <f>DATA!Y160</f>
        <v>-</v>
      </c>
      <c r="X164" s="20">
        <f>DATA!Z160</f>
        <v>0</v>
      </c>
      <c r="Y164" s="77">
        <f>DATA!AA160</f>
        <v>290311500</v>
      </c>
      <c r="Z164" s="77">
        <f>DATA!AG160</f>
        <v>0</v>
      </c>
      <c r="AA164" s="20" t="str">
        <f>DATA!AH160</f>
        <v>-</v>
      </c>
      <c r="AB164" s="37" t="str">
        <f>DATA!AI160</f>
        <v>-</v>
      </c>
      <c r="AC164" s="37" t="str">
        <f>DATA!AJ160</f>
        <v>-</v>
      </c>
      <c r="AD164" s="37" t="str">
        <f>DATA!AK160</f>
        <v>-</v>
      </c>
      <c r="AE164" s="37" t="str">
        <f>DATA!AL160</f>
        <v>-</v>
      </c>
      <c r="AF164" s="20" t="str">
        <f>DATA!AM160</f>
        <v>-</v>
      </c>
      <c r="AG164" s="20">
        <f>DATA!AN160</f>
        <v>0</v>
      </c>
      <c r="AH164" s="20" t="str">
        <f>DATA!AO160</f>
        <v>-</v>
      </c>
      <c r="AI164" s="20">
        <f>DATA!AP160</f>
        <v>0</v>
      </c>
      <c r="AJ164" s="20" t="str">
        <f>DATA!AY160</f>
        <v>Surat Sekjen nomor 1532/A.A1/PR/2015 tgl 9 September 2015</v>
      </c>
      <c r="AK164" s="20" t="e">
        <f>DATA!#REF!</f>
        <v>#REF!</v>
      </c>
      <c r="AL164" s="20">
        <f>DATA!AZ160</f>
        <v>0</v>
      </c>
      <c r="AM164" s="37" t="str">
        <f>DATA!BA160</f>
        <v>Pembangunan sarana dan prasarana perkuliahan, pengadaan peralatan, pengembangan SDM, serta jasa konsultan</v>
      </c>
    </row>
    <row r="165" spans="1:39" s="6" customFormat="1" ht="59.25" hidden="1" customHeight="1">
      <c r="A165" s="6">
        <f>DATA!A161</f>
        <v>114</v>
      </c>
      <c r="B165" s="6">
        <f>DATA!B161</f>
        <v>0</v>
      </c>
      <c r="C165" s="6" t="str">
        <f>DATA!D161</f>
        <v>NON-INFRASTRUKTUR</v>
      </c>
      <c r="D165" s="6">
        <f>DATA!E161</f>
        <v>8</v>
      </c>
      <c r="E165" s="6" t="str">
        <f>DATA!F161</f>
        <v>Kementerian Riset, Teknologi, dan Pendidikan Tinggi</v>
      </c>
      <c r="F165" s="6" t="str">
        <f>DATA!H161</f>
        <v>Improving Access, Quality, Relevance, and Competitiveness of Higher Education Program</v>
      </c>
      <c r="G165" s="6" t="str">
        <f>DATA!I161</f>
        <v>A</v>
      </c>
      <c r="H165" s="6" t="str">
        <f>DATA!J161</f>
        <v xml:space="preserve">Program Peningkatan Akses, Kualitas, Relevansi, dan Daya Saing Pendidikan Tinggi </v>
      </c>
      <c r="I165" s="6">
        <f>DATA!K161</f>
        <v>1</v>
      </c>
      <c r="J165" s="38"/>
      <c r="K165" s="39"/>
      <c r="L165" s="39"/>
      <c r="M165" s="40"/>
      <c r="N165" s="67" t="str">
        <f>DATA!L161</f>
        <v>The Development of Sultan Ageng Tirtayasa University (UNTIRTA)</v>
      </c>
      <c r="O165" s="42">
        <f>DATA!Q161</f>
        <v>0.14285714285714285</v>
      </c>
      <c r="P165" s="42">
        <f>DATA!R161</f>
        <v>0</v>
      </c>
      <c r="Q165" s="42">
        <f>DATA!S161</f>
        <v>0</v>
      </c>
      <c r="R165" s="83">
        <f>DATA!T161</f>
        <v>49882300</v>
      </c>
      <c r="S165" s="83"/>
      <c r="T165" s="83">
        <f>DATA!V161</f>
        <v>3797300</v>
      </c>
      <c r="U165" s="83">
        <f>DATA!W161</f>
        <v>0</v>
      </c>
      <c r="V165" s="83">
        <f>DATA!X161</f>
        <v>53679600</v>
      </c>
      <c r="W165" s="84" t="str">
        <f>DATA!Y161</f>
        <v>IDB</v>
      </c>
      <c r="X165" s="42" t="str">
        <f>DATA!Z161</f>
        <v>Multilateral</v>
      </c>
      <c r="Y165" s="83">
        <f>DATA!AA161</f>
        <v>49882300</v>
      </c>
      <c r="Z165" s="83">
        <f>DATA!AG161</f>
        <v>0</v>
      </c>
      <c r="AA165" s="42" t="str">
        <f>DATA!AH161</f>
        <v>Tanpa keterangan</v>
      </c>
      <c r="AB165" s="67" t="str">
        <f>DATA!AI161</f>
        <v xml:space="preserve">Penyusunan R/C
</v>
      </c>
      <c r="AC165" s="67" t="str">
        <f>DATA!AJ161</f>
        <v>- Pemrosesan FS
- AMDAL proses lelang</v>
      </c>
      <c r="AD165" s="115">
        <f>DATA!AK161</f>
        <v>1</v>
      </c>
      <c r="AE165" s="67" t="str">
        <f>DATA!AL161</f>
        <v>-</v>
      </c>
      <c r="AF165" s="42" t="str">
        <f>DATA!AR161</f>
        <v>-</v>
      </c>
      <c r="AG165" s="42" t="str">
        <f>DATA!AN161</f>
        <v>siap</v>
      </c>
      <c r="AH165" s="42" t="str">
        <f>DATA!AO161</f>
        <v>siap</v>
      </c>
      <c r="AI165" s="42" t="str">
        <f>DATA!AP161</f>
        <v>belum ada proses tender/lelang</v>
      </c>
      <c r="AJ165" s="42" t="str">
        <f>DATA!AY161</f>
        <v>Surat Sekjen nomor 1532/A.A1/PR/2015 tgl 9 September 2015</v>
      </c>
      <c r="AK165" s="42" t="e">
        <f>DATA!#REF!</f>
        <v>#REF!</v>
      </c>
      <c r="AL165" s="42">
        <f>DATA!AZ161</f>
        <v>0</v>
      </c>
      <c r="AM165" s="67" t="str">
        <f>DATA!BA161</f>
        <v>Pembangunan sarana dan prasarana pendidikan (gedung perkuliahan, laboratorium dan sarana pendukung lainnya)  dan pengembangan landscape dan infrastruktur</v>
      </c>
    </row>
    <row r="166" spans="1:39" s="6" customFormat="1" ht="71.25" hidden="1" customHeight="1">
      <c r="A166" s="6">
        <f>DATA!A162</f>
        <v>115</v>
      </c>
      <c r="B166" s="6">
        <f>DATA!B162</f>
        <v>0</v>
      </c>
      <c r="C166" s="6" t="str">
        <f>DATA!D162</f>
        <v>NON-INFRASTRUKTUR</v>
      </c>
      <c r="D166" s="6">
        <f>DATA!E162</f>
        <v>8</v>
      </c>
      <c r="E166" s="6" t="str">
        <f>DATA!F162</f>
        <v>Kementerian Riset, Teknologi, dan Pendidikan Tinggi</v>
      </c>
      <c r="F166" s="6" t="str">
        <f>DATA!H162</f>
        <v>Improving Access, Quality, Relevance, and Competitiveness of Higher Education Program</v>
      </c>
      <c r="G166" s="6" t="str">
        <f>DATA!I162</f>
        <v>A</v>
      </c>
      <c r="H166" s="6" t="str">
        <f>DATA!J162</f>
        <v xml:space="preserve">Program Peningkatan Akses, Kualitas, Relevansi, dan Daya Saing Pendidikan Tinggi </v>
      </c>
      <c r="I166" s="6">
        <f>DATA!K162</f>
        <v>1</v>
      </c>
      <c r="J166" s="38"/>
      <c r="K166" s="39"/>
      <c r="L166" s="39"/>
      <c r="M166" s="38"/>
      <c r="N166" s="67" t="str">
        <f>DATA!L162</f>
        <v>Development for State University of Malang as The Learning University</v>
      </c>
      <c r="O166" s="42">
        <f>DATA!Q162</f>
        <v>0.14285714285714285</v>
      </c>
      <c r="P166" s="42">
        <f>DATA!R162</f>
        <v>0</v>
      </c>
      <c r="Q166" s="42">
        <f>DATA!S162</f>
        <v>0</v>
      </c>
      <c r="R166" s="83">
        <f>DATA!T162</f>
        <v>38400000</v>
      </c>
      <c r="S166" s="83"/>
      <c r="T166" s="83">
        <f>DATA!V162</f>
        <v>9335300</v>
      </c>
      <c r="U166" s="83">
        <f>DATA!W162</f>
        <v>0</v>
      </c>
      <c r="V166" s="83">
        <f>DATA!X162</f>
        <v>47735300</v>
      </c>
      <c r="W166" s="84" t="str">
        <f>DATA!Y162</f>
        <v>IDB</v>
      </c>
      <c r="X166" s="42" t="str">
        <f>DATA!Z162</f>
        <v>Multilateral</v>
      </c>
      <c r="Y166" s="83">
        <f>DATA!AA162</f>
        <v>38400000</v>
      </c>
      <c r="Z166" s="83">
        <f>DATA!AG162</f>
        <v>0</v>
      </c>
      <c r="AA166" s="42" t="str">
        <f>DATA!AH162</f>
        <v>Tanpa keterangan</v>
      </c>
      <c r="AB166" s="67" t="str">
        <f>DATA!AI162</f>
        <v xml:space="preserve">Penyusunan R/C
</v>
      </c>
      <c r="AC166" s="67" t="str">
        <f>DATA!AJ162</f>
        <v>- FS
- AMDAL dalam proses</v>
      </c>
      <c r="AD166" s="115">
        <f>DATA!AK162</f>
        <v>1</v>
      </c>
      <c r="AE166" s="67" t="str">
        <f>DATA!AL162</f>
        <v>-</v>
      </c>
      <c r="AF166" s="42" t="str">
        <f>DATA!AR162</f>
        <v>-</v>
      </c>
      <c r="AG166" s="42" t="str">
        <f>DATA!AN162</f>
        <v>siap</v>
      </c>
      <c r="AH166" s="42" t="str">
        <f>DATA!AO162</f>
        <v>siap</v>
      </c>
      <c r="AI166" s="42" t="str">
        <f>DATA!AP162</f>
        <v>belum ada proses tender/lelang</v>
      </c>
      <c r="AJ166" s="42" t="str">
        <f>DATA!AY162</f>
        <v>Surat Sekjen nomor 1532/A.A1/PR/2015 tgl 9 September 2015</v>
      </c>
      <c r="AK166" s="42" t="e">
        <f>DATA!#REF!</f>
        <v>#REF!</v>
      </c>
      <c r="AL166" s="42">
        <f>DATA!AZ162</f>
        <v>0</v>
      </c>
      <c r="AM166" s="67" t="str">
        <f>DATA!BA162</f>
        <v>Pembangunan sarana dan prasarana perkuliahan (ruang kuliah, ruang dosen, peralatan laboratorium, instalasi jaringan listrik dan telekomunikasi, instalasi air bersih, sanitasi dan mekanikal engineering) dan pengembangan SDM.</v>
      </c>
    </row>
    <row r="167" spans="1:39" s="6" customFormat="1" ht="101.25" hidden="1" customHeight="1">
      <c r="A167" s="6">
        <f>DATA!A163</f>
        <v>116</v>
      </c>
      <c r="B167" s="6">
        <f>DATA!B163</f>
        <v>0</v>
      </c>
      <c r="C167" s="6" t="str">
        <f>DATA!D163</f>
        <v>NON-INFRASTRUKTUR</v>
      </c>
      <c r="D167" s="6">
        <f>DATA!E163</f>
        <v>8</v>
      </c>
      <c r="E167" s="6" t="str">
        <f>DATA!F163</f>
        <v>Kementerian Riset, Teknologi, dan Pendidikan Tinggi</v>
      </c>
      <c r="F167" s="6" t="str">
        <f>DATA!H163</f>
        <v>Improving Access, Quality, Relevance, and Competitiveness of Higher Education Program</v>
      </c>
      <c r="G167" s="6" t="str">
        <f>DATA!I163</f>
        <v>A</v>
      </c>
      <c r="H167" s="6" t="str">
        <f>DATA!J163</f>
        <v xml:space="preserve">Program Peningkatan Akses, Kualitas, Relevansi, dan Daya Saing Pendidikan Tinggi </v>
      </c>
      <c r="I167" s="6">
        <f>DATA!K163</f>
        <v>1</v>
      </c>
      <c r="J167" s="38"/>
      <c r="K167" s="39"/>
      <c r="L167" s="39"/>
      <c r="M167" s="38"/>
      <c r="N167" s="67" t="str">
        <f>DATA!L163</f>
        <v>The Development and Upgrading Mulawarman University</v>
      </c>
      <c r="O167" s="42">
        <f>DATA!Q163</f>
        <v>0.14285714285714285</v>
      </c>
      <c r="P167" s="42">
        <f>DATA!R163</f>
        <v>0</v>
      </c>
      <c r="Q167" s="42">
        <f>DATA!S163</f>
        <v>0</v>
      </c>
      <c r="R167" s="83">
        <f>DATA!T163</f>
        <v>44400000</v>
      </c>
      <c r="S167" s="83"/>
      <c r="T167" s="83">
        <f>DATA!V163</f>
        <v>485800</v>
      </c>
      <c r="U167" s="83">
        <f>DATA!W163</f>
        <v>0</v>
      </c>
      <c r="V167" s="83">
        <f>DATA!X163</f>
        <v>44885800</v>
      </c>
      <c r="W167" s="84" t="str">
        <f>DATA!Y163</f>
        <v>IDB</v>
      </c>
      <c r="X167" s="42" t="str">
        <f>DATA!Z163</f>
        <v>Multilateral</v>
      </c>
      <c r="Y167" s="83">
        <f>DATA!AA163</f>
        <v>44400000</v>
      </c>
      <c r="Z167" s="83">
        <f>DATA!AG163</f>
        <v>0</v>
      </c>
      <c r="AA167" s="42" t="str">
        <f>DATA!AH163</f>
        <v>Tanpa keterangan</v>
      </c>
      <c r="AB167" s="67" t="str">
        <f>DATA!AI163</f>
        <v xml:space="preserve">Penyusunan R/C
</v>
      </c>
      <c r="AC167" s="67" t="str">
        <f>DATA!AJ163</f>
        <v>FS dan AMDAL target Desember 2015</v>
      </c>
      <c r="AD167" s="115">
        <f>DATA!AK163</f>
        <v>1</v>
      </c>
      <c r="AE167" s="67" t="str">
        <f>DATA!AL163</f>
        <v>-</v>
      </c>
      <c r="AF167" s="42" t="str">
        <f>DATA!AR163</f>
        <v>-</v>
      </c>
      <c r="AG167" s="42" t="str">
        <f>DATA!AN163</f>
        <v>siap</v>
      </c>
      <c r="AH167" s="42" t="str">
        <f>DATA!AO163</f>
        <v>siap</v>
      </c>
      <c r="AI167" s="42" t="str">
        <f>DATA!AP163</f>
        <v>belum ada proses tender/lelang</v>
      </c>
      <c r="AJ167" s="42" t="str">
        <f>DATA!AY163</f>
        <v>Surat Sekjen nomor 1532/A.A1/PR/2015 tgl 9 September 2015</v>
      </c>
      <c r="AK167" s="42" t="e">
        <f>DATA!#REF!</f>
        <v>#REF!</v>
      </c>
      <c r="AL167" s="42">
        <f>DATA!AZ163</f>
        <v>0</v>
      </c>
      <c r="AM167" s="67"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row>
    <row r="168" spans="1:39" s="6" customFormat="1" ht="54" hidden="1" customHeight="1">
      <c r="A168" s="6">
        <f>DATA!A164</f>
        <v>117</v>
      </c>
      <c r="B168" s="6">
        <f>DATA!B164</f>
        <v>0</v>
      </c>
      <c r="C168" s="6" t="str">
        <f>DATA!D164</f>
        <v>NON-INFRASTRUKTUR</v>
      </c>
      <c r="D168" s="6">
        <f>DATA!E164</f>
        <v>8</v>
      </c>
      <c r="E168" s="6" t="str">
        <f>DATA!F164</f>
        <v>Kementerian Riset, Teknologi, dan Pendidikan Tinggi</v>
      </c>
      <c r="F168" s="6" t="str">
        <f>DATA!H164</f>
        <v>Improving Access, Quality, Relevance, and Competitiveness of Higher Education Program</v>
      </c>
      <c r="G168" s="6" t="str">
        <f>DATA!I164</f>
        <v>A</v>
      </c>
      <c r="H168" s="6" t="str">
        <f>DATA!J164</f>
        <v xml:space="preserve">Program Peningkatan Akses, Kualitas, Relevansi, dan Daya Saing Pendidikan Tinggi </v>
      </c>
      <c r="I168" s="6">
        <f>DATA!K164</f>
        <v>1</v>
      </c>
      <c r="J168" s="38"/>
      <c r="K168" s="39"/>
      <c r="L168" s="39"/>
      <c r="M168" s="38"/>
      <c r="N168" s="67" t="str">
        <f>DATA!L164</f>
        <v>Improvement of The Capacity and Contribution of The University of Jember on Standardized and Excellent Tridharma Implementation in South East Asia Region</v>
      </c>
      <c r="O168" s="42">
        <f>DATA!Q164</f>
        <v>0.14285714285714285</v>
      </c>
      <c r="P168" s="42">
        <f>DATA!R164</f>
        <v>0</v>
      </c>
      <c r="Q168" s="42">
        <f>DATA!S164</f>
        <v>0</v>
      </c>
      <c r="R168" s="83">
        <f>DATA!T164</f>
        <v>44091200</v>
      </c>
      <c r="S168" s="83"/>
      <c r="T168" s="83">
        <f>DATA!V164</f>
        <v>1992700</v>
      </c>
      <c r="U168" s="83">
        <f>DATA!W164</f>
        <v>0</v>
      </c>
      <c r="V168" s="83">
        <f>DATA!X164</f>
        <v>46083900</v>
      </c>
      <c r="W168" s="84" t="str">
        <f>DATA!Y164</f>
        <v>IDB</v>
      </c>
      <c r="X168" s="42" t="str">
        <f>DATA!Z164</f>
        <v>Multilateral</v>
      </c>
      <c r="Y168" s="83">
        <f>DATA!AA164</f>
        <v>44091200</v>
      </c>
      <c r="Z168" s="83">
        <f>DATA!AG164</f>
        <v>0</v>
      </c>
      <c r="AA168" s="42" t="str">
        <f>DATA!AH164</f>
        <v>Tanpa keterangan</v>
      </c>
      <c r="AB168" s="67" t="str">
        <f>DATA!AI164</f>
        <v xml:space="preserve">Penyusunan R/C
</v>
      </c>
      <c r="AC168" s="67" t="str">
        <f>DATA!AJ164</f>
        <v>- Penyusunan AMDAL dan DED</v>
      </c>
      <c r="AD168" s="115">
        <f>DATA!AK164</f>
        <v>1</v>
      </c>
      <c r="AE168" s="67" t="str">
        <f>DATA!AL164</f>
        <v>-</v>
      </c>
      <c r="AF168" s="42" t="str">
        <f>DATA!AR164</f>
        <v>-</v>
      </c>
      <c r="AG168" s="42" t="str">
        <f>DATA!AN164</f>
        <v>siap</v>
      </c>
      <c r="AH168" s="42" t="str">
        <f>DATA!AO164</f>
        <v>siap</v>
      </c>
      <c r="AI168" s="42" t="str">
        <f>DATA!AP164</f>
        <v>belum ada proses tender/lelang</v>
      </c>
      <c r="AJ168" s="42" t="str">
        <f>DATA!AY164</f>
        <v>Surat Sekjen nomor 1532/A.A1/PR/2015 tgl 9 September 2015</v>
      </c>
      <c r="AK168" s="42" t="e">
        <f>DATA!#REF!</f>
        <v>#REF!</v>
      </c>
      <c r="AL168" s="42">
        <f>DATA!AZ164</f>
        <v>0</v>
      </c>
      <c r="AM168" s="67" t="str">
        <f>DATA!BA164</f>
        <v>Pembangunan sarana dan prasarana perkuliahan, pengadaan peralatan, pengembangan SDM, dan jasa konsultan</v>
      </c>
    </row>
    <row r="169" spans="1:39" s="6" customFormat="1" ht="43.5" hidden="1" customHeight="1">
      <c r="A169" s="6">
        <f>DATA!A165</f>
        <v>118</v>
      </c>
      <c r="B169" s="6">
        <f>DATA!B165</f>
        <v>0</v>
      </c>
      <c r="C169" s="6" t="str">
        <f>DATA!D165</f>
        <v>NON-INFRASTRUKTUR</v>
      </c>
      <c r="D169" s="6">
        <f>DATA!E165</f>
        <v>8</v>
      </c>
      <c r="E169" s="6" t="str">
        <f>DATA!F165</f>
        <v>Kementerian Riset, Teknologi, dan Pendidikan Tinggi</v>
      </c>
      <c r="F169" s="6" t="str">
        <f>DATA!H165</f>
        <v>Improving Access, Quality, Relevance, and Competitiveness of Higher Education Program</v>
      </c>
      <c r="G169" s="6" t="str">
        <f>DATA!I165</f>
        <v>A</v>
      </c>
      <c r="H169" s="6" t="str">
        <f>DATA!J165</f>
        <v xml:space="preserve">Program Peningkatan Akses, Kualitas, Relevansi, dan Daya Saing Pendidikan Tinggi </v>
      </c>
      <c r="I169" s="6">
        <f>DATA!K165</f>
        <v>1</v>
      </c>
      <c r="J169" s="38"/>
      <c r="K169" s="39"/>
      <c r="L169" s="39"/>
      <c r="M169" s="38"/>
      <c r="N169" s="67" t="str">
        <f>DATA!L165</f>
        <v>The Plan of Hasanuddin University Hospital Development</v>
      </c>
      <c r="O169" s="42">
        <f>DATA!Q165</f>
        <v>0.14285714285714285</v>
      </c>
      <c r="P169" s="42">
        <f>DATA!R165</f>
        <v>0</v>
      </c>
      <c r="Q169" s="42">
        <f>DATA!S165</f>
        <v>0</v>
      </c>
      <c r="R169" s="83">
        <f>DATA!T165</f>
        <v>31565800</v>
      </c>
      <c r="S169" s="83"/>
      <c r="T169" s="83">
        <f>DATA!V165</f>
        <v>2586200</v>
      </c>
      <c r="U169" s="83">
        <f>DATA!W165</f>
        <v>0</v>
      </c>
      <c r="V169" s="83">
        <f>DATA!X165</f>
        <v>34152000</v>
      </c>
      <c r="W169" s="84" t="str">
        <f>DATA!Y165</f>
        <v>Jerman (KfW)</v>
      </c>
      <c r="X169" s="42" t="str">
        <f>DATA!Z165</f>
        <v>Bilateral</v>
      </c>
      <c r="Y169" s="83">
        <f>DATA!AA165</f>
        <v>31565800</v>
      </c>
      <c r="Z169" s="83">
        <f>DATA!AG165</f>
        <v>0</v>
      </c>
      <c r="AA169" s="42" t="str">
        <f>DATA!AH165</f>
        <v>Tanpa keterangan</v>
      </c>
      <c r="AB169" s="67" t="str">
        <f>DATA!AI165</f>
        <v xml:space="preserve">Penyusunan R/C
</v>
      </c>
      <c r="AC169" s="67" t="str">
        <f>DATA!AJ165</f>
        <v>AMDAL</v>
      </c>
      <c r="AD169" s="115">
        <f>DATA!AK165</f>
        <v>1</v>
      </c>
      <c r="AE169" s="67" t="str">
        <f>DATA!AL165</f>
        <v>-</v>
      </c>
      <c r="AF169" s="42" t="str">
        <f>DATA!AR165</f>
        <v>-</v>
      </c>
      <c r="AG169" s="42" t="str">
        <f>DATA!AN165</f>
        <v>siap</v>
      </c>
      <c r="AH169" s="42" t="str">
        <f>DATA!AO165</f>
        <v>siap</v>
      </c>
      <c r="AI169" s="42" t="str">
        <f>DATA!AP165</f>
        <v>belum ada proses tender/lelang</v>
      </c>
      <c r="AJ169" s="42" t="str">
        <f>DATA!AY165</f>
        <v>Surat Sekjen nomor 1532/A.A1/PR/2015 tgl 9 September 2015</v>
      </c>
      <c r="AK169" s="42" t="e">
        <f>DATA!#REF!</f>
        <v>#REF!</v>
      </c>
      <c r="AL169" s="42">
        <f>DATA!AZ165</f>
        <v>0</v>
      </c>
      <c r="AM169" s="67" t="str">
        <f>DATA!BA165</f>
        <v>Pengadaan peralatan, pengembangan SDM, pengembangan telemedicine dan sistem manajemen informasi, dan manajemen dan jasa konsultasi</v>
      </c>
    </row>
    <row r="170" spans="1:39" s="6" customFormat="1" ht="57.75" hidden="1" customHeight="1">
      <c r="A170" s="6">
        <f>DATA!A166</f>
        <v>119</v>
      </c>
      <c r="B170" s="6">
        <f>DATA!B166</f>
        <v>0</v>
      </c>
      <c r="C170" s="6" t="str">
        <f>DATA!D166</f>
        <v>NON-INFRASTRUKTUR</v>
      </c>
      <c r="D170" s="6">
        <f>DATA!E166</f>
        <v>8</v>
      </c>
      <c r="E170" s="6" t="str">
        <f>DATA!F166</f>
        <v>Kementerian Riset, Teknologi, dan Pendidikan Tinggi</v>
      </c>
      <c r="F170" s="6" t="str">
        <f>DATA!H166</f>
        <v>Improving Access, Quality, Relevance, and Competitiveness of Higher Education Program</v>
      </c>
      <c r="G170" s="6" t="str">
        <f>DATA!I166</f>
        <v>A</v>
      </c>
      <c r="H170" s="6" t="str">
        <f>DATA!J166</f>
        <v xml:space="preserve">Program Peningkatan Akses, Kualitas, Relevansi, dan Daya Saing Pendidikan Tinggi </v>
      </c>
      <c r="I170" s="6">
        <f>DATA!K166</f>
        <v>1</v>
      </c>
      <c r="J170" s="38"/>
      <c r="K170" s="39"/>
      <c r="L170" s="39"/>
      <c r="M170" s="38"/>
      <c r="N170" s="67" t="str">
        <f>DATA!L166</f>
        <v>Establishment of University of Bengkulu’s Hospital</v>
      </c>
      <c r="O170" s="42">
        <f>DATA!Q166</f>
        <v>18000000</v>
      </c>
      <c r="P170" s="42">
        <f>DATA!R166</f>
        <v>0</v>
      </c>
      <c r="Q170" s="42">
        <f>DATA!S166</f>
        <v>0</v>
      </c>
      <c r="R170" s="83">
        <f>DATA!T166</f>
        <v>10278200</v>
      </c>
      <c r="S170" s="83"/>
      <c r="T170" s="83">
        <f>DATA!V166</f>
        <v>182000</v>
      </c>
      <c r="U170" s="83">
        <f>DATA!W166</f>
        <v>0</v>
      </c>
      <c r="V170" s="83">
        <f>DATA!X166</f>
        <v>10460200</v>
      </c>
      <c r="W170" s="84" t="str">
        <f>DATA!Y166</f>
        <v>JICA</v>
      </c>
      <c r="X170" s="42" t="str">
        <f>DATA!Z166</f>
        <v>Bilateral</v>
      </c>
      <c r="Y170" s="83">
        <f>DATA!AA166</f>
        <v>10278200</v>
      </c>
      <c r="Z170" s="83">
        <f>DATA!AG166</f>
        <v>0</v>
      </c>
      <c r="AA170" s="42" t="str">
        <f>DATA!AH166</f>
        <v>Tanpa keterangan</v>
      </c>
      <c r="AB170" s="67" t="str">
        <f>DATA!AI166</f>
        <v xml:space="preserve">Penyusunan R/C
</v>
      </c>
      <c r="AC170" s="67" t="str">
        <f>DATA!AJ166</f>
        <v>- FS
- AMDAL</v>
      </c>
      <c r="AD170" s="115">
        <f>DATA!AK166</f>
        <v>1</v>
      </c>
      <c r="AE170" s="67" t="str">
        <f>DATA!AL166</f>
        <v>-</v>
      </c>
      <c r="AF170" s="42" t="str">
        <f>DATA!AR166</f>
        <v>penyiapan dokumen R/C</v>
      </c>
      <c r="AG170" s="42" t="str">
        <f>DATA!AN166</f>
        <v>siap</v>
      </c>
      <c r="AH170" s="42" t="str">
        <f>DATA!AO166</f>
        <v>siap</v>
      </c>
      <c r="AI170" s="42" t="str">
        <f>DATA!AP166</f>
        <v>belum ada proses tender/lelang</v>
      </c>
      <c r="AJ170" s="42" t="str">
        <f>DATA!AY166</f>
        <v>- Lender semula adalah IDB namun pihak Kemristekdikti mengkonfirmasikan  Lender untuk kegiatan ini adalah JICA
- Surat Sekjen nomor 1532/A.A1/PR/2015 tgl 9 September 2015</v>
      </c>
      <c r="AK170" s="42" t="e">
        <f>DATA!#REF!</f>
        <v>#REF!</v>
      </c>
      <c r="AL170" s="42">
        <f>DATA!AZ166</f>
        <v>0</v>
      </c>
      <c r="AM170" s="67" t="str">
        <f>DATA!BA166</f>
        <v>Pembangunan RS Pendidikan di Universitas Bengkulu, pengadaan peralatan medis dan furniture, pengembangan SDM, manajemen proyek, koordinasi, dan pembelajaran</v>
      </c>
    </row>
    <row r="171" spans="1:39" s="6" customFormat="1" ht="50.25" hidden="1" customHeight="1">
      <c r="A171" s="6">
        <f>DATA!A167</f>
        <v>120</v>
      </c>
      <c r="B171" s="6">
        <f>DATA!B167</f>
        <v>0</v>
      </c>
      <c r="C171" s="6" t="str">
        <f>DATA!D167</f>
        <v>NON-INFRASTRUKTUR</v>
      </c>
      <c r="D171" s="6">
        <f>DATA!E167</f>
        <v>8</v>
      </c>
      <c r="E171" s="6" t="str">
        <f>DATA!F167</f>
        <v>Kementerian Riset, Teknologi, dan Pendidikan Tinggi</v>
      </c>
      <c r="F171" s="6" t="str">
        <f>DATA!H167</f>
        <v>Improving Access, Quality, Relevance, and Competitiveness of Higher Education Program</v>
      </c>
      <c r="G171" s="6" t="str">
        <f>DATA!I167</f>
        <v>A</v>
      </c>
      <c r="H171" s="6" t="str">
        <f>DATA!J167</f>
        <v xml:space="preserve">Program Peningkatan Akses, Kualitas, Relevansi, dan Daya Saing Pendidikan Tinggi </v>
      </c>
      <c r="I171" s="6">
        <f>DATA!K167</f>
        <v>1</v>
      </c>
      <c r="J171" s="38"/>
      <c r="K171" s="71"/>
      <c r="L171" s="71"/>
      <c r="M171" s="43"/>
      <c r="N171" s="67" t="str">
        <f>DATA!L167</f>
        <v>University of Gadjah Mada Achieving World Class University with Socio-Entrepreneurial Spirit</v>
      </c>
      <c r="O171" s="42">
        <f>DATA!Q167</f>
        <v>0.14285714285714285</v>
      </c>
      <c r="P171" s="42">
        <f>DATA!R167</f>
        <v>0</v>
      </c>
      <c r="Q171" s="42">
        <f>DATA!S167</f>
        <v>0</v>
      </c>
      <c r="R171" s="83">
        <f>DATA!T167</f>
        <v>71694000</v>
      </c>
      <c r="S171" s="83"/>
      <c r="T171" s="83">
        <f>DATA!V167</f>
        <v>7041900</v>
      </c>
      <c r="U171" s="83">
        <f>DATA!W167</f>
        <v>0</v>
      </c>
      <c r="V171" s="83">
        <f>DATA!X167</f>
        <v>78735900</v>
      </c>
      <c r="W171" s="84" t="str">
        <f>DATA!Y167</f>
        <v>JICA</v>
      </c>
      <c r="X171" s="42" t="str">
        <f>DATA!Z167</f>
        <v>Bilateral</v>
      </c>
      <c r="Y171" s="83">
        <f>DATA!AA167</f>
        <v>71694000</v>
      </c>
      <c r="Z171" s="83">
        <f>DATA!AG167</f>
        <v>0</v>
      </c>
      <c r="AA171" s="42" t="str">
        <f>DATA!AH167</f>
        <v>Tanpa keterangan</v>
      </c>
      <c r="AB171" s="67" t="str">
        <f>DATA!AI167</f>
        <v xml:space="preserve">Penyusunan R/C
</v>
      </c>
      <c r="AC171" s="67" t="str">
        <f>DATA!AJ167</f>
        <v>- FS
- AMDAL dan DED dalam proses</v>
      </c>
      <c r="AD171" s="115">
        <f>DATA!AK167</f>
        <v>0.95</v>
      </c>
      <c r="AE171" s="67" t="str">
        <f>DATA!AL167</f>
        <v>-</v>
      </c>
      <c r="AF171" s="42" t="str">
        <f>DATA!AR167</f>
        <v>-</v>
      </c>
      <c r="AG171" s="42" t="str">
        <f>DATA!AN167</f>
        <v>siap</v>
      </c>
      <c r="AH171" s="42" t="str">
        <f>DATA!AO167</f>
        <v>siap</v>
      </c>
      <c r="AI171" s="42" t="str">
        <f>DATA!AP167</f>
        <v>belum ada proses tender/lelang</v>
      </c>
      <c r="AJ171" s="42" t="str">
        <f>DATA!AY167</f>
        <v>- Lender semula adalah IDB namun pihak Kemristekdikti mengkonfirmasikan  Lender untuk kegiatan ini adalah JICA
- Target penyelesaian lahan akhir Desember 2015
- Surat Sekjen nomor 1532/A.A1/PR/2015 tgl 9 September 2015</v>
      </c>
      <c r="AK171" s="42" t="e">
        <f>DATA!#REF!</f>
        <v>#REF!</v>
      </c>
      <c r="AL171" s="42">
        <f>DATA!AZ167</f>
        <v>0</v>
      </c>
      <c r="AM171" s="67" t="str">
        <f>DATA!BA167</f>
        <v>Pembangunan gedung baru, pengadaan peralatan, pengembangan SDM dan desain kurikulum, jasa konsultan, dan manajemen proyek</v>
      </c>
    </row>
    <row r="172" spans="1:39" s="4" customFormat="1" ht="24.95" hidden="1" customHeight="1">
      <c r="J172" s="107"/>
      <c r="K172" s="25">
        <f>DATA!E173</f>
        <v>9</v>
      </c>
      <c r="L172" s="108" t="str">
        <f>DATA!F173</f>
        <v>Kementerian Agama</v>
      </c>
      <c r="M172" s="25"/>
      <c r="N172" s="27"/>
      <c r="O172" s="26"/>
      <c r="P172" s="26"/>
      <c r="Q172" s="26"/>
      <c r="R172" s="80">
        <f>+R173</f>
        <v>238210000</v>
      </c>
      <c r="S172" s="80"/>
      <c r="T172" s="80">
        <f t="shared" ref="T172:Z173" si="20">+T173</f>
        <v>60851400</v>
      </c>
      <c r="U172" s="80">
        <f t="shared" si="20"/>
        <v>0</v>
      </c>
      <c r="V172" s="80">
        <f t="shared" si="20"/>
        <v>288657100</v>
      </c>
      <c r="W172" s="80"/>
      <c r="X172" s="80">
        <f t="shared" si="20"/>
        <v>0</v>
      </c>
      <c r="Y172" s="80">
        <f t="shared" si="20"/>
        <v>238210000</v>
      </c>
      <c r="Z172" s="80">
        <f t="shared" si="20"/>
        <v>0</v>
      </c>
      <c r="AA172" s="26"/>
      <c r="AB172" s="27"/>
      <c r="AC172" s="27"/>
      <c r="AD172" s="27"/>
      <c r="AE172" s="27"/>
      <c r="AF172" s="26"/>
      <c r="AG172" s="26"/>
      <c r="AH172" s="26"/>
      <c r="AI172" s="26"/>
      <c r="AJ172" s="26"/>
      <c r="AK172" s="26"/>
      <c r="AL172" s="26"/>
      <c r="AM172" s="27"/>
    </row>
    <row r="173" spans="1:39" s="5" customFormat="1" ht="33.75" hidden="1" customHeight="1">
      <c r="J173" s="28"/>
      <c r="K173" s="29"/>
      <c r="L173" s="30" t="str">
        <f>DATA!I173</f>
        <v>A</v>
      </c>
      <c r="M173" s="31" t="str">
        <f>DATA!J173</f>
        <v>Program Peningkatan Akses, Kualitas, Relevansi, dan Daya Saing Pendidikan Tinggi Islam</v>
      </c>
      <c r="N173" s="51"/>
      <c r="O173" s="31"/>
      <c r="P173" s="31"/>
      <c r="Q173" s="31"/>
      <c r="R173" s="81">
        <f>+R174</f>
        <v>238210000</v>
      </c>
      <c r="S173" s="81"/>
      <c r="T173" s="81">
        <f t="shared" si="20"/>
        <v>60851400</v>
      </c>
      <c r="U173" s="81">
        <f t="shared" si="20"/>
        <v>0</v>
      </c>
      <c r="V173" s="81">
        <f t="shared" si="20"/>
        <v>288657100</v>
      </c>
      <c r="W173" s="81"/>
      <c r="X173" s="81">
        <f t="shared" si="20"/>
        <v>0</v>
      </c>
      <c r="Y173" s="81">
        <f t="shared" si="20"/>
        <v>238210000</v>
      </c>
      <c r="Z173" s="81">
        <f t="shared" si="20"/>
        <v>0</v>
      </c>
      <c r="AA173" s="31"/>
      <c r="AB173" s="32"/>
      <c r="AC173" s="32"/>
      <c r="AD173" s="32"/>
      <c r="AE173" s="32"/>
      <c r="AF173" s="31"/>
      <c r="AG173" s="31"/>
      <c r="AH173" s="31"/>
      <c r="AI173" s="31"/>
      <c r="AJ173" s="31"/>
      <c r="AK173" s="31"/>
      <c r="AL173" s="31"/>
      <c r="AM173" s="32"/>
    </row>
    <row r="174" spans="1:39" ht="38.25" hidden="1">
      <c r="A174" s="10">
        <f>DATA!A173</f>
        <v>121</v>
      </c>
      <c r="B174" s="10">
        <f>DATA!B173</f>
        <v>0</v>
      </c>
      <c r="C174" s="10" t="str">
        <f>DATA!D173</f>
        <v>NON-INFRASTRUKTUR</v>
      </c>
      <c r="D174" s="10">
        <f>DATA!E173</f>
        <v>9</v>
      </c>
      <c r="E174" s="10" t="str">
        <f>DATA!F173</f>
        <v>Kementerian Agama</v>
      </c>
      <c r="F174" s="10" t="str">
        <f>DATA!H173</f>
        <v>Improving Access, Quality, Relevance, and Competitiveness of Islamic Higher Education Program</v>
      </c>
      <c r="G174" s="10" t="str">
        <f>DATA!I173</f>
        <v>A</v>
      </c>
      <c r="H174" s="10" t="str">
        <f>DATA!J173</f>
        <v>Program Peningkatan Akses, Kualitas, Relevansi, dan Daya Saing Pendidikan Tinggi Islam</v>
      </c>
      <c r="I174" s="10">
        <f>DATA!K173</f>
        <v>1</v>
      </c>
      <c r="J174" s="33"/>
      <c r="K174" s="34"/>
      <c r="L174" s="35"/>
      <c r="M174" s="36">
        <f>DATA!K173</f>
        <v>1</v>
      </c>
      <c r="N174" s="37" t="str">
        <f>DATA!L173</f>
        <v>Strengthening Capacity of Islamic Higher Education (IAIN and UIN):</v>
      </c>
      <c r="O174" s="20">
        <f>DATA!Q173</f>
        <v>0</v>
      </c>
      <c r="P174" s="20">
        <f>DATA!R173</f>
        <v>1</v>
      </c>
      <c r="Q174" s="20">
        <f>DATA!S173</f>
        <v>102</v>
      </c>
      <c r="R174" s="77">
        <f>DATA!T173</f>
        <v>238210000</v>
      </c>
      <c r="S174" s="77"/>
      <c r="T174" s="77">
        <f>DATA!V173</f>
        <v>60851400</v>
      </c>
      <c r="U174" s="77">
        <f>DATA!W173</f>
        <v>0</v>
      </c>
      <c r="V174" s="77">
        <f>DATA!X173</f>
        <v>288657100</v>
      </c>
      <c r="W174" s="78" t="str">
        <f>DATA!Y173</f>
        <v>-</v>
      </c>
      <c r="X174" s="20">
        <f>DATA!Z173</f>
        <v>0</v>
      </c>
      <c r="Y174" s="77">
        <f>DATA!AA173</f>
        <v>238210000</v>
      </c>
      <c r="Z174" s="77">
        <f>DATA!AG173</f>
        <v>0</v>
      </c>
      <c r="AA174" s="20" t="str">
        <f>DATA!AH173</f>
        <v>-</v>
      </c>
      <c r="AB174" s="37" t="str">
        <f>DATA!AI173</f>
        <v>-</v>
      </c>
      <c r="AC174" s="37" t="str">
        <f>DATA!AJ173</f>
        <v>-</v>
      </c>
      <c r="AD174" s="37" t="str">
        <f>DATA!AK173</f>
        <v>-</v>
      </c>
      <c r="AE174" s="37" t="str">
        <f>DATA!AL173</f>
        <v>-</v>
      </c>
      <c r="AF174" s="20" t="str">
        <f>DATA!AM173</f>
        <v>-</v>
      </c>
      <c r="AG174" s="20" t="str">
        <f>DATA!AN173</f>
        <v>-</v>
      </c>
      <c r="AH174" s="20" t="str">
        <f>DATA!AO173</f>
        <v>-</v>
      </c>
      <c r="AI174" s="20">
        <f>DATA!AP173</f>
        <v>0</v>
      </c>
      <c r="AJ174" s="20" t="str">
        <f>DATA!AY173</f>
        <v>Surat Sekjen a/n Menteri Agama nomor SJ/B.I/1/KU.00.2/6260/2015 tanggal 17 September 2015</v>
      </c>
      <c r="AK174" s="20" t="e">
        <f>DATA!#REF!</f>
        <v>#REF!</v>
      </c>
      <c r="AL174" s="20">
        <f>DATA!AZ173</f>
        <v>0</v>
      </c>
      <c r="AM174" s="37" t="str">
        <f>DATA!BA173</f>
        <v>Pembangunan sarana dan prasarana perkuliahan, pengadaan peralatan, pengembangan SDM, serta jasa konsultan</v>
      </c>
    </row>
    <row r="175" spans="1:39" s="6" customFormat="1" ht="61.5" hidden="1" customHeight="1">
      <c r="A175" s="6">
        <f>DATA!A174</f>
        <v>124</v>
      </c>
      <c r="B175" s="6">
        <f>DATA!B174</f>
        <v>0</v>
      </c>
      <c r="C175" s="6" t="str">
        <f>DATA!D174</f>
        <v>NON-INFRASTRUKTUR</v>
      </c>
      <c r="D175" s="6">
        <f>DATA!E174</f>
        <v>9</v>
      </c>
      <c r="E175" s="6" t="str">
        <f>DATA!F174</f>
        <v>Kementerian Agama</v>
      </c>
      <c r="F175" s="6" t="str">
        <f>DATA!H174</f>
        <v>Improving Access, Quality, Relevance, and Competitiveness of Islamic Higher Education Program</v>
      </c>
      <c r="G175" s="6" t="str">
        <f>DATA!I174</f>
        <v>A</v>
      </c>
      <c r="H175" s="6" t="str">
        <f>DATA!J174</f>
        <v>Program Peningkatan Akses, Kualitas, Relevansi, dan Daya Saing Pendidikan Tinggi Islam</v>
      </c>
      <c r="I175" s="6">
        <f>DATA!K174</f>
        <v>1</v>
      </c>
      <c r="J175" s="38"/>
      <c r="K175" s="39"/>
      <c r="L175" s="39"/>
      <c r="M175" s="40"/>
      <c r="N175" s="67" t="str">
        <f>DATA!L174</f>
        <v>Improvement and Optimalization of Sunan Ampel Surabaya State Islamic University</v>
      </c>
      <c r="O175" s="42">
        <f>DATA!Q174</f>
        <v>0.16666666666666666</v>
      </c>
      <c r="P175" s="42">
        <f>DATA!R174</f>
        <v>0</v>
      </c>
      <c r="Q175" s="42">
        <f>DATA!S174</f>
        <v>0</v>
      </c>
      <c r="R175" s="83">
        <f>DATA!T174</f>
        <v>40000000</v>
      </c>
      <c r="S175" s="83"/>
      <c r="T175" s="83">
        <f>DATA!V174</f>
        <v>10000000</v>
      </c>
      <c r="U175" s="83">
        <f>DATA!W174</f>
        <v>0</v>
      </c>
      <c r="V175" s="83">
        <f>DATA!X174</f>
        <v>50000000</v>
      </c>
      <c r="W175" s="84" t="str">
        <f>DATA!Y174</f>
        <v>IDB</v>
      </c>
      <c r="X175" s="42" t="str">
        <f>DATA!Z174</f>
        <v>Multilateral</v>
      </c>
      <c r="Y175" s="83">
        <f>DATA!AA174</f>
        <v>40000000</v>
      </c>
      <c r="Z175" s="83">
        <f>DATA!AG174</f>
        <v>0</v>
      </c>
      <c r="AA175" s="42" t="str">
        <f>DATA!AH174</f>
        <v>Tanpa keterangan</v>
      </c>
      <c r="AB175" s="67" t="str">
        <f>DATA!AI174</f>
        <v>Penyusunan R/C</v>
      </c>
      <c r="AC175" s="67" t="str">
        <f>DATA!AJ174</f>
        <v>- FS dan Proposal
- Penyusunan R/C</v>
      </c>
      <c r="AD175" s="115">
        <f>DATA!AK174</f>
        <v>0.85</v>
      </c>
      <c r="AE175" s="67" t="str">
        <f>DATA!AL174</f>
        <v>-</v>
      </c>
      <c r="AF175" s="42" t="str">
        <f>DATA!AR174</f>
        <v>-</v>
      </c>
      <c r="AG175" s="42" t="str">
        <f>DATA!AN174</f>
        <v>siap</v>
      </c>
      <c r="AH175" s="42" t="str">
        <f>DATA!AO174</f>
        <v>siap</v>
      </c>
      <c r="AI175" s="42" t="str">
        <f>DATA!AP174</f>
        <v>belum ada proses tender/lelang</v>
      </c>
      <c r="AJ175" s="42" t="str">
        <f>DATA!AY174</f>
        <v xml:space="preserve">- Pembebasan kekurangan lahan dilakukan tahun 2016
- Surat Sekjen a/n Menteri Agama nomor SJ/B.I/1/KU.00.2/6260/2015 tanggal 17 September 2015
</v>
      </c>
      <c r="AK175" s="42" t="e">
        <f>DATA!#REF!</f>
        <v>#REF!</v>
      </c>
      <c r="AL175" s="42">
        <f>DATA!AZ174</f>
        <v>0</v>
      </c>
      <c r="AM175" s="67" t="str">
        <f>DATA!BA174</f>
        <v xml:space="preserve">Pengembangan sarana prasarana perkuliahan (fakultas Saintek, Psikologi dan Kesehatan, Humaniora dan Ilmu Sosial), pengembangan kurikulum dan manajemen akademik, dan pengembangan SDM 
</v>
      </c>
    </row>
    <row r="176" spans="1:39" s="6" customFormat="1" ht="52.5" hidden="1" customHeight="1">
      <c r="A176" s="6">
        <f>DATA!A175</f>
        <v>125</v>
      </c>
      <c r="B176" s="6">
        <f>DATA!B175</f>
        <v>0</v>
      </c>
      <c r="C176" s="6" t="str">
        <f>DATA!D175</f>
        <v>NON-INFRASTRUKTUR</v>
      </c>
      <c r="D176" s="6">
        <f>DATA!E175</f>
        <v>9</v>
      </c>
      <c r="E176" s="6" t="str">
        <f>DATA!F175</f>
        <v>Kementerian Agama</v>
      </c>
      <c r="F176" s="6" t="str">
        <f>DATA!H175</f>
        <v>Improving Access, Quality, Relevance, and Competitiveness of Islamic Higher Education Program</v>
      </c>
      <c r="G176" s="6" t="str">
        <f>DATA!I175</f>
        <v>A</v>
      </c>
      <c r="H176" s="6" t="str">
        <f>DATA!J175</f>
        <v>Program Peningkatan Akses, Kualitas, Relevansi, dan Daya Saing Pendidikan Tinggi Islam</v>
      </c>
      <c r="I176" s="6">
        <f>DATA!K175</f>
        <v>1</v>
      </c>
      <c r="J176" s="38"/>
      <c r="K176" s="39"/>
      <c r="L176" s="39"/>
      <c r="M176" s="38"/>
      <c r="N176" s="67" t="str">
        <f>DATA!L175</f>
        <v>Improvement Access and Quality of State Islamic Institute  Suthan Maulana Hasanuddin Banten</v>
      </c>
      <c r="O176" s="42">
        <f>DATA!Q175</f>
        <v>0.16666666666666666</v>
      </c>
      <c r="P176" s="42">
        <f>DATA!R175</f>
        <v>0</v>
      </c>
      <c r="Q176" s="42">
        <f>DATA!S175</f>
        <v>0</v>
      </c>
      <c r="R176" s="83">
        <f>DATA!T175</f>
        <v>40000000</v>
      </c>
      <c r="S176" s="83"/>
      <c r="T176" s="83">
        <f>DATA!V175</f>
        <v>5985000</v>
      </c>
      <c r="U176" s="83">
        <f>DATA!W175</f>
        <v>0</v>
      </c>
      <c r="V176" s="83">
        <f>DATA!X175</f>
        <v>45985000</v>
      </c>
      <c r="W176" s="84" t="str">
        <f>DATA!Y175</f>
        <v>IDB</v>
      </c>
      <c r="X176" s="42" t="str">
        <f>DATA!Z175</f>
        <v>Multilateral</v>
      </c>
      <c r="Y176" s="83">
        <f>DATA!AA175</f>
        <v>40000000</v>
      </c>
      <c r="Z176" s="83">
        <f>DATA!AG175</f>
        <v>0</v>
      </c>
      <c r="AA176" s="42" t="str">
        <f>DATA!AH175</f>
        <v>Tanpa keterangan</v>
      </c>
      <c r="AB176" s="67" t="str">
        <f>DATA!AI175</f>
        <v>Penyusunan R/C</v>
      </c>
      <c r="AC176" s="67" t="str">
        <f>DATA!AJ175</f>
        <v>- Sudah ada Master Plan
- AMDAL</v>
      </c>
      <c r="AD176" s="115">
        <f>DATA!AK175</f>
        <v>1</v>
      </c>
      <c r="AE176" s="67" t="str">
        <f>DATA!AL175</f>
        <v>-</v>
      </c>
      <c r="AF176" s="42" t="str">
        <f>DATA!AR175</f>
        <v>-</v>
      </c>
      <c r="AG176" s="42" t="str">
        <f>DATA!AN175</f>
        <v>siap</v>
      </c>
      <c r="AH176" s="42" t="str">
        <f>DATA!AO175</f>
        <v>siap</v>
      </c>
      <c r="AI176" s="42" t="str">
        <f>DATA!AP175</f>
        <v>belum ada proses tender/lelang</v>
      </c>
      <c r="AJ176" s="42"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K176" s="42" t="e">
        <f>DATA!#REF!</f>
        <v>#REF!</v>
      </c>
      <c r="AL176" s="42">
        <f>DATA!AZ175</f>
        <v>0</v>
      </c>
      <c r="AM176" s="67" t="str">
        <f>DATA!BA175</f>
        <v>Pembangunan gedung dan infrastruktur, pengadaaan mebelair dan peralatan, peningkatan SDM, dan pengembangan kurikulum akademik</v>
      </c>
    </row>
    <row r="177" spans="1:39" s="6" customFormat="1" ht="66.75" hidden="1" customHeight="1">
      <c r="A177" s="6">
        <f>DATA!A176</f>
        <v>126</v>
      </c>
      <c r="B177" s="6">
        <f>DATA!B176</f>
        <v>0</v>
      </c>
      <c r="C177" s="6" t="str">
        <f>DATA!D176</f>
        <v>NON-INFRASTRUKTUR</v>
      </c>
      <c r="D177" s="6">
        <f>DATA!E176</f>
        <v>9</v>
      </c>
      <c r="E177" s="6" t="str">
        <f>DATA!F176</f>
        <v>Kementerian Agama</v>
      </c>
      <c r="F177" s="6" t="str">
        <f>DATA!H176</f>
        <v>Improving Access, Quality, Relevance, and Competitiveness of Islamic Higher Education Program</v>
      </c>
      <c r="G177" s="6" t="str">
        <f>DATA!I176</f>
        <v>A</v>
      </c>
      <c r="H177" s="6" t="str">
        <f>DATA!J176</f>
        <v>Program Peningkatan Akses, Kualitas, Relevansi, dan Daya Saing Pendidikan Tinggi Islam</v>
      </c>
      <c r="I177" s="6">
        <f>DATA!K176</f>
        <v>1</v>
      </c>
      <c r="J177" s="38"/>
      <c r="K177" s="39"/>
      <c r="L177" s="39"/>
      <c r="M177" s="38"/>
      <c r="N177" s="67" t="str">
        <f>DATA!L176</f>
        <v xml:space="preserve">Development and Quality Improvement  of Antasari State Islamic Institute </v>
      </c>
      <c r="O177" s="42">
        <f>DATA!Q176</f>
        <v>0.16666666666666666</v>
      </c>
      <c r="P177" s="42">
        <f>DATA!R176</f>
        <v>0</v>
      </c>
      <c r="Q177" s="42">
        <f>DATA!S176</f>
        <v>0</v>
      </c>
      <c r="R177" s="83">
        <f>DATA!T176</f>
        <v>39908600</v>
      </c>
      <c r="S177" s="83"/>
      <c r="T177" s="83">
        <f>DATA!V176</f>
        <v>10290700</v>
      </c>
      <c r="U177" s="83">
        <f>DATA!W176</f>
        <v>0</v>
      </c>
      <c r="V177" s="83">
        <f>DATA!X176</f>
        <v>50199300</v>
      </c>
      <c r="W177" s="84" t="str">
        <f>DATA!Y176</f>
        <v>IDB</v>
      </c>
      <c r="X177" s="42" t="str">
        <f>DATA!Z176</f>
        <v>Multilateral</v>
      </c>
      <c r="Y177" s="83">
        <f>DATA!AA176</f>
        <v>39900000</v>
      </c>
      <c r="Z177" s="83">
        <f>DATA!AG176</f>
        <v>0</v>
      </c>
      <c r="AA177" s="42" t="str">
        <f>DATA!AH176</f>
        <v>Tanpa keterangan</v>
      </c>
      <c r="AB177" s="67" t="str">
        <f>DATA!AI176</f>
        <v>Penyusunan R/C</v>
      </c>
      <c r="AC177" s="67" t="str">
        <f>DATA!AJ176</f>
        <v>Sudah melakukan penyiapan perencanaan</v>
      </c>
      <c r="AD177" s="115">
        <f>DATA!AK176</f>
        <v>1</v>
      </c>
      <c r="AE177" s="67" t="str">
        <f>DATA!AL176</f>
        <v>-</v>
      </c>
      <c r="AF177" s="42" t="str">
        <f>DATA!AR176</f>
        <v>-</v>
      </c>
      <c r="AG177" s="42" t="str">
        <f>DATA!AN176</f>
        <v>siap</v>
      </c>
      <c r="AH177" s="42" t="str">
        <f>DATA!AO176</f>
        <v>siap</v>
      </c>
      <c r="AI177" s="42" t="str">
        <f>DATA!AP176</f>
        <v>belum ada proses tender/lelang</v>
      </c>
      <c r="AJ177" s="42" t="str">
        <f>DATA!AY176</f>
        <v>Surat Sekjen a/n Menteri Agama nomor SJ/B.I/1/KU.00.2/6260/2015 tanggal 17 September 2015</v>
      </c>
      <c r="AK177" s="42" t="e">
        <f>DATA!#REF!</f>
        <v>#REF!</v>
      </c>
      <c r="AL177" s="42">
        <f>DATA!AZ176</f>
        <v>0</v>
      </c>
      <c r="AM177" s="67" t="str">
        <f>DATA!BA176</f>
        <v>Pembangunan gedung dan infrastruktur, penguatan kelembagaan (pengembangan kurikulum, prodi, manajemen dan peningkatan jumlah dan kualitas riset), dan pengembangan SDM</v>
      </c>
    </row>
    <row r="178" spans="1:39" s="6" customFormat="1" ht="87" hidden="1" customHeight="1">
      <c r="A178" s="6">
        <f>DATA!A177</f>
        <v>127</v>
      </c>
      <c r="B178" s="6">
        <f>DATA!B177</f>
        <v>0</v>
      </c>
      <c r="C178" s="6" t="str">
        <f>DATA!D177</f>
        <v>NON-INFRASTRUKTUR</v>
      </c>
      <c r="D178" s="6" t="str">
        <f>DATA!E177</f>
        <v>z</v>
      </c>
      <c r="E178" s="6" t="str">
        <f>DATA!F177</f>
        <v>Kementerian Agama</v>
      </c>
      <c r="F178" s="6" t="str">
        <f>DATA!H177</f>
        <v>Improving Access, Quality, Relevance, and Competitiveness of Islamic Higher Education Program</v>
      </c>
      <c r="G178" s="6" t="str">
        <f>DATA!I177</f>
        <v>A</v>
      </c>
      <c r="H178" s="6" t="str">
        <f>DATA!J177</f>
        <v>Program Peningkatan Akses, Kualitas, Relevansi, dan Daya Saing Pendidikan Tinggi Islam</v>
      </c>
      <c r="I178" s="6">
        <f>DATA!K177</f>
        <v>1</v>
      </c>
      <c r="J178" s="38"/>
      <c r="K178" s="39"/>
      <c r="L178" s="39"/>
      <c r="M178" s="38"/>
      <c r="N178" s="67" t="str">
        <f>DATA!L177</f>
        <v xml:space="preserve">Tranformation of State Islamic Institute  Sulthan Thaha Saifuddin to State Islamic University </v>
      </c>
      <c r="O178" s="42">
        <f>DATA!Q177</f>
        <v>0.16666666666666666</v>
      </c>
      <c r="P178" s="42">
        <f>DATA!R177</f>
        <v>0</v>
      </c>
      <c r="Q178" s="42">
        <f>DATA!S177</f>
        <v>0</v>
      </c>
      <c r="R178" s="83">
        <f>DATA!T177</f>
        <v>40000000</v>
      </c>
      <c r="S178" s="83"/>
      <c r="T178" s="83">
        <f>DATA!V177</f>
        <v>10000000</v>
      </c>
      <c r="U178" s="83">
        <f>DATA!W177</f>
        <v>0</v>
      </c>
      <c r="V178" s="83">
        <f>DATA!X177</f>
        <v>50000000</v>
      </c>
      <c r="W178" s="84" t="str">
        <f>DATA!Y177</f>
        <v>IDB</v>
      </c>
      <c r="X178" s="42" t="str">
        <f>DATA!Z177</f>
        <v>Multilateral</v>
      </c>
      <c r="Y178" s="83">
        <f>DATA!AA177</f>
        <v>40000000</v>
      </c>
      <c r="Z178" s="83">
        <f>DATA!AG177</f>
        <v>0</v>
      </c>
      <c r="AA178" s="42" t="str">
        <f>DATA!AH177</f>
        <v>Tanpa keterangan</v>
      </c>
      <c r="AB178" s="67" t="str">
        <f>DATA!AI177</f>
        <v>Penyusunan R/C</v>
      </c>
      <c r="AC178" s="67" t="str">
        <f>DATA!AJ177</f>
        <v>Sedang merinci kegiatan</v>
      </c>
      <c r="AD178" s="115">
        <f>DATA!AK177</f>
        <v>1</v>
      </c>
      <c r="AE178" s="67" t="str">
        <f>DATA!AL177</f>
        <v>-</v>
      </c>
      <c r="AF178" s="42" t="str">
        <f>DATA!AR177</f>
        <v>-</v>
      </c>
      <c r="AG178" s="42" t="str">
        <f>DATA!AN177</f>
        <v>siap</v>
      </c>
      <c r="AH178" s="42" t="str">
        <f>DATA!AO177</f>
        <v>siap</v>
      </c>
      <c r="AI178" s="42" t="str">
        <f>DATA!AP177</f>
        <v>belum ada proses tender/lelang</v>
      </c>
      <c r="AJ178" s="42" t="str">
        <f>DATA!AY177</f>
        <v>Surat Sekjen a/n Menteri Agama nomor SJ/B.I/1/KU.00.2/6260/2015 tanggal 17 September 2015</v>
      </c>
      <c r="AK178" s="42" t="e">
        <f>DATA!#REF!</f>
        <v>#REF!</v>
      </c>
      <c r="AL178" s="42">
        <f>DATA!AZ177</f>
        <v>0</v>
      </c>
      <c r="AM178" s="67"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row>
    <row r="179" spans="1:39" s="6" customFormat="1" ht="93.75" hidden="1" customHeight="1">
      <c r="A179" s="6">
        <f>DATA!A178</f>
        <v>128</v>
      </c>
      <c r="B179" s="6">
        <f>DATA!B178</f>
        <v>0</v>
      </c>
      <c r="C179" s="6" t="str">
        <f>DATA!D178</f>
        <v>NON-INFRASTRUKTUR</v>
      </c>
      <c r="D179" s="6">
        <f>DATA!E178</f>
        <v>9</v>
      </c>
      <c r="E179" s="6" t="str">
        <f>DATA!F178</f>
        <v>Kementerian Agama</v>
      </c>
      <c r="F179" s="6" t="str">
        <f>DATA!H178</f>
        <v>Improving Access, Quality, Relevance, and Competitiveness of Islamic Higher Education Program</v>
      </c>
      <c r="G179" s="6" t="str">
        <f>DATA!I178</f>
        <v>A</v>
      </c>
      <c r="H179" s="6" t="str">
        <f>DATA!J178</f>
        <v>Program Peningkatan Akses, Kualitas, Relevansi, dan Daya Saing Pendidikan Tinggi Islam</v>
      </c>
      <c r="I179" s="6">
        <f>DATA!K178</f>
        <v>1</v>
      </c>
      <c r="J179" s="38"/>
      <c r="K179" s="39"/>
      <c r="L179" s="39"/>
      <c r="M179" s="38"/>
      <c r="N179" s="67" t="str">
        <f>DATA!L178</f>
        <v>Development and Institutional Transformation of State Islamic Institute  Raden Intan Lampung</v>
      </c>
      <c r="O179" s="42">
        <f>DATA!Q178</f>
        <v>0.16666666666666666</v>
      </c>
      <c r="P179" s="42">
        <f>DATA!R178</f>
        <v>0</v>
      </c>
      <c r="Q179" s="42">
        <f>DATA!S178</f>
        <v>0</v>
      </c>
      <c r="R179" s="83">
        <f>DATA!T178</f>
        <v>40000000</v>
      </c>
      <c r="S179" s="83"/>
      <c r="T179" s="83">
        <f>DATA!V178</f>
        <v>10000000</v>
      </c>
      <c r="U179" s="83">
        <f>DATA!W178</f>
        <v>0</v>
      </c>
      <c r="V179" s="83">
        <f>DATA!X178</f>
        <v>50000000</v>
      </c>
      <c r="W179" s="84" t="str">
        <f>DATA!Y178</f>
        <v>IDB</v>
      </c>
      <c r="X179" s="42" t="str">
        <f>DATA!Z178</f>
        <v>Multilateral</v>
      </c>
      <c r="Y179" s="83">
        <f>DATA!AA178</f>
        <v>40000000</v>
      </c>
      <c r="Z179" s="83">
        <f>DATA!AG178</f>
        <v>0</v>
      </c>
      <c r="AA179" s="42" t="str">
        <f>DATA!AH178</f>
        <v>Tanpa keterangan</v>
      </c>
      <c r="AB179" s="67" t="str">
        <f>DATA!AI178</f>
        <v>Penyusunan R/C</v>
      </c>
      <c r="AC179" s="67" t="str">
        <f>DATA!AJ178</f>
        <v>- Sudah ada Master Plan</v>
      </c>
      <c r="AD179" s="115">
        <f>DATA!AK178</f>
        <v>1</v>
      </c>
      <c r="AE179" s="67" t="str">
        <f>DATA!AL178</f>
        <v>-</v>
      </c>
      <c r="AF179" s="42" t="str">
        <f>DATA!AR178</f>
        <v>-</v>
      </c>
      <c r="AG179" s="42" t="str">
        <f>DATA!AN178</f>
        <v>siap</v>
      </c>
      <c r="AH179" s="42" t="str">
        <f>DATA!AO178</f>
        <v>siap</v>
      </c>
      <c r="AI179" s="42" t="str">
        <f>DATA!AP178</f>
        <v>belum ada proses tender/lelang</v>
      </c>
      <c r="AJ179" s="42"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K179" s="42" t="e">
        <f>DATA!#REF!</f>
        <v>#REF!</v>
      </c>
      <c r="AL179" s="42">
        <f>DATA!AZ178</f>
        <v>0</v>
      </c>
      <c r="AM179" s="67"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row>
    <row r="180" spans="1:39" s="6" customFormat="1" ht="30.75" hidden="1" customHeight="1">
      <c r="A180" s="6">
        <f>DATA!A179</f>
        <v>123</v>
      </c>
      <c r="B180" s="6">
        <f>DATA!B179</f>
        <v>0</v>
      </c>
      <c r="C180" s="6" t="str">
        <f>DATA!D179</f>
        <v>NON-INFRASTRUKTUR</v>
      </c>
      <c r="D180" s="6">
        <f>DATA!E179</f>
        <v>9</v>
      </c>
      <c r="E180" s="6" t="str">
        <f>DATA!F179</f>
        <v>Kementerian Agama</v>
      </c>
      <c r="F180" s="6" t="str">
        <f>DATA!H179</f>
        <v>Improving Access, Quality, Relevance, and Competitiveness of Islamic Higher Education Program</v>
      </c>
      <c r="G180" s="6" t="str">
        <f>DATA!I179</f>
        <v>A</v>
      </c>
      <c r="H180" s="6" t="str">
        <f>DATA!J179</f>
        <v>Program Peningkatan Akses, Kualitas, Relevansi, dan Daya Saing Pendidikan Tinggi Islam</v>
      </c>
      <c r="I180" s="6">
        <f>DATA!K179</f>
        <v>1</v>
      </c>
      <c r="J180" s="38"/>
      <c r="K180" s="71"/>
      <c r="L180" s="71"/>
      <c r="M180" s="43"/>
      <c r="N180" s="67" t="str">
        <f>DATA!L179</f>
        <v xml:space="preserve">Development of Imam Bonjol State Islamic Institute Project </v>
      </c>
      <c r="O180" s="42">
        <f>DATA!Q179</f>
        <v>0.16666666666666666</v>
      </c>
      <c r="P180" s="42">
        <f>DATA!R179</f>
        <v>0</v>
      </c>
      <c r="Q180" s="42">
        <f>DATA!S179</f>
        <v>0</v>
      </c>
      <c r="R180" s="83">
        <f>DATA!T179</f>
        <v>38301400</v>
      </c>
      <c r="S180" s="83"/>
      <c r="T180" s="83">
        <f>DATA!V179</f>
        <v>4171400</v>
      </c>
      <c r="U180" s="83">
        <f>DATA!W179</f>
        <v>0</v>
      </c>
      <c r="V180" s="83">
        <f>DATA!X179</f>
        <v>42472800</v>
      </c>
      <c r="W180" s="84" t="str">
        <f>DATA!Y179</f>
        <v>IDB</v>
      </c>
      <c r="X180" s="42" t="str">
        <f>DATA!Z179</f>
        <v>Multilateral</v>
      </c>
      <c r="Y180" s="83">
        <f>DATA!AA179</f>
        <v>38310000</v>
      </c>
      <c r="Z180" s="83">
        <f>DATA!AG179</f>
        <v>0</v>
      </c>
      <c r="AA180" s="42" t="str">
        <f>DATA!AH179</f>
        <v>Tanpa keterangan</v>
      </c>
      <c r="AB180" s="67" t="str">
        <f>DATA!AI179</f>
        <v>Penyusunan R/C</v>
      </c>
      <c r="AC180" s="67" t="str">
        <f>DATA!AJ179</f>
        <v>Sedang merinci rencana kegiatan</v>
      </c>
      <c r="AD180" s="115">
        <f>DATA!AK179</f>
        <v>1</v>
      </c>
      <c r="AE180" s="67" t="str">
        <f>DATA!AL179</f>
        <v>-</v>
      </c>
      <c r="AF180" s="42" t="str">
        <f>DATA!AR179</f>
        <v>-</v>
      </c>
      <c r="AG180" s="42" t="str">
        <f>DATA!AN179</f>
        <v>siap</v>
      </c>
      <c r="AH180" s="42" t="str">
        <f>DATA!AO179</f>
        <v>siap</v>
      </c>
      <c r="AI180" s="42" t="str">
        <f>DATA!AP179</f>
        <v>belum ada proses tender/lelang</v>
      </c>
      <c r="AJ180" s="42" t="str">
        <f>DATA!AY179</f>
        <v>Surat Sekjen a/n Menteri Agama nomor SJ/B.I/1/KU.00.2/6260/2015 tanggal 17 September 2015</v>
      </c>
      <c r="AK180" s="42" t="e">
        <f>DATA!#REF!</f>
        <v>#REF!</v>
      </c>
      <c r="AL180" s="42">
        <f>DATA!AZ179</f>
        <v>0</v>
      </c>
      <c r="AM180" s="67" t="str">
        <f>DATA!BA179</f>
        <v>Pembangunan sarana dan prasarana perkuliahan,  Peningkatan kualitas SDM, pengembangan kurikulum</v>
      </c>
    </row>
    <row r="181" spans="1:39" s="4" customFormat="1" ht="24.95" hidden="1" customHeight="1">
      <c r="J181" s="107"/>
      <c r="K181" s="25">
        <f>DATA!E181</f>
        <v>10</v>
      </c>
      <c r="L181" s="108" t="str">
        <f>DATA!F181</f>
        <v>Kementerian PPN/Bappenas</v>
      </c>
      <c r="M181" s="25"/>
      <c r="N181" s="27"/>
      <c r="O181" s="26"/>
      <c r="P181" s="26"/>
      <c r="Q181" s="26"/>
      <c r="R181" s="80">
        <f>+R182</f>
        <v>300000000</v>
      </c>
      <c r="S181" s="80"/>
      <c r="T181" s="80">
        <f t="shared" ref="T181:Z182" si="21">+T182</f>
        <v>0</v>
      </c>
      <c r="U181" s="80">
        <f t="shared" si="21"/>
        <v>0</v>
      </c>
      <c r="V181" s="80">
        <f t="shared" si="21"/>
        <v>300000000</v>
      </c>
      <c r="W181" s="80"/>
      <c r="X181" s="80" t="str">
        <f t="shared" si="21"/>
        <v>Multilateral</v>
      </c>
      <c r="Y181" s="80">
        <f t="shared" si="21"/>
        <v>300000000</v>
      </c>
      <c r="Z181" s="80">
        <f t="shared" si="21"/>
        <v>0</v>
      </c>
      <c r="AA181" s="26"/>
      <c r="AB181" s="27"/>
      <c r="AC181" s="27"/>
      <c r="AD181" s="27"/>
      <c r="AE181" s="27"/>
      <c r="AF181" s="26"/>
      <c r="AG181" s="26"/>
      <c r="AH181" s="26"/>
      <c r="AI181" s="26"/>
      <c r="AJ181" s="26"/>
      <c r="AK181" s="26"/>
      <c r="AL181" s="26"/>
      <c r="AM181" s="27"/>
    </row>
    <row r="182" spans="1:39" s="5" customFormat="1" ht="33.75" hidden="1" customHeight="1">
      <c r="J182" s="28"/>
      <c r="K182" s="29"/>
      <c r="L182" s="30" t="str">
        <f>DATA!I181</f>
        <v>A</v>
      </c>
      <c r="M182" s="113" t="str">
        <f>DATA!J181</f>
        <v>Program Pengembangan Sumber Daya Aparatur  dalam Rangka Reformasi Birokrasi</v>
      </c>
      <c r="N182" s="51"/>
      <c r="O182" s="31"/>
      <c r="P182" s="31"/>
      <c r="Q182" s="31"/>
      <c r="R182" s="81">
        <f>+R183</f>
        <v>300000000</v>
      </c>
      <c r="S182" s="81"/>
      <c r="T182" s="81">
        <f t="shared" si="21"/>
        <v>0</v>
      </c>
      <c r="U182" s="81">
        <f t="shared" si="21"/>
        <v>0</v>
      </c>
      <c r="V182" s="81">
        <f t="shared" si="21"/>
        <v>300000000</v>
      </c>
      <c r="W182" s="81"/>
      <c r="X182" s="81" t="str">
        <f t="shared" si="21"/>
        <v>Multilateral</v>
      </c>
      <c r="Y182" s="81">
        <f t="shared" si="21"/>
        <v>300000000</v>
      </c>
      <c r="Z182" s="81">
        <f t="shared" si="21"/>
        <v>0</v>
      </c>
      <c r="AA182" s="31"/>
      <c r="AB182" s="32"/>
      <c r="AC182" s="32"/>
      <c r="AD182" s="32"/>
      <c r="AE182" s="32"/>
      <c r="AF182" s="31"/>
      <c r="AG182" s="31"/>
      <c r="AH182" s="31"/>
      <c r="AI182" s="31"/>
      <c r="AJ182" s="31"/>
      <c r="AK182" s="31"/>
      <c r="AL182" s="31"/>
      <c r="AM182" s="32"/>
    </row>
    <row r="183" spans="1:39" s="6" customFormat="1" ht="35.25" hidden="1" customHeight="1">
      <c r="A183" s="6">
        <f>DATA!A181</f>
        <v>129</v>
      </c>
      <c r="B183" s="6">
        <f>DATA!B181</f>
        <v>0</v>
      </c>
      <c r="C183" s="6" t="str">
        <f>DATA!D181</f>
        <v>NON-INFRASTRUKTUR</v>
      </c>
      <c r="D183" s="6">
        <f>DATA!E181</f>
        <v>10</v>
      </c>
      <c r="E183" s="6" t="str">
        <f>DATA!F181</f>
        <v>Kementerian PPN/Bappenas</v>
      </c>
      <c r="F183" s="6" t="str">
        <f>DATA!H181</f>
        <v>Human Resources Development for Bureaucracy Reform Program</v>
      </c>
      <c r="G183" s="6" t="str">
        <f>DATA!I181</f>
        <v>A</v>
      </c>
      <c r="H183" s="6" t="str">
        <f>DATA!J181</f>
        <v>Program Pengembangan Sumber Daya Aparatur  dalam Rangka Reformasi Birokrasi</v>
      </c>
      <c r="I183" s="6">
        <f>DATA!K181</f>
        <v>1</v>
      </c>
      <c r="J183" s="38"/>
      <c r="K183" s="71"/>
      <c r="L183" s="39"/>
      <c r="M183" s="38">
        <f>DATA!K181</f>
        <v>1</v>
      </c>
      <c r="N183" s="67" t="str">
        <f>DATA!L181</f>
        <v>Development of Capacity, Quality, and Competency of Human Resources for Government Officer</v>
      </c>
      <c r="O183" s="42">
        <f>DATA!Q181</f>
        <v>1</v>
      </c>
      <c r="P183" s="42">
        <f>DATA!R181</f>
        <v>1</v>
      </c>
      <c r="Q183" s="42">
        <f>DATA!S181</f>
        <v>103</v>
      </c>
      <c r="R183" s="83">
        <f>DATA!T181</f>
        <v>300000000</v>
      </c>
      <c r="S183" s="83"/>
      <c r="T183" s="83">
        <f>DATA!V181</f>
        <v>0</v>
      </c>
      <c r="U183" s="83">
        <f>DATA!W181</f>
        <v>0</v>
      </c>
      <c r="V183" s="83">
        <f>DATA!X181</f>
        <v>300000000</v>
      </c>
      <c r="W183" s="84" t="str">
        <f>DATA!Y181</f>
        <v>Bank Dunia</v>
      </c>
      <c r="X183" s="42" t="str">
        <f>DATA!Z181</f>
        <v>Multilateral</v>
      </c>
      <c r="Y183" s="83">
        <f>DATA!AA181</f>
        <v>300000000</v>
      </c>
      <c r="Z183" s="83">
        <f>DATA!AG181</f>
        <v>0</v>
      </c>
      <c r="AA183" s="42" t="str">
        <f>DATA!AH181</f>
        <v>Tanpa keterangan</v>
      </c>
      <c r="AB183" s="67" t="str">
        <f>DATA!AI181</f>
        <v>Penyusunan R/C</v>
      </c>
      <c r="AC183" s="67" t="str">
        <f>DATA!AJ181</f>
        <v>Sedang evaluasi SPIRIT tahap sebelumnya</v>
      </c>
      <c r="AD183" s="67" t="str">
        <f>DATA!AK181</f>
        <v>Tidak membutuhkan lahan</v>
      </c>
      <c r="AE183" s="67" t="str">
        <f>DATA!AL181</f>
        <v>-</v>
      </c>
      <c r="AF183" s="42" t="str">
        <f>DATA!AR181</f>
        <v>belum ada dokumen R/C</v>
      </c>
      <c r="AG183" s="42" t="str">
        <f>DATA!AN181</f>
        <v>dalam proses
(penyusunan FS)</v>
      </c>
      <c r="AH183" s="42" t="str">
        <f>DATA!AO181</f>
        <v>tidak butuh lahan</v>
      </c>
      <c r="AI183" s="42" t="str">
        <f>DATA!AP181</f>
        <v>belum ada proses tender/lelang</v>
      </c>
      <c r="AJ183" s="42" t="str">
        <f>DATA!AY181</f>
        <v>Surat Sesmen PPN/Sestama Bappenas nomor 5877/SES/09/2015 tgl 14 September 2015</v>
      </c>
      <c r="AK183" s="42" t="e">
        <f>DATA!#REF!</f>
        <v>#REF!</v>
      </c>
      <c r="AL183" s="42" t="str">
        <f>DATA!AZ181</f>
        <v>Diusulkan untuk masuk GB 2016</v>
      </c>
      <c r="AM183" s="67" t="str">
        <f>DATA!BA181</f>
        <v>Menghasilkan sekitar 2.109 lulusan gelar dan non gelar</v>
      </c>
    </row>
    <row r="184" spans="1:39" s="4" customFormat="1" ht="24.95" hidden="1" customHeight="1">
      <c r="J184" s="107"/>
      <c r="K184" s="25">
        <f>DATA!E182</f>
        <v>11</v>
      </c>
      <c r="L184" s="108" t="str">
        <f>DATA!F182</f>
        <v>Kementerian Kesehatan</v>
      </c>
      <c r="M184" s="25"/>
      <c r="N184" s="27"/>
      <c r="O184" s="26"/>
      <c r="P184" s="26"/>
      <c r="Q184" s="26"/>
      <c r="R184" s="80">
        <f>+R185+R187+R189+R191</f>
        <v>1746000000</v>
      </c>
      <c r="S184" s="80"/>
      <c r="T184" s="80">
        <f t="shared" ref="T184:Z184" si="22">+T185+T187+T189+T191</f>
        <v>174600000</v>
      </c>
      <c r="U184" s="80">
        <f t="shared" si="22"/>
        <v>0</v>
      </c>
      <c r="V184" s="80">
        <f t="shared" si="22"/>
        <v>1920600000</v>
      </c>
      <c r="W184" s="80"/>
      <c r="X184" s="80" t="e">
        <f t="shared" si="22"/>
        <v>#VALUE!</v>
      </c>
      <c r="Y184" s="80">
        <f t="shared" si="22"/>
        <v>1746000000</v>
      </c>
      <c r="Z184" s="80">
        <f t="shared" si="22"/>
        <v>-755600000</v>
      </c>
      <c r="AA184" s="26"/>
      <c r="AB184" s="27"/>
      <c r="AC184" s="27"/>
      <c r="AD184" s="27"/>
      <c r="AE184" s="27"/>
      <c r="AF184" s="26"/>
      <c r="AG184" s="26"/>
      <c r="AH184" s="26"/>
      <c r="AI184" s="26"/>
      <c r="AJ184" s="26"/>
      <c r="AK184" s="26"/>
      <c r="AL184" s="26"/>
      <c r="AM184" s="27"/>
    </row>
    <row r="185" spans="1:39" s="5" customFormat="1" ht="33.75" hidden="1" customHeight="1">
      <c r="J185" s="28"/>
      <c r="K185" s="29"/>
      <c r="L185" s="30" t="str">
        <f>DATA!I181</f>
        <v>A</v>
      </c>
      <c r="M185" s="31" t="str">
        <f>DATA!J182</f>
        <v>Program Pelayanan Kesehatan Dasar</v>
      </c>
      <c r="N185" s="51"/>
      <c r="O185" s="31"/>
      <c r="P185" s="31"/>
      <c r="Q185" s="31"/>
      <c r="R185" s="81">
        <f>+R186</f>
        <v>150000000</v>
      </c>
      <c r="S185" s="81"/>
      <c r="T185" s="81">
        <f>+T186</f>
        <v>15000000</v>
      </c>
      <c r="U185" s="81">
        <f>+U186</f>
        <v>0</v>
      </c>
      <c r="V185" s="81">
        <f>+V186</f>
        <v>165000000</v>
      </c>
      <c r="W185" s="81"/>
      <c r="X185" s="81" t="str">
        <f>+X186</f>
        <v>Multilateral</v>
      </c>
      <c r="Y185" s="81">
        <f>+Y186</f>
        <v>150000000</v>
      </c>
      <c r="Z185" s="81">
        <f>+Z186</f>
        <v>0</v>
      </c>
      <c r="AA185" s="31"/>
      <c r="AB185" s="32"/>
      <c r="AC185" s="32"/>
      <c r="AD185" s="32"/>
      <c r="AE185" s="32"/>
      <c r="AF185" s="31"/>
      <c r="AG185" s="31"/>
      <c r="AH185" s="31"/>
      <c r="AI185" s="31"/>
      <c r="AJ185" s="31"/>
      <c r="AK185" s="31"/>
      <c r="AL185" s="31"/>
      <c r="AM185" s="32"/>
    </row>
    <row r="186" spans="1:39" ht="75.75" hidden="1" customHeight="1">
      <c r="A186" s="10">
        <f>DATA!A182</f>
        <v>130</v>
      </c>
      <c r="B186" s="10">
        <f>DATA!B182</f>
        <v>0</v>
      </c>
      <c r="C186" s="10" t="str">
        <f>DATA!D182</f>
        <v>NON-INFRASTRUKTUR</v>
      </c>
      <c r="D186" s="10">
        <f>DATA!E182</f>
        <v>11</v>
      </c>
      <c r="E186" s="10" t="str">
        <f>DATA!F182</f>
        <v>Kementerian Kesehatan</v>
      </c>
      <c r="F186" s="10" t="str">
        <f>DATA!H182</f>
        <v>Basic Health Care Program</v>
      </c>
      <c r="G186" s="10" t="str">
        <f>DATA!I182</f>
        <v>A</v>
      </c>
      <c r="H186" s="10" t="str">
        <f>DATA!J182</f>
        <v>Program Pelayanan Kesehatan Dasar</v>
      </c>
      <c r="I186" s="10">
        <f>DATA!K182</f>
        <v>1</v>
      </c>
      <c r="J186" s="33"/>
      <c r="K186" s="34"/>
      <c r="L186" s="54"/>
      <c r="M186" s="52">
        <f>DATA!K182</f>
        <v>1</v>
      </c>
      <c r="N186" s="37" t="str">
        <f>DATA!L182</f>
        <v>Improvement of Primary Health Care</v>
      </c>
      <c r="O186" s="20">
        <f>DATA!Q182</f>
        <v>1</v>
      </c>
      <c r="P186" s="20">
        <f>DATA!R182</f>
        <v>1</v>
      </c>
      <c r="Q186" s="20">
        <f>DATA!S182</f>
        <v>104</v>
      </c>
      <c r="R186" s="77">
        <f>DATA!T182</f>
        <v>150000000</v>
      </c>
      <c r="S186" s="77"/>
      <c r="T186" s="77">
        <f>DATA!V182</f>
        <v>15000000</v>
      </c>
      <c r="U186" s="77">
        <f>DATA!W182</f>
        <v>0</v>
      </c>
      <c r="V186" s="77">
        <f>DATA!X182</f>
        <v>165000000</v>
      </c>
      <c r="W186" s="78" t="str">
        <f>DATA!Y182</f>
        <v>Bank Dunia</v>
      </c>
      <c r="X186" s="20" t="str">
        <f>DATA!Z182</f>
        <v>Multilateral</v>
      </c>
      <c r="Y186" s="77">
        <f>DATA!AA182</f>
        <v>150000000</v>
      </c>
      <c r="Z186" s="77">
        <f>DATA!AG182</f>
        <v>0</v>
      </c>
      <c r="AA186" s="20" t="str">
        <f>DATA!AH182</f>
        <v>Tanpa keterangan</v>
      </c>
      <c r="AB186" s="37" t="str">
        <f>DATA!AI182</f>
        <v>-</v>
      </c>
      <c r="AC186" s="37" t="str">
        <f>DATA!AJ182</f>
        <v>-</v>
      </c>
      <c r="AD186" s="37" t="str">
        <f>DATA!AK182</f>
        <v>Tidak dibutuhkan lahan</v>
      </c>
      <c r="AE186" s="37" t="str">
        <f>DATA!AL182</f>
        <v>-</v>
      </c>
      <c r="AF186" s="20" t="str">
        <f>DATA!AR182</f>
        <v>belum ada dokumen R/C</v>
      </c>
      <c r="AG186" s="20" t="str">
        <f>DATA!AN182</f>
        <v>belum ada keterangan</v>
      </c>
      <c r="AH186" s="20" t="str">
        <f>DATA!AO182</f>
        <v>tidak butuh lahan</v>
      </c>
      <c r="AI186" s="20" t="str">
        <f>DATA!AP182</f>
        <v>belum ada proses tender/lelang</v>
      </c>
      <c r="AJ186" s="20" t="str">
        <f>DATA!AY182</f>
        <v>Surat Sekjen nomor PR.02.03/I/1814/2015 tanggal 9 September 2015</v>
      </c>
      <c r="AK186" s="20" t="e">
        <f>DATA!#REF!</f>
        <v>#REF!</v>
      </c>
      <c r="AL186" s="20">
        <f>DATA!AZ182</f>
        <v>0</v>
      </c>
      <c r="AM186" s="37" t="str">
        <f>DATA!BA182</f>
        <v>Kegiatan akreditasi pusat kesehatan, pengembangan sistem informasi kesehatan, pemenuhan kebutuhan pelayanan kesehatan pada daerah perbatasan, dan memfasilitasi hubungan pusat kesehatan dengan unit transfusi darah</v>
      </c>
    </row>
    <row r="187" spans="1:39" s="5" customFormat="1" ht="33.75" hidden="1" customHeight="1">
      <c r="J187" s="28"/>
      <c r="K187" s="50"/>
      <c r="L187" s="30" t="str">
        <f>DATA!I183</f>
        <v>B</v>
      </c>
      <c r="M187" s="31" t="str">
        <f>DATA!J183</f>
        <v>Program Pengembangan Sumber Daya Manusia Kesehatan</v>
      </c>
      <c r="N187" s="51"/>
      <c r="O187" s="31"/>
      <c r="P187" s="31"/>
      <c r="Q187" s="31"/>
      <c r="R187" s="81">
        <f>+R188</f>
        <v>240000000</v>
      </c>
      <c r="S187" s="81"/>
      <c r="T187" s="81">
        <f t="shared" ref="T187:Z187" si="23">+T188</f>
        <v>24000000</v>
      </c>
      <c r="U187" s="81">
        <f t="shared" si="23"/>
        <v>0</v>
      </c>
      <c r="V187" s="81">
        <f t="shared" si="23"/>
        <v>264000000</v>
      </c>
      <c r="W187" s="81"/>
      <c r="X187" s="81" t="str">
        <f t="shared" si="23"/>
        <v>Multilateral</v>
      </c>
      <c r="Y187" s="81">
        <f t="shared" si="23"/>
        <v>240000000</v>
      </c>
      <c r="Z187" s="81">
        <f t="shared" si="23"/>
        <v>0</v>
      </c>
      <c r="AA187" s="31"/>
      <c r="AB187" s="32"/>
      <c r="AC187" s="32"/>
      <c r="AD187" s="32"/>
      <c r="AE187" s="32"/>
      <c r="AF187" s="31"/>
      <c r="AG187" s="31"/>
      <c r="AH187" s="31"/>
      <c r="AI187" s="31"/>
      <c r="AJ187" s="31"/>
      <c r="AK187" s="31"/>
      <c r="AL187" s="31"/>
      <c r="AM187" s="32"/>
    </row>
    <row r="188" spans="1:39" ht="46.5" hidden="1" customHeight="1">
      <c r="A188" s="10">
        <f>DATA!A183</f>
        <v>131</v>
      </c>
      <c r="B188" s="10">
        <f>DATA!B183</f>
        <v>0</v>
      </c>
      <c r="C188" s="10" t="str">
        <f>DATA!D183</f>
        <v>NON-INFRASTRUKTUR</v>
      </c>
      <c r="D188" s="10">
        <f>DATA!E183</f>
        <v>11</v>
      </c>
      <c r="E188" s="10" t="str">
        <f>DATA!F183</f>
        <v>Kementerian Kesehatan</v>
      </c>
      <c r="F188" s="10" t="str">
        <f>DATA!H183</f>
        <v>Program for Human Resources Development in Health Sector</v>
      </c>
      <c r="G188" s="10" t="str">
        <f>DATA!I183</f>
        <v>B</v>
      </c>
      <c r="H188" s="10" t="str">
        <f>DATA!J183</f>
        <v>Program Pengembangan Sumber Daya Manusia Kesehatan</v>
      </c>
      <c r="I188" s="10">
        <f>DATA!K183</f>
        <v>1</v>
      </c>
      <c r="J188" s="33"/>
      <c r="K188" s="34"/>
      <c r="L188" s="20"/>
      <c r="M188" s="36">
        <f>DATA!K183</f>
        <v>1</v>
      </c>
      <c r="N188" s="37" t="str">
        <f>DATA!L183</f>
        <v>Improvement of Facilities and Infrastructure for Teaching and Learning Activities in Health Sector</v>
      </c>
      <c r="O188" s="20">
        <f>DATA!Q183</f>
        <v>1</v>
      </c>
      <c r="P188" s="20">
        <f>DATA!R183</f>
        <v>1</v>
      </c>
      <c r="Q188" s="20">
        <f>DATA!S183</f>
        <v>105</v>
      </c>
      <c r="R188" s="77">
        <f>DATA!T183</f>
        <v>240000000</v>
      </c>
      <c r="S188" s="77"/>
      <c r="T188" s="77">
        <f>DATA!V183</f>
        <v>24000000</v>
      </c>
      <c r="U188" s="77">
        <f>DATA!W183</f>
        <v>0</v>
      </c>
      <c r="V188" s="77">
        <f>DATA!X183</f>
        <v>264000000</v>
      </c>
      <c r="W188" s="78" t="str">
        <f>DATA!Y183</f>
        <v>IDB</v>
      </c>
      <c r="X188" s="20" t="str">
        <f>DATA!Z183</f>
        <v>Multilateral</v>
      </c>
      <c r="Y188" s="77">
        <f>DATA!AA183</f>
        <v>240000000</v>
      </c>
      <c r="Z188" s="77">
        <f>DATA!AG183</f>
        <v>0</v>
      </c>
      <c r="AA188" s="20" t="str">
        <f>DATA!AH183</f>
        <v>Tanpa keterangan</v>
      </c>
      <c r="AB188" s="37" t="str">
        <f>DATA!AI183</f>
        <v>Penyusunan R/C</v>
      </c>
      <c r="AC188" s="37" t="str">
        <f>DATA!AJ183</f>
        <v>FS. DED</v>
      </c>
      <c r="AD188" s="114">
        <f>DATA!AK183</f>
        <v>1</v>
      </c>
      <c r="AE188" s="37" t="str">
        <f>DATA!AL183</f>
        <v>Belum ada lelang/tender</v>
      </c>
      <c r="AF188" s="20">
        <f>DATA!AM183</f>
        <v>0</v>
      </c>
      <c r="AG188" s="20" t="str">
        <f>DATA!AN183</f>
        <v>dalam proses
(memiliki FS dan DED)</v>
      </c>
      <c r="AH188" s="20" t="str">
        <f>DATA!AO183</f>
        <v>siap</v>
      </c>
      <c r="AI188" s="20" t="str">
        <f>DATA!AP183</f>
        <v>belum ada proses tender/lelang</v>
      </c>
      <c r="AJ188" s="20" t="str">
        <f>DATA!AY183</f>
        <v>- Pelaksanaan tahun 2017
- Surat Sekjen nomor PR.02.03/I/1814/2015 tanggal 9 September 2015</v>
      </c>
      <c r="AK188" s="20" t="e">
        <f>DATA!#REF!</f>
        <v>#REF!</v>
      </c>
      <c r="AL188" s="20">
        <f>DATA!AZ183</f>
        <v>0</v>
      </c>
      <c r="AM188" s="37" t="str">
        <f>DATA!BA183</f>
        <v>'Peningkatan infrastruktur Poltekkes, BPPK, Bapelkes dan UPT</v>
      </c>
    </row>
    <row r="189" spans="1:39" s="5" customFormat="1" ht="33.75" hidden="1" customHeight="1">
      <c r="J189" s="28"/>
      <c r="K189" s="50"/>
      <c r="L189" s="30" t="str">
        <f>DATA!I184</f>
        <v>C</v>
      </c>
      <c r="M189" s="31" t="str">
        <f>DATA!J184</f>
        <v>Program Pengendalian Penyakit, Penyehatan Lingkungan, dan Penguatan Litbang Kesehatan</v>
      </c>
      <c r="N189" s="51"/>
      <c r="O189" s="31"/>
      <c r="P189" s="31"/>
      <c r="Q189" s="31"/>
      <c r="R189" s="81">
        <f>+R190</f>
        <v>100400000</v>
      </c>
      <c r="S189" s="81"/>
      <c r="T189" s="81">
        <f t="shared" ref="T189:Z189" si="24">+T190</f>
        <v>10040000</v>
      </c>
      <c r="U189" s="81">
        <f t="shared" si="24"/>
        <v>0</v>
      </c>
      <c r="V189" s="81">
        <f t="shared" si="24"/>
        <v>110440000</v>
      </c>
      <c r="W189" s="81"/>
      <c r="X189" s="81" t="str">
        <f t="shared" si="24"/>
        <v>Bilateral</v>
      </c>
      <c r="Y189" s="81">
        <f t="shared" si="24"/>
        <v>100400000</v>
      </c>
      <c r="Z189" s="81">
        <f t="shared" si="24"/>
        <v>0</v>
      </c>
      <c r="AA189" s="31"/>
      <c r="AB189" s="32"/>
      <c r="AC189" s="32"/>
      <c r="AD189" s="32"/>
      <c r="AE189" s="32"/>
      <c r="AF189" s="31"/>
      <c r="AG189" s="31"/>
      <c r="AH189" s="31"/>
      <c r="AI189" s="31"/>
      <c r="AJ189" s="31"/>
      <c r="AK189" s="31"/>
      <c r="AL189" s="31"/>
      <c r="AM189" s="32"/>
    </row>
    <row r="190" spans="1:39" ht="74.25" hidden="1" customHeight="1">
      <c r="A190" s="10">
        <f>DATA!A184</f>
        <v>132</v>
      </c>
      <c r="B190" s="10">
        <f>DATA!B184</f>
        <v>0</v>
      </c>
      <c r="C190" s="10" t="str">
        <f>DATA!D184</f>
        <v>NON-INFRASTRUKTUR</v>
      </c>
      <c r="D190" s="10">
        <f>DATA!E184</f>
        <v>11</v>
      </c>
      <c r="E190" s="10" t="str">
        <f>DATA!F184</f>
        <v>Kementerian Kesehatan</v>
      </c>
      <c r="F190" s="10" t="str">
        <f>DATA!H184</f>
        <v>Program for Disease Control, Environmental Health, and Strengthening Health Research and Development</v>
      </c>
      <c r="G190" s="10" t="str">
        <f>DATA!I184</f>
        <v>C</v>
      </c>
      <c r="H190" s="10" t="str">
        <f>DATA!J184</f>
        <v>Program Pengendalian Penyakit, Penyehatan Lingkungan, dan Penguatan Litbang Kesehatan</v>
      </c>
      <c r="I190" s="10">
        <f>DATA!K184</f>
        <v>1</v>
      </c>
      <c r="J190" s="33"/>
      <c r="K190" s="34"/>
      <c r="L190" s="20"/>
      <c r="M190" s="36">
        <f>DATA!K184</f>
        <v>1</v>
      </c>
      <c r="N190" s="37" t="str">
        <f>DATA!L184</f>
        <v>Improvement of Capacity on Disease Control, Environmental Health, and Strengthening Health’s Research and Development</v>
      </c>
      <c r="O190" s="20">
        <f>DATA!Q184</f>
        <v>1</v>
      </c>
      <c r="P190" s="20">
        <f>DATA!R184</f>
        <v>1</v>
      </c>
      <c r="Q190" s="20">
        <f>DATA!S184</f>
        <v>106</v>
      </c>
      <c r="R190" s="77">
        <f>DATA!T184</f>
        <v>100400000</v>
      </c>
      <c r="S190" s="77"/>
      <c r="T190" s="77">
        <f>DATA!V184</f>
        <v>10040000</v>
      </c>
      <c r="U190" s="77">
        <f>DATA!W184</f>
        <v>0</v>
      </c>
      <c r="V190" s="77">
        <f>DATA!X184</f>
        <v>110440000</v>
      </c>
      <c r="W190" s="78" t="str">
        <f>DATA!Y184</f>
        <v>Jerman (KfW)</v>
      </c>
      <c r="X190" s="20" t="str">
        <f>DATA!Z184</f>
        <v>Bilateral</v>
      </c>
      <c r="Y190" s="77">
        <f>DATA!AA184</f>
        <v>100400000</v>
      </c>
      <c r="Z190" s="77">
        <f>DATA!AG184</f>
        <v>0</v>
      </c>
      <c r="AA190" s="20" t="str">
        <f>DATA!AH184</f>
        <v>Tanpa keterangan</v>
      </c>
      <c r="AB190" s="37" t="str">
        <f>DATA!AI184</f>
        <v>Penyusunan R/C</v>
      </c>
      <c r="AC190" s="37" t="str">
        <f>DATA!AJ184</f>
        <v>Belum ada DED &amp; AMDAL</v>
      </c>
      <c r="AD190" s="114">
        <f>DATA!AK184</f>
        <v>0.5</v>
      </c>
      <c r="AE190" s="37" t="str">
        <f>DATA!AL184</f>
        <v>Belum ada lelang/tender</v>
      </c>
      <c r="AF190" s="20">
        <f>DATA!AM184</f>
        <v>0</v>
      </c>
      <c r="AG190" s="20" t="str">
        <f>DATA!AN184</f>
        <v>dalam proses
(memiliki)</v>
      </c>
      <c r="AH190" s="20" t="str">
        <f>DATA!AO184</f>
        <v>dalam proses
(pelaksanaan)</v>
      </c>
      <c r="AI190" s="20" t="str">
        <f>DATA!AP184</f>
        <v>belum ada proses tender/lelang</v>
      </c>
      <c r="AJ190" s="20" t="str">
        <f>DATA!AY184</f>
        <v>- Tahap perencanaan selesai tahun 2016, tahap penyiapan dilakukan setelah tahap perencanaan selesai.Pelaksanaan diusulkan mulai tahun 2017.
- Surat Sekjen nomor PR.02.03/I/1814/2015 tanggal 9 September 2015</v>
      </c>
      <c r="AK190" s="20" t="e">
        <f>DATA!#REF!</f>
        <v>#REF!</v>
      </c>
      <c r="AL190" s="20">
        <f>DATA!AZ184</f>
        <v>0</v>
      </c>
      <c r="AM190" s="37" t="str">
        <f>DATA!BA184</f>
        <v>Penguatan lembaga penelitian dan pengembangan kesehatan, melengkapi fasilitas laboratorium untuk mendukung deteksi dan penelitian macam-macam virus dan bakteri, peningkatan kesadaran masyarakat terhadap kesehatan dan Peningkatan SDM kesehatan</v>
      </c>
    </row>
    <row r="191" spans="1:39" s="5" customFormat="1" ht="33.75" hidden="1" customHeight="1">
      <c r="J191" s="28"/>
      <c r="K191" s="50"/>
      <c r="L191" s="30" t="str">
        <f>DATA!I185</f>
        <v>D</v>
      </c>
      <c r="M191" s="31" t="str">
        <f>DATA!J185</f>
        <v>Program Pelayanan Kesehatan Rujukan</v>
      </c>
      <c r="N191" s="51"/>
      <c r="O191" s="31"/>
      <c r="P191" s="31"/>
      <c r="Q191" s="31"/>
      <c r="R191" s="81">
        <f>+R192</f>
        <v>1255600000</v>
      </c>
      <c r="S191" s="81"/>
      <c r="T191" s="81">
        <f t="shared" ref="T191:Z191" si="25">+T192</f>
        <v>125560000</v>
      </c>
      <c r="U191" s="81">
        <f t="shared" si="25"/>
        <v>0</v>
      </c>
      <c r="V191" s="81">
        <f t="shared" si="25"/>
        <v>1381160000</v>
      </c>
      <c r="W191" s="81"/>
      <c r="X191" s="81">
        <f t="shared" si="25"/>
        <v>0</v>
      </c>
      <c r="Y191" s="81">
        <f t="shared" si="25"/>
        <v>1255600000</v>
      </c>
      <c r="Z191" s="81">
        <f t="shared" si="25"/>
        <v>-755600000</v>
      </c>
      <c r="AA191" s="31"/>
      <c r="AB191" s="32"/>
      <c r="AC191" s="32"/>
      <c r="AD191" s="32"/>
      <c r="AE191" s="32"/>
      <c r="AF191" s="31"/>
      <c r="AG191" s="31"/>
      <c r="AH191" s="31"/>
      <c r="AI191" s="31"/>
      <c r="AJ191" s="31"/>
      <c r="AK191" s="31"/>
      <c r="AL191" s="31"/>
      <c r="AM191" s="32"/>
    </row>
    <row r="192" spans="1:39" ht="38.25" hidden="1">
      <c r="A192" s="10">
        <f>DATA!A185</f>
        <v>133</v>
      </c>
      <c r="B192" s="10">
        <f>DATA!B185</f>
        <v>0</v>
      </c>
      <c r="C192" s="10" t="str">
        <f>DATA!D185</f>
        <v>NON-INFRASTRUKTUR</v>
      </c>
      <c r="D192" s="10">
        <f>DATA!E185</f>
        <v>11</v>
      </c>
      <c r="E192" s="10" t="str">
        <f>DATA!F185</f>
        <v>Kementerian Kesehatan</v>
      </c>
      <c r="F192" s="10" t="str">
        <f>DATA!H185</f>
        <v>Referral Health Services Program</v>
      </c>
      <c r="G192" s="10" t="str">
        <f>DATA!I185</f>
        <v>D</v>
      </c>
      <c r="H192" s="10" t="str">
        <f>DATA!J185</f>
        <v>Program Pelayanan Kesehatan Rujukan</v>
      </c>
      <c r="I192" s="10">
        <f>DATA!K185</f>
        <v>1</v>
      </c>
      <c r="J192" s="33"/>
      <c r="K192" s="34"/>
      <c r="L192" s="35"/>
      <c r="M192" s="36">
        <f>DATA!K185</f>
        <v>1</v>
      </c>
      <c r="N192" s="37" t="str">
        <f>DATA!L185</f>
        <v>Strengthening of National Referral Hospitals, Province Referral Hospital and Vertical Technical Units</v>
      </c>
      <c r="O192" s="20">
        <f>DATA!Q185</f>
        <v>0</v>
      </c>
      <c r="P192" s="20">
        <f>DATA!R185</f>
        <v>1</v>
      </c>
      <c r="Q192" s="20">
        <f>DATA!S185</f>
        <v>107</v>
      </c>
      <c r="R192" s="77">
        <f>DATA!T185</f>
        <v>1255600000</v>
      </c>
      <c r="S192" s="77"/>
      <c r="T192" s="77">
        <f>DATA!V185</f>
        <v>125560000</v>
      </c>
      <c r="U192" s="77">
        <f>DATA!W185</f>
        <v>0</v>
      </c>
      <c r="V192" s="77">
        <f>DATA!X185</f>
        <v>1381160000</v>
      </c>
      <c r="W192" s="78" t="str">
        <f>DATA!Y185</f>
        <v>-</v>
      </c>
      <c r="X192" s="20">
        <f>DATA!Z185</f>
        <v>0</v>
      </c>
      <c r="Y192" s="77">
        <f>DATA!AA185</f>
        <v>1255600000</v>
      </c>
      <c r="Z192" s="77">
        <f>DATA!AG185</f>
        <v>-755600000</v>
      </c>
      <c r="AA192" s="20" t="str">
        <f>DATA!AH185</f>
        <v>-</v>
      </c>
      <c r="AB192" s="37" t="str">
        <f>DATA!AI185</f>
        <v>-</v>
      </c>
      <c r="AC192" s="37" t="str">
        <f>DATA!AJ185</f>
        <v>-</v>
      </c>
      <c r="AD192" s="37" t="str">
        <f>DATA!AK185</f>
        <v>-</v>
      </c>
      <c r="AE192" s="37" t="str">
        <f>DATA!AL185</f>
        <v>-</v>
      </c>
      <c r="AF192" s="20" t="str">
        <f>DATA!AM185</f>
        <v>-</v>
      </c>
      <c r="AG192" s="20" t="str">
        <f>DATA!AN185</f>
        <v>-</v>
      </c>
      <c r="AH192" s="20" t="str">
        <f>DATA!AO185</f>
        <v>-</v>
      </c>
      <c r="AI192" s="20" t="str">
        <f>DATA!AP185</f>
        <v>-</v>
      </c>
      <c r="AJ192" s="20" t="str">
        <f>DATA!AY185</f>
        <v>-</v>
      </c>
      <c r="AK192" s="20" t="e">
        <f>DATA!#REF!</f>
        <v>#REF!</v>
      </c>
      <c r="AL192" s="20" t="str">
        <f>DATA!AZ185</f>
        <v>-</v>
      </c>
      <c r="AM192" s="37" t="str">
        <f>DATA!BA185</f>
        <v>-</v>
      </c>
    </row>
    <row r="193" spans="1:39" s="6" customFormat="1" ht="63.75" hidden="1" customHeight="1">
      <c r="A193" s="6">
        <f>DATA!A186</f>
        <v>133</v>
      </c>
      <c r="B193" s="6">
        <f>DATA!B186</f>
        <v>0</v>
      </c>
      <c r="C193" s="6" t="str">
        <f>DATA!D186</f>
        <v>NON-INFRASTRUKTUR</v>
      </c>
      <c r="D193" s="6">
        <f>DATA!E186</f>
        <v>11</v>
      </c>
      <c r="E193" s="6" t="str">
        <f>DATA!F186</f>
        <v>Kementerian Kesehatan</v>
      </c>
      <c r="F193" s="6" t="str">
        <f>DATA!H186</f>
        <v>Referral Health Services Program</v>
      </c>
      <c r="G193" s="6" t="str">
        <f>DATA!I186</f>
        <v>D</v>
      </c>
      <c r="H193" s="6" t="str">
        <f>DATA!J186</f>
        <v>Program Pelayanan Kesehatan Rujukan</v>
      </c>
      <c r="I193" s="6">
        <f>DATA!K186</f>
        <v>1</v>
      </c>
      <c r="J193" s="38"/>
      <c r="K193" s="39"/>
      <c r="L193" s="39"/>
      <c r="M193" s="40"/>
      <c r="N193" s="67" t="str">
        <f>DATA!L186</f>
        <v>Strengthening of National Referral Hospitals, Province Referral Hospital and Vertical Technical Units</v>
      </c>
      <c r="O193" s="42">
        <f>DATA!Q186</f>
        <v>0.33333333333333331</v>
      </c>
      <c r="P193" s="42">
        <f>DATA!R186</f>
        <v>0</v>
      </c>
      <c r="Q193" s="42">
        <f>DATA!S186</f>
        <v>0</v>
      </c>
      <c r="R193" s="83">
        <f>DATA!T186</f>
        <v>0</v>
      </c>
      <c r="S193" s="83"/>
      <c r="T193" s="83">
        <f>DATA!V186</f>
        <v>0</v>
      </c>
      <c r="U193" s="83">
        <f>DATA!W186</f>
        <v>0</v>
      </c>
      <c r="V193" s="83">
        <f>DATA!X186</f>
        <v>0</v>
      </c>
      <c r="W193" s="84" t="str">
        <f>DATA!Y186</f>
        <v>IDB</v>
      </c>
      <c r="X193" s="42" t="str">
        <f>DATA!Z186</f>
        <v>Multilateral</v>
      </c>
      <c r="Y193" s="83">
        <f>DATA!AA186</f>
        <v>250000000</v>
      </c>
      <c r="Z193" s="83">
        <f>DATA!AG186</f>
        <v>0</v>
      </c>
      <c r="AA193" s="42" t="str">
        <f>DATA!AH186</f>
        <v>Tanpa keterangan</v>
      </c>
      <c r="AB193" s="67" t="str">
        <f>DATA!AI186</f>
        <v>-</v>
      </c>
      <c r="AC193" s="67" t="str">
        <f>DATA!AJ186</f>
        <v>-</v>
      </c>
      <c r="AD193" s="124" t="str">
        <f>DATA!AK186</f>
        <v>-</v>
      </c>
      <c r="AE193" s="67" t="str">
        <f>DATA!AL186</f>
        <v>-</v>
      </c>
      <c r="AF193" s="42">
        <f>DATA!AM186</f>
        <v>0</v>
      </c>
      <c r="AG193" s="42" t="str">
        <f>DATA!AN186</f>
        <v>belum ada keterangan</v>
      </c>
      <c r="AH193" s="42" t="str">
        <f>DATA!AO186</f>
        <v>belum ada keterangan</v>
      </c>
      <c r="AI193" s="42" t="str">
        <f>DATA!AP186</f>
        <v>belum ada proses tender/lelang</v>
      </c>
      <c r="AJ193" s="42" t="str">
        <f>DATA!AY186</f>
        <v>- (tidak ada data)
- Surat Sekjen nomor PR.02.03/I/1814/2015 tanggal 9 September 2015</v>
      </c>
      <c r="AK193" s="42" t="e">
        <f>DATA!#REF!</f>
        <v>#REF!</v>
      </c>
      <c r="AL193" s="42">
        <f>DATA!AZ186</f>
        <v>0</v>
      </c>
      <c r="AM193" s="67" t="str">
        <f>DATA!BA186</f>
        <v>Meningkatkan sarana dan prasarana di 14 rumah sakit pusat rujukan nasional, 20 rumah sakit rujukan provinsi dan 39 UPT (unit pelaksana teknis) vertikal sebagai pusat rujukan tersier</v>
      </c>
    </row>
    <row r="194" spans="1:39" s="6" customFormat="1" ht="63.75" hidden="1" customHeight="1">
      <c r="A194" s="6">
        <f>DATA!A187</f>
        <v>134</v>
      </c>
      <c r="B194" s="6">
        <f>DATA!B187</f>
        <v>0</v>
      </c>
      <c r="C194" s="6" t="str">
        <f>DATA!D187</f>
        <v>NON-INFRASTRUKTUR</v>
      </c>
      <c r="D194" s="6">
        <f>DATA!E187</f>
        <v>11</v>
      </c>
      <c r="E194" s="6" t="str">
        <f>DATA!F187</f>
        <v>Kementerian Kesehatan</v>
      </c>
      <c r="F194" s="6" t="str">
        <f>DATA!H187</f>
        <v>Referral Health Services Program</v>
      </c>
      <c r="G194" s="6" t="str">
        <f>DATA!I187</f>
        <v>D</v>
      </c>
      <c r="H194" s="6" t="str">
        <f>DATA!J187</f>
        <v>Program Pelayanan Kesehatan Rujukan</v>
      </c>
      <c r="I194" s="6">
        <f>DATA!K187</f>
        <v>1</v>
      </c>
      <c r="J194" s="38"/>
      <c r="K194" s="39"/>
      <c r="L194" s="39"/>
      <c r="M194" s="38"/>
      <c r="N194" s="67" t="str">
        <f>DATA!L187</f>
        <v>Strengthening of National Referral Hospitals, Province Referral Hospital and Vertical Technical Units</v>
      </c>
      <c r="O194" s="42">
        <f>DATA!Q187</f>
        <v>0.33333333333333331</v>
      </c>
      <c r="P194" s="42">
        <f>DATA!R187</f>
        <v>0</v>
      </c>
      <c r="Q194" s="42">
        <f>DATA!S187</f>
        <v>0</v>
      </c>
      <c r="R194" s="83">
        <f>DATA!T187</f>
        <v>0</v>
      </c>
      <c r="S194" s="83"/>
      <c r="T194" s="83">
        <f>DATA!V187</f>
        <v>0</v>
      </c>
      <c r="U194" s="83">
        <f>DATA!W187</f>
        <v>0</v>
      </c>
      <c r="V194" s="83">
        <f>DATA!X187</f>
        <v>0</v>
      </c>
      <c r="W194" s="84" t="str">
        <f>DATA!Y187</f>
        <v>Jerman (KfW)</v>
      </c>
      <c r="X194" s="42" t="str">
        <f>DATA!Z187</f>
        <v>Bilateral</v>
      </c>
      <c r="Y194" s="83">
        <f>DATA!AA187</f>
        <v>250000000</v>
      </c>
      <c r="Z194" s="83">
        <f>DATA!AG187</f>
        <v>0</v>
      </c>
      <c r="AA194" s="42" t="str">
        <f>DATA!AH187</f>
        <v>Tanpa keterangan</v>
      </c>
      <c r="AB194" s="67" t="str">
        <f>DATA!AI187</f>
        <v>-</v>
      </c>
      <c r="AC194" s="67" t="str">
        <f>DATA!AJ187</f>
        <v>-</v>
      </c>
      <c r="AD194" s="67" t="str">
        <f>DATA!AK187</f>
        <v>-</v>
      </c>
      <c r="AE194" s="67" t="str">
        <f>DATA!AL187</f>
        <v>-</v>
      </c>
      <c r="AF194" s="42">
        <f>DATA!AM187</f>
        <v>0</v>
      </c>
      <c r="AG194" s="42" t="str">
        <f>DATA!AN187</f>
        <v>belum ada keterangan</v>
      </c>
      <c r="AH194" s="42" t="str">
        <f>DATA!AO187</f>
        <v>belum ada keterangan</v>
      </c>
      <c r="AI194" s="42" t="str">
        <f>DATA!AP187</f>
        <v>belum ada proses tender/lelang</v>
      </c>
      <c r="AJ194" s="42" t="str">
        <f>DATA!AY187</f>
        <v>- Keg ini bukan area prioritas dari Pem. Jerman
- Surat Sekjen nomor PR.02.03/I/1814/2015 tanggal 9 September 2015</v>
      </c>
      <c r="AK194" s="42" t="e">
        <f>DATA!#REF!</f>
        <v>#REF!</v>
      </c>
      <c r="AL194" s="42">
        <f>DATA!AZ187</f>
        <v>0</v>
      </c>
      <c r="AM194" s="67" t="str">
        <f>DATA!BA187</f>
        <v>Meningkatkan sarana dan prasarana di 14 rumah sakit pusat rujukan nasional, 20 rumah sakit rujukan provinsi dan 39 UPT (unit pelaksana teknis) vertikal sebagai pusat rujukan tersier</v>
      </c>
    </row>
    <row r="195" spans="1:39" s="6" customFormat="1" ht="63.75" hidden="1" customHeight="1">
      <c r="A195" s="6">
        <f>DATA!A188</f>
        <v>135</v>
      </c>
      <c r="B195" s="6">
        <f>DATA!B188</f>
        <v>0</v>
      </c>
      <c r="C195" s="6" t="str">
        <f>DATA!D188</f>
        <v>NON-INFRASTRUKTUR</v>
      </c>
      <c r="D195" s="6">
        <f>DATA!E188</f>
        <v>11</v>
      </c>
      <c r="E195" s="6" t="str">
        <f>DATA!F188</f>
        <v>Kementerian Kesehatan</v>
      </c>
      <c r="F195" s="6" t="str">
        <f>DATA!H188</f>
        <v>Referral Health Services Program</v>
      </c>
      <c r="G195" s="6" t="str">
        <f>DATA!I188</f>
        <v>D</v>
      </c>
      <c r="H195" s="6" t="str">
        <f>DATA!J188</f>
        <v>Program Pelayanan Kesehatan Rujukan</v>
      </c>
      <c r="I195" s="6">
        <f>DATA!K188</f>
        <v>1</v>
      </c>
      <c r="J195" s="38"/>
      <c r="K195" s="71"/>
      <c r="L195" s="71"/>
      <c r="M195" s="43"/>
      <c r="N195" s="67" t="str">
        <f>DATA!L188</f>
        <v>Strengthening of National Referral Hospitals, Province Referral Hospital and Vertical Technical Units</v>
      </c>
      <c r="O195" s="42">
        <f>DATA!Q188</f>
        <v>0.33333333333333331</v>
      </c>
      <c r="P195" s="42">
        <f>DATA!R188</f>
        <v>0</v>
      </c>
      <c r="Q195" s="42">
        <f>DATA!S188</f>
        <v>0</v>
      </c>
      <c r="R195" s="83">
        <f>DATA!T188</f>
        <v>0</v>
      </c>
      <c r="S195" s="83"/>
      <c r="T195" s="83">
        <f>DATA!V188</f>
        <v>0</v>
      </c>
      <c r="U195" s="83">
        <f>DATA!W188</f>
        <v>0</v>
      </c>
      <c r="V195" s="83">
        <f>DATA!X188</f>
        <v>0</v>
      </c>
      <c r="W195" s="84" t="str">
        <f>DATA!Y188</f>
        <v>Belum Ada Indikasi</v>
      </c>
      <c r="X195" s="42" t="str">
        <f>DATA!Z188</f>
        <v>Belum Ada Indikasi</v>
      </c>
      <c r="Y195" s="83">
        <f>DATA!AA188</f>
        <v>755600000</v>
      </c>
      <c r="Z195" s="83">
        <f>DATA!AG188</f>
        <v>-755600000</v>
      </c>
      <c r="AA195" s="42" t="str">
        <f>DATA!AH188</f>
        <v>Tanpa keterangan</v>
      </c>
      <c r="AB195" s="67" t="str">
        <f>DATA!AI188</f>
        <v>-</v>
      </c>
      <c r="AC195" s="67" t="str">
        <f>DATA!AJ188</f>
        <v>-</v>
      </c>
      <c r="AD195" s="67" t="str">
        <f>DATA!AK188</f>
        <v>-</v>
      </c>
      <c r="AE195" s="67" t="str">
        <f>DATA!AL188</f>
        <v>-</v>
      </c>
      <c r="AF195" s="42">
        <f>DATA!AM188</f>
        <v>0</v>
      </c>
      <c r="AG195" s="42" t="str">
        <f>DATA!AN188</f>
        <v>belum ada keterangan</v>
      </c>
      <c r="AH195" s="42" t="str">
        <f>DATA!AO188</f>
        <v>belum ada keterangan</v>
      </c>
      <c r="AI195" s="42" t="str">
        <f>DATA!AP188</f>
        <v>belum ada proses tender/lelang</v>
      </c>
      <c r="AJ195" s="42" t="str">
        <f>DATA!AY188</f>
        <v>Surat Sekjen nomor PR.02.03/I/1814/2015 tanggal 9 September 2015</v>
      </c>
      <c r="AK195" s="42" t="e">
        <f>DATA!#REF!</f>
        <v>#REF!</v>
      </c>
      <c r="AL195" s="42">
        <f>DATA!AZ188</f>
        <v>0</v>
      </c>
      <c r="AM195" s="67" t="str">
        <f>DATA!BA188</f>
        <v>Meningkatkan sarana dan prasarana di 14 rumah sakit pusat rujukan nasional, 20 rumah sakit rujukan provinsi dan 39 UPT (unit pelaksana teknis) vertikal sebagai pusat rujukan tersier</v>
      </c>
    </row>
    <row r="196" spans="1:39" s="4" customFormat="1" ht="24.95" hidden="1" customHeight="1">
      <c r="J196" s="107"/>
      <c r="K196" s="25">
        <f>DATA!E189</f>
        <v>12</v>
      </c>
      <c r="L196" s="108" t="str">
        <f>DATA!F189</f>
        <v>Pemprov. Aceh</v>
      </c>
      <c r="M196" s="25"/>
      <c r="N196" s="27"/>
      <c r="O196" s="26"/>
      <c r="P196" s="26"/>
      <c r="Q196" s="26"/>
      <c r="R196" s="80">
        <f>+R197</f>
        <v>106800000</v>
      </c>
      <c r="S196" s="80"/>
      <c r="T196" s="80">
        <f t="shared" ref="T196:Z197" si="26">+T197</f>
        <v>10700000</v>
      </c>
      <c r="U196" s="80">
        <f t="shared" si="26"/>
        <v>0</v>
      </c>
      <c r="V196" s="80">
        <f t="shared" si="26"/>
        <v>117500000</v>
      </c>
      <c r="W196" s="80"/>
      <c r="X196" s="80" t="str">
        <f t="shared" si="26"/>
        <v>Bilateral</v>
      </c>
      <c r="Y196" s="80">
        <f t="shared" si="26"/>
        <v>106800000</v>
      </c>
      <c r="Z196" s="80">
        <f t="shared" si="26"/>
        <v>0</v>
      </c>
      <c r="AA196" s="26"/>
      <c r="AB196" s="27"/>
      <c r="AC196" s="27"/>
      <c r="AD196" s="27"/>
      <c r="AE196" s="27"/>
      <c r="AF196" s="26"/>
      <c r="AG196" s="26"/>
      <c r="AH196" s="26"/>
      <c r="AI196" s="26"/>
      <c r="AJ196" s="26"/>
      <c r="AK196" s="26"/>
      <c r="AL196" s="26"/>
      <c r="AM196" s="27"/>
    </row>
    <row r="197" spans="1:39" s="5" customFormat="1" ht="33.75" hidden="1" customHeight="1">
      <c r="J197" s="28"/>
      <c r="K197" s="29"/>
      <c r="L197" s="30" t="str">
        <f>DATA!I189</f>
        <v>A</v>
      </c>
      <c r="M197" s="31" t="str">
        <f>DATA!J189</f>
        <v>Program Pelayanan Kesehatan Rujukan</v>
      </c>
      <c r="N197" s="51"/>
      <c r="O197" s="31"/>
      <c r="P197" s="31"/>
      <c r="Q197" s="31"/>
      <c r="R197" s="81">
        <f>+R198</f>
        <v>106800000</v>
      </c>
      <c r="S197" s="81"/>
      <c r="T197" s="81">
        <f t="shared" si="26"/>
        <v>10700000</v>
      </c>
      <c r="U197" s="81">
        <f t="shared" si="26"/>
        <v>0</v>
      </c>
      <c r="V197" s="81">
        <f t="shared" si="26"/>
        <v>117500000</v>
      </c>
      <c r="W197" s="81"/>
      <c r="X197" s="81" t="str">
        <f t="shared" si="26"/>
        <v>Bilateral</v>
      </c>
      <c r="Y197" s="81">
        <f t="shared" si="26"/>
        <v>106800000</v>
      </c>
      <c r="Z197" s="81">
        <f t="shared" si="26"/>
        <v>0</v>
      </c>
      <c r="AA197" s="31"/>
      <c r="AB197" s="32"/>
      <c r="AC197" s="32"/>
      <c r="AD197" s="32"/>
      <c r="AE197" s="32"/>
      <c r="AF197" s="31"/>
      <c r="AG197" s="31"/>
      <c r="AH197" s="31"/>
      <c r="AI197" s="31"/>
      <c r="AJ197" s="31"/>
      <c r="AK197" s="31"/>
      <c r="AL197" s="31"/>
      <c r="AM197" s="32"/>
    </row>
    <row r="198" spans="1:39" ht="63.75" hidden="1" customHeight="1">
      <c r="A198" s="10">
        <f>DATA!A189</f>
        <v>136</v>
      </c>
      <c r="B198" s="10">
        <f>DATA!B189</f>
        <v>0</v>
      </c>
      <c r="C198" s="10" t="str">
        <f>DATA!D189</f>
        <v>NON-INFRASTRUKTUR</v>
      </c>
      <c r="D198" s="10">
        <f>DATA!E189</f>
        <v>12</v>
      </c>
      <c r="E198" s="10" t="str">
        <f>DATA!F189</f>
        <v>Pemprov. Aceh</v>
      </c>
      <c r="F198" s="10" t="str">
        <f>DATA!H189</f>
        <v>Health Services Referral Program</v>
      </c>
      <c r="G198" s="10" t="str">
        <f>DATA!I189</f>
        <v>A</v>
      </c>
      <c r="H198" s="10" t="str">
        <f>DATA!J189</f>
        <v>Program Pelayanan Kesehatan Rujukan</v>
      </c>
      <c r="I198" s="10">
        <f>DATA!K189</f>
        <v>1</v>
      </c>
      <c r="J198" s="33"/>
      <c r="K198" s="54"/>
      <c r="L198" s="20"/>
      <c r="M198" s="36">
        <f>DATA!K189</f>
        <v>1</v>
      </c>
      <c r="N198" s="37" t="str">
        <f>DATA!L189</f>
        <v>Reengineering and Improving The Hospital and Referral System in Selected Aceh Districts</v>
      </c>
      <c r="O198" s="20">
        <f>DATA!Q189</f>
        <v>1</v>
      </c>
      <c r="P198" s="20">
        <f>DATA!R189</f>
        <v>1</v>
      </c>
      <c r="Q198" s="20">
        <f>DATA!S189</f>
        <v>108</v>
      </c>
      <c r="R198" s="77">
        <f>DATA!T189</f>
        <v>106800000</v>
      </c>
      <c r="S198" s="77"/>
      <c r="T198" s="77">
        <f>DATA!V189</f>
        <v>10700000</v>
      </c>
      <c r="U198" s="77">
        <f>DATA!W189</f>
        <v>0</v>
      </c>
      <c r="V198" s="77">
        <f>DATA!X189</f>
        <v>117500000</v>
      </c>
      <c r="W198" s="78" t="str">
        <f>DATA!Y189</f>
        <v>Jerman (KfW)</v>
      </c>
      <c r="X198" s="20" t="str">
        <f>DATA!Z189</f>
        <v>Bilateral</v>
      </c>
      <c r="Y198" s="77">
        <f>DATA!AA189</f>
        <v>106800000</v>
      </c>
      <c r="Z198" s="77">
        <f>DATA!AG189</f>
        <v>0</v>
      </c>
      <c r="AA198" s="20" t="str">
        <f>DATA!AH189</f>
        <v>Tanpa keterangan</v>
      </c>
      <c r="AB198" s="37" t="str">
        <f>DATA!AI189</f>
        <v xml:space="preserve">- Sudah ada R/C
- Green Book 2015
</v>
      </c>
      <c r="AC198" s="37" t="str">
        <f>DATA!AJ189</f>
        <v>FS, DED</v>
      </c>
      <c r="AD198" s="114">
        <f>DATA!AK189</f>
        <v>1</v>
      </c>
      <c r="AE198" s="37" t="str">
        <f>DATA!AL189</f>
        <v>-</v>
      </c>
      <c r="AF198" s="20" t="str">
        <f>DATA!AM189</f>
        <v>2016; 2015</v>
      </c>
      <c r="AG198" s="20" t="str">
        <f>DATA!AN189</f>
        <v>dalam proses
(memiliki FS dan DED)</v>
      </c>
      <c r="AH198" s="20" t="str">
        <f>DATA!AO189</f>
        <v>siap</v>
      </c>
      <c r="AI198" s="20" t="str">
        <f>DATA!AP189</f>
        <v>belum ada proses tender/lelang</v>
      </c>
      <c r="AJ198" s="20" t="str">
        <f>DATA!AY189</f>
        <v>Surat Kepala Dinas Kesehatan Prov. Aceh nomor 443.02/998/V/2015 tanggal 27 April 2015 tentang penyampaian dokumen kesiapan (RC)</v>
      </c>
      <c r="AK198" s="20" t="e">
        <f>DATA!#REF!</f>
        <v>#REF!</v>
      </c>
      <c r="AL198" s="20">
        <f>DATA!AZ189</f>
        <v>0</v>
      </c>
      <c r="AM198" s="37" t="str">
        <f>DATA!BA189</f>
        <v xml:space="preserve">Pengembangan infrastruktur (pembangunan rumah sakit baru, rehabilitasi rumah sakit lama, dan kantor dinas kesehatan, pengadaan peralatan dan operasional, dan peningkatan SDM rumah sakit </v>
      </c>
    </row>
    <row r="199" spans="1:39" s="4" customFormat="1" ht="24.95" hidden="1" customHeight="1">
      <c r="J199" s="107"/>
      <c r="K199" s="25">
        <f>DATA!E190</f>
        <v>13</v>
      </c>
      <c r="L199" s="108" t="str">
        <f>DATA!F190</f>
        <v>Kementerian Pertanian</v>
      </c>
      <c r="M199" s="25"/>
      <c r="N199" s="27"/>
      <c r="O199" s="26"/>
      <c r="P199" s="26"/>
      <c r="Q199" s="26"/>
      <c r="R199" s="80">
        <f>+R200+R209</f>
        <v>1445742600</v>
      </c>
      <c r="S199" s="80"/>
      <c r="T199" s="80">
        <f t="shared" ref="T199:Z199" si="27">+T200+T209</f>
        <v>154464300</v>
      </c>
      <c r="U199" s="80">
        <f t="shared" si="27"/>
        <v>500000</v>
      </c>
      <c r="V199" s="80">
        <f t="shared" si="27"/>
        <v>1600706900</v>
      </c>
      <c r="W199" s="80"/>
      <c r="X199" s="80" t="e">
        <f t="shared" si="27"/>
        <v>#VALUE!</v>
      </c>
      <c r="Y199" s="80">
        <f t="shared" si="27"/>
        <v>1445742600</v>
      </c>
      <c r="Z199" s="80">
        <f t="shared" si="27"/>
        <v>-746842600</v>
      </c>
      <c r="AA199" s="26"/>
      <c r="AB199" s="27"/>
      <c r="AC199" s="27"/>
      <c r="AD199" s="27"/>
      <c r="AE199" s="27"/>
      <c r="AF199" s="26"/>
      <c r="AG199" s="26"/>
      <c r="AH199" s="26"/>
      <c r="AI199" s="26"/>
      <c r="AJ199" s="26"/>
      <c r="AK199" s="26"/>
      <c r="AL199" s="26"/>
      <c r="AM199" s="27"/>
    </row>
    <row r="200" spans="1:39" s="5" customFormat="1" ht="33.75" hidden="1" customHeight="1">
      <c r="J200" s="28"/>
      <c r="K200" s="29"/>
      <c r="L200" s="30" t="str">
        <f>DATA!I190</f>
        <v>A</v>
      </c>
      <c r="M200" s="31" t="str">
        <f>DATA!J190</f>
        <v>Program Penyediaan dan Pengembangan Prasarana dan Sarana Pertanian</v>
      </c>
      <c r="N200" s="51"/>
      <c r="O200" s="31"/>
      <c r="P200" s="31"/>
      <c r="Q200" s="31"/>
      <c r="R200" s="81">
        <f>+R201+R205</f>
        <v>1346842600</v>
      </c>
      <c r="S200" s="81"/>
      <c r="T200" s="81">
        <f t="shared" ref="T200:Z200" si="28">+T201+T205</f>
        <v>134684300</v>
      </c>
      <c r="U200" s="81">
        <f t="shared" si="28"/>
        <v>0</v>
      </c>
      <c r="V200" s="81">
        <f t="shared" si="28"/>
        <v>1481526900</v>
      </c>
      <c r="W200" s="81"/>
      <c r="X200" s="81">
        <f t="shared" si="28"/>
        <v>0</v>
      </c>
      <c r="Y200" s="81">
        <f t="shared" si="28"/>
        <v>1346842600</v>
      </c>
      <c r="Z200" s="81">
        <f t="shared" si="28"/>
        <v>-746842600</v>
      </c>
      <c r="AA200" s="31"/>
      <c r="AB200" s="32"/>
      <c r="AC200" s="32"/>
      <c r="AD200" s="32"/>
      <c r="AE200" s="32"/>
      <c r="AF200" s="31"/>
      <c r="AG200" s="31"/>
      <c r="AH200" s="31"/>
      <c r="AI200" s="31"/>
      <c r="AJ200" s="31"/>
      <c r="AK200" s="31"/>
      <c r="AL200" s="31"/>
      <c r="AM200" s="32"/>
    </row>
    <row r="201" spans="1:39" ht="24.75" hidden="1" customHeight="1">
      <c r="A201" s="10">
        <f>DATA!A190</f>
        <v>137</v>
      </c>
      <c r="B201" s="10">
        <f>DATA!B190</f>
        <v>0</v>
      </c>
      <c r="C201" s="10" t="str">
        <f>DATA!D190</f>
        <v>NON-INFRASTRUKTUR</v>
      </c>
      <c r="D201" s="10">
        <f>DATA!E190</f>
        <v>13</v>
      </c>
      <c r="E201" s="10" t="str">
        <f>DATA!F190</f>
        <v>Kementerian Pertanian</v>
      </c>
      <c r="F201" s="10" t="str">
        <f>DATA!H190</f>
        <v>Provision and Development of Agriculture Infrastructure Program</v>
      </c>
      <c r="G201" s="10" t="str">
        <f>DATA!I190</f>
        <v>A</v>
      </c>
      <c r="H201" s="10" t="str">
        <f>DATA!J190</f>
        <v>Program Penyediaan dan Pengembangan Prasarana dan Sarana Pertanian</v>
      </c>
      <c r="I201" s="10">
        <f>DATA!K190</f>
        <v>1</v>
      </c>
      <c r="J201" s="33"/>
      <c r="K201" s="34"/>
      <c r="L201" s="35"/>
      <c r="M201" s="36">
        <f>DATA!K190</f>
        <v>1</v>
      </c>
      <c r="N201" s="37" t="str">
        <f>DATA!L190</f>
        <v>Extensification of New Paddy Field Area</v>
      </c>
      <c r="O201" s="20">
        <f>DATA!Q190</f>
        <v>0</v>
      </c>
      <c r="P201" s="20">
        <f>DATA!R190</f>
        <v>1</v>
      </c>
      <c r="Q201" s="20">
        <f>DATA!S190</f>
        <v>109</v>
      </c>
      <c r="R201" s="77">
        <f>DATA!T190</f>
        <v>811166600</v>
      </c>
      <c r="S201" s="77"/>
      <c r="T201" s="77">
        <f>DATA!V190</f>
        <v>81116700</v>
      </c>
      <c r="U201" s="77">
        <f>DATA!W190</f>
        <v>0</v>
      </c>
      <c r="V201" s="77">
        <f>DATA!X190</f>
        <v>892283300</v>
      </c>
      <c r="W201" s="78" t="str">
        <f>DATA!Y190</f>
        <v>-</v>
      </c>
      <c r="X201" s="20">
        <f>DATA!Z190</f>
        <v>0</v>
      </c>
      <c r="Y201" s="77">
        <f>DATA!AA190</f>
        <v>811166600</v>
      </c>
      <c r="Z201" s="77">
        <f>DATA!AG190</f>
        <v>-461166600</v>
      </c>
      <c r="AA201" s="20" t="str">
        <f>DATA!AH190</f>
        <v>-</v>
      </c>
      <c r="AB201" s="37" t="str">
        <f>DATA!AI190</f>
        <v>-</v>
      </c>
      <c r="AC201" s="37" t="str">
        <f>DATA!AJ190</f>
        <v>-</v>
      </c>
      <c r="AD201" s="37" t="str">
        <f>DATA!AK190</f>
        <v>-</v>
      </c>
      <c r="AE201" s="37" t="str">
        <f>DATA!AL190</f>
        <v>-</v>
      </c>
      <c r="AF201" s="20" t="str">
        <f>DATA!AM190</f>
        <v>-</v>
      </c>
      <c r="AG201" s="20" t="str">
        <f>DATA!AN190</f>
        <v>-</v>
      </c>
      <c r="AH201" s="20" t="str">
        <f>DATA!AO190</f>
        <v>-</v>
      </c>
      <c r="AI201" s="20" t="str">
        <f>DATA!AP190</f>
        <v>-</v>
      </c>
      <c r="AJ201" s="20" t="str">
        <f>DATA!AY190</f>
        <v>-</v>
      </c>
      <c r="AK201" s="20" t="e">
        <f>DATA!#REF!</f>
        <v>#REF!</v>
      </c>
      <c r="AL201" s="20">
        <f>DATA!AZ190</f>
        <v>0</v>
      </c>
      <c r="AM201" s="37" t="str">
        <f>DATA!BA190</f>
        <v>-</v>
      </c>
    </row>
    <row r="202" spans="1:39" s="6" customFormat="1" ht="76.5" hidden="1">
      <c r="A202" s="6">
        <f>DATA!A191</f>
        <v>137</v>
      </c>
      <c r="B202" s="6">
        <f>DATA!B191</f>
        <v>0</v>
      </c>
      <c r="C202" s="6" t="str">
        <f>DATA!D191</f>
        <v>NON-INFRASTRUKTUR</v>
      </c>
      <c r="D202" s="6">
        <f>DATA!E191</f>
        <v>13</v>
      </c>
      <c r="E202" s="6" t="str">
        <f>DATA!F191</f>
        <v>Kementerian Pertanian</v>
      </c>
      <c r="F202" s="6" t="str">
        <f>DATA!H191</f>
        <v>Provision and Development of Agriculture Infrastructure Program</v>
      </c>
      <c r="G202" s="6" t="str">
        <f>DATA!I191</f>
        <v>A</v>
      </c>
      <c r="H202" s="6" t="str">
        <f>DATA!J191</f>
        <v>Program Penyediaan dan Pengembangan Prasarana dan Sarana Pertanian</v>
      </c>
      <c r="I202" s="6">
        <f>DATA!K191</f>
        <v>1</v>
      </c>
      <c r="J202" s="38"/>
      <c r="K202" s="39"/>
      <c r="L202" s="39"/>
      <c r="M202" s="40"/>
      <c r="N202" s="67" t="str">
        <f>DATA!L191</f>
        <v>Extensification of New Paddy Field Area</v>
      </c>
      <c r="O202" s="42">
        <f>DATA!Q191</f>
        <v>0.33333333333333331</v>
      </c>
      <c r="P202" s="42">
        <f>DATA!R191</f>
        <v>0</v>
      </c>
      <c r="Q202" s="42">
        <f>DATA!S191</f>
        <v>0</v>
      </c>
      <c r="R202" s="83">
        <f>DATA!T191</f>
        <v>0</v>
      </c>
      <c r="S202" s="83"/>
      <c r="T202" s="83">
        <f>DATA!V191</f>
        <v>0</v>
      </c>
      <c r="U202" s="83">
        <f>DATA!W191</f>
        <v>0</v>
      </c>
      <c r="V202" s="83">
        <f>DATA!X191</f>
        <v>0</v>
      </c>
      <c r="W202" s="84" t="str">
        <f>DATA!Y191</f>
        <v>Bank Dunia</v>
      </c>
      <c r="X202" s="42" t="str">
        <f>DATA!Z191</f>
        <v>Multilateral</v>
      </c>
      <c r="Y202" s="83">
        <f>DATA!AA191</f>
        <v>225000000</v>
      </c>
      <c r="Z202" s="83">
        <f>DATA!AG191</f>
        <v>0</v>
      </c>
      <c r="AA202" s="42" t="str">
        <f>DATA!AH191</f>
        <v>Tanpa keterangan</v>
      </c>
      <c r="AB202" s="67" t="str">
        <f>DATA!AI191</f>
        <v>-</v>
      </c>
      <c r="AC202" s="67" t="str">
        <f>DATA!AJ191</f>
        <v xml:space="preserve">TOR </v>
      </c>
      <c r="AD202" s="115">
        <f>DATA!AK191</f>
        <v>0</v>
      </c>
      <c r="AE202" s="67" t="str">
        <f>DATA!AL191</f>
        <v>-</v>
      </c>
      <c r="AF202" s="42">
        <f>DATA!AM191</f>
        <v>0</v>
      </c>
      <c r="AG202" s="42" t="str">
        <f>DATA!AN191</f>
        <v>dalam proses
(penyusunan FS)</v>
      </c>
      <c r="AH202" s="42" t="str">
        <f>DATA!AO191</f>
        <v>belum ada keterangan</v>
      </c>
      <c r="AI202" s="42" t="str">
        <f>DATA!AP191</f>
        <v>belum ada proses tender/lelang</v>
      </c>
      <c r="AJ202" s="42" t="str">
        <f>DATA!AY191</f>
        <v>Surat Plh. Kepala Pusat Kem.Pertanian nomor 246/KL.230/A.6.3/09/2015 tgl 9 September 2015</v>
      </c>
      <c r="AK202" s="42" t="e">
        <f>DATA!#REF!</f>
        <v>#REF!</v>
      </c>
      <c r="AL202" s="42">
        <f>DATA!AZ191</f>
        <v>0</v>
      </c>
      <c r="AM202" s="67" t="str">
        <f>DATA!BA191</f>
        <v>Pembentukan lahan pertanian padi baru di 34 provinsi, meliputi: identifikasi calon petani dan calon lokasi (CPCL), survey/investigasi, penetapan lokasi, penyiapan lahan (land clearing and land leveling), bantuan sarana produksi, dan pertanian untuk budidaya padi.</v>
      </c>
    </row>
    <row r="203" spans="1:39" s="6" customFormat="1" ht="76.5" hidden="1">
      <c r="A203" s="6">
        <f>DATA!A192</f>
        <v>138</v>
      </c>
      <c r="B203" s="6">
        <f>DATA!B192</f>
        <v>0</v>
      </c>
      <c r="C203" s="6" t="str">
        <f>DATA!D192</f>
        <v>NON-INFRASTRUKTUR</v>
      </c>
      <c r="D203" s="6">
        <f>DATA!E192</f>
        <v>13</v>
      </c>
      <c r="E203" s="6" t="str">
        <f>DATA!F192</f>
        <v>Kementerian Pertanian</v>
      </c>
      <c r="F203" s="6" t="str">
        <f>DATA!H192</f>
        <v>Provision and Development of Agriculture Infrastructure Program</v>
      </c>
      <c r="G203" s="6" t="str">
        <f>DATA!I192</f>
        <v>A</v>
      </c>
      <c r="H203" s="6" t="str">
        <f>DATA!J192</f>
        <v>Program Penyediaan dan Pengembangan Prasarana dan Sarana Pertanian</v>
      </c>
      <c r="I203" s="6">
        <f>DATA!K192</f>
        <v>1</v>
      </c>
      <c r="J203" s="38"/>
      <c r="K203" s="39"/>
      <c r="L203" s="39"/>
      <c r="M203" s="38"/>
      <c r="N203" s="67" t="str">
        <f>DATA!L192</f>
        <v>Extensification of New Paddy Field Area</v>
      </c>
      <c r="O203" s="42">
        <f>DATA!Q192</f>
        <v>0.33333333333333331</v>
      </c>
      <c r="P203" s="42">
        <f>DATA!R192</f>
        <v>0</v>
      </c>
      <c r="Q203" s="42">
        <f>DATA!S192</f>
        <v>0</v>
      </c>
      <c r="R203" s="83">
        <f>DATA!T192</f>
        <v>0</v>
      </c>
      <c r="S203" s="83"/>
      <c r="T203" s="83">
        <f>DATA!V192</f>
        <v>0</v>
      </c>
      <c r="U203" s="83">
        <f>DATA!W192</f>
        <v>0</v>
      </c>
      <c r="V203" s="83">
        <f>DATA!X192</f>
        <v>0</v>
      </c>
      <c r="W203" s="84" t="str">
        <f>DATA!Y192</f>
        <v>IDB</v>
      </c>
      <c r="X203" s="42" t="str">
        <f>DATA!Z192</f>
        <v>Multilateral</v>
      </c>
      <c r="Y203" s="83">
        <f>DATA!AA192</f>
        <v>125000000</v>
      </c>
      <c r="Z203" s="83">
        <f>DATA!AG192</f>
        <v>0</v>
      </c>
      <c r="AA203" s="42" t="str">
        <f>DATA!AH192</f>
        <v>Tanpa keterangan</v>
      </c>
      <c r="AB203" s="67" t="str">
        <f>DATA!AI192</f>
        <v>-</v>
      </c>
      <c r="AC203" s="67" t="str">
        <f>DATA!AJ192</f>
        <v>-</v>
      </c>
      <c r="AD203" s="115" t="str">
        <f>DATA!AK192</f>
        <v>-</v>
      </c>
      <c r="AE203" s="67" t="str">
        <f>DATA!AL192</f>
        <v>-</v>
      </c>
      <c r="AF203" s="42">
        <f>DATA!AM192</f>
        <v>0</v>
      </c>
      <c r="AG203" s="42" t="str">
        <f>DATA!AN192</f>
        <v>dalam proses
(penyusunan FS)</v>
      </c>
      <c r="AH203" s="42" t="str">
        <f>DATA!AO192</f>
        <v>belum ada keterangan</v>
      </c>
      <c r="AI203" s="42" t="str">
        <f>DATA!AP192</f>
        <v>belum ada proses tender/lelang</v>
      </c>
      <c r="AJ203" s="42" t="str">
        <f>DATA!AY192</f>
        <v>Surat Plh. Kepala Pusat Kem.Pertanian nomor 246/KL.230/A.6.3/09/2015 tgl 9 September 2015</v>
      </c>
      <c r="AK203" s="42" t="e">
        <f>DATA!#REF!</f>
        <v>#REF!</v>
      </c>
      <c r="AL203" s="42">
        <f>DATA!AZ192</f>
        <v>0</v>
      </c>
      <c r="AM203" s="67" t="str">
        <f>DATA!BA192</f>
        <v>Pembentukan lahan pertanian padi baru di 34 provinsi, meliputi: identifikasi calon petani dan calon lokasi (CPCL), survey/investigasi, penetapan lokasi, penyiapan lahan (land clearing and land leveling), bantuan sarana produksi, dan pertanian untuk budidaya padi.</v>
      </c>
    </row>
    <row r="204" spans="1:39" s="6" customFormat="1" ht="76.5" hidden="1">
      <c r="A204" s="6">
        <f>DATA!A193</f>
        <v>139</v>
      </c>
      <c r="B204" s="6">
        <f>DATA!B193</f>
        <v>0</v>
      </c>
      <c r="C204" s="6" t="str">
        <f>DATA!D193</f>
        <v>NON-INFRASTRUKTUR</v>
      </c>
      <c r="D204" s="6">
        <f>DATA!E193</f>
        <v>13</v>
      </c>
      <c r="E204" s="6" t="str">
        <f>DATA!F193</f>
        <v>Kementerian Pertanian</v>
      </c>
      <c r="F204" s="6" t="str">
        <f>DATA!H193</f>
        <v>Provision and Development of Agriculture Infrastructure Program</v>
      </c>
      <c r="G204" s="6" t="str">
        <f>DATA!I193</f>
        <v>A</v>
      </c>
      <c r="H204" s="6" t="str">
        <f>DATA!J193</f>
        <v>Program Penyediaan dan Pengembangan Prasarana dan Sarana Pertanian</v>
      </c>
      <c r="I204" s="6">
        <f>DATA!K193</f>
        <v>1</v>
      </c>
      <c r="J204" s="38"/>
      <c r="K204" s="39"/>
      <c r="L204" s="39"/>
      <c r="M204" s="43"/>
      <c r="N204" s="67" t="str">
        <f>DATA!L193</f>
        <v>Extensification of New Paddy Field Area</v>
      </c>
      <c r="O204" s="42">
        <f>DATA!Q193</f>
        <v>0.33333333333333331</v>
      </c>
      <c r="P204" s="42">
        <f>DATA!R193</f>
        <v>0</v>
      </c>
      <c r="Q204" s="42">
        <f>DATA!S193</f>
        <v>0</v>
      </c>
      <c r="R204" s="83">
        <f>DATA!T193</f>
        <v>0</v>
      </c>
      <c r="S204" s="83"/>
      <c r="T204" s="83">
        <f>DATA!V193</f>
        <v>0</v>
      </c>
      <c r="U204" s="83">
        <f>DATA!W193</f>
        <v>0</v>
      </c>
      <c r="V204" s="83">
        <f>DATA!X193</f>
        <v>0</v>
      </c>
      <c r="W204" s="84" t="str">
        <f>DATA!Y193</f>
        <v>Belum Ada Indikasi</v>
      </c>
      <c r="X204" s="42" t="str">
        <f>DATA!Z193</f>
        <v>Belum Ada Indikasi</v>
      </c>
      <c r="Y204" s="83">
        <f>DATA!AA193</f>
        <v>461166600</v>
      </c>
      <c r="Z204" s="83">
        <f>DATA!AG193</f>
        <v>-461166600</v>
      </c>
      <c r="AA204" s="42" t="str">
        <f>DATA!AH193</f>
        <v>Tanpa keterangan</v>
      </c>
      <c r="AB204" s="67" t="str">
        <f>DATA!AI193</f>
        <v>-</v>
      </c>
      <c r="AC204" s="67" t="str">
        <f>DATA!AJ193</f>
        <v>-</v>
      </c>
      <c r="AD204" s="115" t="str">
        <f>DATA!AK193</f>
        <v>-</v>
      </c>
      <c r="AE204" s="67" t="str">
        <f>DATA!AL193</f>
        <v>-</v>
      </c>
      <c r="AF204" s="42">
        <f>DATA!AM193</f>
        <v>0</v>
      </c>
      <c r="AG204" s="42" t="str">
        <f>DATA!AN193</f>
        <v>belum ada keterangan</v>
      </c>
      <c r="AH204" s="42" t="str">
        <f>DATA!AO193</f>
        <v>belum ada keterangan</v>
      </c>
      <c r="AI204" s="42" t="str">
        <f>DATA!AP193</f>
        <v>belum ada proses tender/lelang</v>
      </c>
      <c r="AJ204" s="42" t="str">
        <f>DATA!AY193</f>
        <v>Surat Plh. Kepala Pusat Kem.Pertanian nomor 246/KL.230/A.6.3/09/2015 tgl 9 September 2015</v>
      </c>
      <c r="AK204" s="42" t="e">
        <f>DATA!#REF!</f>
        <v>#REF!</v>
      </c>
      <c r="AL204" s="42">
        <f>DATA!AZ193</f>
        <v>0</v>
      </c>
      <c r="AM204" s="67" t="str">
        <f>DATA!BA193</f>
        <v>Pembentukan lahan pertanian padi baru di 34 provinsi, meliputi: identifikasi calon petani dan calon lokasi (CPCL), survey/investigasi, penetapan lokasi, penyiapan lahan (land clearing and land leveling), bantuan sarana produksi, dan pertanian untuk budidaya padi.</v>
      </c>
    </row>
    <row r="205" spans="1:39" ht="60.75" hidden="1" customHeight="1">
      <c r="A205" s="10">
        <f>DATA!A194</f>
        <v>140</v>
      </c>
      <c r="B205" s="10">
        <f>DATA!B194</f>
        <v>0</v>
      </c>
      <c r="C205" s="10" t="str">
        <f>DATA!D194</f>
        <v>NON-INFRASTRUKTUR</v>
      </c>
      <c r="D205" s="10">
        <f>DATA!E194</f>
        <v>13</v>
      </c>
      <c r="E205" s="10" t="str">
        <f>DATA!F194</f>
        <v>Kementerian Pertanian</v>
      </c>
      <c r="F205" s="10" t="str">
        <f>DATA!H194</f>
        <v>Provision and Development of Agriculture Infrastructure Program</v>
      </c>
      <c r="G205" s="10" t="str">
        <f>DATA!I194</f>
        <v>A</v>
      </c>
      <c r="H205" s="10" t="str">
        <f>DATA!J194</f>
        <v>Program Penyediaan dan Pengembangan Prasarana dan Sarana Pertanian</v>
      </c>
      <c r="I205" s="10">
        <f>DATA!K194</f>
        <v>2</v>
      </c>
      <c r="J205" s="33"/>
      <c r="K205" s="34"/>
      <c r="L205" s="34"/>
      <c r="M205" s="36">
        <f>DATA!K194</f>
        <v>2</v>
      </c>
      <c r="N205" s="37" t="str">
        <f>DATA!L194</f>
        <v>Upland Development for National Food Security</v>
      </c>
      <c r="O205" s="20">
        <f>DATA!Q194</f>
        <v>0</v>
      </c>
      <c r="P205" s="20">
        <f>DATA!R194</f>
        <v>1</v>
      </c>
      <c r="Q205" s="20">
        <f>DATA!S194</f>
        <v>110</v>
      </c>
      <c r="R205" s="77">
        <f>DATA!T194</f>
        <v>535676000</v>
      </c>
      <c r="S205" s="77"/>
      <c r="T205" s="77">
        <f>DATA!V194</f>
        <v>53567600</v>
      </c>
      <c r="U205" s="77">
        <f>DATA!W194</f>
        <v>0</v>
      </c>
      <c r="V205" s="77">
        <f>DATA!X194</f>
        <v>589243600</v>
      </c>
      <c r="W205" s="78" t="str">
        <f>DATA!Y194</f>
        <v>-</v>
      </c>
      <c r="X205" s="20">
        <f>DATA!Z194</f>
        <v>0</v>
      </c>
      <c r="Y205" s="77">
        <f>DATA!AA194</f>
        <v>535676000</v>
      </c>
      <c r="Z205" s="77">
        <f>DATA!AG194</f>
        <v>-285676000</v>
      </c>
      <c r="AA205" s="20" t="str">
        <f>DATA!AH194</f>
        <v>-</v>
      </c>
      <c r="AB205" s="37" t="str">
        <f>DATA!AI194</f>
        <v>-</v>
      </c>
      <c r="AC205" s="37" t="str">
        <f>DATA!AJ194</f>
        <v xml:space="preserve">TOR </v>
      </c>
      <c r="AD205" s="115">
        <f>DATA!AK194</f>
        <v>0</v>
      </c>
      <c r="AE205" s="37" t="str">
        <f>DATA!AL194</f>
        <v>-</v>
      </c>
      <c r="AF205" s="20">
        <f>DATA!AM194</f>
        <v>0</v>
      </c>
      <c r="AG205" s="20" t="str">
        <f>DATA!AN194</f>
        <v>-</v>
      </c>
      <c r="AH205" s="20" t="str">
        <f>DATA!AO194</f>
        <v>tanpa keterangan</v>
      </c>
      <c r="AI205" s="20" t="str">
        <f>DATA!AP194</f>
        <v>belum ada proses tender/lelang</v>
      </c>
      <c r="AJ205" s="20" t="str">
        <f>DATA!AY194</f>
        <v>Surat Plh. Kepala Pusat Kem.Pertanian nomor 246/KL.230/A.6.3/09/2015 tgl 9 September 2015</v>
      </c>
      <c r="AK205" s="20" t="e">
        <f>DATA!#REF!</f>
        <v>#REF!</v>
      </c>
      <c r="AL205" s="20">
        <f>DATA!AZ194</f>
        <v>0</v>
      </c>
      <c r="AM205" s="37" t="str">
        <f>DATA!BA194</f>
        <v>Rencana penggunaan lahan di dataran tinggi berdasarkan kesesuaiannya, konservasi lahan dan air di dataran tinggi, dan budidaya pertanian ramah lingkungan untuk dataran tinggi</v>
      </c>
    </row>
    <row r="206" spans="1:39" s="6" customFormat="1" ht="61.5" hidden="1" customHeight="1">
      <c r="A206" s="6">
        <f>DATA!A195</f>
        <v>140</v>
      </c>
      <c r="B206" s="6">
        <f>DATA!B195</f>
        <v>0</v>
      </c>
      <c r="C206" s="6" t="str">
        <f>DATA!D195</f>
        <v>NON-INFRASTRUKTUR</v>
      </c>
      <c r="D206" s="6">
        <f>DATA!E195</f>
        <v>13</v>
      </c>
      <c r="E206" s="6" t="str">
        <f>DATA!F195</f>
        <v>Kementerian Pertanian</v>
      </c>
      <c r="F206" s="6" t="str">
        <f>DATA!H195</f>
        <v>Provision and Development of Agriculture Infrastructure Program</v>
      </c>
      <c r="G206" s="6" t="str">
        <f>DATA!I195</f>
        <v>A</v>
      </c>
      <c r="H206" s="6" t="str">
        <f>DATA!J195</f>
        <v>Program Penyediaan dan Pengembangan Prasarana dan Sarana Pertanian</v>
      </c>
      <c r="I206" s="6">
        <f>DATA!K195</f>
        <v>2</v>
      </c>
      <c r="J206" s="38"/>
      <c r="K206" s="39"/>
      <c r="L206" s="39"/>
      <c r="M206" s="40"/>
      <c r="N206" s="67" t="str">
        <f>DATA!L195</f>
        <v>Upland Development for National Food Security</v>
      </c>
      <c r="O206" s="42">
        <f>DATA!Q195</f>
        <v>0.33333333333333331</v>
      </c>
      <c r="P206" s="42">
        <f>DATA!R195</f>
        <v>0</v>
      </c>
      <c r="Q206" s="42">
        <f>DATA!S195</f>
        <v>0</v>
      </c>
      <c r="R206" s="83">
        <f>DATA!T195</f>
        <v>0</v>
      </c>
      <c r="S206" s="83"/>
      <c r="T206" s="83">
        <f>DATA!V195</f>
        <v>0</v>
      </c>
      <c r="U206" s="83">
        <f>DATA!W195</f>
        <v>0</v>
      </c>
      <c r="V206" s="83">
        <f>DATA!X195</f>
        <v>0</v>
      </c>
      <c r="W206" s="84" t="str">
        <f>DATA!Y195</f>
        <v>Bank Dunia</v>
      </c>
      <c r="X206" s="42" t="str">
        <f>DATA!Z195</f>
        <v>Multilateral</v>
      </c>
      <c r="Y206" s="83">
        <f>DATA!AA195</f>
        <v>125000000</v>
      </c>
      <c r="Z206" s="83">
        <f>DATA!AG195</f>
        <v>0</v>
      </c>
      <c r="AA206" s="42" t="str">
        <f>DATA!AH195</f>
        <v>Tanpa keterangan</v>
      </c>
      <c r="AB206" s="67" t="str">
        <f>DATA!AI195</f>
        <v>-</v>
      </c>
      <c r="AC206" s="67" t="str">
        <f>DATA!AJ195</f>
        <v xml:space="preserve">TOR </v>
      </c>
      <c r="AD206" s="115">
        <f>DATA!AK195</f>
        <v>0</v>
      </c>
      <c r="AE206" s="67" t="str">
        <f>DATA!AL195</f>
        <v>-</v>
      </c>
      <c r="AF206" s="42">
        <f>DATA!AM195</f>
        <v>0</v>
      </c>
      <c r="AG206" s="42" t="str">
        <f>DATA!AN195</f>
        <v>dalam proses
(penyusunan FS)</v>
      </c>
      <c r="AH206" s="42" t="str">
        <f>DATA!AO195</f>
        <v>belum ada keterangan</v>
      </c>
      <c r="AI206" s="42" t="str">
        <f>DATA!AP195</f>
        <v>belum ada proses tender/lelang</v>
      </c>
      <c r="AJ206" s="42" t="str">
        <f>DATA!AY195</f>
        <v>Surat Plh. Kepala Pusat Kem.Pertanian nomor 246/KL.230/A.6.3/09/2015 tgl 9 September 2015</v>
      </c>
      <c r="AK206" s="42" t="e">
        <f>DATA!#REF!</f>
        <v>#REF!</v>
      </c>
      <c r="AL206" s="42">
        <f>DATA!AZ195</f>
        <v>0</v>
      </c>
      <c r="AM206" s="67" t="str">
        <f>DATA!BA195</f>
        <v>Rencana penggunaan lahan di dataran tinggi berdasarkan kesesuaiannya, konservasi lahan dan air di dataran tinggi, dan budidaya pertanian ramah lingkungan untuk dataran tinggi</v>
      </c>
    </row>
    <row r="207" spans="1:39" s="6" customFormat="1" ht="51" hidden="1">
      <c r="A207" s="6">
        <f>DATA!A196</f>
        <v>141</v>
      </c>
      <c r="B207" s="6">
        <f>DATA!B196</f>
        <v>0</v>
      </c>
      <c r="C207" s="6" t="str">
        <f>DATA!D196</f>
        <v>NON-INFRASTRUKTUR</v>
      </c>
      <c r="D207" s="6">
        <f>DATA!E196</f>
        <v>13</v>
      </c>
      <c r="E207" s="6" t="str">
        <f>DATA!F196</f>
        <v>Kementerian Pertanian</v>
      </c>
      <c r="F207" s="6" t="str">
        <f>DATA!H196</f>
        <v>Provision and Development of Agriculture Infrastructure Program</v>
      </c>
      <c r="G207" s="6" t="str">
        <f>DATA!I196</f>
        <v>A</v>
      </c>
      <c r="H207" s="6" t="str">
        <f>DATA!J196</f>
        <v>Program Penyediaan dan Pengembangan Prasarana dan Sarana Pertanian</v>
      </c>
      <c r="I207" s="6">
        <f>DATA!K196</f>
        <v>2</v>
      </c>
      <c r="J207" s="38"/>
      <c r="K207" s="39"/>
      <c r="L207" s="39"/>
      <c r="M207" s="38"/>
      <c r="N207" s="67" t="str">
        <f>DATA!L196</f>
        <v>Upland Development for National Food Security</v>
      </c>
      <c r="O207" s="42">
        <f>DATA!Q196</f>
        <v>0.33333333333333331</v>
      </c>
      <c r="P207" s="42">
        <f>DATA!R196</f>
        <v>0</v>
      </c>
      <c r="Q207" s="42">
        <f>DATA!S196</f>
        <v>0</v>
      </c>
      <c r="R207" s="83">
        <f>DATA!T196</f>
        <v>0</v>
      </c>
      <c r="S207" s="83"/>
      <c r="T207" s="83">
        <f>DATA!V196</f>
        <v>0</v>
      </c>
      <c r="U207" s="83">
        <f>DATA!W196</f>
        <v>0</v>
      </c>
      <c r="V207" s="83">
        <f>DATA!X196</f>
        <v>0</v>
      </c>
      <c r="W207" s="84" t="str">
        <f>DATA!Y196</f>
        <v>IDB</v>
      </c>
      <c r="X207" s="42" t="str">
        <f>DATA!Z196</f>
        <v>Multilateral</v>
      </c>
      <c r="Y207" s="83">
        <f>DATA!AA196</f>
        <v>125000000</v>
      </c>
      <c r="Z207" s="83">
        <f>DATA!AG196</f>
        <v>0</v>
      </c>
      <c r="AA207" s="42" t="str">
        <f>DATA!AH196</f>
        <v>Tanpa keterangan</v>
      </c>
      <c r="AB207" s="67" t="str">
        <f>DATA!AI196</f>
        <v>-</v>
      </c>
      <c r="AC207" s="67" t="str">
        <f>DATA!AJ196</f>
        <v>-</v>
      </c>
      <c r="AD207" s="115" t="str">
        <f>DATA!AK196</f>
        <v>-</v>
      </c>
      <c r="AE207" s="67" t="str">
        <f>DATA!AL196</f>
        <v>-</v>
      </c>
      <c r="AF207" s="42">
        <f>DATA!AM196</f>
        <v>0</v>
      </c>
      <c r="AG207" s="42" t="str">
        <f>DATA!AN196</f>
        <v>dalam proses
(penyusunan FS)</v>
      </c>
      <c r="AH207" s="42" t="str">
        <f>DATA!AO196</f>
        <v>belum ada keterangan</v>
      </c>
      <c r="AI207" s="42" t="str">
        <f>DATA!AP196</f>
        <v>belum ada proses tender/lelang</v>
      </c>
      <c r="AJ207" s="42" t="str">
        <f>DATA!AY196</f>
        <v>Surat Plh. Kepala Pusat Kem.Pertanian nomor 246/KL.230/A.6.3/09/2015 tgl 9 September 2015</v>
      </c>
      <c r="AK207" s="42" t="e">
        <f>DATA!#REF!</f>
        <v>#REF!</v>
      </c>
      <c r="AL207" s="42">
        <f>DATA!AZ196</f>
        <v>0</v>
      </c>
      <c r="AM207" s="67" t="str">
        <f>DATA!BA196</f>
        <v>Rencana penggunaan lahan di dataran tinggi berdasarkan kesesuaiannya, konservasi lahan dan air di dataran tinggi, dan budidaya pertanian ramah lingkungan untuk dataran tinggi</v>
      </c>
    </row>
    <row r="208" spans="1:39" s="6" customFormat="1" ht="65.25" hidden="1" customHeight="1">
      <c r="A208" s="6">
        <f>DATA!A197</f>
        <v>142</v>
      </c>
      <c r="B208" s="6">
        <f>DATA!B197</f>
        <v>0</v>
      </c>
      <c r="C208" s="6" t="str">
        <f>DATA!D197</f>
        <v>NON-INFRASTRUKTUR</v>
      </c>
      <c r="D208" s="6">
        <f>DATA!E197</f>
        <v>13</v>
      </c>
      <c r="E208" s="6" t="str">
        <f>DATA!F197</f>
        <v>Kementerian Pertanian</v>
      </c>
      <c r="F208" s="6" t="str">
        <f>DATA!H197</f>
        <v>Provision and Development of Agriculture Infrastructure Program</v>
      </c>
      <c r="G208" s="6" t="str">
        <f>DATA!I197</f>
        <v>A</v>
      </c>
      <c r="H208" s="6" t="str">
        <f>DATA!J197</f>
        <v>Program Penyediaan dan Pengembangan Prasarana dan Sarana Pertanian</v>
      </c>
      <c r="I208" s="6">
        <f>DATA!K197</f>
        <v>2</v>
      </c>
      <c r="J208" s="38"/>
      <c r="K208" s="39"/>
      <c r="L208" s="71"/>
      <c r="M208" s="43"/>
      <c r="N208" s="67" t="str">
        <f>DATA!L197</f>
        <v>Upland Development for National Food Security</v>
      </c>
      <c r="O208" s="42">
        <f>DATA!Q197</f>
        <v>0.33333333333333331</v>
      </c>
      <c r="P208" s="42">
        <f>DATA!R197</f>
        <v>0</v>
      </c>
      <c r="Q208" s="42">
        <f>DATA!S197</f>
        <v>0</v>
      </c>
      <c r="R208" s="83">
        <f>DATA!T197</f>
        <v>0</v>
      </c>
      <c r="S208" s="83"/>
      <c r="T208" s="83">
        <f>DATA!V197</f>
        <v>0</v>
      </c>
      <c r="U208" s="83">
        <f>DATA!W197</f>
        <v>0</v>
      </c>
      <c r="V208" s="83">
        <f>DATA!X197</f>
        <v>0</v>
      </c>
      <c r="W208" s="84" t="str">
        <f>DATA!Y197</f>
        <v>Belum Ada Indikasi</v>
      </c>
      <c r="X208" s="42" t="str">
        <f>DATA!Z197</f>
        <v>Belum Ada Indikasi</v>
      </c>
      <c r="Y208" s="83">
        <f>DATA!AA197</f>
        <v>285676000</v>
      </c>
      <c r="Z208" s="83">
        <f>DATA!AG197</f>
        <v>-285676000</v>
      </c>
      <c r="AA208" s="42" t="str">
        <f>DATA!AH197</f>
        <v>Tanpa keterangan</v>
      </c>
      <c r="AB208" s="67" t="str">
        <f>DATA!AI197</f>
        <v>-</v>
      </c>
      <c r="AC208" s="67" t="str">
        <f>DATA!AJ197</f>
        <v>-</v>
      </c>
      <c r="AD208" s="115" t="str">
        <f>DATA!AK197</f>
        <v>-</v>
      </c>
      <c r="AE208" s="67" t="str">
        <f>DATA!AL197</f>
        <v>-</v>
      </c>
      <c r="AF208" s="42">
        <f>DATA!AM197</f>
        <v>0</v>
      </c>
      <c r="AG208" s="42" t="str">
        <f>DATA!AN197</f>
        <v>belum ada keterangan</v>
      </c>
      <c r="AH208" s="42" t="str">
        <f>DATA!AO197</f>
        <v>belum ada keterangan</v>
      </c>
      <c r="AI208" s="42" t="str">
        <f>DATA!AP197</f>
        <v>belum ada proses tender/lelang</v>
      </c>
      <c r="AJ208" s="42" t="str">
        <f>DATA!AY197</f>
        <v>Surat Plh. Kepala Pusat Kem.Pertanian nomor 246/KL.230/A.6.3/09/2015 tgl 9 September 2015</v>
      </c>
      <c r="AK208" s="42" t="e">
        <f>DATA!#REF!</f>
        <v>#REF!</v>
      </c>
      <c r="AL208" s="42">
        <f>DATA!AZ197</f>
        <v>0</v>
      </c>
      <c r="AM208" s="67" t="str">
        <f>DATA!BA197</f>
        <v>Rencana penggunaan lahan di dataran tinggi berdasarkan kesesuaiannya, konservasi lahan dan air di dataran tinggi, dan budidaya pertanian ramah lingkungan untuk dataran tinggi</v>
      </c>
    </row>
    <row r="209" spans="1:39" s="5" customFormat="1" ht="33.75" hidden="1" customHeight="1">
      <c r="J209" s="28"/>
      <c r="K209" s="50"/>
      <c r="L209" s="30" t="str">
        <f>DATA!I198</f>
        <v>B</v>
      </c>
      <c r="M209" s="31" t="str">
        <f>DATA!J198</f>
        <v>Program Peningkatan Penyuluhan, Pendidikan, dan Pelatihan Pertanian</v>
      </c>
      <c r="N209" s="51"/>
      <c r="O209" s="31"/>
      <c r="P209" s="31"/>
      <c r="Q209" s="31"/>
      <c r="R209" s="81">
        <f>+R210+R211</f>
        <v>98900000</v>
      </c>
      <c r="S209" s="81"/>
      <c r="T209" s="81">
        <f t="shared" ref="T209:Z209" si="29">+T210+T211</f>
        <v>19780000</v>
      </c>
      <c r="U209" s="81">
        <f t="shared" si="29"/>
        <v>500000</v>
      </c>
      <c r="V209" s="81">
        <f t="shared" si="29"/>
        <v>119180000</v>
      </c>
      <c r="W209" s="81"/>
      <c r="X209" s="81" t="e">
        <f t="shared" si="29"/>
        <v>#VALUE!</v>
      </c>
      <c r="Y209" s="81">
        <f t="shared" si="29"/>
        <v>98900000</v>
      </c>
      <c r="Z209" s="81">
        <f t="shared" si="29"/>
        <v>0</v>
      </c>
      <c r="AA209" s="31"/>
      <c r="AB209" s="32"/>
      <c r="AC209" s="32"/>
      <c r="AD209" s="115" t="str">
        <f>DATA!AK198</f>
        <v>-</v>
      </c>
      <c r="AE209" s="32"/>
      <c r="AF209" s="31"/>
      <c r="AG209" s="31"/>
      <c r="AH209" s="31"/>
      <c r="AI209" s="31"/>
      <c r="AJ209" s="31"/>
      <c r="AK209" s="31"/>
      <c r="AL209" s="31"/>
      <c r="AM209" s="32"/>
    </row>
    <row r="210" spans="1:39" ht="106.5" hidden="1" customHeight="1">
      <c r="A210" s="10">
        <f>DATA!A198</f>
        <v>143</v>
      </c>
      <c r="B210" s="10">
        <f>DATA!B198</f>
        <v>0</v>
      </c>
      <c r="C210" s="10" t="str">
        <f>DATA!D198</f>
        <v>NON-INFRASTRUKTUR</v>
      </c>
      <c r="D210" s="10">
        <f>DATA!E198</f>
        <v>13</v>
      </c>
      <c r="E210" s="10" t="str">
        <f>DATA!F198</f>
        <v>Kementerian Pertanian</v>
      </c>
      <c r="F210" s="10" t="str">
        <f>DATA!H198</f>
        <v>Agriculture Extention, Education, and Training Improvement Program</v>
      </c>
      <c r="G210" s="10" t="str">
        <f>DATA!I198</f>
        <v>B</v>
      </c>
      <c r="H210" s="10" t="str">
        <f>DATA!J198</f>
        <v>Program Peningkatan Penyuluhan, Pendidikan, dan Pelatihan Pertanian</v>
      </c>
      <c r="I210" s="10">
        <f>DATA!K198</f>
        <v>1</v>
      </c>
      <c r="J210" s="33"/>
      <c r="K210" s="34"/>
      <c r="L210" s="35"/>
      <c r="M210" s="36">
        <f>DATA!K198</f>
        <v>1</v>
      </c>
      <c r="N210" s="37" t="str">
        <f>DATA!L198</f>
        <v>Young Enterpreneur Growth and Development for Sustainable Agricultural Development</v>
      </c>
      <c r="O210" s="20">
        <f>DATA!Q198</f>
        <v>1</v>
      </c>
      <c r="P210" s="20">
        <f>DATA!R198</f>
        <v>1</v>
      </c>
      <c r="Q210" s="20">
        <f>DATA!S198</f>
        <v>111</v>
      </c>
      <c r="R210" s="77">
        <f>DATA!T198</f>
        <v>68900000</v>
      </c>
      <c r="S210" s="77"/>
      <c r="T210" s="77">
        <f>DATA!V198</f>
        <v>13780000</v>
      </c>
      <c r="U210" s="77">
        <f>DATA!W198</f>
        <v>0</v>
      </c>
      <c r="V210" s="77">
        <f>DATA!X198</f>
        <v>82680000</v>
      </c>
      <c r="W210" s="78" t="str">
        <f>DATA!Y198</f>
        <v>IFAD</v>
      </c>
      <c r="X210" s="20" t="str">
        <f>DATA!Z198</f>
        <v>Multilateral</v>
      </c>
      <c r="Y210" s="77">
        <f>DATA!AA198</f>
        <v>68900000</v>
      </c>
      <c r="Z210" s="77">
        <f>DATA!AG198</f>
        <v>0</v>
      </c>
      <c r="AA210" s="20" t="str">
        <f>DATA!AH198</f>
        <v>Tanpa keterangan</v>
      </c>
      <c r="AB210" s="37" t="str">
        <f>DATA!AI198</f>
        <v>Dalam tahap diskusi awal dengan pihak lender untuk penyempurnaan proposal</v>
      </c>
      <c r="AC210" s="37" t="str">
        <f>DATA!AJ198</f>
        <v>-</v>
      </c>
      <c r="AD210" s="115" t="str">
        <f>DATA!AK199</f>
        <v>-</v>
      </c>
      <c r="AE210" s="37" t="str">
        <f>DATA!AL198</f>
        <v>-</v>
      </c>
      <c r="AF210" s="20">
        <f>DATA!AM198</f>
        <v>0</v>
      </c>
      <c r="AG210" s="20" t="str">
        <f>DATA!AN198</f>
        <v>belum ada keterangan</v>
      </c>
      <c r="AH210" s="20" t="str">
        <f>DATA!AO198</f>
        <v>belum ada keterangan</v>
      </c>
      <c r="AI210" s="20" t="str">
        <f>DATA!AP198</f>
        <v>belum ada proses tender/lelang</v>
      </c>
      <c r="AJ210" s="20" t="str">
        <f>DATA!AY198</f>
        <v>Surat Plh. Kepala Pusat Kem.Pertanian nomor 246/KL.230/A.6.3/09/2015 tgl 9 September 2015</v>
      </c>
      <c r="AK210" s="20" t="e">
        <f>DATA!#REF!</f>
        <v>#REF!</v>
      </c>
      <c r="AL210" s="20">
        <f>DATA!AZ198</f>
        <v>0</v>
      </c>
      <c r="AM210" s="37"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row>
    <row r="211" spans="1:39" ht="63.75" hidden="1">
      <c r="A211" s="10">
        <f>DATA!A199</f>
        <v>144</v>
      </c>
      <c r="B211" s="10">
        <f>DATA!B199</f>
        <v>0</v>
      </c>
      <c r="C211" s="10" t="str">
        <f>DATA!D199</f>
        <v>NON-INFRASTRUKTUR</v>
      </c>
      <c r="D211" s="10">
        <f>DATA!E199</f>
        <v>13</v>
      </c>
      <c r="E211" s="10" t="str">
        <f>DATA!F199</f>
        <v>Kementerian Pertanian</v>
      </c>
      <c r="F211" s="10" t="str">
        <f>DATA!H199</f>
        <v>Agriculture Extention, Education, and Training Improvement Program</v>
      </c>
      <c r="G211" s="10" t="str">
        <f>DATA!I199</f>
        <v>B</v>
      </c>
      <c r="H211" s="10" t="str">
        <f>DATA!J199</f>
        <v>Program Peningkatan Penyuluhan, Pendidikan, dan Pelatihan Pertanian</v>
      </c>
      <c r="I211" s="10">
        <f>DATA!K199</f>
        <v>2</v>
      </c>
      <c r="J211" s="33"/>
      <c r="K211" s="54"/>
      <c r="L211" s="54"/>
      <c r="M211" s="36">
        <f>DATA!K199</f>
        <v>2</v>
      </c>
      <c r="N211" s="37" t="str">
        <f>DATA!L199</f>
        <v>Rural Empowerment and Agricultural Development (READ) Programme in Sulawesi Island – Phase II</v>
      </c>
      <c r="O211" s="20">
        <f>DATA!Q199</f>
        <v>1</v>
      </c>
      <c r="P211" s="20">
        <f>DATA!R199</f>
        <v>1</v>
      </c>
      <c r="Q211" s="20">
        <f>DATA!S199</f>
        <v>112</v>
      </c>
      <c r="R211" s="77">
        <f>DATA!T199</f>
        <v>30000000</v>
      </c>
      <c r="S211" s="77"/>
      <c r="T211" s="77">
        <f>DATA!V199</f>
        <v>6000000</v>
      </c>
      <c r="U211" s="77">
        <f>DATA!W199</f>
        <v>500000</v>
      </c>
      <c r="V211" s="77">
        <f>DATA!X199</f>
        <v>36500000</v>
      </c>
      <c r="W211" s="78" t="str">
        <f>DATA!Y199</f>
        <v>IFAD</v>
      </c>
      <c r="X211" s="20" t="str">
        <f>DATA!Z199</f>
        <v>Multilateral</v>
      </c>
      <c r="Y211" s="77">
        <f>DATA!AA199</f>
        <v>30000000</v>
      </c>
      <c r="Z211" s="77">
        <f>DATA!AG199</f>
        <v>0</v>
      </c>
      <c r="AA211" s="20" t="str">
        <f>DATA!AH199</f>
        <v>Tanpa keterangan</v>
      </c>
      <c r="AB211" s="37" t="str">
        <f>DATA!AI199</f>
        <v>Dalam tahap diskusi awal dengan pihak lender untuk penyempurnaan proposal</v>
      </c>
      <c r="AC211" s="37" t="str">
        <f>DATA!AJ199</f>
        <v>-</v>
      </c>
      <c r="AD211" s="115" t="str">
        <f>DATA!AK200</f>
        <v>-</v>
      </c>
      <c r="AE211" s="37" t="str">
        <f>DATA!AL199</f>
        <v>-</v>
      </c>
      <c r="AF211" s="20">
        <f>DATA!AM199</f>
        <v>0</v>
      </c>
      <c r="AG211" s="20" t="str">
        <f>DATA!AN199</f>
        <v>belum ada keterangan</v>
      </c>
      <c r="AH211" s="20" t="str">
        <f>DATA!AO199</f>
        <v>belum ada keterangan</v>
      </c>
      <c r="AI211" s="20" t="str">
        <f>DATA!AP199</f>
        <v>belum ada proses tender/lelang</v>
      </c>
      <c r="AJ211" s="20" t="str">
        <f>DATA!AY199</f>
        <v>Surat Plh. Kepala Pusat Kem.Pertanian nomor 246/KL.230/A.6.3/09/2015 tgl 9 September 2015</v>
      </c>
      <c r="AK211" s="20" t="e">
        <f>DATA!#REF!</f>
        <v>#REF!</v>
      </c>
      <c r="AL211" s="20">
        <f>DATA!AZ199</f>
        <v>0</v>
      </c>
      <c r="AM211" s="37" t="str">
        <f>DATA!BA199</f>
        <v>Pemberdayaan masyarakat petani, peningkatan mata pencaharian, dan pembangunan infrastruktur pertanian</v>
      </c>
    </row>
    <row r="212" spans="1:39" s="4" customFormat="1" ht="24.95" hidden="1" customHeight="1">
      <c r="J212" s="107"/>
      <c r="K212" s="25">
        <f>DATA!E200</f>
        <v>14</v>
      </c>
      <c r="L212" s="108" t="str">
        <f>DATA!F200</f>
        <v>Kementerian Ketenagakerjaan</v>
      </c>
      <c r="M212" s="25"/>
      <c r="N212" s="27"/>
      <c r="O212" s="26"/>
      <c r="P212" s="26"/>
      <c r="Q212" s="26"/>
      <c r="R212" s="80">
        <f>+R213</f>
        <v>92308000</v>
      </c>
      <c r="S212" s="80"/>
      <c r="T212" s="80">
        <f t="shared" ref="T212:Z213" si="30">+T213</f>
        <v>2500000</v>
      </c>
      <c r="U212" s="80">
        <f t="shared" si="30"/>
        <v>0</v>
      </c>
      <c r="V212" s="80">
        <f t="shared" si="30"/>
        <v>94808000</v>
      </c>
      <c r="W212" s="120" t="str">
        <f t="shared" si="30"/>
        <v>-</v>
      </c>
      <c r="X212" s="80" t="str">
        <f t="shared" si="30"/>
        <v>Multi Lender</v>
      </c>
      <c r="Y212" s="80">
        <f t="shared" si="30"/>
        <v>92308000</v>
      </c>
      <c r="Z212" s="80">
        <f t="shared" si="30"/>
        <v>0</v>
      </c>
      <c r="AA212" s="26"/>
      <c r="AB212" s="27"/>
      <c r="AC212" s="27"/>
      <c r="AD212" s="27"/>
      <c r="AE212" s="27"/>
      <c r="AF212" s="26"/>
      <c r="AG212" s="26"/>
      <c r="AH212" s="26"/>
      <c r="AI212" s="26"/>
      <c r="AJ212" s="26"/>
      <c r="AK212" s="26"/>
      <c r="AL212" s="26"/>
      <c r="AM212" s="27"/>
    </row>
    <row r="213" spans="1:39" s="5" customFormat="1" ht="33.75" hidden="1" customHeight="1">
      <c r="J213" s="28"/>
      <c r="K213" s="29"/>
      <c r="L213" s="30" t="str">
        <f>DATA!I206</f>
        <v>A</v>
      </c>
      <c r="M213" s="31" t="str">
        <f>DATA!J206</f>
        <v>Program Pengembangan dan Pembinaan Meteorologi, Klimatologi, dan Geofisika</v>
      </c>
      <c r="N213" s="51"/>
      <c r="O213" s="31"/>
      <c r="P213" s="31"/>
      <c r="Q213" s="31"/>
      <c r="R213" s="81">
        <f>+R214</f>
        <v>92308000</v>
      </c>
      <c r="S213" s="81"/>
      <c r="T213" s="81">
        <f t="shared" si="30"/>
        <v>2500000</v>
      </c>
      <c r="U213" s="81">
        <f t="shared" si="30"/>
        <v>0</v>
      </c>
      <c r="V213" s="81">
        <f t="shared" si="30"/>
        <v>94808000</v>
      </c>
      <c r="W213" s="121" t="s">
        <v>21</v>
      </c>
      <c r="X213" s="81" t="str">
        <f t="shared" si="30"/>
        <v>Multi Lender</v>
      </c>
      <c r="Y213" s="81">
        <f t="shared" si="30"/>
        <v>92308000</v>
      </c>
      <c r="Z213" s="81">
        <f t="shared" si="30"/>
        <v>0</v>
      </c>
      <c r="AA213" s="31"/>
      <c r="AB213" s="32"/>
      <c r="AC213" s="32"/>
      <c r="AD213" s="32"/>
      <c r="AE213" s="32"/>
      <c r="AF213" s="31"/>
      <c r="AG213" s="31"/>
      <c r="AH213" s="31"/>
      <c r="AI213" s="31"/>
      <c r="AJ213" s="31"/>
      <c r="AK213" s="31"/>
      <c r="AL213" s="31"/>
      <c r="AM213" s="32"/>
    </row>
    <row r="214" spans="1:39" ht="47.25" hidden="1" customHeight="1">
      <c r="A214" s="10">
        <f>DATA!A200</f>
        <v>145</v>
      </c>
      <c r="B214" s="10">
        <f>DATA!B200</f>
        <v>0</v>
      </c>
      <c r="C214" s="10" t="str">
        <f>DATA!D200</f>
        <v>NON-INFRASTRUKTUR</v>
      </c>
      <c r="D214" s="10">
        <f>DATA!E200</f>
        <v>14</v>
      </c>
      <c r="E214" s="10" t="str">
        <f>DATA!F200</f>
        <v>Kementerian Ketenagakerjaan</v>
      </c>
      <c r="F214" s="10" t="str">
        <f>DATA!H200</f>
        <v>Improving Labor Competitiveness Program</v>
      </c>
      <c r="G214" s="10" t="str">
        <f>DATA!I200</f>
        <v>A</v>
      </c>
      <c r="H214" s="10" t="str">
        <f>DATA!J200</f>
        <v>Program Peningkatan Daya Saing Tenaga Kerja</v>
      </c>
      <c r="I214" s="10">
        <f>DATA!K200</f>
        <v>1</v>
      </c>
      <c r="J214" s="33"/>
      <c r="K214" s="54"/>
      <c r="L214" s="20"/>
      <c r="M214" s="36">
        <f>DATA!K200</f>
        <v>1</v>
      </c>
      <c r="N214" s="37" t="str">
        <f>DATA!L200</f>
        <v>Development of Maritime Vocational Training Centers</v>
      </c>
      <c r="O214" s="20">
        <f>DATA!Q200</f>
        <v>1</v>
      </c>
      <c r="P214" s="20">
        <f>DATA!R200</f>
        <v>1</v>
      </c>
      <c r="Q214" s="20">
        <f>DATA!S200</f>
        <v>113</v>
      </c>
      <c r="R214" s="77">
        <f>DATA!T200</f>
        <v>92308000</v>
      </c>
      <c r="S214" s="77"/>
      <c r="T214" s="77">
        <f>DATA!V200</f>
        <v>2500000</v>
      </c>
      <c r="U214" s="77">
        <f>DATA!W200</f>
        <v>0</v>
      </c>
      <c r="V214" s="77">
        <f>DATA!X200</f>
        <v>94808000</v>
      </c>
      <c r="W214" s="78" t="str">
        <f>DATA!Y200</f>
        <v>Austria/ JICA/ Singapura</v>
      </c>
      <c r="X214" s="20" t="str">
        <f>DATA!Z200</f>
        <v>Multi Lender</v>
      </c>
      <c r="Y214" s="77">
        <f>DATA!AA200</f>
        <v>92308000</v>
      </c>
      <c r="Z214" s="77">
        <f>DATA!AG200</f>
        <v>0</v>
      </c>
      <c r="AA214" s="20" t="str">
        <f>DATA!AH200</f>
        <v>Tanpa keterangan</v>
      </c>
      <c r="AB214" s="37" t="str">
        <f>DATA!AI200</f>
        <v>-</v>
      </c>
      <c r="AC214" s="37" t="str">
        <f>DATA!AJ200</f>
        <v>-</v>
      </c>
      <c r="AD214" s="37" t="str">
        <f>DATA!AK200</f>
        <v>-</v>
      </c>
      <c r="AE214" s="37" t="str">
        <f>DATA!AL200</f>
        <v>-</v>
      </c>
      <c r="AF214" s="20">
        <f>DATA!AM200</f>
        <v>0</v>
      </c>
      <c r="AG214" s="20" t="str">
        <f>DATA!AN200</f>
        <v>belum ada keterangan</v>
      </c>
      <c r="AH214" s="20" t="str">
        <f>DATA!AO200</f>
        <v>belum ada keterangan</v>
      </c>
      <c r="AI214" s="20" t="str">
        <f>DATA!AP200</f>
        <v>belum ada proses tender/lelang</v>
      </c>
      <c r="AJ214" s="20" t="str">
        <f>DATA!AY200</f>
        <v xml:space="preserve">- Semula indikasi pendanaan oleh IDB namun pihak Kem. Naker mengkonfirmasikan bahwa Lender keg ini belum ada indikasi lender
- Konfirmasi Lender Austria didapatkan dari rapat dgn Dit. Multilateral tgl 15 Okt' 2015 di R.SG-4
</v>
      </c>
      <c r="AK214" s="20" t="e">
        <f>DATA!#REF!</f>
        <v>#REF!</v>
      </c>
      <c r="AL214" s="20" t="str">
        <f>DATA!AZ200</f>
        <v>Konfirmasi Lender Austria didapatkan dari rapat dgn Dit. Multilateral tgl 15 Okt' 2015 di R.SG-4</v>
      </c>
      <c r="AM214" s="37" t="str">
        <f>DATA!BA200</f>
        <v>Penyediaan sarana dan peralatan BLK Maritim, rehabilitasi Workshop, pengembangan Software Pelatihan, dan Training of Trainers (ToT)</v>
      </c>
    </row>
    <row r="215" spans="1:39" s="4" customFormat="1" ht="24.95" hidden="1" customHeight="1">
      <c r="J215" s="107"/>
      <c r="K215" s="25">
        <f>DATA!E201</f>
        <v>15</v>
      </c>
      <c r="L215" s="108" t="str">
        <f>DATA!F201</f>
        <v>Kementerian Kelautan dan Perikanan</v>
      </c>
      <c r="M215" s="25"/>
      <c r="N215" s="27"/>
      <c r="O215" s="26"/>
      <c r="P215" s="26"/>
      <c r="Q215" s="26"/>
      <c r="R215" s="80">
        <f>+R216</f>
        <v>107000000</v>
      </c>
      <c r="S215" s="80"/>
      <c r="T215" s="80">
        <f t="shared" ref="T215:Z216" si="31">+T216</f>
        <v>4261000</v>
      </c>
      <c r="U215" s="80">
        <f t="shared" si="31"/>
        <v>2160000</v>
      </c>
      <c r="V215" s="80">
        <f t="shared" si="31"/>
        <v>113421000</v>
      </c>
      <c r="W215" s="80"/>
      <c r="X215" s="80" t="str">
        <f>+X216</f>
        <v>-</v>
      </c>
      <c r="Y215" s="80">
        <f>+Y216</f>
        <v>107000000</v>
      </c>
      <c r="Z215" s="80">
        <f>+Z216</f>
        <v>-107000000</v>
      </c>
      <c r="AA215" s="26"/>
      <c r="AB215" s="27"/>
      <c r="AC215" s="27"/>
      <c r="AD215" s="27"/>
      <c r="AE215" s="27"/>
      <c r="AF215" s="26"/>
      <c r="AG215" s="26"/>
      <c r="AH215" s="26"/>
      <c r="AI215" s="26"/>
      <c r="AJ215" s="26"/>
      <c r="AK215" s="26"/>
      <c r="AL215" s="26"/>
      <c r="AM215" s="27"/>
    </row>
    <row r="216" spans="1:39" s="5" customFormat="1" ht="33.75" hidden="1" customHeight="1">
      <c r="J216" s="28"/>
      <c r="K216" s="116"/>
      <c r="L216" s="30" t="str">
        <f>DATA!I201</f>
        <v>A</v>
      </c>
      <c r="M216" s="31" t="str">
        <f>DATA!J201</f>
        <v>Program Peningkatan Fasilitas Perikanan</v>
      </c>
      <c r="N216" s="51"/>
      <c r="O216" s="31"/>
      <c r="P216" s="31"/>
      <c r="Q216" s="31"/>
      <c r="R216" s="81">
        <f>+R217</f>
        <v>107000000</v>
      </c>
      <c r="S216" s="81"/>
      <c r="T216" s="81">
        <f t="shared" si="31"/>
        <v>4261000</v>
      </c>
      <c r="U216" s="81">
        <f t="shared" si="31"/>
        <v>2160000</v>
      </c>
      <c r="V216" s="81">
        <f t="shared" si="31"/>
        <v>113421000</v>
      </c>
      <c r="W216" s="81"/>
      <c r="X216" s="81" t="str">
        <f t="shared" si="31"/>
        <v>-</v>
      </c>
      <c r="Y216" s="81">
        <f t="shared" si="31"/>
        <v>107000000</v>
      </c>
      <c r="Z216" s="81">
        <f t="shared" si="31"/>
        <v>-107000000</v>
      </c>
      <c r="AA216" s="31"/>
      <c r="AB216" s="32"/>
      <c r="AC216" s="32"/>
      <c r="AD216" s="32"/>
      <c r="AE216" s="32"/>
      <c r="AF216" s="31"/>
      <c r="AG216" s="31"/>
      <c r="AH216" s="31"/>
      <c r="AI216" s="31"/>
      <c r="AJ216" s="31"/>
      <c r="AK216" s="31"/>
      <c r="AL216" s="31"/>
      <c r="AM216" s="32"/>
    </row>
    <row r="217" spans="1:39" ht="58.5" hidden="1" customHeight="1">
      <c r="A217" s="10">
        <f>DATA!A201</f>
        <v>146</v>
      </c>
      <c r="B217" s="10">
        <f>DATA!B201</f>
        <v>0</v>
      </c>
      <c r="C217" s="10" t="str">
        <f>DATA!D201</f>
        <v>NON-INFRASTRUKTUR</v>
      </c>
      <c r="D217" s="10">
        <f>DATA!E201</f>
        <v>15</v>
      </c>
      <c r="E217" s="10" t="str">
        <f>DATA!F201</f>
        <v>Kementerian Kelautan dan Perikanan</v>
      </c>
      <c r="F217" s="10" t="str">
        <f>DATA!H201</f>
        <v>Improvement of Fisheries Facilities Program</v>
      </c>
      <c r="G217" s="10" t="str">
        <f>DATA!I201</f>
        <v>A</v>
      </c>
      <c r="H217" s="10" t="str">
        <f>DATA!J201</f>
        <v>Program Peningkatan Fasilitas Perikanan</v>
      </c>
      <c r="I217" s="10">
        <f>DATA!K201</f>
        <v>1</v>
      </c>
      <c r="J217" s="33"/>
      <c r="K217" s="20"/>
      <c r="L217" s="20"/>
      <c r="M217" s="36">
        <f>DATA!K201</f>
        <v>1</v>
      </c>
      <c r="N217" s="37" t="str">
        <f>DATA!L201</f>
        <v xml:space="preserve">Outer Ring Fishing Ports Development - Phase I </v>
      </c>
      <c r="O217" s="20">
        <f>DATA!Q201</f>
        <v>1</v>
      </c>
      <c r="P217" s="20">
        <f>DATA!R201</f>
        <v>1</v>
      </c>
      <c r="Q217" s="20">
        <f>DATA!S201</f>
        <v>114</v>
      </c>
      <c r="R217" s="77">
        <f>DATA!T201</f>
        <v>107000000</v>
      </c>
      <c r="S217" s="77"/>
      <c r="T217" s="77">
        <f>DATA!V201</f>
        <v>4261000</v>
      </c>
      <c r="U217" s="77">
        <f>DATA!W201</f>
        <v>2160000</v>
      </c>
      <c r="V217" s="77">
        <f>DATA!X201</f>
        <v>113421000</v>
      </c>
      <c r="W217" s="78" t="str">
        <f>DATA!Y201</f>
        <v>-</v>
      </c>
      <c r="X217" s="20" t="str">
        <f>DATA!Z201</f>
        <v>-</v>
      </c>
      <c r="Y217" s="77">
        <f>DATA!AA201</f>
        <v>107000000</v>
      </c>
      <c r="Z217" s="77">
        <f>DATA!AG201</f>
        <v>-107000000</v>
      </c>
      <c r="AA217" s="20" t="str">
        <f>DATA!AH201</f>
        <v>Tanpa keterangan</v>
      </c>
      <c r="AB217" s="37" t="str">
        <f>DATA!AI201</f>
        <v>-</v>
      </c>
      <c r="AC217" s="37" t="str">
        <f>DATA!AJ201</f>
        <v>sudah ada RC</v>
      </c>
      <c r="AD217" s="37" t="str">
        <f>DATA!AK201</f>
        <v>-</v>
      </c>
      <c r="AE217" s="37" t="str">
        <f>DATA!AL201</f>
        <v>-</v>
      </c>
      <c r="AF217" s="20">
        <f>DATA!AM201</f>
        <v>0</v>
      </c>
      <c r="AG217" s="20" t="str">
        <f>DATA!AN201</f>
        <v>dalam proses
(memiliki FS)</v>
      </c>
      <c r="AH217" s="20" t="str">
        <f>DATA!AO201</f>
        <v>belum ada keterangan</v>
      </c>
      <c r="AI217" s="20" t="str">
        <f>DATA!AP201</f>
        <v>belum ada proses tender/lelang</v>
      </c>
      <c r="AJ217" s="20" t="str">
        <f>DATA!AY201</f>
        <v>- berdasarkan data/dokumen pada Bluebook sebelumnya. Semula indikasi lender Prancis, kemudian Kem. KKP mengkonfirmasikan bahwa belum ada indikasi lender
- Belum ada konfirmasi</v>
      </c>
      <c r="AK217" s="20" t="e">
        <f>DATA!#REF!</f>
        <v>#REF!</v>
      </c>
      <c r="AL217" s="20">
        <f>DATA!AZ201</f>
        <v>0</v>
      </c>
      <c r="AM217" s="37" t="str">
        <f>DATA!BA201</f>
        <v>Pekerjaan pembangunan dan peningkatan fasilitas pelabuhan perikanan serta pelatihan dan pendidikan SDM di 8 lokasi prioritas yang memiliki standar pelayanan berskala internasional</v>
      </c>
    </row>
    <row r="218" spans="1:39" s="4" customFormat="1" ht="24.95" hidden="1" customHeight="1">
      <c r="J218" s="107"/>
      <c r="K218" s="25">
        <f>DATA!E206</f>
        <v>16</v>
      </c>
      <c r="L218" s="108" t="str">
        <f>DATA!F206</f>
        <v>Badan Meteorologi, Klimatologi dan Geofisika (BMKG)</v>
      </c>
      <c r="M218" s="25"/>
      <c r="N218" s="27"/>
      <c r="O218" s="26"/>
      <c r="P218" s="26"/>
      <c r="Q218" s="26"/>
      <c r="R218" s="80">
        <f>+R219</f>
        <v>150000000</v>
      </c>
      <c r="S218" s="80"/>
      <c r="T218" s="80">
        <f t="shared" ref="T218:Z219" si="32">+T219</f>
        <v>9000000</v>
      </c>
      <c r="U218" s="80">
        <f t="shared" si="32"/>
        <v>0</v>
      </c>
      <c r="V218" s="80">
        <f t="shared" si="32"/>
        <v>159000000</v>
      </c>
      <c r="W218" s="80">
        <f t="shared" si="32"/>
        <v>0</v>
      </c>
      <c r="X218" s="80">
        <f t="shared" si="32"/>
        <v>0</v>
      </c>
      <c r="Y218" s="80">
        <f t="shared" si="32"/>
        <v>150000000</v>
      </c>
      <c r="Z218" s="80">
        <f t="shared" si="32"/>
        <v>0</v>
      </c>
      <c r="AA218" s="26"/>
      <c r="AB218" s="27"/>
      <c r="AC218" s="27"/>
      <c r="AD218" s="27"/>
      <c r="AE218" s="27"/>
      <c r="AF218" s="26"/>
      <c r="AG218" s="26"/>
      <c r="AH218" s="26"/>
      <c r="AI218" s="26"/>
      <c r="AJ218" s="26"/>
      <c r="AK218" s="26"/>
      <c r="AL218" s="26"/>
      <c r="AM218" s="27"/>
    </row>
    <row r="219" spans="1:39" s="5" customFormat="1" ht="33.75" hidden="1" customHeight="1">
      <c r="J219" s="28"/>
      <c r="K219" s="29"/>
      <c r="L219" s="30" t="str">
        <f>DATA!I206</f>
        <v>A</v>
      </c>
      <c r="M219" s="31" t="str">
        <f>DATA!J206</f>
        <v>Program Pengembangan dan Pembinaan Meteorologi, Klimatologi, dan Geofisika</v>
      </c>
      <c r="N219" s="51"/>
      <c r="O219" s="31"/>
      <c r="P219" s="31"/>
      <c r="Q219" s="31"/>
      <c r="R219" s="81">
        <f>+R220</f>
        <v>150000000</v>
      </c>
      <c r="S219" s="81"/>
      <c r="T219" s="81">
        <f t="shared" si="32"/>
        <v>9000000</v>
      </c>
      <c r="U219" s="81">
        <f t="shared" si="32"/>
        <v>0</v>
      </c>
      <c r="V219" s="81">
        <f t="shared" si="32"/>
        <v>159000000</v>
      </c>
      <c r="W219" s="82"/>
      <c r="X219" s="31"/>
      <c r="Y219" s="81">
        <f t="shared" si="32"/>
        <v>150000000</v>
      </c>
      <c r="Z219" s="81">
        <f t="shared" si="32"/>
        <v>0</v>
      </c>
      <c r="AA219" s="31"/>
      <c r="AB219" s="32"/>
      <c r="AC219" s="32"/>
      <c r="AD219" s="32"/>
      <c r="AE219" s="32"/>
      <c r="AF219" s="31"/>
      <c r="AG219" s="31"/>
      <c r="AH219" s="31"/>
      <c r="AI219" s="31"/>
      <c r="AJ219" s="31"/>
      <c r="AK219" s="31"/>
      <c r="AL219" s="31"/>
      <c r="AM219" s="32"/>
    </row>
    <row r="220" spans="1:39" ht="102" hidden="1">
      <c r="A220" s="10">
        <f>DATA!A206</f>
        <v>147</v>
      </c>
      <c r="B220" s="10">
        <f>DATA!B206</f>
        <v>0</v>
      </c>
      <c r="C220" s="10" t="str">
        <f>DATA!D206</f>
        <v>NON-INFRASTRUKTUR</v>
      </c>
      <c r="D220" s="10">
        <f>DATA!E206</f>
        <v>16</v>
      </c>
      <c r="E220" s="10" t="str">
        <f>DATA!F206</f>
        <v>Badan Meteorologi, Klimatologi dan Geofisika (BMKG)</v>
      </c>
      <c r="F220" s="10" t="str">
        <f>DATA!H206</f>
        <v>Program for Capacity Development and Guidance of Meteorology, Climatology, and Geophysics</v>
      </c>
      <c r="G220" s="10" t="str">
        <f>DATA!I206</f>
        <v>A</v>
      </c>
      <c r="H220" s="10" t="str">
        <f>DATA!J206</f>
        <v>Program Pengembangan dan Pembinaan Meteorologi, Klimatologi, dan Geofisika</v>
      </c>
      <c r="I220" s="10">
        <f>DATA!K206</f>
        <v>1</v>
      </c>
      <c r="J220" s="33"/>
      <c r="K220" s="54"/>
      <c r="L220" s="36"/>
      <c r="M220" s="36">
        <f>DATA!K206</f>
        <v>1</v>
      </c>
      <c r="N220" s="37" t="str">
        <f>DATA!L206</f>
        <v xml:space="preserve">Strengthening Climate and Weather Service Capacity – Phase II:
a) Kegiatan lanjutan dari kegiatan Strengthening BMKG Climate and Weather Services Capacity Phase I
b) Kegiatan pengembangan sistem Layanan Informasi Meteorologi Maritim </v>
      </c>
      <c r="O220" s="20">
        <f>DATA!Q206</f>
        <v>1</v>
      </c>
      <c r="P220" s="20">
        <f>DATA!R206</f>
        <v>1</v>
      </c>
      <c r="Q220" s="20">
        <f>DATA!S206</f>
        <v>115</v>
      </c>
      <c r="R220" s="77">
        <f>DATA!T206</f>
        <v>150000000</v>
      </c>
      <c r="S220" s="77"/>
      <c r="T220" s="77">
        <f>DATA!V206</f>
        <v>9000000</v>
      </c>
      <c r="U220" s="77">
        <f>DATA!W206</f>
        <v>0</v>
      </c>
      <c r="V220" s="77">
        <f>DATA!X206</f>
        <v>159000000</v>
      </c>
      <c r="W220" s="78" t="str">
        <f>DATA!Y206</f>
        <v>US EXIM</v>
      </c>
      <c r="X220" s="20" t="str">
        <f>DATA!Z206</f>
        <v>Bilateral</v>
      </c>
      <c r="Y220" s="77">
        <f>DATA!AA206</f>
        <v>150000000</v>
      </c>
      <c r="Z220" s="77">
        <f>DATA!AG206</f>
        <v>0</v>
      </c>
      <c r="AA220" s="20" t="str">
        <f>DATA!AH206</f>
        <v>Tanpa keterangan</v>
      </c>
      <c r="AB220" s="37" t="str">
        <f>DATA!AI206</f>
        <v>a) Siap
b) -</v>
      </c>
      <c r="AC220" s="37" t="str">
        <f>DATA!AJ206</f>
        <v>a) Siap
b) -</v>
      </c>
      <c r="AD220" s="37" t="str">
        <f>DATA!AK206</f>
        <v>a) Siap
b) Siap</v>
      </c>
      <c r="AE220" s="37" t="str">
        <f>DATA!AL206</f>
        <v>a) -
b) -</v>
      </c>
      <c r="AF220" s="20">
        <f>DATA!AM206</f>
        <v>0</v>
      </c>
      <c r="AG220" s="20" t="str">
        <f>DATA!AN206</f>
        <v>dalam proses
(penyusunan FS)</v>
      </c>
      <c r="AH220" s="20" t="str">
        <f>DATA!AO206</f>
        <v>siap</v>
      </c>
      <c r="AI220" s="20" t="str">
        <f>DATA!AP206</f>
        <v>belum ada proses tender/lelang</v>
      </c>
      <c r="AJ220" s="20" t="str">
        <f>DATA!AY206</f>
        <v>- Terintegrasi dengan sarana dan sistem hasil kegiatan fase 1 yang sudah terbangun sebelumnya
- Surat Kepala BMKG nomor KU.205/003/KB/IX/2015 tanggal 8 September 2015</v>
      </c>
      <c r="AK220" s="20" t="e">
        <f>DATA!#REF!</f>
        <v>#REF!</v>
      </c>
      <c r="AL220" s="20">
        <f>DATA!AZ206</f>
        <v>0</v>
      </c>
      <c r="AM220" s="37"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row>
    <row r="221" spans="1:39" s="4" customFormat="1" ht="24.95" hidden="1" customHeight="1">
      <c r="J221" s="107"/>
      <c r="K221" s="25">
        <f>DATA!E207</f>
        <v>17</v>
      </c>
      <c r="L221" s="108" t="str">
        <f>DATA!F207</f>
        <v>Badan Pengkajian dan Penerapan Teknologi (BPPT)</v>
      </c>
      <c r="M221" s="25"/>
      <c r="N221" s="27"/>
      <c r="O221" s="26"/>
      <c r="P221" s="26"/>
      <c r="Q221" s="26"/>
      <c r="R221" s="80">
        <f>+R222</f>
        <v>114400000</v>
      </c>
      <c r="S221" s="80"/>
      <c r="T221" s="80">
        <f t="shared" ref="T221:Z222" si="33">+T222</f>
        <v>17200000</v>
      </c>
      <c r="U221" s="80">
        <f t="shared" si="33"/>
        <v>0</v>
      </c>
      <c r="V221" s="80">
        <f t="shared" si="33"/>
        <v>131600000</v>
      </c>
      <c r="W221" s="122"/>
      <c r="X221" s="26"/>
      <c r="Y221" s="80">
        <f>+Y222</f>
        <v>114400000</v>
      </c>
      <c r="Z221" s="80">
        <f>+Z222</f>
        <v>0</v>
      </c>
      <c r="AA221" s="26"/>
      <c r="AB221" s="27"/>
      <c r="AC221" s="27"/>
      <c r="AD221" s="27"/>
      <c r="AE221" s="27"/>
      <c r="AF221" s="26"/>
      <c r="AG221" s="26"/>
      <c r="AH221" s="26"/>
      <c r="AI221" s="26"/>
      <c r="AJ221" s="26"/>
      <c r="AK221" s="26"/>
      <c r="AL221" s="26"/>
      <c r="AM221" s="27"/>
    </row>
    <row r="222" spans="1:39" s="5" customFormat="1" ht="33.75" hidden="1" customHeight="1">
      <c r="J222" s="28"/>
      <c r="K222" s="29"/>
      <c r="L222" s="30" t="str">
        <f>DATA!I207</f>
        <v>A</v>
      </c>
      <c r="M222" s="31" t="str">
        <f>DATA!J207</f>
        <v>Program Pembangunan Science Park dan Technopark</v>
      </c>
      <c r="N222" s="51"/>
      <c r="O222" s="31"/>
      <c r="P222" s="31"/>
      <c r="Q222" s="31"/>
      <c r="R222" s="81">
        <f>+R223</f>
        <v>114400000</v>
      </c>
      <c r="S222" s="81"/>
      <c r="T222" s="81">
        <f t="shared" si="33"/>
        <v>17200000</v>
      </c>
      <c r="U222" s="81">
        <f t="shared" si="33"/>
        <v>0</v>
      </c>
      <c r="V222" s="81">
        <f t="shared" si="33"/>
        <v>131600000</v>
      </c>
      <c r="W222" s="81"/>
      <c r="X222" s="81" t="str">
        <f t="shared" si="33"/>
        <v>Bilateral</v>
      </c>
      <c r="Y222" s="81">
        <f t="shared" si="33"/>
        <v>114400000</v>
      </c>
      <c r="Z222" s="81">
        <f t="shared" si="33"/>
        <v>0</v>
      </c>
      <c r="AA222" s="31"/>
      <c r="AB222" s="32"/>
      <c r="AC222" s="32"/>
      <c r="AD222" s="32"/>
      <c r="AE222" s="32"/>
      <c r="AF222" s="31"/>
      <c r="AG222" s="31"/>
      <c r="AH222" s="31"/>
      <c r="AI222" s="31"/>
      <c r="AJ222" s="31"/>
      <c r="AK222" s="31"/>
      <c r="AL222" s="31"/>
      <c r="AM222" s="32"/>
    </row>
    <row r="223" spans="1:39" ht="91.5" hidden="1" customHeight="1">
      <c r="A223" s="10">
        <f>DATA!A207</f>
        <v>148</v>
      </c>
      <c r="B223" s="10">
        <f>DATA!B207</f>
        <v>0</v>
      </c>
      <c r="C223" s="10" t="str">
        <f>DATA!D207</f>
        <v>NON-INFRASTRUKTUR</v>
      </c>
      <c r="D223" s="10">
        <f>DATA!E207</f>
        <v>17</v>
      </c>
      <c r="E223" s="10" t="str">
        <f>DATA!F207</f>
        <v>Badan Pengkajian dan Penerapan Teknologi (BPPT)</v>
      </c>
      <c r="F223" s="10" t="str">
        <f>DATA!H207</f>
        <v>Science Park and Technopark Development Program</v>
      </c>
      <c r="G223" s="10" t="str">
        <f>DATA!I207</f>
        <v>A</v>
      </c>
      <c r="H223" s="10" t="str">
        <f>DATA!J207</f>
        <v>Program Pembangunan Science Park dan Technopark</v>
      </c>
      <c r="I223" s="10">
        <f>DATA!K207</f>
        <v>1</v>
      </c>
      <c r="J223" s="52"/>
      <c r="K223" s="54"/>
      <c r="L223" s="36"/>
      <c r="M223" s="36">
        <f>DATA!K207</f>
        <v>1</v>
      </c>
      <c r="N223" s="37" t="str">
        <f>DATA!L207</f>
        <v>Development of Maritime National Science and Technology Park (NTSP) in the Northern Penajam Paser and Revitalization Infrastructure Marine Survey</v>
      </c>
      <c r="O223" s="20">
        <f>DATA!Q207</f>
        <v>1</v>
      </c>
      <c r="P223" s="20">
        <f>DATA!R207</f>
        <v>1</v>
      </c>
      <c r="Q223" s="20">
        <f>DATA!S207</f>
        <v>116</v>
      </c>
      <c r="R223" s="77">
        <f>DATA!T207</f>
        <v>114400000</v>
      </c>
      <c r="S223" s="77"/>
      <c r="T223" s="77">
        <f>DATA!V207</f>
        <v>17200000</v>
      </c>
      <c r="U223" s="77">
        <f>DATA!W207</f>
        <v>0</v>
      </c>
      <c r="V223" s="77">
        <f>DATA!X207</f>
        <v>131600000</v>
      </c>
      <c r="W223" s="78" t="str">
        <f>DATA!Y207</f>
        <v xml:space="preserve">Perancis (AFD)  </v>
      </c>
      <c r="X223" s="20" t="str">
        <f>DATA!Z207</f>
        <v>Bilateral</v>
      </c>
      <c r="Y223" s="77">
        <f>DATA!AA207</f>
        <v>114400000</v>
      </c>
      <c r="Z223" s="77">
        <f>DATA!AG207</f>
        <v>0</v>
      </c>
      <c r="AA223" s="20" t="str">
        <f>DATA!AH207</f>
        <v>Tanpa keterangan</v>
      </c>
      <c r="AB223" s="37" t="str">
        <f>DATA!AI207</f>
        <v xml:space="preserve">  (1) Development of Maritime NTSP: (tidak ada data)
(2) Revitalization Infrastructure Marine Survey: (tidak ada data)  </v>
      </c>
      <c r="AC223" s="37" t="str">
        <f>DATA!AJ207</f>
        <v xml:space="preserve">  (1) Development of Maritime NTSP: Pra-FS
(2) Revitalization Infrastructure Marine Survey: (tidak ada data)  </v>
      </c>
      <c r="AD223" s="37" t="str">
        <f>DATA!AK207</f>
        <v xml:space="preserve">  (1) Development of Maritime NTSP: 20%
(2) Revitalization Infrastructure Marine Survey: tidak memerlukan lahan  </v>
      </c>
      <c r="AE223" s="37" t="str">
        <f>DATA!AL207</f>
        <v xml:space="preserve">  (1) Development of Maritime NTSP: belum ada tender
(2) Revitalization Infrastructure Marine Survey:belum ada tender  </v>
      </c>
      <c r="AF223" s="20">
        <f>DATA!AM207</f>
        <v>0</v>
      </c>
      <c r="AG223" s="20" t="str">
        <f>DATA!AN207</f>
        <v>dalam proses
(penyusunan FS)</v>
      </c>
      <c r="AH223" s="20" t="str">
        <f>DATA!AO207</f>
        <v>dalam proses
(pelaksanaan)</v>
      </c>
      <c r="AI223" s="20" t="str">
        <f>DATA!AP207</f>
        <v>belum ada proses tender/lelang</v>
      </c>
      <c r="AJ223" s="20" t="str">
        <f>DATA!AY207</f>
        <v>- Selain Perancis , pihak BPPT mengkonfirmasikan bahwa Korea berminat untuk menjadi lender pada proyek NSTP Maritim Kab. PPU
- Pelaksanaannya direncanakan tahun 2016 dan tahun 2017
-  Konfirmasi melalui e-mail tanggal 10 Sept 2015</v>
      </c>
      <c r="AK223" s="20" t="e">
        <f>DATA!#REF!</f>
        <v>#REF!</v>
      </c>
      <c r="AL223" s="20">
        <f>DATA!AZ207</f>
        <v>0</v>
      </c>
      <c r="AM223" s="37" t="str">
        <f>DATA!BA207</f>
        <v>Pembangunan dermaga kapal riset, laboratorium kemaritiman, workshop, dan sarana prasarana penunjang darat lainnya serta Revitalisasi 4 buah kapal riset Baruna Jaya I, II, III, dan IV dan peralatan survei kelautan lainnya</v>
      </c>
    </row>
    <row r="224" spans="1:39" s="3" customFormat="1" ht="30" hidden="1" customHeight="1">
      <c r="J224" s="3363" t="s">
        <v>477</v>
      </c>
      <c r="K224" s="3364"/>
      <c r="L224" s="3364"/>
      <c r="M224" s="3364"/>
      <c r="N224" s="3365"/>
      <c r="O224" s="119"/>
      <c r="P224" s="119"/>
      <c r="Q224" s="119"/>
      <c r="R224" s="123">
        <f>+R8+R161</f>
        <v>39876907800</v>
      </c>
      <c r="S224" s="123"/>
      <c r="T224" s="123">
        <f>+T8+T161</f>
        <v>5212917900</v>
      </c>
      <c r="U224" s="123">
        <f>+U8+U161</f>
        <v>19660000</v>
      </c>
      <c r="V224" s="123">
        <f>+V8+V161</f>
        <v>45085941000</v>
      </c>
      <c r="W224" s="123"/>
      <c r="X224" s="123" t="e">
        <f>+X8+X161</f>
        <v>#VALUE!</v>
      </c>
      <c r="Y224" s="123">
        <f>+Y8+Y161</f>
        <v>39686527800</v>
      </c>
      <c r="Z224" s="123">
        <f>+Z8+Z161</f>
        <v>-2146834004</v>
      </c>
      <c r="AA224" s="119"/>
      <c r="AB224" s="125"/>
      <c r="AC224" s="125"/>
      <c r="AD224" s="125"/>
      <c r="AE224" s="125"/>
      <c r="AF224" s="119"/>
      <c r="AG224" s="119"/>
      <c r="AH224" s="119"/>
      <c r="AI224" s="119"/>
      <c r="AJ224" s="119"/>
      <c r="AK224" s="119"/>
      <c r="AL224" s="119"/>
      <c r="AM224" s="125"/>
    </row>
    <row r="226" spans="14:14">
      <c r="N226" s="12">
        <v>12</v>
      </c>
    </row>
  </sheetData>
  <autoFilter ref="A7:AM224">
    <filterColumn colId="26">
      <filters>
        <filter val="2015"/>
      </filters>
    </filterColumn>
    <filterColumn colId="27">
      <filters>
        <filter val="- Sudah ada R/C_x000a_- Green Book 2015"/>
        <filter val="- Sudah ada R/C_x000a_- Green Book 2015_x000a_ - Proses Loan Agreement"/>
        <filter val="- Sudah ada R/C_x000a_- Green Book 2015_x000a_- Dalam proses penandatanganan perjanjian pinjaman"/>
        <filter val="- Sudah ada R/C_x000a_- Green Book 2015_x000a_- Dalam proses penyiapan negosiasi"/>
        <filter val="- Sudah ada R/C_x000a_- Green Book 2015_x000a_- Dalam proses persiapan penandatanganan Loan Agreement"/>
        <filter val="- Sudah ada R/C_x000a_- Green Book 2015_x000a_- Proses LA"/>
        <filter val="- Sudah ada RC_x000a_- Green Book 2015"/>
        <filter val="- Sudah ada RC_x000a_- Green Book 2015_x000a_- Dalam proses pembahasan skema pinjaman"/>
      </filters>
    </filterColumn>
  </autoFilter>
  <mergeCells count="14">
    <mergeCell ref="J1:AM1"/>
    <mergeCell ref="J2:AE2"/>
    <mergeCell ref="W5:Y5"/>
    <mergeCell ref="AB5:AE5"/>
    <mergeCell ref="J224:N224"/>
    <mergeCell ref="R5:R6"/>
    <mergeCell ref="S5:S6"/>
    <mergeCell ref="T5:T6"/>
    <mergeCell ref="U5:U6"/>
    <mergeCell ref="V5:V6"/>
    <mergeCell ref="Z5:Z6"/>
    <mergeCell ref="AA5:AA6"/>
    <mergeCell ref="AM5:AM6"/>
    <mergeCell ref="J5:N6"/>
  </mergeCells>
  <printOptions horizontalCentered="1"/>
  <pageMargins left="0.39305555555555599" right="0.39305555555555599" top="0.39305555555555599" bottom="0.39305555555555599" header="0.31458333333333299" footer="0.196527777777778"/>
  <pageSetup paperSize="9" scale="45" fitToHeight="0" orientation="landscape"/>
  <headerFooter>
    <oddFooter>&amp;R&amp;"Cambria,Italic"&amp;9&amp;P/&amp;N</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5"/>
  <sheetData/>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60</vt:i4>
      </vt:variant>
      <vt:variant>
        <vt:lpstr>Named Ranges</vt:lpstr>
      </vt:variant>
      <vt:variant>
        <vt:i4>80</vt:i4>
      </vt:variant>
    </vt:vector>
  </HeadingPairs>
  <TitlesOfParts>
    <vt:vector size="140" baseType="lpstr">
      <vt:lpstr>INDIKASI LENDER&amp;KESIAPAN JUMLAH</vt:lpstr>
      <vt:lpstr>PU-LAMA2</vt:lpstr>
      <vt:lpstr>PU-LAMA</vt:lpstr>
      <vt:lpstr>DATA</vt:lpstr>
      <vt:lpstr>ALL LAMA</vt:lpstr>
      <vt:lpstr>ALL-USD39.8M</vt:lpstr>
      <vt:lpstr>ALL-USD42.2M</vt:lpstr>
      <vt:lpstr>ALL-USD40.1M</vt:lpstr>
      <vt:lpstr>ALL-USD46M</vt:lpstr>
      <vt:lpstr>Signed 5,8M</vt:lpstr>
      <vt:lpstr>REKAP LENDER 2017</vt:lpstr>
      <vt:lpstr>SEKTOR ENERGI</vt:lpstr>
      <vt:lpstr>SEKTOR PERTAHANAN</vt:lpstr>
      <vt:lpstr>SEKTOR PERKOTKIM</vt:lpstr>
      <vt:lpstr>SEKTOR SANITASI</vt:lpstr>
      <vt:lpstr>SEKTOR AIR MINUM</vt:lpstr>
      <vt:lpstr>SEKTOR PERUMAHAN</vt:lpstr>
      <vt:lpstr>SEKTOR PERKOTAAN DAN KUMUH</vt:lpstr>
      <vt:lpstr>SEKTOR KERETA API</vt:lpstr>
      <vt:lpstr>SEKTOR PENDIDIKAN</vt:lpstr>
      <vt:lpstr>SEKTOR PERTANIAN</vt:lpstr>
      <vt:lpstr>SEKTOR KESEHATAN</vt:lpstr>
      <vt:lpstr>SEKTOR KOMUNIKASI</vt:lpstr>
      <vt:lpstr>SEKTOR SUMBER DAYA AIR</vt:lpstr>
      <vt:lpstr>SEKTOR JALAN</vt:lpstr>
      <vt:lpstr>SEKTOR TRANSPORTASI LAUT</vt:lpstr>
      <vt:lpstr>SEKTOR PARIWISATA</vt:lpstr>
      <vt:lpstr>SEKTOR LAIN-LAIN</vt:lpstr>
      <vt:lpstr>REKAP SEKTOR</vt:lpstr>
      <vt:lpstr>JICA</vt:lpstr>
      <vt:lpstr>KOREA</vt:lpstr>
      <vt:lpstr>RRT</vt:lpstr>
      <vt:lpstr>EROPA</vt:lpstr>
      <vt:lpstr>BILA-LAIN</vt:lpstr>
      <vt:lpstr>BD</vt:lpstr>
      <vt:lpstr>ADB</vt:lpstr>
      <vt:lpstr>IDB</vt:lpstr>
      <vt:lpstr>MULTI-Lain</vt:lpstr>
      <vt:lpstr>NO LENDER</vt:lpstr>
      <vt:lpstr>Signed di Cek SK</vt:lpstr>
      <vt:lpstr>Sudah DK</vt:lpstr>
      <vt:lpstr>Sudah GB</vt:lpstr>
      <vt:lpstr>PROSES - sudah ada RC</vt:lpstr>
      <vt:lpstr>PROSES - penyusunan RC FS</vt:lpstr>
      <vt:lpstr>BELUM PROSES</vt:lpstr>
      <vt:lpstr>REKAP LENDER</vt:lpstr>
      <vt:lpstr>REKAP KL</vt:lpstr>
      <vt:lpstr>REKAP PROGRAM</vt:lpstr>
      <vt:lpstr>GB'15&amp;LA</vt:lpstr>
      <vt:lpstr>STATUS 1MAR'16 (2)</vt:lpstr>
      <vt:lpstr>ALL-2</vt:lpstr>
      <vt:lpstr>130 lama</vt:lpstr>
      <vt:lpstr>ALL-1</vt:lpstr>
      <vt:lpstr>PENJ.PERUBAHAN</vt:lpstr>
      <vt:lpstr>BU ANA</vt:lpstr>
      <vt:lpstr>ALL PENYIAPAN</vt:lpstr>
      <vt:lpstr>GB15</vt:lpstr>
      <vt:lpstr>2016&amp;GB15</vt:lpstr>
      <vt:lpstr>2015&amp;GB15</vt:lpstr>
      <vt:lpstr>Sheet1</vt:lpstr>
      <vt:lpstr>'ALL LAMA'!_Toc450667043</vt:lpstr>
      <vt:lpstr>'ALL-USD40.1M'!_Toc450667043</vt:lpstr>
      <vt:lpstr>'ALL-USD42.2M'!_Toc450667043</vt:lpstr>
      <vt:lpstr>'SEKTOR TRANSPORTASI LAUT'!_Toc450667043</vt:lpstr>
      <vt:lpstr>'130 lama'!Print_Area</vt:lpstr>
      <vt:lpstr>'2015&amp;GB15'!Print_Area</vt:lpstr>
      <vt:lpstr>'2016&amp;GB15'!Print_Area</vt:lpstr>
      <vt:lpstr>'ALL LAMA'!Print_Area</vt:lpstr>
      <vt:lpstr>'ALL PENYIAPAN'!Print_Area</vt:lpstr>
      <vt:lpstr>'ALL-1'!Print_Area</vt:lpstr>
      <vt:lpstr>'ALL-2'!Print_Area</vt:lpstr>
      <vt:lpstr>'ALL-USD39.8M'!Print_Area</vt:lpstr>
      <vt:lpstr>'ALL-USD40.1M'!Print_Area</vt:lpstr>
      <vt:lpstr>'ALL-USD42.2M'!Print_Area</vt:lpstr>
      <vt:lpstr>'ALL-USD46M'!Print_Area</vt:lpstr>
      <vt:lpstr>'BU ANA'!Print_Area</vt:lpstr>
      <vt:lpstr>DATA!Print_Area</vt:lpstr>
      <vt:lpstr>'GB15'!Print_Area</vt:lpstr>
      <vt:lpstr>'GB''15&amp;LA'!Print_Area</vt:lpstr>
      <vt:lpstr>'INDIKASI LENDER&amp;KESIAPAN JUMLAH'!Print_Area</vt:lpstr>
      <vt:lpstr>PENJ.PERUBAHAN!Print_Area</vt:lpstr>
      <vt:lpstr>'PU-LAMA'!Print_Area</vt:lpstr>
      <vt:lpstr>'PU-LAMA2'!Print_Area</vt:lpstr>
      <vt:lpstr>'REKAP LENDER 2017'!Print_Area</vt:lpstr>
      <vt:lpstr>'SEKTOR AIR MINUM'!Print_Area</vt:lpstr>
      <vt:lpstr>'SEKTOR ENERGI'!Print_Area</vt:lpstr>
      <vt:lpstr>'SEKTOR JALAN'!Print_Area</vt:lpstr>
      <vt:lpstr>'SEKTOR KERETA API'!Print_Area</vt:lpstr>
      <vt:lpstr>'SEKTOR KESEHATAN'!Print_Area</vt:lpstr>
      <vt:lpstr>'SEKTOR KOMUNIKASI'!Print_Area</vt:lpstr>
      <vt:lpstr>'SEKTOR LAIN-LAIN'!Print_Area</vt:lpstr>
      <vt:lpstr>'SEKTOR PARIWISATA'!Print_Area</vt:lpstr>
      <vt:lpstr>'SEKTOR PENDIDIKAN'!Print_Area</vt:lpstr>
      <vt:lpstr>'SEKTOR PERKOTAAN DAN KUMUH'!Print_Area</vt:lpstr>
      <vt:lpstr>'SEKTOR PERKOTKIM'!Print_Area</vt:lpstr>
      <vt:lpstr>'SEKTOR PERTAHANAN'!Print_Area</vt:lpstr>
      <vt:lpstr>'SEKTOR PERTANIAN'!Print_Area</vt:lpstr>
      <vt:lpstr>'SEKTOR PERUMAHAN'!Print_Area</vt:lpstr>
      <vt:lpstr>'SEKTOR SANITASI'!Print_Area</vt:lpstr>
      <vt:lpstr>'SEKTOR SUMBER DAYA AIR'!Print_Area</vt:lpstr>
      <vt:lpstr>'SEKTOR TRANSPORTASI LAUT'!Print_Area</vt:lpstr>
      <vt:lpstr>'Signed 5,8M'!Print_Area</vt:lpstr>
      <vt:lpstr>'STATUS 1MAR''16 (2)'!Print_Area</vt:lpstr>
      <vt:lpstr>'Sudah GB'!Print_Area</vt:lpstr>
      <vt:lpstr>'130 lama'!Print_Titles</vt:lpstr>
      <vt:lpstr>'2015&amp;GB15'!Print_Titles</vt:lpstr>
      <vt:lpstr>'2016&amp;GB15'!Print_Titles</vt:lpstr>
      <vt:lpstr>'ALL LAMA'!Print_Titles</vt:lpstr>
      <vt:lpstr>'ALL PENYIAPAN'!Print_Titles</vt:lpstr>
      <vt:lpstr>'ALL-1'!Print_Titles</vt:lpstr>
      <vt:lpstr>'ALL-2'!Print_Titles</vt:lpstr>
      <vt:lpstr>'ALL-USD39.8M'!Print_Titles</vt:lpstr>
      <vt:lpstr>'ALL-USD40.1M'!Print_Titles</vt:lpstr>
      <vt:lpstr>'ALL-USD42.2M'!Print_Titles</vt:lpstr>
      <vt:lpstr>'ALL-USD46M'!Print_Titles</vt:lpstr>
      <vt:lpstr>'BU ANA'!Print_Titles</vt:lpstr>
      <vt:lpstr>'GB15'!Print_Titles</vt:lpstr>
      <vt:lpstr>'GB''15&amp;LA'!Print_Titles</vt:lpstr>
      <vt:lpstr>'INDIKASI LENDER&amp;KESIAPAN JUMLAH'!Print_Titles</vt:lpstr>
      <vt:lpstr>PENJ.PERUBAHAN!Print_Titles</vt:lpstr>
      <vt:lpstr>'PU-LAMA'!Print_Titles</vt:lpstr>
      <vt:lpstr>'PU-LAMA2'!Print_Titles</vt:lpstr>
      <vt:lpstr>'SEKTOR AIR MINUM'!Print_Titles</vt:lpstr>
      <vt:lpstr>'SEKTOR ENERGI'!Print_Titles</vt:lpstr>
      <vt:lpstr>'SEKTOR JALAN'!Print_Titles</vt:lpstr>
      <vt:lpstr>'SEKTOR KERETA API'!Print_Titles</vt:lpstr>
      <vt:lpstr>'SEKTOR KESEHATAN'!Print_Titles</vt:lpstr>
      <vt:lpstr>'SEKTOR KOMUNIKASI'!Print_Titles</vt:lpstr>
      <vt:lpstr>'SEKTOR LAIN-LAIN'!Print_Titles</vt:lpstr>
      <vt:lpstr>'SEKTOR PARIWISATA'!Print_Titles</vt:lpstr>
      <vt:lpstr>'SEKTOR PENDIDIKAN'!Print_Titles</vt:lpstr>
      <vt:lpstr>'SEKTOR PERKOTAAN DAN KUMUH'!Print_Titles</vt:lpstr>
      <vt:lpstr>'SEKTOR PERKOTKIM'!Print_Titles</vt:lpstr>
      <vt:lpstr>'SEKTOR PERTAHANAN'!Print_Titles</vt:lpstr>
      <vt:lpstr>'SEKTOR PERTANIAN'!Print_Titles</vt:lpstr>
      <vt:lpstr>'SEKTOR PERUMAHAN'!Print_Titles</vt:lpstr>
      <vt:lpstr>'SEKTOR SANITASI'!Print_Titles</vt:lpstr>
      <vt:lpstr>'SEKTOR SUMBER DAYA AIR'!Print_Titles</vt:lpstr>
      <vt:lpstr>'SEKTOR TRANSPORTASI LAUT'!Print_Titles</vt:lpstr>
      <vt:lpstr>'STATUS 1MAR''16 (2)'!Print_Titles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Eftin Ula Kurnia</dc:creator>
  <cp:lastModifiedBy>Dini</cp:lastModifiedBy>
  <cp:lastPrinted>2018-01-23T12:26:00Z</cp:lastPrinted>
  <dcterms:created xsi:type="dcterms:W3CDTF">2015-09-18T09:59:00Z</dcterms:created>
  <dcterms:modified xsi:type="dcterms:W3CDTF">2018-01-31T03:40:51Z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1033-10.2.0.5965</vt:lpwstr>
  </property>
</Properties>
</file>